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3022_Library_and_Learning_Resources\2. Informasjonsressurser\Samlinger\Studentoppgaver\MSc\2019\vedlegg\2286401\"/>
    </mc:Choice>
  </mc:AlternateContent>
  <bookViews>
    <workbookView xWindow="0" yWindow="0" windowWidth="38400" windowHeight="17730" activeTab="7"/>
  </bookViews>
  <sheets>
    <sheet name="sample 1" sheetId="1" r:id="rId1"/>
    <sheet name="Descriptive statistics" sheetId="29" r:id="rId2"/>
    <sheet name="Sheet1" sheetId="17" r:id="rId3"/>
    <sheet name="Small" sheetId="31" r:id="rId4"/>
    <sheet name="Medium" sheetId="32" r:id="rId5"/>
    <sheet name="Big" sheetId="33" r:id="rId6"/>
    <sheet name="Foreign" sheetId="20" r:id="rId7"/>
    <sheet name="Domestic" sheetId="21" r:id="rId8"/>
    <sheet name="Not used1" sheetId="24" r:id="rId9"/>
    <sheet name="Not used" sheetId="25" r:id="rId10"/>
    <sheet name="Europe" sheetId="34" r:id="rId11"/>
    <sheet name="US" sheetId="35" r:id="rId12"/>
    <sheet name="Failure" sheetId="28" r:id="rId13"/>
    <sheet name="Boom" sheetId="41" r:id="rId14"/>
    <sheet name="Bust" sheetId="42" r:id="rId15"/>
  </sheets>
  <definedNames>
    <definedName name="_xlnm._FilterDatabase" localSheetId="0" hidden="1">'sample 1'!$A$1:$AL$696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4" i="42" l="1"/>
  <c r="AJ5" i="42"/>
  <c r="AJ6" i="42"/>
  <c r="AJ7" i="42"/>
  <c r="AJ8" i="42"/>
  <c r="AJ9" i="42"/>
  <c r="AJ10" i="42"/>
  <c r="AJ11" i="42"/>
  <c r="AJ12" i="42"/>
  <c r="AJ13" i="42"/>
  <c r="AJ14" i="42"/>
  <c r="AJ15" i="42"/>
  <c r="AJ16" i="42"/>
  <c r="AJ17" i="42"/>
  <c r="AJ18" i="42"/>
  <c r="AJ19" i="42"/>
  <c r="AJ20" i="42"/>
  <c r="AJ21" i="42"/>
  <c r="AJ22" i="42"/>
  <c r="AJ23" i="42"/>
  <c r="AJ24" i="42"/>
  <c r="AJ25" i="42"/>
  <c r="AJ26" i="42"/>
  <c r="AJ27" i="42"/>
  <c r="AJ28" i="42"/>
  <c r="AJ29" i="42"/>
  <c r="AJ30" i="42"/>
  <c r="AJ31" i="42"/>
  <c r="AJ32" i="42"/>
  <c r="AJ33" i="42"/>
  <c r="AJ34" i="42"/>
  <c r="AJ35" i="42"/>
  <c r="AJ36" i="42"/>
  <c r="AJ37" i="42"/>
  <c r="AJ38" i="42"/>
  <c r="AJ39" i="42"/>
  <c r="AJ40" i="42"/>
  <c r="AJ41" i="42"/>
  <c r="AJ42" i="42"/>
  <c r="AJ43" i="42"/>
  <c r="AJ44" i="42"/>
  <c r="AJ45" i="42"/>
  <c r="AJ46" i="42"/>
  <c r="AJ47" i="42"/>
  <c r="AJ48" i="42"/>
  <c r="AJ49" i="42"/>
  <c r="AJ50" i="42"/>
  <c r="AJ51" i="42"/>
  <c r="AJ52" i="42"/>
  <c r="AJ53" i="42"/>
  <c r="AJ54" i="42"/>
  <c r="AJ55" i="42"/>
  <c r="AJ56" i="42"/>
  <c r="AJ57" i="42"/>
  <c r="AJ58" i="42"/>
  <c r="AJ59" i="42"/>
  <c r="AJ60" i="42"/>
  <c r="AJ61" i="42"/>
  <c r="AJ62" i="42"/>
  <c r="AJ63" i="42"/>
  <c r="AJ64" i="42"/>
  <c r="AJ65" i="42"/>
  <c r="AJ66" i="42"/>
  <c r="AJ67" i="42"/>
  <c r="AJ68" i="42"/>
  <c r="AJ69" i="42"/>
  <c r="AJ70" i="42"/>
  <c r="AJ71" i="42"/>
  <c r="AJ72" i="42"/>
  <c r="AJ73" i="42"/>
  <c r="AJ77" i="42"/>
  <c r="AJ78" i="42"/>
  <c r="AJ79" i="42"/>
  <c r="AJ80" i="42"/>
  <c r="AJ81" i="42"/>
  <c r="AJ82" i="42"/>
  <c r="AJ83" i="42"/>
  <c r="AJ84" i="42"/>
  <c r="AJ85" i="42"/>
  <c r="AJ86" i="42"/>
  <c r="AJ87" i="42"/>
  <c r="AJ88" i="42"/>
  <c r="AJ89" i="42"/>
  <c r="AJ90" i="42"/>
  <c r="AJ91" i="42"/>
  <c r="AJ92" i="42"/>
  <c r="AJ93" i="42"/>
  <c r="AJ94" i="42"/>
  <c r="AJ95" i="42"/>
  <c r="AJ96" i="42"/>
  <c r="AJ97" i="42"/>
  <c r="AJ98" i="42"/>
  <c r="AJ99" i="42"/>
  <c r="AJ100" i="42"/>
  <c r="AJ101" i="42"/>
  <c r="AJ102" i="42"/>
  <c r="AJ103" i="42"/>
  <c r="AJ104" i="42"/>
  <c r="AJ105" i="42"/>
  <c r="AJ106" i="42"/>
  <c r="AJ107" i="42"/>
  <c r="AJ108" i="42"/>
  <c r="AJ109" i="42"/>
  <c r="AJ110" i="42"/>
  <c r="AJ111" i="42"/>
  <c r="AJ112" i="42"/>
  <c r="AJ113" i="42"/>
  <c r="AJ114" i="42"/>
  <c r="AJ115" i="42"/>
  <c r="AJ116" i="42"/>
  <c r="AJ117" i="42"/>
  <c r="AJ118" i="42"/>
  <c r="AJ119" i="42"/>
  <c r="AJ120" i="42"/>
  <c r="AJ121" i="42"/>
  <c r="AJ122" i="42"/>
  <c r="AJ123" i="42"/>
  <c r="AJ124" i="42"/>
  <c r="AJ125" i="42"/>
  <c r="AJ126" i="42"/>
  <c r="AJ127" i="42"/>
  <c r="AJ128" i="42"/>
  <c r="AJ129" i="42"/>
  <c r="AJ130" i="42"/>
  <c r="AJ131" i="42"/>
  <c r="AJ132" i="42"/>
  <c r="AJ133" i="42"/>
  <c r="AJ134" i="42"/>
  <c r="AJ135" i="42"/>
  <c r="AJ136" i="42"/>
  <c r="AJ137" i="42"/>
  <c r="AJ138" i="42"/>
  <c r="AJ139" i="42"/>
  <c r="AJ140" i="42"/>
  <c r="AJ141" i="42"/>
  <c r="AJ142" i="42"/>
  <c r="AJ143" i="42"/>
  <c r="AJ144" i="42"/>
  <c r="AJ145" i="42"/>
  <c r="AJ146" i="42"/>
  <c r="AJ147" i="42"/>
  <c r="AJ148" i="42"/>
  <c r="AJ149" i="42"/>
  <c r="AJ150" i="42"/>
  <c r="AJ151" i="42"/>
  <c r="AJ152" i="42"/>
  <c r="AJ153" i="42"/>
  <c r="AJ154" i="42"/>
  <c r="AJ155" i="42"/>
  <c r="AJ156" i="42"/>
  <c r="AJ157" i="42"/>
  <c r="AJ158" i="42"/>
  <c r="AJ159" i="42"/>
  <c r="AJ160" i="42"/>
  <c r="AJ161" i="42"/>
  <c r="AJ162" i="42"/>
  <c r="AJ163" i="42"/>
  <c r="AJ164" i="42"/>
  <c r="AJ165" i="42"/>
  <c r="AJ166" i="42"/>
  <c r="AJ167" i="42"/>
  <c r="AJ168" i="42"/>
  <c r="AJ169" i="42"/>
  <c r="AJ170" i="42"/>
  <c r="AJ171" i="42"/>
  <c r="AJ172" i="42"/>
  <c r="AJ173" i="42"/>
  <c r="AJ174" i="42"/>
  <c r="AJ175" i="42"/>
  <c r="AJ176" i="42"/>
  <c r="AJ177" i="42"/>
  <c r="AJ178" i="42"/>
  <c r="AJ179" i="42"/>
  <c r="AJ180" i="42"/>
  <c r="AJ181" i="42"/>
  <c r="AJ182" i="42"/>
  <c r="AJ183" i="42"/>
  <c r="AJ184" i="42"/>
  <c r="AJ185" i="42"/>
  <c r="AJ186" i="42"/>
  <c r="AJ187" i="42"/>
  <c r="AJ188" i="42"/>
  <c r="AJ189" i="42"/>
  <c r="AJ190" i="42"/>
  <c r="AJ191" i="42"/>
  <c r="AJ192" i="42"/>
  <c r="AJ193" i="42"/>
  <c r="AJ194" i="42"/>
  <c r="AJ195" i="42"/>
  <c r="AJ196" i="42"/>
  <c r="AJ197" i="42"/>
  <c r="AJ198" i="42"/>
  <c r="AJ199" i="42"/>
  <c r="AJ201" i="42"/>
  <c r="AJ202" i="42"/>
  <c r="AJ203" i="42"/>
  <c r="AJ204" i="42"/>
  <c r="AJ205" i="42"/>
  <c r="AJ206" i="42"/>
  <c r="AJ207" i="42"/>
  <c r="AJ208" i="42"/>
  <c r="AJ209" i="42"/>
  <c r="AJ210" i="42"/>
  <c r="AJ211" i="42"/>
  <c r="AJ212" i="42"/>
  <c r="AJ2" i="42"/>
  <c r="AF3" i="42"/>
  <c r="AF4" i="42"/>
  <c r="AF5" i="42"/>
  <c r="AF6" i="42"/>
  <c r="AF7" i="42"/>
  <c r="AF8" i="42"/>
  <c r="AF9" i="42"/>
  <c r="AF10" i="42"/>
  <c r="AF11" i="42"/>
  <c r="AF12" i="42"/>
  <c r="AF13" i="42"/>
  <c r="AF14" i="42"/>
  <c r="AF15" i="42"/>
  <c r="AF16" i="42"/>
  <c r="AF17" i="42"/>
  <c r="AF18" i="42"/>
  <c r="AF19" i="42"/>
  <c r="AF20" i="42"/>
  <c r="AF21" i="42"/>
  <c r="AF22" i="42"/>
  <c r="AF23" i="42"/>
  <c r="AF24" i="42"/>
  <c r="AF25" i="42"/>
  <c r="AF26" i="42"/>
  <c r="AF27" i="42"/>
  <c r="AF28" i="42"/>
  <c r="AF29" i="42"/>
  <c r="AF30" i="42"/>
  <c r="AF31" i="42"/>
  <c r="AF32" i="42"/>
  <c r="AF33" i="42"/>
  <c r="AF34" i="42"/>
  <c r="AF35" i="42"/>
  <c r="AF36" i="42"/>
  <c r="AF37" i="42"/>
  <c r="AF38" i="42"/>
  <c r="AF39" i="42"/>
  <c r="AF40" i="42"/>
  <c r="AF41" i="42"/>
  <c r="AF42" i="42"/>
  <c r="AF43" i="42"/>
  <c r="AF44" i="42"/>
  <c r="AF45" i="42"/>
  <c r="AF46" i="42"/>
  <c r="AF47" i="42"/>
  <c r="AF48" i="42"/>
  <c r="AF49" i="42"/>
  <c r="AF50" i="42"/>
  <c r="AF51" i="42"/>
  <c r="AF52" i="42"/>
  <c r="AF53" i="42"/>
  <c r="AF54" i="42"/>
  <c r="AF55" i="42"/>
  <c r="AF56" i="42"/>
  <c r="AF57" i="42"/>
  <c r="AF58" i="42"/>
  <c r="AF59" i="42"/>
  <c r="AF60" i="42"/>
  <c r="AF61" i="42"/>
  <c r="AF62" i="42"/>
  <c r="AF63" i="42"/>
  <c r="AF64" i="42"/>
  <c r="AF65" i="42"/>
  <c r="AF66" i="42"/>
  <c r="AF67" i="42"/>
  <c r="AF68" i="42"/>
  <c r="AF69" i="42"/>
  <c r="AF70" i="42"/>
  <c r="AF71" i="42"/>
  <c r="AF72" i="42"/>
  <c r="AF73" i="42"/>
  <c r="AF74" i="42"/>
  <c r="AF75" i="42"/>
  <c r="AF76" i="42"/>
  <c r="AF77" i="42"/>
  <c r="AF78" i="42"/>
  <c r="AF79" i="42"/>
  <c r="AF80" i="42"/>
  <c r="AF81" i="42"/>
  <c r="AF82" i="42"/>
  <c r="AF83" i="42"/>
  <c r="AF84" i="42"/>
  <c r="AF85" i="42"/>
  <c r="AF86" i="42"/>
  <c r="AF87" i="42"/>
  <c r="AF88" i="42"/>
  <c r="AF89" i="42"/>
  <c r="AF90" i="42"/>
  <c r="AF91" i="42"/>
  <c r="AF92" i="42"/>
  <c r="AF93" i="42"/>
  <c r="AF94" i="42"/>
  <c r="AF95" i="42"/>
  <c r="AF96" i="42"/>
  <c r="AF97" i="42"/>
  <c r="AF98" i="42"/>
  <c r="AF99" i="42"/>
  <c r="AF100" i="42"/>
  <c r="AF101" i="42"/>
  <c r="AF102" i="42"/>
  <c r="AF103" i="42"/>
  <c r="AF104" i="42"/>
  <c r="AF105" i="42"/>
  <c r="AF106" i="42"/>
  <c r="AF107" i="42"/>
  <c r="AF108" i="42"/>
  <c r="AF109" i="42"/>
  <c r="AF110" i="42"/>
  <c r="AF111" i="42"/>
  <c r="AF112" i="42"/>
  <c r="AF113" i="42"/>
  <c r="AF114" i="42"/>
  <c r="AF115" i="42"/>
  <c r="AF116" i="42"/>
  <c r="AF117" i="42"/>
  <c r="AF118" i="42"/>
  <c r="AF119" i="42"/>
  <c r="AF120" i="42"/>
  <c r="AF121" i="42"/>
  <c r="AF122" i="42"/>
  <c r="AF123" i="42"/>
  <c r="AF124" i="42"/>
  <c r="AF125" i="42"/>
  <c r="AF126" i="42"/>
  <c r="AF127" i="42"/>
  <c r="AF128" i="42"/>
  <c r="AF129" i="42"/>
  <c r="AF130" i="42"/>
  <c r="AF131" i="42"/>
  <c r="AF132" i="42"/>
  <c r="AF133" i="42"/>
  <c r="AF134" i="42"/>
  <c r="AF135" i="42"/>
  <c r="AF136" i="42"/>
  <c r="AF137" i="42"/>
  <c r="AF138" i="42"/>
  <c r="AF139" i="42"/>
  <c r="AF140" i="42"/>
  <c r="AF141" i="42"/>
  <c r="AF142" i="42"/>
  <c r="AF143" i="42"/>
  <c r="AF144" i="42"/>
  <c r="AF145" i="42"/>
  <c r="AF146" i="42"/>
  <c r="AF147" i="42"/>
  <c r="AF148" i="42"/>
  <c r="AF149" i="42"/>
  <c r="AF150" i="42"/>
  <c r="AF151" i="42"/>
  <c r="AF152" i="42"/>
  <c r="AF153" i="42"/>
  <c r="AF154" i="42"/>
  <c r="AF155" i="42"/>
  <c r="AF156" i="42"/>
  <c r="AF157" i="42"/>
  <c r="AF158" i="42"/>
  <c r="AF159" i="42"/>
  <c r="AF160" i="42"/>
  <c r="AF161" i="42"/>
  <c r="AF162" i="42"/>
  <c r="AF163" i="42"/>
  <c r="AF164" i="42"/>
  <c r="AF165" i="42"/>
  <c r="AF166" i="42"/>
  <c r="AF167" i="42"/>
  <c r="AF168" i="42"/>
  <c r="AF169" i="42"/>
  <c r="AF170" i="42"/>
  <c r="AF171" i="42"/>
  <c r="AF172" i="42"/>
  <c r="AF173" i="42"/>
  <c r="AF174" i="42"/>
  <c r="AF175" i="42"/>
  <c r="AF176" i="42"/>
  <c r="AF177" i="42"/>
  <c r="AF178" i="42"/>
  <c r="AF179" i="42"/>
  <c r="AF180" i="42"/>
  <c r="AF181" i="42"/>
  <c r="AF182" i="42"/>
  <c r="AF183" i="42"/>
  <c r="AF184" i="42"/>
  <c r="AF185" i="42"/>
  <c r="AF186" i="42"/>
  <c r="AF187" i="42"/>
  <c r="AF188" i="42"/>
  <c r="AF189" i="42"/>
  <c r="AF190" i="42"/>
  <c r="AF191" i="42"/>
  <c r="AF192" i="42"/>
  <c r="AF193" i="42"/>
  <c r="AF194" i="42"/>
  <c r="AF195" i="42"/>
  <c r="AF196" i="42"/>
  <c r="AF197" i="42"/>
  <c r="AF198" i="42"/>
  <c r="AF199" i="42"/>
  <c r="AF200" i="42"/>
  <c r="AF201" i="42"/>
  <c r="AF202" i="42"/>
  <c r="AF203" i="42"/>
  <c r="AF204" i="42"/>
  <c r="AF205" i="42"/>
  <c r="AF206" i="42"/>
  <c r="AF207" i="42"/>
  <c r="AF208" i="42"/>
  <c r="AF209" i="42"/>
  <c r="AF210" i="42"/>
  <c r="AF211" i="42"/>
  <c r="AF212" i="42"/>
  <c r="AF2" i="42"/>
  <c r="AD3" i="42"/>
  <c r="AD4" i="42"/>
  <c r="AD5" i="42"/>
  <c r="AD6" i="42"/>
  <c r="AD7" i="42"/>
  <c r="AD8" i="42"/>
  <c r="AD9" i="42"/>
  <c r="AD10" i="42"/>
  <c r="AD11" i="42"/>
  <c r="AD12" i="42"/>
  <c r="AD13" i="42"/>
  <c r="AD14" i="42"/>
  <c r="AD15" i="42"/>
  <c r="AD16" i="42"/>
  <c r="AD17" i="42"/>
  <c r="AD18" i="42"/>
  <c r="AD19" i="42"/>
  <c r="AD20" i="42"/>
  <c r="AD21" i="42"/>
  <c r="AD22" i="42"/>
  <c r="AD23" i="42"/>
  <c r="AD24" i="42"/>
  <c r="AD25" i="42"/>
  <c r="AD26" i="42"/>
  <c r="AD27" i="42"/>
  <c r="AD28" i="42"/>
  <c r="AD29" i="42"/>
  <c r="AD30" i="42"/>
  <c r="AD31" i="42"/>
  <c r="AD32" i="42"/>
  <c r="AD33" i="42"/>
  <c r="AD34" i="42"/>
  <c r="AD35" i="42"/>
  <c r="AD36" i="42"/>
  <c r="AD37" i="42"/>
  <c r="AD38" i="42"/>
  <c r="AD39" i="42"/>
  <c r="AD40" i="42"/>
  <c r="AD41" i="42"/>
  <c r="AD42" i="42"/>
  <c r="AD43" i="42"/>
  <c r="AD44" i="42"/>
  <c r="AD45" i="42"/>
  <c r="AD46" i="42"/>
  <c r="AD47" i="42"/>
  <c r="AD48" i="42"/>
  <c r="AD49" i="42"/>
  <c r="AD50" i="42"/>
  <c r="AD51" i="42"/>
  <c r="AD52" i="42"/>
  <c r="AD53" i="42"/>
  <c r="AD54" i="42"/>
  <c r="AD55" i="42"/>
  <c r="AD56" i="42"/>
  <c r="AD57" i="42"/>
  <c r="AD58" i="42"/>
  <c r="AD59" i="42"/>
  <c r="AD60" i="42"/>
  <c r="AD61" i="42"/>
  <c r="AD62" i="42"/>
  <c r="AD63" i="42"/>
  <c r="AD64" i="42"/>
  <c r="AD65" i="42"/>
  <c r="AD66" i="42"/>
  <c r="AD67" i="42"/>
  <c r="AD68" i="42"/>
  <c r="AD69" i="42"/>
  <c r="AD70" i="42"/>
  <c r="AD71" i="42"/>
  <c r="AD72" i="42"/>
  <c r="AD73" i="42"/>
  <c r="AD74" i="42"/>
  <c r="AD75" i="42"/>
  <c r="AD76" i="42"/>
  <c r="AD77" i="42"/>
  <c r="AD78" i="42"/>
  <c r="AD79" i="42"/>
  <c r="AD80" i="42"/>
  <c r="AD81" i="42"/>
  <c r="AD82" i="42"/>
  <c r="AD83" i="42"/>
  <c r="AD84" i="42"/>
  <c r="AD85" i="42"/>
  <c r="AD86" i="42"/>
  <c r="AD87" i="42"/>
  <c r="AD88" i="42"/>
  <c r="AD89" i="42"/>
  <c r="AD90" i="42"/>
  <c r="AD91" i="42"/>
  <c r="AD92" i="42"/>
  <c r="AD93" i="42"/>
  <c r="AD94" i="42"/>
  <c r="AD95" i="42"/>
  <c r="AD96" i="42"/>
  <c r="AD97" i="42"/>
  <c r="AD98" i="42"/>
  <c r="AD99" i="42"/>
  <c r="AD100" i="42"/>
  <c r="AD101" i="42"/>
  <c r="AD102" i="42"/>
  <c r="AD103" i="42"/>
  <c r="AD104" i="42"/>
  <c r="AD105" i="42"/>
  <c r="AD106" i="42"/>
  <c r="AD107" i="42"/>
  <c r="AD108" i="42"/>
  <c r="AD109" i="42"/>
  <c r="AD110" i="42"/>
  <c r="AD111" i="42"/>
  <c r="AD112" i="42"/>
  <c r="AD113" i="42"/>
  <c r="AD114" i="42"/>
  <c r="AD115" i="42"/>
  <c r="AD116" i="42"/>
  <c r="AD117" i="42"/>
  <c r="AD118" i="42"/>
  <c r="AD119" i="42"/>
  <c r="AD120" i="42"/>
  <c r="AD121" i="42"/>
  <c r="AD122" i="42"/>
  <c r="AD123" i="42"/>
  <c r="AD124" i="42"/>
  <c r="AD125" i="42"/>
  <c r="AD126" i="42"/>
  <c r="AD127" i="42"/>
  <c r="AD128" i="42"/>
  <c r="AD129" i="42"/>
  <c r="AD130" i="42"/>
  <c r="AD131" i="42"/>
  <c r="AD132" i="42"/>
  <c r="AD133" i="42"/>
  <c r="AD134" i="42"/>
  <c r="AD135" i="42"/>
  <c r="AD136" i="42"/>
  <c r="AD137" i="42"/>
  <c r="AD138" i="42"/>
  <c r="AD139" i="42"/>
  <c r="AD140" i="42"/>
  <c r="AD141" i="42"/>
  <c r="AD142" i="42"/>
  <c r="AD143" i="42"/>
  <c r="AD144" i="42"/>
  <c r="AD145" i="42"/>
  <c r="AD146" i="42"/>
  <c r="AD147" i="42"/>
  <c r="AD148" i="42"/>
  <c r="AD149" i="42"/>
  <c r="AD150" i="42"/>
  <c r="AD151" i="42"/>
  <c r="AD152" i="42"/>
  <c r="AD153" i="42"/>
  <c r="AD154" i="42"/>
  <c r="AD155" i="42"/>
  <c r="AD156" i="42"/>
  <c r="AD157" i="42"/>
  <c r="AD158" i="42"/>
  <c r="AD159" i="42"/>
  <c r="AD160" i="42"/>
  <c r="AD161" i="42"/>
  <c r="AD162" i="42"/>
  <c r="AD163" i="42"/>
  <c r="AD164" i="42"/>
  <c r="AD165" i="42"/>
  <c r="AD166" i="42"/>
  <c r="AD167" i="42"/>
  <c r="AD168" i="42"/>
  <c r="AD169" i="42"/>
  <c r="AD170" i="42"/>
  <c r="AD171" i="42"/>
  <c r="AD172" i="42"/>
  <c r="AD173" i="42"/>
  <c r="AD174" i="42"/>
  <c r="AD175" i="42"/>
  <c r="AD176" i="42"/>
  <c r="AD177" i="42"/>
  <c r="AD178" i="42"/>
  <c r="AD179" i="42"/>
  <c r="AD180" i="42"/>
  <c r="AD181" i="42"/>
  <c r="AD182" i="42"/>
  <c r="AD183" i="42"/>
  <c r="AD184" i="42"/>
  <c r="AD185" i="42"/>
  <c r="AD186" i="42"/>
  <c r="AD187" i="42"/>
  <c r="AD188" i="42"/>
  <c r="AD189" i="42"/>
  <c r="AD190" i="42"/>
  <c r="AD191" i="42"/>
  <c r="AD192" i="42"/>
  <c r="AD193" i="42"/>
  <c r="AD194" i="42"/>
  <c r="AD195" i="42"/>
  <c r="AD196" i="42"/>
  <c r="AD197" i="42"/>
  <c r="AD198" i="42"/>
  <c r="AD199" i="42"/>
  <c r="AD200" i="42"/>
  <c r="AD201" i="42"/>
  <c r="AD202" i="42"/>
  <c r="AD203" i="42"/>
  <c r="AD204" i="42"/>
  <c r="AD205" i="42"/>
  <c r="AD206" i="42"/>
  <c r="AD207" i="42"/>
  <c r="AD208" i="42"/>
  <c r="AD209" i="42"/>
  <c r="AD210" i="42"/>
  <c r="AD211" i="42"/>
  <c r="AD212" i="42"/>
  <c r="AD2" i="42"/>
  <c r="AB3" i="42"/>
  <c r="AB4" i="42"/>
  <c r="AB5" i="42"/>
  <c r="AB6" i="42"/>
  <c r="AB7" i="42"/>
  <c r="AB8" i="42"/>
  <c r="AB9" i="42"/>
  <c r="AB10" i="42"/>
  <c r="AB11" i="42"/>
  <c r="AB12" i="42"/>
  <c r="AB13" i="42"/>
  <c r="AB14" i="42"/>
  <c r="AB15" i="42"/>
  <c r="AB16" i="42"/>
  <c r="AB17" i="42"/>
  <c r="AB18" i="42"/>
  <c r="AB19" i="42"/>
  <c r="AB20" i="42"/>
  <c r="AB21" i="42"/>
  <c r="AB22" i="42"/>
  <c r="AB23" i="42"/>
  <c r="AB24" i="42"/>
  <c r="AB25" i="42"/>
  <c r="AB26" i="42"/>
  <c r="AB27" i="42"/>
  <c r="AB28" i="42"/>
  <c r="AB29" i="42"/>
  <c r="AB30" i="42"/>
  <c r="AB31" i="42"/>
  <c r="AB32" i="42"/>
  <c r="AB33" i="42"/>
  <c r="AB34" i="42"/>
  <c r="AB35" i="42"/>
  <c r="AB36" i="42"/>
  <c r="AB37" i="42"/>
  <c r="AB38" i="42"/>
  <c r="AB39" i="42"/>
  <c r="AB40" i="42"/>
  <c r="AB41" i="42"/>
  <c r="AB42" i="42"/>
  <c r="AB43" i="42"/>
  <c r="AB44" i="42"/>
  <c r="AB45" i="42"/>
  <c r="AB46" i="42"/>
  <c r="AB47" i="42"/>
  <c r="AB48" i="42"/>
  <c r="AB49" i="42"/>
  <c r="AB50" i="42"/>
  <c r="AB51" i="42"/>
  <c r="AB52" i="42"/>
  <c r="AB53" i="42"/>
  <c r="AB54" i="42"/>
  <c r="AB55" i="42"/>
  <c r="AB56" i="42"/>
  <c r="AB57" i="42"/>
  <c r="AB58" i="42"/>
  <c r="AB59" i="42"/>
  <c r="AB60" i="42"/>
  <c r="AB61" i="42"/>
  <c r="AB62" i="42"/>
  <c r="AB63" i="42"/>
  <c r="AB64" i="42"/>
  <c r="AB65" i="42"/>
  <c r="AB66" i="42"/>
  <c r="AB67" i="42"/>
  <c r="AB68" i="42"/>
  <c r="AB69" i="42"/>
  <c r="AB70" i="42"/>
  <c r="AB71" i="42"/>
  <c r="AB72" i="42"/>
  <c r="AB73" i="42"/>
  <c r="AB74" i="42"/>
  <c r="AB75" i="42"/>
  <c r="AB76" i="42"/>
  <c r="AB77" i="42"/>
  <c r="AB78" i="42"/>
  <c r="AB79" i="42"/>
  <c r="AB80" i="42"/>
  <c r="AB81" i="42"/>
  <c r="AB82" i="42"/>
  <c r="AB83" i="42"/>
  <c r="AB84" i="42"/>
  <c r="AB85" i="42"/>
  <c r="AB86" i="42"/>
  <c r="AB87" i="42"/>
  <c r="AB88" i="42"/>
  <c r="AB89" i="42"/>
  <c r="AB90" i="42"/>
  <c r="AB91" i="42"/>
  <c r="AB92" i="42"/>
  <c r="AB93" i="42"/>
  <c r="AB94" i="42"/>
  <c r="AB95" i="42"/>
  <c r="AB96" i="42"/>
  <c r="AB97" i="42"/>
  <c r="AB98" i="42"/>
  <c r="AB99" i="42"/>
  <c r="AB100" i="42"/>
  <c r="AB101" i="42"/>
  <c r="AB102" i="42"/>
  <c r="AB103" i="42"/>
  <c r="AB104" i="42"/>
  <c r="AB105" i="42"/>
  <c r="AB106" i="42"/>
  <c r="AB107" i="42"/>
  <c r="AB108" i="42"/>
  <c r="AB109" i="42"/>
  <c r="AB110" i="42"/>
  <c r="AB111" i="42"/>
  <c r="AB112" i="42"/>
  <c r="AB113" i="42"/>
  <c r="AB114" i="42"/>
  <c r="AB115" i="42"/>
  <c r="AB116" i="42"/>
  <c r="AB117" i="42"/>
  <c r="AB118" i="42"/>
  <c r="AB119" i="42"/>
  <c r="AB120" i="42"/>
  <c r="AB121" i="42"/>
  <c r="AB122" i="42"/>
  <c r="AB123" i="42"/>
  <c r="AB124" i="42"/>
  <c r="AB125" i="42"/>
  <c r="AB126" i="42"/>
  <c r="AB127" i="42"/>
  <c r="AB128" i="42"/>
  <c r="AB129" i="42"/>
  <c r="AB130" i="42"/>
  <c r="AB131" i="42"/>
  <c r="AB132" i="42"/>
  <c r="AB133" i="42"/>
  <c r="AB134" i="42"/>
  <c r="AB135" i="42"/>
  <c r="AB136" i="42"/>
  <c r="AB137" i="42"/>
  <c r="AB138" i="42"/>
  <c r="AB139" i="42"/>
  <c r="AB140" i="42"/>
  <c r="AB141" i="42"/>
  <c r="AB142" i="42"/>
  <c r="AB143" i="42"/>
  <c r="AB144" i="42"/>
  <c r="AB145" i="42"/>
  <c r="AB146" i="42"/>
  <c r="AB147" i="42"/>
  <c r="AB148" i="42"/>
  <c r="AB149" i="42"/>
  <c r="AB150" i="42"/>
  <c r="AB151" i="42"/>
  <c r="AB152" i="42"/>
  <c r="AB153" i="42"/>
  <c r="AB154" i="42"/>
  <c r="AB155" i="42"/>
  <c r="AB156" i="42"/>
  <c r="AB157" i="42"/>
  <c r="AB158" i="42"/>
  <c r="AB159" i="42"/>
  <c r="AB160" i="42"/>
  <c r="AB161" i="42"/>
  <c r="AB162" i="42"/>
  <c r="AB163" i="42"/>
  <c r="AB164" i="42"/>
  <c r="AB165" i="42"/>
  <c r="AB166" i="42"/>
  <c r="AB167" i="42"/>
  <c r="AB168" i="42"/>
  <c r="AB169" i="42"/>
  <c r="AB170" i="42"/>
  <c r="AB171" i="42"/>
  <c r="AB172" i="42"/>
  <c r="AB173" i="42"/>
  <c r="AB174" i="42"/>
  <c r="AB175" i="42"/>
  <c r="AB176" i="42"/>
  <c r="AB177" i="42"/>
  <c r="AB178" i="42"/>
  <c r="AB179" i="42"/>
  <c r="AB180" i="42"/>
  <c r="AB181" i="42"/>
  <c r="AB182" i="42"/>
  <c r="AB183" i="42"/>
  <c r="AB184" i="42"/>
  <c r="AB185" i="42"/>
  <c r="AB186" i="42"/>
  <c r="AB187" i="42"/>
  <c r="AB188" i="42"/>
  <c r="AB189" i="42"/>
  <c r="AB190" i="42"/>
  <c r="AB191" i="42"/>
  <c r="AB192" i="42"/>
  <c r="AB193" i="42"/>
  <c r="AB194" i="42"/>
  <c r="AB195" i="42"/>
  <c r="AB196" i="42"/>
  <c r="AB197" i="42"/>
  <c r="AB198" i="42"/>
  <c r="AB199" i="42"/>
  <c r="AB200" i="42"/>
  <c r="AB201" i="42"/>
  <c r="AB202" i="42"/>
  <c r="AB203" i="42"/>
  <c r="AB204" i="42"/>
  <c r="AB205" i="42"/>
  <c r="AB206" i="42"/>
  <c r="AB207" i="42"/>
  <c r="AB208" i="42"/>
  <c r="AB209" i="42"/>
  <c r="AB210" i="42"/>
  <c r="AB211" i="42"/>
  <c r="AB212" i="42"/>
  <c r="AB2" i="42"/>
  <c r="R3" i="42"/>
  <c r="R4" i="42"/>
  <c r="R5" i="42"/>
  <c r="R6" i="42"/>
  <c r="R7" i="42"/>
  <c r="R8" i="42"/>
  <c r="R9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" i="42"/>
  <c r="AD3" i="41"/>
  <c r="AD4" i="41"/>
  <c r="AD5" i="41"/>
  <c r="AD6" i="41"/>
  <c r="AD7" i="41"/>
  <c r="AD8" i="41"/>
  <c r="AD9" i="41"/>
  <c r="AD10" i="41"/>
  <c r="AD11" i="41"/>
  <c r="AD12" i="41"/>
  <c r="AD13" i="41"/>
  <c r="AD14" i="41"/>
  <c r="AD15" i="41"/>
  <c r="AD16" i="41"/>
  <c r="AD17" i="41"/>
  <c r="AD18" i="41"/>
  <c r="AD19" i="41"/>
  <c r="AD20" i="41"/>
  <c r="AD21" i="41"/>
  <c r="AD22" i="41"/>
  <c r="AD23" i="41"/>
  <c r="AD24" i="41"/>
  <c r="AD25" i="41"/>
  <c r="AD26" i="41"/>
  <c r="AD27" i="41"/>
  <c r="AD28" i="41"/>
  <c r="AD29" i="41"/>
  <c r="AD30" i="41"/>
  <c r="AD31" i="41"/>
  <c r="AD32" i="41"/>
  <c r="AD33" i="41"/>
  <c r="AD34" i="41"/>
  <c r="AD35" i="41"/>
  <c r="AD36" i="41"/>
  <c r="AD37" i="41"/>
  <c r="AD38" i="41"/>
  <c r="AD39" i="41"/>
  <c r="AD40" i="41"/>
  <c r="AD41" i="41"/>
  <c r="AD42" i="41"/>
  <c r="AD43" i="41"/>
  <c r="AD44" i="41"/>
  <c r="AD45" i="41"/>
  <c r="AD46" i="41"/>
  <c r="AD47" i="41"/>
  <c r="AD48" i="41"/>
  <c r="AD49" i="41"/>
  <c r="AD50" i="41"/>
  <c r="AD51" i="41"/>
  <c r="AD52" i="41"/>
  <c r="AD53" i="41"/>
  <c r="AD54" i="41"/>
  <c r="AD55" i="41"/>
  <c r="AD56" i="41"/>
  <c r="AD57" i="41"/>
  <c r="AD58" i="41"/>
  <c r="AD59" i="41"/>
  <c r="AD60" i="41"/>
  <c r="AD61" i="41"/>
  <c r="AD62" i="41"/>
  <c r="AD63" i="41"/>
  <c r="AD64" i="41"/>
  <c r="AD65" i="41"/>
  <c r="AD66" i="41"/>
  <c r="AD67" i="41"/>
  <c r="AD68" i="41"/>
  <c r="AD69" i="41"/>
  <c r="AD70" i="41"/>
  <c r="AD71" i="41"/>
  <c r="AD72" i="41"/>
  <c r="AD73" i="41"/>
  <c r="AD74" i="41"/>
  <c r="AD75" i="41"/>
  <c r="AD76" i="41"/>
  <c r="AD77" i="41"/>
  <c r="AD78" i="41"/>
  <c r="AD79" i="41"/>
  <c r="AD80" i="41"/>
  <c r="AD81" i="41"/>
  <c r="AD82" i="41"/>
  <c r="AD83" i="41"/>
  <c r="AD84" i="41"/>
  <c r="AD85" i="41"/>
  <c r="AD86" i="41"/>
  <c r="AD87" i="41"/>
  <c r="AD88" i="41"/>
  <c r="AD89" i="41"/>
  <c r="AD90" i="41"/>
  <c r="AD91" i="41"/>
  <c r="AD92" i="41"/>
  <c r="AD93" i="41"/>
  <c r="AD94" i="41"/>
  <c r="AD95" i="41"/>
  <c r="AD96" i="41"/>
  <c r="AD97" i="41"/>
  <c r="AD98" i="41"/>
  <c r="AD99" i="41"/>
  <c r="AD100" i="41"/>
  <c r="AD101" i="41"/>
  <c r="AD102" i="41"/>
  <c r="AD103" i="41"/>
  <c r="AD104" i="41"/>
  <c r="AD105" i="41"/>
  <c r="AD106" i="41"/>
  <c r="AD107" i="41"/>
  <c r="AD108" i="41"/>
  <c r="AD109" i="41"/>
  <c r="AD110" i="41"/>
  <c r="AD111" i="41"/>
  <c r="AD112" i="41"/>
  <c r="AD113" i="41"/>
  <c r="AD114" i="41"/>
  <c r="AD115" i="41"/>
  <c r="AD116" i="41"/>
  <c r="AD117" i="41"/>
  <c r="AD118" i="41"/>
  <c r="AD119" i="41"/>
  <c r="AD120" i="41"/>
  <c r="AD121" i="41"/>
  <c r="AD122" i="41"/>
  <c r="AD123" i="41"/>
  <c r="AD124" i="41"/>
  <c r="AD125" i="41"/>
  <c r="AD126" i="41"/>
  <c r="AD127" i="41"/>
  <c r="AD128" i="41"/>
  <c r="AD129" i="41"/>
  <c r="AD130" i="41"/>
  <c r="AD131" i="41"/>
  <c r="AD132" i="41"/>
  <c r="AD133" i="41"/>
  <c r="AD134" i="41"/>
  <c r="AD135" i="41"/>
  <c r="AD136" i="41"/>
  <c r="AD137" i="41"/>
  <c r="AD138" i="41"/>
  <c r="AD139" i="41"/>
  <c r="AD140" i="41"/>
  <c r="AD141" i="41"/>
  <c r="AD142" i="41"/>
  <c r="AD143" i="41"/>
  <c r="AD144" i="41"/>
  <c r="AD145" i="41"/>
  <c r="AD146" i="41"/>
  <c r="AD147" i="41"/>
  <c r="AD148" i="41"/>
  <c r="AD149" i="41"/>
  <c r="AD150" i="41"/>
  <c r="AD151" i="41"/>
  <c r="AD152" i="41"/>
  <c r="AD153" i="41"/>
  <c r="AD154" i="41"/>
  <c r="AD155" i="41"/>
  <c r="AD156" i="41"/>
  <c r="AD157" i="41"/>
  <c r="AD158" i="41"/>
  <c r="AD159" i="41"/>
  <c r="AD160" i="41"/>
  <c r="AD161" i="41"/>
  <c r="AD162" i="41"/>
  <c r="AD163" i="41"/>
  <c r="AD164" i="41"/>
  <c r="AD165" i="41"/>
  <c r="AD166" i="41"/>
  <c r="AD167" i="41"/>
  <c r="AD168" i="41"/>
  <c r="AD169" i="41"/>
  <c r="AD170" i="41"/>
  <c r="AD171" i="41"/>
  <c r="AD172" i="41"/>
  <c r="AD173" i="41"/>
  <c r="AD174" i="41"/>
  <c r="AD175" i="41"/>
  <c r="AD176" i="41"/>
  <c r="AD177" i="41"/>
  <c r="AD178" i="41"/>
  <c r="AD179" i="41"/>
  <c r="AD180" i="41"/>
  <c r="AD181" i="41"/>
  <c r="AD182" i="41"/>
  <c r="AD183" i="41"/>
  <c r="AD184" i="41"/>
  <c r="AD185" i="41"/>
  <c r="AD186" i="41"/>
  <c r="AD187" i="41"/>
  <c r="AD188" i="41"/>
  <c r="AD189" i="41"/>
  <c r="AD190" i="41"/>
  <c r="AD191" i="41"/>
  <c r="AD192" i="41"/>
  <c r="AD193" i="41"/>
  <c r="AD194" i="41"/>
  <c r="AD195" i="41"/>
  <c r="AD196" i="41"/>
  <c r="AD197" i="41"/>
  <c r="AD198" i="41"/>
  <c r="AD199" i="41"/>
  <c r="AD200" i="41"/>
  <c r="AD201" i="41"/>
  <c r="AD202" i="41"/>
  <c r="AD203" i="41"/>
  <c r="AD204" i="41"/>
  <c r="AD205" i="41"/>
  <c r="AD206" i="41"/>
  <c r="AD207" i="41"/>
  <c r="AD208" i="41"/>
  <c r="AD209" i="41"/>
  <c r="AD210" i="41"/>
  <c r="AD211" i="41"/>
  <c r="AD212" i="41"/>
  <c r="AD213" i="41"/>
  <c r="AD214" i="41"/>
  <c r="AD215" i="41"/>
  <c r="AD216" i="41"/>
  <c r="AD217" i="41"/>
  <c r="AD218" i="41"/>
  <c r="AD219" i="41"/>
  <c r="AD220" i="41"/>
  <c r="AD221" i="41"/>
  <c r="AD222" i="41"/>
  <c r="AD223" i="41"/>
  <c r="AD224" i="41"/>
  <c r="AD225" i="41"/>
  <c r="AD226" i="41"/>
  <c r="AD227" i="41"/>
  <c r="AD228" i="41"/>
  <c r="AD229" i="41"/>
  <c r="AD230" i="41"/>
  <c r="AD231" i="41"/>
  <c r="AD232" i="41"/>
  <c r="AD233" i="41"/>
  <c r="AD234" i="41"/>
  <c r="AD235" i="41"/>
  <c r="AD236" i="41"/>
  <c r="AD237" i="41"/>
  <c r="AD238" i="41"/>
  <c r="AD239" i="41"/>
  <c r="AD240" i="41"/>
  <c r="AD241" i="41"/>
  <c r="AD242" i="41"/>
  <c r="AD243" i="41"/>
  <c r="AD244" i="41"/>
  <c r="AD245" i="41"/>
  <c r="AD246" i="41"/>
  <c r="AD247" i="41"/>
  <c r="AD248" i="41"/>
  <c r="AD249" i="41"/>
  <c r="AD250" i="41"/>
  <c r="AD251" i="41"/>
  <c r="AD252" i="41"/>
  <c r="AD253" i="41"/>
  <c r="AD254" i="41"/>
  <c r="AD255" i="41"/>
  <c r="AD256" i="41"/>
  <c r="AD257" i="41"/>
  <c r="AD258" i="41"/>
  <c r="AD259" i="41"/>
  <c r="AD260" i="41"/>
  <c r="AD261" i="41"/>
  <c r="AD262" i="41"/>
  <c r="AD263" i="41"/>
  <c r="AD264" i="41"/>
  <c r="AD265" i="41"/>
  <c r="AD266" i="41"/>
  <c r="AD267" i="41"/>
  <c r="AD268" i="41"/>
  <c r="AD269" i="41"/>
  <c r="AD270" i="41"/>
  <c r="AD271" i="41"/>
  <c r="AD272" i="41"/>
  <c r="AD273" i="41"/>
  <c r="AD274" i="41"/>
  <c r="AD275" i="41"/>
  <c r="AD276" i="41"/>
  <c r="AD277" i="41"/>
  <c r="AD278" i="41"/>
  <c r="AD279" i="41"/>
  <c r="AD280" i="41"/>
  <c r="AD281" i="41"/>
  <c r="AD282" i="41"/>
  <c r="AD283" i="41"/>
  <c r="AD284" i="41"/>
  <c r="AD285" i="41"/>
  <c r="AD286" i="41"/>
  <c r="AD287" i="41"/>
  <c r="AD288" i="41"/>
  <c r="AD289" i="41"/>
  <c r="AD290" i="41"/>
  <c r="AD291" i="41"/>
  <c r="AD292" i="41"/>
  <c r="AD293" i="41"/>
  <c r="AD294" i="41"/>
  <c r="AD295" i="41"/>
  <c r="AD296" i="41"/>
  <c r="AD297" i="41"/>
  <c r="AD298" i="41"/>
  <c r="AD299" i="41"/>
  <c r="AD300" i="41"/>
  <c r="AD301" i="41"/>
  <c r="AD302" i="41"/>
  <c r="AD303" i="41"/>
  <c r="AD304" i="41"/>
  <c r="AD305" i="41"/>
  <c r="AD306" i="41"/>
  <c r="AD307" i="41"/>
  <c r="AD308" i="41"/>
  <c r="AD309" i="41"/>
  <c r="AD310" i="41"/>
  <c r="AD311" i="41"/>
  <c r="AD312" i="41"/>
  <c r="AD313" i="41"/>
  <c r="AD314" i="41"/>
  <c r="AD315" i="41"/>
  <c r="AD316" i="41"/>
  <c r="AD317" i="41"/>
  <c r="AD318" i="41"/>
  <c r="AD319" i="41"/>
  <c r="AD320" i="41"/>
  <c r="AD321" i="41"/>
  <c r="AD322" i="41"/>
  <c r="AD323" i="41"/>
  <c r="AD324" i="41"/>
  <c r="AD325" i="41"/>
  <c r="AD326" i="41"/>
  <c r="AD327" i="41"/>
  <c r="AD328" i="41"/>
  <c r="AD329" i="41"/>
  <c r="AD330" i="41"/>
  <c r="AD331" i="41"/>
  <c r="AD332" i="41"/>
  <c r="AD333" i="41"/>
  <c r="AD334" i="41"/>
  <c r="AD335" i="41"/>
  <c r="AD336" i="41"/>
  <c r="AD337" i="41"/>
  <c r="AD338" i="41"/>
  <c r="AD339" i="41"/>
  <c r="AD340" i="41"/>
  <c r="AD341" i="41"/>
  <c r="AD342" i="41"/>
  <c r="AD343" i="41"/>
  <c r="AD344" i="41"/>
  <c r="AD345" i="41"/>
  <c r="AD346" i="41"/>
  <c r="AD347" i="41"/>
  <c r="AD348" i="41"/>
  <c r="AD349" i="41"/>
  <c r="AD350" i="41"/>
  <c r="AD351" i="41"/>
  <c r="AD352" i="41"/>
  <c r="AD353" i="41"/>
  <c r="AD354" i="41"/>
  <c r="AD355" i="41"/>
  <c r="AD356" i="41"/>
  <c r="AD357" i="41"/>
  <c r="AD358" i="41"/>
  <c r="AD359" i="41"/>
  <c r="AD360" i="41"/>
  <c r="AD361" i="41"/>
  <c r="AD362" i="41"/>
  <c r="AD363" i="41"/>
  <c r="AD364" i="41"/>
  <c r="AD365" i="41"/>
  <c r="AD366" i="41"/>
  <c r="AD367" i="41"/>
  <c r="AD368" i="41"/>
  <c r="AD369" i="41"/>
  <c r="AD370" i="41"/>
  <c r="AD371" i="41"/>
  <c r="AD372" i="41"/>
  <c r="AD373" i="41"/>
  <c r="AD374" i="41"/>
  <c r="AD375" i="41"/>
  <c r="AD376" i="41"/>
  <c r="AD377" i="41"/>
  <c r="AD378" i="41"/>
  <c r="AD379" i="41"/>
  <c r="AD380" i="41"/>
  <c r="AD381" i="41"/>
  <c r="AD382" i="41"/>
  <c r="AD383" i="41"/>
  <c r="AD384" i="41"/>
  <c r="AD385" i="41"/>
  <c r="AD386" i="41"/>
  <c r="AD387" i="41"/>
  <c r="AD388" i="41"/>
  <c r="AD389" i="41"/>
  <c r="AD390" i="41"/>
  <c r="AD391" i="41"/>
  <c r="AD392" i="41"/>
  <c r="AD393" i="41"/>
  <c r="AD394" i="41"/>
  <c r="AD395" i="41"/>
  <c r="AD396" i="41"/>
  <c r="AD397" i="41"/>
  <c r="AD398" i="41"/>
  <c r="AD399" i="41"/>
  <c r="AD400" i="41"/>
  <c r="AD401" i="41"/>
  <c r="AD402" i="41"/>
  <c r="AD403" i="41"/>
  <c r="AD404" i="41"/>
  <c r="AD405" i="41"/>
  <c r="AD406" i="41"/>
  <c r="AD407" i="41"/>
  <c r="AD408" i="41"/>
  <c r="AD409" i="41"/>
  <c r="AD410" i="41"/>
  <c r="AD411" i="41"/>
  <c r="AD412" i="41"/>
  <c r="AD413" i="41"/>
  <c r="AD414" i="41"/>
  <c r="AD415" i="41"/>
  <c r="AD416" i="41"/>
  <c r="AD417" i="41"/>
  <c r="AD418" i="41"/>
  <c r="AD419" i="41"/>
  <c r="AD420" i="41"/>
  <c r="AD421" i="41"/>
  <c r="AD422" i="41"/>
  <c r="AD423" i="41"/>
  <c r="AD424" i="41"/>
  <c r="AD425" i="41"/>
  <c r="AD426" i="41"/>
  <c r="AD427" i="41"/>
  <c r="AD428" i="41"/>
  <c r="AD429" i="41"/>
  <c r="AD430" i="41"/>
  <c r="AD431" i="41"/>
  <c r="AD432" i="41"/>
  <c r="AD433" i="41"/>
  <c r="AD434" i="41"/>
  <c r="AD435" i="41"/>
  <c r="AD436" i="41"/>
  <c r="AD437" i="41"/>
  <c r="AD438" i="41"/>
  <c r="AD439" i="41"/>
  <c r="AD440" i="41"/>
  <c r="AD441" i="41"/>
  <c r="AD442" i="41"/>
  <c r="AD443" i="41"/>
  <c r="AD444" i="41"/>
  <c r="AD445" i="41"/>
  <c r="AD446" i="41"/>
  <c r="AD447" i="41"/>
  <c r="AD448" i="41"/>
  <c r="AD449" i="41"/>
  <c r="AD450" i="41"/>
  <c r="AD451" i="41"/>
  <c r="AD452" i="41"/>
  <c r="AD453" i="41"/>
  <c r="AD454" i="41"/>
  <c r="AD455" i="41"/>
  <c r="AD456" i="41"/>
  <c r="AD457" i="41"/>
  <c r="AD458" i="41"/>
  <c r="AD459" i="41"/>
  <c r="AD460" i="41"/>
  <c r="AD461" i="41"/>
  <c r="AD462" i="41"/>
  <c r="AD463" i="41"/>
  <c r="AD464" i="41"/>
  <c r="AD465" i="41"/>
  <c r="AD466" i="41"/>
  <c r="AD467" i="41"/>
  <c r="AD468" i="41"/>
  <c r="AD469" i="41"/>
  <c r="AD470" i="41"/>
  <c r="AD471" i="41"/>
  <c r="AD472" i="41"/>
  <c r="AD473" i="41"/>
  <c r="AD474" i="41"/>
  <c r="AD475" i="41"/>
  <c r="AD476" i="41"/>
  <c r="AD477" i="41"/>
  <c r="AD478" i="41"/>
  <c r="AD479" i="41"/>
  <c r="AD480" i="41"/>
  <c r="AD481" i="41"/>
  <c r="AD482" i="41"/>
  <c r="AD483" i="41"/>
  <c r="AD484" i="41"/>
  <c r="AD485" i="41"/>
  <c r="AD486" i="41"/>
  <c r="AD487" i="41"/>
  <c r="AD488" i="41"/>
  <c r="AD489" i="41"/>
  <c r="AD490" i="41"/>
  <c r="AD2" i="41"/>
  <c r="AL3" i="41"/>
  <c r="AL4" i="41"/>
  <c r="AL5" i="41"/>
  <c r="AL6" i="41"/>
  <c r="AL7" i="41"/>
  <c r="AL8" i="41"/>
  <c r="AL9" i="41"/>
  <c r="AL10" i="41"/>
  <c r="AL11" i="41"/>
  <c r="AL12" i="41"/>
  <c r="AL13" i="41"/>
  <c r="AL14" i="41"/>
  <c r="AL15" i="41"/>
  <c r="AL16" i="41"/>
  <c r="AL17" i="41"/>
  <c r="AL18" i="41"/>
  <c r="AL19" i="41"/>
  <c r="AL20" i="41"/>
  <c r="AL21" i="41"/>
  <c r="AL22" i="41"/>
  <c r="AL23" i="41"/>
  <c r="AL24" i="41"/>
  <c r="AL25" i="41"/>
  <c r="AL26" i="41"/>
  <c r="AL27" i="41"/>
  <c r="AL28" i="41"/>
  <c r="AL29" i="41"/>
  <c r="AL30" i="41"/>
  <c r="AL31" i="41"/>
  <c r="AL32" i="41"/>
  <c r="AL33" i="41"/>
  <c r="AL34" i="41"/>
  <c r="AL35" i="41"/>
  <c r="AL36" i="41"/>
  <c r="AL37" i="41"/>
  <c r="AL38" i="41"/>
  <c r="AL39" i="41"/>
  <c r="AL40" i="41"/>
  <c r="AL41" i="41"/>
  <c r="AL42" i="41"/>
  <c r="AL43" i="41"/>
  <c r="AL44" i="41"/>
  <c r="AL45" i="41"/>
  <c r="AL46" i="41"/>
  <c r="AL47" i="41"/>
  <c r="AL48" i="41"/>
  <c r="AL49" i="41"/>
  <c r="AL50" i="41"/>
  <c r="AL51" i="41"/>
  <c r="AL52" i="41"/>
  <c r="AL53" i="41"/>
  <c r="AL54" i="41"/>
  <c r="AL55" i="41"/>
  <c r="AL56" i="41"/>
  <c r="AL57" i="41"/>
  <c r="AL58" i="41"/>
  <c r="AL59" i="41"/>
  <c r="AL60" i="41"/>
  <c r="AL61" i="41"/>
  <c r="AL62" i="41"/>
  <c r="AL63" i="41"/>
  <c r="AL64" i="41"/>
  <c r="AL65" i="41"/>
  <c r="AL66" i="41"/>
  <c r="AL67" i="41"/>
  <c r="AL68" i="41"/>
  <c r="AL69" i="41"/>
  <c r="AL70" i="41"/>
  <c r="AL71" i="41"/>
  <c r="AL72" i="41"/>
  <c r="AL73" i="41"/>
  <c r="AL74" i="41"/>
  <c r="AL75" i="41"/>
  <c r="AL76" i="41"/>
  <c r="AL77" i="41"/>
  <c r="AL78" i="41"/>
  <c r="AL79" i="41"/>
  <c r="AL80" i="41"/>
  <c r="AL81" i="41"/>
  <c r="AL82" i="41"/>
  <c r="AL83" i="41"/>
  <c r="AL84" i="41"/>
  <c r="AL85" i="41"/>
  <c r="AL86" i="41"/>
  <c r="AL87" i="41"/>
  <c r="AL88" i="41"/>
  <c r="AL89" i="41"/>
  <c r="AL90" i="41"/>
  <c r="AL91" i="41"/>
  <c r="AL92" i="41"/>
  <c r="AL93" i="41"/>
  <c r="AL94" i="41"/>
  <c r="AL95" i="41"/>
  <c r="AL96" i="41"/>
  <c r="AL97" i="41"/>
  <c r="AL98" i="41"/>
  <c r="AL99" i="41"/>
  <c r="AL100" i="41"/>
  <c r="AL101" i="41"/>
  <c r="AL102" i="41"/>
  <c r="AL103" i="41"/>
  <c r="AL104" i="41"/>
  <c r="AL105" i="41"/>
  <c r="AL106" i="41"/>
  <c r="AL107" i="41"/>
  <c r="AL108" i="41"/>
  <c r="AL109" i="41"/>
  <c r="AL110" i="41"/>
  <c r="AL111" i="41"/>
  <c r="AL112" i="41"/>
  <c r="AL113" i="41"/>
  <c r="AL114" i="41"/>
  <c r="AL115" i="41"/>
  <c r="AL116" i="41"/>
  <c r="AL117" i="41"/>
  <c r="AL118" i="41"/>
  <c r="AL119" i="41"/>
  <c r="AL120" i="41"/>
  <c r="AL121" i="41"/>
  <c r="AL122" i="41"/>
  <c r="AL123" i="41"/>
  <c r="AL124" i="41"/>
  <c r="AL125" i="41"/>
  <c r="AL126" i="41"/>
  <c r="AL127" i="41"/>
  <c r="AL128" i="41"/>
  <c r="AL129" i="41"/>
  <c r="AL130" i="41"/>
  <c r="AL131" i="41"/>
  <c r="AL132" i="41"/>
  <c r="AL133" i="41"/>
  <c r="AL134" i="41"/>
  <c r="AL135" i="41"/>
  <c r="AL136" i="41"/>
  <c r="AL137" i="41"/>
  <c r="AL138" i="41"/>
  <c r="AL139" i="41"/>
  <c r="AL140" i="41"/>
  <c r="AL141" i="41"/>
  <c r="AL142" i="41"/>
  <c r="AL143" i="41"/>
  <c r="AL144" i="41"/>
  <c r="AL145" i="41"/>
  <c r="AL146" i="41"/>
  <c r="AL147" i="41"/>
  <c r="AL148" i="41"/>
  <c r="AL149" i="41"/>
  <c r="AL150" i="41"/>
  <c r="AL151" i="41"/>
  <c r="AL152" i="41"/>
  <c r="AL153" i="41"/>
  <c r="AL154" i="41"/>
  <c r="AL155" i="41"/>
  <c r="AL156" i="41"/>
  <c r="AL157" i="41"/>
  <c r="AL158" i="41"/>
  <c r="AL159" i="41"/>
  <c r="AL160" i="41"/>
  <c r="AL161" i="41"/>
  <c r="AL162" i="41"/>
  <c r="AL163" i="41"/>
  <c r="AL164" i="41"/>
  <c r="AL165" i="41"/>
  <c r="AL166" i="41"/>
  <c r="AL167" i="41"/>
  <c r="AL168" i="41"/>
  <c r="AL169" i="41"/>
  <c r="AL170" i="41"/>
  <c r="AL171" i="41"/>
  <c r="AL172" i="41"/>
  <c r="AL173" i="41"/>
  <c r="AL174" i="41"/>
  <c r="AL175" i="41"/>
  <c r="AL176" i="41"/>
  <c r="AL177" i="41"/>
  <c r="AL178" i="41"/>
  <c r="AL179" i="41"/>
  <c r="AL180" i="41"/>
  <c r="AL181" i="41"/>
  <c r="AL182" i="41"/>
  <c r="AL183" i="41"/>
  <c r="AL184" i="41"/>
  <c r="AL185" i="41"/>
  <c r="AL186" i="41"/>
  <c r="AL187" i="41"/>
  <c r="AL188" i="41"/>
  <c r="AL189" i="41"/>
  <c r="AL190" i="41"/>
  <c r="AL191" i="41"/>
  <c r="AL192" i="41"/>
  <c r="AL193" i="41"/>
  <c r="AL194" i="41"/>
  <c r="AL195" i="41"/>
  <c r="AL196" i="41"/>
  <c r="AL197" i="41"/>
  <c r="AL198" i="41"/>
  <c r="AL199" i="41"/>
  <c r="AL200" i="41"/>
  <c r="AL201" i="41"/>
  <c r="AL202" i="41"/>
  <c r="AL203" i="41"/>
  <c r="AL204" i="41"/>
  <c r="AL205" i="41"/>
  <c r="AL206" i="41"/>
  <c r="AL207" i="41"/>
  <c r="AL208" i="41"/>
  <c r="AL209" i="41"/>
  <c r="AL210" i="41"/>
  <c r="AL211" i="41"/>
  <c r="AL212" i="41"/>
  <c r="AL213" i="41"/>
  <c r="AL214" i="41"/>
  <c r="AL215" i="41"/>
  <c r="AL216" i="41"/>
  <c r="AL217" i="41"/>
  <c r="AL218" i="41"/>
  <c r="AL219" i="41"/>
  <c r="AL220" i="41"/>
  <c r="AL221" i="41"/>
  <c r="AL222" i="41"/>
  <c r="AL223" i="41"/>
  <c r="AL224" i="41"/>
  <c r="AL225" i="41"/>
  <c r="AL226" i="41"/>
  <c r="AL227" i="41"/>
  <c r="AL228" i="41"/>
  <c r="AL229" i="41"/>
  <c r="AL230" i="41"/>
  <c r="AL231" i="41"/>
  <c r="AL232" i="41"/>
  <c r="AL233" i="41"/>
  <c r="AL234" i="41"/>
  <c r="AL235" i="41"/>
  <c r="AL236" i="41"/>
  <c r="AL237" i="41"/>
  <c r="AL238" i="41"/>
  <c r="AL239" i="41"/>
  <c r="AL240" i="41"/>
  <c r="AL241" i="41"/>
  <c r="AL242" i="41"/>
  <c r="AL243" i="41"/>
  <c r="AL244" i="41"/>
  <c r="AL245" i="41"/>
  <c r="AL246" i="41"/>
  <c r="AL247" i="41"/>
  <c r="AL248" i="41"/>
  <c r="AL249" i="41"/>
  <c r="AL250" i="41"/>
  <c r="AL251" i="41"/>
  <c r="AL252" i="41"/>
  <c r="AL253" i="41"/>
  <c r="AL254" i="41"/>
  <c r="AL255" i="41"/>
  <c r="AL256" i="41"/>
  <c r="AL257" i="41"/>
  <c r="AL258" i="41"/>
  <c r="AL259" i="41"/>
  <c r="AL260" i="41"/>
  <c r="AL261" i="41"/>
  <c r="AL262" i="41"/>
  <c r="AL263" i="41"/>
  <c r="AL264" i="41"/>
  <c r="AL265" i="41"/>
  <c r="AL266" i="41"/>
  <c r="AL267" i="41"/>
  <c r="AL268" i="41"/>
  <c r="AL269" i="41"/>
  <c r="AL270" i="41"/>
  <c r="AL271" i="41"/>
  <c r="AL272" i="41"/>
  <c r="AL273" i="41"/>
  <c r="AL274" i="41"/>
  <c r="AL275" i="41"/>
  <c r="AL276" i="41"/>
  <c r="AL277" i="41"/>
  <c r="AL278" i="41"/>
  <c r="AL279" i="41"/>
  <c r="AL280" i="41"/>
  <c r="AL281" i="41"/>
  <c r="AL282" i="41"/>
  <c r="AL283" i="41"/>
  <c r="AL284" i="41"/>
  <c r="AL285" i="41"/>
  <c r="AL286" i="41"/>
  <c r="AL287" i="41"/>
  <c r="AL288" i="41"/>
  <c r="AL289" i="41"/>
  <c r="AL290" i="41"/>
  <c r="AL291" i="41"/>
  <c r="AL292" i="41"/>
  <c r="AL293" i="41"/>
  <c r="AL294" i="41"/>
  <c r="AL295" i="41"/>
  <c r="AL296" i="41"/>
  <c r="AL297" i="41"/>
  <c r="AL298" i="41"/>
  <c r="AL299" i="41"/>
  <c r="AL300" i="41"/>
  <c r="AL301" i="41"/>
  <c r="AL302" i="41"/>
  <c r="AL303" i="41"/>
  <c r="AL304" i="41"/>
  <c r="AL305" i="41"/>
  <c r="AL306" i="41"/>
  <c r="AL307" i="41"/>
  <c r="AL308" i="41"/>
  <c r="AL309" i="41"/>
  <c r="AL310" i="41"/>
  <c r="AL311" i="41"/>
  <c r="AL312" i="41"/>
  <c r="AL313" i="41"/>
  <c r="AL314" i="41"/>
  <c r="AL315" i="41"/>
  <c r="AL316" i="41"/>
  <c r="AL317" i="41"/>
  <c r="AL318" i="41"/>
  <c r="AL319" i="41"/>
  <c r="AL320" i="41"/>
  <c r="AL321" i="41"/>
  <c r="AL322" i="41"/>
  <c r="AL323" i="41"/>
  <c r="AL324" i="41"/>
  <c r="AL325" i="41"/>
  <c r="AL326" i="41"/>
  <c r="AL327" i="41"/>
  <c r="AL328" i="41"/>
  <c r="AL329" i="41"/>
  <c r="AL330" i="41"/>
  <c r="AL331" i="41"/>
  <c r="AL332" i="41"/>
  <c r="AL333" i="41"/>
  <c r="AL334" i="41"/>
  <c r="AL335" i="41"/>
  <c r="AL336" i="41"/>
  <c r="AL337" i="41"/>
  <c r="AL338" i="41"/>
  <c r="AL339" i="41"/>
  <c r="AL340" i="41"/>
  <c r="AL341" i="41"/>
  <c r="AL342" i="41"/>
  <c r="AL343" i="41"/>
  <c r="AL344" i="41"/>
  <c r="AL345" i="41"/>
  <c r="AL346" i="41"/>
  <c r="AL347" i="41"/>
  <c r="AL348" i="41"/>
  <c r="AL349" i="41"/>
  <c r="AL350" i="41"/>
  <c r="AL351" i="41"/>
  <c r="AL352" i="41"/>
  <c r="AL353" i="41"/>
  <c r="AL354" i="41"/>
  <c r="AL355" i="41"/>
  <c r="AL356" i="41"/>
  <c r="AL357" i="41"/>
  <c r="AL358" i="41"/>
  <c r="AL359" i="41"/>
  <c r="AL360" i="41"/>
  <c r="AL361" i="41"/>
  <c r="AL362" i="41"/>
  <c r="AL363" i="41"/>
  <c r="AL364" i="41"/>
  <c r="AL365" i="41"/>
  <c r="AL366" i="41"/>
  <c r="AL367" i="41"/>
  <c r="AL368" i="41"/>
  <c r="AL369" i="41"/>
  <c r="AL370" i="41"/>
  <c r="AL371" i="41"/>
  <c r="AL372" i="41"/>
  <c r="AL373" i="41"/>
  <c r="AL374" i="41"/>
  <c r="AL375" i="41"/>
  <c r="AL376" i="41"/>
  <c r="AL377" i="41"/>
  <c r="AL378" i="41"/>
  <c r="AL379" i="41"/>
  <c r="AL380" i="41"/>
  <c r="AL381" i="41"/>
  <c r="AL382" i="41"/>
  <c r="AL383" i="41"/>
  <c r="AL384" i="41"/>
  <c r="AL385" i="41"/>
  <c r="AL386" i="41"/>
  <c r="AL387" i="41"/>
  <c r="AL388" i="41"/>
  <c r="AL389" i="41"/>
  <c r="AL390" i="41"/>
  <c r="AL391" i="41"/>
  <c r="AL392" i="41"/>
  <c r="AL393" i="41"/>
  <c r="AL394" i="41"/>
  <c r="AL395" i="41"/>
  <c r="AL396" i="41"/>
  <c r="AL397" i="41"/>
  <c r="AL398" i="41"/>
  <c r="AL399" i="41"/>
  <c r="AL400" i="41"/>
  <c r="AL401" i="41"/>
  <c r="AL402" i="41"/>
  <c r="AL403" i="41"/>
  <c r="AL404" i="41"/>
  <c r="AL405" i="41"/>
  <c r="AL406" i="41"/>
  <c r="AL407" i="41"/>
  <c r="AL408" i="41"/>
  <c r="AL409" i="41"/>
  <c r="AL410" i="41"/>
  <c r="AL411" i="41"/>
  <c r="AL412" i="41"/>
  <c r="AL413" i="41"/>
  <c r="AL414" i="41"/>
  <c r="AL415" i="41"/>
  <c r="AL416" i="41"/>
  <c r="AL417" i="41"/>
  <c r="AL418" i="41"/>
  <c r="AL419" i="41"/>
  <c r="AL420" i="41"/>
  <c r="AL421" i="41"/>
  <c r="AL422" i="41"/>
  <c r="AL423" i="41"/>
  <c r="AL424" i="41"/>
  <c r="AL425" i="41"/>
  <c r="AL426" i="41"/>
  <c r="AL427" i="41"/>
  <c r="AL428" i="41"/>
  <c r="AL429" i="41"/>
  <c r="AL430" i="41"/>
  <c r="AL431" i="41"/>
  <c r="AL432" i="41"/>
  <c r="AL433" i="41"/>
  <c r="AL434" i="41"/>
  <c r="AL435" i="41"/>
  <c r="AL436" i="41"/>
  <c r="AL437" i="41"/>
  <c r="AL438" i="41"/>
  <c r="AL439" i="41"/>
  <c r="AL440" i="41"/>
  <c r="AL441" i="41"/>
  <c r="AL442" i="41"/>
  <c r="AL443" i="41"/>
  <c r="AL444" i="41"/>
  <c r="AL445" i="41"/>
  <c r="AL446" i="41"/>
  <c r="AL447" i="41"/>
  <c r="AL448" i="41"/>
  <c r="AL449" i="41"/>
  <c r="AL450" i="41"/>
  <c r="AL451" i="41"/>
  <c r="AL452" i="41"/>
  <c r="AL453" i="41"/>
  <c r="AL454" i="41"/>
  <c r="AL455" i="41"/>
  <c r="AL456" i="41"/>
  <c r="AL457" i="41"/>
  <c r="AL458" i="41"/>
  <c r="AL459" i="41"/>
  <c r="AL460" i="41"/>
  <c r="AL461" i="41"/>
  <c r="AL462" i="41"/>
  <c r="AL463" i="41"/>
  <c r="AL464" i="41"/>
  <c r="AL465" i="41"/>
  <c r="AL466" i="41"/>
  <c r="AL467" i="41"/>
  <c r="AL468" i="41"/>
  <c r="AL469" i="41"/>
  <c r="AL470" i="41"/>
  <c r="AL471" i="41"/>
  <c r="AL472" i="41"/>
  <c r="AL473" i="41"/>
  <c r="AL474" i="41"/>
  <c r="AL475" i="41"/>
  <c r="AL476" i="41"/>
  <c r="AL477" i="41"/>
  <c r="AL478" i="41"/>
  <c r="AL479" i="41"/>
  <c r="AL480" i="41"/>
  <c r="AL481" i="41"/>
  <c r="AL482" i="41"/>
  <c r="AL483" i="41"/>
  <c r="AL484" i="41"/>
  <c r="AL485" i="41"/>
  <c r="AL486" i="41"/>
  <c r="AL487" i="41"/>
  <c r="AL488" i="41"/>
  <c r="AL489" i="41"/>
  <c r="AL490" i="41"/>
  <c r="AL2" i="41"/>
  <c r="AH3" i="41"/>
  <c r="AH4" i="41"/>
  <c r="AH5" i="41"/>
  <c r="AH6" i="41"/>
  <c r="AH7" i="41"/>
  <c r="AH8" i="41"/>
  <c r="AH9" i="41"/>
  <c r="AH10" i="41"/>
  <c r="AH11" i="41"/>
  <c r="AH12" i="41"/>
  <c r="AH13" i="41"/>
  <c r="AH14" i="41"/>
  <c r="AH15" i="41"/>
  <c r="AH16" i="41"/>
  <c r="AH17" i="41"/>
  <c r="AH18" i="41"/>
  <c r="AH19" i="41"/>
  <c r="AH20" i="41"/>
  <c r="AH21" i="41"/>
  <c r="AH22" i="41"/>
  <c r="AH23" i="41"/>
  <c r="AH24" i="41"/>
  <c r="AH25" i="41"/>
  <c r="AH26" i="41"/>
  <c r="AH27" i="41"/>
  <c r="AH28" i="41"/>
  <c r="AH29" i="41"/>
  <c r="AH30" i="41"/>
  <c r="AH31" i="41"/>
  <c r="AH32" i="41"/>
  <c r="AH33" i="41"/>
  <c r="AH34" i="41"/>
  <c r="AH35" i="41"/>
  <c r="AH36" i="41"/>
  <c r="AH37" i="41"/>
  <c r="AH38" i="41"/>
  <c r="AH39" i="41"/>
  <c r="AH40" i="41"/>
  <c r="AH41" i="41"/>
  <c r="AH42" i="41"/>
  <c r="AH43" i="41"/>
  <c r="AH44" i="41"/>
  <c r="AH45" i="41"/>
  <c r="AH46" i="41"/>
  <c r="AH47" i="41"/>
  <c r="AH48" i="41"/>
  <c r="AH49" i="41"/>
  <c r="AH50" i="41"/>
  <c r="AH51" i="41"/>
  <c r="AH52" i="41"/>
  <c r="AH53" i="41"/>
  <c r="AH54" i="41"/>
  <c r="AH55" i="41"/>
  <c r="AH56" i="41"/>
  <c r="AH57" i="41"/>
  <c r="AH58" i="41"/>
  <c r="AH59" i="41"/>
  <c r="AH60" i="41"/>
  <c r="AH61" i="41"/>
  <c r="AH62" i="41"/>
  <c r="AH63" i="41"/>
  <c r="AH64" i="41"/>
  <c r="AH65" i="41"/>
  <c r="AH66" i="41"/>
  <c r="AH67" i="41"/>
  <c r="AH68" i="41"/>
  <c r="AH69" i="41"/>
  <c r="AH70" i="41"/>
  <c r="AH71" i="41"/>
  <c r="AH72" i="41"/>
  <c r="AH73" i="41"/>
  <c r="AH74" i="41"/>
  <c r="AH75" i="41"/>
  <c r="AH76" i="41"/>
  <c r="AH77" i="41"/>
  <c r="AH78" i="41"/>
  <c r="AH79" i="41"/>
  <c r="AH80" i="41"/>
  <c r="AH81" i="41"/>
  <c r="AH82" i="41"/>
  <c r="AH83" i="41"/>
  <c r="AH84" i="41"/>
  <c r="AH85" i="41"/>
  <c r="AH86" i="41"/>
  <c r="AH87" i="41"/>
  <c r="AH88" i="41"/>
  <c r="AH89" i="41"/>
  <c r="AH90" i="41"/>
  <c r="AH91" i="41"/>
  <c r="AH92" i="41"/>
  <c r="AH93" i="41"/>
  <c r="AH94" i="41"/>
  <c r="AH95" i="41"/>
  <c r="AH96" i="41"/>
  <c r="AH97" i="41"/>
  <c r="AH98" i="41"/>
  <c r="AH99" i="41"/>
  <c r="AH100" i="41"/>
  <c r="AH101" i="41"/>
  <c r="AH102" i="41"/>
  <c r="AH103" i="41"/>
  <c r="AH104" i="41"/>
  <c r="AH105" i="41"/>
  <c r="AH106" i="41"/>
  <c r="AH107" i="41"/>
  <c r="AH108" i="41"/>
  <c r="AH109" i="41"/>
  <c r="AH110" i="41"/>
  <c r="AH111" i="41"/>
  <c r="AH112" i="41"/>
  <c r="AH113" i="41"/>
  <c r="AH114" i="41"/>
  <c r="AH115" i="41"/>
  <c r="AH116" i="41"/>
  <c r="AH117" i="41"/>
  <c r="AH118" i="41"/>
  <c r="AH119" i="41"/>
  <c r="AH120" i="41"/>
  <c r="AH121" i="41"/>
  <c r="AH122" i="41"/>
  <c r="AH123" i="41"/>
  <c r="AH124" i="41"/>
  <c r="AH125" i="41"/>
  <c r="AH126" i="41"/>
  <c r="AH127" i="41"/>
  <c r="AH128" i="41"/>
  <c r="AH129" i="41"/>
  <c r="AH130" i="41"/>
  <c r="AH131" i="41"/>
  <c r="AH132" i="41"/>
  <c r="AH133" i="41"/>
  <c r="AH134" i="41"/>
  <c r="AH135" i="41"/>
  <c r="AH136" i="41"/>
  <c r="AH137" i="41"/>
  <c r="AH138" i="41"/>
  <c r="AH139" i="41"/>
  <c r="AH140" i="41"/>
  <c r="AH141" i="41"/>
  <c r="AH142" i="41"/>
  <c r="AH143" i="41"/>
  <c r="AH144" i="41"/>
  <c r="AH145" i="41"/>
  <c r="AH146" i="41"/>
  <c r="AH147" i="41"/>
  <c r="AH148" i="41"/>
  <c r="AH149" i="41"/>
  <c r="AH150" i="41"/>
  <c r="AH151" i="41"/>
  <c r="AH152" i="41"/>
  <c r="AH153" i="41"/>
  <c r="AH154" i="41"/>
  <c r="AH155" i="41"/>
  <c r="AH156" i="41"/>
  <c r="AH157" i="41"/>
  <c r="AH158" i="41"/>
  <c r="AH159" i="41"/>
  <c r="AH160" i="41"/>
  <c r="AH161" i="41"/>
  <c r="AH162" i="41"/>
  <c r="AH163" i="41"/>
  <c r="AH164" i="41"/>
  <c r="AH165" i="41"/>
  <c r="AH166" i="41"/>
  <c r="AH167" i="41"/>
  <c r="AH168" i="41"/>
  <c r="AH169" i="41"/>
  <c r="AH170" i="41"/>
  <c r="AH171" i="41"/>
  <c r="AH172" i="41"/>
  <c r="AH173" i="41"/>
  <c r="AH174" i="41"/>
  <c r="AH175" i="41"/>
  <c r="AH176" i="41"/>
  <c r="AH177" i="41"/>
  <c r="AH178" i="41"/>
  <c r="AH179" i="41"/>
  <c r="AH180" i="41"/>
  <c r="AH181" i="41"/>
  <c r="AH182" i="41"/>
  <c r="AH183" i="41"/>
  <c r="AH184" i="41"/>
  <c r="AH185" i="41"/>
  <c r="AH186" i="41"/>
  <c r="AH187" i="41"/>
  <c r="AH188" i="41"/>
  <c r="AH189" i="41"/>
  <c r="AH190" i="41"/>
  <c r="AH191" i="41"/>
  <c r="AH192" i="41"/>
  <c r="AH193" i="41"/>
  <c r="AH194" i="41"/>
  <c r="AH195" i="41"/>
  <c r="AH196" i="41"/>
  <c r="AH197" i="41"/>
  <c r="AH198" i="41"/>
  <c r="AH199" i="41"/>
  <c r="AH200" i="41"/>
  <c r="AH201" i="41"/>
  <c r="AH202" i="41"/>
  <c r="AH203" i="41"/>
  <c r="AH204" i="41"/>
  <c r="AH205" i="41"/>
  <c r="AH206" i="41"/>
  <c r="AH207" i="41"/>
  <c r="AH208" i="41"/>
  <c r="AH209" i="41"/>
  <c r="AH210" i="41"/>
  <c r="AH211" i="41"/>
  <c r="AH212" i="41"/>
  <c r="AH213" i="41"/>
  <c r="AH214" i="41"/>
  <c r="AH215" i="41"/>
  <c r="AH216" i="41"/>
  <c r="AH217" i="41"/>
  <c r="AH218" i="41"/>
  <c r="AH219" i="41"/>
  <c r="AH220" i="41"/>
  <c r="AH221" i="41"/>
  <c r="AH222" i="41"/>
  <c r="AH223" i="41"/>
  <c r="AH224" i="41"/>
  <c r="AH225" i="41"/>
  <c r="AH226" i="41"/>
  <c r="AH227" i="41"/>
  <c r="AH228" i="41"/>
  <c r="AH229" i="41"/>
  <c r="AH230" i="41"/>
  <c r="AH231" i="41"/>
  <c r="AH232" i="41"/>
  <c r="AH233" i="41"/>
  <c r="AH234" i="41"/>
  <c r="AH235" i="41"/>
  <c r="AH236" i="41"/>
  <c r="AH237" i="41"/>
  <c r="AH238" i="41"/>
  <c r="AH239" i="41"/>
  <c r="AH240" i="41"/>
  <c r="AH241" i="41"/>
  <c r="AH242" i="41"/>
  <c r="AH243" i="41"/>
  <c r="AH244" i="41"/>
  <c r="AH245" i="41"/>
  <c r="AH246" i="41"/>
  <c r="AH247" i="41"/>
  <c r="AH248" i="41"/>
  <c r="AH249" i="41"/>
  <c r="AH250" i="41"/>
  <c r="AH251" i="41"/>
  <c r="AH252" i="41"/>
  <c r="AH253" i="41"/>
  <c r="AH254" i="41"/>
  <c r="AH255" i="41"/>
  <c r="AH256" i="41"/>
  <c r="AH257" i="41"/>
  <c r="AH258" i="41"/>
  <c r="AH259" i="41"/>
  <c r="AH260" i="41"/>
  <c r="AH261" i="41"/>
  <c r="AH262" i="41"/>
  <c r="AH263" i="41"/>
  <c r="AH264" i="41"/>
  <c r="AH265" i="41"/>
  <c r="AH266" i="41"/>
  <c r="AH267" i="41"/>
  <c r="AH268" i="41"/>
  <c r="AH269" i="41"/>
  <c r="AH270" i="41"/>
  <c r="AH271" i="41"/>
  <c r="AH272" i="41"/>
  <c r="AH273" i="41"/>
  <c r="AH274" i="41"/>
  <c r="AH275" i="41"/>
  <c r="AH276" i="41"/>
  <c r="AH277" i="41"/>
  <c r="AH278" i="41"/>
  <c r="AH279" i="41"/>
  <c r="AH280" i="41"/>
  <c r="AH281" i="41"/>
  <c r="AH282" i="41"/>
  <c r="AH283" i="41"/>
  <c r="AH284" i="41"/>
  <c r="AH285" i="41"/>
  <c r="AH286" i="41"/>
  <c r="AH287" i="41"/>
  <c r="AH288" i="41"/>
  <c r="AH289" i="41"/>
  <c r="AH290" i="41"/>
  <c r="AH291" i="41"/>
  <c r="AH292" i="41"/>
  <c r="AH293" i="41"/>
  <c r="AH294" i="41"/>
  <c r="AH295" i="41"/>
  <c r="AH296" i="41"/>
  <c r="AH297" i="41"/>
  <c r="AH298" i="41"/>
  <c r="AH299" i="41"/>
  <c r="AH300" i="41"/>
  <c r="AH301" i="41"/>
  <c r="AH302" i="41"/>
  <c r="AH303" i="41"/>
  <c r="AH304" i="41"/>
  <c r="AH305" i="41"/>
  <c r="AH306" i="41"/>
  <c r="AH307" i="41"/>
  <c r="AH308" i="41"/>
  <c r="AH309" i="41"/>
  <c r="AH310" i="41"/>
  <c r="AH311" i="41"/>
  <c r="AH312" i="41"/>
  <c r="AH313" i="41"/>
  <c r="AH314" i="41"/>
  <c r="AH315" i="41"/>
  <c r="AH316" i="41"/>
  <c r="AH317" i="41"/>
  <c r="AH318" i="41"/>
  <c r="AH319" i="41"/>
  <c r="AH320" i="41"/>
  <c r="AH321" i="41"/>
  <c r="AH322" i="41"/>
  <c r="AH323" i="41"/>
  <c r="AH324" i="41"/>
  <c r="AH325" i="41"/>
  <c r="AH326" i="41"/>
  <c r="AH327" i="41"/>
  <c r="AH328" i="41"/>
  <c r="AH329" i="41"/>
  <c r="AH330" i="41"/>
  <c r="AH331" i="41"/>
  <c r="AH332" i="41"/>
  <c r="AH333" i="41"/>
  <c r="AH334" i="41"/>
  <c r="AH335" i="41"/>
  <c r="AH336" i="41"/>
  <c r="AH337" i="41"/>
  <c r="AH338" i="41"/>
  <c r="AH339" i="41"/>
  <c r="AH340" i="41"/>
  <c r="AH341" i="41"/>
  <c r="AH342" i="41"/>
  <c r="AH343" i="41"/>
  <c r="AH344" i="41"/>
  <c r="AH345" i="41"/>
  <c r="AH346" i="41"/>
  <c r="AH347" i="41"/>
  <c r="AH348" i="41"/>
  <c r="AH349" i="41"/>
  <c r="AH350" i="41"/>
  <c r="AH351" i="41"/>
  <c r="AH352" i="41"/>
  <c r="AH353" i="41"/>
  <c r="AH354" i="41"/>
  <c r="AH355" i="41"/>
  <c r="AH356" i="41"/>
  <c r="AH357" i="41"/>
  <c r="AH358" i="41"/>
  <c r="AH359" i="41"/>
  <c r="AH360" i="41"/>
  <c r="AH361" i="41"/>
  <c r="AH362" i="41"/>
  <c r="AH363" i="41"/>
  <c r="AH364" i="41"/>
  <c r="AH365" i="41"/>
  <c r="AH366" i="41"/>
  <c r="AH367" i="41"/>
  <c r="AH368" i="41"/>
  <c r="AH369" i="41"/>
  <c r="AH370" i="41"/>
  <c r="AH371" i="41"/>
  <c r="AH372" i="41"/>
  <c r="AH373" i="41"/>
  <c r="AH374" i="41"/>
  <c r="AH375" i="41"/>
  <c r="AH376" i="41"/>
  <c r="AH377" i="41"/>
  <c r="AH378" i="41"/>
  <c r="AH379" i="41"/>
  <c r="AH380" i="41"/>
  <c r="AH381" i="41"/>
  <c r="AH382" i="41"/>
  <c r="AH383" i="41"/>
  <c r="AH384" i="41"/>
  <c r="AH385" i="41"/>
  <c r="AH386" i="41"/>
  <c r="AH387" i="41"/>
  <c r="AH388" i="41"/>
  <c r="AH389" i="41"/>
  <c r="AH390" i="41"/>
  <c r="AH391" i="41"/>
  <c r="AH392" i="41"/>
  <c r="AH393" i="41"/>
  <c r="AH394" i="41"/>
  <c r="AH395" i="41"/>
  <c r="AH396" i="41"/>
  <c r="AH397" i="41"/>
  <c r="AH398" i="41"/>
  <c r="AH399" i="41"/>
  <c r="AH400" i="41"/>
  <c r="AH401" i="41"/>
  <c r="AH402" i="41"/>
  <c r="AH403" i="41"/>
  <c r="AH404" i="41"/>
  <c r="AH405" i="41"/>
  <c r="AH406" i="41"/>
  <c r="AH407" i="41"/>
  <c r="AH408" i="41"/>
  <c r="AH409" i="41"/>
  <c r="AH410" i="41"/>
  <c r="AH411" i="41"/>
  <c r="AH412" i="41"/>
  <c r="AH413" i="41"/>
  <c r="AH414" i="41"/>
  <c r="AH415" i="41"/>
  <c r="AH416" i="41"/>
  <c r="AH417" i="41"/>
  <c r="AH418" i="41"/>
  <c r="AH419" i="41"/>
  <c r="AH420" i="41"/>
  <c r="AH421" i="41"/>
  <c r="AH422" i="41"/>
  <c r="AH423" i="41"/>
  <c r="AH424" i="41"/>
  <c r="AH425" i="41"/>
  <c r="AH426" i="41"/>
  <c r="AH427" i="41"/>
  <c r="AH428" i="41"/>
  <c r="AH429" i="41"/>
  <c r="AH430" i="41"/>
  <c r="AH431" i="41"/>
  <c r="AH432" i="41"/>
  <c r="AH433" i="41"/>
  <c r="AH434" i="41"/>
  <c r="AH435" i="41"/>
  <c r="AH436" i="41"/>
  <c r="AH437" i="41"/>
  <c r="AH438" i="41"/>
  <c r="AH439" i="41"/>
  <c r="AH440" i="41"/>
  <c r="AH441" i="41"/>
  <c r="AH442" i="41"/>
  <c r="AH443" i="41"/>
  <c r="AH444" i="41"/>
  <c r="AH445" i="41"/>
  <c r="AH446" i="41"/>
  <c r="AH447" i="41"/>
  <c r="AH448" i="41"/>
  <c r="AH449" i="41"/>
  <c r="AH450" i="41"/>
  <c r="AH451" i="41"/>
  <c r="AH452" i="41"/>
  <c r="AH453" i="41"/>
  <c r="AH454" i="41"/>
  <c r="AH455" i="41"/>
  <c r="AH456" i="41"/>
  <c r="AH457" i="41"/>
  <c r="AH458" i="41"/>
  <c r="AH459" i="41"/>
  <c r="AH460" i="41"/>
  <c r="AH461" i="41"/>
  <c r="AH462" i="41"/>
  <c r="AH463" i="41"/>
  <c r="AH464" i="41"/>
  <c r="AH465" i="41"/>
  <c r="AH466" i="41"/>
  <c r="AH467" i="41"/>
  <c r="AH468" i="41"/>
  <c r="AH469" i="41"/>
  <c r="AH470" i="41"/>
  <c r="AH471" i="41"/>
  <c r="AH472" i="41"/>
  <c r="AH473" i="41"/>
  <c r="AH474" i="41"/>
  <c r="AH475" i="41"/>
  <c r="AH476" i="41"/>
  <c r="AH477" i="41"/>
  <c r="AH478" i="41"/>
  <c r="AH479" i="41"/>
  <c r="AH480" i="41"/>
  <c r="AH481" i="41"/>
  <c r="AH482" i="41"/>
  <c r="AH483" i="41"/>
  <c r="AH484" i="41"/>
  <c r="AH485" i="41"/>
  <c r="AH486" i="41"/>
  <c r="AH487" i="41"/>
  <c r="AH488" i="41"/>
  <c r="AH489" i="41"/>
  <c r="AH490" i="41"/>
  <c r="AH2" i="41"/>
  <c r="AF3" i="41"/>
  <c r="AF4" i="41"/>
  <c r="AF5" i="41"/>
  <c r="AF6" i="41"/>
  <c r="AF7" i="41"/>
  <c r="AF8" i="41"/>
  <c r="AF9" i="41"/>
  <c r="AF10" i="41"/>
  <c r="AF11" i="41"/>
  <c r="AF12" i="41"/>
  <c r="AF13" i="41"/>
  <c r="AF14" i="41"/>
  <c r="AF15" i="41"/>
  <c r="AF16" i="41"/>
  <c r="AF17" i="41"/>
  <c r="AF18" i="41"/>
  <c r="AF19" i="41"/>
  <c r="AF20" i="41"/>
  <c r="AF21" i="41"/>
  <c r="AF22" i="41"/>
  <c r="AF23" i="41"/>
  <c r="AF24" i="41"/>
  <c r="AF25" i="41"/>
  <c r="AF26" i="41"/>
  <c r="AF27" i="41"/>
  <c r="AF28" i="41"/>
  <c r="AF29" i="41"/>
  <c r="AF30" i="41"/>
  <c r="AF31" i="41"/>
  <c r="AF32" i="41"/>
  <c r="AF33" i="41"/>
  <c r="AF34" i="41"/>
  <c r="AF35" i="41"/>
  <c r="AF36" i="41"/>
  <c r="AF37" i="41"/>
  <c r="AF38" i="41"/>
  <c r="AF39" i="41"/>
  <c r="AF40" i="41"/>
  <c r="AF41" i="41"/>
  <c r="AF42" i="41"/>
  <c r="AF43" i="41"/>
  <c r="AF44" i="41"/>
  <c r="AF45" i="41"/>
  <c r="AF46" i="41"/>
  <c r="AF47" i="41"/>
  <c r="AF48" i="41"/>
  <c r="AF49" i="41"/>
  <c r="AF50" i="41"/>
  <c r="AF51" i="41"/>
  <c r="AF52" i="41"/>
  <c r="AF53" i="41"/>
  <c r="AF54" i="41"/>
  <c r="AF55" i="41"/>
  <c r="AF56" i="41"/>
  <c r="AF57" i="41"/>
  <c r="AF58" i="41"/>
  <c r="AF59" i="41"/>
  <c r="AF60" i="41"/>
  <c r="AF61" i="41"/>
  <c r="AF62" i="41"/>
  <c r="AF63" i="41"/>
  <c r="AF64" i="41"/>
  <c r="AF65" i="41"/>
  <c r="AF66" i="41"/>
  <c r="AF67" i="41"/>
  <c r="AF68" i="41"/>
  <c r="AF69" i="41"/>
  <c r="AF70" i="41"/>
  <c r="AF71" i="41"/>
  <c r="AF72" i="41"/>
  <c r="AF73" i="41"/>
  <c r="AF74" i="41"/>
  <c r="AF75" i="41"/>
  <c r="AF76" i="41"/>
  <c r="AF77" i="41"/>
  <c r="AF78" i="41"/>
  <c r="AF79" i="41"/>
  <c r="AF80" i="41"/>
  <c r="AF81" i="41"/>
  <c r="AF82" i="41"/>
  <c r="AF83" i="41"/>
  <c r="AF84" i="41"/>
  <c r="AF85" i="41"/>
  <c r="AF86" i="41"/>
  <c r="AF87" i="41"/>
  <c r="AF88" i="41"/>
  <c r="AF89" i="41"/>
  <c r="AF90" i="41"/>
  <c r="AF91" i="41"/>
  <c r="AF92" i="41"/>
  <c r="AF93" i="41"/>
  <c r="AF94" i="41"/>
  <c r="AF95" i="41"/>
  <c r="AF96" i="41"/>
  <c r="AF97" i="41"/>
  <c r="AF98" i="41"/>
  <c r="AF99" i="41"/>
  <c r="AF100" i="41"/>
  <c r="AF101" i="41"/>
  <c r="AF102" i="41"/>
  <c r="AF103" i="41"/>
  <c r="AF104" i="41"/>
  <c r="AF105" i="41"/>
  <c r="AF106" i="41"/>
  <c r="AF107" i="41"/>
  <c r="AF108" i="41"/>
  <c r="AF109" i="41"/>
  <c r="AF110" i="41"/>
  <c r="AF111" i="41"/>
  <c r="AF112" i="41"/>
  <c r="AF113" i="41"/>
  <c r="AF114" i="41"/>
  <c r="AF115" i="41"/>
  <c r="AF116" i="41"/>
  <c r="AF117" i="41"/>
  <c r="AF118" i="41"/>
  <c r="AF119" i="41"/>
  <c r="AF120" i="41"/>
  <c r="AF121" i="41"/>
  <c r="AF122" i="41"/>
  <c r="AF123" i="41"/>
  <c r="AF124" i="41"/>
  <c r="AF125" i="41"/>
  <c r="AF126" i="41"/>
  <c r="AF127" i="41"/>
  <c r="AF128" i="41"/>
  <c r="AF129" i="41"/>
  <c r="AF130" i="41"/>
  <c r="AF131" i="41"/>
  <c r="AF132" i="41"/>
  <c r="AF133" i="41"/>
  <c r="AF134" i="41"/>
  <c r="AF135" i="41"/>
  <c r="AF136" i="41"/>
  <c r="AF137" i="41"/>
  <c r="AF138" i="41"/>
  <c r="AF139" i="41"/>
  <c r="AF140" i="41"/>
  <c r="AF141" i="41"/>
  <c r="AF142" i="41"/>
  <c r="AF143" i="41"/>
  <c r="AF144" i="41"/>
  <c r="AF145" i="41"/>
  <c r="AF146" i="41"/>
  <c r="AF147" i="41"/>
  <c r="AF148" i="41"/>
  <c r="AF149" i="41"/>
  <c r="AF150" i="41"/>
  <c r="AF151" i="41"/>
  <c r="AF152" i="41"/>
  <c r="AF153" i="41"/>
  <c r="AF154" i="41"/>
  <c r="AF155" i="41"/>
  <c r="AF156" i="41"/>
  <c r="AF157" i="41"/>
  <c r="AF158" i="41"/>
  <c r="AF159" i="41"/>
  <c r="AF160" i="41"/>
  <c r="AF161" i="41"/>
  <c r="AF162" i="41"/>
  <c r="AF163" i="41"/>
  <c r="AF164" i="41"/>
  <c r="AF165" i="41"/>
  <c r="AF166" i="41"/>
  <c r="AF167" i="41"/>
  <c r="AF168" i="41"/>
  <c r="AF169" i="41"/>
  <c r="AF170" i="41"/>
  <c r="AF171" i="41"/>
  <c r="AF172" i="41"/>
  <c r="AF173" i="41"/>
  <c r="AF174" i="41"/>
  <c r="AF175" i="41"/>
  <c r="AF176" i="41"/>
  <c r="AF177" i="41"/>
  <c r="AF178" i="41"/>
  <c r="AF179" i="41"/>
  <c r="AF180" i="41"/>
  <c r="AF181" i="41"/>
  <c r="AF182" i="41"/>
  <c r="AF183" i="41"/>
  <c r="AF184" i="41"/>
  <c r="AF185" i="41"/>
  <c r="AF186" i="41"/>
  <c r="AF187" i="41"/>
  <c r="AF188" i="41"/>
  <c r="AF189" i="41"/>
  <c r="AF190" i="41"/>
  <c r="AF191" i="41"/>
  <c r="AF192" i="41"/>
  <c r="AF193" i="41"/>
  <c r="AF194" i="41"/>
  <c r="AF195" i="41"/>
  <c r="AF196" i="41"/>
  <c r="AF197" i="41"/>
  <c r="AF198" i="41"/>
  <c r="AF199" i="41"/>
  <c r="AF200" i="41"/>
  <c r="AF201" i="41"/>
  <c r="AF202" i="41"/>
  <c r="AF203" i="41"/>
  <c r="AF204" i="41"/>
  <c r="AF205" i="41"/>
  <c r="AF206" i="41"/>
  <c r="AF207" i="41"/>
  <c r="AF208" i="41"/>
  <c r="AF209" i="41"/>
  <c r="AF210" i="41"/>
  <c r="AF211" i="41"/>
  <c r="AF212" i="41"/>
  <c r="AF213" i="41"/>
  <c r="AF214" i="41"/>
  <c r="AF215" i="41"/>
  <c r="AF216" i="41"/>
  <c r="AF217" i="41"/>
  <c r="AF218" i="41"/>
  <c r="AF219" i="41"/>
  <c r="AF220" i="41"/>
  <c r="AF221" i="41"/>
  <c r="AF222" i="41"/>
  <c r="AF223" i="41"/>
  <c r="AF224" i="41"/>
  <c r="AF225" i="41"/>
  <c r="AF226" i="41"/>
  <c r="AF227" i="41"/>
  <c r="AF228" i="41"/>
  <c r="AF229" i="41"/>
  <c r="AF230" i="41"/>
  <c r="AF231" i="41"/>
  <c r="AF232" i="41"/>
  <c r="AF233" i="41"/>
  <c r="AF234" i="41"/>
  <c r="AF235" i="41"/>
  <c r="AF236" i="41"/>
  <c r="AF237" i="41"/>
  <c r="AF238" i="41"/>
  <c r="AF239" i="41"/>
  <c r="AF240" i="41"/>
  <c r="AF241" i="41"/>
  <c r="AF242" i="41"/>
  <c r="AF243" i="41"/>
  <c r="AF244" i="41"/>
  <c r="AF245" i="41"/>
  <c r="AF246" i="41"/>
  <c r="AF247" i="41"/>
  <c r="AF248" i="41"/>
  <c r="AF249" i="41"/>
  <c r="AF250" i="41"/>
  <c r="AF251" i="41"/>
  <c r="AF252" i="41"/>
  <c r="AF253" i="41"/>
  <c r="AF254" i="41"/>
  <c r="AF255" i="41"/>
  <c r="AF256" i="41"/>
  <c r="AF257" i="41"/>
  <c r="AF258" i="41"/>
  <c r="AF259" i="41"/>
  <c r="AF260" i="41"/>
  <c r="AF261" i="41"/>
  <c r="AF262" i="41"/>
  <c r="AF263" i="41"/>
  <c r="AF264" i="41"/>
  <c r="AF265" i="41"/>
  <c r="AF266" i="41"/>
  <c r="AF267" i="41"/>
  <c r="AF268" i="41"/>
  <c r="AF269" i="41"/>
  <c r="AF270" i="41"/>
  <c r="AF271" i="41"/>
  <c r="AF272" i="41"/>
  <c r="AF273" i="41"/>
  <c r="AF274" i="41"/>
  <c r="AF275" i="41"/>
  <c r="AF276" i="41"/>
  <c r="AF277" i="41"/>
  <c r="AF278" i="41"/>
  <c r="AF279" i="41"/>
  <c r="AF280" i="41"/>
  <c r="AF281" i="41"/>
  <c r="AF282" i="41"/>
  <c r="AF283" i="41"/>
  <c r="AF284" i="41"/>
  <c r="AF285" i="41"/>
  <c r="AF286" i="41"/>
  <c r="AF287" i="41"/>
  <c r="AF288" i="41"/>
  <c r="AF289" i="41"/>
  <c r="AF290" i="41"/>
  <c r="AF291" i="41"/>
  <c r="AF292" i="41"/>
  <c r="AF293" i="41"/>
  <c r="AF294" i="41"/>
  <c r="AF295" i="41"/>
  <c r="AF296" i="41"/>
  <c r="AF297" i="41"/>
  <c r="AF298" i="41"/>
  <c r="AF299" i="41"/>
  <c r="AF300" i="41"/>
  <c r="AF301" i="41"/>
  <c r="AF302" i="41"/>
  <c r="AF303" i="41"/>
  <c r="AF304" i="41"/>
  <c r="AF305" i="41"/>
  <c r="AF306" i="41"/>
  <c r="AF307" i="41"/>
  <c r="AF308" i="41"/>
  <c r="AF309" i="41"/>
  <c r="AF310" i="41"/>
  <c r="AF311" i="41"/>
  <c r="AF312" i="41"/>
  <c r="AF313" i="41"/>
  <c r="AF314" i="41"/>
  <c r="AF315" i="41"/>
  <c r="AF316" i="41"/>
  <c r="AF317" i="41"/>
  <c r="AF318" i="41"/>
  <c r="AF319" i="41"/>
  <c r="AF320" i="41"/>
  <c r="AF321" i="41"/>
  <c r="AF322" i="41"/>
  <c r="AF323" i="41"/>
  <c r="AF324" i="41"/>
  <c r="AF325" i="41"/>
  <c r="AF326" i="41"/>
  <c r="AF327" i="41"/>
  <c r="AF328" i="41"/>
  <c r="AF329" i="41"/>
  <c r="AF330" i="41"/>
  <c r="AF331" i="41"/>
  <c r="AF332" i="41"/>
  <c r="AF333" i="41"/>
  <c r="AF334" i="41"/>
  <c r="AF335" i="41"/>
  <c r="AF336" i="41"/>
  <c r="AF337" i="41"/>
  <c r="AF338" i="41"/>
  <c r="AF339" i="41"/>
  <c r="AF340" i="41"/>
  <c r="AF341" i="41"/>
  <c r="AF342" i="41"/>
  <c r="AF343" i="41"/>
  <c r="AF344" i="41"/>
  <c r="AF345" i="41"/>
  <c r="AF346" i="41"/>
  <c r="AF347" i="41"/>
  <c r="AF348" i="41"/>
  <c r="AF349" i="41"/>
  <c r="AF350" i="41"/>
  <c r="AF351" i="41"/>
  <c r="AF352" i="41"/>
  <c r="AF353" i="41"/>
  <c r="AF354" i="41"/>
  <c r="AF355" i="41"/>
  <c r="AF356" i="41"/>
  <c r="AF357" i="41"/>
  <c r="AF358" i="41"/>
  <c r="AF359" i="41"/>
  <c r="AF360" i="41"/>
  <c r="AF361" i="41"/>
  <c r="AF362" i="41"/>
  <c r="AF363" i="41"/>
  <c r="AF364" i="41"/>
  <c r="AF365" i="41"/>
  <c r="AF366" i="41"/>
  <c r="AF367" i="41"/>
  <c r="AF368" i="41"/>
  <c r="AF369" i="41"/>
  <c r="AF370" i="41"/>
  <c r="AF371" i="41"/>
  <c r="AF372" i="41"/>
  <c r="AF373" i="41"/>
  <c r="AF374" i="41"/>
  <c r="AF375" i="41"/>
  <c r="AF376" i="41"/>
  <c r="AF377" i="41"/>
  <c r="AF378" i="41"/>
  <c r="AF379" i="41"/>
  <c r="AF380" i="41"/>
  <c r="AF381" i="41"/>
  <c r="AF382" i="41"/>
  <c r="AF383" i="41"/>
  <c r="AF384" i="41"/>
  <c r="AF385" i="41"/>
  <c r="AF386" i="41"/>
  <c r="AF387" i="41"/>
  <c r="AF388" i="41"/>
  <c r="AF389" i="41"/>
  <c r="AF390" i="41"/>
  <c r="AF391" i="41"/>
  <c r="AF392" i="41"/>
  <c r="AF393" i="41"/>
  <c r="AF394" i="41"/>
  <c r="AF395" i="41"/>
  <c r="AF396" i="41"/>
  <c r="AF397" i="41"/>
  <c r="AF398" i="41"/>
  <c r="AF399" i="41"/>
  <c r="AF400" i="41"/>
  <c r="AF401" i="41"/>
  <c r="AF402" i="41"/>
  <c r="AF403" i="41"/>
  <c r="AF404" i="41"/>
  <c r="AF405" i="41"/>
  <c r="AF406" i="41"/>
  <c r="AF407" i="41"/>
  <c r="AF408" i="41"/>
  <c r="AF409" i="41"/>
  <c r="AF410" i="41"/>
  <c r="AF411" i="41"/>
  <c r="AF412" i="41"/>
  <c r="AF413" i="41"/>
  <c r="AF414" i="41"/>
  <c r="AF415" i="41"/>
  <c r="AF416" i="41"/>
  <c r="AF417" i="41"/>
  <c r="AF418" i="41"/>
  <c r="AF419" i="41"/>
  <c r="AF420" i="41"/>
  <c r="AF421" i="41"/>
  <c r="AF422" i="41"/>
  <c r="AF423" i="41"/>
  <c r="AF424" i="41"/>
  <c r="AF425" i="41"/>
  <c r="AF426" i="41"/>
  <c r="AF427" i="41"/>
  <c r="AF428" i="41"/>
  <c r="AF429" i="41"/>
  <c r="AF430" i="41"/>
  <c r="AF431" i="41"/>
  <c r="AF432" i="41"/>
  <c r="AF433" i="41"/>
  <c r="AF434" i="41"/>
  <c r="AF435" i="41"/>
  <c r="AF436" i="41"/>
  <c r="AF437" i="41"/>
  <c r="AF438" i="41"/>
  <c r="AF439" i="41"/>
  <c r="AF440" i="41"/>
  <c r="AF441" i="41"/>
  <c r="AF442" i="41"/>
  <c r="AF443" i="41"/>
  <c r="AF444" i="41"/>
  <c r="AF445" i="41"/>
  <c r="AF446" i="41"/>
  <c r="AF447" i="41"/>
  <c r="AF448" i="41"/>
  <c r="AF449" i="41"/>
  <c r="AF450" i="41"/>
  <c r="AF451" i="41"/>
  <c r="AF452" i="41"/>
  <c r="AF453" i="41"/>
  <c r="AF454" i="41"/>
  <c r="AF455" i="41"/>
  <c r="AF456" i="41"/>
  <c r="AF457" i="41"/>
  <c r="AF458" i="41"/>
  <c r="AF459" i="41"/>
  <c r="AF460" i="41"/>
  <c r="AF461" i="41"/>
  <c r="AF462" i="41"/>
  <c r="AF463" i="41"/>
  <c r="AF464" i="41"/>
  <c r="AF465" i="41"/>
  <c r="AF466" i="41"/>
  <c r="AF467" i="41"/>
  <c r="AF468" i="41"/>
  <c r="AF469" i="41"/>
  <c r="AF470" i="41"/>
  <c r="AF471" i="41"/>
  <c r="AF472" i="41"/>
  <c r="AF473" i="41"/>
  <c r="AF474" i="41"/>
  <c r="AF475" i="41"/>
  <c r="AF476" i="41"/>
  <c r="AF477" i="41"/>
  <c r="AF478" i="41"/>
  <c r="AF479" i="41"/>
  <c r="AF480" i="41"/>
  <c r="AF481" i="41"/>
  <c r="AF482" i="41"/>
  <c r="AF483" i="41"/>
  <c r="AF484" i="41"/>
  <c r="AF485" i="41"/>
  <c r="AF486" i="41"/>
  <c r="AF487" i="41"/>
  <c r="AF488" i="41"/>
  <c r="AF489" i="41"/>
  <c r="AF2" i="41"/>
  <c r="T3" i="41"/>
  <c r="T4" i="41"/>
  <c r="T5" i="41"/>
  <c r="T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25" i="41"/>
  <c r="T26" i="41"/>
  <c r="T27" i="41"/>
  <c r="T28" i="41"/>
  <c r="T29" i="41"/>
  <c r="T30" i="41"/>
  <c r="T31" i="41"/>
  <c r="T32" i="41"/>
  <c r="T33" i="41"/>
  <c r="T34" i="41"/>
  <c r="T35" i="41"/>
  <c r="T36" i="41"/>
  <c r="T37" i="41"/>
  <c r="T38" i="41"/>
  <c r="T39" i="41"/>
  <c r="T40" i="41"/>
  <c r="T41" i="41"/>
  <c r="T42" i="41"/>
  <c r="T43" i="41"/>
  <c r="T44" i="41"/>
  <c r="T45" i="41"/>
  <c r="T46" i="41"/>
  <c r="T47" i="41"/>
  <c r="T48" i="41"/>
  <c r="T49" i="41"/>
  <c r="T50" i="41"/>
  <c r="T51" i="41"/>
  <c r="T52" i="41"/>
  <c r="T53" i="41"/>
  <c r="T54" i="41"/>
  <c r="T55" i="41"/>
  <c r="T56" i="41"/>
  <c r="T57" i="41"/>
  <c r="T58" i="41"/>
  <c r="T59" i="41"/>
  <c r="T60" i="41"/>
  <c r="T61" i="41"/>
  <c r="T62" i="41"/>
  <c r="T63" i="41"/>
  <c r="T64" i="41"/>
  <c r="T65" i="41"/>
  <c r="T66" i="41"/>
  <c r="T67" i="41"/>
  <c r="T68" i="41"/>
  <c r="T69" i="41"/>
  <c r="T70" i="41"/>
  <c r="T71" i="41"/>
  <c r="T72" i="41"/>
  <c r="T73" i="41"/>
  <c r="T74" i="41"/>
  <c r="T75" i="41"/>
  <c r="T76" i="41"/>
  <c r="T77" i="41"/>
  <c r="T78" i="41"/>
  <c r="T79" i="41"/>
  <c r="T80" i="41"/>
  <c r="T81" i="41"/>
  <c r="T82" i="41"/>
  <c r="T83" i="41"/>
  <c r="T84" i="41"/>
  <c r="T85" i="41"/>
  <c r="T86" i="41"/>
  <c r="T87" i="41"/>
  <c r="T88" i="41"/>
  <c r="T89" i="41"/>
  <c r="T90" i="41"/>
  <c r="T91" i="41"/>
  <c r="T92" i="41"/>
  <c r="T93" i="41"/>
  <c r="T94" i="41"/>
  <c r="T95" i="41"/>
  <c r="T96" i="41"/>
  <c r="T97" i="41"/>
  <c r="T98" i="41"/>
  <c r="T99" i="41"/>
  <c r="T100" i="41"/>
  <c r="T101" i="41"/>
  <c r="T102" i="41"/>
  <c r="T103" i="41"/>
  <c r="T104" i="41"/>
  <c r="T105" i="41"/>
  <c r="T106" i="41"/>
  <c r="T107" i="41"/>
  <c r="T108" i="41"/>
  <c r="T109" i="41"/>
  <c r="T110" i="41"/>
  <c r="T111" i="41"/>
  <c r="T112" i="41"/>
  <c r="T113" i="41"/>
  <c r="T114" i="41"/>
  <c r="T115" i="41"/>
  <c r="T116" i="41"/>
  <c r="T117" i="41"/>
  <c r="T118" i="41"/>
  <c r="T119" i="41"/>
  <c r="T120" i="41"/>
  <c r="T121" i="41"/>
  <c r="T122" i="41"/>
  <c r="T123" i="41"/>
  <c r="T124" i="41"/>
  <c r="T125" i="41"/>
  <c r="T126" i="41"/>
  <c r="T127" i="41"/>
  <c r="T128" i="41"/>
  <c r="T129" i="41"/>
  <c r="T130" i="41"/>
  <c r="T131" i="41"/>
  <c r="T132" i="41"/>
  <c r="T133" i="41"/>
  <c r="T134" i="41"/>
  <c r="T135" i="41"/>
  <c r="T136" i="41"/>
  <c r="T137" i="41"/>
  <c r="T138" i="41"/>
  <c r="T139" i="41"/>
  <c r="T140" i="41"/>
  <c r="T141" i="41"/>
  <c r="T142" i="41"/>
  <c r="T143" i="41"/>
  <c r="T144" i="41"/>
  <c r="T145" i="41"/>
  <c r="T146" i="41"/>
  <c r="T147" i="41"/>
  <c r="T148" i="41"/>
  <c r="T149" i="41"/>
  <c r="T150" i="41"/>
  <c r="T151" i="41"/>
  <c r="T152" i="41"/>
  <c r="T153" i="41"/>
  <c r="T154" i="41"/>
  <c r="T155" i="41"/>
  <c r="T156" i="41"/>
  <c r="T157" i="41"/>
  <c r="T158" i="41"/>
  <c r="T159" i="41"/>
  <c r="T160" i="41"/>
  <c r="T161" i="41"/>
  <c r="T162" i="41"/>
  <c r="T163" i="41"/>
  <c r="T164" i="41"/>
  <c r="T165" i="41"/>
  <c r="T166" i="41"/>
  <c r="T167" i="41"/>
  <c r="T168" i="41"/>
  <c r="T169" i="41"/>
  <c r="T170" i="41"/>
  <c r="T171" i="41"/>
  <c r="T172" i="41"/>
  <c r="T173" i="41"/>
  <c r="T174" i="41"/>
  <c r="T175" i="41"/>
  <c r="T176" i="41"/>
  <c r="T177" i="41"/>
  <c r="T178" i="41"/>
  <c r="T179" i="41"/>
  <c r="T180" i="41"/>
  <c r="T181" i="41"/>
  <c r="T182" i="41"/>
  <c r="T183" i="41"/>
  <c r="T184" i="41"/>
  <c r="T185" i="41"/>
  <c r="T186" i="41"/>
  <c r="T187" i="41"/>
  <c r="T188" i="41"/>
  <c r="T189" i="41"/>
  <c r="T190" i="41"/>
  <c r="T191" i="41"/>
  <c r="T192" i="41"/>
  <c r="T193" i="41"/>
  <c r="T194" i="41"/>
  <c r="T195" i="41"/>
  <c r="T196" i="41"/>
  <c r="T197" i="41"/>
  <c r="T198" i="41"/>
  <c r="T199" i="41"/>
  <c r="T200" i="41"/>
  <c r="T201" i="41"/>
  <c r="T202" i="41"/>
  <c r="T203" i="41"/>
  <c r="T204" i="41"/>
  <c r="T205" i="41"/>
  <c r="T206" i="41"/>
  <c r="T207" i="41"/>
  <c r="T208" i="41"/>
  <c r="T209" i="41"/>
  <c r="T210" i="41"/>
  <c r="T211" i="41"/>
  <c r="T212" i="41"/>
  <c r="T213" i="41"/>
  <c r="T214" i="41"/>
  <c r="T215" i="41"/>
  <c r="T216" i="41"/>
  <c r="T217" i="41"/>
  <c r="T218" i="41"/>
  <c r="T219" i="41"/>
  <c r="T220" i="41"/>
  <c r="T221" i="41"/>
  <c r="T222" i="41"/>
  <c r="T223" i="41"/>
  <c r="T224" i="41"/>
  <c r="T225" i="41"/>
  <c r="T226" i="41"/>
  <c r="T227" i="41"/>
  <c r="T228" i="41"/>
  <c r="T229" i="41"/>
  <c r="T230" i="41"/>
  <c r="T231" i="41"/>
  <c r="T232" i="41"/>
  <c r="T233" i="41"/>
  <c r="T234" i="41"/>
  <c r="T235" i="41"/>
  <c r="T236" i="41"/>
  <c r="T237" i="41"/>
  <c r="T238" i="41"/>
  <c r="T239" i="41"/>
  <c r="T240" i="41"/>
  <c r="T241" i="41"/>
  <c r="T242" i="41"/>
  <c r="T243" i="41"/>
  <c r="T244" i="41"/>
  <c r="T245" i="41"/>
  <c r="T246" i="41"/>
  <c r="T247" i="41"/>
  <c r="T248" i="41"/>
  <c r="T249" i="41"/>
  <c r="T250" i="41"/>
  <c r="T251" i="41"/>
  <c r="T252" i="41"/>
  <c r="T253" i="41"/>
  <c r="T254" i="41"/>
  <c r="T255" i="41"/>
  <c r="T256" i="41"/>
  <c r="T257" i="41"/>
  <c r="T258" i="41"/>
  <c r="T259" i="41"/>
  <c r="T260" i="41"/>
  <c r="T261" i="41"/>
  <c r="T262" i="41"/>
  <c r="T263" i="41"/>
  <c r="T264" i="41"/>
  <c r="T265" i="41"/>
  <c r="T266" i="41"/>
  <c r="T267" i="41"/>
  <c r="T268" i="41"/>
  <c r="T269" i="41"/>
  <c r="T270" i="41"/>
  <c r="T271" i="41"/>
  <c r="T272" i="41"/>
  <c r="T273" i="41"/>
  <c r="T274" i="41"/>
  <c r="T275" i="41"/>
  <c r="T276" i="41"/>
  <c r="T277" i="41"/>
  <c r="T278" i="41"/>
  <c r="T279" i="41"/>
  <c r="T280" i="41"/>
  <c r="T281" i="41"/>
  <c r="T282" i="41"/>
  <c r="T283" i="41"/>
  <c r="T284" i="41"/>
  <c r="T285" i="41"/>
  <c r="T286" i="41"/>
  <c r="T287" i="41"/>
  <c r="T288" i="41"/>
  <c r="T289" i="41"/>
  <c r="T290" i="41"/>
  <c r="T291" i="41"/>
  <c r="T292" i="41"/>
  <c r="T293" i="41"/>
  <c r="T294" i="41"/>
  <c r="T295" i="41"/>
  <c r="T296" i="41"/>
  <c r="T297" i="41"/>
  <c r="T298" i="41"/>
  <c r="T299" i="41"/>
  <c r="T300" i="41"/>
  <c r="T301" i="41"/>
  <c r="T302" i="41"/>
  <c r="T303" i="41"/>
  <c r="T304" i="41"/>
  <c r="T305" i="41"/>
  <c r="T306" i="41"/>
  <c r="T307" i="41"/>
  <c r="T308" i="41"/>
  <c r="T309" i="41"/>
  <c r="T310" i="41"/>
  <c r="T311" i="41"/>
  <c r="T312" i="41"/>
  <c r="T313" i="41"/>
  <c r="T314" i="41"/>
  <c r="T315" i="41"/>
  <c r="T316" i="41"/>
  <c r="T317" i="41"/>
  <c r="T318" i="41"/>
  <c r="T319" i="41"/>
  <c r="T320" i="41"/>
  <c r="T321" i="41"/>
  <c r="T322" i="41"/>
  <c r="T323" i="41"/>
  <c r="T324" i="41"/>
  <c r="T325" i="41"/>
  <c r="T326" i="41"/>
  <c r="T327" i="41"/>
  <c r="T328" i="41"/>
  <c r="T329" i="41"/>
  <c r="T330" i="41"/>
  <c r="T331" i="41"/>
  <c r="T332" i="41"/>
  <c r="T333" i="41"/>
  <c r="T334" i="41"/>
  <c r="T335" i="41"/>
  <c r="T336" i="41"/>
  <c r="T337" i="41"/>
  <c r="T338" i="41"/>
  <c r="T339" i="41"/>
  <c r="T340" i="41"/>
  <c r="T341" i="41"/>
  <c r="T342" i="41"/>
  <c r="T343" i="41"/>
  <c r="T344" i="41"/>
  <c r="T345" i="41"/>
  <c r="T346" i="41"/>
  <c r="T347" i="41"/>
  <c r="T348" i="41"/>
  <c r="T349" i="41"/>
  <c r="T350" i="41"/>
  <c r="T351" i="41"/>
  <c r="T352" i="41"/>
  <c r="T353" i="41"/>
  <c r="T354" i="41"/>
  <c r="T355" i="41"/>
  <c r="T356" i="41"/>
  <c r="T357" i="41"/>
  <c r="T358" i="41"/>
  <c r="T359" i="41"/>
  <c r="T360" i="41"/>
  <c r="T361" i="41"/>
  <c r="T362" i="41"/>
  <c r="T363" i="41"/>
  <c r="T364" i="41"/>
  <c r="T365" i="41"/>
  <c r="T366" i="41"/>
  <c r="T367" i="41"/>
  <c r="T368" i="41"/>
  <c r="T369" i="41"/>
  <c r="T370" i="41"/>
  <c r="T371" i="41"/>
  <c r="T372" i="41"/>
  <c r="T373" i="41"/>
  <c r="T374" i="41"/>
  <c r="T375" i="41"/>
  <c r="T376" i="41"/>
  <c r="T377" i="41"/>
  <c r="T378" i="41"/>
  <c r="T379" i="41"/>
  <c r="T380" i="41"/>
  <c r="T381" i="41"/>
  <c r="T382" i="41"/>
  <c r="T383" i="41"/>
  <c r="T384" i="41"/>
  <c r="T385" i="41"/>
  <c r="T386" i="41"/>
  <c r="T387" i="41"/>
  <c r="T388" i="41"/>
  <c r="T389" i="41"/>
  <c r="T390" i="41"/>
  <c r="T391" i="41"/>
  <c r="T392" i="41"/>
  <c r="T393" i="41"/>
  <c r="T394" i="41"/>
  <c r="T395" i="41"/>
  <c r="T396" i="41"/>
  <c r="T397" i="41"/>
  <c r="T398" i="41"/>
  <c r="T399" i="41"/>
  <c r="T400" i="41"/>
  <c r="T401" i="41"/>
  <c r="T402" i="41"/>
  <c r="T403" i="41"/>
  <c r="T404" i="41"/>
  <c r="T405" i="41"/>
  <c r="T406" i="41"/>
  <c r="T407" i="41"/>
  <c r="T408" i="41"/>
  <c r="T409" i="41"/>
  <c r="T410" i="41"/>
  <c r="T411" i="41"/>
  <c r="T412" i="41"/>
  <c r="T413" i="41"/>
  <c r="T414" i="41"/>
  <c r="T415" i="41"/>
  <c r="T416" i="41"/>
  <c r="T417" i="41"/>
  <c r="T418" i="41"/>
  <c r="T419" i="41"/>
  <c r="T420" i="41"/>
  <c r="T421" i="41"/>
  <c r="T422" i="41"/>
  <c r="T423" i="41"/>
  <c r="T424" i="41"/>
  <c r="T425" i="41"/>
  <c r="T426" i="41"/>
  <c r="T427" i="41"/>
  <c r="T428" i="41"/>
  <c r="T429" i="41"/>
  <c r="T430" i="41"/>
  <c r="T431" i="41"/>
  <c r="T432" i="41"/>
  <c r="T433" i="41"/>
  <c r="T434" i="41"/>
  <c r="T435" i="41"/>
  <c r="T436" i="41"/>
  <c r="T437" i="41"/>
  <c r="T438" i="41"/>
  <c r="T439" i="41"/>
  <c r="T440" i="41"/>
  <c r="T441" i="41"/>
  <c r="T442" i="41"/>
  <c r="T443" i="41"/>
  <c r="T444" i="41"/>
  <c r="T445" i="41"/>
  <c r="T446" i="41"/>
  <c r="T447" i="41"/>
  <c r="T448" i="41"/>
  <c r="T449" i="41"/>
  <c r="T450" i="41"/>
  <c r="T451" i="41"/>
  <c r="T452" i="41"/>
  <c r="T453" i="41"/>
  <c r="T454" i="41"/>
  <c r="T455" i="41"/>
  <c r="T456" i="41"/>
  <c r="T457" i="41"/>
  <c r="T458" i="41"/>
  <c r="T459" i="41"/>
  <c r="T460" i="41"/>
  <c r="T461" i="41"/>
  <c r="T462" i="41"/>
  <c r="T463" i="41"/>
  <c r="T464" i="41"/>
  <c r="T465" i="41"/>
  <c r="T466" i="41"/>
  <c r="T467" i="41"/>
  <c r="T468" i="41"/>
  <c r="T469" i="41"/>
  <c r="T470" i="41"/>
  <c r="T471" i="41"/>
  <c r="T472" i="41"/>
  <c r="T473" i="41"/>
  <c r="T474" i="41"/>
  <c r="T475" i="41"/>
  <c r="T476" i="41"/>
  <c r="T477" i="41"/>
  <c r="T478" i="41"/>
  <c r="T479" i="41"/>
  <c r="T480" i="41"/>
  <c r="T481" i="41"/>
  <c r="T482" i="41"/>
  <c r="T483" i="41"/>
  <c r="T484" i="41"/>
  <c r="T485" i="41"/>
  <c r="T486" i="41"/>
  <c r="T487" i="41"/>
  <c r="T488" i="41"/>
  <c r="T489" i="41"/>
  <c r="T490" i="41"/>
  <c r="T2" i="41"/>
  <c r="S3" i="31"/>
  <c r="S4" i="31"/>
  <c r="S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2" i="31"/>
  <c r="L3" i="32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L238" i="32"/>
  <c r="L239" i="32"/>
  <c r="L240" i="32"/>
  <c r="L241" i="32"/>
  <c r="L242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5" i="32"/>
  <c r="L256" i="32"/>
  <c r="L257" i="32"/>
  <c r="L258" i="32"/>
  <c r="L259" i="32"/>
  <c r="L260" i="32"/>
  <c r="L261" i="32"/>
  <c r="L262" i="32"/>
  <c r="L263" i="32"/>
  <c r="L264" i="32"/>
  <c r="L265" i="32"/>
  <c r="L266" i="32"/>
  <c r="L267" i="32"/>
  <c r="L268" i="32"/>
  <c r="L269" i="32"/>
  <c r="L270" i="32"/>
  <c r="L271" i="32"/>
  <c r="L272" i="32"/>
  <c r="L273" i="32"/>
  <c r="L274" i="32"/>
  <c r="L275" i="32"/>
  <c r="L276" i="32"/>
  <c r="L277" i="32"/>
  <c r="L278" i="32"/>
  <c r="L279" i="32"/>
  <c r="L280" i="32"/>
  <c r="L281" i="32"/>
  <c r="L282" i="32"/>
  <c r="L283" i="32"/>
  <c r="L284" i="32"/>
  <c r="L285" i="32"/>
  <c r="L286" i="32"/>
  <c r="L287" i="32"/>
  <c r="L288" i="32"/>
  <c r="L289" i="32"/>
  <c r="L290" i="32"/>
  <c r="L291" i="32"/>
  <c r="L292" i="32"/>
  <c r="L293" i="32"/>
  <c r="L294" i="32"/>
  <c r="L295" i="32"/>
  <c r="L296" i="32"/>
  <c r="L297" i="32"/>
  <c r="L298" i="32"/>
  <c r="L299" i="32"/>
  <c r="L300" i="32"/>
  <c r="L301" i="32"/>
  <c r="L302" i="32"/>
  <c r="L303" i="32"/>
  <c r="L304" i="32"/>
  <c r="L305" i="32"/>
  <c r="L306" i="32"/>
  <c r="L307" i="32"/>
  <c r="L308" i="32"/>
  <c r="L309" i="32"/>
  <c r="L310" i="32"/>
  <c r="L311" i="32"/>
  <c r="L312" i="32"/>
  <c r="L313" i="32"/>
  <c r="L314" i="32"/>
  <c r="L315" i="32"/>
  <c r="L316" i="32"/>
  <c r="L317" i="32"/>
  <c r="L318" i="32"/>
  <c r="L319" i="32"/>
  <c r="L320" i="32"/>
  <c r="L321" i="32"/>
  <c r="L322" i="32"/>
  <c r="L323" i="32"/>
  <c r="L324" i="32"/>
  <c r="L325" i="32"/>
  <c r="L326" i="32"/>
  <c r="L327" i="32"/>
  <c r="L328" i="32"/>
  <c r="L329" i="32"/>
  <c r="L330" i="32"/>
  <c r="L331" i="32"/>
  <c r="L332" i="32"/>
  <c r="L333" i="32"/>
  <c r="L334" i="32"/>
  <c r="L335" i="32"/>
  <c r="L336" i="32"/>
  <c r="L337" i="32"/>
  <c r="L338" i="32"/>
  <c r="L339" i="32"/>
  <c r="L340" i="32"/>
  <c r="L341" i="32"/>
  <c r="L342" i="32"/>
  <c r="L343" i="32"/>
  <c r="L344" i="32"/>
  <c r="L345" i="32"/>
  <c r="L346" i="32"/>
  <c r="L347" i="32"/>
  <c r="L348" i="32"/>
  <c r="L349" i="32"/>
  <c r="L350" i="32"/>
  <c r="L351" i="32"/>
  <c r="L352" i="32"/>
  <c r="L353" i="32"/>
  <c r="L354" i="32"/>
  <c r="L355" i="32"/>
  <c r="L356" i="32"/>
  <c r="L357" i="32"/>
  <c r="L358" i="32"/>
  <c r="L359" i="32"/>
  <c r="L360" i="32"/>
  <c r="L361" i="32"/>
  <c r="L362" i="32"/>
  <c r="L363" i="32"/>
  <c r="L364" i="32"/>
  <c r="L365" i="32"/>
  <c r="L366" i="32"/>
  <c r="L367" i="32"/>
  <c r="L368" i="32"/>
  <c r="L369" i="32"/>
  <c r="L370" i="32"/>
  <c r="L371" i="32"/>
  <c r="L372" i="32"/>
  <c r="L373" i="32"/>
  <c r="L374" i="32"/>
  <c r="L375" i="32"/>
  <c r="L376" i="32"/>
  <c r="L377" i="32"/>
  <c r="L378" i="32"/>
  <c r="L379" i="32"/>
  <c r="L380" i="32"/>
  <c r="L381" i="32"/>
  <c r="L382" i="32"/>
  <c r="L383" i="32"/>
  <c r="L384" i="32"/>
  <c r="L385" i="32"/>
  <c r="L386" i="32"/>
  <c r="L387" i="32"/>
  <c r="L2" i="32"/>
  <c r="V3" i="33"/>
  <c r="V4" i="33"/>
  <c r="V5" i="33"/>
  <c r="V6" i="33"/>
  <c r="V7" i="33"/>
  <c r="V8" i="33"/>
  <c r="V9" i="33"/>
  <c r="V10" i="33"/>
  <c r="V11" i="33"/>
  <c r="V12" i="33"/>
  <c r="V13" i="33"/>
  <c r="V14" i="33"/>
  <c r="V15" i="33"/>
  <c r="V16" i="33"/>
  <c r="V17" i="33"/>
  <c r="V18" i="33"/>
  <c r="V19" i="33"/>
  <c r="V20" i="33"/>
  <c r="V21" i="33"/>
  <c r="V22" i="33"/>
  <c r="V23" i="33"/>
  <c r="V24" i="33"/>
  <c r="V25" i="33"/>
  <c r="V26" i="33"/>
  <c r="V27" i="33"/>
  <c r="V28" i="33"/>
  <c r="V29" i="33"/>
  <c r="V30" i="33"/>
  <c r="V31" i="33"/>
  <c r="V32" i="33"/>
  <c r="V33" i="33"/>
  <c r="V34" i="33"/>
  <c r="V35" i="33"/>
  <c r="V36" i="33"/>
  <c r="V37" i="33"/>
  <c r="V38" i="33"/>
  <c r="V39" i="33"/>
  <c r="V40" i="33"/>
  <c r="V41" i="33"/>
  <c r="V42" i="33"/>
  <c r="V43" i="33"/>
  <c r="V44" i="33"/>
  <c r="V45" i="33"/>
  <c r="V46" i="33"/>
  <c r="V47" i="33"/>
  <c r="V48" i="33"/>
  <c r="V49" i="33"/>
  <c r="V50" i="33"/>
  <c r="V51" i="33"/>
  <c r="V52" i="33"/>
  <c r="V53" i="33"/>
  <c r="V54" i="33"/>
  <c r="V55" i="33"/>
  <c r="V56" i="33"/>
  <c r="V57" i="33"/>
  <c r="V58" i="33"/>
  <c r="V59" i="33"/>
  <c r="V60" i="33"/>
  <c r="V61" i="33"/>
  <c r="V62" i="33"/>
  <c r="V63" i="33"/>
  <c r="V64" i="33"/>
  <c r="V65" i="33"/>
  <c r="V66" i="33"/>
  <c r="V67" i="33"/>
  <c r="V68" i="33"/>
  <c r="V69" i="33"/>
  <c r="V70" i="33"/>
  <c r="V71" i="33"/>
  <c r="V72" i="33"/>
  <c r="V73" i="33"/>
  <c r="V74" i="33"/>
  <c r="V75" i="33"/>
  <c r="V76" i="33"/>
  <c r="V77" i="33"/>
  <c r="V78" i="33"/>
  <c r="V79" i="33"/>
  <c r="V80" i="33"/>
  <c r="V81" i="33"/>
  <c r="V82" i="33"/>
  <c r="V83" i="33"/>
  <c r="V84" i="33"/>
  <c r="V85" i="33"/>
  <c r="V86" i="33"/>
  <c r="V87" i="33"/>
  <c r="V88" i="33"/>
  <c r="V89" i="33"/>
  <c r="V90" i="33"/>
  <c r="V91" i="33"/>
  <c r="V92" i="33"/>
  <c r="V93" i="33"/>
  <c r="V94" i="33"/>
  <c r="V95" i="33"/>
  <c r="V96" i="33"/>
  <c r="V97" i="33"/>
  <c r="V98" i="33"/>
  <c r="V99" i="33"/>
  <c r="V100" i="33"/>
  <c r="V101" i="33"/>
  <c r="V102" i="33"/>
  <c r="V103" i="33"/>
  <c r="V104" i="33"/>
  <c r="V105" i="33"/>
  <c r="V106" i="33"/>
  <c r="V107" i="33"/>
  <c r="V108" i="33"/>
  <c r="V109" i="33"/>
  <c r="V110" i="33"/>
  <c r="V111" i="33"/>
  <c r="V112" i="33"/>
  <c r="V113" i="33"/>
  <c r="V114" i="33"/>
  <c r="V115" i="33"/>
  <c r="V116" i="33"/>
  <c r="V117" i="33"/>
  <c r="V118" i="33"/>
  <c r="V119" i="33"/>
  <c r="V120" i="33"/>
  <c r="V121" i="33"/>
  <c r="V122" i="33"/>
  <c r="V123" i="33"/>
  <c r="V124" i="33"/>
  <c r="V125" i="33"/>
  <c r="V126" i="33"/>
  <c r="V127" i="33"/>
  <c r="V128" i="33"/>
  <c r="V129" i="33"/>
  <c r="V130" i="33"/>
  <c r="V131" i="33"/>
  <c r="V132" i="33"/>
  <c r="V133" i="33"/>
  <c r="V134" i="33"/>
  <c r="V135" i="33"/>
  <c r="V136" i="33"/>
  <c r="V137" i="33"/>
  <c r="V138" i="33"/>
  <c r="V139" i="33"/>
  <c r="V140" i="33"/>
  <c r="V141" i="33"/>
  <c r="V142" i="33"/>
  <c r="V143" i="33"/>
  <c r="V2" i="33"/>
  <c r="R3" i="33"/>
  <c r="R4" i="33"/>
  <c r="R5" i="33"/>
  <c r="R6" i="33"/>
  <c r="R7" i="33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77" i="33"/>
  <c r="R78" i="33"/>
  <c r="R79" i="33"/>
  <c r="R80" i="33"/>
  <c r="R81" i="33"/>
  <c r="R82" i="33"/>
  <c r="R83" i="33"/>
  <c r="R84" i="33"/>
  <c r="R85" i="33"/>
  <c r="R86" i="33"/>
  <c r="R87" i="33"/>
  <c r="R88" i="33"/>
  <c r="R89" i="33"/>
  <c r="R90" i="33"/>
  <c r="R91" i="33"/>
  <c r="R92" i="33"/>
  <c r="R93" i="33"/>
  <c r="R94" i="33"/>
  <c r="R95" i="33"/>
  <c r="R96" i="33"/>
  <c r="R97" i="33"/>
  <c r="R98" i="33"/>
  <c r="R99" i="33"/>
  <c r="R100" i="33"/>
  <c r="R101" i="33"/>
  <c r="R102" i="33"/>
  <c r="R103" i="33"/>
  <c r="R104" i="33"/>
  <c r="R105" i="33"/>
  <c r="R106" i="33"/>
  <c r="R107" i="33"/>
  <c r="R108" i="33"/>
  <c r="R109" i="33"/>
  <c r="R110" i="33"/>
  <c r="R111" i="33"/>
  <c r="R112" i="33"/>
  <c r="R113" i="33"/>
  <c r="R114" i="33"/>
  <c r="R115" i="33"/>
  <c r="R116" i="33"/>
  <c r="R117" i="33"/>
  <c r="R118" i="33"/>
  <c r="R119" i="33"/>
  <c r="R120" i="33"/>
  <c r="R121" i="33"/>
  <c r="R122" i="33"/>
  <c r="R123" i="33"/>
  <c r="R124" i="33"/>
  <c r="R125" i="33"/>
  <c r="R126" i="33"/>
  <c r="R127" i="33"/>
  <c r="R128" i="33"/>
  <c r="R129" i="33"/>
  <c r="R130" i="33"/>
  <c r="R131" i="33"/>
  <c r="R132" i="33"/>
  <c r="R133" i="33"/>
  <c r="R134" i="33"/>
  <c r="R135" i="33"/>
  <c r="R136" i="33"/>
  <c r="R137" i="33"/>
  <c r="R138" i="33"/>
  <c r="R139" i="33"/>
  <c r="R140" i="33"/>
  <c r="R141" i="33"/>
  <c r="R142" i="33"/>
  <c r="R143" i="33"/>
  <c r="R2" i="33"/>
  <c r="P3" i="33"/>
  <c r="P4" i="33"/>
  <c r="P5" i="33"/>
  <c r="P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73" i="33"/>
  <c r="P74" i="33"/>
  <c r="P75" i="33"/>
  <c r="P76" i="33"/>
  <c r="P77" i="33"/>
  <c r="P78" i="33"/>
  <c r="P79" i="33"/>
  <c r="P80" i="33"/>
  <c r="P81" i="33"/>
  <c r="P82" i="33"/>
  <c r="P83" i="33"/>
  <c r="P84" i="33"/>
  <c r="P85" i="33"/>
  <c r="P86" i="33"/>
  <c r="P87" i="33"/>
  <c r="P88" i="33"/>
  <c r="P89" i="33"/>
  <c r="P90" i="33"/>
  <c r="P91" i="33"/>
  <c r="P92" i="33"/>
  <c r="P93" i="33"/>
  <c r="P94" i="33"/>
  <c r="P95" i="33"/>
  <c r="P96" i="33"/>
  <c r="P97" i="33"/>
  <c r="P98" i="33"/>
  <c r="P99" i="33"/>
  <c r="P100" i="33"/>
  <c r="P101" i="33"/>
  <c r="P102" i="33"/>
  <c r="P103" i="33"/>
  <c r="P104" i="33"/>
  <c r="P105" i="33"/>
  <c r="P106" i="33"/>
  <c r="P107" i="33"/>
  <c r="P108" i="33"/>
  <c r="P109" i="33"/>
  <c r="P110" i="33"/>
  <c r="P111" i="33"/>
  <c r="P112" i="33"/>
  <c r="P113" i="33"/>
  <c r="P114" i="33"/>
  <c r="P115" i="33"/>
  <c r="P116" i="33"/>
  <c r="P117" i="33"/>
  <c r="P118" i="33"/>
  <c r="P119" i="33"/>
  <c r="P120" i="33"/>
  <c r="P121" i="33"/>
  <c r="P122" i="33"/>
  <c r="P123" i="33"/>
  <c r="P124" i="33"/>
  <c r="P125" i="33"/>
  <c r="P126" i="33"/>
  <c r="P127" i="33"/>
  <c r="P128" i="33"/>
  <c r="P129" i="33"/>
  <c r="P130" i="33"/>
  <c r="P131" i="33"/>
  <c r="P132" i="33"/>
  <c r="P133" i="33"/>
  <c r="P134" i="33"/>
  <c r="P135" i="33"/>
  <c r="P136" i="33"/>
  <c r="P137" i="33"/>
  <c r="P138" i="33"/>
  <c r="P139" i="33"/>
  <c r="P140" i="33"/>
  <c r="P141" i="33"/>
  <c r="P142" i="33"/>
  <c r="P143" i="33"/>
  <c r="P2" i="33"/>
  <c r="N3" i="33"/>
  <c r="N4" i="33"/>
  <c r="N5" i="33"/>
  <c r="N6" i="33"/>
  <c r="N7" i="33"/>
  <c r="N8" i="33"/>
  <c r="N9" i="33"/>
  <c r="N10" i="33"/>
  <c r="N11" i="33"/>
  <c r="N12" i="33"/>
  <c r="N13" i="33"/>
  <c r="N14" i="33"/>
  <c r="N15" i="33"/>
  <c r="N16" i="33"/>
  <c r="N17" i="33"/>
  <c r="N18" i="33"/>
  <c r="N19" i="33"/>
  <c r="N20" i="33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50" i="33"/>
  <c r="N51" i="33"/>
  <c r="N52" i="33"/>
  <c r="N53" i="33"/>
  <c r="N54" i="33"/>
  <c r="N55" i="33"/>
  <c r="N56" i="33"/>
  <c r="N57" i="33"/>
  <c r="N58" i="33"/>
  <c r="N59" i="33"/>
  <c r="N60" i="33"/>
  <c r="N61" i="33"/>
  <c r="N62" i="33"/>
  <c r="N63" i="33"/>
  <c r="N64" i="33"/>
  <c r="N65" i="33"/>
  <c r="N66" i="33"/>
  <c r="N67" i="33"/>
  <c r="N68" i="33"/>
  <c r="N69" i="33"/>
  <c r="N70" i="33"/>
  <c r="N71" i="33"/>
  <c r="N72" i="33"/>
  <c r="N73" i="33"/>
  <c r="N74" i="33"/>
  <c r="N75" i="33"/>
  <c r="N76" i="33"/>
  <c r="N77" i="33"/>
  <c r="N78" i="33"/>
  <c r="N79" i="33"/>
  <c r="N80" i="33"/>
  <c r="N81" i="33"/>
  <c r="N82" i="33"/>
  <c r="N83" i="33"/>
  <c r="N84" i="33"/>
  <c r="N85" i="33"/>
  <c r="N86" i="33"/>
  <c r="N87" i="33"/>
  <c r="N88" i="33"/>
  <c r="N89" i="33"/>
  <c r="N90" i="33"/>
  <c r="N91" i="33"/>
  <c r="N92" i="33"/>
  <c r="N93" i="33"/>
  <c r="N94" i="33"/>
  <c r="N95" i="33"/>
  <c r="N96" i="33"/>
  <c r="N97" i="33"/>
  <c r="N98" i="33"/>
  <c r="N99" i="33"/>
  <c r="N100" i="33"/>
  <c r="N101" i="33"/>
  <c r="N102" i="33"/>
  <c r="N103" i="33"/>
  <c r="N104" i="33"/>
  <c r="N105" i="33"/>
  <c r="N106" i="33"/>
  <c r="N107" i="33"/>
  <c r="N108" i="33"/>
  <c r="N109" i="33"/>
  <c r="N110" i="33"/>
  <c r="N111" i="33"/>
  <c r="N112" i="33"/>
  <c r="N113" i="33"/>
  <c r="N114" i="33"/>
  <c r="N115" i="33"/>
  <c r="N116" i="33"/>
  <c r="N117" i="33"/>
  <c r="N118" i="33"/>
  <c r="N119" i="33"/>
  <c r="N120" i="33"/>
  <c r="N121" i="33"/>
  <c r="N122" i="33"/>
  <c r="N123" i="33"/>
  <c r="N124" i="33"/>
  <c r="N125" i="33"/>
  <c r="N126" i="33"/>
  <c r="N127" i="33"/>
  <c r="N128" i="33"/>
  <c r="N129" i="33"/>
  <c r="N130" i="33"/>
  <c r="N131" i="33"/>
  <c r="N132" i="33"/>
  <c r="N133" i="33"/>
  <c r="N134" i="33"/>
  <c r="N135" i="33"/>
  <c r="N136" i="33"/>
  <c r="N137" i="33"/>
  <c r="N138" i="33"/>
  <c r="N139" i="33"/>
  <c r="N140" i="33"/>
  <c r="N141" i="33"/>
  <c r="N142" i="33"/>
  <c r="N143" i="33"/>
  <c r="N2" i="33"/>
  <c r="L3" i="33"/>
  <c r="L4" i="33"/>
  <c r="L5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2" i="33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1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2" i="33"/>
  <c r="D3" i="33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D104" i="33"/>
  <c r="D105" i="33"/>
  <c r="D106" i="33"/>
  <c r="D107" i="33"/>
  <c r="D108" i="33"/>
  <c r="D109" i="33"/>
  <c r="D110" i="33"/>
  <c r="D111" i="33"/>
  <c r="D112" i="33"/>
  <c r="D113" i="33"/>
  <c r="D114" i="33"/>
  <c r="D115" i="33"/>
  <c r="D116" i="33"/>
  <c r="D117" i="33"/>
  <c r="D118" i="33"/>
  <c r="D119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D140" i="33"/>
  <c r="D141" i="33"/>
  <c r="D142" i="33"/>
  <c r="D143" i="33"/>
  <c r="D2" i="33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2" i="31"/>
  <c r="H3" i="32"/>
  <c r="H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3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7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2" i="32"/>
  <c r="H203" i="32"/>
  <c r="H204" i="32"/>
  <c r="H205" i="32"/>
  <c r="H206" i="32"/>
  <c r="H207" i="32"/>
  <c r="H208" i="32"/>
  <c r="H209" i="32"/>
  <c r="H210" i="32"/>
  <c r="H211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32" i="32"/>
  <c r="H233" i="32"/>
  <c r="H234" i="32"/>
  <c r="H235" i="32"/>
  <c r="H236" i="32"/>
  <c r="H237" i="32"/>
  <c r="H238" i="32"/>
  <c r="H239" i="32"/>
  <c r="H240" i="32"/>
  <c r="H241" i="32"/>
  <c r="H242" i="32"/>
  <c r="H243" i="32"/>
  <c r="H244" i="32"/>
  <c r="H245" i="32"/>
  <c r="H246" i="32"/>
  <c r="H247" i="32"/>
  <c r="H248" i="32"/>
  <c r="H249" i="32"/>
  <c r="H250" i="32"/>
  <c r="H251" i="32"/>
  <c r="H252" i="32"/>
  <c r="H253" i="32"/>
  <c r="H254" i="32"/>
  <c r="H255" i="32"/>
  <c r="H256" i="32"/>
  <c r="H257" i="32"/>
  <c r="H258" i="32"/>
  <c r="H259" i="32"/>
  <c r="H260" i="32"/>
  <c r="H261" i="32"/>
  <c r="H262" i="32"/>
  <c r="H263" i="32"/>
  <c r="H264" i="32"/>
  <c r="H265" i="32"/>
  <c r="H266" i="32"/>
  <c r="H267" i="32"/>
  <c r="H268" i="32"/>
  <c r="H269" i="32"/>
  <c r="H270" i="32"/>
  <c r="H271" i="32"/>
  <c r="H272" i="32"/>
  <c r="H273" i="32"/>
  <c r="H274" i="32"/>
  <c r="H275" i="32"/>
  <c r="H276" i="32"/>
  <c r="H277" i="32"/>
  <c r="H278" i="32"/>
  <c r="H279" i="32"/>
  <c r="H280" i="32"/>
  <c r="H281" i="32"/>
  <c r="H282" i="32"/>
  <c r="H283" i="32"/>
  <c r="H284" i="32"/>
  <c r="H285" i="32"/>
  <c r="H286" i="32"/>
  <c r="H287" i="32"/>
  <c r="H288" i="32"/>
  <c r="H289" i="32"/>
  <c r="H290" i="32"/>
  <c r="H291" i="32"/>
  <c r="H292" i="32"/>
  <c r="H293" i="32"/>
  <c r="H294" i="32"/>
  <c r="H295" i="32"/>
  <c r="H296" i="32"/>
  <c r="H297" i="32"/>
  <c r="H298" i="32"/>
  <c r="H299" i="32"/>
  <c r="H300" i="32"/>
  <c r="H301" i="32"/>
  <c r="H302" i="32"/>
  <c r="H303" i="32"/>
  <c r="H304" i="32"/>
  <c r="H305" i="32"/>
  <c r="H306" i="32"/>
  <c r="H307" i="32"/>
  <c r="H308" i="32"/>
  <c r="H309" i="32"/>
  <c r="H310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343" i="32"/>
  <c r="H344" i="32"/>
  <c r="H345" i="32"/>
  <c r="H346" i="32"/>
  <c r="H347" i="32"/>
  <c r="H348" i="32"/>
  <c r="H349" i="32"/>
  <c r="H350" i="32"/>
  <c r="H351" i="32"/>
  <c r="H352" i="32"/>
  <c r="H353" i="32"/>
  <c r="H354" i="32"/>
  <c r="H355" i="32"/>
  <c r="H356" i="32"/>
  <c r="H357" i="32"/>
  <c r="H358" i="32"/>
  <c r="H359" i="32"/>
  <c r="H360" i="32"/>
  <c r="H361" i="32"/>
  <c r="H362" i="32"/>
  <c r="H363" i="32"/>
  <c r="H364" i="32"/>
  <c r="H365" i="32"/>
  <c r="H366" i="32"/>
  <c r="H367" i="32"/>
  <c r="H368" i="32"/>
  <c r="H369" i="32"/>
  <c r="H370" i="32"/>
  <c r="H371" i="32"/>
  <c r="H372" i="32"/>
  <c r="H373" i="32"/>
  <c r="H374" i="32"/>
  <c r="H375" i="32"/>
  <c r="H376" i="32"/>
  <c r="H377" i="32"/>
  <c r="H378" i="32"/>
  <c r="H379" i="32"/>
  <c r="H380" i="32"/>
  <c r="H381" i="32"/>
  <c r="H382" i="32"/>
  <c r="H383" i="32"/>
  <c r="H384" i="32"/>
  <c r="H385" i="32"/>
  <c r="H386" i="32"/>
  <c r="H387" i="32"/>
  <c r="H2" i="32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160" i="32"/>
  <c r="D161" i="32"/>
  <c r="D162" i="32"/>
  <c r="D163" i="32"/>
  <c r="D164" i="32"/>
  <c r="D165" i="32"/>
  <c r="D166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5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29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328" i="32"/>
  <c r="D329" i="32"/>
  <c r="D330" i="32"/>
  <c r="D331" i="32"/>
  <c r="D332" i="32"/>
  <c r="D333" i="32"/>
  <c r="D334" i="32"/>
  <c r="D335" i="32"/>
  <c r="D336" i="32"/>
  <c r="D337" i="32"/>
  <c r="D338" i="32"/>
  <c r="D339" i="32"/>
  <c r="D340" i="32"/>
  <c r="D341" i="32"/>
  <c r="D342" i="32"/>
  <c r="D343" i="32"/>
  <c r="D344" i="32"/>
  <c r="D345" i="32"/>
  <c r="D346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361" i="32"/>
  <c r="D362" i="32"/>
  <c r="D363" i="32"/>
  <c r="D364" i="32"/>
  <c r="D365" i="32"/>
  <c r="D366" i="32"/>
  <c r="D367" i="32"/>
  <c r="D368" i="32"/>
  <c r="D369" i="32"/>
  <c r="D370" i="32"/>
  <c r="D371" i="32"/>
  <c r="D372" i="32"/>
  <c r="D373" i="32"/>
  <c r="D374" i="32"/>
  <c r="D375" i="32"/>
  <c r="D376" i="32"/>
  <c r="D377" i="32"/>
  <c r="D378" i="32"/>
  <c r="D379" i="32"/>
  <c r="D380" i="32"/>
  <c r="D381" i="32"/>
  <c r="D382" i="32"/>
  <c r="D383" i="32"/>
  <c r="D384" i="32"/>
  <c r="D385" i="32"/>
  <c r="D386" i="32"/>
  <c r="D387" i="32"/>
  <c r="D2" i="32"/>
  <c r="O3" i="32"/>
  <c r="O4" i="32"/>
  <c r="O5" i="32"/>
  <c r="O6" i="32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O24" i="32"/>
  <c r="O25" i="32"/>
  <c r="O26" i="32"/>
  <c r="O27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40" i="32"/>
  <c r="O41" i="32"/>
  <c r="O42" i="32"/>
  <c r="O43" i="32"/>
  <c r="O44" i="32"/>
  <c r="O45" i="32"/>
  <c r="O46" i="32"/>
  <c r="O47" i="32"/>
  <c r="O48" i="32"/>
  <c r="O49" i="32"/>
  <c r="O50" i="32"/>
  <c r="O51" i="32"/>
  <c r="O52" i="32"/>
  <c r="O53" i="32"/>
  <c r="O54" i="32"/>
  <c r="O55" i="32"/>
  <c r="O56" i="32"/>
  <c r="O57" i="32"/>
  <c r="O58" i="32"/>
  <c r="O59" i="32"/>
  <c r="O60" i="32"/>
  <c r="O61" i="32"/>
  <c r="O62" i="32"/>
  <c r="O63" i="32"/>
  <c r="O64" i="32"/>
  <c r="O65" i="32"/>
  <c r="O66" i="32"/>
  <c r="O67" i="32"/>
  <c r="O68" i="32"/>
  <c r="O69" i="32"/>
  <c r="O70" i="32"/>
  <c r="O71" i="32"/>
  <c r="O72" i="32"/>
  <c r="O73" i="32"/>
  <c r="O74" i="32"/>
  <c r="O75" i="32"/>
  <c r="O76" i="32"/>
  <c r="O77" i="32"/>
  <c r="O78" i="32"/>
  <c r="O79" i="32"/>
  <c r="O80" i="32"/>
  <c r="O81" i="32"/>
  <c r="O82" i="32"/>
  <c r="O83" i="32"/>
  <c r="O84" i="32"/>
  <c r="O85" i="32"/>
  <c r="O86" i="32"/>
  <c r="O87" i="32"/>
  <c r="O88" i="32"/>
  <c r="O89" i="32"/>
  <c r="O90" i="32"/>
  <c r="O91" i="32"/>
  <c r="O92" i="32"/>
  <c r="O93" i="32"/>
  <c r="O94" i="32"/>
  <c r="O95" i="32"/>
  <c r="O96" i="32"/>
  <c r="O97" i="32"/>
  <c r="O98" i="32"/>
  <c r="O99" i="32"/>
  <c r="O100" i="32"/>
  <c r="O101" i="32"/>
  <c r="O102" i="32"/>
  <c r="O103" i="32"/>
  <c r="O104" i="32"/>
  <c r="O105" i="32"/>
  <c r="O106" i="32"/>
  <c r="O107" i="32"/>
  <c r="O108" i="32"/>
  <c r="O109" i="32"/>
  <c r="O110" i="32"/>
  <c r="O111" i="32"/>
  <c r="O112" i="32"/>
  <c r="O113" i="32"/>
  <c r="O114" i="32"/>
  <c r="O115" i="32"/>
  <c r="O116" i="32"/>
  <c r="O117" i="32"/>
  <c r="O118" i="32"/>
  <c r="O119" i="32"/>
  <c r="O120" i="32"/>
  <c r="O121" i="32"/>
  <c r="O122" i="32"/>
  <c r="O123" i="32"/>
  <c r="O124" i="32"/>
  <c r="O125" i="32"/>
  <c r="O126" i="32"/>
  <c r="O127" i="32"/>
  <c r="O128" i="32"/>
  <c r="O129" i="32"/>
  <c r="O130" i="32"/>
  <c r="O131" i="32"/>
  <c r="O132" i="32"/>
  <c r="O133" i="32"/>
  <c r="O134" i="32"/>
  <c r="O135" i="32"/>
  <c r="O136" i="32"/>
  <c r="O137" i="32"/>
  <c r="O138" i="32"/>
  <c r="O139" i="32"/>
  <c r="O140" i="32"/>
  <c r="O141" i="32"/>
  <c r="O142" i="32"/>
  <c r="O143" i="32"/>
  <c r="O144" i="32"/>
  <c r="O145" i="32"/>
  <c r="O146" i="32"/>
  <c r="O147" i="32"/>
  <c r="O148" i="32"/>
  <c r="O149" i="32"/>
  <c r="O150" i="32"/>
  <c r="O151" i="32"/>
  <c r="O152" i="32"/>
  <c r="O153" i="32"/>
  <c r="O154" i="32"/>
  <c r="O155" i="32"/>
  <c r="O156" i="32"/>
  <c r="O157" i="32"/>
  <c r="O158" i="32"/>
  <c r="O159" i="32"/>
  <c r="O160" i="32"/>
  <c r="O161" i="32"/>
  <c r="O162" i="32"/>
  <c r="O163" i="32"/>
  <c r="O164" i="32"/>
  <c r="O165" i="32"/>
  <c r="O166" i="32"/>
  <c r="O167" i="32"/>
  <c r="O168" i="32"/>
  <c r="O169" i="32"/>
  <c r="O170" i="32"/>
  <c r="O171" i="32"/>
  <c r="O172" i="32"/>
  <c r="O173" i="32"/>
  <c r="O174" i="32"/>
  <c r="O175" i="32"/>
  <c r="O176" i="32"/>
  <c r="O177" i="32"/>
  <c r="O178" i="32"/>
  <c r="O179" i="32"/>
  <c r="O180" i="32"/>
  <c r="O181" i="32"/>
  <c r="O182" i="32"/>
  <c r="O183" i="32"/>
  <c r="O184" i="32"/>
  <c r="O185" i="32"/>
  <c r="O186" i="32"/>
  <c r="O187" i="32"/>
  <c r="O188" i="32"/>
  <c r="O189" i="32"/>
  <c r="O190" i="32"/>
  <c r="O191" i="32"/>
  <c r="O192" i="32"/>
  <c r="O193" i="32"/>
  <c r="O194" i="32"/>
  <c r="O195" i="32"/>
  <c r="O196" i="32"/>
  <c r="O197" i="32"/>
  <c r="O198" i="32"/>
  <c r="O199" i="32"/>
  <c r="O200" i="32"/>
  <c r="O201" i="32"/>
  <c r="O202" i="32"/>
  <c r="O203" i="32"/>
  <c r="O204" i="32"/>
  <c r="O205" i="32"/>
  <c r="O206" i="32"/>
  <c r="O207" i="32"/>
  <c r="O208" i="32"/>
  <c r="O209" i="32"/>
  <c r="O210" i="32"/>
  <c r="O211" i="32"/>
  <c r="O212" i="32"/>
  <c r="O213" i="32"/>
  <c r="O214" i="32"/>
  <c r="O215" i="32"/>
  <c r="O216" i="32"/>
  <c r="O217" i="32"/>
  <c r="O218" i="32"/>
  <c r="O219" i="32"/>
  <c r="O220" i="32"/>
  <c r="O221" i="32"/>
  <c r="O222" i="32"/>
  <c r="O223" i="32"/>
  <c r="O224" i="32"/>
  <c r="O225" i="32"/>
  <c r="O226" i="32"/>
  <c r="O227" i="32"/>
  <c r="O228" i="32"/>
  <c r="O229" i="32"/>
  <c r="O230" i="32"/>
  <c r="O231" i="32"/>
  <c r="O232" i="32"/>
  <c r="O233" i="32"/>
  <c r="O234" i="32"/>
  <c r="O235" i="32"/>
  <c r="O236" i="32"/>
  <c r="O237" i="32"/>
  <c r="O238" i="32"/>
  <c r="O239" i="32"/>
  <c r="O240" i="32"/>
  <c r="O241" i="32"/>
  <c r="O242" i="32"/>
  <c r="O243" i="32"/>
  <c r="O244" i="32"/>
  <c r="O245" i="32"/>
  <c r="O246" i="32"/>
  <c r="O247" i="32"/>
  <c r="O248" i="32"/>
  <c r="O249" i="32"/>
  <c r="O250" i="32"/>
  <c r="O251" i="32"/>
  <c r="O252" i="32"/>
  <c r="O253" i="32"/>
  <c r="O254" i="32"/>
  <c r="O255" i="32"/>
  <c r="O256" i="32"/>
  <c r="O257" i="32"/>
  <c r="O258" i="32"/>
  <c r="O259" i="32"/>
  <c r="O260" i="32"/>
  <c r="O261" i="32"/>
  <c r="O262" i="32"/>
  <c r="O263" i="32"/>
  <c r="O264" i="32"/>
  <c r="O265" i="32"/>
  <c r="O266" i="32"/>
  <c r="O267" i="32"/>
  <c r="O268" i="32"/>
  <c r="O269" i="32"/>
  <c r="O270" i="32"/>
  <c r="O271" i="32"/>
  <c r="O272" i="32"/>
  <c r="O273" i="32"/>
  <c r="O274" i="32"/>
  <c r="O275" i="32"/>
  <c r="O276" i="32"/>
  <c r="O277" i="32"/>
  <c r="O278" i="32"/>
  <c r="O279" i="32"/>
  <c r="O280" i="32"/>
  <c r="O281" i="32"/>
  <c r="O282" i="32"/>
  <c r="O283" i="32"/>
  <c r="O284" i="32"/>
  <c r="O285" i="32"/>
  <c r="O286" i="32"/>
  <c r="O287" i="32"/>
  <c r="O288" i="32"/>
  <c r="O289" i="32"/>
  <c r="O290" i="32"/>
  <c r="O291" i="32"/>
  <c r="O292" i="32"/>
  <c r="O293" i="32"/>
  <c r="O294" i="32"/>
  <c r="O295" i="32"/>
  <c r="O296" i="32"/>
  <c r="O297" i="32"/>
  <c r="O298" i="32"/>
  <c r="O299" i="32"/>
  <c r="O300" i="32"/>
  <c r="O301" i="32"/>
  <c r="O302" i="32"/>
  <c r="O303" i="32"/>
  <c r="O304" i="32"/>
  <c r="O305" i="32"/>
  <c r="O306" i="32"/>
  <c r="O307" i="32"/>
  <c r="O308" i="32"/>
  <c r="O309" i="32"/>
  <c r="O310" i="32"/>
  <c r="O311" i="32"/>
  <c r="O312" i="32"/>
  <c r="O313" i="32"/>
  <c r="O314" i="32"/>
  <c r="O315" i="32"/>
  <c r="O316" i="32"/>
  <c r="O317" i="32"/>
  <c r="O318" i="32"/>
  <c r="O319" i="32"/>
  <c r="O320" i="32"/>
  <c r="O321" i="32"/>
  <c r="O322" i="32"/>
  <c r="O323" i="32"/>
  <c r="O324" i="32"/>
  <c r="O325" i="32"/>
  <c r="O326" i="32"/>
  <c r="O327" i="32"/>
  <c r="O328" i="32"/>
  <c r="O329" i="32"/>
  <c r="O330" i="32"/>
  <c r="O331" i="32"/>
  <c r="O332" i="32"/>
  <c r="O333" i="32"/>
  <c r="O334" i="32"/>
  <c r="O335" i="32"/>
  <c r="O336" i="32"/>
  <c r="O337" i="32"/>
  <c r="O338" i="32"/>
  <c r="O339" i="32"/>
  <c r="O340" i="32"/>
  <c r="O341" i="32"/>
  <c r="O342" i="32"/>
  <c r="O343" i="32"/>
  <c r="O344" i="32"/>
  <c r="O345" i="32"/>
  <c r="O346" i="32"/>
  <c r="O347" i="32"/>
  <c r="O348" i="32"/>
  <c r="O349" i="32"/>
  <c r="O350" i="32"/>
  <c r="O351" i="32"/>
  <c r="O352" i="32"/>
  <c r="O353" i="32"/>
  <c r="O354" i="32"/>
  <c r="O355" i="32"/>
  <c r="O356" i="32"/>
  <c r="O357" i="32"/>
  <c r="O358" i="32"/>
  <c r="O359" i="32"/>
  <c r="O360" i="32"/>
  <c r="O361" i="32"/>
  <c r="O362" i="32"/>
  <c r="O363" i="32"/>
  <c r="O364" i="32"/>
  <c r="O365" i="32"/>
  <c r="O366" i="32"/>
  <c r="O367" i="32"/>
  <c r="O368" i="32"/>
  <c r="O369" i="32"/>
  <c r="O370" i="32"/>
  <c r="O371" i="32"/>
  <c r="O372" i="32"/>
  <c r="O373" i="32"/>
  <c r="O374" i="32"/>
  <c r="O375" i="32"/>
  <c r="O376" i="32"/>
  <c r="O377" i="32"/>
  <c r="O378" i="32"/>
  <c r="O379" i="32"/>
  <c r="O380" i="32"/>
  <c r="O381" i="32"/>
  <c r="O382" i="32"/>
  <c r="O383" i="32"/>
  <c r="O384" i="32"/>
  <c r="O385" i="32"/>
  <c r="O386" i="32"/>
  <c r="O387" i="32"/>
  <c r="O2" i="32"/>
  <c r="S3" i="32"/>
  <c r="S4" i="32"/>
  <c r="S5" i="32"/>
  <c r="S6" i="32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S24" i="32"/>
  <c r="S25" i="32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45" i="32"/>
  <c r="S46" i="32"/>
  <c r="S47" i="32"/>
  <c r="S48" i="32"/>
  <c r="S49" i="32"/>
  <c r="S50" i="32"/>
  <c r="S51" i="32"/>
  <c r="S52" i="32"/>
  <c r="S53" i="32"/>
  <c r="S54" i="32"/>
  <c r="S55" i="32"/>
  <c r="S56" i="32"/>
  <c r="S57" i="32"/>
  <c r="S58" i="32"/>
  <c r="S59" i="32"/>
  <c r="S60" i="32"/>
  <c r="S61" i="32"/>
  <c r="S62" i="32"/>
  <c r="S63" i="32"/>
  <c r="S64" i="32"/>
  <c r="S65" i="32"/>
  <c r="S66" i="32"/>
  <c r="S67" i="32"/>
  <c r="S68" i="32"/>
  <c r="S69" i="32"/>
  <c r="S70" i="32"/>
  <c r="S71" i="32"/>
  <c r="S72" i="32"/>
  <c r="S73" i="32"/>
  <c r="S74" i="32"/>
  <c r="S75" i="32"/>
  <c r="S76" i="32"/>
  <c r="S77" i="32"/>
  <c r="S78" i="32"/>
  <c r="S79" i="32"/>
  <c r="S80" i="32"/>
  <c r="S81" i="32"/>
  <c r="S82" i="32"/>
  <c r="S83" i="32"/>
  <c r="S84" i="32"/>
  <c r="S85" i="32"/>
  <c r="S86" i="32"/>
  <c r="S87" i="32"/>
  <c r="S88" i="32"/>
  <c r="S89" i="32"/>
  <c r="S90" i="32"/>
  <c r="S91" i="32"/>
  <c r="S92" i="32"/>
  <c r="S93" i="32"/>
  <c r="S94" i="32"/>
  <c r="S95" i="32"/>
  <c r="S96" i="32"/>
  <c r="S97" i="32"/>
  <c r="S98" i="32"/>
  <c r="S99" i="32"/>
  <c r="S100" i="32"/>
  <c r="S101" i="32"/>
  <c r="S102" i="32"/>
  <c r="S103" i="32"/>
  <c r="S104" i="32"/>
  <c r="S105" i="32"/>
  <c r="S106" i="32"/>
  <c r="S107" i="32"/>
  <c r="S108" i="32"/>
  <c r="S109" i="32"/>
  <c r="S110" i="32"/>
  <c r="S111" i="32"/>
  <c r="S112" i="32"/>
  <c r="S113" i="32"/>
  <c r="S114" i="32"/>
  <c r="S115" i="32"/>
  <c r="S116" i="32"/>
  <c r="S117" i="32"/>
  <c r="S118" i="32"/>
  <c r="S119" i="32"/>
  <c r="S120" i="32"/>
  <c r="S121" i="32"/>
  <c r="S122" i="32"/>
  <c r="S123" i="32"/>
  <c r="S124" i="32"/>
  <c r="S125" i="32"/>
  <c r="S126" i="32"/>
  <c r="S127" i="32"/>
  <c r="S128" i="32"/>
  <c r="S129" i="32"/>
  <c r="S130" i="32"/>
  <c r="S131" i="32"/>
  <c r="S132" i="32"/>
  <c r="S133" i="32"/>
  <c r="S134" i="32"/>
  <c r="S135" i="32"/>
  <c r="S136" i="32"/>
  <c r="S137" i="32"/>
  <c r="S138" i="32"/>
  <c r="S139" i="32"/>
  <c r="S140" i="32"/>
  <c r="S141" i="32"/>
  <c r="S142" i="32"/>
  <c r="S143" i="32"/>
  <c r="S144" i="32"/>
  <c r="S145" i="32"/>
  <c r="S146" i="32"/>
  <c r="S147" i="32"/>
  <c r="S148" i="32"/>
  <c r="S149" i="32"/>
  <c r="S150" i="32"/>
  <c r="S151" i="32"/>
  <c r="S152" i="32"/>
  <c r="S153" i="32"/>
  <c r="S154" i="32"/>
  <c r="S155" i="32"/>
  <c r="S156" i="32"/>
  <c r="S157" i="32"/>
  <c r="S158" i="32"/>
  <c r="S159" i="32"/>
  <c r="S160" i="32"/>
  <c r="S161" i="32"/>
  <c r="S162" i="32"/>
  <c r="S163" i="32"/>
  <c r="S164" i="32"/>
  <c r="S165" i="32"/>
  <c r="S166" i="32"/>
  <c r="S167" i="32"/>
  <c r="S168" i="32"/>
  <c r="S169" i="32"/>
  <c r="S170" i="32"/>
  <c r="S171" i="32"/>
  <c r="S172" i="32"/>
  <c r="S173" i="32"/>
  <c r="S174" i="32"/>
  <c r="S175" i="32"/>
  <c r="S176" i="32"/>
  <c r="S177" i="32"/>
  <c r="S178" i="32"/>
  <c r="S179" i="32"/>
  <c r="S180" i="32"/>
  <c r="S181" i="32"/>
  <c r="S182" i="32"/>
  <c r="S183" i="32"/>
  <c r="S184" i="32"/>
  <c r="S185" i="32"/>
  <c r="S186" i="32"/>
  <c r="S187" i="32"/>
  <c r="S188" i="32"/>
  <c r="S189" i="32"/>
  <c r="S190" i="32"/>
  <c r="S191" i="32"/>
  <c r="S192" i="32"/>
  <c r="S193" i="32"/>
  <c r="S194" i="32"/>
  <c r="S195" i="32"/>
  <c r="S196" i="32"/>
  <c r="S197" i="32"/>
  <c r="S198" i="32"/>
  <c r="S199" i="32"/>
  <c r="S200" i="32"/>
  <c r="S201" i="32"/>
  <c r="S202" i="32"/>
  <c r="S203" i="32"/>
  <c r="S204" i="32"/>
  <c r="S205" i="32"/>
  <c r="S206" i="32"/>
  <c r="S207" i="32"/>
  <c r="S208" i="32"/>
  <c r="S209" i="32"/>
  <c r="S210" i="32"/>
  <c r="S211" i="32"/>
  <c r="S212" i="32"/>
  <c r="S213" i="32"/>
  <c r="S214" i="32"/>
  <c r="S215" i="32"/>
  <c r="S216" i="32"/>
  <c r="S217" i="32"/>
  <c r="S218" i="32"/>
  <c r="S219" i="32"/>
  <c r="S220" i="32"/>
  <c r="S221" i="32"/>
  <c r="S222" i="32"/>
  <c r="S223" i="32"/>
  <c r="S224" i="32"/>
  <c r="S225" i="32"/>
  <c r="S226" i="32"/>
  <c r="S227" i="32"/>
  <c r="S228" i="32"/>
  <c r="S229" i="32"/>
  <c r="S230" i="32"/>
  <c r="S231" i="32"/>
  <c r="S232" i="32"/>
  <c r="S233" i="32"/>
  <c r="S234" i="32"/>
  <c r="S235" i="32"/>
  <c r="S236" i="32"/>
  <c r="S237" i="32"/>
  <c r="S238" i="32"/>
  <c r="S239" i="32"/>
  <c r="S240" i="32"/>
  <c r="S241" i="32"/>
  <c r="S242" i="32"/>
  <c r="S243" i="32"/>
  <c r="S244" i="32"/>
  <c r="S245" i="32"/>
  <c r="S246" i="32"/>
  <c r="S247" i="32"/>
  <c r="S248" i="32"/>
  <c r="S249" i="32"/>
  <c r="S250" i="32"/>
  <c r="S251" i="32"/>
  <c r="S252" i="32"/>
  <c r="S253" i="32"/>
  <c r="S254" i="32"/>
  <c r="S255" i="32"/>
  <c r="S256" i="32"/>
  <c r="S257" i="32"/>
  <c r="S258" i="32"/>
  <c r="S259" i="32"/>
  <c r="S260" i="32"/>
  <c r="S261" i="32"/>
  <c r="S262" i="32"/>
  <c r="S263" i="32"/>
  <c r="S264" i="32"/>
  <c r="S265" i="32"/>
  <c r="S266" i="32"/>
  <c r="S267" i="32"/>
  <c r="S268" i="32"/>
  <c r="S269" i="32"/>
  <c r="S270" i="32"/>
  <c r="S271" i="32"/>
  <c r="S272" i="32"/>
  <c r="S273" i="32"/>
  <c r="S274" i="32"/>
  <c r="S275" i="32"/>
  <c r="S276" i="32"/>
  <c r="S277" i="32"/>
  <c r="S278" i="32"/>
  <c r="S279" i="32"/>
  <c r="S280" i="32"/>
  <c r="S281" i="32"/>
  <c r="S282" i="32"/>
  <c r="S283" i="32"/>
  <c r="S284" i="32"/>
  <c r="S285" i="32"/>
  <c r="S286" i="32"/>
  <c r="S287" i="32"/>
  <c r="S288" i="32"/>
  <c r="S289" i="32"/>
  <c r="S290" i="32"/>
  <c r="S291" i="32"/>
  <c r="S292" i="32"/>
  <c r="S293" i="32"/>
  <c r="S294" i="32"/>
  <c r="S295" i="32"/>
  <c r="S296" i="32"/>
  <c r="S297" i="32"/>
  <c r="S298" i="32"/>
  <c r="S299" i="32"/>
  <c r="S300" i="32"/>
  <c r="S301" i="32"/>
  <c r="S302" i="32"/>
  <c r="S303" i="32"/>
  <c r="S304" i="32"/>
  <c r="S305" i="32"/>
  <c r="S306" i="32"/>
  <c r="S307" i="32"/>
  <c r="S308" i="32"/>
  <c r="S309" i="32"/>
  <c r="S310" i="32"/>
  <c r="S311" i="32"/>
  <c r="S312" i="32"/>
  <c r="S313" i="32"/>
  <c r="S314" i="32"/>
  <c r="S315" i="32"/>
  <c r="S316" i="32"/>
  <c r="S317" i="32"/>
  <c r="S318" i="32"/>
  <c r="S319" i="32"/>
  <c r="S320" i="32"/>
  <c r="S321" i="32"/>
  <c r="S322" i="32"/>
  <c r="S323" i="32"/>
  <c r="S324" i="32"/>
  <c r="S325" i="32"/>
  <c r="S326" i="32"/>
  <c r="S327" i="32"/>
  <c r="S328" i="32"/>
  <c r="S329" i="32"/>
  <c r="S330" i="32"/>
  <c r="S331" i="32"/>
  <c r="S332" i="32"/>
  <c r="S333" i="32"/>
  <c r="S334" i="32"/>
  <c r="S335" i="32"/>
  <c r="S336" i="32"/>
  <c r="S337" i="32"/>
  <c r="S338" i="32"/>
  <c r="S339" i="32"/>
  <c r="S340" i="32"/>
  <c r="S341" i="32"/>
  <c r="S342" i="32"/>
  <c r="S343" i="32"/>
  <c r="S344" i="32"/>
  <c r="S345" i="32"/>
  <c r="S346" i="32"/>
  <c r="S347" i="32"/>
  <c r="S348" i="32"/>
  <c r="S349" i="32"/>
  <c r="S350" i="32"/>
  <c r="S351" i="32"/>
  <c r="S352" i="32"/>
  <c r="S353" i="32"/>
  <c r="S354" i="32"/>
  <c r="S355" i="32"/>
  <c r="S356" i="32"/>
  <c r="S357" i="32"/>
  <c r="S358" i="32"/>
  <c r="S359" i="32"/>
  <c r="S360" i="32"/>
  <c r="S361" i="32"/>
  <c r="S362" i="32"/>
  <c r="S363" i="32"/>
  <c r="S364" i="32"/>
  <c r="S365" i="32"/>
  <c r="S366" i="32"/>
  <c r="S367" i="32"/>
  <c r="S368" i="32"/>
  <c r="S369" i="32"/>
  <c r="S370" i="32"/>
  <c r="S371" i="32"/>
  <c r="S372" i="32"/>
  <c r="S373" i="32"/>
  <c r="S374" i="32"/>
  <c r="S375" i="32"/>
  <c r="S376" i="32"/>
  <c r="S377" i="32"/>
  <c r="S378" i="32"/>
  <c r="S379" i="32"/>
  <c r="S380" i="32"/>
  <c r="S381" i="32"/>
  <c r="S382" i="32"/>
  <c r="S383" i="32"/>
  <c r="S384" i="32"/>
  <c r="S385" i="32"/>
  <c r="S386" i="32"/>
  <c r="S387" i="32"/>
  <c r="S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111" i="32"/>
  <c r="Q112" i="32"/>
  <c r="Q113" i="32"/>
  <c r="Q114" i="32"/>
  <c r="Q115" i="32"/>
  <c r="Q116" i="32"/>
  <c r="Q117" i="32"/>
  <c r="Q118" i="32"/>
  <c r="Q119" i="32"/>
  <c r="Q120" i="32"/>
  <c r="Q121" i="32"/>
  <c r="Q122" i="32"/>
  <c r="Q123" i="32"/>
  <c r="Q124" i="32"/>
  <c r="Q125" i="32"/>
  <c r="Q126" i="32"/>
  <c r="Q127" i="32"/>
  <c r="Q128" i="32"/>
  <c r="Q129" i="32"/>
  <c r="Q130" i="32"/>
  <c r="Q131" i="32"/>
  <c r="Q132" i="32"/>
  <c r="Q133" i="32"/>
  <c r="Q134" i="32"/>
  <c r="Q135" i="32"/>
  <c r="Q136" i="32"/>
  <c r="Q137" i="32"/>
  <c r="Q138" i="32"/>
  <c r="Q139" i="32"/>
  <c r="Q140" i="32"/>
  <c r="Q141" i="32"/>
  <c r="Q142" i="32"/>
  <c r="Q143" i="32"/>
  <c r="Q144" i="32"/>
  <c r="Q145" i="32"/>
  <c r="Q146" i="32"/>
  <c r="Q147" i="32"/>
  <c r="Q148" i="32"/>
  <c r="Q149" i="32"/>
  <c r="Q150" i="32"/>
  <c r="Q151" i="32"/>
  <c r="Q152" i="32"/>
  <c r="Q153" i="32"/>
  <c r="Q154" i="32"/>
  <c r="Q155" i="32"/>
  <c r="Q156" i="32"/>
  <c r="Q157" i="32"/>
  <c r="Q158" i="32"/>
  <c r="Q159" i="32"/>
  <c r="Q160" i="32"/>
  <c r="Q161" i="32"/>
  <c r="Q162" i="32"/>
  <c r="Q163" i="32"/>
  <c r="Q164" i="32"/>
  <c r="Q165" i="32"/>
  <c r="Q166" i="32"/>
  <c r="Q167" i="32"/>
  <c r="Q168" i="32"/>
  <c r="Q169" i="32"/>
  <c r="Q170" i="32"/>
  <c r="Q171" i="32"/>
  <c r="Q172" i="32"/>
  <c r="Q173" i="32"/>
  <c r="Q174" i="32"/>
  <c r="Q175" i="32"/>
  <c r="Q176" i="32"/>
  <c r="Q177" i="32"/>
  <c r="Q178" i="32"/>
  <c r="Q179" i="32"/>
  <c r="Q180" i="32"/>
  <c r="Q181" i="32"/>
  <c r="Q182" i="32"/>
  <c r="Q183" i="32"/>
  <c r="Q184" i="32"/>
  <c r="Q185" i="32"/>
  <c r="Q186" i="32"/>
  <c r="Q187" i="32"/>
  <c r="Q188" i="32"/>
  <c r="Q189" i="32"/>
  <c r="Q190" i="32"/>
  <c r="Q191" i="32"/>
  <c r="Q192" i="32"/>
  <c r="Q193" i="32"/>
  <c r="Q194" i="32"/>
  <c r="Q195" i="32"/>
  <c r="Q196" i="32"/>
  <c r="Q197" i="32"/>
  <c r="Q198" i="32"/>
  <c r="Q199" i="32"/>
  <c r="Q200" i="32"/>
  <c r="Q201" i="32"/>
  <c r="Q202" i="32"/>
  <c r="Q203" i="32"/>
  <c r="Q204" i="32"/>
  <c r="Q205" i="32"/>
  <c r="Q206" i="32"/>
  <c r="Q207" i="32"/>
  <c r="Q208" i="32"/>
  <c r="Q209" i="32"/>
  <c r="Q210" i="32"/>
  <c r="Q211" i="32"/>
  <c r="Q212" i="32"/>
  <c r="Q213" i="32"/>
  <c r="Q214" i="32"/>
  <c r="Q215" i="32"/>
  <c r="Q216" i="32"/>
  <c r="Q217" i="32"/>
  <c r="Q218" i="32"/>
  <c r="Q219" i="32"/>
  <c r="Q220" i="32"/>
  <c r="Q221" i="32"/>
  <c r="Q222" i="32"/>
  <c r="Q223" i="32"/>
  <c r="Q224" i="32"/>
  <c r="Q225" i="32"/>
  <c r="Q226" i="32"/>
  <c r="Q227" i="32"/>
  <c r="Q228" i="32"/>
  <c r="Q229" i="32"/>
  <c r="Q230" i="32"/>
  <c r="Q231" i="32"/>
  <c r="Q232" i="32"/>
  <c r="Q233" i="32"/>
  <c r="Q234" i="32"/>
  <c r="Q235" i="32"/>
  <c r="Q236" i="32"/>
  <c r="Q237" i="32"/>
  <c r="Q238" i="32"/>
  <c r="Q239" i="32"/>
  <c r="Q240" i="32"/>
  <c r="Q241" i="32"/>
  <c r="Q242" i="32"/>
  <c r="Q243" i="32"/>
  <c r="Q244" i="32"/>
  <c r="Q245" i="32"/>
  <c r="Q246" i="32"/>
  <c r="Q247" i="32"/>
  <c r="Q248" i="32"/>
  <c r="Q249" i="32"/>
  <c r="Q250" i="32"/>
  <c r="Q251" i="32"/>
  <c r="Q252" i="32"/>
  <c r="Q253" i="32"/>
  <c r="Q254" i="32"/>
  <c r="Q255" i="32"/>
  <c r="Q256" i="32"/>
  <c r="Q257" i="32"/>
  <c r="Q258" i="32"/>
  <c r="Q259" i="32"/>
  <c r="Q260" i="32"/>
  <c r="Q261" i="32"/>
  <c r="Q262" i="32"/>
  <c r="Q263" i="32"/>
  <c r="Q264" i="32"/>
  <c r="Q265" i="32"/>
  <c r="Q266" i="32"/>
  <c r="Q267" i="32"/>
  <c r="Q268" i="32"/>
  <c r="Q269" i="32"/>
  <c r="Q270" i="32"/>
  <c r="Q271" i="32"/>
  <c r="Q272" i="32"/>
  <c r="Q273" i="32"/>
  <c r="Q274" i="32"/>
  <c r="Q275" i="32"/>
  <c r="Q276" i="32"/>
  <c r="Q277" i="32"/>
  <c r="Q278" i="32"/>
  <c r="Q279" i="32"/>
  <c r="Q280" i="32"/>
  <c r="Q281" i="32"/>
  <c r="Q282" i="32"/>
  <c r="Q283" i="32"/>
  <c r="Q284" i="32"/>
  <c r="Q285" i="32"/>
  <c r="Q286" i="32"/>
  <c r="Q287" i="32"/>
  <c r="Q288" i="32"/>
  <c r="Q289" i="32"/>
  <c r="Q290" i="32"/>
  <c r="Q291" i="32"/>
  <c r="Q292" i="32"/>
  <c r="Q293" i="32"/>
  <c r="Q294" i="32"/>
  <c r="Q295" i="32"/>
  <c r="Q296" i="32"/>
  <c r="Q297" i="32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317" i="32"/>
  <c r="Q318" i="32"/>
  <c r="Q319" i="32"/>
  <c r="Q320" i="32"/>
  <c r="Q321" i="32"/>
  <c r="Q322" i="32"/>
  <c r="Q323" i="32"/>
  <c r="Q324" i="32"/>
  <c r="Q325" i="32"/>
  <c r="Q326" i="32"/>
  <c r="Q327" i="32"/>
  <c r="Q328" i="32"/>
  <c r="Q329" i="32"/>
  <c r="Q330" i="32"/>
  <c r="Q331" i="32"/>
  <c r="Q332" i="32"/>
  <c r="Q333" i="32"/>
  <c r="Q334" i="32"/>
  <c r="Q335" i="32"/>
  <c r="Q336" i="32"/>
  <c r="Q337" i="32"/>
  <c r="Q338" i="32"/>
  <c r="Q339" i="32"/>
  <c r="Q340" i="32"/>
  <c r="Q341" i="32"/>
  <c r="Q342" i="32"/>
  <c r="Q343" i="32"/>
  <c r="Q344" i="32"/>
  <c r="Q345" i="32"/>
  <c r="Q346" i="32"/>
  <c r="Q347" i="32"/>
  <c r="Q348" i="32"/>
  <c r="Q349" i="32"/>
  <c r="Q350" i="32"/>
  <c r="Q351" i="32"/>
  <c r="Q352" i="32"/>
  <c r="Q353" i="32"/>
  <c r="Q354" i="32"/>
  <c r="Q355" i="32"/>
  <c r="Q356" i="32"/>
  <c r="Q357" i="32"/>
  <c r="Q358" i="32"/>
  <c r="Q359" i="32"/>
  <c r="Q360" i="32"/>
  <c r="Q361" i="32"/>
  <c r="Q362" i="32"/>
  <c r="Q363" i="32"/>
  <c r="Q364" i="32"/>
  <c r="Q365" i="32"/>
  <c r="Q366" i="32"/>
  <c r="Q367" i="32"/>
  <c r="Q368" i="32"/>
  <c r="Q369" i="32"/>
  <c r="Q370" i="32"/>
  <c r="Q371" i="32"/>
  <c r="Q372" i="32"/>
  <c r="Q373" i="32"/>
  <c r="Q374" i="32"/>
  <c r="Q375" i="32"/>
  <c r="Q376" i="32"/>
  <c r="Q377" i="32"/>
  <c r="Q378" i="32"/>
  <c r="Q379" i="32"/>
  <c r="Q380" i="32"/>
  <c r="Q381" i="32"/>
  <c r="Q382" i="32"/>
  <c r="Q383" i="32"/>
  <c r="Q384" i="32"/>
  <c r="Q385" i="32"/>
  <c r="Q386" i="32"/>
  <c r="Q387" i="32"/>
  <c r="Q2" i="32"/>
  <c r="W3" i="32"/>
  <c r="W4" i="32"/>
  <c r="W5" i="32"/>
  <c r="W6" i="32"/>
  <c r="W7" i="32"/>
  <c r="W8" i="32"/>
  <c r="W9" i="32"/>
  <c r="W10" i="32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7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89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W304" i="32"/>
  <c r="W305" i="32"/>
  <c r="W306" i="32"/>
  <c r="W307" i="32"/>
  <c r="W308" i="32"/>
  <c r="W309" i="32"/>
  <c r="W310" i="32"/>
  <c r="W311" i="32"/>
  <c r="W312" i="32"/>
  <c r="W313" i="32"/>
  <c r="W314" i="32"/>
  <c r="W315" i="32"/>
  <c r="W316" i="32"/>
  <c r="W317" i="32"/>
  <c r="W318" i="32"/>
  <c r="W319" i="32"/>
  <c r="W320" i="32"/>
  <c r="W321" i="32"/>
  <c r="W322" i="32"/>
  <c r="W323" i="32"/>
  <c r="W324" i="32"/>
  <c r="W325" i="32"/>
  <c r="W326" i="32"/>
  <c r="W327" i="32"/>
  <c r="W328" i="32"/>
  <c r="W329" i="32"/>
  <c r="W330" i="32"/>
  <c r="W331" i="32"/>
  <c r="W332" i="32"/>
  <c r="W333" i="32"/>
  <c r="W334" i="32"/>
  <c r="W335" i="32"/>
  <c r="W336" i="32"/>
  <c r="W337" i="32"/>
  <c r="W338" i="32"/>
  <c r="W339" i="32"/>
  <c r="W340" i="32"/>
  <c r="W341" i="32"/>
  <c r="W342" i="32"/>
  <c r="W343" i="32"/>
  <c r="W344" i="32"/>
  <c r="W345" i="32"/>
  <c r="W346" i="32"/>
  <c r="W347" i="32"/>
  <c r="W348" i="32"/>
  <c r="W349" i="32"/>
  <c r="W350" i="32"/>
  <c r="W351" i="32"/>
  <c r="W352" i="32"/>
  <c r="W353" i="32"/>
  <c r="W354" i="32"/>
  <c r="W355" i="32"/>
  <c r="W356" i="32"/>
  <c r="W357" i="32"/>
  <c r="W358" i="32"/>
  <c r="W359" i="32"/>
  <c r="W360" i="32"/>
  <c r="W361" i="32"/>
  <c r="W362" i="32"/>
  <c r="W363" i="32"/>
  <c r="W364" i="32"/>
  <c r="W365" i="32"/>
  <c r="W366" i="32"/>
  <c r="W367" i="32"/>
  <c r="W368" i="32"/>
  <c r="W369" i="32"/>
  <c r="W370" i="32"/>
  <c r="W371" i="32"/>
  <c r="W372" i="32"/>
  <c r="W373" i="32"/>
  <c r="W374" i="32"/>
  <c r="W375" i="32"/>
  <c r="W376" i="32"/>
  <c r="W377" i="32"/>
  <c r="W378" i="32"/>
  <c r="W379" i="32"/>
  <c r="W380" i="32"/>
  <c r="W381" i="32"/>
  <c r="W382" i="32"/>
  <c r="W383" i="32"/>
  <c r="W384" i="32"/>
  <c r="W385" i="32"/>
  <c r="W386" i="32"/>
  <c r="W387" i="32"/>
  <c r="W2" i="32"/>
  <c r="D3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2" i="31"/>
  <c r="L3" i="31"/>
  <c r="L4" i="31"/>
  <c r="L5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2" i="31"/>
  <c r="O3" i="31"/>
  <c r="O4" i="31"/>
  <c r="O5" i="31"/>
  <c r="O6" i="31"/>
  <c r="O7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53" i="31"/>
  <c r="O54" i="31"/>
  <c r="O55" i="31"/>
  <c r="O56" i="31"/>
  <c r="O57" i="31"/>
  <c r="O58" i="31"/>
  <c r="O59" i="31"/>
  <c r="O60" i="31"/>
  <c r="O61" i="31"/>
  <c r="O62" i="31"/>
  <c r="O63" i="31"/>
  <c r="O64" i="31"/>
  <c r="O65" i="31"/>
  <c r="O66" i="31"/>
  <c r="O67" i="31"/>
  <c r="O68" i="31"/>
  <c r="O69" i="31"/>
  <c r="O70" i="31"/>
  <c r="O71" i="31"/>
  <c r="O72" i="31"/>
  <c r="O73" i="31"/>
  <c r="O74" i="31"/>
  <c r="O75" i="31"/>
  <c r="O76" i="31"/>
  <c r="O77" i="31"/>
  <c r="O78" i="31"/>
  <c r="O79" i="31"/>
  <c r="O80" i="31"/>
  <c r="O81" i="31"/>
  <c r="O82" i="31"/>
  <c r="O83" i="31"/>
  <c r="O84" i="31"/>
  <c r="O85" i="31"/>
  <c r="O86" i="31"/>
  <c r="O87" i="31"/>
  <c r="O88" i="31"/>
  <c r="O89" i="31"/>
  <c r="O90" i="31"/>
  <c r="O91" i="31"/>
  <c r="O92" i="31"/>
  <c r="O93" i="31"/>
  <c r="O94" i="31"/>
  <c r="O95" i="31"/>
  <c r="O96" i="31"/>
  <c r="O97" i="31"/>
  <c r="O98" i="31"/>
  <c r="O99" i="31"/>
  <c r="O100" i="31"/>
  <c r="O101" i="31"/>
  <c r="O102" i="31"/>
  <c r="O103" i="31"/>
  <c r="O104" i="31"/>
  <c r="O105" i="31"/>
  <c r="O106" i="31"/>
  <c r="O107" i="31"/>
  <c r="O108" i="31"/>
  <c r="O109" i="31"/>
  <c r="O110" i="31"/>
  <c r="O111" i="31"/>
  <c r="O112" i="31"/>
  <c r="O113" i="31"/>
  <c r="O114" i="31"/>
  <c r="O115" i="31"/>
  <c r="O116" i="31"/>
  <c r="O117" i="31"/>
  <c r="O118" i="31"/>
  <c r="O119" i="31"/>
  <c r="O120" i="31"/>
  <c r="O121" i="31"/>
  <c r="O122" i="31"/>
  <c r="O123" i="31"/>
  <c r="O124" i="31"/>
  <c r="O125" i="31"/>
  <c r="O126" i="31"/>
  <c r="O127" i="31"/>
  <c r="O128" i="31"/>
  <c r="O129" i="31"/>
  <c r="O130" i="31"/>
  <c r="O131" i="31"/>
  <c r="O132" i="31"/>
  <c r="O133" i="31"/>
  <c r="O134" i="31"/>
  <c r="O135" i="31"/>
  <c r="O136" i="31"/>
  <c r="O137" i="31"/>
  <c r="O138" i="31"/>
  <c r="O139" i="31"/>
  <c r="O140" i="31"/>
  <c r="O141" i="31"/>
  <c r="O142" i="31"/>
  <c r="O143" i="31"/>
  <c r="O144" i="31"/>
  <c r="O145" i="31"/>
  <c r="O146" i="31"/>
  <c r="O147" i="31"/>
  <c r="O148" i="31"/>
  <c r="O149" i="31"/>
  <c r="O150" i="31"/>
  <c r="O151" i="31"/>
  <c r="O152" i="31"/>
  <c r="O153" i="31"/>
  <c r="O154" i="31"/>
  <c r="O155" i="31"/>
  <c r="O156" i="31"/>
  <c r="O157" i="31"/>
  <c r="O158" i="31"/>
  <c r="O159" i="31"/>
  <c r="O160" i="31"/>
  <c r="O161" i="31"/>
  <c r="O162" i="31"/>
  <c r="O163" i="31"/>
  <c r="O164" i="31"/>
  <c r="O165" i="31"/>
  <c r="O166" i="31"/>
  <c r="O167" i="31"/>
  <c r="O168" i="31"/>
  <c r="O169" i="31"/>
  <c r="O170" i="31"/>
  <c r="O171" i="31"/>
  <c r="O172" i="31"/>
  <c r="O173" i="31"/>
  <c r="O2" i="31"/>
  <c r="Q3" i="31"/>
  <c r="Q4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2" i="31"/>
  <c r="W3" i="3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W100" i="31"/>
  <c r="W101" i="31"/>
  <c r="W102" i="31"/>
  <c r="W103" i="31"/>
  <c r="W104" i="31"/>
  <c r="W105" i="31"/>
  <c r="W106" i="31"/>
  <c r="W107" i="31"/>
  <c r="W108" i="31"/>
  <c r="W109" i="31"/>
  <c r="W110" i="31"/>
  <c r="W111" i="31"/>
  <c r="W112" i="31"/>
  <c r="W113" i="31"/>
  <c r="W114" i="31"/>
  <c r="W115" i="31"/>
  <c r="W116" i="31"/>
  <c r="W117" i="31"/>
  <c r="W118" i="31"/>
  <c r="W119" i="31"/>
  <c r="W120" i="31"/>
  <c r="W121" i="31"/>
  <c r="W122" i="31"/>
  <c r="W123" i="31"/>
  <c r="W124" i="31"/>
  <c r="W125" i="31"/>
  <c r="W126" i="31"/>
  <c r="W127" i="31"/>
  <c r="W128" i="31"/>
  <c r="W129" i="31"/>
  <c r="W130" i="31"/>
  <c r="W131" i="31"/>
  <c r="W132" i="31"/>
  <c r="W133" i="31"/>
  <c r="W134" i="31"/>
  <c r="W135" i="31"/>
  <c r="W136" i="31"/>
  <c r="W137" i="31"/>
  <c r="W138" i="31"/>
  <c r="W139" i="31"/>
  <c r="W140" i="31"/>
  <c r="W141" i="31"/>
  <c r="W142" i="31"/>
  <c r="W143" i="31"/>
  <c r="W144" i="31"/>
  <c r="W145" i="31"/>
  <c r="W146" i="31"/>
  <c r="W147" i="31"/>
  <c r="W148" i="31"/>
  <c r="W149" i="31"/>
  <c r="W150" i="31"/>
  <c r="W151" i="31"/>
  <c r="W152" i="31"/>
  <c r="W153" i="31"/>
  <c r="W154" i="31"/>
  <c r="W155" i="31"/>
  <c r="W156" i="31"/>
  <c r="W157" i="31"/>
  <c r="W158" i="31"/>
  <c r="W159" i="31"/>
  <c r="W160" i="31"/>
  <c r="W161" i="31"/>
  <c r="W162" i="31"/>
  <c r="W163" i="31"/>
  <c r="W164" i="31"/>
  <c r="W165" i="31"/>
  <c r="W166" i="31"/>
  <c r="W167" i="31"/>
  <c r="W168" i="31"/>
  <c r="W169" i="31"/>
  <c r="W170" i="31"/>
  <c r="W171" i="31"/>
  <c r="W172" i="31"/>
  <c r="W173" i="31"/>
  <c r="W2" i="31"/>
  <c r="C3" i="35"/>
  <c r="C4" i="35"/>
  <c r="C5" i="35"/>
  <c r="C6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106" i="35"/>
  <c r="C107" i="35"/>
  <c r="C108" i="35"/>
  <c r="C109" i="35"/>
  <c r="C110" i="35"/>
  <c r="C111" i="35"/>
  <c r="C112" i="35"/>
  <c r="C113" i="35"/>
  <c r="C114" i="35"/>
  <c r="C115" i="35"/>
  <c r="C116" i="35"/>
  <c r="C117" i="35"/>
  <c r="C118" i="35"/>
  <c r="C119" i="35"/>
  <c r="C120" i="35"/>
  <c r="C121" i="35"/>
  <c r="C122" i="35"/>
  <c r="C123" i="35"/>
  <c r="C124" i="35"/>
  <c r="C125" i="35"/>
  <c r="C126" i="35"/>
  <c r="C127" i="35"/>
  <c r="C128" i="35"/>
  <c r="C129" i="35"/>
  <c r="C130" i="35"/>
  <c r="C131" i="35"/>
  <c r="C132" i="35"/>
  <c r="C133" i="35"/>
  <c r="C134" i="35"/>
  <c r="C135" i="35"/>
  <c r="C136" i="35"/>
  <c r="C137" i="35"/>
  <c r="C138" i="35"/>
  <c r="C139" i="35"/>
  <c r="C140" i="35"/>
  <c r="C141" i="35"/>
  <c r="C142" i="35"/>
  <c r="C143" i="35"/>
  <c r="C144" i="35"/>
  <c r="C145" i="35"/>
  <c r="C146" i="35"/>
  <c r="C147" i="35"/>
  <c r="C148" i="35"/>
  <c r="C149" i="35"/>
  <c r="C150" i="35"/>
  <c r="C151" i="35"/>
  <c r="C152" i="35"/>
  <c r="C153" i="35"/>
  <c r="C154" i="35"/>
  <c r="C155" i="35"/>
  <c r="C156" i="35"/>
  <c r="C157" i="35"/>
  <c r="C158" i="35"/>
  <c r="C159" i="35"/>
  <c r="C160" i="35"/>
  <c r="C161" i="35"/>
  <c r="C162" i="35"/>
  <c r="C163" i="35"/>
  <c r="C164" i="35"/>
  <c r="C165" i="35"/>
  <c r="C166" i="35"/>
  <c r="C167" i="35"/>
  <c r="C168" i="35"/>
  <c r="C169" i="35"/>
  <c r="C170" i="35"/>
  <c r="C171" i="35"/>
  <c r="C172" i="35"/>
  <c r="C173" i="35"/>
  <c r="C174" i="35"/>
  <c r="C175" i="35"/>
  <c r="C176" i="35"/>
  <c r="C177" i="35"/>
  <c r="C178" i="35"/>
  <c r="C179" i="35"/>
  <c r="C180" i="35"/>
  <c r="C181" i="35"/>
  <c r="C182" i="35"/>
  <c r="C183" i="35"/>
  <c r="C184" i="35"/>
  <c r="C185" i="35"/>
  <c r="C186" i="35"/>
  <c r="C187" i="35"/>
  <c r="C188" i="35"/>
  <c r="C189" i="35"/>
  <c r="C190" i="35"/>
  <c r="C191" i="35"/>
  <c r="C192" i="35"/>
  <c r="C193" i="35"/>
  <c r="C194" i="35"/>
  <c r="C195" i="35"/>
  <c r="C196" i="35"/>
  <c r="C197" i="35"/>
  <c r="C198" i="35"/>
  <c r="C199" i="35"/>
  <c r="C200" i="35"/>
  <c r="C201" i="35"/>
  <c r="C202" i="35"/>
  <c r="C203" i="35"/>
  <c r="C204" i="35"/>
  <c r="C205" i="35"/>
  <c r="C206" i="35"/>
  <c r="C207" i="35"/>
  <c r="C208" i="35"/>
  <c r="C209" i="35"/>
  <c r="C210" i="35"/>
  <c r="C211" i="35"/>
  <c r="C212" i="35"/>
  <c r="C213" i="35"/>
  <c r="C214" i="35"/>
  <c r="C215" i="35"/>
  <c r="C216" i="35"/>
  <c r="C217" i="35"/>
  <c r="C218" i="35"/>
  <c r="C219" i="35"/>
  <c r="C220" i="35"/>
  <c r="C221" i="35"/>
  <c r="C222" i="35"/>
  <c r="C223" i="35"/>
  <c r="C224" i="35"/>
  <c r="C225" i="35"/>
  <c r="C226" i="35"/>
  <c r="C227" i="35"/>
  <c r="C228" i="35"/>
  <c r="C229" i="35"/>
  <c r="C230" i="35"/>
  <c r="C231" i="35"/>
  <c r="C232" i="35"/>
  <c r="C233" i="35"/>
  <c r="C234" i="35"/>
  <c r="C235" i="35"/>
  <c r="C236" i="35"/>
  <c r="C237" i="35"/>
  <c r="C238" i="35"/>
  <c r="C239" i="35"/>
  <c r="C240" i="35"/>
  <c r="C241" i="35"/>
  <c r="C242" i="35"/>
  <c r="C243" i="35"/>
  <c r="C244" i="35"/>
  <c r="C245" i="35"/>
  <c r="C2" i="35"/>
  <c r="G3" i="35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212" i="35"/>
  <c r="G213" i="35"/>
  <c r="G214" i="35"/>
  <c r="G215" i="35"/>
  <c r="G216" i="35"/>
  <c r="G217" i="35"/>
  <c r="G218" i="35"/>
  <c r="G219" i="35"/>
  <c r="G220" i="35"/>
  <c r="G221" i="35"/>
  <c r="G222" i="35"/>
  <c r="G223" i="35"/>
  <c r="G224" i="35"/>
  <c r="G225" i="35"/>
  <c r="G226" i="35"/>
  <c r="G227" i="35"/>
  <c r="G228" i="35"/>
  <c r="G229" i="35"/>
  <c r="G230" i="35"/>
  <c r="G231" i="35"/>
  <c r="G232" i="35"/>
  <c r="G233" i="35"/>
  <c r="G234" i="35"/>
  <c r="G235" i="35"/>
  <c r="G236" i="35"/>
  <c r="G237" i="35"/>
  <c r="G238" i="35"/>
  <c r="G239" i="35"/>
  <c r="G240" i="35"/>
  <c r="G241" i="35"/>
  <c r="G242" i="35"/>
  <c r="G243" i="35"/>
  <c r="G244" i="35"/>
  <c r="G245" i="35"/>
  <c r="G2" i="35"/>
  <c r="P3" i="35"/>
  <c r="P4" i="35"/>
  <c r="P5" i="35"/>
  <c r="P6" i="35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P31" i="35"/>
  <c r="P32" i="35"/>
  <c r="P33" i="35"/>
  <c r="P34" i="35"/>
  <c r="P35" i="35"/>
  <c r="P36" i="35"/>
  <c r="P37" i="35"/>
  <c r="P38" i="35"/>
  <c r="P39" i="35"/>
  <c r="P40" i="35"/>
  <c r="P41" i="35"/>
  <c r="P42" i="35"/>
  <c r="P43" i="35"/>
  <c r="P44" i="35"/>
  <c r="P45" i="35"/>
  <c r="P46" i="35"/>
  <c r="P47" i="35"/>
  <c r="P48" i="35"/>
  <c r="P49" i="35"/>
  <c r="P50" i="35"/>
  <c r="P51" i="35"/>
  <c r="P52" i="35"/>
  <c r="P53" i="35"/>
  <c r="P54" i="35"/>
  <c r="P55" i="35"/>
  <c r="P56" i="35"/>
  <c r="P57" i="35"/>
  <c r="P58" i="35"/>
  <c r="P59" i="35"/>
  <c r="P60" i="35"/>
  <c r="P61" i="35"/>
  <c r="P62" i="35"/>
  <c r="P63" i="35"/>
  <c r="P64" i="35"/>
  <c r="P65" i="35"/>
  <c r="P66" i="35"/>
  <c r="P67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89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P111" i="35"/>
  <c r="P112" i="35"/>
  <c r="P113" i="35"/>
  <c r="P114" i="35"/>
  <c r="P115" i="35"/>
  <c r="P116" i="35"/>
  <c r="P117" i="35"/>
  <c r="P118" i="35"/>
  <c r="P119" i="35"/>
  <c r="P120" i="35"/>
  <c r="P121" i="35"/>
  <c r="P122" i="35"/>
  <c r="P123" i="35"/>
  <c r="P124" i="35"/>
  <c r="P125" i="35"/>
  <c r="P126" i="35"/>
  <c r="P127" i="35"/>
  <c r="P128" i="35"/>
  <c r="P129" i="35"/>
  <c r="P130" i="35"/>
  <c r="P131" i="35"/>
  <c r="P132" i="35"/>
  <c r="P133" i="35"/>
  <c r="P134" i="35"/>
  <c r="P135" i="35"/>
  <c r="P136" i="35"/>
  <c r="P137" i="35"/>
  <c r="P138" i="35"/>
  <c r="P139" i="35"/>
  <c r="P140" i="35"/>
  <c r="P141" i="35"/>
  <c r="P142" i="35"/>
  <c r="P143" i="35"/>
  <c r="P144" i="35"/>
  <c r="P145" i="35"/>
  <c r="P146" i="35"/>
  <c r="P147" i="35"/>
  <c r="P148" i="35"/>
  <c r="P149" i="35"/>
  <c r="P150" i="35"/>
  <c r="P151" i="35"/>
  <c r="P152" i="35"/>
  <c r="P153" i="35"/>
  <c r="P154" i="35"/>
  <c r="P155" i="35"/>
  <c r="P156" i="35"/>
  <c r="P157" i="35"/>
  <c r="P158" i="35"/>
  <c r="P159" i="35"/>
  <c r="P160" i="35"/>
  <c r="P161" i="35"/>
  <c r="P162" i="35"/>
  <c r="P163" i="35"/>
  <c r="P164" i="35"/>
  <c r="P165" i="35"/>
  <c r="P166" i="35"/>
  <c r="P167" i="35"/>
  <c r="P168" i="35"/>
  <c r="P169" i="35"/>
  <c r="P170" i="35"/>
  <c r="P171" i="35"/>
  <c r="P172" i="35"/>
  <c r="P173" i="35"/>
  <c r="P174" i="35"/>
  <c r="P175" i="35"/>
  <c r="P176" i="35"/>
  <c r="P177" i="35"/>
  <c r="P178" i="35"/>
  <c r="P179" i="35"/>
  <c r="P180" i="35"/>
  <c r="P181" i="35"/>
  <c r="P182" i="35"/>
  <c r="P183" i="35"/>
  <c r="P184" i="35"/>
  <c r="P185" i="35"/>
  <c r="P186" i="35"/>
  <c r="P187" i="35"/>
  <c r="P188" i="35"/>
  <c r="P189" i="35"/>
  <c r="P190" i="35"/>
  <c r="P191" i="35"/>
  <c r="P192" i="35"/>
  <c r="P193" i="35"/>
  <c r="P194" i="35"/>
  <c r="P195" i="35"/>
  <c r="P196" i="35"/>
  <c r="P197" i="35"/>
  <c r="P198" i="35"/>
  <c r="P199" i="35"/>
  <c r="P200" i="35"/>
  <c r="P201" i="35"/>
  <c r="P202" i="35"/>
  <c r="P203" i="35"/>
  <c r="P204" i="35"/>
  <c r="P205" i="35"/>
  <c r="P206" i="35"/>
  <c r="P207" i="35"/>
  <c r="P208" i="35"/>
  <c r="P209" i="35"/>
  <c r="P210" i="35"/>
  <c r="P211" i="35"/>
  <c r="P212" i="35"/>
  <c r="P213" i="35"/>
  <c r="P214" i="35"/>
  <c r="P215" i="35"/>
  <c r="P216" i="35"/>
  <c r="P217" i="35"/>
  <c r="P218" i="35"/>
  <c r="P219" i="35"/>
  <c r="P220" i="35"/>
  <c r="P221" i="35"/>
  <c r="P222" i="35"/>
  <c r="P223" i="35"/>
  <c r="P224" i="35"/>
  <c r="P225" i="35"/>
  <c r="P226" i="35"/>
  <c r="P227" i="35"/>
  <c r="P228" i="35"/>
  <c r="P229" i="35"/>
  <c r="P230" i="35"/>
  <c r="P231" i="35"/>
  <c r="P232" i="35"/>
  <c r="P233" i="35"/>
  <c r="P234" i="35"/>
  <c r="P235" i="35"/>
  <c r="P236" i="35"/>
  <c r="P237" i="35"/>
  <c r="P238" i="35"/>
  <c r="P239" i="35"/>
  <c r="P240" i="35"/>
  <c r="P241" i="35"/>
  <c r="P242" i="35"/>
  <c r="P243" i="35"/>
  <c r="P244" i="35"/>
  <c r="P245" i="35"/>
  <c r="P2" i="35"/>
  <c r="N3" i="35"/>
  <c r="N4" i="35"/>
  <c r="N5" i="35"/>
  <c r="N6" i="35"/>
  <c r="N7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N31" i="35"/>
  <c r="N32" i="35"/>
  <c r="N33" i="35"/>
  <c r="N34" i="35"/>
  <c r="N35" i="35"/>
  <c r="N36" i="35"/>
  <c r="N37" i="35"/>
  <c r="N38" i="35"/>
  <c r="N39" i="35"/>
  <c r="N40" i="35"/>
  <c r="N41" i="35"/>
  <c r="N42" i="35"/>
  <c r="N43" i="35"/>
  <c r="N44" i="35"/>
  <c r="N45" i="35"/>
  <c r="N46" i="35"/>
  <c r="N47" i="35"/>
  <c r="N48" i="35"/>
  <c r="N49" i="35"/>
  <c r="N50" i="35"/>
  <c r="N51" i="35"/>
  <c r="N52" i="35"/>
  <c r="N53" i="35"/>
  <c r="N54" i="35"/>
  <c r="N55" i="35"/>
  <c r="N56" i="35"/>
  <c r="N57" i="35"/>
  <c r="N58" i="35"/>
  <c r="N59" i="35"/>
  <c r="N60" i="35"/>
  <c r="N61" i="35"/>
  <c r="N62" i="35"/>
  <c r="N63" i="35"/>
  <c r="N64" i="35"/>
  <c r="N65" i="35"/>
  <c r="N66" i="35"/>
  <c r="N67" i="35"/>
  <c r="N68" i="35"/>
  <c r="N69" i="35"/>
  <c r="N70" i="35"/>
  <c r="N71" i="35"/>
  <c r="N72" i="35"/>
  <c r="N73" i="35"/>
  <c r="N74" i="35"/>
  <c r="N75" i="35"/>
  <c r="N76" i="35"/>
  <c r="N77" i="35"/>
  <c r="N78" i="35"/>
  <c r="N79" i="35"/>
  <c r="N80" i="35"/>
  <c r="N81" i="35"/>
  <c r="N82" i="35"/>
  <c r="N83" i="35"/>
  <c r="N84" i="35"/>
  <c r="N85" i="35"/>
  <c r="N86" i="35"/>
  <c r="N87" i="35"/>
  <c r="N88" i="35"/>
  <c r="N89" i="35"/>
  <c r="N90" i="35"/>
  <c r="N91" i="35"/>
  <c r="N92" i="35"/>
  <c r="N93" i="35"/>
  <c r="N94" i="35"/>
  <c r="N95" i="35"/>
  <c r="N96" i="35"/>
  <c r="N97" i="35"/>
  <c r="N98" i="35"/>
  <c r="N99" i="35"/>
  <c r="N100" i="35"/>
  <c r="N101" i="35"/>
  <c r="N102" i="35"/>
  <c r="N103" i="35"/>
  <c r="N104" i="35"/>
  <c r="N105" i="35"/>
  <c r="N106" i="35"/>
  <c r="N107" i="35"/>
  <c r="N108" i="35"/>
  <c r="N109" i="35"/>
  <c r="N110" i="35"/>
  <c r="N111" i="35"/>
  <c r="N112" i="35"/>
  <c r="N113" i="35"/>
  <c r="N114" i="35"/>
  <c r="N115" i="35"/>
  <c r="N116" i="35"/>
  <c r="N117" i="35"/>
  <c r="N118" i="35"/>
  <c r="N119" i="35"/>
  <c r="N120" i="35"/>
  <c r="N121" i="35"/>
  <c r="N122" i="35"/>
  <c r="N123" i="35"/>
  <c r="N124" i="35"/>
  <c r="N125" i="35"/>
  <c r="N126" i="35"/>
  <c r="N127" i="35"/>
  <c r="N128" i="35"/>
  <c r="N129" i="35"/>
  <c r="N130" i="35"/>
  <c r="N131" i="35"/>
  <c r="N132" i="35"/>
  <c r="N133" i="35"/>
  <c r="N134" i="35"/>
  <c r="N135" i="35"/>
  <c r="N136" i="35"/>
  <c r="N137" i="35"/>
  <c r="N138" i="35"/>
  <c r="N139" i="35"/>
  <c r="N140" i="35"/>
  <c r="N141" i="35"/>
  <c r="N142" i="35"/>
  <c r="N143" i="35"/>
  <c r="N144" i="35"/>
  <c r="N145" i="35"/>
  <c r="N146" i="35"/>
  <c r="N147" i="35"/>
  <c r="N148" i="35"/>
  <c r="N149" i="35"/>
  <c r="N150" i="35"/>
  <c r="N151" i="35"/>
  <c r="N152" i="35"/>
  <c r="N153" i="35"/>
  <c r="N154" i="35"/>
  <c r="N155" i="35"/>
  <c r="N156" i="35"/>
  <c r="N157" i="35"/>
  <c r="N158" i="35"/>
  <c r="N159" i="35"/>
  <c r="N160" i="35"/>
  <c r="N161" i="35"/>
  <c r="N162" i="35"/>
  <c r="N163" i="35"/>
  <c r="N164" i="35"/>
  <c r="N165" i="35"/>
  <c r="N166" i="35"/>
  <c r="N167" i="35"/>
  <c r="N168" i="35"/>
  <c r="N169" i="35"/>
  <c r="N170" i="35"/>
  <c r="N171" i="35"/>
  <c r="N172" i="35"/>
  <c r="N173" i="35"/>
  <c r="N174" i="35"/>
  <c r="N175" i="35"/>
  <c r="N176" i="35"/>
  <c r="N177" i="35"/>
  <c r="N178" i="35"/>
  <c r="N179" i="35"/>
  <c r="N180" i="35"/>
  <c r="N181" i="35"/>
  <c r="N182" i="35"/>
  <c r="N183" i="35"/>
  <c r="N184" i="35"/>
  <c r="N185" i="35"/>
  <c r="N186" i="35"/>
  <c r="N187" i="35"/>
  <c r="N188" i="35"/>
  <c r="N189" i="35"/>
  <c r="N190" i="35"/>
  <c r="N191" i="35"/>
  <c r="N192" i="35"/>
  <c r="N193" i="35"/>
  <c r="N194" i="35"/>
  <c r="N195" i="35"/>
  <c r="N196" i="35"/>
  <c r="N197" i="35"/>
  <c r="N198" i="35"/>
  <c r="N199" i="35"/>
  <c r="N200" i="35"/>
  <c r="N201" i="35"/>
  <c r="N202" i="35"/>
  <c r="N203" i="35"/>
  <c r="N204" i="35"/>
  <c r="N205" i="35"/>
  <c r="N206" i="35"/>
  <c r="N207" i="35"/>
  <c r="N208" i="35"/>
  <c r="N209" i="35"/>
  <c r="N210" i="35"/>
  <c r="N211" i="35"/>
  <c r="N212" i="35"/>
  <c r="N213" i="35"/>
  <c r="N214" i="35"/>
  <c r="N215" i="35"/>
  <c r="N216" i="35"/>
  <c r="N217" i="35"/>
  <c r="N218" i="35"/>
  <c r="N219" i="35"/>
  <c r="N220" i="35"/>
  <c r="N221" i="35"/>
  <c r="N222" i="35"/>
  <c r="N223" i="35"/>
  <c r="N224" i="35"/>
  <c r="N225" i="35"/>
  <c r="N226" i="35"/>
  <c r="N227" i="35"/>
  <c r="N228" i="35"/>
  <c r="N229" i="35"/>
  <c r="N230" i="35"/>
  <c r="N231" i="35"/>
  <c r="N232" i="35"/>
  <c r="N233" i="35"/>
  <c r="N234" i="35"/>
  <c r="N235" i="35"/>
  <c r="N236" i="35"/>
  <c r="N237" i="35"/>
  <c r="N238" i="35"/>
  <c r="N239" i="35"/>
  <c r="N240" i="35"/>
  <c r="N241" i="35"/>
  <c r="N242" i="35"/>
  <c r="N243" i="35"/>
  <c r="N244" i="35"/>
  <c r="N245" i="35"/>
  <c r="N2" i="35"/>
  <c r="L3" i="35"/>
  <c r="L4" i="35"/>
  <c r="L5" i="35"/>
  <c r="L6" i="35"/>
  <c r="L7" i="35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29" i="35"/>
  <c r="L130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1" i="35"/>
  <c r="L162" i="35"/>
  <c r="L163" i="35"/>
  <c r="L164" i="35"/>
  <c r="L165" i="35"/>
  <c r="L166" i="35"/>
  <c r="L167" i="35"/>
  <c r="L168" i="35"/>
  <c r="L169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188" i="35"/>
  <c r="L189" i="35"/>
  <c r="L190" i="35"/>
  <c r="L191" i="35"/>
  <c r="L192" i="35"/>
  <c r="L193" i="35"/>
  <c r="L194" i="35"/>
  <c r="L195" i="35"/>
  <c r="L196" i="35"/>
  <c r="L197" i="35"/>
  <c r="L198" i="35"/>
  <c r="L199" i="35"/>
  <c r="L200" i="35"/>
  <c r="L201" i="35"/>
  <c r="L202" i="35"/>
  <c r="L203" i="35"/>
  <c r="L204" i="35"/>
  <c r="L205" i="35"/>
  <c r="L206" i="35"/>
  <c r="L207" i="35"/>
  <c r="L208" i="35"/>
  <c r="L209" i="35"/>
  <c r="L210" i="35"/>
  <c r="L211" i="35"/>
  <c r="L212" i="35"/>
  <c r="L213" i="35"/>
  <c r="L214" i="35"/>
  <c r="L215" i="35"/>
  <c r="L216" i="35"/>
  <c r="L217" i="35"/>
  <c r="L218" i="35"/>
  <c r="L219" i="35"/>
  <c r="L220" i="35"/>
  <c r="L221" i="35"/>
  <c r="L222" i="35"/>
  <c r="L223" i="35"/>
  <c r="L224" i="35"/>
  <c r="L225" i="35"/>
  <c r="L226" i="35"/>
  <c r="L227" i="35"/>
  <c r="L228" i="35"/>
  <c r="L229" i="35"/>
  <c r="L230" i="35"/>
  <c r="L231" i="35"/>
  <c r="L232" i="35"/>
  <c r="L233" i="35"/>
  <c r="L234" i="35"/>
  <c r="L235" i="35"/>
  <c r="L236" i="35"/>
  <c r="L237" i="35"/>
  <c r="L238" i="35"/>
  <c r="L239" i="35"/>
  <c r="L240" i="35"/>
  <c r="L241" i="35"/>
  <c r="L242" i="35"/>
  <c r="L243" i="35"/>
  <c r="L244" i="35"/>
  <c r="L245" i="35"/>
  <c r="L2" i="35"/>
  <c r="Q3" i="34"/>
  <c r="Q4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303" i="34"/>
  <c r="Q304" i="34"/>
  <c r="Q305" i="34"/>
  <c r="Q306" i="34"/>
  <c r="Q307" i="34"/>
  <c r="Q308" i="34"/>
  <c r="Q309" i="34"/>
  <c r="Q310" i="34"/>
  <c r="Q311" i="34"/>
  <c r="Q312" i="34"/>
  <c r="Q313" i="34"/>
  <c r="Q314" i="34"/>
  <c r="Q315" i="34"/>
  <c r="Q316" i="34"/>
  <c r="Q317" i="34"/>
  <c r="Q318" i="34"/>
  <c r="Q319" i="34"/>
  <c r="Q320" i="34"/>
  <c r="Q321" i="34"/>
  <c r="Q322" i="34"/>
  <c r="Q323" i="34"/>
  <c r="Q324" i="34"/>
  <c r="Q325" i="34"/>
  <c r="Q326" i="34"/>
  <c r="Q327" i="34"/>
  <c r="Q328" i="34"/>
  <c r="Q329" i="34"/>
  <c r="Q330" i="34"/>
  <c r="Q331" i="34"/>
  <c r="Q332" i="34"/>
  <c r="Q333" i="34"/>
  <c r="Q334" i="34"/>
  <c r="Q335" i="34"/>
  <c r="Q336" i="34"/>
  <c r="Q337" i="34"/>
  <c r="Q338" i="34"/>
  <c r="Q339" i="34"/>
  <c r="Q340" i="34"/>
  <c r="Q341" i="34"/>
  <c r="Q342" i="34"/>
  <c r="Q343" i="34"/>
  <c r="Q344" i="34"/>
  <c r="Q345" i="34"/>
  <c r="Q346" i="34"/>
  <c r="Q347" i="34"/>
  <c r="Q348" i="34"/>
  <c r="Q349" i="34"/>
  <c r="Q350" i="34"/>
  <c r="Q351" i="34"/>
  <c r="Q352" i="34"/>
  <c r="Q353" i="34"/>
  <c r="Q354" i="34"/>
  <c r="Q355" i="34"/>
  <c r="Q356" i="34"/>
  <c r="Q357" i="34"/>
  <c r="Q358" i="34"/>
  <c r="Q359" i="34"/>
  <c r="Q360" i="34"/>
  <c r="Q361" i="34"/>
  <c r="Q362" i="34"/>
  <c r="Q363" i="34"/>
  <c r="Q364" i="34"/>
  <c r="Q365" i="34"/>
  <c r="Q366" i="34"/>
  <c r="Q367" i="34"/>
  <c r="Q368" i="34"/>
  <c r="Q369" i="34"/>
  <c r="Q370" i="34"/>
  <c r="Q371" i="34"/>
  <c r="Q372" i="34"/>
  <c r="Q373" i="34"/>
  <c r="Q374" i="34"/>
  <c r="Q375" i="34"/>
  <c r="Q376" i="34"/>
  <c r="Q377" i="34"/>
  <c r="Q378" i="34"/>
  <c r="Q379" i="34"/>
  <c r="Q380" i="34"/>
  <c r="Q381" i="34"/>
  <c r="Q382" i="34"/>
  <c r="Q383" i="34"/>
  <c r="Q384" i="34"/>
  <c r="Q385" i="34"/>
  <c r="Q386" i="34"/>
  <c r="Q387" i="34"/>
  <c r="Q388" i="34"/>
  <c r="Q389" i="34"/>
  <c r="Q390" i="34"/>
  <c r="Q391" i="34"/>
  <c r="Q392" i="34"/>
  <c r="Q393" i="34"/>
  <c r="Q394" i="34"/>
  <c r="Q395" i="34"/>
  <c r="Q396" i="34"/>
  <c r="Q397" i="34"/>
  <c r="Q398" i="34"/>
  <c r="Q399" i="34"/>
  <c r="Q400" i="34"/>
  <c r="Q401" i="34"/>
  <c r="Q402" i="34"/>
  <c r="Q403" i="34"/>
  <c r="Q404" i="34"/>
  <c r="Q405" i="34"/>
  <c r="Q406" i="34"/>
  <c r="Q407" i="34"/>
  <c r="Q408" i="34"/>
  <c r="Q409" i="34"/>
  <c r="Q410" i="34"/>
  <c r="Q411" i="34"/>
  <c r="Q412" i="34"/>
  <c r="Q413" i="34"/>
  <c r="Q414" i="34"/>
  <c r="Q415" i="34"/>
  <c r="Q416" i="34"/>
  <c r="Q417" i="34"/>
  <c r="Q418" i="34"/>
  <c r="Q419" i="34"/>
  <c r="Q420" i="34"/>
  <c r="Q421" i="34"/>
  <c r="Q422" i="34"/>
  <c r="Q423" i="34"/>
  <c r="Q424" i="34"/>
  <c r="Q425" i="34"/>
  <c r="Q426" i="34"/>
  <c r="Q427" i="34"/>
  <c r="Q428" i="34"/>
  <c r="Q429" i="34"/>
  <c r="Q430" i="34"/>
  <c r="Q431" i="34"/>
  <c r="Q432" i="34"/>
  <c r="Q433" i="34"/>
  <c r="Q434" i="34"/>
  <c r="Q435" i="34"/>
  <c r="Q436" i="34"/>
  <c r="Q437" i="34"/>
  <c r="Q438" i="34"/>
  <c r="Q439" i="34"/>
  <c r="Q440" i="34"/>
  <c r="Q441" i="34"/>
  <c r="Q442" i="34"/>
  <c r="Q443" i="34"/>
  <c r="Q444" i="34"/>
  <c r="Q445" i="34"/>
  <c r="Q446" i="34"/>
  <c r="Q447" i="34"/>
  <c r="Q448" i="34"/>
  <c r="Q449" i="34"/>
  <c r="Q450" i="34"/>
  <c r="Q451" i="34"/>
  <c r="Q452" i="34"/>
  <c r="Q453" i="34"/>
  <c r="Q454" i="34"/>
  <c r="Q455" i="34"/>
  <c r="Q456" i="34"/>
  <c r="Q457" i="34"/>
  <c r="Q2" i="34"/>
  <c r="O3" i="34"/>
  <c r="O4" i="34"/>
  <c r="O5" i="34"/>
  <c r="O6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273" i="34"/>
  <c r="O274" i="34"/>
  <c r="O275" i="34"/>
  <c r="O276" i="34"/>
  <c r="O277" i="34"/>
  <c r="O278" i="34"/>
  <c r="O279" i="34"/>
  <c r="O280" i="34"/>
  <c r="O281" i="34"/>
  <c r="O282" i="34"/>
  <c r="O283" i="34"/>
  <c r="O284" i="34"/>
  <c r="O285" i="34"/>
  <c r="O286" i="34"/>
  <c r="O287" i="34"/>
  <c r="O288" i="34"/>
  <c r="O289" i="34"/>
  <c r="O290" i="34"/>
  <c r="O291" i="34"/>
  <c r="O292" i="34"/>
  <c r="O293" i="34"/>
  <c r="O294" i="34"/>
  <c r="O295" i="34"/>
  <c r="O296" i="34"/>
  <c r="O297" i="34"/>
  <c r="O298" i="34"/>
  <c r="O299" i="34"/>
  <c r="O300" i="34"/>
  <c r="O301" i="34"/>
  <c r="O302" i="34"/>
  <c r="O303" i="34"/>
  <c r="O304" i="34"/>
  <c r="O305" i="34"/>
  <c r="O306" i="34"/>
  <c r="O307" i="34"/>
  <c r="O308" i="34"/>
  <c r="O309" i="34"/>
  <c r="O310" i="34"/>
  <c r="O311" i="34"/>
  <c r="O312" i="34"/>
  <c r="O313" i="34"/>
  <c r="O314" i="34"/>
  <c r="O315" i="34"/>
  <c r="O316" i="34"/>
  <c r="O317" i="34"/>
  <c r="O318" i="34"/>
  <c r="O319" i="34"/>
  <c r="O320" i="34"/>
  <c r="O321" i="34"/>
  <c r="O322" i="34"/>
  <c r="O323" i="34"/>
  <c r="O324" i="34"/>
  <c r="O325" i="34"/>
  <c r="O326" i="34"/>
  <c r="O327" i="34"/>
  <c r="O328" i="34"/>
  <c r="O329" i="34"/>
  <c r="O330" i="34"/>
  <c r="O331" i="34"/>
  <c r="O332" i="34"/>
  <c r="O333" i="34"/>
  <c r="O334" i="34"/>
  <c r="O335" i="34"/>
  <c r="O336" i="34"/>
  <c r="O337" i="34"/>
  <c r="O338" i="34"/>
  <c r="O339" i="34"/>
  <c r="O340" i="34"/>
  <c r="O341" i="34"/>
  <c r="O342" i="34"/>
  <c r="O343" i="34"/>
  <c r="O344" i="34"/>
  <c r="O345" i="34"/>
  <c r="O346" i="34"/>
  <c r="O347" i="34"/>
  <c r="O348" i="34"/>
  <c r="O349" i="34"/>
  <c r="O350" i="34"/>
  <c r="O351" i="34"/>
  <c r="O352" i="34"/>
  <c r="O353" i="34"/>
  <c r="O354" i="34"/>
  <c r="O355" i="34"/>
  <c r="O356" i="34"/>
  <c r="O357" i="34"/>
  <c r="O358" i="34"/>
  <c r="O359" i="34"/>
  <c r="O360" i="34"/>
  <c r="O361" i="34"/>
  <c r="O362" i="34"/>
  <c r="O363" i="34"/>
  <c r="O364" i="34"/>
  <c r="O365" i="34"/>
  <c r="O366" i="34"/>
  <c r="O367" i="34"/>
  <c r="O368" i="34"/>
  <c r="O369" i="34"/>
  <c r="O370" i="34"/>
  <c r="O371" i="34"/>
  <c r="O372" i="34"/>
  <c r="O373" i="34"/>
  <c r="O374" i="34"/>
  <c r="O375" i="34"/>
  <c r="O376" i="34"/>
  <c r="O377" i="34"/>
  <c r="O378" i="34"/>
  <c r="O379" i="34"/>
  <c r="O380" i="34"/>
  <c r="O381" i="34"/>
  <c r="O382" i="34"/>
  <c r="O383" i="34"/>
  <c r="O384" i="34"/>
  <c r="O385" i="34"/>
  <c r="O386" i="34"/>
  <c r="O387" i="34"/>
  <c r="O388" i="34"/>
  <c r="O389" i="34"/>
  <c r="O390" i="34"/>
  <c r="O391" i="34"/>
  <c r="O392" i="34"/>
  <c r="O393" i="34"/>
  <c r="O394" i="34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2" i="34"/>
  <c r="M3" i="34"/>
  <c r="M4" i="34"/>
  <c r="M5" i="34"/>
  <c r="M6" i="34"/>
  <c r="M7" i="34"/>
  <c r="M8" i="34"/>
  <c r="M9" i="34"/>
  <c r="M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4" i="34"/>
  <c r="M215" i="34"/>
  <c r="M216" i="34"/>
  <c r="M217" i="34"/>
  <c r="M218" i="34"/>
  <c r="M219" i="34"/>
  <c r="M220" i="34"/>
  <c r="M221" i="34"/>
  <c r="M222" i="34"/>
  <c r="M223" i="34"/>
  <c r="M224" i="34"/>
  <c r="M225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M276" i="34"/>
  <c r="M277" i="34"/>
  <c r="M278" i="34"/>
  <c r="M279" i="34"/>
  <c r="M280" i="34"/>
  <c r="M281" i="34"/>
  <c r="M282" i="34"/>
  <c r="M283" i="34"/>
  <c r="M284" i="34"/>
  <c r="M285" i="34"/>
  <c r="M286" i="34"/>
  <c r="M287" i="34"/>
  <c r="M288" i="34"/>
  <c r="M289" i="34"/>
  <c r="M290" i="34"/>
  <c r="M291" i="34"/>
  <c r="M292" i="34"/>
  <c r="M293" i="34"/>
  <c r="M294" i="34"/>
  <c r="M295" i="34"/>
  <c r="M296" i="34"/>
  <c r="M297" i="34"/>
  <c r="M298" i="34"/>
  <c r="M299" i="34"/>
  <c r="M300" i="34"/>
  <c r="M301" i="34"/>
  <c r="M302" i="34"/>
  <c r="M303" i="34"/>
  <c r="M304" i="34"/>
  <c r="M305" i="34"/>
  <c r="M306" i="34"/>
  <c r="M307" i="34"/>
  <c r="M308" i="34"/>
  <c r="M309" i="34"/>
  <c r="M310" i="34"/>
  <c r="M311" i="34"/>
  <c r="M312" i="34"/>
  <c r="M313" i="34"/>
  <c r="M314" i="34"/>
  <c r="M315" i="34"/>
  <c r="M316" i="34"/>
  <c r="M317" i="34"/>
  <c r="M318" i="34"/>
  <c r="M319" i="34"/>
  <c r="M320" i="34"/>
  <c r="M321" i="34"/>
  <c r="M322" i="34"/>
  <c r="M323" i="34"/>
  <c r="M324" i="34"/>
  <c r="M325" i="34"/>
  <c r="M326" i="34"/>
  <c r="M327" i="34"/>
  <c r="M328" i="34"/>
  <c r="M329" i="34"/>
  <c r="M330" i="34"/>
  <c r="M331" i="34"/>
  <c r="M332" i="34"/>
  <c r="M333" i="34"/>
  <c r="M334" i="34"/>
  <c r="M335" i="34"/>
  <c r="M336" i="34"/>
  <c r="M337" i="34"/>
  <c r="M338" i="34"/>
  <c r="M339" i="34"/>
  <c r="M340" i="34"/>
  <c r="M341" i="34"/>
  <c r="M342" i="34"/>
  <c r="M343" i="34"/>
  <c r="M344" i="34"/>
  <c r="M345" i="34"/>
  <c r="M346" i="34"/>
  <c r="M347" i="34"/>
  <c r="M348" i="34"/>
  <c r="M349" i="34"/>
  <c r="M350" i="34"/>
  <c r="M351" i="34"/>
  <c r="M352" i="34"/>
  <c r="M353" i="34"/>
  <c r="M354" i="34"/>
  <c r="M355" i="34"/>
  <c r="M356" i="34"/>
  <c r="M357" i="34"/>
  <c r="M358" i="34"/>
  <c r="M359" i="34"/>
  <c r="M360" i="34"/>
  <c r="M361" i="34"/>
  <c r="M362" i="34"/>
  <c r="M363" i="34"/>
  <c r="M364" i="34"/>
  <c r="M365" i="34"/>
  <c r="M366" i="34"/>
  <c r="M367" i="34"/>
  <c r="M368" i="34"/>
  <c r="M369" i="34"/>
  <c r="M370" i="34"/>
  <c r="M371" i="34"/>
  <c r="M372" i="34"/>
  <c r="M373" i="34"/>
  <c r="M374" i="34"/>
  <c r="M375" i="34"/>
  <c r="M376" i="34"/>
  <c r="M377" i="34"/>
  <c r="M378" i="34"/>
  <c r="M379" i="34"/>
  <c r="M380" i="34"/>
  <c r="M381" i="34"/>
  <c r="M382" i="34"/>
  <c r="M383" i="34"/>
  <c r="M384" i="34"/>
  <c r="M385" i="34"/>
  <c r="M386" i="34"/>
  <c r="M387" i="34"/>
  <c r="M388" i="34"/>
  <c r="M389" i="34"/>
  <c r="M390" i="34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2" i="34"/>
  <c r="D3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6" i="34"/>
  <c r="D427" i="34"/>
  <c r="D428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2" i="34"/>
  <c r="G215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2" i="21"/>
  <c r="U3" i="21"/>
  <c r="U4" i="21"/>
  <c r="U5" i="21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73" i="21"/>
  <c r="U274" i="21"/>
  <c r="U275" i="21"/>
  <c r="U276" i="21"/>
  <c r="U277" i="21"/>
  <c r="U278" i="21"/>
  <c r="U279" i="21"/>
  <c r="U280" i="21"/>
  <c r="U281" i="21"/>
  <c r="U282" i="21"/>
  <c r="U283" i="21"/>
  <c r="U284" i="21"/>
  <c r="U285" i="21"/>
  <c r="U286" i="21"/>
  <c r="U287" i="21"/>
  <c r="U288" i="21"/>
  <c r="U289" i="21"/>
  <c r="U290" i="21"/>
  <c r="U291" i="21"/>
  <c r="U292" i="21"/>
  <c r="U293" i="21"/>
  <c r="U294" i="21"/>
  <c r="U295" i="21"/>
  <c r="U296" i="21"/>
  <c r="U297" i="21"/>
  <c r="U298" i="21"/>
  <c r="U299" i="21"/>
  <c r="U300" i="21"/>
  <c r="U301" i="21"/>
  <c r="U302" i="21"/>
  <c r="U303" i="21"/>
  <c r="U304" i="21"/>
  <c r="U305" i="21"/>
  <c r="U306" i="21"/>
  <c r="U307" i="21"/>
  <c r="U308" i="21"/>
  <c r="U309" i="21"/>
  <c r="U310" i="21"/>
  <c r="U311" i="21"/>
  <c r="U312" i="21"/>
  <c r="U313" i="21"/>
  <c r="U314" i="21"/>
  <c r="U315" i="21"/>
  <c r="U316" i="21"/>
  <c r="U317" i="21"/>
  <c r="U318" i="21"/>
  <c r="U319" i="21"/>
  <c r="U320" i="21"/>
  <c r="U321" i="21"/>
  <c r="U322" i="21"/>
  <c r="U323" i="21"/>
  <c r="U324" i="21"/>
  <c r="U325" i="21"/>
  <c r="U326" i="21"/>
  <c r="U327" i="21"/>
  <c r="U328" i="21"/>
  <c r="U329" i="21"/>
  <c r="U330" i="21"/>
  <c r="U331" i="21"/>
  <c r="U332" i="21"/>
  <c r="U333" i="21"/>
  <c r="U334" i="21"/>
  <c r="U335" i="21"/>
  <c r="U336" i="21"/>
  <c r="U337" i="21"/>
  <c r="U338" i="21"/>
  <c r="U339" i="21"/>
  <c r="U340" i="21"/>
  <c r="U341" i="21"/>
  <c r="U342" i="21"/>
  <c r="U343" i="21"/>
  <c r="U344" i="21"/>
  <c r="U345" i="21"/>
  <c r="U346" i="21"/>
  <c r="U347" i="21"/>
  <c r="U348" i="21"/>
  <c r="U349" i="21"/>
  <c r="U350" i="21"/>
  <c r="U351" i="21"/>
  <c r="U2" i="21"/>
  <c r="W3" i="21"/>
  <c r="W4" i="21"/>
  <c r="W5" i="21"/>
  <c r="W6" i="21"/>
  <c r="W7" i="21"/>
  <c r="W8" i="21"/>
  <c r="W9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W158" i="21"/>
  <c r="W159" i="21"/>
  <c r="W160" i="21"/>
  <c r="W161" i="21"/>
  <c r="W162" i="21"/>
  <c r="W163" i="21"/>
  <c r="W164" i="21"/>
  <c r="W165" i="2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W180" i="21"/>
  <c r="W181" i="21"/>
  <c r="W182" i="21"/>
  <c r="W183" i="21"/>
  <c r="W184" i="21"/>
  <c r="W185" i="21"/>
  <c r="W186" i="21"/>
  <c r="W187" i="21"/>
  <c r="W188" i="21"/>
  <c r="W189" i="21"/>
  <c r="W190" i="21"/>
  <c r="W191" i="21"/>
  <c r="W192" i="21"/>
  <c r="W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216" i="21"/>
  <c r="W217" i="21"/>
  <c r="W218" i="21"/>
  <c r="W219" i="21"/>
  <c r="W220" i="21"/>
  <c r="W221" i="21"/>
  <c r="W222" i="21"/>
  <c r="W223" i="21"/>
  <c r="W224" i="21"/>
  <c r="W225" i="21"/>
  <c r="W226" i="21"/>
  <c r="W227" i="21"/>
  <c r="W228" i="21"/>
  <c r="W229" i="21"/>
  <c r="W230" i="21"/>
  <c r="W231" i="21"/>
  <c r="W232" i="21"/>
  <c r="W233" i="21"/>
  <c r="W234" i="21"/>
  <c r="W235" i="21"/>
  <c r="W236" i="21"/>
  <c r="W237" i="21"/>
  <c r="W238" i="21"/>
  <c r="W239" i="21"/>
  <c r="W240" i="21"/>
  <c r="W241" i="21"/>
  <c r="W242" i="21"/>
  <c r="W243" i="21"/>
  <c r="W244" i="21"/>
  <c r="W245" i="21"/>
  <c r="W246" i="21"/>
  <c r="W247" i="21"/>
  <c r="W248" i="21"/>
  <c r="W249" i="21"/>
  <c r="W250" i="21"/>
  <c r="W251" i="21"/>
  <c r="W252" i="21"/>
  <c r="W253" i="21"/>
  <c r="W254" i="21"/>
  <c r="W255" i="21"/>
  <c r="W256" i="21"/>
  <c r="W257" i="21"/>
  <c r="W258" i="21"/>
  <c r="W259" i="21"/>
  <c r="W260" i="21"/>
  <c r="W261" i="21"/>
  <c r="W262" i="21"/>
  <c r="W263" i="21"/>
  <c r="W264" i="21"/>
  <c r="W265" i="21"/>
  <c r="W266" i="21"/>
  <c r="W267" i="21"/>
  <c r="W268" i="21"/>
  <c r="W269" i="21"/>
  <c r="W270" i="21"/>
  <c r="W271" i="21"/>
  <c r="W272" i="21"/>
  <c r="W273" i="21"/>
  <c r="W274" i="21"/>
  <c r="W275" i="21"/>
  <c r="W276" i="21"/>
  <c r="W277" i="21"/>
  <c r="W278" i="21"/>
  <c r="W279" i="21"/>
  <c r="W280" i="21"/>
  <c r="W281" i="21"/>
  <c r="W282" i="21"/>
  <c r="W283" i="21"/>
  <c r="W284" i="21"/>
  <c r="W285" i="21"/>
  <c r="W286" i="21"/>
  <c r="W287" i="21"/>
  <c r="W288" i="21"/>
  <c r="W289" i="21"/>
  <c r="W290" i="21"/>
  <c r="W291" i="21"/>
  <c r="W293" i="21"/>
  <c r="W294" i="21"/>
  <c r="W295" i="21"/>
  <c r="W296" i="21"/>
  <c r="W297" i="21"/>
  <c r="W298" i="21"/>
  <c r="W299" i="21"/>
  <c r="W300" i="21"/>
  <c r="W301" i="21"/>
  <c r="W302" i="21"/>
  <c r="W303" i="21"/>
  <c r="W304" i="21"/>
  <c r="W305" i="21"/>
  <c r="W306" i="21"/>
  <c r="W307" i="21"/>
  <c r="W308" i="21"/>
  <c r="W309" i="21"/>
  <c r="W310" i="21"/>
  <c r="W311" i="21"/>
  <c r="W312" i="21"/>
  <c r="W313" i="21"/>
  <c r="W314" i="21"/>
  <c r="W315" i="21"/>
  <c r="W316" i="21"/>
  <c r="W317" i="21"/>
  <c r="W318" i="21"/>
  <c r="W319" i="21"/>
  <c r="W320" i="21"/>
  <c r="W321" i="21"/>
  <c r="W322" i="21"/>
  <c r="W323" i="21"/>
  <c r="W324" i="21"/>
  <c r="W325" i="21"/>
  <c r="W326" i="21"/>
  <c r="W327" i="21"/>
  <c r="W328" i="21"/>
  <c r="W329" i="21"/>
  <c r="W330" i="21"/>
  <c r="W331" i="21"/>
  <c r="W332" i="21"/>
  <c r="W333" i="21"/>
  <c r="W334" i="21"/>
  <c r="W335" i="21"/>
  <c r="W336" i="21"/>
  <c r="W337" i="21"/>
  <c r="W338" i="21"/>
  <c r="W339" i="21"/>
  <c r="W340" i="21"/>
  <c r="W341" i="21"/>
  <c r="W342" i="21"/>
  <c r="W343" i="21"/>
  <c r="W344" i="21"/>
  <c r="W345" i="21"/>
  <c r="W346" i="21"/>
  <c r="W347" i="21"/>
  <c r="W348" i="21"/>
  <c r="W349" i="21"/>
  <c r="W350" i="21"/>
  <c r="W351" i="21"/>
  <c r="W2" i="21"/>
  <c r="Y3" i="21"/>
  <c r="Y4" i="21"/>
  <c r="Y5" i="21"/>
  <c r="Y6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8" i="21"/>
  <c r="Y99" i="21"/>
  <c r="Y100" i="21"/>
  <c r="Y101" i="21"/>
  <c r="Y102" i="21"/>
  <c r="Y103" i="21"/>
  <c r="Y104" i="21"/>
  <c r="Y105" i="21"/>
  <c r="Y106" i="21"/>
  <c r="Y107" i="21"/>
  <c r="Y108" i="21"/>
  <c r="Y109" i="21"/>
  <c r="Y110" i="21"/>
  <c r="Y111" i="21"/>
  <c r="Y112" i="21"/>
  <c r="Y113" i="21"/>
  <c r="Y114" i="21"/>
  <c r="Y115" i="21"/>
  <c r="Y116" i="21"/>
  <c r="Y117" i="21"/>
  <c r="Y118" i="21"/>
  <c r="Y119" i="21"/>
  <c r="Y120" i="21"/>
  <c r="Y121" i="21"/>
  <c r="Y122" i="21"/>
  <c r="Y123" i="21"/>
  <c r="Y124" i="21"/>
  <c r="Y125" i="21"/>
  <c r="Y126" i="21"/>
  <c r="Y127" i="21"/>
  <c r="Y128" i="21"/>
  <c r="Y129" i="21"/>
  <c r="Y130" i="21"/>
  <c r="Y131" i="21"/>
  <c r="Y132" i="21"/>
  <c r="Y133" i="21"/>
  <c r="Y134" i="21"/>
  <c r="Y135" i="21"/>
  <c r="Y136" i="21"/>
  <c r="Y137" i="21"/>
  <c r="Y138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Y231" i="21"/>
  <c r="Y232" i="21"/>
  <c r="Y233" i="21"/>
  <c r="Y234" i="21"/>
  <c r="Y235" i="21"/>
  <c r="Y236" i="21"/>
  <c r="Y237" i="21"/>
  <c r="Y238" i="21"/>
  <c r="Y239" i="21"/>
  <c r="Y240" i="21"/>
  <c r="Y241" i="21"/>
  <c r="Y242" i="21"/>
  <c r="Y243" i="21"/>
  <c r="Y244" i="21"/>
  <c r="Y245" i="21"/>
  <c r="Y246" i="21"/>
  <c r="Y247" i="21"/>
  <c r="Y248" i="21"/>
  <c r="Y249" i="21"/>
  <c r="Y250" i="21"/>
  <c r="Y251" i="21"/>
  <c r="Y252" i="21"/>
  <c r="Y253" i="21"/>
  <c r="Y254" i="21"/>
  <c r="Y255" i="21"/>
  <c r="Y256" i="21"/>
  <c r="Y257" i="21"/>
  <c r="Y258" i="21"/>
  <c r="Y259" i="21"/>
  <c r="Y260" i="21"/>
  <c r="Y261" i="21"/>
  <c r="Y262" i="21"/>
  <c r="Y263" i="21"/>
  <c r="Y264" i="21"/>
  <c r="Y265" i="21"/>
  <c r="Y266" i="21"/>
  <c r="Y267" i="21"/>
  <c r="Y268" i="21"/>
  <c r="Y269" i="21"/>
  <c r="Y270" i="21"/>
  <c r="Y271" i="21"/>
  <c r="Y272" i="21"/>
  <c r="Y273" i="21"/>
  <c r="Y274" i="21"/>
  <c r="Y275" i="21"/>
  <c r="Y276" i="21"/>
  <c r="Y277" i="21"/>
  <c r="Y278" i="21"/>
  <c r="Y279" i="21"/>
  <c r="Y280" i="21"/>
  <c r="Y281" i="21"/>
  <c r="Y282" i="21"/>
  <c r="Y283" i="21"/>
  <c r="Y284" i="21"/>
  <c r="Y285" i="21"/>
  <c r="Y286" i="21"/>
  <c r="Y287" i="21"/>
  <c r="Y288" i="21"/>
  <c r="Y289" i="21"/>
  <c r="Y290" i="21"/>
  <c r="Y291" i="21"/>
  <c r="Y292" i="21"/>
  <c r="Y293" i="21"/>
  <c r="Y294" i="21"/>
  <c r="Y295" i="21"/>
  <c r="Y296" i="21"/>
  <c r="Y297" i="21"/>
  <c r="Y298" i="21"/>
  <c r="Y299" i="21"/>
  <c r="Y300" i="21"/>
  <c r="Y301" i="21"/>
  <c r="Y302" i="21"/>
  <c r="Y303" i="21"/>
  <c r="Y304" i="21"/>
  <c r="Y305" i="21"/>
  <c r="Y306" i="21"/>
  <c r="Y307" i="21"/>
  <c r="Y308" i="21"/>
  <c r="Y309" i="21"/>
  <c r="Y310" i="21"/>
  <c r="Y311" i="21"/>
  <c r="Y312" i="21"/>
  <c r="Y313" i="21"/>
  <c r="Y314" i="21"/>
  <c r="Y315" i="21"/>
  <c r="Y316" i="21"/>
  <c r="Y317" i="21"/>
  <c r="Y318" i="21"/>
  <c r="Y319" i="21"/>
  <c r="Y320" i="21"/>
  <c r="Y321" i="21"/>
  <c r="Y322" i="21"/>
  <c r="Y323" i="21"/>
  <c r="Y324" i="21"/>
  <c r="Y325" i="21"/>
  <c r="Y326" i="21"/>
  <c r="Y327" i="21"/>
  <c r="Y328" i="21"/>
  <c r="Y329" i="21"/>
  <c r="Y330" i="21"/>
  <c r="Y331" i="21"/>
  <c r="Y332" i="21"/>
  <c r="Y333" i="21"/>
  <c r="Y334" i="21"/>
  <c r="Y335" i="21"/>
  <c r="Y336" i="21"/>
  <c r="Y337" i="21"/>
  <c r="Y338" i="21"/>
  <c r="Y339" i="21"/>
  <c r="Y340" i="21"/>
  <c r="Y341" i="21"/>
  <c r="Y342" i="21"/>
  <c r="Y343" i="21"/>
  <c r="Y344" i="21"/>
  <c r="Y345" i="21"/>
  <c r="Y346" i="21"/>
  <c r="Y347" i="21"/>
  <c r="Y348" i="21"/>
  <c r="Y349" i="21"/>
  <c r="Y350" i="21"/>
  <c r="Y351" i="21"/>
  <c r="Y2" i="21"/>
  <c r="AC3" i="21"/>
  <c r="AC4" i="21"/>
  <c r="AC5" i="21"/>
  <c r="AC6" i="21"/>
  <c r="AC7" i="21"/>
  <c r="AC8" i="21"/>
  <c r="AC9" i="21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162" i="21"/>
  <c r="AC163" i="21"/>
  <c r="AC164" i="21"/>
  <c r="AC165" i="21"/>
  <c r="AC166" i="21"/>
  <c r="AC167" i="21"/>
  <c r="AC168" i="21"/>
  <c r="AC169" i="21"/>
  <c r="AC170" i="21"/>
  <c r="AC171" i="21"/>
  <c r="AC172" i="21"/>
  <c r="AC173" i="21"/>
  <c r="AC174" i="21"/>
  <c r="AC175" i="21"/>
  <c r="AC176" i="21"/>
  <c r="AC177" i="21"/>
  <c r="AC178" i="21"/>
  <c r="AC179" i="21"/>
  <c r="AC180" i="21"/>
  <c r="AC181" i="21"/>
  <c r="AC182" i="21"/>
  <c r="AC183" i="21"/>
  <c r="AC184" i="21"/>
  <c r="AC185" i="21"/>
  <c r="AC186" i="21"/>
  <c r="AC187" i="21"/>
  <c r="AC188" i="21"/>
  <c r="AC189" i="21"/>
  <c r="AC190" i="21"/>
  <c r="AC191" i="21"/>
  <c r="AC192" i="21"/>
  <c r="AC193" i="21"/>
  <c r="AC194" i="21"/>
  <c r="AC195" i="21"/>
  <c r="AC196" i="21"/>
  <c r="AC197" i="21"/>
  <c r="AC198" i="21"/>
  <c r="AC199" i="21"/>
  <c r="AC200" i="21"/>
  <c r="AC201" i="21"/>
  <c r="AC202" i="21"/>
  <c r="AC203" i="21"/>
  <c r="AC204" i="21"/>
  <c r="AC205" i="21"/>
  <c r="AC206" i="21"/>
  <c r="AC207" i="21"/>
  <c r="AC208" i="21"/>
  <c r="AC209" i="21"/>
  <c r="AC210" i="21"/>
  <c r="AC211" i="21"/>
  <c r="AC212" i="21"/>
  <c r="AC213" i="21"/>
  <c r="AC214" i="21"/>
  <c r="AC215" i="21"/>
  <c r="AC216" i="21"/>
  <c r="AC217" i="21"/>
  <c r="AC218" i="21"/>
  <c r="AC219" i="21"/>
  <c r="AC220" i="21"/>
  <c r="AC221" i="21"/>
  <c r="AC222" i="21"/>
  <c r="AC223" i="21"/>
  <c r="AC224" i="21"/>
  <c r="AC225" i="21"/>
  <c r="AC226" i="21"/>
  <c r="AC227" i="21"/>
  <c r="AC228" i="21"/>
  <c r="AC229" i="21"/>
  <c r="AC230" i="21"/>
  <c r="AC231" i="21"/>
  <c r="AC232" i="21"/>
  <c r="AC233" i="21"/>
  <c r="AC234" i="21"/>
  <c r="AC235" i="21"/>
  <c r="AC236" i="21"/>
  <c r="AC237" i="21"/>
  <c r="AC238" i="21"/>
  <c r="AC239" i="21"/>
  <c r="AC240" i="21"/>
  <c r="AC241" i="21"/>
  <c r="AC242" i="21"/>
  <c r="AC243" i="21"/>
  <c r="AC244" i="21"/>
  <c r="AC245" i="21"/>
  <c r="AC246" i="21"/>
  <c r="AC247" i="21"/>
  <c r="AC248" i="21"/>
  <c r="AC249" i="21"/>
  <c r="AC250" i="21"/>
  <c r="AC251" i="21"/>
  <c r="AC252" i="21"/>
  <c r="AC253" i="21"/>
  <c r="AC254" i="21"/>
  <c r="AC255" i="21"/>
  <c r="AC256" i="21"/>
  <c r="AC257" i="21"/>
  <c r="AC258" i="21"/>
  <c r="AC259" i="21"/>
  <c r="AC260" i="21"/>
  <c r="AC261" i="21"/>
  <c r="AC262" i="21"/>
  <c r="AC263" i="21"/>
  <c r="AC264" i="21"/>
  <c r="AC265" i="21"/>
  <c r="AC266" i="21"/>
  <c r="AC267" i="21"/>
  <c r="AC268" i="21"/>
  <c r="AC269" i="21"/>
  <c r="AC270" i="21"/>
  <c r="AC271" i="21"/>
  <c r="AC272" i="21"/>
  <c r="AC273" i="21"/>
  <c r="AC274" i="21"/>
  <c r="AC275" i="21"/>
  <c r="AC276" i="21"/>
  <c r="AC277" i="21"/>
  <c r="AC278" i="21"/>
  <c r="AC279" i="21"/>
  <c r="AC280" i="21"/>
  <c r="AC281" i="21"/>
  <c r="AC282" i="21"/>
  <c r="AC283" i="21"/>
  <c r="AC284" i="21"/>
  <c r="AC285" i="21"/>
  <c r="AC286" i="21"/>
  <c r="AC287" i="21"/>
  <c r="AC288" i="21"/>
  <c r="AC289" i="21"/>
  <c r="AC290" i="21"/>
  <c r="AC291" i="21"/>
  <c r="AC292" i="21"/>
  <c r="AC293" i="21"/>
  <c r="AC294" i="21"/>
  <c r="AC295" i="21"/>
  <c r="AC296" i="21"/>
  <c r="AC297" i="21"/>
  <c r="AC298" i="21"/>
  <c r="AC299" i="21"/>
  <c r="AC300" i="21"/>
  <c r="AC301" i="21"/>
  <c r="AC302" i="21"/>
  <c r="AC303" i="21"/>
  <c r="AC304" i="21"/>
  <c r="AC305" i="21"/>
  <c r="AC306" i="21"/>
  <c r="AC307" i="21"/>
  <c r="AC308" i="21"/>
  <c r="AC309" i="21"/>
  <c r="AC310" i="21"/>
  <c r="AC311" i="21"/>
  <c r="AC312" i="21"/>
  <c r="AC313" i="21"/>
  <c r="AC314" i="21"/>
  <c r="AC315" i="21"/>
  <c r="AC316" i="21"/>
  <c r="AC317" i="21"/>
  <c r="AC318" i="21"/>
  <c r="AC319" i="21"/>
  <c r="AC320" i="21"/>
  <c r="AC321" i="21"/>
  <c r="AC322" i="21"/>
  <c r="AC323" i="21"/>
  <c r="AC324" i="21"/>
  <c r="AC325" i="21"/>
  <c r="AC326" i="21"/>
  <c r="AC327" i="21"/>
  <c r="AC328" i="21"/>
  <c r="AC329" i="21"/>
  <c r="AC330" i="21"/>
  <c r="AC331" i="21"/>
  <c r="AC332" i="21"/>
  <c r="AC333" i="21"/>
  <c r="AC334" i="21"/>
  <c r="AC335" i="21"/>
  <c r="AC336" i="21"/>
  <c r="AC337" i="21"/>
  <c r="AC338" i="21"/>
  <c r="AC339" i="21"/>
  <c r="AC340" i="21"/>
  <c r="AC341" i="21"/>
  <c r="AC342" i="21"/>
  <c r="AC343" i="21"/>
  <c r="AC344" i="21"/>
  <c r="AC345" i="21"/>
  <c r="AC346" i="21"/>
  <c r="AC347" i="21"/>
  <c r="AC348" i="21"/>
  <c r="AC349" i="21"/>
  <c r="AC350" i="21"/>
  <c r="AC351" i="21"/>
  <c r="AC2" i="21"/>
  <c r="W3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2" i="20"/>
  <c r="T3" i="20"/>
  <c r="T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4" i="20"/>
  <c r="T95" i="20"/>
  <c r="T96" i="20"/>
  <c r="T97" i="20"/>
  <c r="T98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0" i="20"/>
  <c r="T121" i="20"/>
  <c r="T122" i="20"/>
  <c r="T123" i="20"/>
  <c r="T124" i="20"/>
  <c r="T125" i="20"/>
  <c r="T126" i="20"/>
  <c r="T127" i="20"/>
  <c r="T128" i="20"/>
  <c r="T129" i="20"/>
  <c r="T130" i="20"/>
  <c r="T131" i="20"/>
  <c r="T132" i="20"/>
  <c r="T133" i="20"/>
  <c r="T134" i="20"/>
  <c r="T135" i="20"/>
  <c r="T136" i="20"/>
  <c r="T137" i="20"/>
  <c r="T138" i="20"/>
  <c r="T139" i="20"/>
  <c r="T140" i="20"/>
  <c r="T141" i="20"/>
  <c r="T142" i="20"/>
  <c r="T143" i="20"/>
  <c r="T144" i="20"/>
  <c r="T145" i="20"/>
  <c r="T146" i="20"/>
  <c r="T147" i="20"/>
  <c r="T148" i="20"/>
  <c r="T149" i="20"/>
  <c r="T150" i="20"/>
  <c r="T151" i="20"/>
  <c r="T152" i="20"/>
  <c r="T153" i="20"/>
  <c r="T154" i="20"/>
  <c r="T155" i="20"/>
  <c r="T156" i="20"/>
  <c r="T157" i="20"/>
  <c r="T158" i="20"/>
  <c r="T159" i="20"/>
  <c r="T160" i="20"/>
  <c r="T161" i="20"/>
  <c r="T162" i="20"/>
  <c r="T163" i="20"/>
  <c r="T164" i="20"/>
  <c r="T165" i="20"/>
  <c r="T166" i="20"/>
  <c r="T167" i="20"/>
  <c r="T168" i="20"/>
  <c r="T16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T185" i="20"/>
  <c r="T186" i="20"/>
  <c r="T187" i="20"/>
  <c r="T188" i="20"/>
  <c r="T189" i="20"/>
  <c r="T190" i="20"/>
  <c r="T191" i="20"/>
  <c r="T192" i="20"/>
  <c r="T193" i="20"/>
  <c r="T194" i="20"/>
  <c r="T195" i="20"/>
  <c r="T196" i="20"/>
  <c r="T197" i="20"/>
  <c r="T198" i="20"/>
  <c r="T199" i="20"/>
  <c r="T200" i="20"/>
  <c r="T201" i="20"/>
  <c r="T202" i="20"/>
  <c r="T203" i="20"/>
  <c r="T204" i="20"/>
  <c r="T205" i="20"/>
  <c r="T206" i="20"/>
  <c r="T207" i="20"/>
  <c r="T208" i="20"/>
  <c r="T209" i="20"/>
  <c r="T210" i="20"/>
  <c r="T211" i="20"/>
  <c r="T212" i="20"/>
  <c r="T213" i="20"/>
  <c r="T214" i="20"/>
  <c r="T215" i="20"/>
  <c r="T216" i="20"/>
  <c r="T217" i="20"/>
  <c r="T218" i="20"/>
  <c r="T219" i="20"/>
  <c r="T220" i="20"/>
  <c r="T221" i="20"/>
  <c r="T222" i="20"/>
  <c r="T223" i="20"/>
  <c r="T224" i="20"/>
  <c r="T225" i="20"/>
  <c r="T226" i="20"/>
  <c r="T227" i="20"/>
  <c r="T228" i="20"/>
  <c r="T229" i="20"/>
  <c r="T230" i="20"/>
  <c r="T231" i="20"/>
  <c r="T232" i="20"/>
  <c r="T233" i="20"/>
  <c r="T234" i="20"/>
  <c r="T235" i="20"/>
  <c r="T236" i="20"/>
  <c r="T237" i="20"/>
  <c r="T238" i="20"/>
  <c r="T239" i="20"/>
  <c r="T240" i="20"/>
  <c r="T241" i="20"/>
  <c r="T242" i="20"/>
  <c r="T243" i="20"/>
  <c r="T244" i="20"/>
  <c r="T245" i="20"/>
  <c r="T246" i="20"/>
  <c r="T247" i="20"/>
  <c r="T248" i="20"/>
  <c r="T249" i="20"/>
  <c r="T250" i="20"/>
  <c r="T251" i="20"/>
  <c r="T252" i="20"/>
  <c r="T253" i="20"/>
  <c r="T254" i="20"/>
  <c r="T255" i="20"/>
  <c r="T256" i="20"/>
  <c r="T257" i="20"/>
  <c r="T258" i="20"/>
  <c r="T259" i="20"/>
  <c r="T260" i="20"/>
  <c r="T261" i="20"/>
  <c r="T262" i="20"/>
  <c r="T263" i="20"/>
  <c r="T264" i="20"/>
  <c r="T265" i="20"/>
  <c r="T266" i="20"/>
  <c r="T267" i="20"/>
  <c r="T268" i="20"/>
  <c r="T269" i="20"/>
  <c r="T270" i="20"/>
  <c r="T271" i="20"/>
  <c r="T272" i="20"/>
  <c r="T273" i="20"/>
  <c r="T274" i="20"/>
  <c r="T275" i="20"/>
  <c r="T276" i="20"/>
  <c r="T277" i="20"/>
  <c r="T278" i="20"/>
  <c r="T279" i="20"/>
  <c r="T280" i="20"/>
  <c r="T281" i="20"/>
  <c r="T282" i="20"/>
  <c r="T283" i="20"/>
  <c r="T284" i="20"/>
  <c r="T285" i="20"/>
  <c r="T286" i="20"/>
  <c r="T287" i="20"/>
  <c r="T288" i="20"/>
  <c r="T289" i="20"/>
  <c r="T290" i="20"/>
  <c r="T291" i="20"/>
  <c r="T292" i="20"/>
  <c r="T293" i="20"/>
  <c r="T294" i="20"/>
  <c r="T295" i="20"/>
  <c r="T296" i="20"/>
  <c r="T297" i="20"/>
  <c r="T298" i="20"/>
  <c r="T299" i="20"/>
  <c r="T300" i="20"/>
  <c r="T301" i="20"/>
  <c r="T302" i="20"/>
  <c r="T303" i="20"/>
  <c r="T304" i="20"/>
  <c r="T305" i="20"/>
  <c r="T306" i="20"/>
  <c r="T307" i="20"/>
  <c r="T308" i="20"/>
  <c r="T309" i="20"/>
  <c r="T310" i="20"/>
  <c r="T311" i="20"/>
  <c r="T312" i="20"/>
  <c r="T313" i="20"/>
  <c r="T314" i="20"/>
  <c r="T315" i="20"/>
  <c r="T316" i="20"/>
  <c r="T317" i="20"/>
  <c r="T318" i="20"/>
  <c r="T319" i="20"/>
  <c r="T320" i="20"/>
  <c r="T321" i="20"/>
  <c r="T322" i="20"/>
  <c r="T323" i="20"/>
  <c r="T324" i="20"/>
  <c r="T325" i="20"/>
  <c r="T326" i="20"/>
  <c r="T327" i="20"/>
  <c r="T328" i="20"/>
  <c r="T329" i="20"/>
  <c r="T330" i="20"/>
  <c r="T331" i="20"/>
  <c r="T332" i="20"/>
  <c r="T333" i="20"/>
  <c r="T334" i="20"/>
  <c r="T335" i="20"/>
  <c r="T336" i="20"/>
  <c r="T337" i="20"/>
  <c r="T338" i="20"/>
  <c r="T339" i="20"/>
  <c r="T340" i="20"/>
  <c r="T341" i="20"/>
  <c r="T342" i="20"/>
  <c r="T343" i="20"/>
  <c r="T344" i="20"/>
  <c r="T345" i="20"/>
  <c r="T346" i="20"/>
  <c r="T347" i="20"/>
  <c r="T348" i="20"/>
  <c r="T349" i="20"/>
  <c r="T350" i="20"/>
  <c r="T351" i="20"/>
  <c r="T2" i="20"/>
  <c r="R3" i="20"/>
  <c r="R4" i="20"/>
  <c r="R5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R119" i="20"/>
  <c r="R120" i="20"/>
  <c r="R121" i="20"/>
  <c r="R122" i="20"/>
  <c r="R123" i="20"/>
  <c r="R124" i="20"/>
  <c r="R125" i="20"/>
  <c r="R126" i="20"/>
  <c r="R127" i="20"/>
  <c r="R128" i="20"/>
  <c r="R129" i="20"/>
  <c r="R130" i="20"/>
  <c r="R131" i="20"/>
  <c r="R132" i="20"/>
  <c r="R133" i="20"/>
  <c r="R134" i="20"/>
  <c r="R135" i="20"/>
  <c r="R136" i="20"/>
  <c r="R137" i="20"/>
  <c r="R138" i="20"/>
  <c r="R139" i="20"/>
  <c r="R140" i="20"/>
  <c r="R141" i="20"/>
  <c r="R142" i="20"/>
  <c r="R143" i="20"/>
  <c r="R144" i="20"/>
  <c r="R145" i="20"/>
  <c r="R146" i="20"/>
  <c r="R147" i="20"/>
  <c r="R148" i="20"/>
  <c r="R149" i="20"/>
  <c r="R150" i="20"/>
  <c r="R151" i="20"/>
  <c r="R152" i="20"/>
  <c r="R153" i="20"/>
  <c r="R154" i="20"/>
  <c r="R155" i="20"/>
  <c r="R156" i="20"/>
  <c r="R157" i="20"/>
  <c r="R158" i="20"/>
  <c r="R159" i="20"/>
  <c r="R160" i="20"/>
  <c r="R161" i="20"/>
  <c r="R162" i="20"/>
  <c r="R163" i="20"/>
  <c r="R164" i="20"/>
  <c r="R165" i="20"/>
  <c r="R166" i="20"/>
  <c r="R167" i="20"/>
  <c r="R168" i="20"/>
  <c r="R169" i="20"/>
  <c r="R170" i="20"/>
  <c r="R171" i="20"/>
  <c r="R172" i="20"/>
  <c r="R173" i="20"/>
  <c r="R174" i="20"/>
  <c r="R175" i="20"/>
  <c r="R176" i="20"/>
  <c r="R177" i="20"/>
  <c r="R178" i="20"/>
  <c r="R179" i="20"/>
  <c r="R180" i="20"/>
  <c r="R181" i="20"/>
  <c r="R182" i="20"/>
  <c r="R183" i="20"/>
  <c r="R184" i="20"/>
  <c r="R185" i="20"/>
  <c r="R186" i="20"/>
  <c r="R187" i="20"/>
  <c r="R188" i="20"/>
  <c r="R189" i="20"/>
  <c r="R190" i="20"/>
  <c r="R191" i="20"/>
  <c r="R192" i="20"/>
  <c r="R193" i="20"/>
  <c r="R194" i="20"/>
  <c r="R195" i="20"/>
  <c r="R196" i="20"/>
  <c r="R197" i="20"/>
  <c r="R198" i="20"/>
  <c r="R199" i="20"/>
  <c r="R200" i="20"/>
  <c r="R201" i="20"/>
  <c r="R202" i="20"/>
  <c r="R203" i="20"/>
  <c r="R204" i="20"/>
  <c r="R205" i="20"/>
  <c r="R206" i="20"/>
  <c r="R207" i="20"/>
  <c r="R208" i="20"/>
  <c r="R209" i="20"/>
  <c r="R210" i="20"/>
  <c r="R211" i="20"/>
  <c r="R212" i="20"/>
  <c r="R213" i="20"/>
  <c r="R214" i="20"/>
  <c r="R215" i="20"/>
  <c r="R216" i="20"/>
  <c r="R217" i="20"/>
  <c r="R218" i="20"/>
  <c r="R219" i="20"/>
  <c r="R220" i="20"/>
  <c r="R221" i="20"/>
  <c r="R222" i="20"/>
  <c r="R223" i="20"/>
  <c r="R224" i="20"/>
  <c r="R225" i="20"/>
  <c r="R226" i="20"/>
  <c r="R227" i="20"/>
  <c r="R228" i="20"/>
  <c r="R229" i="20"/>
  <c r="R230" i="20"/>
  <c r="R231" i="20"/>
  <c r="R232" i="20"/>
  <c r="R233" i="20"/>
  <c r="R234" i="20"/>
  <c r="R235" i="20"/>
  <c r="R236" i="20"/>
  <c r="R237" i="20"/>
  <c r="R238" i="20"/>
  <c r="R239" i="20"/>
  <c r="R240" i="20"/>
  <c r="R241" i="20"/>
  <c r="R242" i="20"/>
  <c r="R243" i="20"/>
  <c r="R244" i="20"/>
  <c r="R245" i="20"/>
  <c r="R246" i="20"/>
  <c r="R247" i="20"/>
  <c r="R248" i="20"/>
  <c r="R249" i="20"/>
  <c r="R250" i="20"/>
  <c r="R251" i="20"/>
  <c r="R252" i="20"/>
  <c r="R253" i="20"/>
  <c r="R254" i="20"/>
  <c r="R255" i="20"/>
  <c r="R256" i="20"/>
  <c r="R257" i="20"/>
  <c r="R258" i="20"/>
  <c r="R259" i="20"/>
  <c r="R260" i="20"/>
  <c r="R261" i="20"/>
  <c r="R262" i="20"/>
  <c r="R263" i="20"/>
  <c r="R264" i="20"/>
  <c r="R265" i="20"/>
  <c r="R266" i="20"/>
  <c r="R267" i="20"/>
  <c r="R268" i="20"/>
  <c r="R269" i="20"/>
  <c r="R270" i="20"/>
  <c r="R271" i="20"/>
  <c r="R272" i="20"/>
  <c r="R273" i="20"/>
  <c r="R274" i="20"/>
  <c r="R275" i="20"/>
  <c r="R276" i="20"/>
  <c r="R277" i="20"/>
  <c r="R278" i="20"/>
  <c r="R279" i="20"/>
  <c r="R280" i="20"/>
  <c r="R281" i="20"/>
  <c r="R282" i="20"/>
  <c r="R283" i="20"/>
  <c r="R284" i="20"/>
  <c r="R285" i="20"/>
  <c r="R286" i="20"/>
  <c r="R287" i="20"/>
  <c r="R288" i="20"/>
  <c r="R289" i="20"/>
  <c r="R290" i="20"/>
  <c r="R291" i="20"/>
  <c r="R292" i="20"/>
  <c r="R293" i="20"/>
  <c r="R294" i="20"/>
  <c r="R295" i="20"/>
  <c r="R296" i="20"/>
  <c r="R297" i="20"/>
  <c r="R298" i="20"/>
  <c r="R299" i="20"/>
  <c r="R300" i="20"/>
  <c r="R301" i="20"/>
  <c r="R302" i="20"/>
  <c r="R303" i="20"/>
  <c r="R304" i="20"/>
  <c r="R305" i="20"/>
  <c r="R306" i="20"/>
  <c r="R307" i="20"/>
  <c r="R308" i="20"/>
  <c r="R309" i="20"/>
  <c r="R310" i="20"/>
  <c r="R311" i="20"/>
  <c r="R312" i="20"/>
  <c r="R313" i="20"/>
  <c r="R314" i="20"/>
  <c r="R315" i="20"/>
  <c r="R316" i="20"/>
  <c r="R317" i="20"/>
  <c r="R318" i="20"/>
  <c r="R319" i="20"/>
  <c r="R320" i="20"/>
  <c r="R321" i="20"/>
  <c r="R322" i="20"/>
  <c r="R323" i="20"/>
  <c r="R324" i="20"/>
  <c r="R325" i="20"/>
  <c r="R326" i="20"/>
  <c r="R327" i="20"/>
  <c r="R328" i="20"/>
  <c r="R329" i="20"/>
  <c r="R330" i="20"/>
  <c r="R331" i="20"/>
  <c r="R332" i="20"/>
  <c r="R333" i="20"/>
  <c r="R334" i="20"/>
  <c r="R335" i="20"/>
  <c r="R336" i="20"/>
  <c r="R337" i="20"/>
  <c r="R338" i="20"/>
  <c r="R339" i="20"/>
  <c r="R340" i="20"/>
  <c r="R341" i="20"/>
  <c r="R342" i="20"/>
  <c r="R343" i="20"/>
  <c r="R344" i="20"/>
  <c r="R345" i="20"/>
  <c r="R346" i="20"/>
  <c r="R347" i="20"/>
  <c r="R348" i="20"/>
  <c r="R349" i="20"/>
  <c r="R350" i="20"/>
  <c r="R351" i="20"/>
  <c r="R2" i="20"/>
  <c r="P3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2" i="20"/>
  <c r="P223" i="20"/>
  <c r="P224" i="20"/>
  <c r="P225" i="20"/>
  <c r="P226" i="20"/>
  <c r="P227" i="20"/>
  <c r="P228" i="20"/>
  <c r="P229" i="20"/>
  <c r="P230" i="20"/>
  <c r="P231" i="20"/>
  <c r="P232" i="20"/>
  <c r="P233" i="20"/>
  <c r="P234" i="20"/>
  <c r="P235" i="20"/>
  <c r="P236" i="20"/>
  <c r="P237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4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7" i="20"/>
  <c r="P348" i="20"/>
  <c r="P349" i="20"/>
  <c r="P350" i="20"/>
  <c r="P351" i="20"/>
  <c r="P2" i="20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2" i="20"/>
  <c r="D4" i="17"/>
  <c r="D3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2" i="17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2" i="17"/>
  <c r="Q3" i="17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Q597" i="17"/>
  <c r="Q598" i="17"/>
  <c r="Q599" i="17"/>
  <c r="Q600" i="17"/>
  <c r="Q601" i="17"/>
  <c r="Q602" i="17"/>
  <c r="Q603" i="17"/>
  <c r="Q604" i="17"/>
  <c r="Q605" i="17"/>
  <c r="Q606" i="17"/>
  <c r="Q607" i="17"/>
  <c r="Q608" i="17"/>
  <c r="Q609" i="17"/>
  <c r="Q610" i="17"/>
  <c r="Q611" i="17"/>
  <c r="Q612" i="17"/>
  <c r="Q613" i="17"/>
  <c r="Q614" i="17"/>
  <c r="Q615" i="17"/>
  <c r="Q616" i="17"/>
  <c r="Q617" i="17"/>
  <c r="Q618" i="17"/>
  <c r="Q619" i="17"/>
  <c r="Q620" i="17"/>
  <c r="Q621" i="17"/>
  <c r="Q622" i="17"/>
  <c r="Q623" i="17"/>
  <c r="Q624" i="17"/>
  <c r="Q625" i="17"/>
  <c r="Q626" i="17"/>
  <c r="Q627" i="17"/>
  <c r="Q628" i="17"/>
  <c r="Q629" i="17"/>
  <c r="Q630" i="17"/>
  <c r="Q631" i="17"/>
  <c r="Q632" i="17"/>
  <c r="Q633" i="17"/>
  <c r="Q634" i="17"/>
  <c r="Q635" i="17"/>
  <c r="Q636" i="17"/>
  <c r="Q637" i="17"/>
  <c r="Q638" i="17"/>
  <c r="Q639" i="17"/>
  <c r="Q640" i="17"/>
  <c r="Q641" i="17"/>
  <c r="Q642" i="17"/>
  <c r="Q643" i="17"/>
  <c r="Q644" i="17"/>
  <c r="Q645" i="17"/>
  <c r="Q646" i="17"/>
  <c r="Q647" i="17"/>
  <c r="Q648" i="17"/>
  <c r="Q649" i="17"/>
  <c r="Q650" i="17"/>
  <c r="Q651" i="17"/>
  <c r="Q652" i="17"/>
  <c r="Q653" i="17"/>
  <c r="Q654" i="17"/>
  <c r="Q655" i="17"/>
  <c r="Q656" i="17"/>
  <c r="Q657" i="17"/>
  <c r="Q658" i="17"/>
  <c r="Q659" i="17"/>
  <c r="Q660" i="17"/>
  <c r="Q661" i="17"/>
  <c r="Q662" i="17"/>
  <c r="Q663" i="17"/>
  <c r="Q664" i="17"/>
  <c r="Q665" i="17"/>
  <c r="Q666" i="17"/>
  <c r="Q667" i="17"/>
  <c r="Q668" i="17"/>
  <c r="Q669" i="17"/>
  <c r="Q670" i="17"/>
  <c r="Q671" i="17"/>
  <c r="Q672" i="17"/>
  <c r="Q673" i="17"/>
  <c r="Q674" i="17"/>
  <c r="Q675" i="17"/>
  <c r="Q676" i="17"/>
  <c r="Q677" i="17"/>
  <c r="Q678" i="17"/>
  <c r="Q679" i="17"/>
  <c r="Q680" i="17"/>
  <c r="Q681" i="17"/>
  <c r="Q682" i="17"/>
  <c r="Q683" i="17"/>
  <c r="Q684" i="17"/>
  <c r="Q685" i="17"/>
  <c r="Q686" i="17"/>
  <c r="Q687" i="17"/>
  <c r="Q688" i="17"/>
  <c r="Q689" i="17"/>
  <c r="Q690" i="17"/>
  <c r="Q691" i="17"/>
  <c r="Q692" i="17"/>
  <c r="Q693" i="17"/>
  <c r="Q694" i="17"/>
  <c r="Q695" i="17"/>
  <c r="Q696" i="17"/>
  <c r="Q697" i="17"/>
  <c r="Q698" i="17"/>
  <c r="Q699" i="17"/>
  <c r="Q700" i="17"/>
  <c r="Q701" i="17"/>
  <c r="Q2" i="17"/>
  <c r="L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18" i="17"/>
  <c r="L219" i="17"/>
  <c r="L220" i="17"/>
  <c r="L221" i="17"/>
  <c r="L222" i="17"/>
  <c r="L223" i="17"/>
  <c r="L224" i="17"/>
  <c r="L225" i="17"/>
  <c r="L226" i="17"/>
  <c r="L227" i="17"/>
  <c r="L228" i="17"/>
  <c r="L229" i="17"/>
  <c r="L230" i="17"/>
  <c r="L231" i="17"/>
  <c r="L232" i="17"/>
  <c r="L233" i="17"/>
  <c r="L234" i="17"/>
  <c r="L235" i="17"/>
  <c r="L236" i="17"/>
  <c r="L237" i="17"/>
  <c r="L238" i="17"/>
  <c r="L239" i="17"/>
  <c r="L240" i="17"/>
  <c r="L241" i="17"/>
  <c r="L242" i="17"/>
  <c r="L243" i="17"/>
  <c r="L244" i="17"/>
  <c r="L245" i="17"/>
  <c r="L246" i="17"/>
  <c r="L247" i="17"/>
  <c r="L248" i="17"/>
  <c r="L249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10" i="17"/>
  <c r="L311" i="17"/>
  <c r="L312" i="17"/>
  <c r="L313" i="17"/>
  <c r="L314" i="17"/>
  <c r="L315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3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350" i="17"/>
  <c r="L351" i="17"/>
  <c r="L352" i="17"/>
  <c r="L353" i="17"/>
  <c r="L354" i="17"/>
  <c r="L355" i="17"/>
  <c r="L356" i="17"/>
  <c r="L357" i="17"/>
  <c r="L358" i="17"/>
  <c r="L359" i="17"/>
  <c r="L360" i="17"/>
  <c r="L361" i="17"/>
  <c r="L362" i="17"/>
  <c r="L363" i="17"/>
  <c r="L364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7" i="17"/>
  <c r="L408" i="17"/>
  <c r="L40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1" i="17"/>
  <c r="L452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473" i="17"/>
  <c r="L474" i="17"/>
  <c r="L475" i="17"/>
  <c r="L476" i="17"/>
  <c r="L477" i="17"/>
  <c r="L478" i="17"/>
  <c r="L479" i="17"/>
  <c r="L480" i="17"/>
  <c r="L481" i="17"/>
  <c r="L482" i="17"/>
  <c r="L483" i="17"/>
  <c r="L484" i="17"/>
  <c r="L485" i="17"/>
  <c r="L486" i="17"/>
  <c r="L487" i="17"/>
  <c r="L488" i="17"/>
  <c r="L489" i="17"/>
  <c r="L490" i="17"/>
  <c r="L491" i="17"/>
  <c r="L492" i="17"/>
  <c r="L493" i="17"/>
  <c r="L494" i="17"/>
  <c r="L495" i="17"/>
  <c r="L496" i="17"/>
  <c r="L497" i="17"/>
  <c r="L498" i="17"/>
  <c r="L499" i="17"/>
  <c r="L500" i="17"/>
  <c r="L501" i="17"/>
  <c r="L502" i="17"/>
  <c r="L503" i="17"/>
  <c r="L504" i="17"/>
  <c r="L505" i="17"/>
  <c r="L506" i="17"/>
  <c r="L507" i="17"/>
  <c r="L508" i="17"/>
  <c r="L509" i="17"/>
  <c r="L510" i="17"/>
  <c r="L511" i="17"/>
  <c r="L512" i="17"/>
  <c r="L513" i="17"/>
  <c r="L514" i="17"/>
  <c r="L515" i="17"/>
  <c r="L516" i="17"/>
  <c r="L517" i="17"/>
  <c r="L518" i="17"/>
  <c r="L519" i="17"/>
  <c r="L520" i="17"/>
  <c r="L521" i="17"/>
  <c r="L522" i="17"/>
  <c r="L523" i="17"/>
  <c r="L524" i="17"/>
  <c r="L525" i="17"/>
  <c r="L526" i="17"/>
  <c r="L527" i="17"/>
  <c r="L528" i="17"/>
  <c r="L529" i="17"/>
  <c r="L530" i="17"/>
  <c r="L531" i="17"/>
  <c r="L532" i="17"/>
  <c r="L533" i="17"/>
  <c r="L534" i="17"/>
  <c r="L535" i="17"/>
  <c r="L536" i="17"/>
  <c r="L537" i="17"/>
  <c r="L538" i="17"/>
  <c r="L539" i="17"/>
  <c r="L540" i="17"/>
  <c r="L541" i="17"/>
  <c r="L542" i="17"/>
  <c r="L543" i="17"/>
  <c r="L544" i="17"/>
  <c r="L545" i="17"/>
  <c r="L546" i="17"/>
  <c r="L547" i="17"/>
  <c r="L548" i="17"/>
  <c r="L549" i="17"/>
  <c r="L550" i="17"/>
  <c r="L551" i="17"/>
  <c r="L552" i="17"/>
  <c r="L553" i="17"/>
  <c r="L554" i="17"/>
  <c r="L555" i="17"/>
  <c r="L556" i="17"/>
  <c r="L557" i="17"/>
  <c r="L558" i="17"/>
  <c r="L559" i="17"/>
  <c r="L560" i="17"/>
  <c r="L561" i="17"/>
  <c r="L562" i="17"/>
  <c r="L563" i="17"/>
  <c r="L564" i="17"/>
  <c r="L565" i="17"/>
  <c r="L566" i="17"/>
  <c r="L567" i="17"/>
  <c r="L568" i="17"/>
  <c r="L569" i="17"/>
  <c r="L570" i="17"/>
  <c r="L571" i="17"/>
  <c r="L572" i="17"/>
  <c r="L573" i="17"/>
  <c r="L574" i="17"/>
  <c r="L575" i="17"/>
  <c r="L576" i="17"/>
  <c r="L577" i="17"/>
  <c r="L578" i="17"/>
  <c r="L579" i="17"/>
  <c r="L580" i="17"/>
  <c r="L581" i="17"/>
  <c r="L582" i="17"/>
  <c r="L583" i="17"/>
  <c r="L584" i="17"/>
  <c r="L585" i="17"/>
  <c r="L586" i="17"/>
  <c r="L587" i="17"/>
  <c r="L588" i="17"/>
  <c r="L589" i="17"/>
  <c r="L590" i="17"/>
  <c r="L591" i="17"/>
  <c r="L592" i="17"/>
  <c r="L593" i="17"/>
  <c r="L594" i="17"/>
  <c r="L595" i="17"/>
  <c r="L596" i="17"/>
  <c r="L597" i="17"/>
  <c r="L598" i="17"/>
  <c r="L599" i="17"/>
  <c r="L600" i="17"/>
  <c r="L601" i="17"/>
  <c r="L602" i="17"/>
  <c r="L603" i="17"/>
  <c r="L604" i="17"/>
  <c r="L605" i="17"/>
  <c r="L606" i="17"/>
  <c r="L607" i="17"/>
  <c r="L608" i="17"/>
  <c r="L609" i="17"/>
  <c r="L610" i="17"/>
  <c r="L611" i="17"/>
  <c r="L612" i="17"/>
  <c r="L613" i="17"/>
  <c r="L614" i="17"/>
  <c r="L615" i="17"/>
  <c r="L616" i="17"/>
  <c r="L617" i="17"/>
  <c r="L618" i="17"/>
  <c r="L619" i="17"/>
  <c r="L620" i="17"/>
  <c r="L621" i="17"/>
  <c r="L622" i="17"/>
  <c r="L623" i="17"/>
  <c r="L624" i="17"/>
  <c r="L625" i="17"/>
  <c r="L626" i="17"/>
  <c r="L627" i="17"/>
  <c r="L628" i="17"/>
  <c r="L629" i="17"/>
  <c r="L630" i="17"/>
  <c r="L631" i="17"/>
  <c r="L632" i="17"/>
  <c r="L633" i="17"/>
  <c r="L634" i="17"/>
  <c r="L635" i="17"/>
  <c r="L636" i="17"/>
  <c r="L637" i="17"/>
  <c r="L638" i="17"/>
  <c r="L639" i="17"/>
  <c r="L640" i="17"/>
  <c r="L641" i="17"/>
  <c r="L642" i="17"/>
  <c r="L643" i="17"/>
  <c r="L644" i="17"/>
  <c r="L645" i="17"/>
  <c r="L646" i="17"/>
  <c r="L647" i="17"/>
  <c r="L648" i="17"/>
  <c r="L649" i="17"/>
  <c r="L650" i="17"/>
  <c r="L651" i="17"/>
  <c r="L652" i="17"/>
  <c r="L653" i="17"/>
  <c r="L654" i="17"/>
  <c r="L655" i="17"/>
  <c r="L656" i="17"/>
  <c r="L657" i="17"/>
  <c r="L658" i="17"/>
  <c r="L659" i="17"/>
  <c r="L660" i="17"/>
  <c r="L661" i="17"/>
  <c r="L662" i="17"/>
  <c r="L663" i="17"/>
  <c r="L664" i="17"/>
  <c r="L665" i="17"/>
  <c r="L666" i="17"/>
  <c r="L667" i="17"/>
  <c r="L668" i="17"/>
  <c r="L669" i="17"/>
  <c r="L670" i="17"/>
  <c r="L671" i="17"/>
  <c r="L672" i="17"/>
  <c r="L673" i="17"/>
  <c r="L674" i="17"/>
  <c r="L675" i="17"/>
  <c r="L676" i="17"/>
  <c r="L677" i="17"/>
  <c r="L678" i="17"/>
  <c r="L679" i="17"/>
  <c r="L680" i="17"/>
  <c r="L681" i="17"/>
  <c r="L682" i="17"/>
  <c r="L683" i="17"/>
  <c r="L684" i="17"/>
  <c r="L685" i="17"/>
  <c r="L686" i="17"/>
  <c r="L687" i="17"/>
  <c r="L688" i="17"/>
  <c r="L689" i="17"/>
  <c r="L690" i="17"/>
  <c r="L691" i="17"/>
  <c r="L692" i="17"/>
  <c r="L693" i="17"/>
  <c r="L694" i="17"/>
  <c r="L695" i="17"/>
  <c r="L696" i="17"/>
  <c r="L697" i="17"/>
  <c r="L698" i="17"/>
  <c r="L699" i="17"/>
  <c r="L700" i="17"/>
  <c r="L701" i="17"/>
  <c r="L2" i="17"/>
  <c r="U3" i="17"/>
  <c r="U4" i="17"/>
  <c r="U5" i="17"/>
  <c r="U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U147" i="17"/>
  <c r="U148" i="17"/>
  <c r="U149" i="17"/>
  <c r="U150" i="17"/>
  <c r="U151" i="17"/>
  <c r="U152" i="17"/>
  <c r="U153" i="17"/>
  <c r="U154" i="17"/>
  <c r="U155" i="17"/>
  <c r="U156" i="17"/>
  <c r="U157" i="17"/>
  <c r="U158" i="17"/>
  <c r="U159" i="17"/>
  <c r="U160" i="17"/>
  <c r="U161" i="17"/>
  <c r="U162" i="17"/>
  <c r="U163" i="17"/>
  <c r="U164" i="17"/>
  <c r="U165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89" i="17"/>
  <c r="U190" i="17"/>
  <c r="U191" i="17"/>
  <c r="U192" i="17"/>
  <c r="U193" i="17"/>
  <c r="U194" i="17"/>
  <c r="U195" i="17"/>
  <c r="U196" i="17"/>
  <c r="U197" i="17"/>
  <c r="U198" i="17"/>
  <c r="U199" i="17"/>
  <c r="U200" i="17"/>
  <c r="U201" i="17"/>
  <c r="U202" i="17"/>
  <c r="U203" i="17"/>
  <c r="U204" i="17"/>
  <c r="U205" i="17"/>
  <c r="U206" i="17"/>
  <c r="U207" i="17"/>
  <c r="U208" i="17"/>
  <c r="U209" i="17"/>
  <c r="U210" i="17"/>
  <c r="U211" i="17"/>
  <c r="U212" i="17"/>
  <c r="U213" i="17"/>
  <c r="U214" i="17"/>
  <c r="U215" i="17"/>
  <c r="U216" i="17"/>
  <c r="U217" i="17"/>
  <c r="U218" i="17"/>
  <c r="U219" i="17"/>
  <c r="U220" i="17"/>
  <c r="U221" i="17"/>
  <c r="U222" i="17"/>
  <c r="U223" i="17"/>
  <c r="U224" i="17"/>
  <c r="U225" i="17"/>
  <c r="U226" i="17"/>
  <c r="U227" i="17"/>
  <c r="U228" i="17"/>
  <c r="U229" i="17"/>
  <c r="U230" i="17"/>
  <c r="U231" i="17"/>
  <c r="U232" i="17"/>
  <c r="U233" i="17"/>
  <c r="U234" i="17"/>
  <c r="U235" i="17"/>
  <c r="U236" i="17"/>
  <c r="U237" i="17"/>
  <c r="U238" i="17"/>
  <c r="U239" i="17"/>
  <c r="U240" i="17"/>
  <c r="U241" i="17"/>
  <c r="U242" i="17"/>
  <c r="U243" i="17"/>
  <c r="U244" i="17"/>
  <c r="U245" i="17"/>
  <c r="U246" i="17"/>
  <c r="U247" i="17"/>
  <c r="U248" i="17"/>
  <c r="U249" i="17"/>
  <c r="U250" i="17"/>
  <c r="U251" i="17"/>
  <c r="U252" i="17"/>
  <c r="U253" i="17"/>
  <c r="U254" i="17"/>
  <c r="U255" i="17"/>
  <c r="U256" i="17"/>
  <c r="U257" i="17"/>
  <c r="U258" i="17"/>
  <c r="U259" i="17"/>
  <c r="U260" i="17"/>
  <c r="U261" i="17"/>
  <c r="U262" i="17"/>
  <c r="U263" i="17"/>
  <c r="U264" i="17"/>
  <c r="U265" i="17"/>
  <c r="U266" i="17"/>
  <c r="U267" i="17"/>
  <c r="U268" i="17"/>
  <c r="U269" i="17"/>
  <c r="U270" i="17"/>
  <c r="U271" i="17"/>
  <c r="U272" i="17"/>
  <c r="U273" i="17"/>
  <c r="U274" i="17"/>
  <c r="U275" i="17"/>
  <c r="U276" i="17"/>
  <c r="U277" i="17"/>
  <c r="U278" i="17"/>
  <c r="U279" i="17"/>
  <c r="U280" i="17"/>
  <c r="U281" i="17"/>
  <c r="U282" i="17"/>
  <c r="U283" i="17"/>
  <c r="U284" i="17"/>
  <c r="U285" i="17"/>
  <c r="U286" i="17"/>
  <c r="U287" i="17"/>
  <c r="U288" i="17"/>
  <c r="U289" i="17"/>
  <c r="U290" i="17"/>
  <c r="U291" i="17"/>
  <c r="U292" i="17"/>
  <c r="U293" i="17"/>
  <c r="U294" i="17"/>
  <c r="U295" i="17"/>
  <c r="U296" i="17"/>
  <c r="U297" i="17"/>
  <c r="U298" i="17"/>
  <c r="U299" i="17"/>
  <c r="U300" i="17"/>
  <c r="U301" i="17"/>
  <c r="U302" i="17"/>
  <c r="U303" i="17"/>
  <c r="U304" i="17"/>
  <c r="U305" i="17"/>
  <c r="U306" i="17"/>
  <c r="U307" i="17"/>
  <c r="U308" i="17"/>
  <c r="U309" i="17"/>
  <c r="U310" i="17"/>
  <c r="U311" i="17"/>
  <c r="U312" i="17"/>
  <c r="U313" i="17"/>
  <c r="U314" i="17"/>
  <c r="U315" i="17"/>
  <c r="U316" i="17"/>
  <c r="U317" i="17"/>
  <c r="U318" i="17"/>
  <c r="U319" i="17"/>
  <c r="U320" i="17"/>
  <c r="U321" i="17"/>
  <c r="U322" i="17"/>
  <c r="U323" i="17"/>
  <c r="U324" i="17"/>
  <c r="U325" i="17"/>
  <c r="U326" i="17"/>
  <c r="U327" i="17"/>
  <c r="U328" i="17"/>
  <c r="U329" i="17"/>
  <c r="U330" i="17"/>
  <c r="U331" i="17"/>
  <c r="U332" i="17"/>
  <c r="U333" i="17"/>
  <c r="U334" i="17"/>
  <c r="U335" i="17"/>
  <c r="U336" i="17"/>
  <c r="U337" i="17"/>
  <c r="U338" i="17"/>
  <c r="U339" i="17"/>
  <c r="U340" i="17"/>
  <c r="U341" i="17"/>
  <c r="U342" i="17"/>
  <c r="U343" i="17"/>
  <c r="U344" i="17"/>
  <c r="U345" i="17"/>
  <c r="U346" i="17"/>
  <c r="U347" i="17"/>
  <c r="U348" i="17"/>
  <c r="U349" i="17"/>
  <c r="U350" i="17"/>
  <c r="U351" i="17"/>
  <c r="U352" i="17"/>
  <c r="U353" i="17"/>
  <c r="U354" i="17"/>
  <c r="U355" i="17"/>
  <c r="U356" i="17"/>
  <c r="U357" i="17"/>
  <c r="U358" i="17"/>
  <c r="U359" i="17"/>
  <c r="U360" i="17"/>
  <c r="U361" i="17"/>
  <c r="U362" i="17"/>
  <c r="U363" i="17"/>
  <c r="U364" i="17"/>
  <c r="U365" i="17"/>
  <c r="U366" i="17"/>
  <c r="U367" i="17"/>
  <c r="U368" i="17"/>
  <c r="U369" i="17"/>
  <c r="U370" i="17"/>
  <c r="U371" i="17"/>
  <c r="U372" i="17"/>
  <c r="U373" i="17"/>
  <c r="U374" i="17"/>
  <c r="U375" i="17"/>
  <c r="U376" i="17"/>
  <c r="U377" i="17"/>
  <c r="U378" i="17"/>
  <c r="U379" i="17"/>
  <c r="U380" i="17"/>
  <c r="U381" i="17"/>
  <c r="U382" i="17"/>
  <c r="U383" i="17"/>
  <c r="U384" i="17"/>
  <c r="U385" i="17"/>
  <c r="U386" i="17"/>
  <c r="U387" i="17"/>
  <c r="U388" i="17"/>
  <c r="U389" i="17"/>
  <c r="U390" i="17"/>
  <c r="U391" i="17"/>
  <c r="U392" i="17"/>
  <c r="U393" i="17"/>
  <c r="U394" i="17"/>
  <c r="U395" i="17"/>
  <c r="U396" i="17"/>
  <c r="U397" i="17"/>
  <c r="U398" i="17"/>
  <c r="U399" i="17"/>
  <c r="U400" i="17"/>
  <c r="U401" i="17"/>
  <c r="U402" i="17"/>
  <c r="U403" i="17"/>
  <c r="U404" i="17"/>
  <c r="U405" i="17"/>
  <c r="U406" i="17"/>
  <c r="U407" i="17"/>
  <c r="U408" i="17"/>
  <c r="U409" i="17"/>
  <c r="U410" i="17"/>
  <c r="U411" i="17"/>
  <c r="U412" i="17"/>
  <c r="U413" i="17"/>
  <c r="U414" i="17"/>
  <c r="U415" i="17"/>
  <c r="U416" i="17"/>
  <c r="U417" i="17"/>
  <c r="U418" i="17"/>
  <c r="U419" i="17"/>
  <c r="U420" i="17"/>
  <c r="U421" i="17"/>
  <c r="U422" i="17"/>
  <c r="U423" i="17"/>
  <c r="U424" i="17"/>
  <c r="U425" i="17"/>
  <c r="U426" i="17"/>
  <c r="U427" i="17"/>
  <c r="U428" i="17"/>
  <c r="U429" i="17"/>
  <c r="U430" i="17"/>
  <c r="U431" i="17"/>
  <c r="U432" i="17"/>
  <c r="U433" i="17"/>
  <c r="U434" i="17"/>
  <c r="U435" i="17"/>
  <c r="U436" i="17"/>
  <c r="U437" i="17"/>
  <c r="U438" i="17"/>
  <c r="U439" i="17"/>
  <c r="U440" i="17"/>
  <c r="U441" i="17"/>
  <c r="U442" i="17"/>
  <c r="U443" i="17"/>
  <c r="U444" i="17"/>
  <c r="U445" i="17"/>
  <c r="U446" i="17"/>
  <c r="U447" i="17"/>
  <c r="U448" i="17"/>
  <c r="U449" i="17"/>
  <c r="U450" i="17"/>
  <c r="U451" i="17"/>
  <c r="U452" i="17"/>
  <c r="U453" i="17"/>
  <c r="U454" i="17"/>
  <c r="U455" i="17"/>
  <c r="U456" i="17"/>
  <c r="U457" i="17"/>
  <c r="U458" i="17"/>
  <c r="U459" i="17"/>
  <c r="U460" i="17"/>
  <c r="U461" i="17"/>
  <c r="U462" i="17"/>
  <c r="U463" i="17"/>
  <c r="U464" i="17"/>
  <c r="U465" i="17"/>
  <c r="U466" i="17"/>
  <c r="U467" i="17"/>
  <c r="U468" i="17"/>
  <c r="U469" i="17"/>
  <c r="U470" i="17"/>
  <c r="U471" i="17"/>
  <c r="U472" i="17"/>
  <c r="U473" i="17"/>
  <c r="U474" i="17"/>
  <c r="U475" i="17"/>
  <c r="U476" i="17"/>
  <c r="U477" i="17"/>
  <c r="U478" i="17"/>
  <c r="U479" i="17"/>
  <c r="U480" i="17"/>
  <c r="U481" i="17"/>
  <c r="U482" i="17"/>
  <c r="U483" i="17"/>
  <c r="U484" i="17"/>
  <c r="U485" i="17"/>
  <c r="U486" i="17"/>
  <c r="U487" i="17"/>
  <c r="U488" i="17"/>
  <c r="U489" i="17"/>
  <c r="U490" i="17"/>
  <c r="U491" i="17"/>
  <c r="U492" i="17"/>
  <c r="U493" i="17"/>
  <c r="U494" i="17"/>
  <c r="U495" i="17"/>
  <c r="U496" i="17"/>
  <c r="U497" i="17"/>
  <c r="U498" i="17"/>
  <c r="U499" i="17"/>
  <c r="U500" i="17"/>
  <c r="U501" i="17"/>
  <c r="U502" i="17"/>
  <c r="U503" i="17"/>
  <c r="U504" i="17"/>
  <c r="U505" i="17"/>
  <c r="U506" i="17"/>
  <c r="U507" i="17"/>
  <c r="U508" i="17"/>
  <c r="U509" i="17"/>
  <c r="U510" i="17"/>
  <c r="U511" i="17"/>
  <c r="U512" i="17"/>
  <c r="U513" i="17"/>
  <c r="U514" i="17"/>
  <c r="U515" i="17"/>
  <c r="U516" i="17"/>
  <c r="U517" i="17"/>
  <c r="U518" i="17"/>
  <c r="U519" i="17"/>
  <c r="U520" i="17"/>
  <c r="U521" i="17"/>
  <c r="U522" i="17"/>
  <c r="U523" i="17"/>
  <c r="U524" i="17"/>
  <c r="U525" i="17"/>
  <c r="U526" i="17"/>
  <c r="U527" i="17"/>
  <c r="U528" i="17"/>
  <c r="U529" i="17"/>
  <c r="U530" i="17"/>
  <c r="U531" i="17"/>
  <c r="U532" i="17"/>
  <c r="U533" i="17"/>
  <c r="U534" i="17"/>
  <c r="U535" i="17"/>
  <c r="U536" i="17"/>
  <c r="U537" i="17"/>
  <c r="U538" i="17"/>
  <c r="U539" i="17"/>
  <c r="U540" i="17"/>
  <c r="U541" i="17"/>
  <c r="U542" i="17"/>
  <c r="U543" i="17"/>
  <c r="U544" i="17"/>
  <c r="U545" i="17"/>
  <c r="U546" i="17"/>
  <c r="U547" i="17"/>
  <c r="U548" i="17"/>
  <c r="U549" i="17"/>
  <c r="U550" i="17"/>
  <c r="U551" i="17"/>
  <c r="U552" i="17"/>
  <c r="U553" i="17"/>
  <c r="U554" i="17"/>
  <c r="U555" i="17"/>
  <c r="U556" i="17"/>
  <c r="U557" i="17"/>
  <c r="U558" i="17"/>
  <c r="U559" i="17"/>
  <c r="U560" i="17"/>
  <c r="U561" i="17"/>
  <c r="U562" i="17"/>
  <c r="U563" i="17"/>
  <c r="U564" i="17"/>
  <c r="U565" i="17"/>
  <c r="U566" i="17"/>
  <c r="U567" i="17"/>
  <c r="U568" i="17"/>
  <c r="U569" i="17"/>
  <c r="U570" i="17"/>
  <c r="U571" i="17"/>
  <c r="U572" i="17"/>
  <c r="U573" i="17"/>
  <c r="U574" i="17"/>
  <c r="U575" i="17"/>
  <c r="U576" i="17"/>
  <c r="U577" i="17"/>
  <c r="U578" i="17"/>
  <c r="U579" i="17"/>
  <c r="U580" i="17"/>
  <c r="U581" i="17"/>
  <c r="U582" i="17"/>
  <c r="U583" i="17"/>
  <c r="U584" i="17"/>
  <c r="U585" i="17"/>
  <c r="U586" i="17"/>
  <c r="U587" i="17"/>
  <c r="U588" i="17"/>
  <c r="U589" i="17"/>
  <c r="U590" i="17"/>
  <c r="U591" i="17"/>
  <c r="U592" i="17"/>
  <c r="U593" i="17"/>
  <c r="U594" i="17"/>
  <c r="U595" i="17"/>
  <c r="U596" i="17"/>
  <c r="U597" i="17"/>
  <c r="U598" i="17"/>
  <c r="U599" i="17"/>
  <c r="U600" i="17"/>
  <c r="U601" i="17"/>
  <c r="U602" i="17"/>
  <c r="U603" i="17"/>
  <c r="U604" i="17"/>
  <c r="U605" i="17"/>
  <c r="U606" i="17"/>
  <c r="U607" i="17"/>
  <c r="U608" i="17"/>
  <c r="U609" i="17"/>
  <c r="U610" i="17"/>
  <c r="U611" i="17"/>
  <c r="U612" i="17"/>
  <c r="U613" i="17"/>
  <c r="U614" i="17"/>
  <c r="U615" i="17"/>
  <c r="U616" i="17"/>
  <c r="U617" i="17"/>
  <c r="U618" i="17"/>
  <c r="U619" i="17"/>
  <c r="U620" i="17"/>
  <c r="U621" i="17"/>
  <c r="U622" i="17"/>
  <c r="U623" i="17"/>
  <c r="U624" i="17"/>
  <c r="U625" i="17"/>
  <c r="U626" i="17"/>
  <c r="U627" i="17"/>
  <c r="U628" i="17"/>
  <c r="U629" i="17"/>
  <c r="U630" i="17"/>
  <c r="U631" i="17"/>
  <c r="U632" i="17"/>
  <c r="U633" i="17"/>
  <c r="U634" i="17"/>
  <c r="U635" i="17"/>
  <c r="U636" i="17"/>
  <c r="U637" i="17"/>
  <c r="U638" i="17"/>
  <c r="U639" i="17"/>
  <c r="U640" i="17"/>
  <c r="U641" i="17"/>
  <c r="U642" i="17"/>
  <c r="U643" i="17"/>
  <c r="U644" i="17"/>
  <c r="U645" i="17"/>
  <c r="U646" i="17"/>
  <c r="U647" i="17"/>
  <c r="U2" i="17"/>
  <c r="S3" i="17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S492" i="17"/>
  <c r="S493" i="17"/>
  <c r="S494" i="17"/>
  <c r="S495" i="17"/>
  <c r="S496" i="17"/>
  <c r="S497" i="17"/>
  <c r="S498" i="17"/>
  <c r="S499" i="17"/>
  <c r="S500" i="17"/>
  <c r="S501" i="17"/>
  <c r="S502" i="17"/>
  <c r="S503" i="17"/>
  <c r="S504" i="17"/>
  <c r="S505" i="17"/>
  <c r="S506" i="17"/>
  <c r="S507" i="17"/>
  <c r="S508" i="17"/>
  <c r="S509" i="17"/>
  <c r="S510" i="17"/>
  <c r="S511" i="17"/>
  <c r="S512" i="17"/>
  <c r="S513" i="17"/>
  <c r="S514" i="17"/>
  <c r="S515" i="17"/>
  <c r="S516" i="17"/>
  <c r="S517" i="17"/>
  <c r="S518" i="17"/>
  <c r="S519" i="17"/>
  <c r="S520" i="17"/>
  <c r="S521" i="17"/>
  <c r="S522" i="17"/>
  <c r="S523" i="17"/>
  <c r="S524" i="17"/>
  <c r="S525" i="17"/>
  <c r="S526" i="17"/>
  <c r="S527" i="17"/>
  <c r="S528" i="17"/>
  <c r="S529" i="17"/>
  <c r="S530" i="17"/>
  <c r="S531" i="17"/>
  <c r="S532" i="17"/>
  <c r="S533" i="17"/>
  <c r="S534" i="17"/>
  <c r="S535" i="17"/>
  <c r="S536" i="17"/>
  <c r="S537" i="17"/>
  <c r="S538" i="17"/>
  <c r="S539" i="17"/>
  <c r="S540" i="17"/>
  <c r="S541" i="17"/>
  <c r="S542" i="17"/>
  <c r="S543" i="17"/>
  <c r="S544" i="17"/>
  <c r="S545" i="17"/>
  <c r="S546" i="17"/>
  <c r="S547" i="17"/>
  <c r="S548" i="17"/>
  <c r="S549" i="17"/>
  <c r="S550" i="17"/>
  <c r="S551" i="17"/>
  <c r="S552" i="17"/>
  <c r="S553" i="17"/>
  <c r="S554" i="17"/>
  <c r="S555" i="17"/>
  <c r="S556" i="17"/>
  <c r="S557" i="17"/>
  <c r="S558" i="17"/>
  <c r="S559" i="17"/>
  <c r="S560" i="17"/>
  <c r="S561" i="17"/>
  <c r="S562" i="17"/>
  <c r="S563" i="17"/>
  <c r="S564" i="17"/>
  <c r="S565" i="17"/>
  <c r="S566" i="17"/>
  <c r="S567" i="17"/>
  <c r="S568" i="17"/>
  <c r="S569" i="17"/>
  <c r="S570" i="17"/>
  <c r="S571" i="17"/>
  <c r="S572" i="17"/>
  <c r="S573" i="17"/>
  <c r="S574" i="17"/>
  <c r="S575" i="17"/>
  <c r="S576" i="17"/>
  <c r="S577" i="17"/>
  <c r="S578" i="17"/>
  <c r="S579" i="17"/>
  <c r="S580" i="17"/>
  <c r="S581" i="17"/>
  <c r="S582" i="17"/>
  <c r="S583" i="17"/>
  <c r="S584" i="17"/>
  <c r="S585" i="17"/>
  <c r="S586" i="17"/>
  <c r="S587" i="17"/>
  <c r="S588" i="17"/>
  <c r="S589" i="17"/>
  <c r="S590" i="17"/>
  <c r="S591" i="17"/>
  <c r="S592" i="17"/>
  <c r="S593" i="17"/>
  <c r="S594" i="17"/>
  <c r="S595" i="17"/>
  <c r="S596" i="17"/>
  <c r="S597" i="17"/>
  <c r="S598" i="17"/>
  <c r="S599" i="17"/>
  <c r="S600" i="17"/>
  <c r="S601" i="17"/>
  <c r="S602" i="17"/>
  <c r="S603" i="17"/>
  <c r="S604" i="17"/>
  <c r="S605" i="17"/>
  <c r="S606" i="17"/>
  <c r="S607" i="17"/>
  <c r="S608" i="17"/>
  <c r="S609" i="17"/>
  <c r="S610" i="17"/>
  <c r="S611" i="17"/>
  <c r="S612" i="17"/>
  <c r="S613" i="17"/>
  <c r="S614" i="17"/>
  <c r="S615" i="17"/>
  <c r="S616" i="17"/>
  <c r="S617" i="17"/>
  <c r="S618" i="17"/>
  <c r="S619" i="17"/>
  <c r="S620" i="17"/>
  <c r="S621" i="17"/>
  <c r="S622" i="17"/>
  <c r="S623" i="17"/>
  <c r="S624" i="17"/>
  <c r="S625" i="17"/>
  <c r="S626" i="17"/>
  <c r="S627" i="17"/>
  <c r="S628" i="17"/>
  <c r="S629" i="17"/>
  <c r="S630" i="17"/>
  <c r="S631" i="17"/>
  <c r="S632" i="17"/>
  <c r="S633" i="17"/>
  <c r="S634" i="17"/>
  <c r="S635" i="17"/>
  <c r="S636" i="17"/>
  <c r="S637" i="17"/>
  <c r="S638" i="17"/>
  <c r="S639" i="17"/>
  <c r="S640" i="17"/>
  <c r="S641" i="17"/>
  <c r="S642" i="17"/>
  <c r="S643" i="17"/>
  <c r="S644" i="17"/>
  <c r="S645" i="17"/>
  <c r="S646" i="17"/>
  <c r="S647" i="17"/>
  <c r="S2" i="17"/>
  <c r="U649" i="17"/>
  <c r="U650" i="17"/>
  <c r="U651" i="17"/>
  <c r="U652" i="17"/>
  <c r="U653" i="17"/>
  <c r="U654" i="17"/>
  <c r="U655" i="17"/>
  <c r="U656" i="17"/>
  <c r="U657" i="17"/>
  <c r="U658" i="17"/>
  <c r="U659" i="17"/>
  <c r="U660" i="17"/>
  <c r="U661" i="17"/>
  <c r="U662" i="17"/>
  <c r="U663" i="17"/>
  <c r="U664" i="17"/>
  <c r="U665" i="17"/>
  <c r="U666" i="17"/>
  <c r="U667" i="17"/>
  <c r="U668" i="17"/>
  <c r="U669" i="17"/>
  <c r="U670" i="17"/>
  <c r="U671" i="17"/>
  <c r="U672" i="17"/>
  <c r="U673" i="17"/>
  <c r="U674" i="17"/>
  <c r="U675" i="17"/>
  <c r="U676" i="17"/>
  <c r="U677" i="17"/>
  <c r="U678" i="17"/>
  <c r="U679" i="17"/>
  <c r="U680" i="17"/>
  <c r="U681" i="17"/>
  <c r="U682" i="17"/>
  <c r="U683" i="17"/>
  <c r="U684" i="17"/>
  <c r="U685" i="17"/>
  <c r="U686" i="17"/>
  <c r="U687" i="17"/>
  <c r="U688" i="17"/>
  <c r="U689" i="17"/>
  <c r="U690" i="17"/>
  <c r="U691" i="17"/>
  <c r="U692" i="17"/>
  <c r="U693" i="17"/>
  <c r="U694" i="17"/>
  <c r="U695" i="17"/>
  <c r="U696" i="17"/>
  <c r="U697" i="17"/>
  <c r="U698" i="17"/>
  <c r="U699" i="17"/>
  <c r="U700" i="17"/>
  <c r="U701" i="17"/>
  <c r="U648" i="17"/>
  <c r="S649" i="17"/>
  <c r="S650" i="17"/>
  <c r="S651" i="17"/>
  <c r="S652" i="17"/>
  <c r="S653" i="17"/>
  <c r="S654" i="17"/>
  <c r="S655" i="17"/>
  <c r="S656" i="17"/>
  <c r="S657" i="17"/>
  <c r="S658" i="17"/>
  <c r="S659" i="17"/>
  <c r="S660" i="17"/>
  <c r="S661" i="17"/>
  <c r="S662" i="17"/>
  <c r="S663" i="17"/>
  <c r="S664" i="17"/>
  <c r="S665" i="17"/>
  <c r="S666" i="17"/>
  <c r="S667" i="17"/>
  <c r="S668" i="17"/>
  <c r="S669" i="17"/>
  <c r="S670" i="17"/>
  <c r="S671" i="17"/>
  <c r="S672" i="17"/>
  <c r="S673" i="17"/>
  <c r="S674" i="17"/>
  <c r="S675" i="17"/>
  <c r="S676" i="17"/>
  <c r="S677" i="17"/>
  <c r="S678" i="17"/>
  <c r="S679" i="17"/>
  <c r="S680" i="17"/>
  <c r="S681" i="17"/>
  <c r="S682" i="17"/>
  <c r="S683" i="17"/>
  <c r="S684" i="17"/>
  <c r="S685" i="17"/>
  <c r="S686" i="17"/>
  <c r="S687" i="17"/>
  <c r="S688" i="17"/>
  <c r="S689" i="17"/>
  <c r="S690" i="17"/>
  <c r="S691" i="17"/>
  <c r="S692" i="17"/>
  <c r="S693" i="17"/>
  <c r="S694" i="17"/>
  <c r="S695" i="17"/>
  <c r="S696" i="17"/>
  <c r="S697" i="17"/>
  <c r="S698" i="17"/>
  <c r="S699" i="17"/>
  <c r="S700" i="17"/>
  <c r="S701" i="17"/>
  <c r="S648" i="17"/>
  <c r="P3" i="42" l="1"/>
  <c r="P4" i="42"/>
  <c r="P5" i="42"/>
  <c r="P6" i="42"/>
  <c r="P7" i="42"/>
  <c r="P8" i="42"/>
  <c r="P9" i="42"/>
  <c r="P10" i="42"/>
  <c r="P11" i="42"/>
  <c r="P12" i="42"/>
  <c r="P13" i="42"/>
  <c r="P14" i="42"/>
  <c r="P15" i="42"/>
  <c r="P16" i="42"/>
  <c r="P17" i="42"/>
  <c r="P18" i="42"/>
  <c r="P19" i="42"/>
  <c r="P20" i="42"/>
  <c r="P21" i="42"/>
  <c r="P22" i="42"/>
  <c r="P23" i="42"/>
  <c r="P24" i="42"/>
  <c r="P25" i="42"/>
  <c r="P26" i="42"/>
  <c r="P27" i="42"/>
  <c r="P28" i="42"/>
  <c r="P29" i="42"/>
  <c r="P30" i="42"/>
  <c r="P31" i="42"/>
  <c r="P32" i="42"/>
  <c r="P33" i="42"/>
  <c r="P34" i="42"/>
  <c r="P35" i="42"/>
  <c r="P36" i="42"/>
  <c r="P37" i="42"/>
  <c r="P38" i="42"/>
  <c r="P39" i="42"/>
  <c r="P40" i="42"/>
  <c r="P41" i="42"/>
  <c r="P42" i="42"/>
  <c r="P43" i="42"/>
  <c r="P44" i="42"/>
  <c r="P45" i="42"/>
  <c r="P46" i="42"/>
  <c r="P47" i="42"/>
  <c r="P48" i="42"/>
  <c r="P49" i="42"/>
  <c r="P50" i="42"/>
  <c r="P51" i="42"/>
  <c r="P52" i="42"/>
  <c r="P53" i="42"/>
  <c r="P54" i="42"/>
  <c r="P55" i="42"/>
  <c r="P56" i="42"/>
  <c r="P57" i="42"/>
  <c r="P58" i="42"/>
  <c r="P59" i="42"/>
  <c r="P60" i="42"/>
  <c r="P61" i="42"/>
  <c r="P62" i="42"/>
  <c r="P63" i="42"/>
  <c r="P64" i="42"/>
  <c r="P65" i="42"/>
  <c r="P66" i="42"/>
  <c r="P67" i="42"/>
  <c r="P68" i="42"/>
  <c r="P69" i="42"/>
  <c r="P70" i="42"/>
  <c r="P71" i="42"/>
  <c r="P72" i="42"/>
  <c r="P73" i="42"/>
  <c r="P74" i="42"/>
  <c r="P75" i="42"/>
  <c r="P76" i="42"/>
  <c r="P77" i="42"/>
  <c r="P78" i="42"/>
  <c r="P79" i="42"/>
  <c r="P80" i="42"/>
  <c r="P81" i="42"/>
  <c r="P82" i="42"/>
  <c r="P83" i="42"/>
  <c r="P84" i="42"/>
  <c r="P85" i="42"/>
  <c r="P86" i="42"/>
  <c r="P87" i="42"/>
  <c r="P88" i="42"/>
  <c r="P89" i="42"/>
  <c r="P90" i="42"/>
  <c r="P91" i="42"/>
  <c r="P92" i="42"/>
  <c r="P93" i="42"/>
  <c r="P94" i="42"/>
  <c r="P95" i="42"/>
  <c r="P96" i="42"/>
  <c r="P97" i="42"/>
  <c r="P98" i="42"/>
  <c r="P99" i="42"/>
  <c r="P100" i="42"/>
  <c r="P101" i="42"/>
  <c r="P102" i="42"/>
  <c r="P103" i="42"/>
  <c r="P104" i="42"/>
  <c r="P105" i="42"/>
  <c r="P106" i="42"/>
  <c r="P107" i="42"/>
  <c r="P108" i="42"/>
  <c r="P109" i="42"/>
  <c r="P110" i="42"/>
  <c r="P111" i="42"/>
  <c r="P112" i="42"/>
  <c r="P113" i="42"/>
  <c r="P114" i="42"/>
  <c r="P115" i="42"/>
  <c r="P116" i="42"/>
  <c r="P117" i="42"/>
  <c r="P118" i="42"/>
  <c r="P119" i="42"/>
  <c r="P120" i="42"/>
  <c r="P121" i="42"/>
  <c r="P122" i="42"/>
  <c r="P123" i="42"/>
  <c r="P124" i="42"/>
  <c r="P125" i="42"/>
  <c r="P126" i="42"/>
  <c r="P127" i="42"/>
  <c r="P128" i="42"/>
  <c r="P129" i="42"/>
  <c r="P130" i="42"/>
  <c r="P131" i="42"/>
  <c r="P132" i="42"/>
  <c r="P133" i="42"/>
  <c r="P134" i="42"/>
  <c r="P135" i="42"/>
  <c r="P136" i="42"/>
  <c r="P137" i="42"/>
  <c r="P138" i="42"/>
  <c r="P139" i="42"/>
  <c r="P140" i="42"/>
  <c r="P141" i="42"/>
  <c r="P142" i="42"/>
  <c r="P143" i="42"/>
  <c r="P144" i="42"/>
  <c r="P145" i="42"/>
  <c r="P146" i="42"/>
  <c r="P147" i="42"/>
  <c r="P148" i="42"/>
  <c r="P149" i="42"/>
  <c r="P150" i="42"/>
  <c r="P151" i="42"/>
  <c r="P152" i="42"/>
  <c r="P153" i="42"/>
  <c r="P154" i="42"/>
  <c r="P155" i="42"/>
  <c r="P156" i="42"/>
  <c r="P157" i="42"/>
  <c r="P158" i="42"/>
  <c r="P159" i="42"/>
  <c r="P160" i="42"/>
  <c r="P161" i="42"/>
  <c r="P162" i="42"/>
  <c r="P163" i="42"/>
  <c r="P164" i="42"/>
  <c r="P165" i="42"/>
  <c r="P166" i="42"/>
  <c r="P167" i="42"/>
  <c r="P168" i="42"/>
  <c r="P169" i="42"/>
  <c r="P170" i="42"/>
  <c r="P171" i="42"/>
  <c r="P172" i="42"/>
  <c r="P173" i="42"/>
  <c r="P174" i="42"/>
  <c r="P175" i="42"/>
  <c r="P176" i="42"/>
  <c r="P177" i="42"/>
  <c r="P178" i="42"/>
  <c r="P179" i="42"/>
  <c r="P180" i="42"/>
  <c r="P181" i="42"/>
  <c r="P182" i="42"/>
  <c r="P183" i="42"/>
  <c r="P184" i="42"/>
  <c r="P185" i="42"/>
  <c r="P186" i="42"/>
  <c r="P187" i="42"/>
  <c r="P188" i="42"/>
  <c r="P189" i="42"/>
  <c r="P190" i="42"/>
  <c r="P191" i="42"/>
  <c r="P192" i="42"/>
  <c r="P193" i="42"/>
  <c r="P194" i="42"/>
  <c r="P195" i="42"/>
  <c r="P196" i="42"/>
  <c r="P197" i="42"/>
  <c r="P198" i="42"/>
  <c r="P199" i="42"/>
  <c r="P200" i="42"/>
  <c r="P201" i="42"/>
  <c r="P202" i="42"/>
  <c r="P203" i="42"/>
  <c r="P204" i="42"/>
  <c r="P205" i="42"/>
  <c r="P206" i="42"/>
  <c r="P207" i="42"/>
  <c r="P208" i="42"/>
  <c r="P209" i="42"/>
  <c r="P210" i="42"/>
  <c r="P211" i="42"/>
  <c r="P212" i="42"/>
  <c r="P2" i="42"/>
  <c r="BA212" i="42"/>
  <c r="AZ212" i="42"/>
  <c r="AY212" i="42"/>
  <c r="AX212" i="42"/>
  <c r="AW212" i="42"/>
  <c r="AV212" i="42"/>
  <c r="AU212" i="42"/>
  <c r="AT212" i="42"/>
  <c r="AS212" i="42"/>
  <c r="AR212" i="42"/>
  <c r="AQ212" i="42"/>
  <c r="AP212" i="42"/>
  <c r="AO212" i="42"/>
  <c r="AN212" i="42"/>
  <c r="AM212" i="42"/>
  <c r="AL212" i="42"/>
  <c r="AH212" i="42"/>
  <c r="Z212" i="42"/>
  <c r="X212" i="42"/>
  <c r="V212" i="42"/>
  <c r="S212" i="42"/>
  <c r="T212" i="42" s="1"/>
  <c r="AK212" i="42" s="1"/>
  <c r="N212" i="42"/>
  <c r="K212" i="42"/>
  <c r="L212" i="42" s="1"/>
  <c r="H212" i="42"/>
  <c r="F212" i="42"/>
  <c r="D212" i="42"/>
  <c r="BA211" i="42"/>
  <c r="AZ211" i="42"/>
  <c r="AY211" i="42"/>
  <c r="AX211" i="42"/>
  <c r="AW211" i="42"/>
  <c r="AV211" i="42"/>
  <c r="AU211" i="42"/>
  <c r="AT211" i="42"/>
  <c r="AS211" i="42"/>
  <c r="AR211" i="42"/>
  <c r="AQ211" i="42"/>
  <c r="AP211" i="42"/>
  <c r="AO211" i="42"/>
  <c r="AN211" i="42"/>
  <c r="AM211" i="42"/>
  <c r="AL211" i="42"/>
  <c r="AH211" i="42"/>
  <c r="Z211" i="42"/>
  <c r="X211" i="42"/>
  <c r="V211" i="42"/>
  <c r="S211" i="42"/>
  <c r="T211" i="42" s="1"/>
  <c r="AK211" i="42" s="1"/>
  <c r="N211" i="42"/>
  <c r="K211" i="42"/>
  <c r="L211" i="42" s="1"/>
  <c r="H211" i="42"/>
  <c r="F211" i="42"/>
  <c r="D211" i="42"/>
  <c r="BA210" i="42"/>
  <c r="AZ210" i="42"/>
  <c r="AY210" i="42"/>
  <c r="AX210" i="42"/>
  <c r="AW210" i="42"/>
  <c r="AV210" i="42"/>
  <c r="AU210" i="42"/>
  <c r="AT210" i="42"/>
  <c r="AS210" i="42"/>
  <c r="AR210" i="42"/>
  <c r="AQ210" i="42"/>
  <c r="AP210" i="42"/>
  <c r="AO210" i="42"/>
  <c r="AN210" i="42"/>
  <c r="AM210" i="42"/>
  <c r="AL210" i="42"/>
  <c r="AH210" i="42"/>
  <c r="Z210" i="42"/>
  <c r="X210" i="42"/>
  <c r="V210" i="42"/>
  <c r="S210" i="42"/>
  <c r="T210" i="42" s="1"/>
  <c r="AK210" i="42" s="1"/>
  <c r="N210" i="42"/>
  <c r="K210" i="42"/>
  <c r="L210" i="42" s="1"/>
  <c r="H210" i="42"/>
  <c r="F210" i="42"/>
  <c r="D210" i="42"/>
  <c r="BA209" i="42"/>
  <c r="AZ209" i="42"/>
  <c r="AY209" i="42"/>
  <c r="AX209" i="42"/>
  <c r="AW209" i="42"/>
  <c r="AV209" i="42"/>
  <c r="AU209" i="42"/>
  <c r="AT209" i="42"/>
  <c r="AS209" i="42"/>
  <c r="AR209" i="42"/>
  <c r="AQ209" i="42"/>
  <c r="AP209" i="42"/>
  <c r="AO209" i="42"/>
  <c r="AN209" i="42"/>
  <c r="AM209" i="42"/>
  <c r="AL209" i="42"/>
  <c r="AH209" i="42"/>
  <c r="Z209" i="42"/>
  <c r="X209" i="42"/>
  <c r="V209" i="42"/>
  <c r="S209" i="42"/>
  <c r="T209" i="42" s="1"/>
  <c r="AK209" i="42" s="1"/>
  <c r="N209" i="42"/>
  <c r="K209" i="42"/>
  <c r="L209" i="42" s="1"/>
  <c r="H209" i="42"/>
  <c r="F209" i="42"/>
  <c r="D209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H208" i="42"/>
  <c r="Z208" i="42"/>
  <c r="X208" i="42"/>
  <c r="V208" i="42"/>
  <c r="S208" i="42"/>
  <c r="T208" i="42" s="1"/>
  <c r="AK208" i="42" s="1"/>
  <c r="N208" i="42"/>
  <c r="K208" i="42"/>
  <c r="L208" i="42" s="1"/>
  <c r="H208" i="42"/>
  <c r="F208" i="42"/>
  <c r="D208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H207" i="42"/>
  <c r="Z207" i="42"/>
  <c r="X207" i="42"/>
  <c r="V207" i="42"/>
  <c r="S207" i="42"/>
  <c r="T207" i="42" s="1"/>
  <c r="AK207" i="42" s="1"/>
  <c r="N207" i="42"/>
  <c r="K207" i="42"/>
  <c r="L207" i="42" s="1"/>
  <c r="H207" i="42"/>
  <c r="F207" i="42"/>
  <c r="D207" i="42"/>
  <c r="BA206" i="42"/>
  <c r="AZ206" i="42"/>
  <c r="AY206" i="42"/>
  <c r="AX206" i="42"/>
  <c r="AW206" i="42"/>
  <c r="AV206" i="42"/>
  <c r="AU206" i="42"/>
  <c r="AT206" i="42"/>
  <c r="AS206" i="42"/>
  <c r="AR206" i="42"/>
  <c r="AQ206" i="42"/>
  <c r="AP206" i="42"/>
  <c r="AO206" i="42"/>
  <c r="AN206" i="42"/>
  <c r="AM206" i="42"/>
  <c r="AL206" i="42"/>
  <c r="AH206" i="42"/>
  <c r="Z206" i="42"/>
  <c r="X206" i="42"/>
  <c r="V206" i="42"/>
  <c r="S206" i="42"/>
  <c r="T206" i="42" s="1"/>
  <c r="AK206" i="42" s="1"/>
  <c r="N206" i="42"/>
  <c r="K206" i="42"/>
  <c r="L206" i="42" s="1"/>
  <c r="H206" i="42"/>
  <c r="F206" i="42"/>
  <c r="D206" i="42"/>
  <c r="BA205" i="42"/>
  <c r="AZ205" i="42"/>
  <c r="AY205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H205" i="42"/>
  <c r="Z205" i="42"/>
  <c r="X205" i="42"/>
  <c r="V205" i="42"/>
  <c r="S205" i="42"/>
  <c r="T205" i="42" s="1"/>
  <c r="AK205" i="42" s="1"/>
  <c r="N205" i="42"/>
  <c r="K205" i="42"/>
  <c r="L205" i="42" s="1"/>
  <c r="H205" i="42"/>
  <c r="F205" i="42"/>
  <c r="D205" i="42"/>
  <c r="BA204" i="42"/>
  <c r="AZ204" i="42"/>
  <c r="AY204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H204" i="42"/>
  <c r="Z204" i="42"/>
  <c r="X204" i="42"/>
  <c r="V204" i="42"/>
  <c r="S204" i="42"/>
  <c r="T204" i="42" s="1"/>
  <c r="AK204" i="42" s="1"/>
  <c r="N204" i="42"/>
  <c r="K204" i="42"/>
  <c r="L204" i="42" s="1"/>
  <c r="H204" i="42"/>
  <c r="F204" i="42"/>
  <c r="D204" i="42"/>
  <c r="BA203" i="42"/>
  <c r="AZ203" i="42"/>
  <c r="AY203" i="42"/>
  <c r="AX203" i="42"/>
  <c r="AW203" i="42"/>
  <c r="AV203" i="42"/>
  <c r="AU203" i="42"/>
  <c r="AT203" i="42"/>
  <c r="AS203" i="42"/>
  <c r="AR203" i="42"/>
  <c r="AQ203" i="42"/>
  <c r="AP203" i="42"/>
  <c r="AO203" i="42"/>
  <c r="AN203" i="42"/>
  <c r="AM203" i="42"/>
  <c r="AL203" i="42"/>
  <c r="AH203" i="42"/>
  <c r="Z203" i="42"/>
  <c r="X203" i="42"/>
  <c r="V203" i="42"/>
  <c r="S203" i="42"/>
  <c r="T203" i="42" s="1"/>
  <c r="AK203" i="42" s="1"/>
  <c r="N203" i="42"/>
  <c r="K203" i="42"/>
  <c r="L203" i="42" s="1"/>
  <c r="H203" i="42"/>
  <c r="F203" i="42"/>
  <c r="D203" i="42"/>
  <c r="BA202" i="42"/>
  <c r="AZ202" i="42"/>
  <c r="AY202" i="42"/>
  <c r="AX202" i="42"/>
  <c r="AW202" i="42"/>
  <c r="AV202" i="42"/>
  <c r="AU202" i="42"/>
  <c r="AT202" i="42"/>
  <c r="AS202" i="42"/>
  <c r="AR202" i="42"/>
  <c r="AQ202" i="42"/>
  <c r="AP202" i="42"/>
  <c r="AO202" i="42"/>
  <c r="AN202" i="42"/>
  <c r="AM202" i="42"/>
  <c r="AL202" i="42"/>
  <c r="AH202" i="42"/>
  <c r="Z202" i="42"/>
  <c r="X202" i="42"/>
  <c r="V202" i="42"/>
  <c r="S202" i="42"/>
  <c r="T202" i="42" s="1"/>
  <c r="AK202" i="42" s="1"/>
  <c r="N202" i="42"/>
  <c r="K202" i="42"/>
  <c r="L202" i="42" s="1"/>
  <c r="H202" i="42"/>
  <c r="F202" i="42"/>
  <c r="D202" i="42"/>
  <c r="BA201" i="42"/>
  <c r="AZ201" i="42"/>
  <c r="AY201" i="42"/>
  <c r="AX201" i="42"/>
  <c r="AW201" i="42"/>
  <c r="AV201" i="42"/>
  <c r="AU201" i="42"/>
  <c r="AT201" i="42"/>
  <c r="AS201" i="42"/>
  <c r="AR201" i="42"/>
  <c r="AQ201" i="42"/>
  <c r="AP201" i="42"/>
  <c r="AO201" i="42"/>
  <c r="AN201" i="42"/>
  <c r="AM201" i="42"/>
  <c r="AL201" i="42"/>
  <c r="AH201" i="42"/>
  <c r="Z201" i="42"/>
  <c r="X201" i="42"/>
  <c r="V201" i="42"/>
  <c r="S201" i="42"/>
  <c r="T201" i="42" s="1"/>
  <c r="AK201" i="42" s="1"/>
  <c r="N201" i="42"/>
  <c r="K201" i="42"/>
  <c r="L201" i="42" s="1"/>
  <c r="H201" i="42"/>
  <c r="F201" i="42"/>
  <c r="D201" i="42"/>
  <c r="BA200" i="42"/>
  <c r="AZ200" i="42"/>
  <c r="AY200" i="42"/>
  <c r="AX200" i="42"/>
  <c r="AW200" i="42"/>
  <c r="AV200" i="42"/>
  <c r="AU200" i="42"/>
  <c r="AT200" i="42"/>
  <c r="AS200" i="42"/>
  <c r="AR200" i="42"/>
  <c r="AQ200" i="42"/>
  <c r="AP200" i="42"/>
  <c r="AO200" i="42"/>
  <c r="AN200" i="42"/>
  <c r="AM200" i="42"/>
  <c r="AL200" i="42"/>
  <c r="AH200" i="42"/>
  <c r="Z200" i="42"/>
  <c r="X200" i="42"/>
  <c r="V200" i="42"/>
  <c r="S200" i="42"/>
  <c r="T200" i="42" s="1"/>
  <c r="AK200" i="42" s="1"/>
  <c r="N200" i="42"/>
  <c r="K200" i="42"/>
  <c r="L200" i="42" s="1"/>
  <c r="H200" i="42"/>
  <c r="F200" i="42"/>
  <c r="D200" i="42"/>
  <c r="BA199" i="42"/>
  <c r="AZ199" i="42"/>
  <c r="AY199" i="42"/>
  <c r="AX199" i="42"/>
  <c r="AW199" i="42"/>
  <c r="AV199" i="42"/>
  <c r="AU199" i="42"/>
  <c r="AT199" i="42"/>
  <c r="AS199" i="42"/>
  <c r="AR199" i="42"/>
  <c r="AQ199" i="42"/>
  <c r="AP199" i="42"/>
  <c r="AO199" i="42"/>
  <c r="AN199" i="42"/>
  <c r="AM199" i="42"/>
  <c r="AL199" i="42"/>
  <c r="AH199" i="42"/>
  <c r="Z199" i="42"/>
  <c r="X199" i="42"/>
  <c r="V199" i="42"/>
  <c r="S199" i="42"/>
  <c r="T199" i="42" s="1"/>
  <c r="AK199" i="42" s="1"/>
  <c r="N199" i="42"/>
  <c r="K199" i="42"/>
  <c r="L199" i="42" s="1"/>
  <c r="H199" i="42"/>
  <c r="F199" i="42"/>
  <c r="D199" i="42"/>
  <c r="BA198" i="42"/>
  <c r="AZ198" i="42"/>
  <c r="AY198" i="42"/>
  <c r="AX198" i="42"/>
  <c r="AW198" i="42"/>
  <c r="AV198" i="42"/>
  <c r="AU198" i="42"/>
  <c r="AT198" i="42"/>
  <c r="AS198" i="42"/>
  <c r="AR198" i="42"/>
  <c r="AQ198" i="42"/>
  <c r="AP198" i="42"/>
  <c r="AO198" i="42"/>
  <c r="AN198" i="42"/>
  <c r="AM198" i="42"/>
  <c r="AL198" i="42"/>
  <c r="AH198" i="42"/>
  <c r="Z198" i="42"/>
  <c r="X198" i="42"/>
  <c r="V198" i="42"/>
  <c r="S198" i="42"/>
  <c r="T198" i="42" s="1"/>
  <c r="AK198" i="42" s="1"/>
  <c r="N198" i="42"/>
  <c r="K198" i="42"/>
  <c r="L198" i="42" s="1"/>
  <c r="H198" i="42"/>
  <c r="F198" i="42"/>
  <c r="D198" i="42"/>
  <c r="BA197" i="42"/>
  <c r="AZ197" i="42"/>
  <c r="AY197" i="42"/>
  <c r="AX197" i="42"/>
  <c r="AW197" i="42"/>
  <c r="AV197" i="42"/>
  <c r="AU197" i="42"/>
  <c r="AT197" i="42"/>
  <c r="AS197" i="42"/>
  <c r="AR197" i="42"/>
  <c r="AQ197" i="42"/>
  <c r="AP197" i="42"/>
  <c r="AO197" i="42"/>
  <c r="AN197" i="42"/>
  <c r="AM197" i="42"/>
  <c r="AL197" i="42"/>
  <c r="AH197" i="42"/>
  <c r="Z197" i="42"/>
  <c r="X197" i="42"/>
  <c r="V197" i="42"/>
  <c r="S197" i="42"/>
  <c r="T197" i="42" s="1"/>
  <c r="AK197" i="42" s="1"/>
  <c r="N197" i="42"/>
  <c r="K197" i="42"/>
  <c r="L197" i="42" s="1"/>
  <c r="H197" i="42"/>
  <c r="F197" i="42"/>
  <c r="D197" i="42"/>
  <c r="BA196" i="42"/>
  <c r="AZ196" i="42"/>
  <c r="AY196" i="42"/>
  <c r="AX196" i="42"/>
  <c r="AW196" i="42"/>
  <c r="AV196" i="42"/>
  <c r="AU196" i="42"/>
  <c r="AT196" i="42"/>
  <c r="AS196" i="42"/>
  <c r="AR196" i="42"/>
  <c r="AQ196" i="42"/>
  <c r="AP196" i="42"/>
  <c r="AO196" i="42"/>
  <c r="AN196" i="42"/>
  <c r="AM196" i="42"/>
  <c r="AL196" i="42"/>
  <c r="AH196" i="42"/>
  <c r="Z196" i="42"/>
  <c r="X196" i="42"/>
  <c r="V196" i="42"/>
  <c r="S196" i="42"/>
  <c r="T196" i="42" s="1"/>
  <c r="AK196" i="42" s="1"/>
  <c r="N196" i="42"/>
  <c r="K196" i="42"/>
  <c r="L196" i="42" s="1"/>
  <c r="H196" i="42"/>
  <c r="F196" i="42"/>
  <c r="D196" i="42"/>
  <c r="BA195" i="42"/>
  <c r="AZ195" i="42"/>
  <c r="AY195" i="42"/>
  <c r="AX195" i="42"/>
  <c r="AW195" i="42"/>
  <c r="AV195" i="42"/>
  <c r="AU195" i="42"/>
  <c r="AT195" i="42"/>
  <c r="AS195" i="42"/>
  <c r="AR195" i="42"/>
  <c r="AQ195" i="42"/>
  <c r="AP195" i="42"/>
  <c r="AO195" i="42"/>
  <c r="AN195" i="42"/>
  <c r="AM195" i="42"/>
  <c r="AL195" i="42"/>
  <c r="AH195" i="42"/>
  <c r="Z195" i="42"/>
  <c r="X195" i="42"/>
  <c r="V195" i="42"/>
  <c r="S195" i="42"/>
  <c r="T195" i="42" s="1"/>
  <c r="AK195" i="42" s="1"/>
  <c r="N195" i="42"/>
  <c r="K195" i="42"/>
  <c r="L195" i="42" s="1"/>
  <c r="H195" i="42"/>
  <c r="F195" i="42"/>
  <c r="D195" i="42"/>
  <c r="BA194" i="42"/>
  <c r="AZ194" i="42"/>
  <c r="AY194" i="42"/>
  <c r="AX194" i="42"/>
  <c r="AW194" i="42"/>
  <c r="AV194" i="42"/>
  <c r="AU194" i="42"/>
  <c r="AT194" i="42"/>
  <c r="AS194" i="42"/>
  <c r="AR194" i="42"/>
  <c r="AQ194" i="42"/>
  <c r="AP194" i="42"/>
  <c r="AO194" i="42"/>
  <c r="AN194" i="42"/>
  <c r="AM194" i="42"/>
  <c r="AL194" i="42"/>
  <c r="AH194" i="42"/>
  <c r="Z194" i="42"/>
  <c r="X194" i="42"/>
  <c r="V194" i="42"/>
  <c r="S194" i="42"/>
  <c r="T194" i="42" s="1"/>
  <c r="AK194" i="42" s="1"/>
  <c r="N194" i="42"/>
  <c r="K194" i="42"/>
  <c r="L194" i="42" s="1"/>
  <c r="H194" i="42"/>
  <c r="F194" i="42"/>
  <c r="D194" i="42"/>
  <c r="BA193" i="42"/>
  <c r="AZ193" i="42"/>
  <c r="AY193" i="42"/>
  <c r="AX193" i="42"/>
  <c r="AW193" i="42"/>
  <c r="AV193" i="42"/>
  <c r="AU193" i="42"/>
  <c r="AT193" i="42"/>
  <c r="AS193" i="42"/>
  <c r="AR193" i="42"/>
  <c r="AQ193" i="42"/>
  <c r="AP193" i="42"/>
  <c r="AO193" i="42"/>
  <c r="AN193" i="42"/>
  <c r="AM193" i="42"/>
  <c r="AL193" i="42"/>
  <c r="AH193" i="42"/>
  <c r="Z193" i="42"/>
  <c r="X193" i="42"/>
  <c r="V193" i="42"/>
  <c r="S193" i="42"/>
  <c r="T193" i="42" s="1"/>
  <c r="AK193" i="42" s="1"/>
  <c r="N193" i="42"/>
  <c r="K193" i="42"/>
  <c r="L193" i="42" s="1"/>
  <c r="H193" i="42"/>
  <c r="F193" i="42"/>
  <c r="D193" i="42"/>
  <c r="BA192" i="42"/>
  <c r="AZ192" i="42"/>
  <c r="AY192" i="42"/>
  <c r="AX192" i="42"/>
  <c r="AW192" i="42"/>
  <c r="AV192" i="42"/>
  <c r="AU192" i="42"/>
  <c r="AT192" i="42"/>
  <c r="AS192" i="42"/>
  <c r="AR192" i="42"/>
  <c r="AQ192" i="42"/>
  <c r="AP192" i="42"/>
  <c r="AO192" i="42"/>
  <c r="AN192" i="42"/>
  <c r="AM192" i="42"/>
  <c r="AL192" i="42"/>
  <c r="AH192" i="42"/>
  <c r="Z192" i="42"/>
  <c r="X192" i="42"/>
  <c r="V192" i="42"/>
  <c r="S192" i="42"/>
  <c r="T192" i="42" s="1"/>
  <c r="AK192" i="42" s="1"/>
  <c r="N192" i="42"/>
  <c r="K192" i="42"/>
  <c r="L192" i="42" s="1"/>
  <c r="H192" i="42"/>
  <c r="F192" i="42"/>
  <c r="D192" i="42"/>
  <c r="BA191" i="42"/>
  <c r="AZ191" i="42"/>
  <c r="AY191" i="42"/>
  <c r="AX191" i="42"/>
  <c r="AW191" i="42"/>
  <c r="AV191" i="42"/>
  <c r="AU191" i="42"/>
  <c r="AT191" i="42"/>
  <c r="AS191" i="42"/>
  <c r="AR191" i="42"/>
  <c r="AQ191" i="42"/>
  <c r="AP191" i="42"/>
  <c r="AO191" i="42"/>
  <c r="AN191" i="42"/>
  <c r="AM191" i="42"/>
  <c r="AL191" i="42"/>
  <c r="AH191" i="42"/>
  <c r="Z191" i="42"/>
  <c r="X191" i="42"/>
  <c r="V191" i="42"/>
  <c r="S191" i="42"/>
  <c r="T191" i="42" s="1"/>
  <c r="AK191" i="42" s="1"/>
  <c r="N191" i="42"/>
  <c r="K191" i="42"/>
  <c r="L191" i="42" s="1"/>
  <c r="H191" i="42"/>
  <c r="F191" i="42"/>
  <c r="D191" i="42"/>
  <c r="BA190" i="42"/>
  <c r="AZ190" i="42"/>
  <c r="AY190" i="42"/>
  <c r="AX190" i="42"/>
  <c r="AW190" i="42"/>
  <c r="AV190" i="42"/>
  <c r="AU190" i="42"/>
  <c r="AT190" i="42"/>
  <c r="AS190" i="42"/>
  <c r="AR190" i="42"/>
  <c r="AQ190" i="42"/>
  <c r="AP190" i="42"/>
  <c r="AO190" i="42"/>
  <c r="AN190" i="42"/>
  <c r="AM190" i="42"/>
  <c r="AL190" i="42"/>
  <c r="AH190" i="42"/>
  <c r="Z190" i="42"/>
  <c r="X190" i="42"/>
  <c r="V190" i="42"/>
  <c r="S190" i="42"/>
  <c r="T190" i="42" s="1"/>
  <c r="AK190" i="42" s="1"/>
  <c r="N190" i="42"/>
  <c r="K190" i="42"/>
  <c r="L190" i="42" s="1"/>
  <c r="H190" i="42"/>
  <c r="F190" i="42"/>
  <c r="D190" i="42"/>
  <c r="BA189" i="42"/>
  <c r="AZ189" i="42"/>
  <c r="AY189" i="42"/>
  <c r="AX189" i="42"/>
  <c r="AW189" i="42"/>
  <c r="AV189" i="42"/>
  <c r="AU189" i="42"/>
  <c r="AT189" i="42"/>
  <c r="AS189" i="42"/>
  <c r="AR189" i="42"/>
  <c r="AQ189" i="42"/>
  <c r="AP189" i="42"/>
  <c r="AO189" i="42"/>
  <c r="AN189" i="42"/>
  <c r="AM189" i="42"/>
  <c r="AL189" i="42"/>
  <c r="AH189" i="42"/>
  <c r="Z189" i="42"/>
  <c r="X189" i="42"/>
  <c r="V189" i="42"/>
  <c r="S189" i="42"/>
  <c r="T189" i="42" s="1"/>
  <c r="AK189" i="42" s="1"/>
  <c r="N189" i="42"/>
  <c r="K189" i="42"/>
  <c r="L189" i="42" s="1"/>
  <c r="H189" i="42"/>
  <c r="F189" i="42"/>
  <c r="D189" i="42"/>
  <c r="BA188" i="42"/>
  <c r="AZ188" i="42"/>
  <c r="AY188" i="42"/>
  <c r="AX188" i="42"/>
  <c r="AW188" i="42"/>
  <c r="AV188" i="42"/>
  <c r="AU188" i="42"/>
  <c r="AT188" i="42"/>
  <c r="AS188" i="42"/>
  <c r="AR188" i="42"/>
  <c r="AQ188" i="42"/>
  <c r="AP188" i="42"/>
  <c r="AO188" i="42"/>
  <c r="AN188" i="42"/>
  <c r="AM188" i="42"/>
  <c r="AL188" i="42"/>
  <c r="AH188" i="42"/>
  <c r="Z188" i="42"/>
  <c r="X188" i="42"/>
  <c r="V188" i="42"/>
  <c r="S188" i="42"/>
  <c r="T188" i="42" s="1"/>
  <c r="AK188" i="42" s="1"/>
  <c r="N188" i="42"/>
  <c r="K188" i="42"/>
  <c r="L188" i="42" s="1"/>
  <c r="H188" i="42"/>
  <c r="F188" i="42"/>
  <c r="D188" i="42"/>
  <c r="BA187" i="42"/>
  <c r="AZ187" i="42"/>
  <c r="AY187" i="42"/>
  <c r="AX187" i="42"/>
  <c r="AW187" i="42"/>
  <c r="AV187" i="42"/>
  <c r="AU187" i="42"/>
  <c r="AT187" i="42"/>
  <c r="AS187" i="42"/>
  <c r="AR187" i="42"/>
  <c r="AQ187" i="42"/>
  <c r="AP187" i="42"/>
  <c r="AO187" i="42"/>
  <c r="AN187" i="42"/>
  <c r="AM187" i="42"/>
  <c r="AL187" i="42"/>
  <c r="AH187" i="42"/>
  <c r="Z187" i="42"/>
  <c r="X187" i="42"/>
  <c r="V187" i="42"/>
  <c r="S187" i="42"/>
  <c r="T187" i="42" s="1"/>
  <c r="AK187" i="42" s="1"/>
  <c r="N187" i="42"/>
  <c r="K187" i="42"/>
  <c r="L187" i="42" s="1"/>
  <c r="H187" i="42"/>
  <c r="F187" i="42"/>
  <c r="D187" i="42"/>
  <c r="BA186" i="42"/>
  <c r="AZ186" i="42"/>
  <c r="AY186" i="42"/>
  <c r="AX186" i="42"/>
  <c r="AW186" i="42"/>
  <c r="AV186" i="42"/>
  <c r="AU186" i="42"/>
  <c r="AT186" i="42"/>
  <c r="AS186" i="42"/>
  <c r="AR186" i="42"/>
  <c r="AQ186" i="42"/>
  <c r="AP186" i="42"/>
  <c r="AO186" i="42"/>
  <c r="AN186" i="42"/>
  <c r="AM186" i="42"/>
  <c r="AL186" i="42"/>
  <c r="AH186" i="42"/>
  <c r="Z186" i="42"/>
  <c r="X186" i="42"/>
  <c r="V186" i="42"/>
  <c r="S186" i="42"/>
  <c r="T186" i="42" s="1"/>
  <c r="AK186" i="42" s="1"/>
  <c r="N186" i="42"/>
  <c r="K186" i="42"/>
  <c r="L186" i="42" s="1"/>
  <c r="H186" i="42"/>
  <c r="F186" i="42"/>
  <c r="D186" i="42"/>
  <c r="BA185" i="42"/>
  <c r="AZ185" i="42"/>
  <c r="AY185" i="42"/>
  <c r="AX185" i="42"/>
  <c r="AW185" i="42"/>
  <c r="AV185" i="42"/>
  <c r="AU185" i="42"/>
  <c r="AT185" i="42"/>
  <c r="AS185" i="42"/>
  <c r="AR185" i="42"/>
  <c r="AQ185" i="42"/>
  <c r="AP185" i="42"/>
  <c r="AO185" i="42"/>
  <c r="AN185" i="42"/>
  <c r="AM185" i="42"/>
  <c r="AL185" i="42"/>
  <c r="AH185" i="42"/>
  <c r="Z185" i="42"/>
  <c r="X185" i="42"/>
  <c r="V185" i="42"/>
  <c r="S185" i="42"/>
  <c r="T185" i="42" s="1"/>
  <c r="AK185" i="42" s="1"/>
  <c r="N185" i="42"/>
  <c r="K185" i="42"/>
  <c r="L185" i="42" s="1"/>
  <c r="H185" i="42"/>
  <c r="F185" i="42"/>
  <c r="D185" i="42"/>
  <c r="BA184" i="42"/>
  <c r="AZ184" i="42"/>
  <c r="AY184" i="42"/>
  <c r="AX184" i="42"/>
  <c r="AW184" i="42"/>
  <c r="AV184" i="42"/>
  <c r="AU184" i="42"/>
  <c r="AT184" i="42"/>
  <c r="AS184" i="42"/>
  <c r="AR184" i="42"/>
  <c r="AQ184" i="42"/>
  <c r="AP184" i="42"/>
  <c r="AO184" i="42"/>
  <c r="AN184" i="42"/>
  <c r="AM184" i="42"/>
  <c r="AL184" i="42"/>
  <c r="AH184" i="42"/>
  <c r="Z184" i="42"/>
  <c r="X184" i="42"/>
  <c r="V184" i="42"/>
  <c r="S184" i="42"/>
  <c r="T184" i="42" s="1"/>
  <c r="AK184" i="42" s="1"/>
  <c r="N184" i="42"/>
  <c r="K184" i="42"/>
  <c r="L184" i="42" s="1"/>
  <c r="H184" i="42"/>
  <c r="F184" i="42"/>
  <c r="D184" i="42"/>
  <c r="BA183" i="42"/>
  <c r="AZ183" i="42"/>
  <c r="AY183" i="42"/>
  <c r="AX183" i="42"/>
  <c r="AW183" i="42"/>
  <c r="AV183" i="42"/>
  <c r="AU183" i="42"/>
  <c r="AT183" i="42"/>
  <c r="AS183" i="42"/>
  <c r="AR183" i="42"/>
  <c r="AQ183" i="42"/>
  <c r="AP183" i="42"/>
  <c r="AO183" i="42"/>
  <c r="AN183" i="42"/>
  <c r="AM183" i="42"/>
  <c r="AL183" i="42"/>
  <c r="AH183" i="42"/>
  <c r="Z183" i="42"/>
  <c r="X183" i="42"/>
  <c r="V183" i="42"/>
  <c r="S183" i="42"/>
  <c r="T183" i="42" s="1"/>
  <c r="AK183" i="42" s="1"/>
  <c r="N183" i="42"/>
  <c r="K183" i="42"/>
  <c r="L183" i="42" s="1"/>
  <c r="H183" i="42"/>
  <c r="F183" i="42"/>
  <c r="D183" i="42"/>
  <c r="BA182" i="42"/>
  <c r="AZ182" i="42"/>
  <c r="AY182" i="42"/>
  <c r="AX182" i="42"/>
  <c r="AW182" i="42"/>
  <c r="AV182" i="42"/>
  <c r="AU182" i="42"/>
  <c r="AT182" i="42"/>
  <c r="AS182" i="42"/>
  <c r="AR182" i="42"/>
  <c r="AQ182" i="42"/>
  <c r="AP182" i="42"/>
  <c r="AO182" i="42"/>
  <c r="AN182" i="42"/>
  <c r="AM182" i="42"/>
  <c r="AL182" i="42"/>
  <c r="AH182" i="42"/>
  <c r="Z182" i="42"/>
  <c r="X182" i="42"/>
  <c r="V182" i="42"/>
  <c r="S182" i="42"/>
  <c r="T182" i="42" s="1"/>
  <c r="AK182" i="42" s="1"/>
  <c r="N182" i="42"/>
  <c r="K182" i="42"/>
  <c r="L182" i="42" s="1"/>
  <c r="H182" i="42"/>
  <c r="F182" i="42"/>
  <c r="D182" i="42"/>
  <c r="BA181" i="42"/>
  <c r="AZ181" i="42"/>
  <c r="AY181" i="42"/>
  <c r="AX181" i="42"/>
  <c r="AW181" i="42"/>
  <c r="AV181" i="42"/>
  <c r="AU181" i="42"/>
  <c r="AT181" i="42"/>
  <c r="AS181" i="42"/>
  <c r="AR181" i="42"/>
  <c r="AQ181" i="42"/>
  <c r="AP181" i="42"/>
  <c r="AO181" i="42"/>
  <c r="AN181" i="42"/>
  <c r="AM181" i="42"/>
  <c r="AL181" i="42"/>
  <c r="AH181" i="42"/>
  <c r="Z181" i="42"/>
  <c r="X181" i="42"/>
  <c r="V181" i="42"/>
  <c r="S181" i="42"/>
  <c r="T181" i="42" s="1"/>
  <c r="AK181" i="42" s="1"/>
  <c r="N181" i="42"/>
  <c r="K181" i="42"/>
  <c r="L181" i="42" s="1"/>
  <c r="H181" i="42"/>
  <c r="F181" i="42"/>
  <c r="D181" i="42"/>
  <c r="BA180" i="42"/>
  <c r="AZ180" i="42"/>
  <c r="AY180" i="42"/>
  <c r="AX180" i="42"/>
  <c r="AW180" i="42"/>
  <c r="AV180" i="42"/>
  <c r="AU180" i="42"/>
  <c r="AT180" i="42"/>
  <c r="AS180" i="42"/>
  <c r="AR180" i="42"/>
  <c r="AQ180" i="42"/>
  <c r="AP180" i="42"/>
  <c r="AO180" i="42"/>
  <c r="AN180" i="42"/>
  <c r="AM180" i="42"/>
  <c r="AL180" i="42"/>
  <c r="AH180" i="42"/>
  <c r="Z180" i="42"/>
  <c r="X180" i="42"/>
  <c r="V180" i="42"/>
  <c r="S180" i="42"/>
  <c r="T180" i="42" s="1"/>
  <c r="AK180" i="42" s="1"/>
  <c r="N180" i="42"/>
  <c r="K180" i="42"/>
  <c r="L180" i="42" s="1"/>
  <c r="H180" i="42"/>
  <c r="F180" i="42"/>
  <c r="D180" i="42"/>
  <c r="BA179" i="42"/>
  <c r="AZ179" i="42"/>
  <c r="AY179" i="42"/>
  <c r="AX179" i="42"/>
  <c r="AW179" i="42"/>
  <c r="AV179" i="42"/>
  <c r="AU179" i="42"/>
  <c r="AT179" i="42"/>
  <c r="AS179" i="42"/>
  <c r="AR179" i="42"/>
  <c r="AQ179" i="42"/>
  <c r="AP179" i="42"/>
  <c r="AO179" i="42"/>
  <c r="AN179" i="42"/>
  <c r="AM179" i="42"/>
  <c r="AL179" i="42"/>
  <c r="AH179" i="42"/>
  <c r="Z179" i="42"/>
  <c r="X179" i="42"/>
  <c r="V179" i="42"/>
  <c r="S179" i="42"/>
  <c r="T179" i="42" s="1"/>
  <c r="AK179" i="42" s="1"/>
  <c r="N179" i="42"/>
  <c r="K179" i="42"/>
  <c r="L179" i="42" s="1"/>
  <c r="H179" i="42"/>
  <c r="F179" i="42"/>
  <c r="D179" i="42"/>
  <c r="BA178" i="42"/>
  <c r="AZ178" i="42"/>
  <c r="AY178" i="42"/>
  <c r="AX178" i="42"/>
  <c r="AW178" i="42"/>
  <c r="AV178" i="42"/>
  <c r="AU178" i="42"/>
  <c r="AT178" i="42"/>
  <c r="AS178" i="42"/>
  <c r="AR178" i="42"/>
  <c r="AQ178" i="42"/>
  <c r="AP178" i="42"/>
  <c r="AO178" i="42"/>
  <c r="AN178" i="42"/>
  <c r="AM178" i="42"/>
  <c r="AL178" i="42"/>
  <c r="AH178" i="42"/>
  <c r="Z178" i="42"/>
  <c r="X178" i="42"/>
  <c r="V178" i="42"/>
  <c r="S178" i="42"/>
  <c r="T178" i="42" s="1"/>
  <c r="AK178" i="42" s="1"/>
  <c r="N178" i="42"/>
  <c r="K178" i="42"/>
  <c r="L178" i="42" s="1"/>
  <c r="H178" i="42"/>
  <c r="F178" i="42"/>
  <c r="D178" i="42"/>
  <c r="BA177" i="42"/>
  <c r="AZ177" i="42"/>
  <c r="AY177" i="42"/>
  <c r="AX177" i="42"/>
  <c r="AW177" i="42"/>
  <c r="AV177" i="42"/>
  <c r="AU177" i="42"/>
  <c r="AT177" i="42"/>
  <c r="AS177" i="42"/>
  <c r="AR177" i="42"/>
  <c r="AQ177" i="42"/>
  <c r="AP177" i="42"/>
  <c r="AO177" i="42"/>
  <c r="AN177" i="42"/>
  <c r="AM177" i="42"/>
  <c r="AL177" i="42"/>
  <c r="AH177" i="42"/>
  <c r="Z177" i="42"/>
  <c r="X177" i="42"/>
  <c r="V177" i="42"/>
  <c r="S177" i="42"/>
  <c r="T177" i="42" s="1"/>
  <c r="AK177" i="42" s="1"/>
  <c r="N177" i="42"/>
  <c r="K177" i="42"/>
  <c r="L177" i="42" s="1"/>
  <c r="H177" i="42"/>
  <c r="F177" i="42"/>
  <c r="D177" i="42"/>
  <c r="BA176" i="42"/>
  <c r="AZ176" i="42"/>
  <c r="AY176" i="42"/>
  <c r="AX176" i="42"/>
  <c r="AW176" i="42"/>
  <c r="AV176" i="42"/>
  <c r="AU176" i="42"/>
  <c r="AT176" i="42"/>
  <c r="AS176" i="42"/>
  <c r="AR176" i="42"/>
  <c r="AQ176" i="42"/>
  <c r="AP176" i="42"/>
  <c r="AO176" i="42"/>
  <c r="AN176" i="42"/>
  <c r="AM176" i="42"/>
  <c r="AL176" i="42"/>
  <c r="AH176" i="42"/>
  <c r="Z176" i="42"/>
  <c r="X176" i="42"/>
  <c r="V176" i="42"/>
  <c r="S176" i="42"/>
  <c r="T176" i="42" s="1"/>
  <c r="AK176" i="42" s="1"/>
  <c r="N176" i="42"/>
  <c r="K176" i="42"/>
  <c r="L176" i="42" s="1"/>
  <c r="H176" i="42"/>
  <c r="F176" i="42"/>
  <c r="D176" i="42"/>
  <c r="BA175" i="42"/>
  <c r="AZ175" i="42"/>
  <c r="AY175" i="42"/>
  <c r="AX175" i="42"/>
  <c r="AW175" i="42"/>
  <c r="AV175" i="42"/>
  <c r="AU175" i="42"/>
  <c r="AT175" i="42"/>
  <c r="AS175" i="42"/>
  <c r="AR175" i="42"/>
  <c r="AQ175" i="42"/>
  <c r="AP175" i="42"/>
  <c r="AO175" i="42"/>
  <c r="AN175" i="42"/>
  <c r="AM175" i="42"/>
  <c r="AL175" i="42"/>
  <c r="AH175" i="42"/>
  <c r="Z175" i="42"/>
  <c r="X175" i="42"/>
  <c r="V175" i="42"/>
  <c r="S175" i="42"/>
  <c r="T175" i="42" s="1"/>
  <c r="AK175" i="42" s="1"/>
  <c r="N175" i="42"/>
  <c r="K175" i="42"/>
  <c r="L175" i="42" s="1"/>
  <c r="H175" i="42"/>
  <c r="F175" i="42"/>
  <c r="D175" i="42"/>
  <c r="BA174" i="42"/>
  <c r="AZ174" i="42"/>
  <c r="AY174" i="42"/>
  <c r="AX174" i="42"/>
  <c r="AW174" i="42"/>
  <c r="AV174" i="42"/>
  <c r="AU174" i="42"/>
  <c r="AT174" i="42"/>
  <c r="AS174" i="42"/>
  <c r="AR174" i="42"/>
  <c r="AQ174" i="42"/>
  <c r="AP174" i="42"/>
  <c r="AO174" i="42"/>
  <c r="AN174" i="42"/>
  <c r="AM174" i="42"/>
  <c r="AL174" i="42"/>
  <c r="AH174" i="42"/>
  <c r="Z174" i="42"/>
  <c r="X174" i="42"/>
  <c r="V174" i="42"/>
  <c r="S174" i="42"/>
  <c r="T174" i="42" s="1"/>
  <c r="AK174" i="42" s="1"/>
  <c r="N174" i="42"/>
  <c r="K174" i="42"/>
  <c r="L174" i="42" s="1"/>
  <c r="H174" i="42"/>
  <c r="F174" i="42"/>
  <c r="D174" i="42"/>
  <c r="BA173" i="42"/>
  <c r="AZ173" i="42"/>
  <c r="AY173" i="42"/>
  <c r="AX173" i="42"/>
  <c r="AW173" i="42"/>
  <c r="AV173" i="42"/>
  <c r="AU173" i="42"/>
  <c r="AT173" i="42"/>
  <c r="AS173" i="42"/>
  <c r="AR173" i="42"/>
  <c r="AQ173" i="42"/>
  <c r="AP173" i="42"/>
  <c r="AO173" i="42"/>
  <c r="AN173" i="42"/>
  <c r="AM173" i="42"/>
  <c r="AL173" i="42"/>
  <c r="AH173" i="42"/>
  <c r="Z173" i="42"/>
  <c r="X173" i="42"/>
  <c r="V173" i="42"/>
  <c r="S173" i="42"/>
  <c r="T173" i="42" s="1"/>
  <c r="AK173" i="42" s="1"/>
  <c r="N173" i="42"/>
  <c r="K173" i="42"/>
  <c r="L173" i="42" s="1"/>
  <c r="H173" i="42"/>
  <c r="F173" i="42"/>
  <c r="D173" i="42"/>
  <c r="BA172" i="42"/>
  <c r="AZ172" i="42"/>
  <c r="AY172" i="42"/>
  <c r="AX172" i="42"/>
  <c r="AW172" i="42"/>
  <c r="AV172" i="42"/>
  <c r="AU172" i="42"/>
  <c r="AT172" i="42"/>
  <c r="AS172" i="42"/>
  <c r="AR172" i="42"/>
  <c r="AQ172" i="42"/>
  <c r="AP172" i="42"/>
  <c r="AO172" i="42"/>
  <c r="AN172" i="42"/>
  <c r="AM172" i="42"/>
  <c r="AL172" i="42"/>
  <c r="AH172" i="42"/>
  <c r="Z172" i="42"/>
  <c r="X172" i="42"/>
  <c r="V172" i="42"/>
  <c r="S172" i="42"/>
  <c r="T172" i="42" s="1"/>
  <c r="AK172" i="42" s="1"/>
  <c r="N172" i="42"/>
  <c r="K172" i="42"/>
  <c r="L172" i="42" s="1"/>
  <c r="H172" i="42"/>
  <c r="F172" i="42"/>
  <c r="D172" i="42"/>
  <c r="BA171" i="42"/>
  <c r="AZ171" i="42"/>
  <c r="AY171" i="42"/>
  <c r="AX171" i="42"/>
  <c r="AW171" i="42"/>
  <c r="AV171" i="42"/>
  <c r="AU171" i="42"/>
  <c r="AT171" i="42"/>
  <c r="AS171" i="42"/>
  <c r="AR171" i="42"/>
  <c r="AQ171" i="42"/>
  <c r="AP171" i="42"/>
  <c r="AO171" i="42"/>
  <c r="AN171" i="42"/>
  <c r="AM171" i="42"/>
  <c r="AL171" i="42"/>
  <c r="AH171" i="42"/>
  <c r="Z171" i="42"/>
  <c r="X171" i="42"/>
  <c r="V171" i="42"/>
  <c r="S171" i="42"/>
  <c r="T171" i="42" s="1"/>
  <c r="AK171" i="42" s="1"/>
  <c r="N171" i="42"/>
  <c r="K171" i="42"/>
  <c r="L171" i="42" s="1"/>
  <c r="H171" i="42"/>
  <c r="F171" i="42"/>
  <c r="D171" i="42"/>
  <c r="BA170" i="42"/>
  <c r="AZ170" i="42"/>
  <c r="AY170" i="42"/>
  <c r="AX170" i="42"/>
  <c r="AW170" i="42"/>
  <c r="AV170" i="42"/>
  <c r="AU170" i="42"/>
  <c r="AT170" i="42"/>
  <c r="AS170" i="42"/>
  <c r="AR170" i="42"/>
  <c r="AQ170" i="42"/>
  <c r="AP170" i="42"/>
  <c r="AO170" i="42"/>
  <c r="AN170" i="42"/>
  <c r="AM170" i="42"/>
  <c r="AL170" i="42"/>
  <c r="AH170" i="42"/>
  <c r="Z170" i="42"/>
  <c r="X170" i="42"/>
  <c r="V170" i="42"/>
  <c r="S170" i="42"/>
  <c r="T170" i="42" s="1"/>
  <c r="AK170" i="42" s="1"/>
  <c r="N170" i="42"/>
  <c r="K170" i="42"/>
  <c r="L170" i="42" s="1"/>
  <c r="H170" i="42"/>
  <c r="F170" i="42"/>
  <c r="D170" i="42"/>
  <c r="BA169" i="42"/>
  <c r="AZ169" i="42"/>
  <c r="AY169" i="42"/>
  <c r="AX169" i="42"/>
  <c r="AW169" i="42"/>
  <c r="AV169" i="42"/>
  <c r="AU169" i="42"/>
  <c r="AT169" i="42"/>
  <c r="AS169" i="42"/>
  <c r="AR169" i="42"/>
  <c r="AQ169" i="42"/>
  <c r="AP169" i="42"/>
  <c r="AO169" i="42"/>
  <c r="AN169" i="42"/>
  <c r="AM169" i="42"/>
  <c r="AL169" i="42"/>
  <c r="AH169" i="42"/>
  <c r="Z169" i="42"/>
  <c r="X169" i="42"/>
  <c r="V169" i="42"/>
  <c r="S169" i="42"/>
  <c r="T169" i="42" s="1"/>
  <c r="AK169" i="42" s="1"/>
  <c r="N169" i="42"/>
  <c r="K169" i="42"/>
  <c r="L169" i="42" s="1"/>
  <c r="H169" i="42"/>
  <c r="F169" i="42"/>
  <c r="D169" i="42"/>
  <c r="BA168" i="42"/>
  <c r="AZ168" i="42"/>
  <c r="AY168" i="42"/>
  <c r="AX168" i="42"/>
  <c r="AW168" i="42"/>
  <c r="AV168" i="42"/>
  <c r="AU168" i="42"/>
  <c r="AT168" i="42"/>
  <c r="AS168" i="42"/>
  <c r="AR168" i="42"/>
  <c r="AQ168" i="42"/>
  <c r="AP168" i="42"/>
  <c r="AO168" i="42"/>
  <c r="AN168" i="42"/>
  <c r="AM168" i="42"/>
  <c r="AL168" i="42"/>
  <c r="AH168" i="42"/>
  <c r="Z168" i="42"/>
  <c r="X168" i="42"/>
  <c r="V168" i="42"/>
  <c r="S168" i="42"/>
  <c r="T168" i="42" s="1"/>
  <c r="AK168" i="42" s="1"/>
  <c r="N168" i="42"/>
  <c r="K168" i="42"/>
  <c r="L168" i="42" s="1"/>
  <c r="H168" i="42"/>
  <c r="F168" i="42"/>
  <c r="D168" i="42"/>
  <c r="BA167" i="42"/>
  <c r="AZ167" i="42"/>
  <c r="AY167" i="42"/>
  <c r="AX167" i="42"/>
  <c r="AW167" i="42"/>
  <c r="AV167" i="42"/>
  <c r="AU167" i="42"/>
  <c r="AT167" i="42"/>
  <c r="AS167" i="42"/>
  <c r="AR167" i="42"/>
  <c r="AQ167" i="42"/>
  <c r="AP167" i="42"/>
  <c r="AO167" i="42"/>
  <c r="AN167" i="42"/>
  <c r="AM167" i="42"/>
  <c r="AL167" i="42"/>
  <c r="AH167" i="42"/>
  <c r="Z167" i="42"/>
  <c r="X167" i="42"/>
  <c r="V167" i="42"/>
  <c r="S167" i="42"/>
  <c r="T167" i="42" s="1"/>
  <c r="AK167" i="42" s="1"/>
  <c r="N167" i="42"/>
  <c r="K167" i="42"/>
  <c r="L167" i="42" s="1"/>
  <c r="H167" i="42"/>
  <c r="F167" i="42"/>
  <c r="D167" i="42"/>
  <c r="BA166" i="42"/>
  <c r="AZ166" i="42"/>
  <c r="AY166" i="42"/>
  <c r="AX166" i="42"/>
  <c r="AW166" i="42"/>
  <c r="AV166" i="42"/>
  <c r="AU166" i="42"/>
  <c r="AT166" i="42"/>
  <c r="AS166" i="42"/>
  <c r="AR166" i="42"/>
  <c r="AQ166" i="42"/>
  <c r="AP166" i="42"/>
  <c r="AO166" i="42"/>
  <c r="AN166" i="42"/>
  <c r="AM166" i="42"/>
  <c r="AL166" i="42"/>
  <c r="AH166" i="42"/>
  <c r="Z166" i="42"/>
  <c r="X166" i="42"/>
  <c r="V166" i="42"/>
  <c r="S166" i="42"/>
  <c r="T166" i="42" s="1"/>
  <c r="AK166" i="42" s="1"/>
  <c r="N166" i="42"/>
  <c r="K166" i="42"/>
  <c r="L166" i="42" s="1"/>
  <c r="H166" i="42"/>
  <c r="F166" i="42"/>
  <c r="D166" i="42"/>
  <c r="BA165" i="42"/>
  <c r="AZ165" i="42"/>
  <c r="AY165" i="42"/>
  <c r="AX165" i="42"/>
  <c r="AW165" i="42"/>
  <c r="AV165" i="42"/>
  <c r="AU165" i="42"/>
  <c r="AT165" i="42"/>
  <c r="AS165" i="42"/>
  <c r="AR165" i="42"/>
  <c r="AQ165" i="42"/>
  <c r="AP165" i="42"/>
  <c r="AO165" i="42"/>
  <c r="AN165" i="42"/>
  <c r="AM165" i="42"/>
  <c r="AL165" i="42"/>
  <c r="AH165" i="42"/>
  <c r="Z165" i="42"/>
  <c r="X165" i="42"/>
  <c r="V165" i="42"/>
  <c r="S165" i="42"/>
  <c r="T165" i="42" s="1"/>
  <c r="AK165" i="42" s="1"/>
  <c r="N165" i="42"/>
  <c r="K165" i="42"/>
  <c r="L165" i="42" s="1"/>
  <c r="H165" i="42"/>
  <c r="F165" i="42"/>
  <c r="D165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H164" i="42"/>
  <c r="Z164" i="42"/>
  <c r="X164" i="42"/>
  <c r="V164" i="42"/>
  <c r="S164" i="42"/>
  <c r="T164" i="42" s="1"/>
  <c r="AK164" i="42" s="1"/>
  <c r="N164" i="42"/>
  <c r="K164" i="42"/>
  <c r="L164" i="42" s="1"/>
  <c r="H164" i="42"/>
  <c r="F164" i="42"/>
  <c r="D164" i="42"/>
  <c r="BA163" i="42"/>
  <c r="AZ163" i="42"/>
  <c r="AY163" i="42"/>
  <c r="AX163" i="42"/>
  <c r="AW163" i="42"/>
  <c r="AV163" i="42"/>
  <c r="AU163" i="42"/>
  <c r="AT163" i="42"/>
  <c r="AS163" i="42"/>
  <c r="AR163" i="42"/>
  <c r="AQ163" i="42"/>
  <c r="AP163" i="42"/>
  <c r="AO163" i="42"/>
  <c r="AN163" i="42"/>
  <c r="AM163" i="42"/>
  <c r="AL163" i="42"/>
  <c r="AH163" i="42"/>
  <c r="Z163" i="42"/>
  <c r="X163" i="42"/>
  <c r="V163" i="42"/>
  <c r="S163" i="42"/>
  <c r="T163" i="42" s="1"/>
  <c r="AK163" i="42" s="1"/>
  <c r="N163" i="42"/>
  <c r="K163" i="42"/>
  <c r="L163" i="42" s="1"/>
  <c r="H163" i="42"/>
  <c r="F163" i="42"/>
  <c r="D163" i="42"/>
  <c r="BA162" i="42"/>
  <c r="AZ162" i="42"/>
  <c r="AY162" i="42"/>
  <c r="AX162" i="42"/>
  <c r="AW162" i="42"/>
  <c r="AV162" i="42"/>
  <c r="AU162" i="42"/>
  <c r="AT162" i="42"/>
  <c r="AS162" i="42"/>
  <c r="AR162" i="42"/>
  <c r="AQ162" i="42"/>
  <c r="AP162" i="42"/>
  <c r="AO162" i="42"/>
  <c r="AN162" i="42"/>
  <c r="AM162" i="42"/>
  <c r="AL162" i="42"/>
  <c r="AH162" i="42"/>
  <c r="Z162" i="42"/>
  <c r="X162" i="42"/>
  <c r="V162" i="42"/>
  <c r="S162" i="42"/>
  <c r="T162" i="42" s="1"/>
  <c r="AK162" i="42" s="1"/>
  <c r="N162" i="42"/>
  <c r="K162" i="42"/>
  <c r="L162" i="42" s="1"/>
  <c r="H162" i="42"/>
  <c r="F162" i="42"/>
  <c r="D162" i="42"/>
  <c r="BA161" i="42"/>
  <c r="AZ161" i="42"/>
  <c r="AY161" i="42"/>
  <c r="AX161" i="42"/>
  <c r="AW161" i="42"/>
  <c r="AV161" i="42"/>
  <c r="AU161" i="42"/>
  <c r="AT161" i="42"/>
  <c r="AS161" i="42"/>
  <c r="AR161" i="42"/>
  <c r="AQ161" i="42"/>
  <c r="AP161" i="42"/>
  <c r="AO161" i="42"/>
  <c r="AN161" i="42"/>
  <c r="AM161" i="42"/>
  <c r="AL161" i="42"/>
  <c r="AH161" i="42"/>
  <c r="Z161" i="42"/>
  <c r="X161" i="42"/>
  <c r="V161" i="42"/>
  <c r="S161" i="42"/>
  <c r="T161" i="42" s="1"/>
  <c r="AK161" i="42" s="1"/>
  <c r="N161" i="42"/>
  <c r="K161" i="42"/>
  <c r="L161" i="42" s="1"/>
  <c r="H161" i="42"/>
  <c r="F161" i="42"/>
  <c r="D161" i="42"/>
  <c r="BA160" i="42"/>
  <c r="AZ160" i="42"/>
  <c r="AY160" i="42"/>
  <c r="AX160" i="42"/>
  <c r="AW160" i="42"/>
  <c r="AV160" i="42"/>
  <c r="AU160" i="42"/>
  <c r="AT160" i="42"/>
  <c r="AS160" i="42"/>
  <c r="AR160" i="42"/>
  <c r="AQ160" i="42"/>
  <c r="AP160" i="42"/>
  <c r="AO160" i="42"/>
  <c r="AN160" i="42"/>
  <c r="AM160" i="42"/>
  <c r="AL160" i="42"/>
  <c r="AH160" i="42"/>
  <c r="Z160" i="42"/>
  <c r="X160" i="42"/>
  <c r="V160" i="42"/>
  <c r="S160" i="42"/>
  <c r="T160" i="42" s="1"/>
  <c r="AK160" i="42" s="1"/>
  <c r="N160" i="42"/>
  <c r="K160" i="42"/>
  <c r="L160" i="42" s="1"/>
  <c r="H160" i="42"/>
  <c r="F160" i="42"/>
  <c r="D160" i="42"/>
  <c r="BA159" i="42"/>
  <c r="AZ159" i="42"/>
  <c r="AY159" i="42"/>
  <c r="AX159" i="42"/>
  <c r="AW159" i="42"/>
  <c r="AV159" i="42"/>
  <c r="AU159" i="42"/>
  <c r="AT159" i="42"/>
  <c r="AS159" i="42"/>
  <c r="AR159" i="42"/>
  <c r="AQ159" i="42"/>
  <c r="AP159" i="42"/>
  <c r="AO159" i="42"/>
  <c r="AN159" i="42"/>
  <c r="AM159" i="42"/>
  <c r="AL159" i="42"/>
  <c r="AH159" i="42"/>
  <c r="Z159" i="42"/>
  <c r="X159" i="42"/>
  <c r="V159" i="42"/>
  <c r="S159" i="42"/>
  <c r="T159" i="42" s="1"/>
  <c r="AK159" i="42" s="1"/>
  <c r="N159" i="42"/>
  <c r="K159" i="42"/>
  <c r="L159" i="42" s="1"/>
  <c r="H159" i="42"/>
  <c r="F159" i="42"/>
  <c r="D159" i="42"/>
  <c r="BA158" i="42"/>
  <c r="AZ158" i="42"/>
  <c r="AY158" i="42"/>
  <c r="AX158" i="42"/>
  <c r="AW158" i="42"/>
  <c r="AV158" i="42"/>
  <c r="AU158" i="42"/>
  <c r="AT158" i="42"/>
  <c r="AS158" i="42"/>
  <c r="AR158" i="42"/>
  <c r="AQ158" i="42"/>
  <c r="AP158" i="42"/>
  <c r="AO158" i="42"/>
  <c r="AN158" i="42"/>
  <c r="AM158" i="42"/>
  <c r="AL158" i="42"/>
  <c r="AH158" i="42"/>
  <c r="Z158" i="42"/>
  <c r="X158" i="42"/>
  <c r="V158" i="42"/>
  <c r="S158" i="42"/>
  <c r="T158" i="42" s="1"/>
  <c r="AK158" i="42" s="1"/>
  <c r="N158" i="42"/>
  <c r="K158" i="42"/>
  <c r="L158" i="42" s="1"/>
  <c r="H158" i="42"/>
  <c r="F158" i="42"/>
  <c r="D158" i="42"/>
  <c r="BA157" i="42"/>
  <c r="AZ157" i="42"/>
  <c r="AY157" i="42"/>
  <c r="AX157" i="42"/>
  <c r="AW157" i="42"/>
  <c r="AV157" i="42"/>
  <c r="AU157" i="42"/>
  <c r="AT157" i="42"/>
  <c r="AS157" i="42"/>
  <c r="AR157" i="42"/>
  <c r="AQ157" i="42"/>
  <c r="AP157" i="42"/>
  <c r="AO157" i="42"/>
  <c r="AN157" i="42"/>
  <c r="AM157" i="42"/>
  <c r="AL157" i="42"/>
  <c r="AH157" i="42"/>
  <c r="Z157" i="42"/>
  <c r="X157" i="42"/>
  <c r="V157" i="42"/>
  <c r="S157" i="42"/>
  <c r="T157" i="42" s="1"/>
  <c r="AK157" i="42" s="1"/>
  <c r="N157" i="42"/>
  <c r="K157" i="42"/>
  <c r="L157" i="42" s="1"/>
  <c r="H157" i="42"/>
  <c r="F157" i="42"/>
  <c r="D157" i="42"/>
  <c r="BA156" i="42"/>
  <c r="AZ156" i="42"/>
  <c r="AY156" i="42"/>
  <c r="AX156" i="42"/>
  <c r="AW156" i="42"/>
  <c r="AV156" i="42"/>
  <c r="AU156" i="42"/>
  <c r="AT156" i="42"/>
  <c r="AS156" i="42"/>
  <c r="AR156" i="42"/>
  <c r="AQ156" i="42"/>
  <c r="AP156" i="42"/>
  <c r="AO156" i="42"/>
  <c r="AN156" i="42"/>
  <c r="AM156" i="42"/>
  <c r="AL156" i="42"/>
  <c r="AH156" i="42"/>
  <c r="Z156" i="42"/>
  <c r="X156" i="42"/>
  <c r="V156" i="42"/>
  <c r="S156" i="42"/>
  <c r="T156" i="42" s="1"/>
  <c r="AK156" i="42" s="1"/>
  <c r="N156" i="42"/>
  <c r="K156" i="42"/>
  <c r="L156" i="42" s="1"/>
  <c r="H156" i="42"/>
  <c r="F156" i="42"/>
  <c r="D156" i="42"/>
  <c r="BA155" i="42"/>
  <c r="AZ155" i="42"/>
  <c r="AY155" i="42"/>
  <c r="AX155" i="42"/>
  <c r="AW155" i="42"/>
  <c r="AV155" i="42"/>
  <c r="AU155" i="42"/>
  <c r="AT155" i="42"/>
  <c r="AS155" i="42"/>
  <c r="AR155" i="42"/>
  <c r="AQ155" i="42"/>
  <c r="AP155" i="42"/>
  <c r="AO155" i="42"/>
  <c r="AN155" i="42"/>
  <c r="AM155" i="42"/>
  <c r="AL155" i="42"/>
  <c r="AH155" i="42"/>
  <c r="Z155" i="42"/>
  <c r="X155" i="42"/>
  <c r="V155" i="42"/>
  <c r="S155" i="42"/>
  <c r="T155" i="42" s="1"/>
  <c r="AK155" i="42" s="1"/>
  <c r="N155" i="42"/>
  <c r="K155" i="42"/>
  <c r="L155" i="42" s="1"/>
  <c r="H155" i="42"/>
  <c r="F155" i="42"/>
  <c r="D155" i="42"/>
  <c r="BA154" i="42"/>
  <c r="AZ154" i="42"/>
  <c r="AY154" i="42"/>
  <c r="AX154" i="42"/>
  <c r="AW154" i="42"/>
  <c r="AV154" i="42"/>
  <c r="AU154" i="42"/>
  <c r="AT154" i="42"/>
  <c r="AS154" i="42"/>
  <c r="AR154" i="42"/>
  <c r="AQ154" i="42"/>
  <c r="AP154" i="42"/>
  <c r="AO154" i="42"/>
  <c r="AN154" i="42"/>
  <c r="AM154" i="42"/>
  <c r="AL154" i="42"/>
  <c r="AH154" i="42"/>
  <c r="Z154" i="42"/>
  <c r="X154" i="42"/>
  <c r="V154" i="42"/>
  <c r="S154" i="42"/>
  <c r="T154" i="42" s="1"/>
  <c r="AK154" i="42" s="1"/>
  <c r="N154" i="42"/>
  <c r="K154" i="42"/>
  <c r="L154" i="42" s="1"/>
  <c r="H154" i="42"/>
  <c r="F154" i="42"/>
  <c r="D154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H153" i="42"/>
  <c r="Z153" i="42"/>
  <c r="X153" i="42"/>
  <c r="V153" i="42"/>
  <c r="S153" i="42"/>
  <c r="T153" i="42" s="1"/>
  <c r="AK153" i="42" s="1"/>
  <c r="N153" i="42"/>
  <c r="K153" i="42"/>
  <c r="L153" i="42" s="1"/>
  <c r="H153" i="42"/>
  <c r="F153" i="42"/>
  <c r="D153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H152" i="42"/>
  <c r="Z152" i="42"/>
  <c r="X152" i="42"/>
  <c r="V152" i="42"/>
  <c r="S152" i="42"/>
  <c r="T152" i="42" s="1"/>
  <c r="AK152" i="42" s="1"/>
  <c r="N152" i="42"/>
  <c r="K152" i="42"/>
  <c r="L152" i="42" s="1"/>
  <c r="H152" i="42"/>
  <c r="F152" i="42"/>
  <c r="D152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H151" i="42"/>
  <c r="Z151" i="42"/>
  <c r="X151" i="42"/>
  <c r="V151" i="42"/>
  <c r="S151" i="42"/>
  <c r="T151" i="42" s="1"/>
  <c r="AK151" i="42" s="1"/>
  <c r="N151" i="42"/>
  <c r="K151" i="42"/>
  <c r="L151" i="42" s="1"/>
  <c r="H151" i="42"/>
  <c r="F151" i="42"/>
  <c r="D151" i="42"/>
  <c r="BA150" i="42"/>
  <c r="AZ150" i="42"/>
  <c r="AY150" i="42"/>
  <c r="AX150" i="42"/>
  <c r="AW150" i="42"/>
  <c r="AV150" i="42"/>
  <c r="AU150" i="42"/>
  <c r="AT150" i="42"/>
  <c r="AS150" i="42"/>
  <c r="AR150" i="42"/>
  <c r="AQ150" i="42"/>
  <c r="AP150" i="42"/>
  <c r="AO150" i="42"/>
  <c r="AN150" i="42"/>
  <c r="AM150" i="42"/>
  <c r="AL150" i="42"/>
  <c r="AH150" i="42"/>
  <c r="Z150" i="42"/>
  <c r="X150" i="42"/>
  <c r="V150" i="42"/>
  <c r="S150" i="42"/>
  <c r="T150" i="42" s="1"/>
  <c r="AK150" i="42" s="1"/>
  <c r="N150" i="42"/>
  <c r="K150" i="42"/>
  <c r="L150" i="42" s="1"/>
  <c r="H150" i="42"/>
  <c r="F150" i="42"/>
  <c r="D150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H149" i="42"/>
  <c r="Z149" i="42"/>
  <c r="X149" i="42"/>
  <c r="V149" i="42"/>
  <c r="S149" i="42"/>
  <c r="T149" i="42" s="1"/>
  <c r="AK149" i="42" s="1"/>
  <c r="N149" i="42"/>
  <c r="K149" i="42"/>
  <c r="L149" i="42" s="1"/>
  <c r="H149" i="42"/>
  <c r="F149" i="42"/>
  <c r="D149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H148" i="42"/>
  <c r="Z148" i="42"/>
  <c r="X148" i="42"/>
  <c r="V148" i="42"/>
  <c r="S148" i="42"/>
  <c r="T148" i="42" s="1"/>
  <c r="AK148" i="42" s="1"/>
  <c r="N148" i="42"/>
  <c r="K148" i="42"/>
  <c r="L148" i="42" s="1"/>
  <c r="H148" i="42"/>
  <c r="F148" i="42"/>
  <c r="D148" i="42"/>
  <c r="BA147" i="42"/>
  <c r="AZ147" i="42"/>
  <c r="AY147" i="42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H147" i="42"/>
  <c r="Z147" i="42"/>
  <c r="X147" i="42"/>
  <c r="V147" i="42"/>
  <c r="S147" i="42"/>
  <c r="T147" i="42" s="1"/>
  <c r="AK147" i="42" s="1"/>
  <c r="N147" i="42"/>
  <c r="K147" i="42"/>
  <c r="L147" i="42" s="1"/>
  <c r="H147" i="42"/>
  <c r="F147" i="42"/>
  <c r="D147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N146" i="42"/>
  <c r="AM146" i="42"/>
  <c r="AL146" i="42"/>
  <c r="AH146" i="42"/>
  <c r="Z146" i="42"/>
  <c r="X146" i="42"/>
  <c r="V146" i="42"/>
  <c r="S146" i="42"/>
  <c r="T146" i="42" s="1"/>
  <c r="AK146" i="42" s="1"/>
  <c r="N146" i="42"/>
  <c r="K146" i="42"/>
  <c r="L146" i="42" s="1"/>
  <c r="H146" i="42"/>
  <c r="F146" i="42"/>
  <c r="D146" i="42"/>
  <c r="BA145" i="42"/>
  <c r="AZ145" i="42"/>
  <c r="AY145" i="42"/>
  <c r="AX145" i="42"/>
  <c r="AW145" i="42"/>
  <c r="AV145" i="42"/>
  <c r="AU145" i="42"/>
  <c r="AT145" i="42"/>
  <c r="AS145" i="42"/>
  <c r="AR145" i="42"/>
  <c r="AQ145" i="42"/>
  <c r="AP145" i="42"/>
  <c r="AO145" i="42"/>
  <c r="AN145" i="42"/>
  <c r="AM145" i="42"/>
  <c r="AL145" i="42"/>
  <c r="AH145" i="42"/>
  <c r="Z145" i="42"/>
  <c r="X145" i="42"/>
  <c r="V145" i="42"/>
  <c r="S145" i="42"/>
  <c r="T145" i="42" s="1"/>
  <c r="AK145" i="42" s="1"/>
  <c r="N145" i="42"/>
  <c r="K145" i="42"/>
  <c r="L145" i="42" s="1"/>
  <c r="H145" i="42"/>
  <c r="F145" i="42"/>
  <c r="D145" i="42"/>
  <c r="BA144" i="42"/>
  <c r="AZ144" i="42"/>
  <c r="AY144" i="42"/>
  <c r="AX144" i="42"/>
  <c r="AW144" i="42"/>
  <c r="AV144" i="42"/>
  <c r="AU144" i="42"/>
  <c r="AT144" i="42"/>
  <c r="AS144" i="42"/>
  <c r="AR144" i="42"/>
  <c r="AQ144" i="42"/>
  <c r="AP144" i="42"/>
  <c r="AO144" i="42"/>
  <c r="AN144" i="42"/>
  <c r="AM144" i="42"/>
  <c r="AL144" i="42"/>
  <c r="AH144" i="42"/>
  <c r="Z144" i="42"/>
  <c r="X144" i="42"/>
  <c r="V144" i="42"/>
  <c r="S144" i="42"/>
  <c r="T144" i="42" s="1"/>
  <c r="AK144" i="42" s="1"/>
  <c r="N144" i="42"/>
  <c r="K144" i="42"/>
  <c r="L144" i="42" s="1"/>
  <c r="H144" i="42"/>
  <c r="F144" i="42"/>
  <c r="D144" i="42"/>
  <c r="BA143" i="42"/>
  <c r="AZ143" i="42"/>
  <c r="AY143" i="42"/>
  <c r="AX143" i="42"/>
  <c r="AW143" i="42"/>
  <c r="AV143" i="42"/>
  <c r="AU143" i="42"/>
  <c r="AT143" i="42"/>
  <c r="AS143" i="42"/>
  <c r="AR143" i="42"/>
  <c r="AQ143" i="42"/>
  <c r="AP143" i="42"/>
  <c r="AO143" i="42"/>
  <c r="AN143" i="42"/>
  <c r="AM143" i="42"/>
  <c r="AL143" i="42"/>
  <c r="AH143" i="42"/>
  <c r="Z143" i="42"/>
  <c r="X143" i="42"/>
  <c r="V143" i="42"/>
  <c r="S143" i="42"/>
  <c r="T143" i="42" s="1"/>
  <c r="AK143" i="42" s="1"/>
  <c r="N143" i="42"/>
  <c r="K143" i="42"/>
  <c r="L143" i="42" s="1"/>
  <c r="H143" i="42"/>
  <c r="F143" i="42"/>
  <c r="D143" i="42"/>
  <c r="BA142" i="42"/>
  <c r="AZ142" i="42"/>
  <c r="AY142" i="42"/>
  <c r="AX142" i="42"/>
  <c r="AW142" i="42"/>
  <c r="AV142" i="42"/>
  <c r="AU142" i="42"/>
  <c r="AT142" i="42"/>
  <c r="AS142" i="42"/>
  <c r="AR142" i="42"/>
  <c r="AQ142" i="42"/>
  <c r="AP142" i="42"/>
  <c r="AO142" i="42"/>
  <c r="AN142" i="42"/>
  <c r="AM142" i="42"/>
  <c r="AL142" i="42"/>
  <c r="AH142" i="42"/>
  <c r="Z142" i="42"/>
  <c r="X142" i="42"/>
  <c r="V142" i="42"/>
  <c r="S142" i="42"/>
  <c r="T142" i="42" s="1"/>
  <c r="AK142" i="42" s="1"/>
  <c r="N142" i="42"/>
  <c r="K142" i="42"/>
  <c r="L142" i="42" s="1"/>
  <c r="H142" i="42"/>
  <c r="F142" i="42"/>
  <c r="D142" i="42"/>
  <c r="BA141" i="42"/>
  <c r="AZ141" i="42"/>
  <c r="AY141" i="42"/>
  <c r="AX141" i="42"/>
  <c r="AW141" i="42"/>
  <c r="AV141" i="42"/>
  <c r="AU141" i="42"/>
  <c r="AT141" i="42"/>
  <c r="AS141" i="42"/>
  <c r="AR141" i="42"/>
  <c r="AQ141" i="42"/>
  <c r="AP141" i="42"/>
  <c r="AO141" i="42"/>
  <c r="AN141" i="42"/>
  <c r="AM141" i="42"/>
  <c r="AL141" i="42"/>
  <c r="AH141" i="42"/>
  <c r="Z141" i="42"/>
  <c r="X141" i="42"/>
  <c r="V141" i="42"/>
  <c r="S141" i="42"/>
  <c r="T141" i="42" s="1"/>
  <c r="AK141" i="42" s="1"/>
  <c r="N141" i="42"/>
  <c r="K141" i="42"/>
  <c r="L141" i="42" s="1"/>
  <c r="H141" i="42"/>
  <c r="F141" i="42"/>
  <c r="D141" i="42"/>
  <c r="BA140" i="42"/>
  <c r="AZ140" i="42"/>
  <c r="AY140" i="42"/>
  <c r="AX140" i="42"/>
  <c r="AW140" i="42"/>
  <c r="AV140" i="42"/>
  <c r="AU140" i="42"/>
  <c r="AT140" i="42"/>
  <c r="AS140" i="42"/>
  <c r="AR140" i="42"/>
  <c r="AQ140" i="42"/>
  <c r="AP140" i="42"/>
  <c r="AO140" i="42"/>
  <c r="AN140" i="42"/>
  <c r="AM140" i="42"/>
  <c r="AL140" i="42"/>
  <c r="AH140" i="42"/>
  <c r="Z140" i="42"/>
  <c r="X140" i="42"/>
  <c r="V140" i="42"/>
  <c r="S140" i="42"/>
  <c r="T140" i="42" s="1"/>
  <c r="AK140" i="42" s="1"/>
  <c r="N140" i="42"/>
  <c r="K140" i="42"/>
  <c r="L140" i="42" s="1"/>
  <c r="H140" i="42"/>
  <c r="F140" i="42"/>
  <c r="D140" i="42"/>
  <c r="BA139" i="42"/>
  <c r="AZ139" i="42"/>
  <c r="AY139" i="42"/>
  <c r="AX139" i="42"/>
  <c r="AW139" i="42"/>
  <c r="AV139" i="42"/>
  <c r="AU139" i="42"/>
  <c r="AT139" i="42"/>
  <c r="AS139" i="42"/>
  <c r="AR139" i="42"/>
  <c r="AQ139" i="42"/>
  <c r="AP139" i="42"/>
  <c r="AO139" i="42"/>
  <c r="AN139" i="42"/>
  <c r="AM139" i="42"/>
  <c r="AL139" i="42"/>
  <c r="AH139" i="42"/>
  <c r="Z139" i="42"/>
  <c r="X139" i="42"/>
  <c r="V139" i="42"/>
  <c r="S139" i="42"/>
  <c r="T139" i="42" s="1"/>
  <c r="AK139" i="42" s="1"/>
  <c r="N139" i="42"/>
  <c r="K139" i="42"/>
  <c r="L139" i="42" s="1"/>
  <c r="H139" i="42"/>
  <c r="F139" i="42"/>
  <c r="D139" i="42"/>
  <c r="BA138" i="42"/>
  <c r="AZ138" i="42"/>
  <c r="AY138" i="42"/>
  <c r="AX138" i="42"/>
  <c r="AW138" i="42"/>
  <c r="AV138" i="42"/>
  <c r="AU138" i="42"/>
  <c r="AT138" i="42"/>
  <c r="AS138" i="42"/>
  <c r="AR138" i="42"/>
  <c r="AQ138" i="42"/>
  <c r="AP138" i="42"/>
  <c r="AO138" i="42"/>
  <c r="AN138" i="42"/>
  <c r="AM138" i="42"/>
  <c r="AL138" i="42"/>
  <c r="AH138" i="42"/>
  <c r="Z138" i="42"/>
  <c r="X138" i="42"/>
  <c r="V138" i="42"/>
  <c r="S138" i="42"/>
  <c r="T138" i="42" s="1"/>
  <c r="AK138" i="42" s="1"/>
  <c r="N138" i="42"/>
  <c r="K138" i="42"/>
  <c r="L138" i="42" s="1"/>
  <c r="H138" i="42"/>
  <c r="F138" i="42"/>
  <c r="D138" i="42"/>
  <c r="BA137" i="42"/>
  <c r="AZ137" i="42"/>
  <c r="AY137" i="42"/>
  <c r="AX137" i="42"/>
  <c r="AW137" i="42"/>
  <c r="AV137" i="42"/>
  <c r="AU137" i="42"/>
  <c r="AT137" i="42"/>
  <c r="AS137" i="42"/>
  <c r="AR137" i="42"/>
  <c r="AQ137" i="42"/>
  <c r="AP137" i="42"/>
  <c r="AO137" i="42"/>
  <c r="AN137" i="42"/>
  <c r="AM137" i="42"/>
  <c r="AL137" i="42"/>
  <c r="AH137" i="42"/>
  <c r="Z137" i="42"/>
  <c r="X137" i="42"/>
  <c r="V137" i="42"/>
  <c r="S137" i="42"/>
  <c r="T137" i="42" s="1"/>
  <c r="AK137" i="42" s="1"/>
  <c r="N137" i="42"/>
  <c r="K137" i="42"/>
  <c r="L137" i="42" s="1"/>
  <c r="H137" i="42"/>
  <c r="F137" i="42"/>
  <c r="D137" i="42"/>
  <c r="BA136" i="42"/>
  <c r="AZ136" i="42"/>
  <c r="AY136" i="42"/>
  <c r="AX136" i="42"/>
  <c r="AW136" i="42"/>
  <c r="AV136" i="42"/>
  <c r="AU136" i="42"/>
  <c r="AT136" i="42"/>
  <c r="AS136" i="42"/>
  <c r="AR136" i="42"/>
  <c r="AQ136" i="42"/>
  <c r="AP136" i="42"/>
  <c r="AO136" i="42"/>
  <c r="AN136" i="42"/>
  <c r="AM136" i="42"/>
  <c r="AL136" i="42"/>
  <c r="AH136" i="42"/>
  <c r="Z136" i="42"/>
  <c r="X136" i="42"/>
  <c r="V136" i="42"/>
  <c r="S136" i="42"/>
  <c r="T136" i="42" s="1"/>
  <c r="AK136" i="42" s="1"/>
  <c r="N136" i="42"/>
  <c r="K136" i="42"/>
  <c r="L136" i="42" s="1"/>
  <c r="H136" i="42"/>
  <c r="F136" i="42"/>
  <c r="D136" i="42"/>
  <c r="BA135" i="42"/>
  <c r="AZ135" i="42"/>
  <c r="AY135" i="42"/>
  <c r="AX135" i="42"/>
  <c r="AW135" i="42"/>
  <c r="AV135" i="42"/>
  <c r="AU135" i="42"/>
  <c r="AT135" i="42"/>
  <c r="AS135" i="42"/>
  <c r="AR135" i="42"/>
  <c r="AQ135" i="42"/>
  <c r="AP135" i="42"/>
  <c r="AO135" i="42"/>
  <c r="AN135" i="42"/>
  <c r="AM135" i="42"/>
  <c r="AL135" i="42"/>
  <c r="AH135" i="42"/>
  <c r="Z135" i="42"/>
  <c r="X135" i="42"/>
  <c r="V135" i="42"/>
  <c r="S135" i="42"/>
  <c r="T135" i="42" s="1"/>
  <c r="AK135" i="42" s="1"/>
  <c r="N135" i="42"/>
  <c r="K135" i="42"/>
  <c r="L135" i="42" s="1"/>
  <c r="H135" i="42"/>
  <c r="F135" i="42"/>
  <c r="D135" i="42"/>
  <c r="BA134" i="42"/>
  <c r="AZ134" i="42"/>
  <c r="AY134" i="42"/>
  <c r="AX134" i="42"/>
  <c r="AW134" i="42"/>
  <c r="AV134" i="42"/>
  <c r="AU134" i="42"/>
  <c r="AT134" i="42"/>
  <c r="AS134" i="42"/>
  <c r="AR134" i="42"/>
  <c r="AQ134" i="42"/>
  <c r="AP134" i="42"/>
  <c r="AO134" i="42"/>
  <c r="AN134" i="42"/>
  <c r="AM134" i="42"/>
  <c r="AL134" i="42"/>
  <c r="AH134" i="42"/>
  <c r="Z134" i="42"/>
  <c r="X134" i="42"/>
  <c r="V134" i="42"/>
  <c r="S134" i="42"/>
  <c r="T134" i="42" s="1"/>
  <c r="AK134" i="42" s="1"/>
  <c r="N134" i="42"/>
  <c r="K134" i="42"/>
  <c r="L134" i="42" s="1"/>
  <c r="H134" i="42"/>
  <c r="F134" i="42"/>
  <c r="D134" i="42"/>
  <c r="BA133" i="42"/>
  <c r="AZ133" i="42"/>
  <c r="AY133" i="42"/>
  <c r="AX133" i="42"/>
  <c r="AW133" i="42"/>
  <c r="AV133" i="42"/>
  <c r="AU133" i="42"/>
  <c r="AT133" i="42"/>
  <c r="AS133" i="42"/>
  <c r="AR133" i="42"/>
  <c r="AQ133" i="42"/>
  <c r="AP133" i="42"/>
  <c r="AO133" i="42"/>
  <c r="AN133" i="42"/>
  <c r="AM133" i="42"/>
  <c r="AL133" i="42"/>
  <c r="AH133" i="42"/>
  <c r="Z133" i="42"/>
  <c r="X133" i="42"/>
  <c r="V133" i="42"/>
  <c r="S133" i="42"/>
  <c r="T133" i="42" s="1"/>
  <c r="AK133" i="42" s="1"/>
  <c r="N133" i="42"/>
  <c r="K133" i="42"/>
  <c r="L133" i="42" s="1"/>
  <c r="H133" i="42"/>
  <c r="F133" i="42"/>
  <c r="D133" i="42"/>
  <c r="BA132" i="42"/>
  <c r="AZ132" i="42"/>
  <c r="AY132" i="42"/>
  <c r="AX132" i="42"/>
  <c r="AW132" i="42"/>
  <c r="AV132" i="42"/>
  <c r="AU132" i="42"/>
  <c r="AT132" i="42"/>
  <c r="AS132" i="42"/>
  <c r="AR132" i="42"/>
  <c r="AQ132" i="42"/>
  <c r="AP132" i="42"/>
  <c r="AO132" i="42"/>
  <c r="AN132" i="42"/>
  <c r="AM132" i="42"/>
  <c r="AL132" i="42"/>
  <c r="AH132" i="42"/>
  <c r="Z132" i="42"/>
  <c r="X132" i="42"/>
  <c r="V132" i="42"/>
  <c r="S132" i="42"/>
  <c r="T132" i="42" s="1"/>
  <c r="AK132" i="42" s="1"/>
  <c r="N132" i="42"/>
  <c r="K132" i="42"/>
  <c r="L132" i="42" s="1"/>
  <c r="H132" i="42"/>
  <c r="F132" i="42"/>
  <c r="D132" i="42"/>
  <c r="BA131" i="42"/>
  <c r="AZ131" i="42"/>
  <c r="AY131" i="42"/>
  <c r="AX131" i="42"/>
  <c r="AW131" i="42"/>
  <c r="AV131" i="42"/>
  <c r="AU131" i="42"/>
  <c r="AT131" i="42"/>
  <c r="AS131" i="42"/>
  <c r="AR131" i="42"/>
  <c r="AQ131" i="42"/>
  <c r="AP131" i="42"/>
  <c r="AO131" i="42"/>
  <c r="AN131" i="42"/>
  <c r="AM131" i="42"/>
  <c r="AL131" i="42"/>
  <c r="AH131" i="42"/>
  <c r="Z131" i="42"/>
  <c r="X131" i="42"/>
  <c r="V131" i="42"/>
  <c r="S131" i="42"/>
  <c r="T131" i="42" s="1"/>
  <c r="AK131" i="42" s="1"/>
  <c r="N131" i="42"/>
  <c r="K131" i="42"/>
  <c r="L131" i="42" s="1"/>
  <c r="H131" i="42"/>
  <c r="F131" i="42"/>
  <c r="D131" i="42"/>
  <c r="BA130" i="42"/>
  <c r="AZ130" i="42"/>
  <c r="AY130" i="42"/>
  <c r="AX130" i="42"/>
  <c r="AW130" i="42"/>
  <c r="AV130" i="42"/>
  <c r="AU130" i="42"/>
  <c r="AT130" i="42"/>
  <c r="AS130" i="42"/>
  <c r="AR130" i="42"/>
  <c r="AQ130" i="42"/>
  <c r="AP130" i="42"/>
  <c r="AO130" i="42"/>
  <c r="AN130" i="42"/>
  <c r="AM130" i="42"/>
  <c r="AL130" i="42"/>
  <c r="AH130" i="42"/>
  <c r="Z130" i="42"/>
  <c r="X130" i="42"/>
  <c r="V130" i="42"/>
  <c r="S130" i="42"/>
  <c r="T130" i="42" s="1"/>
  <c r="AK130" i="42" s="1"/>
  <c r="N130" i="42"/>
  <c r="K130" i="42"/>
  <c r="L130" i="42" s="1"/>
  <c r="H130" i="42"/>
  <c r="F130" i="42"/>
  <c r="D130" i="42"/>
  <c r="BA129" i="42"/>
  <c r="AZ129" i="42"/>
  <c r="AY129" i="42"/>
  <c r="AX129" i="42"/>
  <c r="AW129" i="42"/>
  <c r="AV129" i="42"/>
  <c r="AU129" i="42"/>
  <c r="AT129" i="42"/>
  <c r="AS129" i="42"/>
  <c r="AR129" i="42"/>
  <c r="AQ129" i="42"/>
  <c r="AP129" i="42"/>
  <c r="AO129" i="42"/>
  <c r="AN129" i="42"/>
  <c r="AM129" i="42"/>
  <c r="AL129" i="42"/>
  <c r="AH129" i="42"/>
  <c r="Z129" i="42"/>
  <c r="X129" i="42"/>
  <c r="V129" i="42"/>
  <c r="S129" i="42"/>
  <c r="T129" i="42" s="1"/>
  <c r="AK129" i="42" s="1"/>
  <c r="N129" i="42"/>
  <c r="K129" i="42"/>
  <c r="L129" i="42" s="1"/>
  <c r="H129" i="42"/>
  <c r="F129" i="42"/>
  <c r="D129" i="42"/>
  <c r="BA128" i="42"/>
  <c r="AZ128" i="42"/>
  <c r="AY128" i="42"/>
  <c r="AX128" i="42"/>
  <c r="AW128" i="42"/>
  <c r="AV128" i="42"/>
  <c r="AU128" i="42"/>
  <c r="AT128" i="42"/>
  <c r="AS128" i="42"/>
  <c r="AR128" i="42"/>
  <c r="AQ128" i="42"/>
  <c r="AP128" i="42"/>
  <c r="AO128" i="42"/>
  <c r="AN128" i="42"/>
  <c r="AM128" i="42"/>
  <c r="AL128" i="42"/>
  <c r="AH128" i="42"/>
  <c r="Z128" i="42"/>
  <c r="X128" i="42"/>
  <c r="V128" i="42"/>
  <c r="S128" i="42"/>
  <c r="T128" i="42" s="1"/>
  <c r="AK128" i="42" s="1"/>
  <c r="N128" i="42"/>
  <c r="K128" i="42"/>
  <c r="L128" i="42" s="1"/>
  <c r="H128" i="42"/>
  <c r="F128" i="42"/>
  <c r="D128" i="42"/>
  <c r="BA127" i="42"/>
  <c r="AZ127" i="42"/>
  <c r="AY127" i="42"/>
  <c r="AX127" i="42"/>
  <c r="AW127" i="42"/>
  <c r="AV127" i="42"/>
  <c r="AU127" i="42"/>
  <c r="AT127" i="42"/>
  <c r="AS127" i="42"/>
  <c r="AR127" i="42"/>
  <c r="AQ127" i="42"/>
  <c r="AP127" i="42"/>
  <c r="AO127" i="42"/>
  <c r="AN127" i="42"/>
  <c r="AM127" i="42"/>
  <c r="AL127" i="42"/>
  <c r="AH127" i="42"/>
  <c r="Z127" i="42"/>
  <c r="X127" i="42"/>
  <c r="V127" i="42"/>
  <c r="S127" i="42"/>
  <c r="T127" i="42" s="1"/>
  <c r="AK127" i="42" s="1"/>
  <c r="N127" i="42"/>
  <c r="K127" i="42"/>
  <c r="L127" i="42" s="1"/>
  <c r="H127" i="42"/>
  <c r="F127" i="42"/>
  <c r="D127" i="42"/>
  <c r="BA126" i="42"/>
  <c r="AZ126" i="42"/>
  <c r="AY126" i="42"/>
  <c r="AX126" i="42"/>
  <c r="AW126" i="42"/>
  <c r="AV126" i="42"/>
  <c r="AU126" i="42"/>
  <c r="AT126" i="42"/>
  <c r="AS126" i="42"/>
  <c r="AR126" i="42"/>
  <c r="AQ126" i="42"/>
  <c r="AP126" i="42"/>
  <c r="AO126" i="42"/>
  <c r="AN126" i="42"/>
  <c r="AM126" i="42"/>
  <c r="AL126" i="42"/>
  <c r="AH126" i="42"/>
  <c r="Z126" i="42"/>
  <c r="X126" i="42"/>
  <c r="V126" i="42"/>
  <c r="S126" i="42"/>
  <c r="T126" i="42" s="1"/>
  <c r="AK126" i="42" s="1"/>
  <c r="N126" i="42"/>
  <c r="K126" i="42"/>
  <c r="L126" i="42" s="1"/>
  <c r="H126" i="42"/>
  <c r="F126" i="42"/>
  <c r="D126" i="42"/>
  <c r="BA125" i="42"/>
  <c r="AZ125" i="42"/>
  <c r="AY125" i="42"/>
  <c r="AX125" i="42"/>
  <c r="AW125" i="42"/>
  <c r="AV125" i="42"/>
  <c r="AU125" i="42"/>
  <c r="AT125" i="42"/>
  <c r="AS125" i="42"/>
  <c r="AR125" i="42"/>
  <c r="AQ125" i="42"/>
  <c r="AP125" i="42"/>
  <c r="AO125" i="42"/>
  <c r="AN125" i="42"/>
  <c r="AM125" i="42"/>
  <c r="AL125" i="42"/>
  <c r="AH125" i="42"/>
  <c r="Z125" i="42"/>
  <c r="X125" i="42"/>
  <c r="V125" i="42"/>
  <c r="S125" i="42"/>
  <c r="T125" i="42" s="1"/>
  <c r="AK125" i="42" s="1"/>
  <c r="N125" i="42"/>
  <c r="K125" i="42"/>
  <c r="L125" i="42" s="1"/>
  <c r="H125" i="42"/>
  <c r="F125" i="42"/>
  <c r="D125" i="42"/>
  <c r="BA124" i="42"/>
  <c r="AZ124" i="42"/>
  <c r="AY124" i="42"/>
  <c r="AX124" i="42"/>
  <c r="AW124" i="42"/>
  <c r="AV124" i="42"/>
  <c r="AU124" i="42"/>
  <c r="AT124" i="42"/>
  <c r="AS124" i="42"/>
  <c r="AR124" i="42"/>
  <c r="AQ124" i="42"/>
  <c r="AP124" i="42"/>
  <c r="AO124" i="42"/>
  <c r="AN124" i="42"/>
  <c r="AM124" i="42"/>
  <c r="AL124" i="42"/>
  <c r="AH124" i="42"/>
  <c r="Z124" i="42"/>
  <c r="X124" i="42"/>
  <c r="V124" i="42"/>
  <c r="S124" i="42"/>
  <c r="T124" i="42" s="1"/>
  <c r="AK124" i="42" s="1"/>
  <c r="N124" i="42"/>
  <c r="K124" i="42"/>
  <c r="L124" i="42" s="1"/>
  <c r="H124" i="42"/>
  <c r="F124" i="42"/>
  <c r="D124" i="42"/>
  <c r="BA123" i="42"/>
  <c r="AZ123" i="42"/>
  <c r="AY123" i="42"/>
  <c r="AX123" i="42"/>
  <c r="AW123" i="42"/>
  <c r="AV123" i="42"/>
  <c r="AU123" i="42"/>
  <c r="AT123" i="42"/>
  <c r="AS123" i="42"/>
  <c r="AR123" i="42"/>
  <c r="AQ123" i="42"/>
  <c r="AP123" i="42"/>
  <c r="AO123" i="42"/>
  <c r="AN123" i="42"/>
  <c r="AM123" i="42"/>
  <c r="AL123" i="42"/>
  <c r="AH123" i="42"/>
  <c r="Z123" i="42"/>
  <c r="X123" i="42"/>
  <c r="V123" i="42"/>
  <c r="S123" i="42"/>
  <c r="T123" i="42" s="1"/>
  <c r="AK123" i="42" s="1"/>
  <c r="N123" i="42"/>
  <c r="K123" i="42"/>
  <c r="L123" i="42" s="1"/>
  <c r="H123" i="42"/>
  <c r="F123" i="42"/>
  <c r="D123" i="42"/>
  <c r="BA122" i="42"/>
  <c r="AZ122" i="42"/>
  <c r="AY122" i="42"/>
  <c r="AX122" i="42"/>
  <c r="AW122" i="42"/>
  <c r="AV122" i="42"/>
  <c r="AU122" i="42"/>
  <c r="AT122" i="42"/>
  <c r="AS122" i="42"/>
  <c r="AR122" i="42"/>
  <c r="AQ122" i="42"/>
  <c r="AP122" i="42"/>
  <c r="AO122" i="42"/>
  <c r="AN122" i="42"/>
  <c r="AM122" i="42"/>
  <c r="AL122" i="42"/>
  <c r="AH122" i="42"/>
  <c r="Z122" i="42"/>
  <c r="X122" i="42"/>
  <c r="V122" i="42"/>
  <c r="S122" i="42"/>
  <c r="T122" i="42" s="1"/>
  <c r="AK122" i="42" s="1"/>
  <c r="N122" i="42"/>
  <c r="K122" i="42"/>
  <c r="L122" i="42" s="1"/>
  <c r="H122" i="42"/>
  <c r="F122" i="42"/>
  <c r="D122" i="42"/>
  <c r="BA121" i="42"/>
  <c r="AZ121" i="42"/>
  <c r="AY121" i="42"/>
  <c r="AX121" i="42"/>
  <c r="AW121" i="42"/>
  <c r="AV121" i="42"/>
  <c r="AU121" i="42"/>
  <c r="AT121" i="42"/>
  <c r="AS121" i="42"/>
  <c r="AR121" i="42"/>
  <c r="AQ121" i="42"/>
  <c r="AP121" i="42"/>
  <c r="AO121" i="42"/>
  <c r="AN121" i="42"/>
  <c r="AM121" i="42"/>
  <c r="AL121" i="42"/>
  <c r="AH121" i="42"/>
  <c r="Z121" i="42"/>
  <c r="X121" i="42"/>
  <c r="V121" i="42"/>
  <c r="S121" i="42"/>
  <c r="T121" i="42" s="1"/>
  <c r="AK121" i="42" s="1"/>
  <c r="N121" i="42"/>
  <c r="K121" i="42"/>
  <c r="L121" i="42" s="1"/>
  <c r="H121" i="42"/>
  <c r="F121" i="42"/>
  <c r="D121" i="42"/>
  <c r="BA120" i="42"/>
  <c r="AZ120" i="42"/>
  <c r="AY120" i="42"/>
  <c r="AX120" i="42"/>
  <c r="AW120" i="42"/>
  <c r="AV120" i="42"/>
  <c r="AU120" i="42"/>
  <c r="AT120" i="42"/>
  <c r="AS120" i="42"/>
  <c r="AR120" i="42"/>
  <c r="AQ120" i="42"/>
  <c r="AP120" i="42"/>
  <c r="AO120" i="42"/>
  <c r="AN120" i="42"/>
  <c r="AM120" i="42"/>
  <c r="AL120" i="42"/>
  <c r="AH120" i="42"/>
  <c r="Z120" i="42"/>
  <c r="X120" i="42"/>
  <c r="V120" i="42"/>
  <c r="S120" i="42"/>
  <c r="T120" i="42" s="1"/>
  <c r="AK120" i="42" s="1"/>
  <c r="N120" i="42"/>
  <c r="K120" i="42"/>
  <c r="L120" i="42" s="1"/>
  <c r="H120" i="42"/>
  <c r="F120" i="42"/>
  <c r="D120" i="42"/>
  <c r="BA119" i="42"/>
  <c r="AZ119" i="42"/>
  <c r="AY119" i="42"/>
  <c r="AX119" i="42"/>
  <c r="AW119" i="42"/>
  <c r="AV119" i="42"/>
  <c r="AU119" i="42"/>
  <c r="AT119" i="42"/>
  <c r="AS119" i="42"/>
  <c r="AR119" i="42"/>
  <c r="AQ119" i="42"/>
  <c r="AP119" i="42"/>
  <c r="AO119" i="42"/>
  <c r="AN119" i="42"/>
  <c r="AM119" i="42"/>
  <c r="AL119" i="42"/>
  <c r="AH119" i="42"/>
  <c r="Z119" i="42"/>
  <c r="X119" i="42"/>
  <c r="V119" i="42"/>
  <c r="S119" i="42"/>
  <c r="T119" i="42" s="1"/>
  <c r="AK119" i="42" s="1"/>
  <c r="N119" i="42"/>
  <c r="K119" i="42"/>
  <c r="L119" i="42" s="1"/>
  <c r="H119" i="42"/>
  <c r="F119" i="42"/>
  <c r="D119" i="42"/>
  <c r="BA118" i="42"/>
  <c r="AZ118" i="42"/>
  <c r="AY118" i="42"/>
  <c r="AX118" i="42"/>
  <c r="AW118" i="42"/>
  <c r="AV118" i="42"/>
  <c r="AU118" i="42"/>
  <c r="AT118" i="42"/>
  <c r="AS118" i="42"/>
  <c r="AR118" i="42"/>
  <c r="AQ118" i="42"/>
  <c r="AP118" i="42"/>
  <c r="AO118" i="42"/>
  <c r="AN118" i="42"/>
  <c r="AM118" i="42"/>
  <c r="AL118" i="42"/>
  <c r="AH118" i="42"/>
  <c r="Z118" i="42"/>
  <c r="X118" i="42"/>
  <c r="V118" i="42"/>
  <c r="S118" i="42"/>
  <c r="T118" i="42" s="1"/>
  <c r="AK118" i="42" s="1"/>
  <c r="N118" i="42"/>
  <c r="K118" i="42"/>
  <c r="L118" i="42" s="1"/>
  <c r="H118" i="42"/>
  <c r="F118" i="42"/>
  <c r="D118" i="42"/>
  <c r="BA117" i="42"/>
  <c r="AZ117" i="42"/>
  <c r="AY117" i="42"/>
  <c r="AX117" i="42"/>
  <c r="AW117" i="42"/>
  <c r="AV117" i="42"/>
  <c r="AU117" i="42"/>
  <c r="AT117" i="42"/>
  <c r="AS117" i="42"/>
  <c r="AR117" i="42"/>
  <c r="AQ117" i="42"/>
  <c r="AP117" i="42"/>
  <c r="AO117" i="42"/>
  <c r="AN117" i="42"/>
  <c r="AM117" i="42"/>
  <c r="AL117" i="42"/>
  <c r="AH117" i="42"/>
  <c r="Z117" i="42"/>
  <c r="X117" i="42"/>
  <c r="V117" i="42"/>
  <c r="S117" i="42"/>
  <c r="T117" i="42" s="1"/>
  <c r="AK117" i="42" s="1"/>
  <c r="N117" i="42"/>
  <c r="K117" i="42"/>
  <c r="L117" i="42" s="1"/>
  <c r="H117" i="42"/>
  <c r="F117" i="42"/>
  <c r="D117" i="42"/>
  <c r="BA116" i="42"/>
  <c r="AZ116" i="42"/>
  <c r="AY116" i="42"/>
  <c r="AX116" i="42"/>
  <c r="AW116" i="42"/>
  <c r="AV116" i="42"/>
  <c r="AU116" i="42"/>
  <c r="AT116" i="42"/>
  <c r="AS116" i="42"/>
  <c r="AR116" i="42"/>
  <c r="AQ116" i="42"/>
  <c r="AP116" i="42"/>
  <c r="AO116" i="42"/>
  <c r="AN116" i="42"/>
  <c r="AM116" i="42"/>
  <c r="AL116" i="42"/>
  <c r="AH116" i="42"/>
  <c r="Z116" i="42"/>
  <c r="X116" i="42"/>
  <c r="V116" i="42"/>
  <c r="S116" i="42"/>
  <c r="T116" i="42" s="1"/>
  <c r="AK116" i="42" s="1"/>
  <c r="N116" i="42"/>
  <c r="K116" i="42"/>
  <c r="L116" i="42" s="1"/>
  <c r="H116" i="42"/>
  <c r="F116" i="42"/>
  <c r="D116" i="42"/>
  <c r="BA115" i="42"/>
  <c r="AZ115" i="42"/>
  <c r="AY115" i="42"/>
  <c r="AX115" i="42"/>
  <c r="AW115" i="42"/>
  <c r="AV115" i="42"/>
  <c r="AU115" i="42"/>
  <c r="AT115" i="42"/>
  <c r="AS115" i="42"/>
  <c r="AR115" i="42"/>
  <c r="AQ115" i="42"/>
  <c r="AP115" i="42"/>
  <c r="AO115" i="42"/>
  <c r="AN115" i="42"/>
  <c r="AM115" i="42"/>
  <c r="AL115" i="42"/>
  <c r="AH115" i="42"/>
  <c r="Z115" i="42"/>
  <c r="X115" i="42"/>
  <c r="V115" i="42"/>
  <c r="S115" i="42"/>
  <c r="T115" i="42" s="1"/>
  <c r="AK115" i="42" s="1"/>
  <c r="N115" i="42"/>
  <c r="K115" i="42"/>
  <c r="L115" i="42" s="1"/>
  <c r="H115" i="42"/>
  <c r="F115" i="42"/>
  <c r="D115" i="42"/>
  <c r="BA114" i="42"/>
  <c r="AZ114" i="42"/>
  <c r="AY114" i="42"/>
  <c r="AX114" i="42"/>
  <c r="AW114" i="42"/>
  <c r="AV114" i="42"/>
  <c r="AU114" i="42"/>
  <c r="AT114" i="42"/>
  <c r="AS114" i="42"/>
  <c r="AR114" i="42"/>
  <c r="AQ114" i="42"/>
  <c r="AP114" i="42"/>
  <c r="AO114" i="42"/>
  <c r="AN114" i="42"/>
  <c r="AM114" i="42"/>
  <c r="AL114" i="42"/>
  <c r="AH114" i="42"/>
  <c r="Z114" i="42"/>
  <c r="X114" i="42"/>
  <c r="V114" i="42"/>
  <c r="S114" i="42"/>
  <c r="T114" i="42" s="1"/>
  <c r="AK114" i="42" s="1"/>
  <c r="N114" i="42"/>
  <c r="K114" i="42"/>
  <c r="L114" i="42" s="1"/>
  <c r="H114" i="42"/>
  <c r="F114" i="42"/>
  <c r="D114" i="42"/>
  <c r="BA113" i="42"/>
  <c r="AZ113" i="42"/>
  <c r="AY113" i="42"/>
  <c r="AX113" i="42"/>
  <c r="AW113" i="42"/>
  <c r="AV113" i="42"/>
  <c r="AU113" i="42"/>
  <c r="AT113" i="42"/>
  <c r="AS113" i="42"/>
  <c r="AR113" i="42"/>
  <c r="AQ113" i="42"/>
  <c r="AP113" i="42"/>
  <c r="AO113" i="42"/>
  <c r="AN113" i="42"/>
  <c r="AM113" i="42"/>
  <c r="AL113" i="42"/>
  <c r="AH113" i="42"/>
  <c r="Z113" i="42"/>
  <c r="X113" i="42"/>
  <c r="V113" i="42"/>
  <c r="S113" i="42"/>
  <c r="T113" i="42" s="1"/>
  <c r="AK113" i="42" s="1"/>
  <c r="N113" i="42"/>
  <c r="K113" i="42"/>
  <c r="L113" i="42" s="1"/>
  <c r="H113" i="42"/>
  <c r="F113" i="42"/>
  <c r="D113" i="42"/>
  <c r="BA112" i="42"/>
  <c r="AZ112" i="42"/>
  <c r="AY112" i="42"/>
  <c r="AX112" i="42"/>
  <c r="AW112" i="42"/>
  <c r="AV112" i="42"/>
  <c r="AU112" i="42"/>
  <c r="AT112" i="42"/>
  <c r="AS112" i="42"/>
  <c r="AR112" i="42"/>
  <c r="AQ112" i="42"/>
  <c r="AP112" i="42"/>
  <c r="AO112" i="42"/>
  <c r="AN112" i="42"/>
  <c r="AM112" i="42"/>
  <c r="AL112" i="42"/>
  <c r="AH112" i="42"/>
  <c r="Z112" i="42"/>
  <c r="X112" i="42"/>
  <c r="V112" i="42"/>
  <c r="S112" i="42"/>
  <c r="T112" i="42" s="1"/>
  <c r="AK112" i="42" s="1"/>
  <c r="N112" i="42"/>
  <c r="K112" i="42"/>
  <c r="L112" i="42" s="1"/>
  <c r="H112" i="42"/>
  <c r="F112" i="42"/>
  <c r="D112" i="42"/>
  <c r="BA111" i="42"/>
  <c r="AZ111" i="42"/>
  <c r="AY111" i="42"/>
  <c r="AX111" i="42"/>
  <c r="AW111" i="42"/>
  <c r="AV111" i="42"/>
  <c r="AU111" i="42"/>
  <c r="AT111" i="42"/>
  <c r="AS111" i="42"/>
  <c r="AR111" i="42"/>
  <c r="AQ111" i="42"/>
  <c r="AP111" i="42"/>
  <c r="AO111" i="42"/>
  <c r="AN111" i="42"/>
  <c r="AM111" i="42"/>
  <c r="AL111" i="42"/>
  <c r="AH111" i="42"/>
  <c r="Z111" i="42"/>
  <c r="X111" i="42"/>
  <c r="V111" i="42"/>
  <c r="S111" i="42"/>
  <c r="T111" i="42" s="1"/>
  <c r="AK111" i="42" s="1"/>
  <c r="N111" i="42"/>
  <c r="K111" i="42"/>
  <c r="L111" i="42" s="1"/>
  <c r="H111" i="42"/>
  <c r="F111" i="42"/>
  <c r="D111" i="42"/>
  <c r="BA110" i="42"/>
  <c r="AZ110" i="42"/>
  <c r="AY110" i="42"/>
  <c r="AX110" i="42"/>
  <c r="AW110" i="42"/>
  <c r="AV110" i="42"/>
  <c r="AU110" i="42"/>
  <c r="AT110" i="42"/>
  <c r="AS110" i="42"/>
  <c r="AR110" i="42"/>
  <c r="AQ110" i="42"/>
  <c r="AP110" i="42"/>
  <c r="AO110" i="42"/>
  <c r="AN110" i="42"/>
  <c r="AM110" i="42"/>
  <c r="AL110" i="42"/>
  <c r="AH110" i="42"/>
  <c r="Z110" i="42"/>
  <c r="X110" i="42"/>
  <c r="V110" i="42"/>
  <c r="S110" i="42"/>
  <c r="T110" i="42" s="1"/>
  <c r="AK110" i="42" s="1"/>
  <c r="N110" i="42"/>
  <c r="K110" i="42"/>
  <c r="L110" i="42" s="1"/>
  <c r="H110" i="42"/>
  <c r="F110" i="42"/>
  <c r="D110" i="42"/>
  <c r="BA109" i="42"/>
  <c r="AZ109" i="42"/>
  <c r="AY109" i="42"/>
  <c r="AX109" i="42"/>
  <c r="AW109" i="42"/>
  <c r="AV109" i="42"/>
  <c r="AU109" i="42"/>
  <c r="AT109" i="42"/>
  <c r="AS109" i="42"/>
  <c r="AR109" i="42"/>
  <c r="AQ109" i="42"/>
  <c r="AP109" i="42"/>
  <c r="AO109" i="42"/>
  <c r="AN109" i="42"/>
  <c r="AM109" i="42"/>
  <c r="AL109" i="42"/>
  <c r="AH109" i="42"/>
  <c r="Z109" i="42"/>
  <c r="X109" i="42"/>
  <c r="V109" i="42"/>
  <c r="S109" i="42"/>
  <c r="T109" i="42" s="1"/>
  <c r="AK109" i="42" s="1"/>
  <c r="N109" i="42"/>
  <c r="K109" i="42"/>
  <c r="L109" i="42" s="1"/>
  <c r="H109" i="42"/>
  <c r="F109" i="42"/>
  <c r="D109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H108" i="42"/>
  <c r="Z108" i="42"/>
  <c r="X108" i="42"/>
  <c r="V108" i="42"/>
  <c r="S108" i="42"/>
  <c r="T108" i="42" s="1"/>
  <c r="AK108" i="42" s="1"/>
  <c r="N108" i="42"/>
  <c r="K108" i="42"/>
  <c r="L108" i="42" s="1"/>
  <c r="H108" i="42"/>
  <c r="F108" i="42"/>
  <c r="D108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H107" i="42"/>
  <c r="Z107" i="42"/>
  <c r="X107" i="42"/>
  <c r="V107" i="42"/>
  <c r="S107" i="42"/>
  <c r="T107" i="42" s="1"/>
  <c r="AK107" i="42" s="1"/>
  <c r="N107" i="42"/>
  <c r="K107" i="42"/>
  <c r="L107" i="42" s="1"/>
  <c r="H107" i="42"/>
  <c r="F107" i="42"/>
  <c r="D107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H106" i="42"/>
  <c r="Z106" i="42"/>
  <c r="X106" i="42"/>
  <c r="V106" i="42"/>
  <c r="S106" i="42"/>
  <c r="T106" i="42" s="1"/>
  <c r="AK106" i="42" s="1"/>
  <c r="N106" i="42"/>
  <c r="K106" i="42"/>
  <c r="L106" i="42" s="1"/>
  <c r="H106" i="42"/>
  <c r="F106" i="42"/>
  <c r="D106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H105" i="42"/>
  <c r="Z105" i="42"/>
  <c r="X105" i="42"/>
  <c r="V105" i="42"/>
  <c r="S105" i="42"/>
  <c r="T105" i="42" s="1"/>
  <c r="AK105" i="42" s="1"/>
  <c r="N105" i="42"/>
  <c r="K105" i="42"/>
  <c r="L105" i="42" s="1"/>
  <c r="H105" i="42"/>
  <c r="F105" i="42"/>
  <c r="D105" i="42"/>
  <c r="BA104" i="42"/>
  <c r="AZ104" i="42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H104" i="42"/>
  <c r="Z104" i="42"/>
  <c r="X104" i="42"/>
  <c r="V104" i="42"/>
  <c r="S104" i="42"/>
  <c r="T104" i="42" s="1"/>
  <c r="AK104" i="42" s="1"/>
  <c r="N104" i="42"/>
  <c r="K104" i="42"/>
  <c r="L104" i="42" s="1"/>
  <c r="H104" i="42"/>
  <c r="F104" i="42"/>
  <c r="D104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H103" i="42"/>
  <c r="Z103" i="42"/>
  <c r="X103" i="42"/>
  <c r="V103" i="42"/>
  <c r="S103" i="42"/>
  <c r="T103" i="42" s="1"/>
  <c r="AK103" i="42" s="1"/>
  <c r="N103" i="42"/>
  <c r="K103" i="42"/>
  <c r="L103" i="42" s="1"/>
  <c r="H103" i="42"/>
  <c r="F103" i="42"/>
  <c r="D103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H102" i="42"/>
  <c r="Z102" i="42"/>
  <c r="X102" i="42"/>
  <c r="V102" i="42"/>
  <c r="S102" i="42"/>
  <c r="T102" i="42" s="1"/>
  <c r="AK102" i="42" s="1"/>
  <c r="N102" i="42"/>
  <c r="K102" i="42"/>
  <c r="L102" i="42" s="1"/>
  <c r="H102" i="42"/>
  <c r="F102" i="42"/>
  <c r="D102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H101" i="42"/>
  <c r="Z101" i="42"/>
  <c r="X101" i="42"/>
  <c r="V101" i="42"/>
  <c r="S101" i="42"/>
  <c r="T101" i="42" s="1"/>
  <c r="AK101" i="42" s="1"/>
  <c r="N101" i="42"/>
  <c r="K101" i="42"/>
  <c r="L101" i="42" s="1"/>
  <c r="H101" i="42"/>
  <c r="F101" i="42"/>
  <c r="D101" i="42"/>
  <c r="BA100" i="42"/>
  <c r="AZ100" i="42"/>
  <c r="AY100" i="42"/>
  <c r="AX100" i="42"/>
  <c r="AW100" i="42"/>
  <c r="AV100" i="42"/>
  <c r="AU100" i="42"/>
  <c r="AT100" i="42"/>
  <c r="AS100" i="42"/>
  <c r="AR100" i="42"/>
  <c r="AQ100" i="42"/>
  <c r="AP100" i="42"/>
  <c r="AO100" i="42"/>
  <c r="AN100" i="42"/>
  <c r="AM100" i="42"/>
  <c r="AL100" i="42"/>
  <c r="AH100" i="42"/>
  <c r="Z100" i="42"/>
  <c r="X100" i="42"/>
  <c r="V100" i="42"/>
  <c r="S100" i="42"/>
  <c r="T100" i="42" s="1"/>
  <c r="AK100" i="42" s="1"/>
  <c r="N100" i="42"/>
  <c r="K100" i="42"/>
  <c r="L100" i="42" s="1"/>
  <c r="H100" i="42"/>
  <c r="F100" i="42"/>
  <c r="D100" i="42"/>
  <c r="BA99" i="42"/>
  <c r="AZ99" i="42"/>
  <c r="AY99" i="42"/>
  <c r="AX99" i="42"/>
  <c r="AW99" i="42"/>
  <c r="AV99" i="42"/>
  <c r="AU99" i="42"/>
  <c r="AT99" i="42"/>
  <c r="AS99" i="42"/>
  <c r="AR99" i="42"/>
  <c r="AQ99" i="42"/>
  <c r="AP99" i="42"/>
  <c r="AO99" i="42"/>
  <c r="AN99" i="42"/>
  <c r="AM99" i="42"/>
  <c r="AL99" i="42"/>
  <c r="AH99" i="42"/>
  <c r="Z99" i="42"/>
  <c r="X99" i="42"/>
  <c r="V99" i="42"/>
  <c r="S99" i="42"/>
  <c r="T99" i="42" s="1"/>
  <c r="AK99" i="42" s="1"/>
  <c r="N99" i="42"/>
  <c r="K99" i="42"/>
  <c r="L99" i="42" s="1"/>
  <c r="H99" i="42"/>
  <c r="F99" i="42"/>
  <c r="D99" i="42"/>
  <c r="BA98" i="42"/>
  <c r="AZ98" i="42"/>
  <c r="AY98" i="42"/>
  <c r="AX98" i="42"/>
  <c r="AW98" i="42"/>
  <c r="AV98" i="42"/>
  <c r="AU98" i="42"/>
  <c r="AT98" i="42"/>
  <c r="AS98" i="42"/>
  <c r="AR98" i="42"/>
  <c r="AQ98" i="42"/>
  <c r="AP98" i="42"/>
  <c r="AO98" i="42"/>
  <c r="AN98" i="42"/>
  <c r="AM98" i="42"/>
  <c r="AL98" i="42"/>
  <c r="AH98" i="42"/>
  <c r="Z98" i="42"/>
  <c r="X98" i="42"/>
  <c r="V98" i="42"/>
  <c r="S98" i="42"/>
  <c r="T98" i="42" s="1"/>
  <c r="AK98" i="42" s="1"/>
  <c r="N98" i="42"/>
  <c r="K98" i="42"/>
  <c r="L98" i="42" s="1"/>
  <c r="H98" i="42"/>
  <c r="F98" i="42"/>
  <c r="D98" i="42"/>
  <c r="BA97" i="42"/>
  <c r="AZ97" i="42"/>
  <c r="AY97" i="42"/>
  <c r="AX97" i="42"/>
  <c r="AW97" i="42"/>
  <c r="AV97" i="42"/>
  <c r="AU97" i="42"/>
  <c r="AT97" i="42"/>
  <c r="AS97" i="42"/>
  <c r="AR97" i="42"/>
  <c r="AQ97" i="42"/>
  <c r="AP97" i="42"/>
  <c r="AO97" i="42"/>
  <c r="AN97" i="42"/>
  <c r="AM97" i="42"/>
  <c r="AL97" i="42"/>
  <c r="AH97" i="42"/>
  <c r="Z97" i="42"/>
  <c r="X97" i="42"/>
  <c r="V97" i="42"/>
  <c r="S97" i="42"/>
  <c r="T97" i="42" s="1"/>
  <c r="AK97" i="42" s="1"/>
  <c r="N97" i="42"/>
  <c r="K97" i="42"/>
  <c r="L97" i="42" s="1"/>
  <c r="H97" i="42"/>
  <c r="F97" i="42"/>
  <c r="D97" i="42"/>
  <c r="BA96" i="42"/>
  <c r="AZ96" i="42"/>
  <c r="AY96" i="42"/>
  <c r="AX96" i="42"/>
  <c r="AW96" i="42"/>
  <c r="AV96" i="42"/>
  <c r="AU96" i="42"/>
  <c r="AT96" i="42"/>
  <c r="AS96" i="42"/>
  <c r="AR96" i="42"/>
  <c r="AQ96" i="42"/>
  <c r="AP96" i="42"/>
  <c r="AO96" i="42"/>
  <c r="AN96" i="42"/>
  <c r="AM96" i="42"/>
  <c r="AL96" i="42"/>
  <c r="AH96" i="42"/>
  <c r="Z96" i="42"/>
  <c r="X96" i="42"/>
  <c r="V96" i="42"/>
  <c r="S96" i="42"/>
  <c r="T96" i="42" s="1"/>
  <c r="AK96" i="42" s="1"/>
  <c r="N96" i="42"/>
  <c r="K96" i="42"/>
  <c r="L96" i="42" s="1"/>
  <c r="H96" i="42"/>
  <c r="F96" i="42"/>
  <c r="D96" i="42"/>
  <c r="BA95" i="42"/>
  <c r="AZ95" i="42"/>
  <c r="AY95" i="42"/>
  <c r="AX95" i="42"/>
  <c r="AW95" i="42"/>
  <c r="AV95" i="42"/>
  <c r="AU95" i="42"/>
  <c r="AT95" i="42"/>
  <c r="AS95" i="42"/>
  <c r="AR95" i="42"/>
  <c r="AQ95" i="42"/>
  <c r="AP95" i="42"/>
  <c r="AO95" i="42"/>
  <c r="AN95" i="42"/>
  <c r="AM95" i="42"/>
  <c r="AL95" i="42"/>
  <c r="AH95" i="42"/>
  <c r="Z95" i="42"/>
  <c r="X95" i="42"/>
  <c r="V95" i="42"/>
  <c r="S95" i="42"/>
  <c r="T95" i="42" s="1"/>
  <c r="AK95" i="42" s="1"/>
  <c r="N95" i="42"/>
  <c r="K95" i="42"/>
  <c r="L95" i="42" s="1"/>
  <c r="H95" i="42"/>
  <c r="F95" i="42"/>
  <c r="D95" i="42"/>
  <c r="BA94" i="42"/>
  <c r="AZ94" i="42"/>
  <c r="AY94" i="42"/>
  <c r="AX94" i="42"/>
  <c r="AW94" i="42"/>
  <c r="AV94" i="42"/>
  <c r="AU94" i="42"/>
  <c r="AT94" i="42"/>
  <c r="AS94" i="42"/>
  <c r="AR94" i="42"/>
  <c r="AQ94" i="42"/>
  <c r="AP94" i="42"/>
  <c r="AO94" i="42"/>
  <c r="AN94" i="42"/>
  <c r="AM94" i="42"/>
  <c r="AL94" i="42"/>
  <c r="AH94" i="42"/>
  <c r="Z94" i="42"/>
  <c r="X94" i="42"/>
  <c r="V94" i="42"/>
  <c r="S94" i="42"/>
  <c r="T94" i="42" s="1"/>
  <c r="AK94" i="42" s="1"/>
  <c r="N94" i="42"/>
  <c r="K94" i="42"/>
  <c r="L94" i="42" s="1"/>
  <c r="H94" i="42"/>
  <c r="F94" i="42"/>
  <c r="D94" i="42"/>
  <c r="BA93" i="42"/>
  <c r="AZ93" i="42"/>
  <c r="AY93" i="42"/>
  <c r="AX93" i="42"/>
  <c r="AW93" i="42"/>
  <c r="AV93" i="42"/>
  <c r="AU93" i="42"/>
  <c r="AT93" i="42"/>
  <c r="AS93" i="42"/>
  <c r="AR93" i="42"/>
  <c r="AQ93" i="42"/>
  <c r="AP93" i="42"/>
  <c r="AO93" i="42"/>
  <c r="AN93" i="42"/>
  <c r="AM93" i="42"/>
  <c r="AL93" i="42"/>
  <c r="AH93" i="42"/>
  <c r="Z93" i="42"/>
  <c r="X93" i="42"/>
  <c r="V93" i="42"/>
  <c r="S93" i="42"/>
  <c r="T93" i="42" s="1"/>
  <c r="AK93" i="42" s="1"/>
  <c r="N93" i="42"/>
  <c r="K93" i="42"/>
  <c r="L93" i="42" s="1"/>
  <c r="H93" i="42"/>
  <c r="F93" i="42"/>
  <c r="D93" i="42"/>
  <c r="BA92" i="42"/>
  <c r="AZ92" i="42"/>
  <c r="AY92" i="42"/>
  <c r="AX92" i="42"/>
  <c r="AW92" i="42"/>
  <c r="AV92" i="42"/>
  <c r="AU92" i="42"/>
  <c r="AT92" i="42"/>
  <c r="AS92" i="42"/>
  <c r="AR92" i="42"/>
  <c r="AQ92" i="42"/>
  <c r="AP92" i="42"/>
  <c r="AO92" i="42"/>
  <c r="AN92" i="42"/>
  <c r="AM92" i="42"/>
  <c r="AL92" i="42"/>
  <c r="AH92" i="42"/>
  <c r="Z92" i="42"/>
  <c r="X92" i="42"/>
  <c r="V92" i="42"/>
  <c r="S92" i="42"/>
  <c r="T92" i="42" s="1"/>
  <c r="AK92" i="42" s="1"/>
  <c r="N92" i="42"/>
  <c r="K92" i="42"/>
  <c r="L92" i="42" s="1"/>
  <c r="H92" i="42"/>
  <c r="F92" i="42"/>
  <c r="D92" i="42"/>
  <c r="BA91" i="42"/>
  <c r="AZ91" i="42"/>
  <c r="AY91" i="42"/>
  <c r="AX91" i="42"/>
  <c r="AW91" i="42"/>
  <c r="AV91" i="42"/>
  <c r="AU91" i="42"/>
  <c r="AT91" i="42"/>
  <c r="AS91" i="42"/>
  <c r="AR91" i="42"/>
  <c r="AQ91" i="42"/>
  <c r="AP91" i="42"/>
  <c r="AO91" i="42"/>
  <c r="AN91" i="42"/>
  <c r="AM91" i="42"/>
  <c r="AL91" i="42"/>
  <c r="AH91" i="42"/>
  <c r="Z91" i="42"/>
  <c r="X91" i="42"/>
  <c r="V91" i="42"/>
  <c r="S91" i="42"/>
  <c r="T91" i="42" s="1"/>
  <c r="AK91" i="42" s="1"/>
  <c r="N91" i="42"/>
  <c r="K91" i="42"/>
  <c r="L91" i="42" s="1"/>
  <c r="H91" i="42"/>
  <c r="F91" i="42"/>
  <c r="D91" i="42"/>
  <c r="BA90" i="42"/>
  <c r="AZ90" i="42"/>
  <c r="AY90" i="42"/>
  <c r="AX90" i="42"/>
  <c r="AW90" i="42"/>
  <c r="AV90" i="42"/>
  <c r="AU90" i="42"/>
  <c r="AT90" i="42"/>
  <c r="AS90" i="42"/>
  <c r="AR90" i="42"/>
  <c r="AQ90" i="42"/>
  <c r="AP90" i="42"/>
  <c r="AO90" i="42"/>
  <c r="AN90" i="42"/>
  <c r="AM90" i="42"/>
  <c r="AL90" i="42"/>
  <c r="AH90" i="42"/>
  <c r="Z90" i="42"/>
  <c r="X90" i="42"/>
  <c r="V90" i="42"/>
  <c r="S90" i="42"/>
  <c r="T90" i="42" s="1"/>
  <c r="AK90" i="42" s="1"/>
  <c r="N90" i="42"/>
  <c r="K90" i="42"/>
  <c r="L90" i="42" s="1"/>
  <c r="H90" i="42"/>
  <c r="F90" i="42"/>
  <c r="D90" i="42"/>
  <c r="BA89" i="42"/>
  <c r="AZ89" i="42"/>
  <c r="AY89" i="42"/>
  <c r="AX89" i="42"/>
  <c r="AW89" i="42"/>
  <c r="AV89" i="42"/>
  <c r="AU89" i="42"/>
  <c r="AT89" i="42"/>
  <c r="AS89" i="42"/>
  <c r="AR89" i="42"/>
  <c r="AQ89" i="42"/>
  <c r="AP89" i="42"/>
  <c r="AO89" i="42"/>
  <c r="AN89" i="42"/>
  <c r="AM89" i="42"/>
  <c r="AL89" i="42"/>
  <c r="AH89" i="42"/>
  <c r="Z89" i="42"/>
  <c r="X89" i="42"/>
  <c r="V89" i="42"/>
  <c r="S89" i="42"/>
  <c r="T89" i="42" s="1"/>
  <c r="AK89" i="42" s="1"/>
  <c r="N89" i="42"/>
  <c r="K89" i="42"/>
  <c r="L89" i="42" s="1"/>
  <c r="H89" i="42"/>
  <c r="F89" i="42"/>
  <c r="D89" i="42"/>
  <c r="BA88" i="42"/>
  <c r="AZ88" i="42"/>
  <c r="AY88" i="42"/>
  <c r="AX88" i="42"/>
  <c r="AW88" i="42"/>
  <c r="AV88" i="42"/>
  <c r="AU88" i="42"/>
  <c r="AT88" i="42"/>
  <c r="AS88" i="42"/>
  <c r="AR88" i="42"/>
  <c r="AQ88" i="42"/>
  <c r="AP88" i="42"/>
  <c r="AO88" i="42"/>
  <c r="AN88" i="42"/>
  <c r="AM88" i="42"/>
  <c r="AL88" i="42"/>
  <c r="AH88" i="42"/>
  <c r="Z88" i="42"/>
  <c r="X88" i="42"/>
  <c r="V88" i="42"/>
  <c r="S88" i="42"/>
  <c r="T88" i="42" s="1"/>
  <c r="AK88" i="42" s="1"/>
  <c r="N88" i="42"/>
  <c r="K88" i="42"/>
  <c r="L88" i="42" s="1"/>
  <c r="H88" i="42"/>
  <c r="F88" i="42"/>
  <c r="D88" i="42"/>
  <c r="BA87" i="42"/>
  <c r="AZ87" i="42"/>
  <c r="AY87" i="42"/>
  <c r="AX87" i="42"/>
  <c r="AW87" i="42"/>
  <c r="AV87" i="42"/>
  <c r="AU87" i="42"/>
  <c r="AT87" i="42"/>
  <c r="AS87" i="42"/>
  <c r="AR87" i="42"/>
  <c r="AQ87" i="42"/>
  <c r="AP87" i="42"/>
  <c r="AO87" i="42"/>
  <c r="AN87" i="42"/>
  <c r="AM87" i="42"/>
  <c r="AL87" i="42"/>
  <c r="AH87" i="42"/>
  <c r="Z87" i="42"/>
  <c r="X87" i="42"/>
  <c r="V87" i="42"/>
  <c r="S87" i="42"/>
  <c r="T87" i="42" s="1"/>
  <c r="AK87" i="42" s="1"/>
  <c r="N87" i="42"/>
  <c r="K87" i="42"/>
  <c r="L87" i="42" s="1"/>
  <c r="H87" i="42"/>
  <c r="F87" i="42"/>
  <c r="D87" i="42"/>
  <c r="BA86" i="42"/>
  <c r="AZ86" i="42"/>
  <c r="AY86" i="42"/>
  <c r="AX86" i="42"/>
  <c r="AW86" i="42"/>
  <c r="AV86" i="42"/>
  <c r="AU86" i="42"/>
  <c r="AT86" i="42"/>
  <c r="AS86" i="42"/>
  <c r="AR86" i="42"/>
  <c r="AQ86" i="42"/>
  <c r="AP86" i="42"/>
  <c r="AO86" i="42"/>
  <c r="AN86" i="42"/>
  <c r="AM86" i="42"/>
  <c r="AL86" i="42"/>
  <c r="AH86" i="42"/>
  <c r="Z86" i="42"/>
  <c r="X86" i="42"/>
  <c r="V86" i="42"/>
  <c r="S86" i="42"/>
  <c r="T86" i="42" s="1"/>
  <c r="AK86" i="42" s="1"/>
  <c r="N86" i="42"/>
  <c r="K86" i="42"/>
  <c r="L86" i="42" s="1"/>
  <c r="H86" i="42"/>
  <c r="F86" i="42"/>
  <c r="D86" i="42"/>
  <c r="BA85" i="42"/>
  <c r="AZ85" i="42"/>
  <c r="AY85" i="42"/>
  <c r="AX85" i="42"/>
  <c r="AW85" i="42"/>
  <c r="AV85" i="42"/>
  <c r="AU85" i="42"/>
  <c r="AT85" i="42"/>
  <c r="AS85" i="42"/>
  <c r="AR85" i="42"/>
  <c r="AQ85" i="42"/>
  <c r="AP85" i="42"/>
  <c r="AO85" i="42"/>
  <c r="AN85" i="42"/>
  <c r="AM85" i="42"/>
  <c r="AL85" i="42"/>
  <c r="AH85" i="42"/>
  <c r="Z85" i="42"/>
  <c r="X85" i="42"/>
  <c r="V85" i="42"/>
  <c r="S85" i="42"/>
  <c r="T85" i="42" s="1"/>
  <c r="AK85" i="42" s="1"/>
  <c r="N85" i="42"/>
  <c r="K85" i="42"/>
  <c r="L85" i="42" s="1"/>
  <c r="H85" i="42"/>
  <c r="F85" i="42"/>
  <c r="D85" i="42"/>
  <c r="BA84" i="42"/>
  <c r="AZ84" i="42"/>
  <c r="AY84" i="42"/>
  <c r="AX84" i="42"/>
  <c r="AW84" i="42"/>
  <c r="AV84" i="42"/>
  <c r="AU84" i="42"/>
  <c r="AT84" i="42"/>
  <c r="AS84" i="42"/>
  <c r="AR84" i="42"/>
  <c r="AQ84" i="42"/>
  <c r="AP84" i="42"/>
  <c r="AO84" i="42"/>
  <c r="AN84" i="42"/>
  <c r="AM84" i="42"/>
  <c r="AL84" i="42"/>
  <c r="AH84" i="42"/>
  <c r="Z84" i="42"/>
  <c r="X84" i="42"/>
  <c r="V84" i="42"/>
  <c r="S84" i="42"/>
  <c r="T84" i="42" s="1"/>
  <c r="AK84" i="42" s="1"/>
  <c r="N84" i="42"/>
  <c r="K84" i="42"/>
  <c r="L84" i="42" s="1"/>
  <c r="H84" i="42"/>
  <c r="F84" i="42"/>
  <c r="D84" i="42"/>
  <c r="BA83" i="42"/>
  <c r="AZ83" i="42"/>
  <c r="AY83" i="42"/>
  <c r="AX83" i="42"/>
  <c r="AW83" i="42"/>
  <c r="AV83" i="42"/>
  <c r="AU83" i="42"/>
  <c r="AT83" i="42"/>
  <c r="AS83" i="42"/>
  <c r="AR83" i="42"/>
  <c r="AQ83" i="42"/>
  <c r="AP83" i="42"/>
  <c r="AO83" i="42"/>
  <c r="AN83" i="42"/>
  <c r="AM83" i="42"/>
  <c r="AL83" i="42"/>
  <c r="AH83" i="42"/>
  <c r="Z83" i="42"/>
  <c r="X83" i="42"/>
  <c r="V83" i="42"/>
  <c r="S83" i="42"/>
  <c r="T83" i="42" s="1"/>
  <c r="AK83" i="42" s="1"/>
  <c r="N83" i="42"/>
  <c r="K83" i="42"/>
  <c r="L83" i="42" s="1"/>
  <c r="H83" i="42"/>
  <c r="F83" i="42"/>
  <c r="D83" i="42"/>
  <c r="BA82" i="42"/>
  <c r="AZ82" i="42"/>
  <c r="AY82" i="42"/>
  <c r="AX82" i="42"/>
  <c r="AW82" i="42"/>
  <c r="AV82" i="42"/>
  <c r="AU82" i="42"/>
  <c r="AT82" i="42"/>
  <c r="AS82" i="42"/>
  <c r="AR82" i="42"/>
  <c r="AQ82" i="42"/>
  <c r="AP82" i="42"/>
  <c r="AO82" i="42"/>
  <c r="AN82" i="42"/>
  <c r="AM82" i="42"/>
  <c r="AL82" i="42"/>
  <c r="AH82" i="42"/>
  <c r="Z82" i="42"/>
  <c r="X82" i="42"/>
  <c r="V82" i="42"/>
  <c r="S82" i="42"/>
  <c r="T82" i="42" s="1"/>
  <c r="AK82" i="42" s="1"/>
  <c r="N82" i="42"/>
  <c r="K82" i="42"/>
  <c r="L82" i="42" s="1"/>
  <c r="H82" i="42"/>
  <c r="F82" i="42"/>
  <c r="D82" i="42"/>
  <c r="BA81" i="42"/>
  <c r="AZ81" i="42"/>
  <c r="AY81" i="42"/>
  <c r="AX81" i="42"/>
  <c r="AW81" i="42"/>
  <c r="AV81" i="42"/>
  <c r="AU81" i="42"/>
  <c r="AT81" i="42"/>
  <c r="AS81" i="42"/>
  <c r="AR81" i="42"/>
  <c r="AQ81" i="42"/>
  <c r="AP81" i="42"/>
  <c r="AO81" i="42"/>
  <c r="AN81" i="42"/>
  <c r="AM81" i="42"/>
  <c r="AL81" i="42"/>
  <c r="AH81" i="42"/>
  <c r="Z81" i="42"/>
  <c r="X81" i="42"/>
  <c r="V81" i="42"/>
  <c r="S81" i="42"/>
  <c r="T81" i="42" s="1"/>
  <c r="AK81" i="42" s="1"/>
  <c r="N81" i="42"/>
  <c r="K81" i="42"/>
  <c r="L81" i="42" s="1"/>
  <c r="H81" i="42"/>
  <c r="F81" i="42"/>
  <c r="D81" i="42"/>
  <c r="BA80" i="42"/>
  <c r="AZ80" i="42"/>
  <c r="AY80" i="42"/>
  <c r="AX80" i="42"/>
  <c r="AW80" i="42"/>
  <c r="AV80" i="42"/>
  <c r="AU80" i="42"/>
  <c r="AT80" i="42"/>
  <c r="AS80" i="42"/>
  <c r="AR80" i="42"/>
  <c r="AQ80" i="42"/>
  <c r="AP80" i="42"/>
  <c r="AO80" i="42"/>
  <c r="AN80" i="42"/>
  <c r="AM80" i="42"/>
  <c r="AL80" i="42"/>
  <c r="AH80" i="42"/>
  <c r="Z80" i="42"/>
  <c r="X80" i="42"/>
  <c r="V80" i="42"/>
  <c r="S80" i="42"/>
  <c r="T80" i="42" s="1"/>
  <c r="AK80" i="42" s="1"/>
  <c r="N80" i="42"/>
  <c r="K80" i="42"/>
  <c r="L80" i="42" s="1"/>
  <c r="H80" i="42"/>
  <c r="F80" i="42"/>
  <c r="D80" i="42"/>
  <c r="BA79" i="42"/>
  <c r="AZ79" i="42"/>
  <c r="AY79" i="42"/>
  <c r="AX79" i="42"/>
  <c r="AW79" i="42"/>
  <c r="AV79" i="42"/>
  <c r="AU79" i="42"/>
  <c r="AT79" i="42"/>
  <c r="AS79" i="42"/>
  <c r="AR79" i="42"/>
  <c r="AQ79" i="42"/>
  <c r="AP79" i="42"/>
  <c r="AO79" i="42"/>
  <c r="AN79" i="42"/>
  <c r="AM79" i="42"/>
  <c r="AL79" i="42"/>
  <c r="AH79" i="42"/>
  <c r="Z79" i="42"/>
  <c r="X79" i="42"/>
  <c r="V79" i="42"/>
  <c r="S79" i="42"/>
  <c r="T79" i="42" s="1"/>
  <c r="AK79" i="42" s="1"/>
  <c r="N79" i="42"/>
  <c r="K79" i="42"/>
  <c r="L79" i="42" s="1"/>
  <c r="H79" i="42"/>
  <c r="F79" i="42"/>
  <c r="D79" i="42"/>
  <c r="BA78" i="42"/>
  <c r="AZ78" i="42"/>
  <c r="AY78" i="42"/>
  <c r="AX78" i="42"/>
  <c r="AW78" i="42"/>
  <c r="AV78" i="42"/>
  <c r="AU78" i="42"/>
  <c r="AT78" i="42"/>
  <c r="AS78" i="42"/>
  <c r="AR78" i="42"/>
  <c r="AQ78" i="42"/>
  <c r="AP78" i="42"/>
  <c r="AO78" i="42"/>
  <c r="AN78" i="42"/>
  <c r="AM78" i="42"/>
  <c r="AL78" i="42"/>
  <c r="AH78" i="42"/>
  <c r="Z78" i="42"/>
  <c r="X78" i="42"/>
  <c r="V78" i="42"/>
  <c r="S78" i="42"/>
  <c r="T78" i="42" s="1"/>
  <c r="AK78" i="42" s="1"/>
  <c r="N78" i="42"/>
  <c r="K78" i="42"/>
  <c r="L78" i="42" s="1"/>
  <c r="H78" i="42"/>
  <c r="F78" i="42"/>
  <c r="D78" i="42"/>
  <c r="BA77" i="42"/>
  <c r="AZ77" i="42"/>
  <c r="AY77" i="42"/>
  <c r="AX77" i="42"/>
  <c r="AW77" i="42"/>
  <c r="AV77" i="42"/>
  <c r="AU77" i="42"/>
  <c r="AT77" i="42"/>
  <c r="AS77" i="42"/>
  <c r="AR77" i="42"/>
  <c r="AQ77" i="42"/>
  <c r="AP77" i="42"/>
  <c r="AO77" i="42"/>
  <c r="AN77" i="42"/>
  <c r="AM77" i="42"/>
  <c r="AL77" i="42"/>
  <c r="AH77" i="42"/>
  <c r="Z77" i="42"/>
  <c r="X77" i="42"/>
  <c r="V77" i="42"/>
  <c r="S77" i="42"/>
  <c r="T77" i="42" s="1"/>
  <c r="AK77" i="42" s="1"/>
  <c r="N77" i="42"/>
  <c r="K77" i="42"/>
  <c r="L77" i="42" s="1"/>
  <c r="H77" i="42"/>
  <c r="F77" i="42"/>
  <c r="D77" i="42"/>
  <c r="BA76" i="42"/>
  <c r="AZ76" i="42"/>
  <c r="AY76" i="42"/>
  <c r="AX76" i="42"/>
  <c r="AW76" i="42"/>
  <c r="AV76" i="42"/>
  <c r="AU76" i="42"/>
  <c r="AT76" i="42"/>
  <c r="AS76" i="42"/>
  <c r="AR76" i="42"/>
  <c r="AQ76" i="42"/>
  <c r="AP76" i="42"/>
  <c r="AO76" i="42"/>
  <c r="AN76" i="42"/>
  <c r="AM76" i="42"/>
  <c r="AL76" i="42"/>
  <c r="AH76" i="42"/>
  <c r="Z76" i="42"/>
  <c r="X76" i="42"/>
  <c r="V76" i="42"/>
  <c r="S76" i="42"/>
  <c r="T76" i="42" s="1"/>
  <c r="AK76" i="42" s="1"/>
  <c r="N76" i="42"/>
  <c r="K76" i="42"/>
  <c r="L76" i="42" s="1"/>
  <c r="H76" i="42"/>
  <c r="F76" i="42"/>
  <c r="D76" i="42"/>
  <c r="BA75" i="42"/>
  <c r="AZ75" i="42"/>
  <c r="AY75" i="42"/>
  <c r="AX75" i="42"/>
  <c r="AW75" i="42"/>
  <c r="AV75" i="42"/>
  <c r="AU75" i="42"/>
  <c r="AT75" i="42"/>
  <c r="AS75" i="42"/>
  <c r="AR75" i="42"/>
  <c r="AQ75" i="42"/>
  <c r="AP75" i="42"/>
  <c r="AO75" i="42"/>
  <c r="AN75" i="42"/>
  <c r="AM75" i="42"/>
  <c r="AL75" i="42"/>
  <c r="AH75" i="42"/>
  <c r="Z75" i="42"/>
  <c r="X75" i="42"/>
  <c r="V75" i="42"/>
  <c r="S75" i="42"/>
  <c r="T75" i="42" s="1"/>
  <c r="AK75" i="42" s="1"/>
  <c r="N75" i="42"/>
  <c r="K75" i="42"/>
  <c r="L75" i="42" s="1"/>
  <c r="H75" i="42"/>
  <c r="F75" i="42"/>
  <c r="D75" i="42"/>
  <c r="BA74" i="42"/>
  <c r="AZ74" i="42"/>
  <c r="AY74" i="42"/>
  <c r="AX74" i="42"/>
  <c r="AW74" i="42"/>
  <c r="AV74" i="42"/>
  <c r="AU74" i="42"/>
  <c r="AT74" i="42"/>
  <c r="AS74" i="42"/>
  <c r="AR74" i="42"/>
  <c r="AQ74" i="42"/>
  <c r="AP74" i="42"/>
  <c r="AO74" i="42"/>
  <c r="AN74" i="42"/>
  <c r="AM74" i="42"/>
  <c r="AL74" i="42"/>
  <c r="AH74" i="42"/>
  <c r="Z74" i="42"/>
  <c r="X74" i="42"/>
  <c r="V74" i="42"/>
  <c r="S74" i="42"/>
  <c r="T74" i="42" s="1"/>
  <c r="AK74" i="42" s="1"/>
  <c r="N74" i="42"/>
  <c r="K74" i="42"/>
  <c r="L74" i="42" s="1"/>
  <c r="H74" i="42"/>
  <c r="F74" i="42"/>
  <c r="D74" i="42"/>
  <c r="BA73" i="42"/>
  <c r="AZ73" i="42"/>
  <c r="AY73" i="42"/>
  <c r="AX73" i="42"/>
  <c r="AW73" i="42"/>
  <c r="AV73" i="42"/>
  <c r="AU73" i="42"/>
  <c r="AT73" i="42"/>
  <c r="AS73" i="42"/>
  <c r="AR73" i="42"/>
  <c r="AQ73" i="42"/>
  <c r="AP73" i="42"/>
  <c r="AO73" i="42"/>
  <c r="AN73" i="42"/>
  <c r="AM73" i="42"/>
  <c r="AL73" i="42"/>
  <c r="AH73" i="42"/>
  <c r="Z73" i="42"/>
  <c r="X73" i="42"/>
  <c r="V73" i="42"/>
  <c r="S73" i="42"/>
  <c r="T73" i="42" s="1"/>
  <c r="AK73" i="42" s="1"/>
  <c r="N73" i="42"/>
  <c r="K73" i="42"/>
  <c r="L73" i="42" s="1"/>
  <c r="H73" i="42"/>
  <c r="F73" i="42"/>
  <c r="D73" i="42"/>
  <c r="BA72" i="42"/>
  <c r="AZ72" i="42"/>
  <c r="AY72" i="42"/>
  <c r="AX72" i="42"/>
  <c r="AW72" i="42"/>
  <c r="AV72" i="42"/>
  <c r="AU72" i="42"/>
  <c r="AT72" i="42"/>
  <c r="AS72" i="42"/>
  <c r="AR72" i="42"/>
  <c r="AQ72" i="42"/>
  <c r="AP72" i="42"/>
  <c r="AO72" i="42"/>
  <c r="AN72" i="42"/>
  <c r="AM72" i="42"/>
  <c r="AL72" i="42"/>
  <c r="AH72" i="42"/>
  <c r="Z72" i="42"/>
  <c r="X72" i="42"/>
  <c r="V72" i="42"/>
  <c r="S72" i="42"/>
  <c r="T72" i="42" s="1"/>
  <c r="AK72" i="42" s="1"/>
  <c r="N72" i="42"/>
  <c r="K72" i="42"/>
  <c r="L72" i="42" s="1"/>
  <c r="H72" i="42"/>
  <c r="F72" i="42"/>
  <c r="D72" i="42"/>
  <c r="BA71" i="42"/>
  <c r="AZ71" i="42"/>
  <c r="AY71" i="42"/>
  <c r="AX71" i="42"/>
  <c r="AW71" i="42"/>
  <c r="AV71" i="42"/>
  <c r="AU71" i="42"/>
  <c r="AT71" i="42"/>
  <c r="AS71" i="42"/>
  <c r="AR71" i="42"/>
  <c r="AQ71" i="42"/>
  <c r="AP71" i="42"/>
  <c r="AO71" i="42"/>
  <c r="AN71" i="42"/>
  <c r="AM71" i="42"/>
  <c r="AL71" i="42"/>
  <c r="AH71" i="42"/>
  <c r="Z71" i="42"/>
  <c r="X71" i="42"/>
  <c r="V71" i="42"/>
  <c r="S71" i="42"/>
  <c r="T71" i="42" s="1"/>
  <c r="AK71" i="42" s="1"/>
  <c r="N71" i="42"/>
  <c r="K71" i="42"/>
  <c r="L71" i="42" s="1"/>
  <c r="H71" i="42"/>
  <c r="F71" i="42"/>
  <c r="D71" i="42"/>
  <c r="BA70" i="42"/>
  <c r="AZ70" i="42"/>
  <c r="AY70" i="42"/>
  <c r="AX70" i="42"/>
  <c r="AW70" i="42"/>
  <c r="AV70" i="42"/>
  <c r="AU70" i="42"/>
  <c r="AT70" i="42"/>
  <c r="AS70" i="42"/>
  <c r="AR70" i="42"/>
  <c r="AQ70" i="42"/>
  <c r="AP70" i="42"/>
  <c r="AO70" i="42"/>
  <c r="AN70" i="42"/>
  <c r="AM70" i="42"/>
  <c r="AL70" i="42"/>
  <c r="AH70" i="42"/>
  <c r="Z70" i="42"/>
  <c r="X70" i="42"/>
  <c r="V70" i="42"/>
  <c r="S70" i="42"/>
  <c r="T70" i="42" s="1"/>
  <c r="AK70" i="42" s="1"/>
  <c r="N70" i="42"/>
  <c r="K70" i="42"/>
  <c r="L70" i="42" s="1"/>
  <c r="H70" i="42"/>
  <c r="F70" i="42"/>
  <c r="D70" i="42"/>
  <c r="BA69" i="42"/>
  <c r="AZ69" i="42"/>
  <c r="AY69" i="42"/>
  <c r="AX69" i="42"/>
  <c r="AW69" i="42"/>
  <c r="AV69" i="42"/>
  <c r="AU69" i="42"/>
  <c r="AT69" i="42"/>
  <c r="AS69" i="42"/>
  <c r="AR69" i="42"/>
  <c r="AQ69" i="42"/>
  <c r="AP69" i="42"/>
  <c r="AO69" i="42"/>
  <c r="AN69" i="42"/>
  <c r="AM69" i="42"/>
  <c r="AL69" i="42"/>
  <c r="AH69" i="42"/>
  <c r="Z69" i="42"/>
  <c r="X69" i="42"/>
  <c r="V69" i="42"/>
  <c r="S69" i="42"/>
  <c r="T69" i="42" s="1"/>
  <c r="AK69" i="42" s="1"/>
  <c r="N69" i="42"/>
  <c r="K69" i="42"/>
  <c r="L69" i="42" s="1"/>
  <c r="H69" i="42"/>
  <c r="F69" i="42"/>
  <c r="D69" i="42"/>
  <c r="BA68" i="42"/>
  <c r="AZ68" i="42"/>
  <c r="AY68" i="42"/>
  <c r="AX68" i="42"/>
  <c r="AW68" i="42"/>
  <c r="AV68" i="42"/>
  <c r="AU68" i="42"/>
  <c r="AT68" i="42"/>
  <c r="AS68" i="42"/>
  <c r="AR68" i="42"/>
  <c r="AQ68" i="42"/>
  <c r="AP68" i="42"/>
  <c r="AO68" i="42"/>
  <c r="AN68" i="42"/>
  <c r="AM68" i="42"/>
  <c r="AL68" i="42"/>
  <c r="AH68" i="42"/>
  <c r="Z68" i="42"/>
  <c r="X68" i="42"/>
  <c r="V68" i="42"/>
  <c r="S68" i="42"/>
  <c r="T68" i="42" s="1"/>
  <c r="AK68" i="42" s="1"/>
  <c r="N68" i="42"/>
  <c r="K68" i="42"/>
  <c r="L68" i="42" s="1"/>
  <c r="H68" i="42"/>
  <c r="F68" i="42"/>
  <c r="D68" i="42"/>
  <c r="BA67" i="42"/>
  <c r="AZ67" i="42"/>
  <c r="AY67" i="42"/>
  <c r="AX67" i="42"/>
  <c r="AW67" i="42"/>
  <c r="AV67" i="42"/>
  <c r="AU67" i="42"/>
  <c r="AT67" i="42"/>
  <c r="AS67" i="42"/>
  <c r="AR67" i="42"/>
  <c r="AQ67" i="42"/>
  <c r="AP67" i="42"/>
  <c r="AO67" i="42"/>
  <c r="AN67" i="42"/>
  <c r="AM67" i="42"/>
  <c r="AL67" i="42"/>
  <c r="AH67" i="42"/>
  <c r="Z67" i="42"/>
  <c r="X67" i="42"/>
  <c r="V67" i="42"/>
  <c r="S67" i="42"/>
  <c r="T67" i="42" s="1"/>
  <c r="AK67" i="42" s="1"/>
  <c r="N67" i="42"/>
  <c r="K67" i="42"/>
  <c r="L67" i="42" s="1"/>
  <c r="H67" i="42"/>
  <c r="F67" i="42"/>
  <c r="D67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H66" i="42"/>
  <c r="Z66" i="42"/>
  <c r="X66" i="42"/>
  <c r="V66" i="42"/>
  <c r="S66" i="42"/>
  <c r="T66" i="42" s="1"/>
  <c r="AK66" i="42" s="1"/>
  <c r="N66" i="42"/>
  <c r="K66" i="42"/>
  <c r="L66" i="42" s="1"/>
  <c r="H66" i="42"/>
  <c r="F66" i="42"/>
  <c r="D66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H65" i="42"/>
  <c r="Z65" i="42"/>
  <c r="X65" i="42"/>
  <c r="V65" i="42"/>
  <c r="S65" i="42"/>
  <c r="T65" i="42" s="1"/>
  <c r="AK65" i="42" s="1"/>
  <c r="N65" i="42"/>
  <c r="K65" i="42"/>
  <c r="L65" i="42" s="1"/>
  <c r="H65" i="42"/>
  <c r="F65" i="42"/>
  <c r="D65" i="42"/>
  <c r="BA64" i="42"/>
  <c r="AZ64" i="42"/>
  <c r="AY64" i="42"/>
  <c r="AX64" i="42"/>
  <c r="AW64" i="42"/>
  <c r="AV64" i="42"/>
  <c r="AU64" i="42"/>
  <c r="AT64" i="42"/>
  <c r="AS64" i="42"/>
  <c r="AR64" i="42"/>
  <c r="AQ64" i="42"/>
  <c r="AP64" i="42"/>
  <c r="AO64" i="42"/>
  <c r="AN64" i="42"/>
  <c r="AM64" i="42"/>
  <c r="AL64" i="42"/>
  <c r="AH64" i="42"/>
  <c r="Z64" i="42"/>
  <c r="X64" i="42"/>
  <c r="V64" i="42"/>
  <c r="S64" i="42"/>
  <c r="T64" i="42" s="1"/>
  <c r="AK64" i="42" s="1"/>
  <c r="N64" i="42"/>
  <c r="K64" i="42"/>
  <c r="L64" i="42" s="1"/>
  <c r="H64" i="42"/>
  <c r="F64" i="42"/>
  <c r="D64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H63" i="42"/>
  <c r="Z63" i="42"/>
  <c r="X63" i="42"/>
  <c r="V63" i="42"/>
  <c r="S63" i="42"/>
  <c r="T63" i="42" s="1"/>
  <c r="AK63" i="42" s="1"/>
  <c r="N63" i="42"/>
  <c r="K63" i="42"/>
  <c r="L63" i="42" s="1"/>
  <c r="H63" i="42"/>
  <c r="F63" i="42"/>
  <c r="D63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H62" i="42"/>
  <c r="Z62" i="42"/>
  <c r="X62" i="42"/>
  <c r="V62" i="42"/>
  <c r="S62" i="42"/>
  <c r="T62" i="42" s="1"/>
  <c r="AK62" i="42" s="1"/>
  <c r="N62" i="42"/>
  <c r="K62" i="42"/>
  <c r="L62" i="42" s="1"/>
  <c r="H62" i="42"/>
  <c r="F62" i="42"/>
  <c r="D62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H61" i="42"/>
  <c r="Z61" i="42"/>
  <c r="X61" i="42"/>
  <c r="V61" i="42"/>
  <c r="S61" i="42"/>
  <c r="T61" i="42" s="1"/>
  <c r="AK61" i="42" s="1"/>
  <c r="N61" i="42"/>
  <c r="K61" i="42"/>
  <c r="L61" i="42" s="1"/>
  <c r="H61" i="42"/>
  <c r="F61" i="42"/>
  <c r="D61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H60" i="42"/>
  <c r="Z60" i="42"/>
  <c r="X60" i="42"/>
  <c r="V60" i="42"/>
  <c r="S60" i="42"/>
  <c r="T60" i="42" s="1"/>
  <c r="AK60" i="42" s="1"/>
  <c r="N60" i="42"/>
  <c r="K60" i="42"/>
  <c r="L60" i="42" s="1"/>
  <c r="H60" i="42"/>
  <c r="F60" i="42"/>
  <c r="D60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H59" i="42"/>
  <c r="Z59" i="42"/>
  <c r="X59" i="42"/>
  <c r="V59" i="42"/>
  <c r="S59" i="42"/>
  <c r="T59" i="42" s="1"/>
  <c r="AK59" i="42" s="1"/>
  <c r="N59" i="42"/>
  <c r="K59" i="42"/>
  <c r="L59" i="42" s="1"/>
  <c r="H59" i="42"/>
  <c r="F59" i="42"/>
  <c r="D59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H58" i="42"/>
  <c r="Z58" i="42"/>
  <c r="X58" i="42"/>
  <c r="V58" i="42"/>
  <c r="S58" i="42"/>
  <c r="T58" i="42" s="1"/>
  <c r="AK58" i="42" s="1"/>
  <c r="N58" i="42"/>
  <c r="K58" i="42"/>
  <c r="L58" i="42" s="1"/>
  <c r="H58" i="42"/>
  <c r="F58" i="42"/>
  <c r="D58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H57" i="42"/>
  <c r="Z57" i="42"/>
  <c r="X57" i="42"/>
  <c r="V57" i="42"/>
  <c r="S57" i="42"/>
  <c r="T57" i="42" s="1"/>
  <c r="AK57" i="42" s="1"/>
  <c r="N57" i="42"/>
  <c r="K57" i="42"/>
  <c r="L57" i="42" s="1"/>
  <c r="H57" i="42"/>
  <c r="F57" i="42"/>
  <c r="D57" i="42"/>
  <c r="BA56" i="42"/>
  <c r="AZ56" i="42"/>
  <c r="AY56" i="42"/>
  <c r="AX56" i="42"/>
  <c r="AW56" i="42"/>
  <c r="AV56" i="42"/>
  <c r="AU56" i="42"/>
  <c r="AT56" i="42"/>
  <c r="AS56" i="42"/>
  <c r="AR56" i="42"/>
  <c r="AQ56" i="42"/>
  <c r="AP56" i="42"/>
  <c r="AO56" i="42"/>
  <c r="AN56" i="42"/>
  <c r="AM56" i="42"/>
  <c r="AL56" i="42"/>
  <c r="AH56" i="42"/>
  <c r="Z56" i="42"/>
  <c r="X56" i="42"/>
  <c r="V56" i="42"/>
  <c r="S56" i="42"/>
  <c r="T56" i="42" s="1"/>
  <c r="AK56" i="42" s="1"/>
  <c r="N56" i="42"/>
  <c r="K56" i="42"/>
  <c r="L56" i="42" s="1"/>
  <c r="H56" i="42"/>
  <c r="F56" i="42"/>
  <c r="D56" i="42"/>
  <c r="BA55" i="42"/>
  <c r="AZ55" i="42"/>
  <c r="AY55" i="42"/>
  <c r="AX55" i="42"/>
  <c r="AW55" i="42"/>
  <c r="AV55" i="42"/>
  <c r="AU55" i="42"/>
  <c r="AT55" i="42"/>
  <c r="AS55" i="42"/>
  <c r="AR55" i="42"/>
  <c r="AQ55" i="42"/>
  <c r="AP55" i="42"/>
  <c r="AO55" i="42"/>
  <c r="AN55" i="42"/>
  <c r="AM55" i="42"/>
  <c r="AL55" i="42"/>
  <c r="AH55" i="42"/>
  <c r="Z55" i="42"/>
  <c r="X55" i="42"/>
  <c r="V55" i="42"/>
  <c r="S55" i="42"/>
  <c r="T55" i="42" s="1"/>
  <c r="AK55" i="42" s="1"/>
  <c r="N55" i="42"/>
  <c r="K55" i="42"/>
  <c r="L55" i="42" s="1"/>
  <c r="H55" i="42"/>
  <c r="F55" i="42"/>
  <c r="D55" i="42"/>
  <c r="BA54" i="42"/>
  <c r="AZ54" i="42"/>
  <c r="AY54" i="42"/>
  <c r="AX54" i="42"/>
  <c r="AW54" i="42"/>
  <c r="AV54" i="42"/>
  <c r="AU54" i="42"/>
  <c r="AT54" i="42"/>
  <c r="AS54" i="42"/>
  <c r="AR54" i="42"/>
  <c r="AQ54" i="42"/>
  <c r="AP54" i="42"/>
  <c r="AO54" i="42"/>
  <c r="AN54" i="42"/>
  <c r="AM54" i="42"/>
  <c r="AL54" i="42"/>
  <c r="AH54" i="42"/>
  <c r="Z54" i="42"/>
  <c r="X54" i="42"/>
  <c r="V54" i="42"/>
  <c r="S54" i="42"/>
  <c r="T54" i="42" s="1"/>
  <c r="AK54" i="42" s="1"/>
  <c r="N54" i="42"/>
  <c r="K54" i="42"/>
  <c r="L54" i="42" s="1"/>
  <c r="H54" i="42"/>
  <c r="F54" i="42"/>
  <c r="D54" i="42"/>
  <c r="BA53" i="42"/>
  <c r="AZ53" i="42"/>
  <c r="AY53" i="42"/>
  <c r="AX53" i="42"/>
  <c r="AW53" i="42"/>
  <c r="AV53" i="42"/>
  <c r="AU53" i="42"/>
  <c r="AT53" i="42"/>
  <c r="AS53" i="42"/>
  <c r="AR53" i="42"/>
  <c r="AQ53" i="42"/>
  <c r="AP53" i="42"/>
  <c r="AO53" i="42"/>
  <c r="AN53" i="42"/>
  <c r="AM53" i="42"/>
  <c r="AL53" i="42"/>
  <c r="AH53" i="42"/>
  <c r="Z53" i="42"/>
  <c r="X53" i="42"/>
  <c r="V53" i="42"/>
  <c r="S53" i="42"/>
  <c r="T53" i="42" s="1"/>
  <c r="AK53" i="42" s="1"/>
  <c r="N53" i="42"/>
  <c r="K53" i="42"/>
  <c r="L53" i="42" s="1"/>
  <c r="H53" i="42"/>
  <c r="F53" i="42"/>
  <c r="D53" i="42"/>
  <c r="BA52" i="42"/>
  <c r="AZ52" i="42"/>
  <c r="AY52" i="42"/>
  <c r="AX52" i="42"/>
  <c r="AW52" i="42"/>
  <c r="AV52" i="42"/>
  <c r="AU52" i="42"/>
  <c r="AT52" i="42"/>
  <c r="AS52" i="42"/>
  <c r="AR52" i="42"/>
  <c r="AQ52" i="42"/>
  <c r="AP52" i="42"/>
  <c r="AO52" i="42"/>
  <c r="AN52" i="42"/>
  <c r="AM52" i="42"/>
  <c r="AL52" i="42"/>
  <c r="AH52" i="42"/>
  <c r="Z52" i="42"/>
  <c r="X52" i="42"/>
  <c r="V52" i="42"/>
  <c r="S52" i="42"/>
  <c r="T52" i="42" s="1"/>
  <c r="AK52" i="42" s="1"/>
  <c r="N52" i="42"/>
  <c r="K52" i="42"/>
  <c r="L52" i="42" s="1"/>
  <c r="H52" i="42"/>
  <c r="F52" i="42"/>
  <c r="D52" i="42"/>
  <c r="BA51" i="42"/>
  <c r="AZ51" i="42"/>
  <c r="AY51" i="42"/>
  <c r="AX51" i="42"/>
  <c r="AW51" i="42"/>
  <c r="AV51" i="42"/>
  <c r="AU51" i="42"/>
  <c r="AT51" i="42"/>
  <c r="AS51" i="42"/>
  <c r="AR51" i="42"/>
  <c r="AQ51" i="42"/>
  <c r="AP51" i="42"/>
  <c r="AO51" i="42"/>
  <c r="AN51" i="42"/>
  <c r="AM51" i="42"/>
  <c r="AL51" i="42"/>
  <c r="AH51" i="42"/>
  <c r="Z51" i="42"/>
  <c r="X51" i="42"/>
  <c r="V51" i="42"/>
  <c r="S51" i="42"/>
  <c r="T51" i="42" s="1"/>
  <c r="AK51" i="42" s="1"/>
  <c r="N51" i="42"/>
  <c r="K51" i="42"/>
  <c r="L51" i="42" s="1"/>
  <c r="H51" i="42"/>
  <c r="F51" i="42"/>
  <c r="D51" i="42"/>
  <c r="BA50" i="42"/>
  <c r="AZ50" i="42"/>
  <c r="AY50" i="42"/>
  <c r="AX50" i="42"/>
  <c r="AW50" i="42"/>
  <c r="AV50" i="42"/>
  <c r="AU50" i="42"/>
  <c r="AT50" i="42"/>
  <c r="AS50" i="42"/>
  <c r="AR50" i="42"/>
  <c r="AQ50" i="42"/>
  <c r="AP50" i="42"/>
  <c r="AO50" i="42"/>
  <c r="AN50" i="42"/>
  <c r="AM50" i="42"/>
  <c r="AL50" i="42"/>
  <c r="AH50" i="42"/>
  <c r="Z50" i="42"/>
  <c r="X50" i="42"/>
  <c r="V50" i="42"/>
  <c r="S50" i="42"/>
  <c r="T50" i="42" s="1"/>
  <c r="AK50" i="42" s="1"/>
  <c r="N50" i="42"/>
  <c r="K50" i="42"/>
  <c r="L50" i="42" s="1"/>
  <c r="H50" i="42"/>
  <c r="F50" i="42"/>
  <c r="D50" i="42"/>
  <c r="BA49" i="42"/>
  <c r="AZ49" i="42"/>
  <c r="AY49" i="42"/>
  <c r="AX49" i="42"/>
  <c r="AW49" i="42"/>
  <c r="AV49" i="42"/>
  <c r="AU49" i="42"/>
  <c r="AT49" i="42"/>
  <c r="AS49" i="42"/>
  <c r="AR49" i="42"/>
  <c r="AQ49" i="42"/>
  <c r="AP49" i="42"/>
  <c r="AO49" i="42"/>
  <c r="AN49" i="42"/>
  <c r="AM49" i="42"/>
  <c r="AL49" i="42"/>
  <c r="AH49" i="42"/>
  <c r="Z49" i="42"/>
  <c r="X49" i="42"/>
  <c r="V49" i="42"/>
  <c r="S49" i="42"/>
  <c r="T49" i="42" s="1"/>
  <c r="AK49" i="42" s="1"/>
  <c r="N49" i="42"/>
  <c r="K49" i="42"/>
  <c r="L49" i="42" s="1"/>
  <c r="H49" i="42"/>
  <c r="F49" i="42"/>
  <c r="D49" i="42"/>
  <c r="BA48" i="42"/>
  <c r="AZ48" i="42"/>
  <c r="AY48" i="42"/>
  <c r="AX48" i="42"/>
  <c r="AW48" i="42"/>
  <c r="AV48" i="42"/>
  <c r="AU48" i="42"/>
  <c r="AT48" i="42"/>
  <c r="AS48" i="42"/>
  <c r="AR48" i="42"/>
  <c r="AQ48" i="42"/>
  <c r="AP48" i="42"/>
  <c r="AO48" i="42"/>
  <c r="AN48" i="42"/>
  <c r="AM48" i="42"/>
  <c r="AL48" i="42"/>
  <c r="AH48" i="42"/>
  <c r="Z48" i="42"/>
  <c r="X48" i="42"/>
  <c r="V48" i="42"/>
  <c r="S48" i="42"/>
  <c r="T48" i="42" s="1"/>
  <c r="AK48" i="42" s="1"/>
  <c r="N48" i="42"/>
  <c r="K48" i="42"/>
  <c r="L48" i="42" s="1"/>
  <c r="H48" i="42"/>
  <c r="F48" i="42"/>
  <c r="D48" i="42"/>
  <c r="BA47" i="42"/>
  <c r="AZ47" i="42"/>
  <c r="AY47" i="42"/>
  <c r="AX47" i="42"/>
  <c r="AW47" i="42"/>
  <c r="AV47" i="42"/>
  <c r="AU47" i="42"/>
  <c r="AT47" i="42"/>
  <c r="AS47" i="42"/>
  <c r="AR47" i="42"/>
  <c r="AQ47" i="42"/>
  <c r="AP47" i="42"/>
  <c r="AO47" i="42"/>
  <c r="AN47" i="42"/>
  <c r="AM47" i="42"/>
  <c r="AL47" i="42"/>
  <c r="AH47" i="42"/>
  <c r="Z47" i="42"/>
  <c r="X47" i="42"/>
  <c r="V47" i="42"/>
  <c r="S47" i="42"/>
  <c r="T47" i="42" s="1"/>
  <c r="AK47" i="42" s="1"/>
  <c r="N47" i="42"/>
  <c r="K47" i="42"/>
  <c r="L47" i="42" s="1"/>
  <c r="H47" i="42"/>
  <c r="F47" i="42"/>
  <c r="D47" i="42"/>
  <c r="BA46" i="42"/>
  <c r="AZ46" i="42"/>
  <c r="AY46" i="42"/>
  <c r="AX46" i="42"/>
  <c r="AW46" i="42"/>
  <c r="AV46" i="42"/>
  <c r="AU46" i="42"/>
  <c r="AT46" i="42"/>
  <c r="AS46" i="42"/>
  <c r="AR46" i="42"/>
  <c r="AQ46" i="42"/>
  <c r="AP46" i="42"/>
  <c r="AO46" i="42"/>
  <c r="AN46" i="42"/>
  <c r="AM46" i="42"/>
  <c r="AL46" i="42"/>
  <c r="AH46" i="42"/>
  <c r="Z46" i="42"/>
  <c r="X46" i="42"/>
  <c r="V46" i="42"/>
  <c r="S46" i="42"/>
  <c r="T46" i="42" s="1"/>
  <c r="AK46" i="42" s="1"/>
  <c r="N46" i="42"/>
  <c r="K46" i="42"/>
  <c r="L46" i="42" s="1"/>
  <c r="H46" i="42"/>
  <c r="F46" i="42"/>
  <c r="D46" i="42"/>
  <c r="BA45" i="42"/>
  <c r="AZ45" i="42"/>
  <c r="AY45" i="42"/>
  <c r="AX45" i="42"/>
  <c r="AW45" i="42"/>
  <c r="AV45" i="42"/>
  <c r="AU45" i="42"/>
  <c r="AT45" i="42"/>
  <c r="AS45" i="42"/>
  <c r="AR45" i="42"/>
  <c r="AQ45" i="42"/>
  <c r="AP45" i="42"/>
  <c r="AO45" i="42"/>
  <c r="AN45" i="42"/>
  <c r="AM45" i="42"/>
  <c r="AL45" i="42"/>
  <c r="AH45" i="42"/>
  <c r="Z45" i="42"/>
  <c r="X45" i="42"/>
  <c r="V45" i="42"/>
  <c r="S45" i="42"/>
  <c r="T45" i="42" s="1"/>
  <c r="AK45" i="42" s="1"/>
  <c r="N45" i="42"/>
  <c r="K45" i="42"/>
  <c r="L45" i="42" s="1"/>
  <c r="H45" i="42"/>
  <c r="F45" i="42"/>
  <c r="D45" i="42"/>
  <c r="BA44" i="42"/>
  <c r="AZ44" i="42"/>
  <c r="AY44" i="42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H44" i="42"/>
  <c r="Z44" i="42"/>
  <c r="X44" i="42"/>
  <c r="V44" i="42"/>
  <c r="S44" i="42"/>
  <c r="T44" i="42" s="1"/>
  <c r="AK44" i="42" s="1"/>
  <c r="N44" i="42"/>
  <c r="K44" i="42"/>
  <c r="L44" i="42" s="1"/>
  <c r="H44" i="42"/>
  <c r="F44" i="42"/>
  <c r="D44" i="42"/>
  <c r="BA43" i="42"/>
  <c r="AZ43" i="42"/>
  <c r="AY43" i="42"/>
  <c r="AX43" i="42"/>
  <c r="AW43" i="42"/>
  <c r="AV43" i="42"/>
  <c r="AU43" i="42"/>
  <c r="AT43" i="42"/>
  <c r="AS43" i="42"/>
  <c r="AR43" i="42"/>
  <c r="AQ43" i="42"/>
  <c r="AP43" i="42"/>
  <c r="AO43" i="42"/>
  <c r="AN43" i="42"/>
  <c r="AM43" i="42"/>
  <c r="AL43" i="42"/>
  <c r="AH43" i="42"/>
  <c r="Z43" i="42"/>
  <c r="X43" i="42"/>
  <c r="V43" i="42"/>
  <c r="S43" i="42"/>
  <c r="T43" i="42" s="1"/>
  <c r="AK43" i="42" s="1"/>
  <c r="N43" i="42"/>
  <c r="K43" i="42"/>
  <c r="L43" i="42" s="1"/>
  <c r="H43" i="42"/>
  <c r="F43" i="42"/>
  <c r="D43" i="42"/>
  <c r="BA42" i="42"/>
  <c r="AZ42" i="42"/>
  <c r="AY42" i="42"/>
  <c r="AX42" i="42"/>
  <c r="AW42" i="42"/>
  <c r="AV42" i="42"/>
  <c r="AU42" i="42"/>
  <c r="AT42" i="42"/>
  <c r="AS42" i="42"/>
  <c r="AR42" i="42"/>
  <c r="AQ42" i="42"/>
  <c r="AP42" i="42"/>
  <c r="AO42" i="42"/>
  <c r="AN42" i="42"/>
  <c r="AM42" i="42"/>
  <c r="AL42" i="42"/>
  <c r="AH42" i="42"/>
  <c r="Z42" i="42"/>
  <c r="X42" i="42"/>
  <c r="V42" i="42"/>
  <c r="S42" i="42"/>
  <c r="T42" i="42" s="1"/>
  <c r="AK42" i="42" s="1"/>
  <c r="N42" i="42"/>
  <c r="K42" i="42"/>
  <c r="L42" i="42" s="1"/>
  <c r="H42" i="42"/>
  <c r="F42" i="42"/>
  <c r="D42" i="42"/>
  <c r="BA41" i="42"/>
  <c r="AZ41" i="42"/>
  <c r="AY41" i="42"/>
  <c r="AX41" i="42"/>
  <c r="AW41" i="42"/>
  <c r="AV41" i="42"/>
  <c r="AU41" i="42"/>
  <c r="AT41" i="42"/>
  <c r="AS41" i="42"/>
  <c r="AR41" i="42"/>
  <c r="AQ41" i="42"/>
  <c r="AP41" i="42"/>
  <c r="AO41" i="42"/>
  <c r="AN41" i="42"/>
  <c r="AM41" i="42"/>
  <c r="AL41" i="42"/>
  <c r="AH41" i="42"/>
  <c r="Z41" i="42"/>
  <c r="X41" i="42"/>
  <c r="V41" i="42"/>
  <c r="S41" i="42"/>
  <c r="T41" i="42" s="1"/>
  <c r="AK41" i="42" s="1"/>
  <c r="N41" i="42"/>
  <c r="K41" i="42"/>
  <c r="L41" i="42" s="1"/>
  <c r="H41" i="42"/>
  <c r="F41" i="42"/>
  <c r="D41" i="42"/>
  <c r="BA40" i="42"/>
  <c r="AZ40" i="42"/>
  <c r="AY40" i="42"/>
  <c r="AX40" i="42"/>
  <c r="AW40" i="42"/>
  <c r="AV40" i="42"/>
  <c r="AU40" i="42"/>
  <c r="AT40" i="42"/>
  <c r="AS40" i="42"/>
  <c r="AR40" i="42"/>
  <c r="AQ40" i="42"/>
  <c r="AP40" i="42"/>
  <c r="AO40" i="42"/>
  <c r="AN40" i="42"/>
  <c r="AM40" i="42"/>
  <c r="AL40" i="42"/>
  <c r="AH40" i="42"/>
  <c r="Z40" i="42"/>
  <c r="X40" i="42"/>
  <c r="V40" i="42"/>
  <c r="S40" i="42"/>
  <c r="T40" i="42" s="1"/>
  <c r="AK40" i="42" s="1"/>
  <c r="N40" i="42"/>
  <c r="K40" i="42"/>
  <c r="L40" i="42" s="1"/>
  <c r="H40" i="42"/>
  <c r="F40" i="42"/>
  <c r="D40" i="42"/>
  <c r="BA39" i="42"/>
  <c r="AZ39" i="42"/>
  <c r="AY39" i="42"/>
  <c r="AX39" i="42"/>
  <c r="AW39" i="42"/>
  <c r="AV39" i="42"/>
  <c r="AU39" i="42"/>
  <c r="AT39" i="42"/>
  <c r="AS39" i="42"/>
  <c r="AR39" i="42"/>
  <c r="AQ39" i="42"/>
  <c r="AP39" i="42"/>
  <c r="AO39" i="42"/>
  <c r="AN39" i="42"/>
  <c r="AM39" i="42"/>
  <c r="AL39" i="42"/>
  <c r="AH39" i="42"/>
  <c r="Z39" i="42"/>
  <c r="X39" i="42"/>
  <c r="V39" i="42"/>
  <c r="S39" i="42"/>
  <c r="T39" i="42" s="1"/>
  <c r="AK39" i="42" s="1"/>
  <c r="N39" i="42"/>
  <c r="K39" i="42"/>
  <c r="L39" i="42" s="1"/>
  <c r="H39" i="42"/>
  <c r="F39" i="42"/>
  <c r="D39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H38" i="42"/>
  <c r="Z38" i="42"/>
  <c r="X38" i="42"/>
  <c r="V38" i="42"/>
  <c r="S38" i="42"/>
  <c r="T38" i="42" s="1"/>
  <c r="AK38" i="42" s="1"/>
  <c r="N38" i="42"/>
  <c r="K38" i="42"/>
  <c r="L38" i="42" s="1"/>
  <c r="H38" i="42"/>
  <c r="F38" i="42"/>
  <c r="D38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H37" i="42"/>
  <c r="Z37" i="42"/>
  <c r="X37" i="42"/>
  <c r="V37" i="42"/>
  <c r="S37" i="42"/>
  <c r="T37" i="42" s="1"/>
  <c r="AK37" i="42" s="1"/>
  <c r="N37" i="42"/>
  <c r="K37" i="42"/>
  <c r="L37" i="42" s="1"/>
  <c r="H37" i="42"/>
  <c r="F37" i="42"/>
  <c r="D37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H36" i="42"/>
  <c r="Z36" i="42"/>
  <c r="X36" i="42"/>
  <c r="V36" i="42"/>
  <c r="S36" i="42"/>
  <c r="T36" i="42" s="1"/>
  <c r="AK36" i="42" s="1"/>
  <c r="N36" i="42"/>
  <c r="K36" i="42"/>
  <c r="L36" i="42" s="1"/>
  <c r="H36" i="42"/>
  <c r="F36" i="42"/>
  <c r="D36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H35" i="42"/>
  <c r="Z35" i="42"/>
  <c r="X35" i="42"/>
  <c r="V35" i="42"/>
  <c r="S35" i="42"/>
  <c r="T35" i="42" s="1"/>
  <c r="AK35" i="42" s="1"/>
  <c r="N35" i="42"/>
  <c r="K35" i="42"/>
  <c r="L35" i="42" s="1"/>
  <c r="H35" i="42"/>
  <c r="F35" i="42"/>
  <c r="D35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H34" i="42"/>
  <c r="Z34" i="42"/>
  <c r="X34" i="42"/>
  <c r="V34" i="42"/>
  <c r="S34" i="42"/>
  <c r="T34" i="42" s="1"/>
  <c r="AK34" i="42" s="1"/>
  <c r="N34" i="42"/>
  <c r="K34" i="42"/>
  <c r="L34" i="42" s="1"/>
  <c r="H34" i="42"/>
  <c r="F34" i="42"/>
  <c r="D34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H33" i="42"/>
  <c r="Z33" i="42"/>
  <c r="X33" i="42"/>
  <c r="V33" i="42"/>
  <c r="S33" i="42"/>
  <c r="T33" i="42" s="1"/>
  <c r="AK33" i="42" s="1"/>
  <c r="N33" i="42"/>
  <c r="K33" i="42"/>
  <c r="L33" i="42" s="1"/>
  <c r="H33" i="42"/>
  <c r="F33" i="42"/>
  <c r="D33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H32" i="42"/>
  <c r="Z32" i="42"/>
  <c r="X32" i="42"/>
  <c r="V32" i="42"/>
  <c r="S32" i="42"/>
  <c r="T32" i="42" s="1"/>
  <c r="AK32" i="42" s="1"/>
  <c r="N32" i="42"/>
  <c r="K32" i="42"/>
  <c r="L32" i="42" s="1"/>
  <c r="H32" i="42"/>
  <c r="F32" i="42"/>
  <c r="D32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H31" i="42"/>
  <c r="Z31" i="42"/>
  <c r="X31" i="42"/>
  <c r="V31" i="42"/>
  <c r="S31" i="42"/>
  <c r="T31" i="42" s="1"/>
  <c r="AK31" i="42" s="1"/>
  <c r="N31" i="42"/>
  <c r="K31" i="42"/>
  <c r="L31" i="42" s="1"/>
  <c r="H31" i="42"/>
  <c r="F31" i="42"/>
  <c r="D31" i="42"/>
  <c r="BA30" i="42"/>
  <c r="AZ30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H30" i="42"/>
  <c r="Z30" i="42"/>
  <c r="X30" i="42"/>
  <c r="V30" i="42"/>
  <c r="S30" i="42"/>
  <c r="T30" i="42" s="1"/>
  <c r="AK30" i="42" s="1"/>
  <c r="N30" i="42"/>
  <c r="K30" i="42"/>
  <c r="L30" i="42" s="1"/>
  <c r="H30" i="42"/>
  <c r="F30" i="42"/>
  <c r="D30" i="42"/>
  <c r="BA29" i="42"/>
  <c r="AZ29" i="42"/>
  <c r="AY29" i="42"/>
  <c r="AX29" i="42"/>
  <c r="AW29" i="42"/>
  <c r="AV29" i="42"/>
  <c r="AU29" i="42"/>
  <c r="AT29" i="42"/>
  <c r="AS29" i="42"/>
  <c r="AR29" i="42"/>
  <c r="AQ29" i="42"/>
  <c r="AP29" i="42"/>
  <c r="AO29" i="42"/>
  <c r="AN29" i="42"/>
  <c r="AM29" i="42"/>
  <c r="AL29" i="42"/>
  <c r="AH29" i="42"/>
  <c r="Z29" i="42"/>
  <c r="X29" i="42"/>
  <c r="V29" i="42"/>
  <c r="S29" i="42"/>
  <c r="T29" i="42" s="1"/>
  <c r="AK29" i="42" s="1"/>
  <c r="N29" i="42"/>
  <c r="K29" i="42"/>
  <c r="L29" i="42" s="1"/>
  <c r="H29" i="42"/>
  <c r="F29" i="42"/>
  <c r="D29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H28" i="42"/>
  <c r="Z28" i="42"/>
  <c r="X28" i="42"/>
  <c r="V28" i="42"/>
  <c r="S28" i="42"/>
  <c r="T28" i="42" s="1"/>
  <c r="AK28" i="42" s="1"/>
  <c r="N28" i="42"/>
  <c r="K28" i="42"/>
  <c r="L28" i="42" s="1"/>
  <c r="H28" i="42"/>
  <c r="F28" i="42"/>
  <c r="D28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H27" i="42"/>
  <c r="Z27" i="42"/>
  <c r="X27" i="42"/>
  <c r="V27" i="42"/>
  <c r="S27" i="42"/>
  <c r="T27" i="42" s="1"/>
  <c r="AK27" i="42" s="1"/>
  <c r="N27" i="42"/>
  <c r="K27" i="42"/>
  <c r="L27" i="42" s="1"/>
  <c r="H27" i="42"/>
  <c r="F27" i="42"/>
  <c r="D27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H26" i="42"/>
  <c r="Z26" i="42"/>
  <c r="X26" i="42"/>
  <c r="V26" i="42"/>
  <c r="S26" i="42"/>
  <c r="T26" i="42" s="1"/>
  <c r="AK26" i="42" s="1"/>
  <c r="N26" i="42"/>
  <c r="K26" i="42"/>
  <c r="L26" i="42" s="1"/>
  <c r="H26" i="42"/>
  <c r="F26" i="42"/>
  <c r="D26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H25" i="42"/>
  <c r="Z25" i="42"/>
  <c r="X25" i="42"/>
  <c r="V25" i="42"/>
  <c r="S25" i="42"/>
  <c r="T25" i="42" s="1"/>
  <c r="AK25" i="42" s="1"/>
  <c r="N25" i="42"/>
  <c r="K25" i="42"/>
  <c r="L25" i="42" s="1"/>
  <c r="H25" i="42"/>
  <c r="F25" i="42"/>
  <c r="D25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H24" i="42"/>
  <c r="Z24" i="42"/>
  <c r="X24" i="42"/>
  <c r="V24" i="42"/>
  <c r="S24" i="42"/>
  <c r="T24" i="42" s="1"/>
  <c r="AK24" i="42" s="1"/>
  <c r="N24" i="42"/>
  <c r="K24" i="42"/>
  <c r="L24" i="42" s="1"/>
  <c r="H24" i="42"/>
  <c r="F24" i="42"/>
  <c r="D24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H23" i="42"/>
  <c r="Z23" i="42"/>
  <c r="X23" i="42"/>
  <c r="V23" i="42"/>
  <c r="S23" i="42"/>
  <c r="T23" i="42" s="1"/>
  <c r="AK23" i="42" s="1"/>
  <c r="N23" i="42"/>
  <c r="K23" i="42"/>
  <c r="L23" i="42" s="1"/>
  <c r="H23" i="42"/>
  <c r="F23" i="42"/>
  <c r="D23" i="42"/>
  <c r="BA22" i="42"/>
  <c r="AZ22" i="42"/>
  <c r="AY22" i="42"/>
  <c r="AX22" i="42"/>
  <c r="AW22" i="42"/>
  <c r="AV22" i="42"/>
  <c r="AU22" i="42"/>
  <c r="AT22" i="42"/>
  <c r="AS22" i="42"/>
  <c r="AR22" i="42"/>
  <c r="AQ22" i="42"/>
  <c r="AP22" i="42"/>
  <c r="AO22" i="42"/>
  <c r="AN22" i="42"/>
  <c r="AM22" i="42"/>
  <c r="AL22" i="42"/>
  <c r="AH22" i="42"/>
  <c r="Z22" i="42"/>
  <c r="X22" i="42"/>
  <c r="V22" i="42"/>
  <c r="S22" i="42"/>
  <c r="T22" i="42" s="1"/>
  <c r="AK22" i="42" s="1"/>
  <c r="N22" i="42"/>
  <c r="K22" i="42"/>
  <c r="L22" i="42" s="1"/>
  <c r="H22" i="42"/>
  <c r="F22" i="42"/>
  <c r="D22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H21" i="42"/>
  <c r="Z21" i="42"/>
  <c r="X21" i="42"/>
  <c r="V21" i="42"/>
  <c r="S21" i="42"/>
  <c r="T21" i="42" s="1"/>
  <c r="AK21" i="42" s="1"/>
  <c r="N21" i="42"/>
  <c r="K21" i="42"/>
  <c r="L21" i="42" s="1"/>
  <c r="H21" i="42"/>
  <c r="F21" i="42"/>
  <c r="D21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H20" i="42"/>
  <c r="Z20" i="42"/>
  <c r="X20" i="42"/>
  <c r="V20" i="42"/>
  <c r="S20" i="42"/>
  <c r="T20" i="42" s="1"/>
  <c r="AK20" i="42" s="1"/>
  <c r="N20" i="42"/>
  <c r="K20" i="42"/>
  <c r="L20" i="42" s="1"/>
  <c r="H20" i="42"/>
  <c r="F20" i="42"/>
  <c r="D20" i="42"/>
  <c r="BA19" i="42"/>
  <c r="AZ19" i="42"/>
  <c r="AY19" i="42"/>
  <c r="AX19" i="42"/>
  <c r="AW19" i="42"/>
  <c r="AV19" i="42"/>
  <c r="AU19" i="42"/>
  <c r="AT19" i="42"/>
  <c r="AS19" i="42"/>
  <c r="AR19" i="42"/>
  <c r="AQ19" i="42"/>
  <c r="AP19" i="42"/>
  <c r="AO19" i="42"/>
  <c r="AN19" i="42"/>
  <c r="AM19" i="42"/>
  <c r="AL19" i="42"/>
  <c r="AH19" i="42"/>
  <c r="Z19" i="42"/>
  <c r="X19" i="42"/>
  <c r="V19" i="42"/>
  <c r="S19" i="42"/>
  <c r="T19" i="42" s="1"/>
  <c r="AK19" i="42" s="1"/>
  <c r="N19" i="42"/>
  <c r="K19" i="42"/>
  <c r="L19" i="42" s="1"/>
  <c r="H19" i="42"/>
  <c r="F19" i="42"/>
  <c r="D19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H18" i="42"/>
  <c r="Z18" i="42"/>
  <c r="X18" i="42"/>
  <c r="V18" i="42"/>
  <c r="S18" i="42"/>
  <c r="T18" i="42" s="1"/>
  <c r="AK18" i="42" s="1"/>
  <c r="N18" i="42"/>
  <c r="K18" i="42"/>
  <c r="L18" i="42" s="1"/>
  <c r="H18" i="42"/>
  <c r="F18" i="42"/>
  <c r="D18" i="42"/>
  <c r="BA17" i="42"/>
  <c r="AZ17" i="42"/>
  <c r="AY17" i="42"/>
  <c r="AX17" i="42"/>
  <c r="AW17" i="42"/>
  <c r="AV17" i="42"/>
  <c r="AU17" i="42"/>
  <c r="AT17" i="42"/>
  <c r="AS17" i="42"/>
  <c r="AR17" i="42"/>
  <c r="AQ17" i="42"/>
  <c r="AP17" i="42"/>
  <c r="AO17" i="42"/>
  <c r="AN17" i="42"/>
  <c r="AM17" i="42"/>
  <c r="AL17" i="42"/>
  <c r="AH17" i="42"/>
  <c r="Z17" i="42"/>
  <c r="X17" i="42"/>
  <c r="V17" i="42"/>
  <c r="S17" i="42"/>
  <c r="T17" i="42" s="1"/>
  <c r="AK17" i="42" s="1"/>
  <c r="N17" i="42"/>
  <c r="K17" i="42"/>
  <c r="L17" i="42" s="1"/>
  <c r="H17" i="42"/>
  <c r="F17" i="42"/>
  <c r="D17" i="42"/>
  <c r="BA16" i="42"/>
  <c r="AZ16" i="42"/>
  <c r="AY16" i="42"/>
  <c r="AX16" i="42"/>
  <c r="AW16" i="42"/>
  <c r="AV16" i="42"/>
  <c r="AU16" i="42"/>
  <c r="AT16" i="42"/>
  <c r="AS16" i="42"/>
  <c r="AR16" i="42"/>
  <c r="AQ16" i="42"/>
  <c r="AP16" i="42"/>
  <c r="AO16" i="42"/>
  <c r="AN16" i="42"/>
  <c r="AM16" i="42"/>
  <c r="AL16" i="42"/>
  <c r="AH16" i="42"/>
  <c r="Z16" i="42"/>
  <c r="X16" i="42"/>
  <c r="V16" i="42"/>
  <c r="S16" i="42"/>
  <c r="T16" i="42" s="1"/>
  <c r="AK16" i="42" s="1"/>
  <c r="N16" i="42"/>
  <c r="K16" i="42"/>
  <c r="L16" i="42" s="1"/>
  <c r="H16" i="42"/>
  <c r="F16" i="42"/>
  <c r="D16" i="42"/>
  <c r="BA15" i="42"/>
  <c r="AZ15" i="42"/>
  <c r="AY15" i="42"/>
  <c r="AX15" i="42"/>
  <c r="AW15" i="42"/>
  <c r="AV15" i="42"/>
  <c r="AU15" i="42"/>
  <c r="AT15" i="42"/>
  <c r="AS15" i="42"/>
  <c r="AR15" i="42"/>
  <c r="AQ15" i="42"/>
  <c r="AP15" i="42"/>
  <c r="AO15" i="42"/>
  <c r="AN15" i="42"/>
  <c r="AM15" i="42"/>
  <c r="AL15" i="42"/>
  <c r="AH15" i="42"/>
  <c r="Z15" i="42"/>
  <c r="X15" i="42"/>
  <c r="V15" i="42"/>
  <c r="S15" i="42"/>
  <c r="T15" i="42" s="1"/>
  <c r="AK15" i="42" s="1"/>
  <c r="N15" i="42"/>
  <c r="K15" i="42"/>
  <c r="L15" i="42" s="1"/>
  <c r="H15" i="42"/>
  <c r="F15" i="42"/>
  <c r="D15" i="42"/>
  <c r="BA14" i="42"/>
  <c r="AZ14" i="42"/>
  <c r="AY14" i="42"/>
  <c r="AX14" i="42"/>
  <c r="AW14" i="42"/>
  <c r="AV14" i="42"/>
  <c r="AU14" i="42"/>
  <c r="AT14" i="42"/>
  <c r="AS14" i="42"/>
  <c r="AR14" i="42"/>
  <c r="AQ14" i="42"/>
  <c r="AP14" i="42"/>
  <c r="AO14" i="42"/>
  <c r="AN14" i="42"/>
  <c r="AM14" i="42"/>
  <c r="AL14" i="42"/>
  <c r="AH14" i="42"/>
  <c r="Z14" i="42"/>
  <c r="X14" i="42"/>
  <c r="V14" i="42"/>
  <c r="S14" i="42"/>
  <c r="T14" i="42" s="1"/>
  <c r="AK14" i="42" s="1"/>
  <c r="N14" i="42"/>
  <c r="K14" i="42"/>
  <c r="L14" i="42" s="1"/>
  <c r="H14" i="42"/>
  <c r="F14" i="42"/>
  <c r="D14" i="42"/>
  <c r="BA13" i="42"/>
  <c r="AZ13" i="42"/>
  <c r="AY13" i="42"/>
  <c r="AX13" i="42"/>
  <c r="AW13" i="42"/>
  <c r="AV13" i="42"/>
  <c r="AU13" i="42"/>
  <c r="AT13" i="42"/>
  <c r="AS13" i="42"/>
  <c r="AR13" i="42"/>
  <c r="AQ13" i="42"/>
  <c r="AP13" i="42"/>
  <c r="AO13" i="42"/>
  <c r="AN13" i="42"/>
  <c r="AM13" i="42"/>
  <c r="AL13" i="42"/>
  <c r="AH13" i="42"/>
  <c r="Z13" i="42"/>
  <c r="X13" i="42"/>
  <c r="V13" i="42"/>
  <c r="S13" i="42"/>
  <c r="T13" i="42" s="1"/>
  <c r="AK13" i="42" s="1"/>
  <c r="N13" i="42"/>
  <c r="K13" i="42"/>
  <c r="L13" i="42" s="1"/>
  <c r="H13" i="42"/>
  <c r="F13" i="42"/>
  <c r="D13" i="42"/>
  <c r="BA12" i="42"/>
  <c r="AZ12" i="42"/>
  <c r="AY12" i="42"/>
  <c r="AX12" i="42"/>
  <c r="AW12" i="42"/>
  <c r="AV12" i="42"/>
  <c r="AU12" i="42"/>
  <c r="AT12" i="42"/>
  <c r="AS12" i="42"/>
  <c r="AR12" i="42"/>
  <c r="AQ12" i="42"/>
  <c r="AP12" i="42"/>
  <c r="AO12" i="42"/>
  <c r="AN12" i="42"/>
  <c r="AM12" i="42"/>
  <c r="AL12" i="42"/>
  <c r="AH12" i="42"/>
  <c r="Z12" i="42"/>
  <c r="X12" i="42"/>
  <c r="V12" i="42"/>
  <c r="S12" i="42"/>
  <c r="T12" i="42" s="1"/>
  <c r="AK12" i="42" s="1"/>
  <c r="N12" i="42"/>
  <c r="K12" i="42"/>
  <c r="L12" i="42" s="1"/>
  <c r="H12" i="42"/>
  <c r="F12" i="42"/>
  <c r="D12" i="42"/>
  <c r="BA11" i="42"/>
  <c r="AZ11" i="42"/>
  <c r="AY11" i="42"/>
  <c r="AX11" i="42"/>
  <c r="AW11" i="42"/>
  <c r="AV11" i="42"/>
  <c r="AU11" i="42"/>
  <c r="AT11" i="42"/>
  <c r="AS11" i="42"/>
  <c r="AR11" i="42"/>
  <c r="AQ11" i="42"/>
  <c r="AP11" i="42"/>
  <c r="AO11" i="42"/>
  <c r="AN11" i="42"/>
  <c r="AM11" i="42"/>
  <c r="AL11" i="42"/>
  <c r="AH11" i="42"/>
  <c r="Z11" i="42"/>
  <c r="X11" i="42"/>
  <c r="V11" i="42"/>
  <c r="S11" i="42"/>
  <c r="T11" i="42" s="1"/>
  <c r="AK11" i="42" s="1"/>
  <c r="N11" i="42"/>
  <c r="K11" i="42"/>
  <c r="L11" i="42" s="1"/>
  <c r="H11" i="42"/>
  <c r="F11" i="42"/>
  <c r="D11" i="42"/>
  <c r="BA10" i="42"/>
  <c r="AZ10" i="42"/>
  <c r="AY10" i="42"/>
  <c r="AX10" i="42"/>
  <c r="AW10" i="42"/>
  <c r="AV10" i="42"/>
  <c r="AU10" i="42"/>
  <c r="AT10" i="42"/>
  <c r="AS10" i="42"/>
  <c r="AR10" i="42"/>
  <c r="AQ10" i="42"/>
  <c r="AP10" i="42"/>
  <c r="AO10" i="42"/>
  <c r="AN10" i="42"/>
  <c r="AM10" i="42"/>
  <c r="AL10" i="42"/>
  <c r="AH10" i="42"/>
  <c r="Z10" i="42"/>
  <c r="X10" i="42"/>
  <c r="V10" i="42"/>
  <c r="S10" i="42"/>
  <c r="T10" i="42" s="1"/>
  <c r="AK10" i="42" s="1"/>
  <c r="N10" i="42"/>
  <c r="K10" i="42"/>
  <c r="L10" i="42" s="1"/>
  <c r="H10" i="42"/>
  <c r="F10" i="42"/>
  <c r="D10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H9" i="42"/>
  <c r="Z9" i="42"/>
  <c r="X9" i="42"/>
  <c r="V9" i="42"/>
  <c r="S9" i="42"/>
  <c r="T9" i="42" s="1"/>
  <c r="AK9" i="42" s="1"/>
  <c r="N9" i="42"/>
  <c r="K9" i="42"/>
  <c r="L9" i="42" s="1"/>
  <c r="H9" i="42"/>
  <c r="F9" i="42"/>
  <c r="D9" i="42"/>
  <c r="BA8" i="42"/>
  <c r="AZ8" i="42"/>
  <c r="AY8" i="42"/>
  <c r="AX8" i="42"/>
  <c r="AW8" i="42"/>
  <c r="AV8" i="42"/>
  <c r="AU8" i="42"/>
  <c r="AT8" i="42"/>
  <c r="AS8" i="42"/>
  <c r="AR8" i="42"/>
  <c r="AQ8" i="42"/>
  <c r="AP8" i="42"/>
  <c r="AO8" i="42"/>
  <c r="AN8" i="42"/>
  <c r="AM8" i="42"/>
  <c r="AL8" i="42"/>
  <c r="AH8" i="42"/>
  <c r="Z8" i="42"/>
  <c r="X8" i="42"/>
  <c r="V8" i="42"/>
  <c r="S8" i="42"/>
  <c r="T8" i="42" s="1"/>
  <c r="AK8" i="42" s="1"/>
  <c r="N8" i="42"/>
  <c r="K8" i="42"/>
  <c r="L8" i="42" s="1"/>
  <c r="H8" i="42"/>
  <c r="F8" i="42"/>
  <c r="D8" i="42"/>
  <c r="BA7" i="42"/>
  <c r="AZ7" i="42"/>
  <c r="AY7" i="42"/>
  <c r="AX7" i="42"/>
  <c r="AW7" i="42"/>
  <c r="AV7" i="42"/>
  <c r="AU7" i="42"/>
  <c r="AT7" i="42"/>
  <c r="AS7" i="42"/>
  <c r="AR7" i="42"/>
  <c r="AQ7" i="42"/>
  <c r="AP7" i="42"/>
  <c r="AO7" i="42"/>
  <c r="AN7" i="42"/>
  <c r="AM7" i="42"/>
  <c r="AL7" i="42"/>
  <c r="AH7" i="42"/>
  <c r="Z7" i="42"/>
  <c r="X7" i="42"/>
  <c r="V7" i="42"/>
  <c r="S7" i="42"/>
  <c r="T7" i="42" s="1"/>
  <c r="AK7" i="42" s="1"/>
  <c r="N7" i="42"/>
  <c r="K7" i="42"/>
  <c r="L7" i="42" s="1"/>
  <c r="H7" i="42"/>
  <c r="F7" i="42"/>
  <c r="D7" i="42"/>
  <c r="BA6" i="42"/>
  <c r="AZ6" i="42"/>
  <c r="AY6" i="42"/>
  <c r="AX6" i="42"/>
  <c r="AW6" i="42"/>
  <c r="AV6" i="42"/>
  <c r="AU6" i="42"/>
  <c r="AT6" i="42"/>
  <c r="AS6" i="42"/>
  <c r="AR6" i="42"/>
  <c r="AQ6" i="42"/>
  <c r="AP6" i="42"/>
  <c r="AO6" i="42"/>
  <c r="AN6" i="42"/>
  <c r="AM6" i="42"/>
  <c r="AL6" i="42"/>
  <c r="AH6" i="42"/>
  <c r="Z6" i="42"/>
  <c r="X6" i="42"/>
  <c r="V6" i="42"/>
  <c r="S6" i="42"/>
  <c r="T6" i="42" s="1"/>
  <c r="AK6" i="42" s="1"/>
  <c r="N6" i="42"/>
  <c r="K6" i="42"/>
  <c r="L6" i="42" s="1"/>
  <c r="H6" i="42"/>
  <c r="F6" i="42"/>
  <c r="D6" i="42"/>
  <c r="BA5" i="42"/>
  <c r="AZ5" i="42"/>
  <c r="AY5" i="42"/>
  <c r="AX5" i="42"/>
  <c r="AW5" i="42"/>
  <c r="AV5" i="42"/>
  <c r="AU5" i="42"/>
  <c r="AT5" i="42"/>
  <c r="AS5" i="42"/>
  <c r="AR5" i="42"/>
  <c r="AQ5" i="42"/>
  <c r="AP5" i="42"/>
  <c r="AO5" i="42"/>
  <c r="AN5" i="42"/>
  <c r="AM5" i="42"/>
  <c r="AL5" i="42"/>
  <c r="AH5" i="42"/>
  <c r="Z5" i="42"/>
  <c r="X5" i="42"/>
  <c r="V5" i="42"/>
  <c r="S5" i="42"/>
  <c r="T5" i="42" s="1"/>
  <c r="AK5" i="42" s="1"/>
  <c r="N5" i="42"/>
  <c r="K5" i="42"/>
  <c r="L5" i="42" s="1"/>
  <c r="H5" i="42"/>
  <c r="F5" i="42"/>
  <c r="D5" i="42"/>
  <c r="BA4" i="42"/>
  <c r="AZ4" i="42"/>
  <c r="AY4" i="42"/>
  <c r="AX4" i="42"/>
  <c r="AW4" i="42"/>
  <c r="AV4" i="42"/>
  <c r="AU4" i="42"/>
  <c r="AT4" i="42"/>
  <c r="AS4" i="42"/>
  <c r="AR4" i="42"/>
  <c r="AQ4" i="42"/>
  <c r="AP4" i="42"/>
  <c r="AO4" i="42"/>
  <c r="AN4" i="42"/>
  <c r="AM4" i="42"/>
  <c r="AL4" i="42"/>
  <c r="AH4" i="42"/>
  <c r="Z4" i="42"/>
  <c r="X4" i="42"/>
  <c r="V4" i="42"/>
  <c r="S4" i="42"/>
  <c r="T4" i="42" s="1"/>
  <c r="AK4" i="42" s="1"/>
  <c r="N4" i="42"/>
  <c r="K4" i="42"/>
  <c r="L4" i="42" s="1"/>
  <c r="H4" i="42"/>
  <c r="F4" i="42"/>
  <c r="D4" i="42"/>
  <c r="BA3" i="42"/>
  <c r="AZ3" i="42"/>
  <c r="AY3" i="42"/>
  <c r="AX3" i="42"/>
  <c r="AW3" i="42"/>
  <c r="AV3" i="42"/>
  <c r="AU3" i="42"/>
  <c r="AT3" i="42"/>
  <c r="AS3" i="42"/>
  <c r="AR3" i="42"/>
  <c r="AQ3" i="42"/>
  <c r="AP3" i="42"/>
  <c r="AO3" i="42"/>
  <c r="AN3" i="42"/>
  <c r="AM3" i="42"/>
  <c r="AL3" i="42"/>
  <c r="AH3" i="42"/>
  <c r="Z3" i="42"/>
  <c r="X3" i="42"/>
  <c r="V3" i="42"/>
  <c r="S3" i="42"/>
  <c r="T3" i="42" s="1"/>
  <c r="AK3" i="42" s="1"/>
  <c r="N3" i="42"/>
  <c r="K3" i="42"/>
  <c r="L3" i="42" s="1"/>
  <c r="H3" i="42"/>
  <c r="F3" i="42"/>
  <c r="D3" i="42"/>
  <c r="BA2" i="42"/>
  <c r="AZ2" i="42"/>
  <c r="AY2" i="42"/>
  <c r="AX2" i="42"/>
  <c r="AW2" i="42"/>
  <c r="AV2" i="42"/>
  <c r="AU2" i="42"/>
  <c r="AT2" i="42"/>
  <c r="AS2" i="42"/>
  <c r="AR2" i="42"/>
  <c r="AQ2" i="42"/>
  <c r="AP2" i="42"/>
  <c r="AO2" i="42"/>
  <c r="AN2" i="42"/>
  <c r="AM2" i="42"/>
  <c r="AL2" i="42"/>
  <c r="AH2" i="42"/>
  <c r="Z2" i="42"/>
  <c r="X2" i="42"/>
  <c r="V2" i="42"/>
  <c r="S2" i="42"/>
  <c r="T2" i="42" s="1"/>
  <c r="AK2" i="42" s="1"/>
  <c r="N2" i="42"/>
  <c r="K2" i="42"/>
  <c r="L2" i="42" s="1"/>
  <c r="H2" i="42"/>
  <c r="F2" i="42"/>
  <c r="D2" i="42"/>
  <c r="BC490" i="41"/>
  <c r="BB490" i="41"/>
  <c r="BA490" i="41"/>
  <c r="AZ490" i="41"/>
  <c r="AY490" i="41"/>
  <c r="AX490" i="41"/>
  <c r="AW490" i="41"/>
  <c r="AV490" i="41"/>
  <c r="AU490" i="41"/>
  <c r="AT490" i="41"/>
  <c r="AS490" i="41"/>
  <c r="AR490" i="41"/>
  <c r="AQ490" i="41"/>
  <c r="AP490" i="41"/>
  <c r="AO490" i="41"/>
  <c r="AN490" i="41"/>
  <c r="AJ490" i="41"/>
  <c r="AE490" i="41"/>
  <c r="AF490" i="41" s="1"/>
  <c r="AB490" i="41"/>
  <c r="Z490" i="41"/>
  <c r="X490" i="41"/>
  <c r="U490" i="41"/>
  <c r="V490" i="41" s="1"/>
  <c r="AM490" i="41" s="1"/>
  <c r="R490" i="41"/>
  <c r="P490" i="41"/>
  <c r="M490" i="41"/>
  <c r="N490" i="41" s="1"/>
  <c r="I490" i="41"/>
  <c r="H490" i="41"/>
  <c r="F490" i="41"/>
  <c r="BC489" i="41"/>
  <c r="BB489" i="41"/>
  <c r="BA489" i="41"/>
  <c r="AZ489" i="41"/>
  <c r="AY489" i="41"/>
  <c r="AX489" i="41"/>
  <c r="AW489" i="41"/>
  <c r="AV489" i="41"/>
  <c r="AU489" i="41"/>
  <c r="AT489" i="41"/>
  <c r="AS489" i="41"/>
  <c r="AR489" i="41"/>
  <c r="AQ489" i="41"/>
  <c r="AP489" i="41"/>
  <c r="AO489" i="41"/>
  <c r="AN489" i="41"/>
  <c r="AJ489" i="41"/>
  <c r="AB489" i="41"/>
  <c r="Z489" i="41"/>
  <c r="X489" i="41"/>
  <c r="U489" i="41"/>
  <c r="V489" i="41" s="1"/>
  <c r="AM489" i="41" s="1"/>
  <c r="R489" i="41"/>
  <c r="P489" i="41"/>
  <c r="M489" i="41"/>
  <c r="N489" i="41" s="1"/>
  <c r="H489" i="41"/>
  <c r="F489" i="41"/>
  <c r="BC488" i="41"/>
  <c r="BB488" i="41"/>
  <c r="BA488" i="41"/>
  <c r="AZ488" i="41"/>
  <c r="AY488" i="41"/>
  <c r="AX488" i="41"/>
  <c r="AW488" i="41"/>
  <c r="AV488" i="41"/>
  <c r="AU488" i="41"/>
  <c r="AT488" i="41"/>
  <c r="AS488" i="41"/>
  <c r="AR488" i="41"/>
  <c r="AQ488" i="41"/>
  <c r="AP488" i="41"/>
  <c r="AO488" i="41"/>
  <c r="AN488" i="41"/>
  <c r="AJ488" i="41"/>
  <c r="AB488" i="41"/>
  <c r="Z488" i="41"/>
  <c r="X488" i="41"/>
  <c r="U488" i="41"/>
  <c r="V488" i="41" s="1"/>
  <c r="AM488" i="41" s="1"/>
  <c r="R488" i="41"/>
  <c r="P488" i="41"/>
  <c r="M488" i="41"/>
  <c r="N488" i="41" s="1"/>
  <c r="H488" i="41"/>
  <c r="F488" i="41"/>
  <c r="BC487" i="41"/>
  <c r="BB487" i="41"/>
  <c r="BA487" i="41"/>
  <c r="AZ487" i="41"/>
  <c r="AY487" i="41"/>
  <c r="AX487" i="41"/>
  <c r="AW487" i="41"/>
  <c r="AV487" i="41"/>
  <c r="AU487" i="41"/>
  <c r="AT487" i="41"/>
  <c r="AS487" i="41"/>
  <c r="AR487" i="41"/>
  <c r="AQ487" i="41"/>
  <c r="AP487" i="41"/>
  <c r="AO487" i="41"/>
  <c r="AN487" i="41"/>
  <c r="AJ487" i="41"/>
  <c r="AB487" i="41"/>
  <c r="Z487" i="41"/>
  <c r="X487" i="41"/>
  <c r="U487" i="41"/>
  <c r="V487" i="41" s="1"/>
  <c r="AM487" i="41" s="1"/>
  <c r="R487" i="41"/>
  <c r="P487" i="41"/>
  <c r="M487" i="41"/>
  <c r="N487" i="41" s="1"/>
  <c r="I487" i="41"/>
  <c r="H487" i="41"/>
  <c r="F487" i="41"/>
  <c r="BC486" i="41"/>
  <c r="BB486" i="41"/>
  <c r="BA486" i="41"/>
  <c r="AZ486" i="41"/>
  <c r="AY486" i="41"/>
  <c r="AX486" i="41"/>
  <c r="AW486" i="41"/>
  <c r="AV486" i="41"/>
  <c r="AU486" i="41"/>
  <c r="AT486" i="41"/>
  <c r="AS486" i="41"/>
  <c r="AR486" i="41"/>
  <c r="AQ486" i="41"/>
  <c r="AP486" i="41"/>
  <c r="AO486" i="41"/>
  <c r="AN486" i="41"/>
  <c r="AJ486" i="41"/>
  <c r="AB486" i="41"/>
  <c r="Z486" i="41"/>
  <c r="X486" i="41"/>
  <c r="U486" i="41"/>
  <c r="V486" i="41" s="1"/>
  <c r="AM486" i="41" s="1"/>
  <c r="R486" i="41"/>
  <c r="P486" i="41"/>
  <c r="M486" i="41"/>
  <c r="N486" i="41" s="1"/>
  <c r="H486" i="41"/>
  <c r="F486" i="41"/>
  <c r="BC485" i="41"/>
  <c r="BB485" i="41"/>
  <c r="BA485" i="41"/>
  <c r="AZ485" i="41"/>
  <c r="AY485" i="41"/>
  <c r="AX485" i="41"/>
  <c r="AW485" i="41"/>
  <c r="AV485" i="41"/>
  <c r="AU485" i="41"/>
  <c r="AT485" i="41"/>
  <c r="AS485" i="41"/>
  <c r="AR485" i="41"/>
  <c r="AQ485" i="41"/>
  <c r="AP485" i="41"/>
  <c r="AO485" i="41"/>
  <c r="AN485" i="41"/>
  <c r="AJ485" i="41"/>
  <c r="AB485" i="41"/>
  <c r="Z485" i="41"/>
  <c r="X485" i="41"/>
  <c r="U485" i="41"/>
  <c r="V485" i="41" s="1"/>
  <c r="AM485" i="41" s="1"/>
  <c r="R485" i="41"/>
  <c r="P485" i="41"/>
  <c r="M485" i="41"/>
  <c r="N485" i="41" s="1"/>
  <c r="I485" i="41"/>
  <c r="H485" i="41"/>
  <c r="F485" i="41"/>
  <c r="BC484" i="41"/>
  <c r="BB484" i="41"/>
  <c r="BA484" i="41"/>
  <c r="AZ484" i="41"/>
  <c r="AY484" i="41"/>
  <c r="AX484" i="41"/>
  <c r="AW484" i="41"/>
  <c r="AV484" i="41"/>
  <c r="AU484" i="41"/>
  <c r="AT484" i="41"/>
  <c r="AS484" i="41"/>
  <c r="AR484" i="41"/>
  <c r="AQ484" i="41"/>
  <c r="AP484" i="41"/>
  <c r="AO484" i="41"/>
  <c r="AN484" i="41"/>
  <c r="AJ484" i="41"/>
  <c r="AB484" i="41"/>
  <c r="Z484" i="41"/>
  <c r="X484" i="41"/>
  <c r="U484" i="41"/>
  <c r="V484" i="41" s="1"/>
  <c r="AM484" i="41" s="1"/>
  <c r="R484" i="41"/>
  <c r="P484" i="41"/>
  <c r="M484" i="41"/>
  <c r="N484" i="41" s="1"/>
  <c r="I484" i="41"/>
  <c r="H484" i="41"/>
  <c r="F484" i="41"/>
  <c r="BC483" i="41"/>
  <c r="BB483" i="41"/>
  <c r="BA483" i="41"/>
  <c r="AZ483" i="41"/>
  <c r="AY483" i="41"/>
  <c r="AX483" i="41"/>
  <c r="AW483" i="41"/>
  <c r="AV483" i="41"/>
  <c r="AU483" i="41"/>
  <c r="AT483" i="41"/>
  <c r="AS483" i="41"/>
  <c r="AR483" i="41"/>
  <c r="AQ483" i="41"/>
  <c r="AP483" i="41"/>
  <c r="AO483" i="41"/>
  <c r="AN483" i="41"/>
  <c r="AJ483" i="41"/>
  <c r="AB483" i="41"/>
  <c r="Z483" i="41"/>
  <c r="X483" i="41"/>
  <c r="U483" i="41"/>
  <c r="V483" i="41" s="1"/>
  <c r="AM483" i="41" s="1"/>
  <c r="R483" i="41"/>
  <c r="P483" i="41"/>
  <c r="M483" i="41"/>
  <c r="N483" i="41" s="1"/>
  <c r="I483" i="41"/>
  <c r="H483" i="41"/>
  <c r="F483" i="41"/>
  <c r="BC482" i="41"/>
  <c r="BB482" i="41"/>
  <c r="BA482" i="41"/>
  <c r="AZ482" i="41"/>
  <c r="AY482" i="41"/>
  <c r="AX482" i="41"/>
  <c r="AW482" i="41"/>
  <c r="AV482" i="41"/>
  <c r="AU482" i="41"/>
  <c r="AT482" i="41"/>
  <c r="AS482" i="41"/>
  <c r="AR482" i="41"/>
  <c r="AQ482" i="41"/>
  <c r="AP482" i="41"/>
  <c r="AO482" i="41"/>
  <c r="AN482" i="41"/>
  <c r="AJ482" i="41"/>
  <c r="AB482" i="41"/>
  <c r="Z482" i="41"/>
  <c r="X482" i="41"/>
  <c r="U482" i="41"/>
  <c r="V482" i="41" s="1"/>
  <c r="AM482" i="41" s="1"/>
  <c r="R482" i="41"/>
  <c r="P482" i="41"/>
  <c r="M482" i="41"/>
  <c r="N482" i="41" s="1"/>
  <c r="H482" i="41"/>
  <c r="F482" i="41"/>
  <c r="BC481" i="41"/>
  <c r="BB481" i="41"/>
  <c r="BA481" i="41"/>
  <c r="AZ481" i="41"/>
  <c r="AY481" i="41"/>
  <c r="AX481" i="41"/>
  <c r="AW481" i="41"/>
  <c r="AV481" i="41"/>
  <c r="AU481" i="41"/>
  <c r="AT481" i="41"/>
  <c r="AS481" i="41"/>
  <c r="AR481" i="41"/>
  <c r="AQ481" i="41"/>
  <c r="AP481" i="41"/>
  <c r="AO481" i="41"/>
  <c r="AN481" i="41"/>
  <c r="AJ481" i="41"/>
  <c r="AB481" i="41"/>
  <c r="Z481" i="41"/>
  <c r="X481" i="41"/>
  <c r="U481" i="41"/>
  <c r="V481" i="41" s="1"/>
  <c r="AM481" i="41" s="1"/>
  <c r="R481" i="41"/>
  <c r="P481" i="41"/>
  <c r="M481" i="41"/>
  <c r="N481" i="41" s="1"/>
  <c r="I481" i="41"/>
  <c r="H481" i="41"/>
  <c r="F481" i="41"/>
  <c r="BC480" i="41"/>
  <c r="BB480" i="41"/>
  <c r="BA480" i="41"/>
  <c r="AZ480" i="41"/>
  <c r="AY480" i="41"/>
  <c r="AX480" i="41"/>
  <c r="AW480" i="41"/>
  <c r="AV480" i="41"/>
  <c r="AU480" i="41"/>
  <c r="AT480" i="41"/>
  <c r="AS480" i="41"/>
  <c r="AR480" i="41"/>
  <c r="AQ480" i="41"/>
  <c r="AP480" i="41"/>
  <c r="AO480" i="41"/>
  <c r="AN480" i="41"/>
  <c r="AJ480" i="41"/>
  <c r="AB480" i="41"/>
  <c r="Z480" i="41"/>
  <c r="X480" i="41"/>
  <c r="U480" i="41"/>
  <c r="V480" i="41" s="1"/>
  <c r="AM480" i="41" s="1"/>
  <c r="R480" i="41"/>
  <c r="P480" i="41"/>
  <c r="M480" i="41"/>
  <c r="N480" i="41" s="1"/>
  <c r="I480" i="41"/>
  <c r="H480" i="41"/>
  <c r="F480" i="41"/>
  <c r="BC479" i="41"/>
  <c r="BB479" i="41"/>
  <c r="BA479" i="41"/>
  <c r="AZ479" i="41"/>
  <c r="AY479" i="41"/>
  <c r="AX479" i="41"/>
  <c r="AW479" i="41"/>
  <c r="AV479" i="41"/>
  <c r="AU479" i="41"/>
  <c r="AT479" i="41"/>
  <c r="AS479" i="41"/>
  <c r="AR479" i="41"/>
  <c r="AQ479" i="41"/>
  <c r="AP479" i="41"/>
  <c r="AO479" i="41"/>
  <c r="AN479" i="41"/>
  <c r="AJ479" i="41"/>
  <c r="AB479" i="41"/>
  <c r="Z479" i="41"/>
  <c r="X479" i="41"/>
  <c r="U479" i="41"/>
  <c r="V479" i="41" s="1"/>
  <c r="AM479" i="41" s="1"/>
  <c r="R479" i="41"/>
  <c r="P479" i="41"/>
  <c r="M479" i="41"/>
  <c r="N479" i="41" s="1"/>
  <c r="H479" i="41"/>
  <c r="F479" i="41"/>
  <c r="BC478" i="41"/>
  <c r="BB478" i="41"/>
  <c r="BA478" i="41"/>
  <c r="AZ478" i="41"/>
  <c r="AY478" i="41"/>
  <c r="AX478" i="41"/>
  <c r="AW478" i="41"/>
  <c r="AV478" i="41"/>
  <c r="AU478" i="41"/>
  <c r="AT478" i="41"/>
  <c r="AS478" i="41"/>
  <c r="AR478" i="41"/>
  <c r="AQ478" i="41"/>
  <c r="AP478" i="41"/>
  <c r="AO478" i="41"/>
  <c r="AN478" i="41"/>
  <c r="AJ478" i="41"/>
  <c r="AB478" i="41"/>
  <c r="Z478" i="41"/>
  <c r="X478" i="41"/>
  <c r="U478" i="41"/>
  <c r="V478" i="41" s="1"/>
  <c r="AM478" i="41" s="1"/>
  <c r="R478" i="41"/>
  <c r="P478" i="41"/>
  <c r="M478" i="41"/>
  <c r="N478" i="41" s="1"/>
  <c r="I478" i="41"/>
  <c r="H478" i="41"/>
  <c r="F478" i="41"/>
  <c r="BC477" i="41"/>
  <c r="BB477" i="41"/>
  <c r="BA477" i="41"/>
  <c r="AZ477" i="41"/>
  <c r="AY477" i="41"/>
  <c r="AX477" i="41"/>
  <c r="AW477" i="41"/>
  <c r="AV477" i="41"/>
  <c r="AU477" i="41"/>
  <c r="AT477" i="41"/>
  <c r="AS477" i="41"/>
  <c r="AR477" i="41"/>
  <c r="AQ477" i="41"/>
  <c r="AP477" i="41"/>
  <c r="AO477" i="41"/>
  <c r="AN477" i="41"/>
  <c r="AJ477" i="41"/>
  <c r="AB477" i="41"/>
  <c r="Z477" i="41"/>
  <c r="X477" i="41"/>
  <c r="U477" i="41"/>
  <c r="V477" i="41" s="1"/>
  <c r="AM477" i="41" s="1"/>
  <c r="R477" i="41"/>
  <c r="P477" i="41"/>
  <c r="M477" i="41"/>
  <c r="N477" i="41" s="1"/>
  <c r="H477" i="41"/>
  <c r="F477" i="41"/>
  <c r="BC476" i="41"/>
  <c r="BB476" i="41"/>
  <c r="BA476" i="41"/>
  <c r="AZ476" i="41"/>
  <c r="AY476" i="41"/>
  <c r="AX476" i="41"/>
  <c r="AW476" i="41"/>
  <c r="AV476" i="41"/>
  <c r="AU476" i="41"/>
  <c r="AT476" i="41"/>
  <c r="AS476" i="41"/>
  <c r="AR476" i="41"/>
  <c r="AQ476" i="41"/>
  <c r="AP476" i="41"/>
  <c r="AO476" i="41"/>
  <c r="AN476" i="41"/>
  <c r="AJ476" i="41"/>
  <c r="AB476" i="41"/>
  <c r="Z476" i="41"/>
  <c r="X476" i="41"/>
  <c r="U476" i="41"/>
  <c r="V476" i="41" s="1"/>
  <c r="AM476" i="41" s="1"/>
  <c r="R476" i="41"/>
  <c r="P476" i="41"/>
  <c r="M476" i="41"/>
  <c r="N476" i="41" s="1"/>
  <c r="I476" i="41"/>
  <c r="H476" i="41"/>
  <c r="F476" i="41"/>
  <c r="BC475" i="41"/>
  <c r="BB475" i="41"/>
  <c r="BA475" i="41"/>
  <c r="AZ475" i="41"/>
  <c r="AY475" i="41"/>
  <c r="AX475" i="41"/>
  <c r="AW475" i="41"/>
  <c r="AV475" i="41"/>
  <c r="AU475" i="41"/>
  <c r="AT475" i="41"/>
  <c r="AS475" i="41"/>
  <c r="AR475" i="41"/>
  <c r="AQ475" i="41"/>
  <c r="AP475" i="41"/>
  <c r="AO475" i="41"/>
  <c r="AN475" i="41"/>
  <c r="AJ475" i="41"/>
  <c r="AB475" i="41"/>
  <c r="Z475" i="41"/>
  <c r="X475" i="41"/>
  <c r="U475" i="41"/>
  <c r="V475" i="41" s="1"/>
  <c r="AM475" i="41" s="1"/>
  <c r="R475" i="41"/>
  <c r="P475" i="41"/>
  <c r="M475" i="41"/>
  <c r="N475" i="41" s="1"/>
  <c r="I475" i="41"/>
  <c r="H475" i="41"/>
  <c r="F475" i="41"/>
  <c r="BC474" i="41"/>
  <c r="BB474" i="41"/>
  <c r="BA474" i="41"/>
  <c r="AZ474" i="41"/>
  <c r="AY474" i="41"/>
  <c r="AX474" i="41"/>
  <c r="AW474" i="41"/>
  <c r="AV474" i="41"/>
  <c r="AU474" i="41"/>
  <c r="AT474" i="41"/>
  <c r="AS474" i="41"/>
  <c r="AR474" i="41"/>
  <c r="AQ474" i="41"/>
  <c r="AP474" i="41"/>
  <c r="AO474" i="41"/>
  <c r="AN474" i="41"/>
  <c r="AJ474" i="41"/>
  <c r="AB474" i="41"/>
  <c r="Z474" i="41"/>
  <c r="X474" i="41"/>
  <c r="U474" i="41"/>
  <c r="V474" i="41" s="1"/>
  <c r="AM474" i="41" s="1"/>
  <c r="R474" i="41"/>
  <c r="P474" i="41"/>
  <c r="M474" i="41"/>
  <c r="N474" i="41" s="1"/>
  <c r="I474" i="41"/>
  <c r="H474" i="41"/>
  <c r="F474" i="41"/>
  <c r="BC473" i="41"/>
  <c r="BB473" i="41"/>
  <c r="BA473" i="41"/>
  <c r="AZ473" i="41"/>
  <c r="AY473" i="41"/>
  <c r="AX473" i="41"/>
  <c r="AW473" i="41"/>
  <c r="AV473" i="41"/>
  <c r="AU473" i="41"/>
  <c r="AT473" i="41"/>
  <c r="AS473" i="41"/>
  <c r="AR473" i="41"/>
  <c r="AQ473" i="41"/>
  <c r="AP473" i="41"/>
  <c r="AO473" i="41"/>
  <c r="AN473" i="41"/>
  <c r="AJ473" i="41"/>
  <c r="AB473" i="41"/>
  <c r="Z473" i="41"/>
  <c r="X473" i="41"/>
  <c r="U473" i="41"/>
  <c r="V473" i="41" s="1"/>
  <c r="AM473" i="41" s="1"/>
  <c r="R473" i="41"/>
  <c r="P473" i="41"/>
  <c r="M473" i="41"/>
  <c r="N473" i="41" s="1"/>
  <c r="I473" i="41"/>
  <c r="H473" i="41"/>
  <c r="F473" i="41"/>
  <c r="BC472" i="41"/>
  <c r="BB472" i="41"/>
  <c r="BA472" i="41"/>
  <c r="AZ472" i="41"/>
  <c r="AY472" i="41"/>
  <c r="AX472" i="41"/>
  <c r="AW472" i="41"/>
  <c r="AV472" i="41"/>
  <c r="AU472" i="41"/>
  <c r="AT472" i="41"/>
  <c r="AS472" i="41"/>
  <c r="AR472" i="41"/>
  <c r="AQ472" i="41"/>
  <c r="AP472" i="41"/>
  <c r="AO472" i="41"/>
  <c r="AN472" i="41"/>
  <c r="AJ472" i="41"/>
  <c r="AB472" i="41"/>
  <c r="Z472" i="41"/>
  <c r="X472" i="41"/>
  <c r="U472" i="41"/>
  <c r="V472" i="41" s="1"/>
  <c r="AM472" i="41" s="1"/>
  <c r="R472" i="41"/>
  <c r="P472" i="41"/>
  <c r="M472" i="41"/>
  <c r="N472" i="41" s="1"/>
  <c r="I472" i="41"/>
  <c r="H472" i="41"/>
  <c r="F472" i="41"/>
  <c r="BC471" i="41"/>
  <c r="BB471" i="41"/>
  <c r="BA471" i="41"/>
  <c r="AZ471" i="41"/>
  <c r="AY471" i="41"/>
  <c r="AX471" i="41"/>
  <c r="AW471" i="41"/>
  <c r="AV471" i="41"/>
  <c r="AU471" i="41"/>
  <c r="AT471" i="41"/>
  <c r="AS471" i="41"/>
  <c r="AR471" i="41"/>
  <c r="AQ471" i="41"/>
  <c r="AP471" i="41"/>
  <c r="AO471" i="41"/>
  <c r="AN471" i="41"/>
  <c r="AJ471" i="41"/>
  <c r="AB471" i="41"/>
  <c r="Z471" i="41"/>
  <c r="X471" i="41"/>
  <c r="U471" i="41"/>
  <c r="V471" i="41" s="1"/>
  <c r="AM471" i="41" s="1"/>
  <c r="R471" i="41"/>
  <c r="P471" i="41"/>
  <c r="M471" i="41"/>
  <c r="N471" i="41" s="1"/>
  <c r="I471" i="41"/>
  <c r="H471" i="41"/>
  <c r="F471" i="41"/>
  <c r="BC470" i="41"/>
  <c r="BB470" i="41"/>
  <c r="BA470" i="41"/>
  <c r="AZ470" i="41"/>
  <c r="AY470" i="41"/>
  <c r="AX470" i="41"/>
  <c r="AW470" i="41"/>
  <c r="AV470" i="41"/>
  <c r="AU470" i="41"/>
  <c r="AT470" i="41"/>
  <c r="AS470" i="41"/>
  <c r="AR470" i="41"/>
  <c r="AQ470" i="41"/>
  <c r="AP470" i="41"/>
  <c r="AO470" i="41"/>
  <c r="AN470" i="41"/>
  <c r="AJ470" i="41"/>
  <c r="AB470" i="41"/>
  <c r="Z470" i="41"/>
  <c r="X470" i="41"/>
  <c r="U470" i="41"/>
  <c r="V470" i="41" s="1"/>
  <c r="AM470" i="41" s="1"/>
  <c r="R470" i="41"/>
  <c r="P470" i="41"/>
  <c r="M470" i="41"/>
  <c r="N470" i="41" s="1"/>
  <c r="I470" i="41"/>
  <c r="H470" i="41"/>
  <c r="F470" i="41"/>
  <c r="BC469" i="41"/>
  <c r="BB469" i="41"/>
  <c r="BA469" i="41"/>
  <c r="AZ469" i="41"/>
  <c r="AY469" i="41"/>
  <c r="AX469" i="41"/>
  <c r="AW469" i="41"/>
  <c r="AV469" i="41"/>
  <c r="AU469" i="41"/>
  <c r="AT469" i="41"/>
  <c r="AS469" i="41"/>
  <c r="AR469" i="41"/>
  <c r="AQ469" i="41"/>
  <c r="AP469" i="41"/>
  <c r="AO469" i="41"/>
  <c r="AN469" i="41"/>
  <c r="AJ469" i="41"/>
  <c r="AB469" i="41"/>
  <c r="Z469" i="41"/>
  <c r="X469" i="41"/>
  <c r="U469" i="41"/>
  <c r="V469" i="41" s="1"/>
  <c r="AM469" i="41" s="1"/>
  <c r="R469" i="41"/>
  <c r="P469" i="41"/>
  <c r="M469" i="41"/>
  <c r="N469" i="41" s="1"/>
  <c r="I469" i="41"/>
  <c r="H469" i="41"/>
  <c r="F469" i="41"/>
  <c r="BC468" i="41"/>
  <c r="BB468" i="41"/>
  <c r="BA468" i="41"/>
  <c r="AZ468" i="41"/>
  <c r="AY468" i="41"/>
  <c r="AX468" i="41"/>
  <c r="AW468" i="41"/>
  <c r="AV468" i="41"/>
  <c r="AU468" i="41"/>
  <c r="AT468" i="41"/>
  <c r="AS468" i="41"/>
  <c r="AR468" i="41"/>
  <c r="AQ468" i="41"/>
  <c r="AP468" i="41"/>
  <c r="AO468" i="41"/>
  <c r="AN468" i="41"/>
  <c r="AJ468" i="41"/>
  <c r="AB468" i="41"/>
  <c r="Z468" i="41"/>
  <c r="X468" i="41"/>
  <c r="U468" i="41"/>
  <c r="V468" i="41" s="1"/>
  <c r="AM468" i="41" s="1"/>
  <c r="R468" i="41"/>
  <c r="P468" i="41"/>
  <c r="M468" i="41"/>
  <c r="N468" i="41" s="1"/>
  <c r="I468" i="41"/>
  <c r="H468" i="41"/>
  <c r="F468" i="41"/>
  <c r="BC467" i="41"/>
  <c r="BB467" i="41"/>
  <c r="BA467" i="41"/>
  <c r="AZ467" i="41"/>
  <c r="AY467" i="41"/>
  <c r="AX467" i="41"/>
  <c r="AW467" i="41"/>
  <c r="AV467" i="41"/>
  <c r="AU467" i="41"/>
  <c r="AT467" i="41"/>
  <c r="AS467" i="41"/>
  <c r="AR467" i="41"/>
  <c r="AQ467" i="41"/>
  <c r="AP467" i="41"/>
  <c r="AO467" i="41"/>
  <c r="AN467" i="41"/>
  <c r="AJ467" i="41"/>
  <c r="AB467" i="41"/>
  <c r="Z467" i="41"/>
  <c r="X467" i="41"/>
  <c r="U467" i="41"/>
  <c r="V467" i="41" s="1"/>
  <c r="AM467" i="41" s="1"/>
  <c r="R467" i="41"/>
  <c r="P467" i="41"/>
  <c r="M467" i="41"/>
  <c r="N467" i="41" s="1"/>
  <c r="I467" i="41"/>
  <c r="H467" i="41"/>
  <c r="F467" i="41"/>
  <c r="BC466" i="41"/>
  <c r="BB466" i="41"/>
  <c r="BA466" i="41"/>
  <c r="AZ466" i="41"/>
  <c r="AY466" i="41"/>
  <c r="AX466" i="41"/>
  <c r="AW466" i="41"/>
  <c r="AV466" i="41"/>
  <c r="AU466" i="41"/>
  <c r="AT466" i="41"/>
  <c r="AS466" i="41"/>
  <c r="AR466" i="41"/>
  <c r="AQ466" i="41"/>
  <c r="AP466" i="41"/>
  <c r="AO466" i="41"/>
  <c r="AN466" i="41"/>
  <c r="AJ466" i="41"/>
  <c r="AB466" i="41"/>
  <c r="Z466" i="41"/>
  <c r="X466" i="41"/>
  <c r="U466" i="41"/>
  <c r="V466" i="41" s="1"/>
  <c r="AM466" i="41" s="1"/>
  <c r="R466" i="41"/>
  <c r="P466" i="41"/>
  <c r="M466" i="41"/>
  <c r="N466" i="41" s="1"/>
  <c r="I466" i="41"/>
  <c r="H466" i="41"/>
  <c r="F466" i="41"/>
  <c r="BC465" i="41"/>
  <c r="BB465" i="41"/>
  <c r="BA465" i="41"/>
  <c r="AZ465" i="41"/>
  <c r="AY465" i="41"/>
  <c r="AX465" i="41"/>
  <c r="AW465" i="41"/>
  <c r="AV465" i="41"/>
  <c r="AU465" i="41"/>
  <c r="AT465" i="41"/>
  <c r="AS465" i="41"/>
  <c r="AR465" i="41"/>
  <c r="AQ465" i="41"/>
  <c r="AP465" i="41"/>
  <c r="AO465" i="41"/>
  <c r="AN465" i="41"/>
  <c r="AJ465" i="41"/>
  <c r="AB465" i="41"/>
  <c r="Z465" i="41"/>
  <c r="X465" i="41"/>
  <c r="U465" i="41"/>
  <c r="V465" i="41" s="1"/>
  <c r="AM465" i="41" s="1"/>
  <c r="R465" i="41"/>
  <c r="P465" i="41"/>
  <c r="M465" i="41"/>
  <c r="N465" i="41" s="1"/>
  <c r="I465" i="41"/>
  <c r="H465" i="41"/>
  <c r="F465" i="41"/>
  <c r="BC464" i="41"/>
  <c r="BB464" i="41"/>
  <c r="BA464" i="41"/>
  <c r="AZ464" i="41"/>
  <c r="AY464" i="41"/>
  <c r="AX464" i="41"/>
  <c r="AW464" i="41"/>
  <c r="AV464" i="41"/>
  <c r="AU464" i="41"/>
  <c r="AT464" i="41"/>
  <c r="AS464" i="41"/>
  <c r="AR464" i="41"/>
  <c r="AQ464" i="41"/>
  <c r="AP464" i="41"/>
  <c r="AO464" i="41"/>
  <c r="AN464" i="41"/>
  <c r="AJ464" i="41"/>
  <c r="AB464" i="41"/>
  <c r="Z464" i="41"/>
  <c r="X464" i="41"/>
  <c r="U464" i="41"/>
  <c r="V464" i="41" s="1"/>
  <c r="AM464" i="41" s="1"/>
  <c r="R464" i="41"/>
  <c r="P464" i="41"/>
  <c r="M464" i="41"/>
  <c r="N464" i="41" s="1"/>
  <c r="I464" i="41"/>
  <c r="H464" i="41"/>
  <c r="F464" i="41"/>
  <c r="BC463" i="41"/>
  <c r="BB463" i="41"/>
  <c r="BA463" i="41"/>
  <c r="AZ463" i="41"/>
  <c r="AY463" i="41"/>
  <c r="AX463" i="41"/>
  <c r="AW463" i="41"/>
  <c r="AV463" i="41"/>
  <c r="AU463" i="41"/>
  <c r="AT463" i="41"/>
  <c r="AS463" i="41"/>
  <c r="AR463" i="41"/>
  <c r="AQ463" i="41"/>
  <c r="AP463" i="41"/>
  <c r="AO463" i="41"/>
  <c r="AN463" i="41"/>
  <c r="AJ463" i="41"/>
  <c r="AB463" i="41"/>
  <c r="Z463" i="41"/>
  <c r="X463" i="41"/>
  <c r="U463" i="41"/>
  <c r="V463" i="41" s="1"/>
  <c r="AM463" i="41" s="1"/>
  <c r="R463" i="41"/>
  <c r="P463" i="41"/>
  <c r="M463" i="41"/>
  <c r="N463" i="41" s="1"/>
  <c r="I463" i="41"/>
  <c r="H463" i="41"/>
  <c r="F463" i="41"/>
  <c r="BC462" i="41"/>
  <c r="BB462" i="41"/>
  <c r="BA462" i="41"/>
  <c r="AZ462" i="41"/>
  <c r="AY462" i="41"/>
  <c r="AX462" i="41"/>
  <c r="AW462" i="41"/>
  <c r="AV462" i="41"/>
  <c r="AU462" i="41"/>
  <c r="AT462" i="41"/>
  <c r="AS462" i="41"/>
  <c r="AR462" i="41"/>
  <c r="AQ462" i="41"/>
  <c r="AP462" i="41"/>
  <c r="AO462" i="41"/>
  <c r="AN462" i="41"/>
  <c r="AJ462" i="41"/>
  <c r="AB462" i="41"/>
  <c r="Z462" i="41"/>
  <c r="X462" i="41"/>
  <c r="U462" i="41"/>
  <c r="V462" i="41" s="1"/>
  <c r="AM462" i="41" s="1"/>
  <c r="R462" i="41"/>
  <c r="P462" i="41"/>
  <c r="M462" i="41"/>
  <c r="N462" i="41" s="1"/>
  <c r="I462" i="41"/>
  <c r="H462" i="41"/>
  <c r="F462" i="41"/>
  <c r="BC461" i="41"/>
  <c r="BB461" i="41"/>
  <c r="BA461" i="41"/>
  <c r="AZ461" i="41"/>
  <c r="AY461" i="41"/>
  <c r="AX461" i="41"/>
  <c r="AW461" i="41"/>
  <c r="AV461" i="41"/>
  <c r="AU461" i="41"/>
  <c r="AT461" i="41"/>
  <c r="AS461" i="41"/>
  <c r="AR461" i="41"/>
  <c r="AQ461" i="41"/>
  <c r="AP461" i="41"/>
  <c r="AO461" i="41"/>
  <c r="AN461" i="41"/>
  <c r="AJ461" i="41"/>
  <c r="AB461" i="41"/>
  <c r="Z461" i="41"/>
  <c r="X461" i="41"/>
  <c r="U461" i="41"/>
  <c r="V461" i="41" s="1"/>
  <c r="AM461" i="41" s="1"/>
  <c r="R461" i="41"/>
  <c r="P461" i="41"/>
  <c r="M461" i="41"/>
  <c r="N461" i="41" s="1"/>
  <c r="I461" i="41"/>
  <c r="H461" i="41"/>
  <c r="F461" i="41"/>
  <c r="BC460" i="41"/>
  <c r="BB460" i="41"/>
  <c r="BA460" i="41"/>
  <c r="AZ460" i="41"/>
  <c r="AY460" i="41"/>
  <c r="AX460" i="41"/>
  <c r="AW460" i="41"/>
  <c r="AV460" i="41"/>
  <c r="AU460" i="41"/>
  <c r="AT460" i="41"/>
  <c r="AS460" i="41"/>
  <c r="AR460" i="41"/>
  <c r="AQ460" i="41"/>
  <c r="AP460" i="41"/>
  <c r="AO460" i="41"/>
  <c r="AN460" i="41"/>
  <c r="AJ460" i="41"/>
  <c r="AB460" i="41"/>
  <c r="Z460" i="41"/>
  <c r="X460" i="41"/>
  <c r="U460" i="41"/>
  <c r="V460" i="41" s="1"/>
  <c r="AM460" i="41" s="1"/>
  <c r="R460" i="41"/>
  <c r="P460" i="41"/>
  <c r="M460" i="41"/>
  <c r="N460" i="41" s="1"/>
  <c r="I460" i="41"/>
  <c r="H460" i="41"/>
  <c r="F460" i="41"/>
  <c r="BC459" i="41"/>
  <c r="BB459" i="41"/>
  <c r="BA459" i="41"/>
  <c r="AZ459" i="41"/>
  <c r="AY459" i="41"/>
  <c r="AX459" i="41"/>
  <c r="AW459" i="41"/>
  <c r="AV459" i="41"/>
  <c r="AU459" i="41"/>
  <c r="AT459" i="41"/>
  <c r="AS459" i="41"/>
  <c r="AR459" i="41"/>
  <c r="AQ459" i="41"/>
  <c r="AP459" i="41"/>
  <c r="AO459" i="41"/>
  <c r="AN459" i="41"/>
  <c r="AJ459" i="41"/>
  <c r="AB459" i="41"/>
  <c r="Z459" i="41"/>
  <c r="X459" i="41"/>
  <c r="U459" i="41"/>
  <c r="V459" i="41" s="1"/>
  <c r="AM459" i="41" s="1"/>
  <c r="R459" i="41"/>
  <c r="P459" i="41"/>
  <c r="M459" i="41"/>
  <c r="N459" i="41" s="1"/>
  <c r="I459" i="41"/>
  <c r="H459" i="41"/>
  <c r="F459" i="41"/>
  <c r="BC458" i="41"/>
  <c r="BB458" i="41"/>
  <c r="BA458" i="41"/>
  <c r="AZ458" i="41"/>
  <c r="AY458" i="41"/>
  <c r="AX458" i="41"/>
  <c r="AW458" i="41"/>
  <c r="AV458" i="41"/>
  <c r="AU458" i="41"/>
  <c r="AT458" i="41"/>
  <c r="AS458" i="41"/>
  <c r="AR458" i="41"/>
  <c r="AQ458" i="41"/>
  <c r="AP458" i="41"/>
  <c r="AO458" i="41"/>
  <c r="AN458" i="41"/>
  <c r="AJ458" i="41"/>
  <c r="AB458" i="41"/>
  <c r="Z458" i="41"/>
  <c r="X458" i="41"/>
  <c r="U458" i="41"/>
  <c r="V458" i="41" s="1"/>
  <c r="AM458" i="41" s="1"/>
  <c r="R458" i="41"/>
  <c r="P458" i="41"/>
  <c r="M458" i="41"/>
  <c r="N458" i="41" s="1"/>
  <c r="I458" i="41"/>
  <c r="H458" i="41"/>
  <c r="F458" i="41"/>
  <c r="BC457" i="41"/>
  <c r="BB457" i="41"/>
  <c r="BA457" i="41"/>
  <c r="AZ457" i="41"/>
  <c r="AY457" i="41"/>
  <c r="AX457" i="41"/>
  <c r="AW457" i="41"/>
  <c r="AV457" i="41"/>
  <c r="AU457" i="41"/>
  <c r="AT457" i="41"/>
  <c r="AS457" i="41"/>
  <c r="AR457" i="41"/>
  <c r="AQ457" i="41"/>
  <c r="AP457" i="41"/>
  <c r="AO457" i="41"/>
  <c r="AN457" i="41"/>
  <c r="AJ457" i="41"/>
  <c r="AB457" i="41"/>
  <c r="Z457" i="41"/>
  <c r="X457" i="41"/>
  <c r="U457" i="41"/>
  <c r="V457" i="41" s="1"/>
  <c r="AM457" i="41" s="1"/>
  <c r="R457" i="41"/>
  <c r="P457" i="41"/>
  <c r="M457" i="41"/>
  <c r="N457" i="41" s="1"/>
  <c r="I457" i="41"/>
  <c r="H457" i="41"/>
  <c r="F457" i="41"/>
  <c r="BC456" i="41"/>
  <c r="BB456" i="41"/>
  <c r="BA456" i="41"/>
  <c r="AZ456" i="41"/>
  <c r="AY456" i="41"/>
  <c r="AX456" i="41"/>
  <c r="AW456" i="41"/>
  <c r="AV456" i="41"/>
  <c r="AU456" i="41"/>
  <c r="AT456" i="41"/>
  <c r="AS456" i="41"/>
  <c r="AR456" i="41"/>
  <c r="AQ456" i="41"/>
  <c r="AP456" i="41"/>
  <c r="AO456" i="41"/>
  <c r="AN456" i="41"/>
  <c r="AJ456" i="41"/>
  <c r="AB456" i="41"/>
  <c r="Z456" i="41"/>
  <c r="X456" i="41"/>
  <c r="U456" i="41"/>
  <c r="V456" i="41" s="1"/>
  <c r="AM456" i="41" s="1"/>
  <c r="R456" i="41"/>
  <c r="P456" i="41"/>
  <c r="M456" i="41"/>
  <c r="N456" i="41" s="1"/>
  <c r="I456" i="41"/>
  <c r="H456" i="41"/>
  <c r="F456" i="41"/>
  <c r="BC455" i="41"/>
  <c r="BB455" i="41"/>
  <c r="BA455" i="41"/>
  <c r="AZ455" i="41"/>
  <c r="AY455" i="41"/>
  <c r="AX455" i="41"/>
  <c r="AW455" i="41"/>
  <c r="AV455" i="41"/>
  <c r="AU455" i="41"/>
  <c r="AT455" i="41"/>
  <c r="AS455" i="41"/>
  <c r="AR455" i="41"/>
  <c r="AQ455" i="41"/>
  <c r="AP455" i="41"/>
  <c r="AO455" i="41"/>
  <c r="AN455" i="41"/>
  <c r="AJ455" i="41"/>
  <c r="AB455" i="41"/>
  <c r="Z455" i="41"/>
  <c r="X455" i="41"/>
  <c r="U455" i="41"/>
  <c r="V455" i="41" s="1"/>
  <c r="AM455" i="41" s="1"/>
  <c r="R455" i="41"/>
  <c r="P455" i="41"/>
  <c r="M455" i="41"/>
  <c r="N455" i="41" s="1"/>
  <c r="I455" i="41"/>
  <c r="H455" i="41"/>
  <c r="F455" i="41"/>
  <c r="BC454" i="41"/>
  <c r="BB454" i="41"/>
  <c r="BA454" i="41"/>
  <c r="AZ454" i="41"/>
  <c r="AY454" i="41"/>
  <c r="AX454" i="41"/>
  <c r="AW454" i="41"/>
  <c r="AV454" i="41"/>
  <c r="AU454" i="41"/>
  <c r="AT454" i="41"/>
  <c r="AS454" i="41"/>
  <c r="AR454" i="41"/>
  <c r="AQ454" i="41"/>
  <c r="AP454" i="41"/>
  <c r="AO454" i="41"/>
  <c r="AN454" i="41"/>
  <c r="AJ454" i="41"/>
  <c r="AB454" i="41"/>
  <c r="Z454" i="41"/>
  <c r="X454" i="41"/>
  <c r="U454" i="41"/>
  <c r="V454" i="41" s="1"/>
  <c r="AM454" i="41" s="1"/>
  <c r="R454" i="41"/>
  <c r="P454" i="41"/>
  <c r="M454" i="41"/>
  <c r="N454" i="41" s="1"/>
  <c r="I454" i="41"/>
  <c r="H454" i="41"/>
  <c r="F454" i="41"/>
  <c r="BC453" i="41"/>
  <c r="BB453" i="41"/>
  <c r="BA453" i="41"/>
  <c r="AZ453" i="41"/>
  <c r="AY453" i="41"/>
  <c r="AX453" i="41"/>
  <c r="AW453" i="41"/>
  <c r="AV453" i="41"/>
  <c r="AU453" i="41"/>
  <c r="AT453" i="41"/>
  <c r="AS453" i="41"/>
  <c r="AR453" i="41"/>
  <c r="AQ453" i="41"/>
  <c r="AP453" i="41"/>
  <c r="AO453" i="41"/>
  <c r="AN453" i="41"/>
  <c r="AJ453" i="41"/>
  <c r="AB453" i="41"/>
  <c r="Z453" i="41"/>
  <c r="X453" i="41"/>
  <c r="U453" i="41"/>
  <c r="V453" i="41" s="1"/>
  <c r="AM453" i="41" s="1"/>
  <c r="R453" i="41"/>
  <c r="P453" i="41"/>
  <c r="M453" i="41"/>
  <c r="N453" i="41" s="1"/>
  <c r="H453" i="41"/>
  <c r="F453" i="41"/>
  <c r="BC452" i="41"/>
  <c r="BB452" i="41"/>
  <c r="BA452" i="41"/>
  <c r="AZ452" i="41"/>
  <c r="AY452" i="41"/>
  <c r="AX452" i="41"/>
  <c r="AW452" i="41"/>
  <c r="AV452" i="41"/>
  <c r="AU452" i="41"/>
  <c r="AT452" i="41"/>
  <c r="AS452" i="41"/>
  <c r="AR452" i="41"/>
  <c r="AQ452" i="41"/>
  <c r="AP452" i="41"/>
  <c r="AO452" i="41"/>
  <c r="AN452" i="41"/>
  <c r="AJ452" i="41"/>
  <c r="AB452" i="41"/>
  <c r="Z452" i="41"/>
  <c r="X452" i="41"/>
  <c r="U452" i="41"/>
  <c r="V452" i="41" s="1"/>
  <c r="AM452" i="41" s="1"/>
  <c r="R452" i="41"/>
  <c r="P452" i="41"/>
  <c r="M452" i="41"/>
  <c r="N452" i="41" s="1"/>
  <c r="I452" i="41"/>
  <c r="H452" i="41"/>
  <c r="F452" i="41"/>
  <c r="BC451" i="41"/>
  <c r="BB451" i="41"/>
  <c r="BA451" i="41"/>
  <c r="AZ451" i="41"/>
  <c r="AY451" i="41"/>
  <c r="AX451" i="41"/>
  <c r="AW451" i="41"/>
  <c r="AV451" i="41"/>
  <c r="AU451" i="41"/>
  <c r="AT451" i="41"/>
  <c r="AS451" i="41"/>
  <c r="AR451" i="41"/>
  <c r="AQ451" i="41"/>
  <c r="AP451" i="41"/>
  <c r="AO451" i="41"/>
  <c r="AN451" i="41"/>
  <c r="AJ451" i="41"/>
  <c r="AB451" i="41"/>
  <c r="Z451" i="41"/>
  <c r="X451" i="41"/>
  <c r="U451" i="41"/>
  <c r="V451" i="41" s="1"/>
  <c r="AM451" i="41" s="1"/>
  <c r="R451" i="41"/>
  <c r="P451" i="41"/>
  <c r="M451" i="41"/>
  <c r="N451" i="41" s="1"/>
  <c r="I451" i="41"/>
  <c r="H451" i="41"/>
  <c r="F451" i="41"/>
  <c r="BC450" i="41"/>
  <c r="BB450" i="41"/>
  <c r="BA450" i="41"/>
  <c r="AZ450" i="41"/>
  <c r="AY450" i="41"/>
  <c r="AX450" i="41"/>
  <c r="AW450" i="41"/>
  <c r="AV450" i="41"/>
  <c r="AU450" i="41"/>
  <c r="AT450" i="41"/>
  <c r="AS450" i="41"/>
  <c r="AR450" i="41"/>
  <c r="AQ450" i="41"/>
  <c r="AP450" i="41"/>
  <c r="AO450" i="41"/>
  <c r="AN450" i="41"/>
  <c r="AJ450" i="41"/>
  <c r="AB450" i="41"/>
  <c r="Z450" i="41"/>
  <c r="X450" i="41"/>
  <c r="U450" i="41"/>
  <c r="V450" i="41" s="1"/>
  <c r="AM450" i="41" s="1"/>
  <c r="R450" i="41"/>
  <c r="P450" i="41"/>
  <c r="M450" i="41"/>
  <c r="N450" i="41" s="1"/>
  <c r="I450" i="41"/>
  <c r="H450" i="41"/>
  <c r="F450" i="41"/>
  <c r="BC449" i="41"/>
  <c r="BB449" i="41"/>
  <c r="BA449" i="41"/>
  <c r="AZ449" i="41"/>
  <c r="AY449" i="41"/>
  <c r="AX449" i="41"/>
  <c r="AW449" i="41"/>
  <c r="AV449" i="41"/>
  <c r="AU449" i="41"/>
  <c r="AT449" i="41"/>
  <c r="AS449" i="41"/>
  <c r="AR449" i="41"/>
  <c r="AQ449" i="41"/>
  <c r="AP449" i="41"/>
  <c r="AO449" i="41"/>
  <c r="AN449" i="41"/>
  <c r="AJ449" i="41"/>
  <c r="AB449" i="41"/>
  <c r="Z449" i="41"/>
  <c r="X449" i="41"/>
  <c r="U449" i="41"/>
  <c r="V449" i="41" s="1"/>
  <c r="AM449" i="41" s="1"/>
  <c r="R449" i="41"/>
  <c r="P449" i="41"/>
  <c r="M449" i="41"/>
  <c r="N449" i="41" s="1"/>
  <c r="I449" i="41"/>
  <c r="H449" i="41"/>
  <c r="F449" i="41"/>
  <c r="BC448" i="41"/>
  <c r="BB448" i="41"/>
  <c r="BA448" i="41"/>
  <c r="AZ448" i="41"/>
  <c r="AY448" i="41"/>
  <c r="AX448" i="41"/>
  <c r="AW448" i="41"/>
  <c r="AV448" i="41"/>
  <c r="AU448" i="41"/>
  <c r="AT448" i="41"/>
  <c r="AS448" i="41"/>
  <c r="AR448" i="41"/>
  <c r="AQ448" i="41"/>
  <c r="AP448" i="41"/>
  <c r="AO448" i="41"/>
  <c r="AN448" i="41"/>
  <c r="AJ448" i="41"/>
  <c r="AB448" i="41"/>
  <c r="Z448" i="41"/>
  <c r="X448" i="41"/>
  <c r="U448" i="41"/>
  <c r="V448" i="41" s="1"/>
  <c r="AM448" i="41" s="1"/>
  <c r="R448" i="41"/>
  <c r="P448" i="41"/>
  <c r="M448" i="41"/>
  <c r="N448" i="41" s="1"/>
  <c r="I448" i="41"/>
  <c r="H448" i="41"/>
  <c r="F448" i="41"/>
  <c r="BC447" i="41"/>
  <c r="BB447" i="41"/>
  <c r="BA447" i="41"/>
  <c r="AZ447" i="41"/>
  <c r="AY447" i="41"/>
  <c r="AX447" i="41"/>
  <c r="AW447" i="41"/>
  <c r="AV447" i="41"/>
  <c r="AU447" i="41"/>
  <c r="AT447" i="41"/>
  <c r="AS447" i="41"/>
  <c r="AR447" i="41"/>
  <c r="AQ447" i="41"/>
  <c r="AP447" i="41"/>
  <c r="AO447" i="41"/>
  <c r="AN447" i="41"/>
  <c r="AJ447" i="41"/>
  <c r="AB447" i="41"/>
  <c r="Z447" i="41"/>
  <c r="X447" i="41"/>
  <c r="U447" i="41"/>
  <c r="V447" i="41" s="1"/>
  <c r="AM447" i="41" s="1"/>
  <c r="R447" i="41"/>
  <c r="P447" i="41"/>
  <c r="M447" i="41"/>
  <c r="N447" i="41" s="1"/>
  <c r="I447" i="41"/>
  <c r="H447" i="41"/>
  <c r="F447" i="41"/>
  <c r="BC446" i="41"/>
  <c r="BB446" i="41"/>
  <c r="BA446" i="41"/>
  <c r="AZ446" i="41"/>
  <c r="AY446" i="41"/>
  <c r="AX446" i="41"/>
  <c r="AW446" i="41"/>
  <c r="AV446" i="41"/>
  <c r="AU446" i="41"/>
  <c r="AT446" i="41"/>
  <c r="AS446" i="41"/>
  <c r="AR446" i="41"/>
  <c r="AQ446" i="41"/>
  <c r="AP446" i="41"/>
  <c r="AO446" i="41"/>
  <c r="AN446" i="41"/>
  <c r="AJ446" i="41"/>
  <c r="AB446" i="41"/>
  <c r="Z446" i="41"/>
  <c r="X446" i="41"/>
  <c r="U446" i="41"/>
  <c r="V446" i="41" s="1"/>
  <c r="AM446" i="41" s="1"/>
  <c r="R446" i="41"/>
  <c r="P446" i="41"/>
  <c r="M446" i="41"/>
  <c r="N446" i="41" s="1"/>
  <c r="I446" i="41"/>
  <c r="H446" i="41"/>
  <c r="F446" i="41"/>
  <c r="BC445" i="41"/>
  <c r="BB445" i="41"/>
  <c r="BA445" i="41"/>
  <c r="AZ445" i="41"/>
  <c r="AY445" i="41"/>
  <c r="AX445" i="41"/>
  <c r="AW445" i="41"/>
  <c r="AV445" i="41"/>
  <c r="AU445" i="41"/>
  <c r="AT445" i="41"/>
  <c r="AS445" i="41"/>
  <c r="AR445" i="41"/>
  <c r="AQ445" i="41"/>
  <c r="AP445" i="41"/>
  <c r="AO445" i="41"/>
  <c r="AN445" i="41"/>
  <c r="AJ445" i="41"/>
  <c r="AB445" i="41"/>
  <c r="Z445" i="41"/>
  <c r="X445" i="41"/>
  <c r="U445" i="41"/>
  <c r="V445" i="41" s="1"/>
  <c r="AM445" i="41" s="1"/>
  <c r="R445" i="41"/>
  <c r="P445" i="41"/>
  <c r="M445" i="41"/>
  <c r="N445" i="41" s="1"/>
  <c r="I445" i="41"/>
  <c r="H445" i="41"/>
  <c r="F445" i="41"/>
  <c r="BC444" i="41"/>
  <c r="BB444" i="41"/>
  <c r="BA444" i="41"/>
  <c r="AZ444" i="41"/>
  <c r="AY444" i="41"/>
  <c r="AX444" i="41"/>
  <c r="AW444" i="41"/>
  <c r="AV444" i="41"/>
  <c r="AU444" i="41"/>
  <c r="AT444" i="41"/>
  <c r="AS444" i="41"/>
  <c r="AR444" i="41"/>
  <c r="AQ444" i="41"/>
  <c r="AP444" i="41"/>
  <c r="AO444" i="41"/>
  <c r="AN444" i="41"/>
  <c r="AJ444" i="41"/>
  <c r="AB444" i="41"/>
  <c r="Z444" i="41"/>
  <c r="X444" i="41"/>
  <c r="U444" i="41"/>
  <c r="V444" i="41" s="1"/>
  <c r="AM444" i="41" s="1"/>
  <c r="R444" i="41"/>
  <c r="P444" i="41"/>
  <c r="M444" i="41"/>
  <c r="N444" i="41" s="1"/>
  <c r="H444" i="41"/>
  <c r="F444" i="41"/>
  <c r="BC443" i="41"/>
  <c r="BB443" i="41"/>
  <c r="BA443" i="41"/>
  <c r="AZ443" i="41"/>
  <c r="AY443" i="41"/>
  <c r="AX443" i="41"/>
  <c r="AW443" i="41"/>
  <c r="AV443" i="41"/>
  <c r="AU443" i="41"/>
  <c r="AT443" i="41"/>
  <c r="AS443" i="41"/>
  <c r="AR443" i="41"/>
  <c r="AQ443" i="41"/>
  <c r="AP443" i="41"/>
  <c r="AO443" i="41"/>
  <c r="AN443" i="41"/>
  <c r="AJ443" i="41"/>
  <c r="AB443" i="41"/>
  <c r="Z443" i="41"/>
  <c r="X443" i="41"/>
  <c r="U443" i="41"/>
  <c r="V443" i="41" s="1"/>
  <c r="AM443" i="41" s="1"/>
  <c r="R443" i="41"/>
  <c r="P443" i="41"/>
  <c r="M443" i="41"/>
  <c r="N443" i="41" s="1"/>
  <c r="I443" i="41"/>
  <c r="H443" i="41"/>
  <c r="F443" i="41"/>
  <c r="BC442" i="41"/>
  <c r="BB442" i="41"/>
  <c r="BA442" i="41"/>
  <c r="AZ442" i="41"/>
  <c r="AY442" i="41"/>
  <c r="AX442" i="41"/>
  <c r="AW442" i="41"/>
  <c r="AV442" i="41"/>
  <c r="AU442" i="41"/>
  <c r="AT442" i="41"/>
  <c r="AS442" i="41"/>
  <c r="AR442" i="41"/>
  <c r="AQ442" i="41"/>
  <c r="AP442" i="41"/>
  <c r="AO442" i="41"/>
  <c r="AN442" i="41"/>
  <c r="AJ442" i="41"/>
  <c r="AB442" i="41"/>
  <c r="Z442" i="41"/>
  <c r="X442" i="41"/>
  <c r="U442" i="41"/>
  <c r="V442" i="41" s="1"/>
  <c r="AM442" i="41" s="1"/>
  <c r="R442" i="41"/>
  <c r="P442" i="41"/>
  <c r="M442" i="41"/>
  <c r="N442" i="41" s="1"/>
  <c r="I442" i="41"/>
  <c r="H442" i="41"/>
  <c r="F442" i="41"/>
  <c r="BC441" i="41"/>
  <c r="BB441" i="41"/>
  <c r="BA441" i="41"/>
  <c r="AZ441" i="41"/>
  <c r="AY441" i="41"/>
  <c r="AX441" i="41"/>
  <c r="AW441" i="41"/>
  <c r="AV441" i="41"/>
  <c r="AU441" i="41"/>
  <c r="AT441" i="41"/>
  <c r="AS441" i="41"/>
  <c r="AR441" i="41"/>
  <c r="AQ441" i="41"/>
  <c r="AP441" i="41"/>
  <c r="AO441" i="41"/>
  <c r="AN441" i="41"/>
  <c r="AJ441" i="41"/>
  <c r="AB441" i="41"/>
  <c r="Z441" i="41"/>
  <c r="X441" i="41"/>
  <c r="U441" i="41"/>
  <c r="V441" i="41" s="1"/>
  <c r="AM441" i="41" s="1"/>
  <c r="R441" i="41"/>
  <c r="P441" i="41"/>
  <c r="M441" i="41"/>
  <c r="N441" i="41" s="1"/>
  <c r="I441" i="41"/>
  <c r="H441" i="41"/>
  <c r="F441" i="41"/>
  <c r="BC440" i="41"/>
  <c r="BB440" i="41"/>
  <c r="BA440" i="41"/>
  <c r="AZ440" i="41"/>
  <c r="AY440" i="41"/>
  <c r="AX440" i="41"/>
  <c r="AW440" i="41"/>
  <c r="AV440" i="41"/>
  <c r="AU440" i="41"/>
  <c r="AT440" i="41"/>
  <c r="AS440" i="41"/>
  <c r="AR440" i="41"/>
  <c r="AQ440" i="41"/>
  <c r="AP440" i="41"/>
  <c r="AO440" i="41"/>
  <c r="AN440" i="41"/>
  <c r="AJ440" i="41"/>
  <c r="AB440" i="41"/>
  <c r="Z440" i="41"/>
  <c r="X440" i="41"/>
  <c r="U440" i="41"/>
  <c r="V440" i="41" s="1"/>
  <c r="AM440" i="41" s="1"/>
  <c r="R440" i="41"/>
  <c r="P440" i="41"/>
  <c r="M440" i="41"/>
  <c r="N440" i="41" s="1"/>
  <c r="I440" i="41"/>
  <c r="H440" i="41"/>
  <c r="F440" i="41"/>
  <c r="BC439" i="41"/>
  <c r="BB439" i="41"/>
  <c r="BA439" i="41"/>
  <c r="AZ439" i="41"/>
  <c r="AY439" i="41"/>
  <c r="AX439" i="41"/>
  <c r="AW439" i="41"/>
  <c r="AV439" i="41"/>
  <c r="AU439" i="41"/>
  <c r="AT439" i="41"/>
  <c r="AS439" i="41"/>
  <c r="AR439" i="41"/>
  <c r="AQ439" i="41"/>
  <c r="AP439" i="41"/>
  <c r="AO439" i="41"/>
  <c r="AN439" i="41"/>
  <c r="AJ439" i="41"/>
  <c r="AB439" i="41"/>
  <c r="Z439" i="41"/>
  <c r="X439" i="41"/>
  <c r="U439" i="41"/>
  <c r="V439" i="41" s="1"/>
  <c r="AM439" i="41" s="1"/>
  <c r="R439" i="41"/>
  <c r="P439" i="41"/>
  <c r="M439" i="41"/>
  <c r="N439" i="41" s="1"/>
  <c r="I439" i="41"/>
  <c r="H439" i="41"/>
  <c r="F439" i="41"/>
  <c r="BC438" i="41"/>
  <c r="BB438" i="41"/>
  <c r="BA438" i="41"/>
  <c r="AZ438" i="41"/>
  <c r="AY438" i="41"/>
  <c r="AX438" i="41"/>
  <c r="AW438" i="41"/>
  <c r="AV438" i="41"/>
  <c r="AU438" i="41"/>
  <c r="AT438" i="41"/>
  <c r="AS438" i="41"/>
  <c r="AR438" i="41"/>
  <c r="AQ438" i="41"/>
  <c r="AP438" i="41"/>
  <c r="AO438" i="41"/>
  <c r="AN438" i="41"/>
  <c r="AJ438" i="41"/>
  <c r="AB438" i="41"/>
  <c r="Z438" i="41"/>
  <c r="X438" i="41"/>
  <c r="U438" i="41"/>
  <c r="V438" i="41" s="1"/>
  <c r="AM438" i="41" s="1"/>
  <c r="R438" i="41"/>
  <c r="P438" i="41"/>
  <c r="M438" i="41"/>
  <c r="N438" i="41" s="1"/>
  <c r="I438" i="41"/>
  <c r="H438" i="41"/>
  <c r="F438" i="41"/>
  <c r="BC437" i="41"/>
  <c r="BB437" i="41"/>
  <c r="BA437" i="41"/>
  <c r="AZ437" i="41"/>
  <c r="AY437" i="41"/>
  <c r="AX437" i="41"/>
  <c r="AW437" i="41"/>
  <c r="AV437" i="41"/>
  <c r="AU437" i="41"/>
  <c r="AT437" i="41"/>
  <c r="AS437" i="41"/>
  <c r="AR437" i="41"/>
  <c r="AQ437" i="41"/>
  <c r="AP437" i="41"/>
  <c r="AO437" i="41"/>
  <c r="AN437" i="41"/>
  <c r="AJ437" i="41"/>
  <c r="AB437" i="41"/>
  <c r="Z437" i="41"/>
  <c r="X437" i="41"/>
  <c r="U437" i="41"/>
  <c r="V437" i="41" s="1"/>
  <c r="AM437" i="41" s="1"/>
  <c r="R437" i="41"/>
  <c r="P437" i="41"/>
  <c r="M437" i="41"/>
  <c r="N437" i="41" s="1"/>
  <c r="H437" i="41"/>
  <c r="F437" i="41"/>
  <c r="BC436" i="41"/>
  <c r="BB436" i="41"/>
  <c r="BA436" i="41"/>
  <c r="AZ436" i="41"/>
  <c r="AY436" i="41"/>
  <c r="AX436" i="41"/>
  <c r="AW436" i="41"/>
  <c r="AV436" i="41"/>
  <c r="AU436" i="41"/>
  <c r="AT436" i="41"/>
  <c r="AS436" i="41"/>
  <c r="AR436" i="41"/>
  <c r="AQ436" i="41"/>
  <c r="AP436" i="41"/>
  <c r="AO436" i="41"/>
  <c r="AN436" i="41"/>
  <c r="AJ436" i="41"/>
  <c r="AB436" i="41"/>
  <c r="Z436" i="41"/>
  <c r="X436" i="41"/>
  <c r="U436" i="41"/>
  <c r="V436" i="41" s="1"/>
  <c r="AM436" i="41" s="1"/>
  <c r="R436" i="41"/>
  <c r="P436" i="41"/>
  <c r="M436" i="41"/>
  <c r="N436" i="41" s="1"/>
  <c r="I436" i="41"/>
  <c r="H436" i="41"/>
  <c r="F436" i="41"/>
  <c r="BC435" i="41"/>
  <c r="BB435" i="41"/>
  <c r="BA435" i="41"/>
  <c r="AZ435" i="41"/>
  <c r="AY435" i="41"/>
  <c r="AX435" i="41"/>
  <c r="AW435" i="41"/>
  <c r="AV435" i="41"/>
  <c r="AU435" i="41"/>
  <c r="AT435" i="41"/>
  <c r="AS435" i="41"/>
  <c r="AR435" i="41"/>
  <c r="AQ435" i="41"/>
  <c r="AP435" i="41"/>
  <c r="AO435" i="41"/>
  <c r="AN435" i="41"/>
  <c r="AJ435" i="41"/>
  <c r="AB435" i="41"/>
  <c r="Z435" i="41"/>
  <c r="X435" i="41"/>
  <c r="U435" i="41"/>
  <c r="V435" i="41" s="1"/>
  <c r="AM435" i="41" s="1"/>
  <c r="R435" i="41"/>
  <c r="P435" i="41"/>
  <c r="M435" i="41"/>
  <c r="N435" i="41" s="1"/>
  <c r="I435" i="41"/>
  <c r="H435" i="41"/>
  <c r="F435" i="41"/>
  <c r="BC434" i="41"/>
  <c r="BB434" i="41"/>
  <c r="BA434" i="41"/>
  <c r="AZ434" i="41"/>
  <c r="AY434" i="41"/>
  <c r="AX434" i="41"/>
  <c r="AW434" i="41"/>
  <c r="AV434" i="41"/>
  <c r="AU434" i="41"/>
  <c r="AT434" i="41"/>
  <c r="AS434" i="41"/>
  <c r="AR434" i="41"/>
  <c r="AQ434" i="41"/>
  <c r="AP434" i="41"/>
  <c r="AO434" i="41"/>
  <c r="AN434" i="41"/>
  <c r="AJ434" i="41"/>
  <c r="AB434" i="41"/>
  <c r="Z434" i="41"/>
  <c r="X434" i="41"/>
  <c r="U434" i="41"/>
  <c r="V434" i="41" s="1"/>
  <c r="AM434" i="41" s="1"/>
  <c r="R434" i="41"/>
  <c r="P434" i="41"/>
  <c r="M434" i="41"/>
  <c r="N434" i="41" s="1"/>
  <c r="I434" i="41"/>
  <c r="H434" i="41"/>
  <c r="F434" i="41"/>
  <c r="BC433" i="41"/>
  <c r="BB433" i="41"/>
  <c r="BA433" i="41"/>
  <c r="AZ433" i="41"/>
  <c r="AY433" i="41"/>
  <c r="AX433" i="41"/>
  <c r="AW433" i="41"/>
  <c r="AV433" i="41"/>
  <c r="AU433" i="41"/>
  <c r="AT433" i="41"/>
  <c r="AS433" i="41"/>
  <c r="AR433" i="41"/>
  <c r="AQ433" i="41"/>
  <c r="AP433" i="41"/>
  <c r="AO433" i="41"/>
  <c r="AN433" i="41"/>
  <c r="AJ433" i="41"/>
  <c r="AB433" i="41"/>
  <c r="Z433" i="41"/>
  <c r="X433" i="41"/>
  <c r="U433" i="41"/>
  <c r="V433" i="41" s="1"/>
  <c r="AM433" i="41" s="1"/>
  <c r="R433" i="41"/>
  <c r="P433" i="41"/>
  <c r="M433" i="41"/>
  <c r="N433" i="41" s="1"/>
  <c r="I433" i="41"/>
  <c r="H433" i="41"/>
  <c r="F433" i="41"/>
  <c r="BC432" i="41"/>
  <c r="BB432" i="41"/>
  <c r="BA432" i="41"/>
  <c r="AZ432" i="41"/>
  <c r="AY432" i="41"/>
  <c r="AX432" i="41"/>
  <c r="AW432" i="41"/>
  <c r="AV432" i="41"/>
  <c r="AU432" i="41"/>
  <c r="AT432" i="41"/>
  <c r="AS432" i="41"/>
  <c r="AR432" i="41"/>
  <c r="AQ432" i="41"/>
  <c r="AP432" i="41"/>
  <c r="AO432" i="41"/>
  <c r="AN432" i="41"/>
  <c r="AJ432" i="41"/>
  <c r="AB432" i="41"/>
  <c r="Z432" i="41"/>
  <c r="X432" i="41"/>
  <c r="U432" i="41"/>
  <c r="V432" i="41" s="1"/>
  <c r="AM432" i="41" s="1"/>
  <c r="R432" i="41"/>
  <c r="P432" i="41"/>
  <c r="M432" i="41"/>
  <c r="N432" i="41" s="1"/>
  <c r="I432" i="41"/>
  <c r="H432" i="41"/>
  <c r="F432" i="41"/>
  <c r="BC431" i="41"/>
  <c r="BB431" i="41"/>
  <c r="BA431" i="41"/>
  <c r="AZ431" i="41"/>
  <c r="AY431" i="41"/>
  <c r="AX431" i="41"/>
  <c r="AW431" i="41"/>
  <c r="AV431" i="41"/>
  <c r="AU431" i="41"/>
  <c r="AT431" i="41"/>
  <c r="AS431" i="41"/>
  <c r="AR431" i="41"/>
  <c r="AQ431" i="41"/>
  <c r="AP431" i="41"/>
  <c r="AO431" i="41"/>
  <c r="AN431" i="41"/>
  <c r="AJ431" i="41"/>
  <c r="AB431" i="41"/>
  <c r="Z431" i="41"/>
  <c r="X431" i="41"/>
  <c r="U431" i="41"/>
  <c r="V431" i="41" s="1"/>
  <c r="AM431" i="41" s="1"/>
  <c r="R431" i="41"/>
  <c r="P431" i="41"/>
  <c r="M431" i="41"/>
  <c r="N431" i="41" s="1"/>
  <c r="H431" i="41"/>
  <c r="F431" i="41"/>
  <c r="BC430" i="41"/>
  <c r="BB430" i="41"/>
  <c r="BA430" i="41"/>
  <c r="AZ430" i="41"/>
  <c r="AY430" i="41"/>
  <c r="AX430" i="41"/>
  <c r="AW430" i="41"/>
  <c r="AV430" i="41"/>
  <c r="AU430" i="41"/>
  <c r="AT430" i="41"/>
  <c r="AS430" i="41"/>
  <c r="AR430" i="41"/>
  <c r="AQ430" i="41"/>
  <c r="AP430" i="41"/>
  <c r="AO430" i="41"/>
  <c r="AN430" i="41"/>
  <c r="AJ430" i="41"/>
  <c r="AB430" i="41"/>
  <c r="Z430" i="41"/>
  <c r="X430" i="41"/>
  <c r="U430" i="41"/>
  <c r="V430" i="41" s="1"/>
  <c r="AM430" i="41" s="1"/>
  <c r="R430" i="41"/>
  <c r="P430" i="41"/>
  <c r="M430" i="41"/>
  <c r="N430" i="41" s="1"/>
  <c r="I430" i="41"/>
  <c r="H430" i="41"/>
  <c r="F430" i="41"/>
  <c r="BC429" i="41"/>
  <c r="BB429" i="41"/>
  <c r="BA429" i="41"/>
  <c r="AZ429" i="41"/>
  <c r="AY429" i="41"/>
  <c r="AX429" i="41"/>
  <c r="AW429" i="41"/>
  <c r="AV429" i="41"/>
  <c r="AU429" i="41"/>
  <c r="AT429" i="41"/>
  <c r="AS429" i="41"/>
  <c r="AR429" i="41"/>
  <c r="AQ429" i="41"/>
  <c r="AP429" i="41"/>
  <c r="AO429" i="41"/>
  <c r="AN429" i="41"/>
  <c r="AJ429" i="41"/>
  <c r="AB429" i="41"/>
  <c r="Z429" i="41"/>
  <c r="X429" i="41"/>
  <c r="U429" i="41"/>
  <c r="V429" i="41" s="1"/>
  <c r="AM429" i="41" s="1"/>
  <c r="R429" i="41"/>
  <c r="P429" i="41"/>
  <c r="M429" i="41"/>
  <c r="N429" i="41" s="1"/>
  <c r="I429" i="41"/>
  <c r="H429" i="41"/>
  <c r="F429" i="41"/>
  <c r="BC428" i="41"/>
  <c r="BB428" i="41"/>
  <c r="BA428" i="41"/>
  <c r="AZ428" i="41"/>
  <c r="AY428" i="41"/>
  <c r="AX428" i="41"/>
  <c r="AW428" i="41"/>
  <c r="AV428" i="41"/>
  <c r="AU428" i="41"/>
  <c r="AT428" i="41"/>
  <c r="AS428" i="41"/>
  <c r="AR428" i="41"/>
  <c r="AQ428" i="41"/>
  <c r="AP428" i="41"/>
  <c r="AO428" i="41"/>
  <c r="AN428" i="41"/>
  <c r="AJ428" i="41"/>
  <c r="AB428" i="41"/>
  <c r="Z428" i="41"/>
  <c r="X428" i="41"/>
  <c r="U428" i="41"/>
  <c r="V428" i="41" s="1"/>
  <c r="AM428" i="41" s="1"/>
  <c r="R428" i="41"/>
  <c r="P428" i="41"/>
  <c r="M428" i="41"/>
  <c r="N428" i="41" s="1"/>
  <c r="H428" i="41"/>
  <c r="F428" i="41"/>
  <c r="BC427" i="41"/>
  <c r="BB427" i="41"/>
  <c r="BA427" i="41"/>
  <c r="AZ427" i="41"/>
  <c r="AY427" i="41"/>
  <c r="AX427" i="41"/>
  <c r="AW427" i="41"/>
  <c r="AV427" i="41"/>
  <c r="AU427" i="41"/>
  <c r="AT427" i="41"/>
  <c r="AS427" i="41"/>
  <c r="AR427" i="41"/>
  <c r="AQ427" i="41"/>
  <c r="AP427" i="41"/>
  <c r="AO427" i="41"/>
  <c r="AN427" i="41"/>
  <c r="AJ427" i="41"/>
  <c r="AB427" i="41"/>
  <c r="Z427" i="41"/>
  <c r="X427" i="41"/>
  <c r="U427" i="41"/>
  <c r="V427" i="41" s="1"/>
  <c r="AM427" i="41" s="1"/>
  <c r="R427" i="41"/>
  <c r="P427" i="41"/>
  <c r="M427" i="41"/>
  <c r="N427" i="41" s="1"/>
  <c r="I427" i="41"/>
  <c r="H427" i="41"/>
  <c r="F427" i="41"/>
  <c r="BC426" i="41"/>
  <c r="BB426" i="41"/>
  <c r="BA426" i="41"/>
  <c r="AZ426" i="41"/>
  <c r="AY426" i="41"/>
  <c r="AX426" i="41"/>
  <c r="AW426" i="41"/>
  <c r="AV426" i="41"/>
  <c r="AU426" i="41"/>
  <c r="AT426" i="41"/>
  <c r="AS426" i="41"/>
  <c r="AR426" i="41"/>
  <c r="AQ426" i="41"/>
  <c r="AP426" i="41"/>
  <c r="AO426" i="41"/>
  <c r="AN426" i="41"/>
  <c r="AJ426" i="41"/>
  <c r="AB426" i="41"/>
  <c r="Z426" i="41"/>
  <c r="X426" i="41"/>
  <c r="U426" i="41"/>
  <c r="V426" i="41" s="1"/>
  <c r="AM426" i="41" s="1"/>
  <c r="R426" i="41"/>
  <c r="P426" i="41"/>
  <c r="M426" i="41"/>
  <c r="N426" i="41" s="1"/>
  <c r="I426" i="41"/>
  <c r="H426" i="41"/>
  <c r="F426" i="41"/>
  <c r="BC425" i="41"/>
  <c r="BB425" i="41"/>
  <c r="BA425" i="41"/>
  <c r="AZ425" i="41"/>
  <c r="AY425" i="41"/>
  <c r="AX425" i="41"/>
  <c r="AW425" i="41"/>
  <c r="AV425" i="41"/>
  <c r="AU425" i="41"/>
  <c r="AT425" i="41"/>
  <c r="AS425" i="41"/>
  <c r="AR425" i="41"/>
  <c r="AQ425" i="41"/>
  <c r="AP425" i="41"/>
  <c r="AO425" i="41"/>
  <c r="AN425" i="41"/>
  <c r="AJ425" i="41"/>
  <c r="AB425" i="41"/>
  <c r="Z425" i="41"/>
  <c r="X425" i="41"/>
  <c r="U425" i="41"/>
  <c r="V425" i="41" s="1"/>
  <c r="AM425" i="41" s="1"/>
  <c r="R425" i="41"/>
  <c r="P425" i="41"/>
  <c r="M425" i="41"/>
  <c r="N425" i="41" s="1"/>
  <c r="I425" i="41"/>
  <c r="H425" i="41"/>
  <c r="F425" i="41"/>
  <c r="BC424" i="41"/>
  <c r="BB424" i="41"/>
  <c r="BA424" i="41"/>
  <c r="AZ424" i="41"/>
  <c r="AY424" i="41"/>
  <c r="AX424" i="41"/>
  <c r="AW424" i="41"/>
  <c r="AV424" i="41"/>
  <c r="AU424" i="41"/>
  <c r="AT424" i="41"/>
  <c r="AS424" i="41"/>
  <c r="AR424" i="41"/>
  <c r="AQ424" i="41"/>
  <c r="AP424" i="41"/>
  <c r="AO424" i="41"/>
  <c r="AN424" i="41"/>
  <c r="AJ424" i="41"/>
  <c r="AB424" i="41"/>
  <c r="Z424" i="41"/>
  <c r="X424" i="41"/>
  <c r="U424" i="41"/>
  <c r="V424" i="41" s="1"/>
  <c r="AM424" i="41" s="1"/>
  <c r="R424" i="41"/>
  <c r="P424" i="41"/>
  <c r="M424" i="41"/>
  <c r="N424" i="41" s="1"/>
  <c r="I424" i="41"/>
  <c r="H424" i="41"/>
  <c r="F424" i="41"/>
  <c r="BC423" i="41"/>
  <c r="BB423" i="41"/>
  <c r="BA423" i="41"/>
  <c r="AZ423" i="41"/>
  <c r="AY423" i="41"/>
  <c r="AX423" i="41"/>
  <c r="AW423" i="41"/>
  <c r="AV423" i="41"/>
  <c r="AU423" i="41"/>
  <c r="AT423" i="41"/>
  <c r="AS423" i="41"/>
  <c r="AR423" i="41"/>
  <c r="AQ423" i="41"/>
  <c r="AP423" i="41"/>
  <c r="AO423" i="41"/>
  <c r="AN423" i="41"/>
  <c r="AJ423" i="41"/>
  <c r="AB423" i="41"/>
  <c r="Z423" i="41"/>
  <c r="X423" i="41"/>
  <c r="U423" i="41"/>
  <c r="V423" i="41" s="1"/>
  <c r="AM423" i="41" s="1"/>
  <c r="R423" i="41"/>
  <c r="P423" i="41"/>
  <c r="M423" i="41"/>
  <c r="N423" i="41" s="1"/>
  <c r="I423" i="41"/>
  <c r="H423" i="41"/>
  <c r="F423" i="41"/>
  <c r="BC422" i="41"/>
  <c r="BB422" i="41"/>
  <c r="BA422" i="41"/>
  <c r="AZ422" i="41"/>
  <c r="AY422" i="41"/>
  <c r="AX422" i="41"/>
  <c r="AW422" i="41"/>
  <c r="AV422" i="41"/>
  <c r="AU422" i="41"/>
  <c r="AT422" i="41"/>
  <c r="AS422" i="41"/>
  <c r="AR422" i="41"/>
  <c r="AQ422" i="41"/>
  <c r="AP422" i="41"/>
  <c r="AO422" i="41"/>
  <c r="AN422" i="41"/>
  <c r="AJ422" i="41"/>
  <c r="AB422" i="41"/>
  <c r="Z422" i="41"/>
  <c r="X422" i="41"/>
  <c r="U422" i="41"/>
  <c r="V422" i="41" s="1"/>
  <c r="AM422" i="41" s="1"/>
  <c r="R422" i="41"/>
  <c r="P422" i="41"/>
  <c r="M422" i="41"/>
  <c r="N422" i="41" s="1"/>
  <c r="H422" i="41"/>
  <c r="F422" i="41"/>
  <c r="BC421" i="41"/>
  <c r="BB421" i="41"/>
  <c r="BA421" i="41"/>
  <c r="AZ421" i="41"/>
  <c r="AY421" i="41"/>
  <c r="AX421" i="41"/>
  <c r="AW421" i="41"/>
  <c r="AV421" i="41"/>
  <c r="AU421" i="41"/>
  <c r="AT421" i="41"/>
  <c r="AS421" i="41"/>
  <c r="AR421" i="41"/>
  <c r="AQ421" i="41"/>
  <c r="AP421" i="41"/>
  <c r="AO421" i="41"/>
  <c r="AN421" i="41"/>
  <c r="AJ421" i="41"/>
  <c r="AB421" i="41"/>
  <c r="Z421" i="41"/>
  <c r="X421" i="41"/>
  <c r="U421" i="41"/>
  <c r="V421" i="41" s="1"/>
  <c r="AM421" i="41" s="1"/>
  <c r="R421" i="41"/>
  <c r="P421" i="41"/>
  <c r="M421" i="41"/>
  <c r="N421" i="41" s="1"/>
  <c r="I421" i="41"/>
  <c r="H421" i="41"/>
  <c r="F421" i="41"/>
  <c r="BC420" i="41"/>
  <c r="BB420" i="41"/>
  <c r="BA420" i="41"/>
  <c r="AZ420" i="41"/>
  <c r="AY420" i="41"/>
  <c r="AX420" i="41"/>
  <c r="AW420" i="41"/>
  <c r="AV420" i="41"/>
  <c r="AU420" i="41"/>
  <c r="AT420" i="41"/>
  <c r="AS420" i="41"/>
  <c r="AR420" i="41"/>
  <c r="AQ420" i="41"/>
  <c r="AP420" i="41"/>
  <c r="AO420" i="41"/>
  <c r="AN420" i="41"/>
  <c r="AJ420" i="41"/>
  <c r="AB420" i="41"/>
  <c r="Z420" i="41"/>
  <c r="X420" i="41"/>
  <c r="U420" i="41"/>
  <c r="V420" i="41" s="1"/>
  <c r="AM420" i="41" s="1"/>
  <c r="R420" i="41"/>
  <c r="P420" i="41"/>
  <c r="M420" i="41"/>
  <c r="N420" i="41" s="1"/>
  <c r="I420" i="41"/>
  <c r="H420" i="41"/>
  <c r="F420" i="41"/>
  <c r="BC419" i="41"/>
  <c r="BB419" i="41"/>
  <c r="BA419" i="41"/>
  <c r="AZ419" i="41"/>
  <c r="AY419" i="41"/>
  <c r="AX419" i="41"/>
  <c r="AW419" i="41"/>
  <c r="AV419" i="41"/>
  <c r="AU419" i="41"/>
  <c r="AT419" i="41"/>
  <c r="AS419" i="41"/>
  <c r="AR419" i="41"/>
  <c r="AQ419" i="41"/>
  <c r="AP419" i="41"/>
  <c r="AO419" i="41"/>
  <c r="AN419" i="41"/>
  <c r="AJ419" i="41"/>
  <c r="AB419" i="41"/>
  <c r="Z419" i="41"/>
  <c r="X419" i="41"/>
  <c r="U419" i="41"/>
  <c r="V419" i="41" s="1"/>
  <c r="AM419" i="41" s="1"/>
  <c r="R419" i="41"/>
  <c r="P419" i="41"/>
  <c r="M419" i="41"/>
  <c r="N419" i="41" s="1"/>
  <c r="I419" i="41"/>
  <c r="H419" i="41"/>
  <c r="F419" i="41"/>
  <c r="BC418" i="41"/>
  <c r="BB418" i="41"/>
  <c r="BA418" i="41"/>
  <c r="AZ418" i="41"/>
  <c r="AY418" i="41"/>
  <c r="AX418" i="41"/>
  <c r="AW418" i="41"/>
  <c r="AV418" i="41"/>
  <c r="AU418" i="41"/>
  <c r="AT418" i="41"/>
  <c r="AS418" i="41"/>
  <c r="AR418" i="41"/>
  <c r="AQ418" i="41"/>
  <c r="AP418" i="41"/>
  <c r="AO418" i="41"/>
  <c r="AN418" i="41"/>
  <c r="AJ418" i="41"/>
  <c r="AB418" i="41"/>
  <c r="Z418" i="41"/>
  <c r="X418" i="41"/>
  <c r="U418" i="41"/>
  <c r="V418" i="41" s="1"/>
  <c r="AM418" i="41" s="1"/>
  <c r="R418" i="41"/>
  <c r="P418" i="41"/>
  <c r="M418" i="41"/>
  <c r="N418" i="41" s="1"/>
  <c r="H418" i="41"/>
  <c r="F418" i="41"/>
  <c r="BC417" i="41"/>
  <c r="BB417" i="41"/>
  <c r="BA417" i="41"/>
  <c r="AZ417" i="41"/>
  <c r="AY417" i="41"/>
  <c r="AX417" i="41"/>
  <c r="AW417" i="41"/>
  <c r="AV417" i="41"/>
  <c r="AU417" i="41"/>
  <c r="AT417" i="41"/>
  <c r="AS417" i="41"/>
  <c r="AR417" i="41"/>
  <c r="AQ417" i="41"/>
  <c r="AP417" i="41"/>
  <c r="AO417" i="41"/>
  <c r="AN417" i="41"/>
  <c r="AJ417" i="41"/>
  <c r="AB417" i="41"/>
  <c r="Z417" i="41"/>
  <c r="X417" i="41"/>
  <c r="U417" i="41"/>
  <c r="V417" i="41" s="1"/>
  <c r="AM417" i="41" s="1"/>
  <c r="R417" i="41"/>
  <c r="P417" i="41"/>
  <c r="M417" i="41"/>
  <c r="N417" i="41" s="1"/>
  <c r="H417" i="41"/>
  <c r="F417" i="41"/>
  <c r="BC416" i="41"/>
  <c r="BB416" i="41"/>
  <c r="BA416" i="41"/>
  <c r="AZ416" i="41"/>
  <c r="AY416" i="41"/>
  <c r="AX416" i="41"/>
  <c r="AW416" i="41"/>
  <c r="AV416" i="41"/>
  <c r="AU416" i="41"/>
  <c r="AT416" i="41"/>
  <c r="AS416" i="41"/>
  <c r="AR416" i="41"/>
  <c r="AQ416" i="41"/>
  <c r="AP416" i="41"/>
  <c r="AO416" i="41"/>
  <c r="AN416" i="41"/>
  <c r="AJ416" i="41"/>
  <c r="AB416" i="41"/>
  <c r="Z416" i="41"/>
  <c r="X416" i="41"/>
  <c r="U416" i="41"/>
  <c r="V416" i="41" s="1"/>
  <c r="AM416" i="41" s="1"/>
  <c r="R416" i="41"/>
  <c r="P416" i="41"/>
  <c r="M416" i="41"/>
  <c r="N416" i="41" s="1"/>
  <c r="I416" i="41"/>
  <c r="H416" i="41"/>
  <c r="F416" i="41"/>
  <c r="BC415" i="41"/>
  <c r="BB415" i="41"/>
  <c r="BA415" i="41"/>
  <c r="AZ415" i="41"/>
  <c r="AY415" i="41"/>
  <c r="AX415" i="41"/>
  <c r="AW415" i="41"/>
  <c r="AV415" i="41"/>
  <c r="AU415" i="41"/>
  <c r="AT415" i="41"/>
  <c r="AS415" i="41"/>
  <c r="AR415" i="41"/>
  <c r="AQ415" i="41"/>
  <c r="AP415" i="41"/>
  <c r="AO415" i="41"/>
  <c r="AN415" i="41"/>
  <c r="AJ415" i="41"/>
  <c r="AB415" i="41"/>
  <c r="Z415" i="41"/>
  <c r="X415" i="41"/>
  <c r="U415" i="41"/>
  <c r="V415" i="41" s="1"/>
  <c r="AM415" i="41" s="1"/>
  <c r="R415" i="41"/>
  <c r="P415" i="41"/>
  <c r="M415" i="41"/>
  <c r="N415" i="41" s="1"/>
  <c r="H415" i="41"/>
  <c r="F415" i="41"/>
  <c r="BC414" i="41"/>
  <c r="BB414" i="41"/>
  <c r="BA414" i="41"/>
  <c r="AZ414" i="41"/>
  <c r="AY414" i="41"/>
  <c r="AX414" i="41"/>
  <c r="AW414" i="41"/>
  <c r="AV414" i="41"/>
  <c r="AU414" i="41"/>
  <c r="AT414" i="41"/>
  <c r="AS414" i="41"/>
  <c r="AR414" i="41"/>
  <c r="AQ414" i="41"/>
  <c r="AP414" i="41"/>
  <c r="AO414" i="41"/>
  <c r="AN414" i="41"/>
  <c r="AJ414" i="41"/>
  <c r="AB414" i="41"/>
  <c r="Z414" i="41"/>
  <c r="X414" i="41"/>
  <c r="U414" i="41"/>
  <c r="V414" i="41" s="1"/>
  <c r="AM414" i="41" s="1"/>
  <c r="R414" i="41"/>
  <c r="P414" i="41"/>
  <c r="M414" i="41"/>
  <c r="N414" i="41" s="1"/>
  <c r="H414" i="41"/>
  <c r="F414" i="41"/>
  <c r="BC413" i="41"/>
  <c r="BB413" i="41"/>
  <c r="BA413" i="41"/>
  <c r="AZ413" i="41"/>
  <c r="AY413" i="41"/>
  <c r="AX413" i="41"/>
  <c r="AW413" i="41"/>
  <c r="AV413" i="41"/>
  <c r="AU413" i="41"/>
  <c r="AT413" i="41"/>
  <c r="AS413" i="41"/>
  <c r="AR413" i="41"/>
  <c r="AQ413" i="41"/>
  <c r="AP413" i="41"/>
  <c r="AO413" i="41"/>
  <c r="AN413" i="41"/>
  <c r="AJ413" i="41"/>
  <c r="AB413" i="41"/>
  <c r="Z413" i="41"/>
  <c r="X413" i="41"/>
  <c r="U413" i="41"/>
  <c r="V413" i="41" s="1"/>
  <c r="AM413" i="41" s="1"/>
  <c r="R413" i="41"/>
  <c r="P413" i="41"/>
  <c r="M413" i="41"/>
  <c r="N413" i="41" s="1"/>
  <c r="H413" i="41"/>
  <c r="F413" i="41"/>
  <c r="BC412" i="41"/>
  <c r="BB412" i="41"/>
  <c r="BA412" i="41"/>
  <c r="AZ412" i="41"/>
  <c r="AY412" i="41"/>
  <c r="AX412" i="41"/>
  <c r="AW412" i="41"/>
  <c r="AV412" i="41"/>
  <c r="AU412" i="41"/>
  <c r="AT412" i="41"/>
  <c r="AS412" i="41"/>
  <c r="AR412" i="41"/>
  <c r="AQ412" i="41"/>
  <c r="AP412" i="41"/>
  <c r="AO412" i="41"/>
  <c r="AN412" i="41"/>
  <c r="AJ412" i="41"/>
  <c r="AB412" i="41"/>
  <c r="Z412" i="41"/>
  <c r="X412" i="41"/>
  <c r="U412" i="41"/>
  <c r="V412" i="41" s="1"/>
  <c r="AM412" i="41" s="1"/>
  <c r="R412" i="41"/>
  <c r="P412" i="41"/>
  <c r="M412" i="41"/>
  <c r="N412" i="41" s="1"/>
  <c r="H412" i="41"/>
  <c r="F412" i="41"/>
  <c r="BC411" i="41"/>
  <c r="BB411" i="41"/>
  <c r="BA411" i="41"/>
  <c r="AZ411" i="41"/>
  <c r="AY411" i="41"/>
  <c r="AX411" i="41"/>
  <c r="AW411" i="41"/>
  <c r="AV411" i="41"/>
  <c r="AU411" i="41"/>
  <c r="AT411" i="41"/>
  <c r="AS411" i="41"/>
  <c r="AR411" i="41"/>
  <c r="AQ411" i="41"/>
  <c r="AP411" i="41"/>
  <c r="AO411" i="41"/>
  <c r="AN411" i="41"/>
  <c r="AJ411" i="41"/>
  <c r="AB411" i="41"/>
  <c r="Z411" i="41"/>
  <c r="X411" i="41"/>
  <c r="U411" i="41"/>
  <c r="V411" i="41" s="1"/>
  <c r="AM411" i="41" s="1"/>
  <c r="R411" i="41"/>
  <c r="P411" i="41"/>
  <c r="M411" i="41"/>
  <c r="N411" i="41" s="1"/>
  <c r="I411" i="41"/>
  <c r="H411" i="41"/>
  <c r="F411" i="41"/>
  <c r="BC410" i="41"/>
  <c r="BB410" i="41"/>
  <c r="BA410" i="41"/>
  <c r="AZ410" i="41"/>
  <c r="AY410" i="41"/>
  <c r="AX410" i="41"/>
  <c r="AW410" i="41"/>
  <c r="AV410" i="41"/>
  <c r="AU410" i="41"/>
  <c r="AT410" i="41"/>
  <c r="AS410" i="41"/>
  <c r="AR410" i="41"/>
  <c r="AQ410" i="41"/>
  <c r="AP410" i="41"/>
  <c r="AO410" i="41"/>
  <c r="AN410" i="41"/>
  <c r="AJ410" i="41"/>
  <c r="AB410" i="41"/>
  <c r="Z410" i="41"/>
  <c r="X410" i="41"/>
  <c r="U410" i="41"/>
  <c r="V410" i="41" s="1"/>
  <c r="AM410" i="41" s="1"/>
  <c r="R410" i="41"/>
  <c r="P410" i="41"/>
  <c r="M410" i="41"/>
  <c r="N410" i="41" s="1"/>
  <c r="H410" i="41"/>
  <c r="F410" i="41"/>
  <c r="BC409" i="41"/>
  <c r="BB409" i="41"/>
  <c r="BA409" i="41"/>
  <c r="AZ409" i="41"/>
  <c r="AY409" i="41"/>
  <c r="AX409" i="41"/>
  <c r="AW409" i="41"/>
  <c r="AV409" i="41"/>
  <c r="AU409" i="41"/>
  <c r="AT409" i="41"/>
  <c r="AS409" i="41"/>
  <c r="AR409" i="41"/>
  <c r="AQ409" i="41"/>
  <c r="AP409" i="41"/>
  <c r="AO409" i="41"/>
  <c r="AN409" i="41"/>
  <c r="AJ409" i="41"/>
  <c r="AB409" i="41"/>
  <c r="Z409" i="41"/>
  <c r="X409" i="41"/>
  <c r="U409" i="41"/>
  <c r="V409" i="41" s="1"/>
  <c r="AM409" i="41" s="1"/>
  <c r="R409" i="41"/>
  <c r="P409" i="41"/>
  <c r="M409" i="41"/>
  <c r="N409" i="41" s="1"/>
  <c r="I409" i="41"/>
  <c r="H409" i="41"/>
  <c r="F409" i="41"/>
  <c r="BC408" i="41"/>
  <c r="BB408" i="41"/>
  <c r="BA408" i="41"/>
  <c r="AZ408" i="41"/>
  <c r="AY408" i="41"/>
  <c r="AX408" i="41"/>
  <c r="AW408" i="41"/>
  <c r="AV408" i="41"/>
  <c r="AU408" i="41"/>
  <c r="AT408" i="41"/>
  <c r="AS408" i="41"/>
  <c r="AR408" i="41"/>
  <c r="AQ408" i="41"/>
  <c r="AP408" i="41"/>
  <c r="AO408" i="41"/>
  <c r="AN408" i="41"/>
  <c r="AJ408" i="41"/>
  <c r="AB408" i="41"/>
  <c r="Z408" i="41"/>
  <c r="X408" i="41"/>
  <c r="U408" i="41"/>
  <c r="V408" i="41" s="1"/>
  <c r="AM408" i="41" s="1"/>
  <c r="R408" i="41"/>
  <c r="P408" i="41"/>
  <c r="M408" i="41"/>
  <c r="N408" i="41" s="1"/>
  <c r="I408" i="41"/>
  <c r="H408" i="41"/>
  <c r="F408" i="41"/>
  <c r="BC407" i="41"/>
  <c r="BB407" i="41"/>
  <c r="BA407" i="41"/>
  <c r="AZ407" i="41"/>
  <c r="AY407" i="41"/>
  <c r="AX407" i="41"/>
  <c r="AW407" i="41"/>
  <c r="AV407" i="41"/>
  <c r="AU407" i="41"/>
  <c r="AT407" i="41"/>
  <c r="AS407" i="41"/>
  <c r="AR407" i="41"/>
  <c r="AQ407" i="41"/>
  <c r="AP407" i="41"/>
  <c r="AO407" i="41"/>
  <c r="AN407" i="41"/>
  <c r="AJ407" i="41"/>
  <c r="AB407" i="41"/>
  <c r="Z407" i="41"/>
  <c r="X407" i="41"/>
  <c r="U407" i="41"/>
  <c r="V407" i="41" s="1"/>
  <c r="AM407" i="41" s="1"/>
  <c r="R407" i="41"/>
  <c r="P407" i="41"/>
  <c r="M407" i="41"/>
  <c r="N407" i="41" s="1"/>
  <c r="H407" i="41"/>
  <c r="F407" i="41"/>
  <c r="BC406" i="41"/>
  <c r="BB406" i="41"/>
  <c r="BA406" i="41"/>
  <c r="AZ406" i="41"/>
  <c r="AY406" i="41"/>
  <c r="AX406" i="41"/>
  <c r="AW406" i="41"/>
  <c r="AV406" i="41"/>
  <c r="AU406" i="41"/>
  <c r="AT406" i="41"/>
  <c r="AS406" i="41"/>
  <c r="AR406" i="41"/>
  <c r="AQ406" i="41"/>
  <c r="AP406" i="41"/>
  <c r="AO406" i="41"/>
  <c r="AN406" i="41"/>
  <c r="AJ406" i="41"/>
  <c r="AB406" i="41"/>
  <c r="Z406" i="41"/>
  <c r="X406" i="41"/>
  <c r="U406" i="41"/>
  <c r="V406" i="41" s="1"/>
  <c r="AM406" i="41" s="1"/>
  <c r="R406" i="41"/>
  <c r="P406" i="41"/>
  <c r="M406" i="41"/>
  <c r="N406" i="41" s="1"/>
  <c r="H406" i="41"/>
  <c r="F406" i="41"/>
  <c r="BC405" i="41"/>
  <c r="BB405" i="41"/>
  <c r="BA405" i="41"/>
  <c r="AZ405" i="41"/>
  <c r="AY405" i="41"/>
  <c r="AX405" i="41"/>
  <c r="AW405" i="41"/>
  <c r="AV405" i="41"/>
  <c r="AU405" i="41"/>
  <c r="AT405" i="41"/>
  <c r="AS405" i="41"/>
  <c r="AR405" i="41"/>
  <c r="AQ405" i="41"/>
  <c r="AP405" i="41"/>
  <c r="AO405" i="41"/>
  <c r="AN405" i="41"/>
  <c r="AJ405" i="41"/>
  <c r="AB405" i="41"/>
  <c r="Z405" i="41"/>
  <c r="X405" i="41"/>
  <c r="U405" i="41"/>
  <c r="V405" i="41" s="1"/>
  <c r="AM405" i="41" s="1"/>
  <c r="R405" i="41"/>
  <c r="P405" i="41"/>
  <c r="M405" i="41"/>
  <c r="N405" i="41" s="1"/>
  <c r="H405" i="41"/>
  <c r="F405" i="41"/>
  <c r="BC404" i="41"/>
  <c r="BB404" i="41"/>
  <c r="BA404" i="41"/>
  <c r="AZ404" i="41"/>
  <c r="AY404" i="41"/>
  <c r="AX404" i="41"/>
  <c r="AW404" i="41"/>
  <c r="AV404" i="41"/>
  <c r="AU404" i="41"/>
  <c r="AT404" i="41"/>
  <c r="AS404" i="41"/>
  <c r="AR404" i="41"/>
  <c r="AQ404" i="41"/>
  <c r="AP404" i="41"/>
  <c r="AO404" i="41"/>
  <c r="AN404" i="41"/>
  <c r="AJ404" i="41"/>
  <c r="AB404" i="41"/>
  <c r="Z404" i="41"/>
  <c r="X404" i="41"/>
  <c r="U404" i="41"/>
  <c r="V404" i="41" s="1"/>
  <c r="AM404" i="41" s="1"/>
  <c r="R404" i="41"/>
  <c r="P404" i="41"/>
  <c r="M404" i="41"/>
  <c r="N404" i="41" s="1"/>
  <c r="I404" i="41"/>
  <c r="H404" i="41"/>
  <c r="F404" i="41"/>
  <c r="BC403" i="41"/>
  <c r="BB403" i="41"/>
  <c r="BA403" i="41"/>
  <c r="AZ403" i="41"/>
  <c r="AY403" i="41"/>
  <c r="AX403" i="41"/>
  <c r="AW403" i="41"/>
  <c r="AV403" i="41"/>
  <c r="AU403" i="41"/>
  <c r="AT403" i="41"/>
  <c r="AS403" i="41"/>
  <c r="AR403" i="41"/>
  <c r="AQ403" i="41"/>
  <c r="AP403" i="41"/>
  <c r="AO403" i="41"/>
  <c r="AN403" i="41"/>
  <c r="AJ403" i="41"/>
  <c r="AB403" i="41"/>
  <c r="Z403" i="41"/>
  <c r="X403" i="41"/>
  <c r="U403" i="41"/>
  <c r="V403" i="41" s="1"/>
  <c r="AM403" i="41" s="1"/>
  <c r="R403" i="41"/>
  <c r="P403" i="41"/>
  <c r="M403" i="41"/>
  <c r="N403" i="41" s="1"/>
  <c r="H403" i="41"/>
  <c r="F403" i="41"/>
  <c r="BC402" i="41"/>
  <c r="BB402" i="41"/>
  <c r="BA402" i="41"/>
  <c r="AZ402" i="41"/>
  <c r="AY402" i="41"/>
  <c r="AX402" i="41"/>
  <c r="AW402" i="41"/>
  <c r="AV402" i="41"/>
  <c r="AU402" i="41"/>
  <c r="AT402" i="41"/>
  <c r="AS402" i="41"/>
  <c r="AR402" i="41"/>
  <c r="AQ402" i="41"/>
  <c r="AP402" i="41"/>
  <c r="AO402" i="41"/>
  <c r="AN402" i="41"/>
  <c r="AJ402" i="41"/>
  <c r="AB402" i="41"/>
  <c r="Z402" i="41"/>
  <c r="X402" i="41"/>
  <c r="U402" i="41"/>
  <c r="V402" i="41" s="1"/>
  <c r="AM402" i="41" s="1"/>
  <c r="R402" i="41"/>
  <c r="P402" i="41"/>
  <c r="M402" i="41"/>
  <c r="N402" i="41" s="1"/>
  <c r="H402" i="41"/>
  <c r="F402" i="41"/>
  <c r="BC401" i="41"/>
  <c r="BB401" i="41"/>
  <c r="BA401" i="41"/>
  <c r="AZ401" i="41"/>
  <c r="AY401" i="41"/>
  <c r="AX401" i="41"/>
  <c r="AW401" i="41"/>
  <c r="AV401" i="41"/>
  <c r="AU401" i="41"/>
  <c r="AT401" i="41"/>
  <c r="AS401" i="41"/>
  <c r="AR401" i="41"/>
  <c r="AQ401" i="41"/>
  <c r="AP401" i="41"/>
  <c r="AO401" i="41"/>
  <c r="AN401" i="41"/>
  <c r="AJ401" i="41"/>
  <c r="AB401" i="41"/>
  <c r="Z401" i="41"/>
  <c r="X401" i="41"/>
  <c r="U401" i="41"/>
  <c r="V401" i="41" s="1"/>
  <c r="AM401" i="41" s="1"/>
  <c r="R401" i="41"/>
  <c r="P401" i="41"/>
  <c r="M401" i="41"/>
  <c r="N401" i="41" s="1"/>
  <c r="H401" i="41"/>
  <c r="F401" i="41"/>
  <c r="BC400" i="41"/>
  <c r="BB400" i="41"/>
  <c r="BA400" i="41"/>
  <c r="AZ400" i="41"/>
  <c r="AY400" i="41"/>
  <c r="AX400" i="41"/>
  <c r="AW400" i="41"/>
  <c r="AV400" i="41"/>
  <c r="AU400" i="41"/>
  <c r="AT400" i="41"/>
  <c r="AS400" i="41"/>
  <c r="AR400" i="41"/>
  <c r="AQ400" i="41"/>
  <c r="AP400" i="41"/>
  <c r="AO400" i="41"/>
  <c r="AN400" i="41"/>
  <c r="AJ400" i="41"/>
  <c r="AB400" i="41"/>
  <c r="Z400" i="41"/>
  <c r="X400" i="41"/>
  <c r="U400" i="41"/>
  <c r="V400" i="41" s="1"/>
  <c r="AM400" i="41" s="1"/>
  <c r="R400" i="41"/>
  <c r="P400" i="41"/>
  <c r="M400" i="41"/>
  <c r="N400" i="41" s="1"/>
  <c r="I400" i="41"/>
  <c r="H400" i="41"/>
  <c r="F400" i="41"/>
  <c r="BC399" i="41"/>
  <c r="BB399" i="41"/>
  <c r="BA399" i="41"/>
  <c r="AZ399" i="41"/>
  <c r="AY399" i="41"/>
  <c r="AX399" i="41"/>
  <c r="AW399" i="41"/>
  <c r="AV399" i="41"/>
  <c r="AU399" i="41"/>
  <c r="AT399" i="41"/>
  <c r="AS399" i="41"/>
  <c r="AR399" i="41"/>
  <c r="AQ399" i="41"/>
  <c r="AP399" i="41"/>
  <c r="AO399" i="41"/>
  <c r="AN399" i="41"/>
  <c r="AJ399" i="41"/>
  <c r="AB399" i="41"/>
  <c r="Z399" i="41"/>
  <c r="X399" i="41"/>
  <c r="U399" i="41"/>
  <c r="V399" i="41" s="1"/>
  <c r="AM399" i="41" s="1"/>
  <c r="R399" i="41"/>
  <c r="P399" i="41"/>
  <c r="M399" i="41"/>
  <c r="N399" i="41" s="1"/>
  <c r="I399" i="41"/>
  <c r="H399" i="41"/>
  <c r="F399" i="41"/>
  <c r="BC398" i="41"/>
  <c r="BB398" i="41"/>
  <c r="BA398" i="41"/>
  <c r="AZ398" i="41"/>
  <c r="AY398" i="41"/>
  <c r="AX398" i="41"/>
  <c r="AW398" i="41"/>
  <c r="AV398" i="41"/>
  <c r="AU398" i="41"/>
  <c r="AT398" i="41"/>
  <c r="AS398" i="41"/>
  <c r="AR398" i="41"/>
  <c r="AQ398" i="41"/>
  <c r="AP398" i="41"/>
  <c r="AO398" i="41"/>
  <c r="AN398" i="41"/>
  <c r="AJ398" i="41"/>
  <c r="AB398" i="41"/>
  <c r="Z398" i="41"/>
  <c r="X398" i="41"/>
  <c r="U398" i="41"/>
  <c r="V398" i="41" s="1"/>
  <c r="AM398" i="41" s="1"/>
  <c r="R398" i="41"/>
  <c r="P398" i="41"/>
  <c r="M398" i="41"/>
  <c r="N398" i="41" s="1"/>
  <c r="I398" i="41"/>
  <c r="H398" i="41"/>
  <c r="F398" i="41"/>
  <c r="BC397" i="41"/>
  <c r="BB397" i="41"/>
  <c r="BA397" i="41"/>
  <c r="AZ397" i="41"/>
  <c r="AY397" i="41"/>
  <c r="AX397" i="41"/>
  <c r="AW397" i="41"/>
  <c r="AV397" i="41"/>
  <c r="AU397" i="41"/>
  <c r="AT397" i="41"/>
  <c r="AS397" i="41"/>
  <c r="AR397" i="41"/>
  <c r="AQ397" i="41"/>
  <c r="AP397" i="41"/>
  <c r="AO397" i="41"/>
  <c r="AN397" i="41"/>
  <c r="AJ397" i="41"/>
  <c r="AB397" i="41"/>
  <c r="Z397" i="41"/>
  <c r="X397" i="41"/>
  <c r="U397" i="41"/>
  <c r="V397" i="41" s="1"/>
  <c r="AM397" i="41" s="1"/>
  <c r="R397" i="41"/>
  <c r="P397" i="41"/>
  <c r="M397" i="41"/>
  <c r="N397" i="41" s="1"/>
  <c r="I397" i="41"/>
  <c r="H397" i="41"/>
  <c r="F397" i="41"/>
  <c r="BC396" i="41"/>
  <c r="BB396" i="41"/>
  <c r="BA396" i="41"/>
  <c r="AZ396" i="41"/>
  <c r="AY396" i="41"/>
  <c r="AX396" i="41"/>
  <c r="AW396" i="41"/>
  <c r="AV396" i="41"/>
  <c r="AU396" i="41"/>
  <c r="AT396" i="41"/>
  <c r="AS396" i="41"/>
  <c r="AR396" i="41"/>
  <c r="AQ396" i="41"/>
  <c r="AP396" i="41"/>
  <c r="AO396" i="41"/>
  <c r="AN396" i="41"/>
  <c r="AJ396" i="41"/>
  <c r="AB396" i="41"/>
  <c r="Z396" i="41"/>
  <c r="X396" i="41"/>
  <c r="U396" i="41"/>
  <c r="V396" i="41" s="1"/>
  <c r="AM396" i="41" s="1"/>
  <c r="R396" i="41"/>
  <c r="P396" i="41"/>
  <c r="M396" i="41"/>
  <c r="N396" i="41" s="1"/>
  <c r="I396" i="41"/>
  <c r="H396" i="41"/>
  <c r="F396" i="41"/>
  <c r="BC395" i="41"/>
  <c r="BB395" i="41"/>
  <c r="BA395" i="41"/>
  <c r="AZ395" i="41"/>
  <c r="AY395" i="41"/>
  <c r="AX395" i="41"/>
  <c r="AW395" i="41"/>
  <c r="AV395" i="41"/>
  <c r="AU395" i="41"/>
  <c r="AT395" i="41"/>
  <c r="AS395" i="41"/>
  <c r="AR395" i="41"/>
  <c r="AQ395" i="41"/>
  <c r="AP395" i="41"/>
  <c r="AO395" i="41"/>
  <c r="AN395" i="41"/>
  <c r="AJ395" i="41"/>
  <c r="AB395" i="41"/>
  <c r="Z395" i="41"/>
  <c r="X395" i="41"/>
  <c r="U395" i="41"/>
  <c r="V395" i="41" s="1"/>
  <c r="AM395" i="41" s="1"/>
  <c r="R395" i="41"/>
  <c r="P395" i="41"/>
  <c r="M395" i="41"/>
  <c r="N395" i="41" s="1"/>
  <c r="H395" i="41"/>
  <c r="F395" i="41"/>
  <c r="BC394" i="41"/>
  <c r="BB394" i="41"/>
  <c r="BA394" i="41"/>
  <c r="AZ394" i="41"/>
  <c r="AY394" i="41"/>
  <c r="AX394" i="41"/>
  <c r="AW394" i="41"/>
  <c r="AV394" i="41"/>
  <c r="AU394" i="41"/>
  <c r="AT394" i="41"/>
  <c r="AS394" i="41"/>
  <c r="AR394" i="41"/>
  <c r="AQ394" i="41"/>
  <c r="AP394" i="41"/>
  <c r="AO394" i="41"/>
  <c r="AN394" i="41"/>
  <c r="AJ394" i="41"/>
  <c r="AB394" i="41"/>
  <c r="Z394" i="41"/>
  <c r="X394" i="41"/>
  <c r="U394" i="41"/>
  <c r="V394" i="41" s="1"/>
  <c r="AM394" i="41" s="1"/>
  <c r="R394" i="41"/>
  <c r="P394" i="41"/>
  <c r="M394" i="41"/>
  <c r="N394" i="41" s="1"/>
  <c r="I394" i="41"/>
  <c r="H394" i="41"/>
  <c r="F394" i="41"/>
  <c r="BC393" i="41"/>
  <c r="BB393" i="41"/>
  <c r="BA393" i="41"/>
  <c r="AZ393" i="41"/>
  <c r="AY393" i="41"/>
  <c r="AX393" i="41"/>
  <c r="AW393" i="41"/>
  <c r="AV393" i="41"/>
  <c r="AU393" i="41"/>
  <c r="AT393" i="41"/>
  <c r="AS393" i="41"/>
  <c r="AR393" i="41"/>
  <c r="AQ393" i="41"/>
  <c r="AP393" i="41"/>
  <c r="AO393" i="41"/>
  <c r="AN393" i="41"/>
  <c r="AJ393" i="41"/>
  <c r="AB393" i="41"/>
  <c r="Z393" i="41"/>
  <c r="X393" i="41"/>
  <c r="U393" i="41"/>
  <c r="V393" i="41" s="1"/>
  <c r="AM393" i="41" s="1"/>
  <c r="R393" i="41"/>
  <c r="P393" i="41"/>
  <c r="M393" i="41"/>
  <c r="N393" i="41" s="1"/>
  <c r="H393" i="41"/>
  <c r="F393" i="41"/>
  <c r="BC392" i="41"/>
  <c r="BB392" i="41"/>
  <c r="BA392" i="41"/>
  <c r="AZ392" i="41"/>
  <c r="AY392" i="41"/>
  <c r="AX392" i="41"/>
  <c r="AW392" i="41"/>
  <c r="AV392" i="41"/>
  <c r="AU392" i="41"/>
  <c r="AT392" i="41"/>
  <c r="AS392" i="41"/>
  <c r="AR392" i="41"/>
  <c r="AQ392" i="41"/>
  <c r="AP392" i="41"/>
  <c r="AO392" i="41"/>
  <c r="AN392" i="41"/>
  <c r="AJ392" i="41"/>
  <c r="AB392" i="41"/>
  <c r="Z392" i="41"/>
  <c r="X392" i="41"/>
  <c r="U392" i="41"/>
  <c r="V392" i="41" s="1"/>
  <c r="AM392" i="41" s="1"/>
  <c r="R392" i="41"/>
  <c r="P392" i="41"/>
  <c r="M392" i="41"/>
  <c r="N392" i="41" s="1"/>
  <c r="I392" i="41"/>
  <c r="H392" i="41"/>
  <c r="F392" i="41"/>
  <c r="BC391" i="41"/>
  <c r="BB391" i="41"/>
  <c r="BA391" i="41"/>
  <c r="AZ391" i="41"/>
  <c r="AY391" i="41"/>
  <c r="AX391" i="41"/>
  <c r="AW391" i="41"/>
  <c r="AV391" i="41"/>
  <c r="AU391" i="41"/>
  <c r="AT391" i="41"/>
  <c r="AS391" i="41"/>
  <c r="AR391" i="41"/>
  <c r="AQ391" i="41"/>
  <c r="AP391" i="41"/>
  <c r="AO391" i="41"/>
  <c r="AN391" i="41"/>
  <c r="AJ391" i="41"/>
  <c r="AB391" i="41"/>
  <c r="Z391" i="41"/>
  <c r="X391" i="41"/>
  <c r="U391" i="41"/>
  <c r="V391" i="41" s="1"/>
  <c r="AM391" i="41" s="1"/>
  <c r="R391" i="41"/>
  <c r="P391" i="41"/>
  <c r="M391" i="41"/>
  <c r="N391" i="41" s="1"/>
  <c r="H391" i="41"/>
  <c r="F391" i="41"/>
  <c r="BC390" i="41"/>
  <c r="BB390" i="41"/>
  <c r="BA390" i="41"/>
  <c r="AZ390" i="41"/>
  <c r="AY390" i="41"/>
  <c r="AX390" i="41"/>
  <c r="AW390" i="41"/>
  <c r="AV390" i="41"/>
  <c r="AU390" i="41"/>
  <c r="AT390" i="41"/>
  <c r="AS390" i="41"/>
  <c r="AR390" i="41"/>
  <c r="AQ390" i="41"/>
  <c r="AP390" i="41"/>
  <c r="AO390" i="41"/>
  <c r="AN390" i="41"/>
  <c r="AJ390" i="41"/>
  <c r="AB390" i="41"/>
  <c r="Z390" i="41"/>
  <c r="X390" i="41"/>
  <c r="U390" i="41"/>
  <c r="V390" i="41" s="1"/>
  <c r="AM390" i="41" s="1"/>
  <c r="R390" i="41"/>
  <c r="P390" i="41"/>
  <c r="M390" i="41"/>
  <c r="N390" i="41" s="1"/>
  <c r="I390" i="41"/>
  <c r="H390" i="41"/>
  <c r="F390" i="41"/>
  <c r="BC389" i="41"/>
  <c r="BB389" i="41"/>
  <c r="BA389" i="41"/>
  <c r="AZ389" i="41"/>
  <c r="AY389" i="41"/>
  <c r="AX389" i="41"/>
  <c r="AW389" i="41"/>
  <c r="AV389" i="41"/>
  <c r="AU389" i="41"/>
  <c r="AT389" i="41"/>
  <c r="AS389" i="41"/>
  <c r="AR389" i="41"/>
  <c r="AQ389" i="41"/>
  <c r="AP389" i="41"/>
  <c r="AO389" i="41"/>
  <c r="AN389" i="41"/>
  <c r="AJ389" i="41"/>
  <c r="AB389" i="41"/>
  <c r="Z389" i="41"/>
  <c r="X389" i="41"/>
  <c r="U389" i="41"/>
  <c r="V389" i="41" s="1"/>
  <c r="AM389" i="41" s="1"/>
  <c r="R389" i="41"/>
  <c r="P389" i="41"/>
  <c r="M389" i="41"/>
  <c r="N389" i="41" s="1"/>
  <c r="I389" i="41"/>
  <c r="H389" i="41"/>
  <c r="F389" i="41"/>
  <c r="BC388" i="41"/>
  <c r="BB388" i="41"/>
  <c r="BA388" i="41"/>
  <c r="AZ388" i="41"/>
  <c r="AY388" i="41"/>
  <c r="AX388" i="41"/>
  <c r="AW388" i="41"/>
  <c r="AV388" i="41"/>
  <c r="AU388" i="41"/>
  <c r="AT388" i="41"/>
  <c r="AS388" i="41"/>
  <c r="AR388" i="41"/>
  <c r="AQ388" i="41"/>
  <c r="AP388" i="41"/>
  <c r="AO388" i="41"/>
  <c r="AN388" i="41"/>
  <c r="AJ388" i="41"/>
  <c r="AB388" i="41"/>
  <c r="Z388" i="41"/>
  <c r="X388" i="41"/>
  <c r="U388" i="41"/>
  <c r="V388" i="41" s="1"/>
  <c r="AM388" i="41" s="1"/>
  <c r="R388" i="41"/>
  <c r="P388" i="41"/>
  <c r="M388" i="41"/>
  <c r="N388" i="41" s="1"/>
  <c r="H388" i="41"/>
  <c r="F388" i="41"/>
  <c r="BC387" i="41"/>
  <c r="BB387" i="41"/>
  <c r="BA387" i="41"/>
  <c r="AZ387" i="41"/>
  <c r="AY387" i="41"/>
  <c r="AX387" i="41"/>
  <c r="AW387" i="41"/>
  <c r="AV387" i="41"/>
  <c r="AU387" i="41"/>
  <c r="AT387" i="41"/>
  <c r="AS387" i="41"/>
  <c r="AR387" i="41"/>
  <c r="AQ387" i="41"/>
  <c r="AP387" i="41"/>
  <c r="AO387" i="41"/>
  <c r="AN387" i="41"/>
  <c r="AJ387" i="41"/>
  <c r="AB387" i="41"/>
  <c r="Z387" i="41"/>
  <c r="X387" i="41"/>
  <c r="U387" i="41"/>
  <c r="V387" i="41" s="1"/>
  <c r="AM387" i="41" s="1"/>
  <c r="R387" i="41"/>
  <c r="P387" i="41"/>
  <c r="M387" i="41"/>
  <c r="N387" i="41" s="1"/>
  <c r="H387" i="41"/>
  <c r="F387" i="41"/>
  <c r="BC386" i="41"/>
  <c r="BB386" i="41"/>
  <c r="BA386" i="41"/>
  <c r="AZ386" i="41"/>
  <c r="AY386" i="41"/>
  <c r="AX386" i="41"/>
  <c r="AW386" i="41"/>
  <c r="AV386" i="41"/>
  <c r="AU386" i="41"/>
  <c r="AT386" i="41"/>
  <c r="AS386" i="41"/>
  <c r="AR386" i="41"/>
  <c r="AQ386" i="41"/>
  <c r="AP386" i="41"/>
  <c r="AO386" i="41"/>
  <c r="AN386" i="41"/>
  <c r="AJ386" i="41"/>
  <c r="AB386" i="41"/>
  <c r="Z386" i="41"/>
  <c r="X386" i="41"/>
  <c r="U386" i="41"/>
  <c r="V386" i="41" s="1"/>
  <c r="AM386" i="41" s="1"/>
  <c r="R386" i="41"/>
  <c r="P386" i="41"/>
  <c r="M386" i="41"/>
  <c r="N386" i="41" s="1"/>
  <c r="H386" i="41"/>
  <c r="F386" i="41"/>
  <c r="BC385" i="41"/>
  <c r="BB385" i="41"/>
  <c r="BA385" i="41"/>
  <c r="AZ385" i="41"/>
  <c r="AY385" i="41"/>
  <c r="AX385" i="41"/>
  <c r="AW385" i="41"/>
  <c r="AV385" i="41"/>
  <c r="AU385" i="41"/>
  <c r="AT385" i="41"/>
  <c r="AS385" i="41"/>
  <c r="AR385" i="41"/>
  <c r="AQ385" i="41"/>
  <c r="AP385" i="41"/>
  <c r="AO385" i="41"/>
  <c r="AN385" i="41"/>
  <c r="AJ385" i="41"/>
  <c r="AB385" i="41"/>
  <c r="Z385" i="41"/>
  <c r="X385" i="41"/>
  <c r="U385" i="41"/>
  <c r="V385" i="41" s="1"/>
  <c r="AM385" i="41" s="1"/>
  <c r="R385" i="41"/>
  <c r="P385" i="41"/>
  <c r="M385" i="41"/>
  <c r="N385" i="41" s="1"/>
  <c r="H385" i="41"/>
  <c r="F385" i="41"/>
  <c r="BC384" i="41"/>
  <c r="BB384" i="41"/>
  <c r="BA384" i="41"/>
  <c r="AZ384" i="41"/>
  <c r="AY384" i="41"/>
  <c r="AX384" i="41"/>
  <c r="AW384" i="41"/>
  <c r="AV384" i="41"/>
  <c r="AU384" i="41"/>
  <c r="AT384" i="41"/>
  <c r="AS384" i="41"/>
  <c r="AR384" i="41"/>
  <c r="AQ384" i="41"/>
  <c r="AP384" i="41"/>
  <c r="AO384" i="41"/>
  <c r="AN384" i="41"/>
  <c r="AJ384" i="41"/>
  <c r="AB384" i="41"/>
  <c r="Z384" i="41"/>
  <c r="X384" i="41"/>
  <c r="U384" i="41"/>
  <c r="V384" i="41" s="1"/>
  <c r="AM384" i="41" s="1"/>
  <c r="R384" i="41"/>
  <c r="P384" i="41"/>
  <c r="M384" i="41"/>
  <c r="N384" i="41" s="1"/>
  <c r="I384" i="41"/>
  <c r="H384" i="41"/>
  <c r="F384" i="41"/>
  <c r="BC383" i="41"/>
  <c r="BB383" i="41"/>
  <c r="BA383" i="41"/>
  <c r="AZ383" i="41"/>
  <c r="AY383" i="41"/>
  <c r="AX383" i="41"/>
  <c r="AW383" i="41"/>
  <c r="AV383" i="41"/>
  <c r="AU383" i="41"/>
  <c r="AT383" i="41"/>
  <c r="AS383" i="41"/>
  <c r="AR383" i="41"/>
  <c r="AQ383" i="41"/>
  <c r="AP383" i="41"/>
  <c r="AO383" i="41"/>
  <c r="AN383" i="41"/>
  <c r="AJ383" i="41"/>
  <c r="AB383" i="41"/>
  <c r="Z383" i="41"/>
  <c r="X383" i="41"/>
  <c r="U383" i="41"/>
  <c r="V383" i="41" s="1"/>
  <c r="AM383" i="41" s="1"/>
  <c r="R383" i="41"/>
  <c r="P383" i="41"/>
  <c r="M383" i="41"/>
  <c r="N383" i="41" s="1"/>
  <c r="I383" i="41"/>
  <c r="H383" i="41"/>
  <c r="F383" i="41"/>
  <c r="BC382" i="41"/>
  <c r="BB382" i="41"/>
  <c r="BA382" i="41"/>
  <c r="AZ382" i="41"/>
  <c r="AY382" i="41"/>
  <c r="AX382" i="41"/>
  <c r="AW382" i="41"/>
  <c r="AV382" i="41"/>
  <c r="AU382" i="41"/>
  <c r="AT382" i="41"/>
  <c r="AS382" i="41"/>
  <c r="AR382" i="41"/>
  <c r="AQ382" i="41"/>
  <c r="AP382" i="41"/>
  <c r="AO382" i="41"/>
  <c r="AN382" i="41"/>
  <c r="AJ382" i="41"/>
  <c r="AB382" i="41"/>
  <c r="Z382" i="41"/>
  <c r="X382" i="41"/>
  <c r="U382" i="41"/>
  <c r="V382" i="41" s="1"/>
  <c r="AM382" i="41" s="1"/>
  <c r="R382" i="41"/>
  <c r="P382" i="41"/>
  <c r="M382" i="41"/>
  <c r="N382" i="41" s="1"/>
  <c r="I382" i="41"/>
  <c r="H382" i="41"/>
  <c r="F382" i="41"/>
  <c r="BC381" i="41"/>
  <c r="BB381" i="41"/>
  <c r="BA381" i="41"/>
  <c r="AZ381" i="41"/>
  <c r="AY381" i="41"/>
  <c r="AX381" i="41"/>
  <c r="AW381" i="41"/>
  <c r="AV381" i="41"/>
  <c r="AU381" i="41"/>
  <c r="AT381" i="41"/>
  <c r="AS381" i="41"/>
  <c r="AR381" i="41"/>
  <c r="AQ381" i="41"/>
  <c r="AP381" i="41"/>
  <c r="AO381" i="41"/>
  <c r="AN381" i="41"/>
  <c r="AJ381" i="41"/>
  <c r="AB381" i="41"/>
  <c r="Z381" i="41"/>
  <c r="X381" i="41"/>
  <c r="U381" i="41"/>
  <c r="V381" i="41" s="1"/>
  <c r="AM381" i="41" s="1"/>
  <c r="R381" i="41"/>
  <c r="P381" i="41"/>
  <c r="M381" i="41"/>
  <c r="N381" i="41" s="1"/>
  <c r="I381" i="41"/>
  <c r="H381" i="41"/>
  <c r="F381" i="41"/>
  <c r="BC380" i="41"/>
  <c r="BB380" i="41"/>
  <c r="BA380" i="41"/>
  <c r="AZ380" i="41"/>
  <c r="AY380" i="41"/>
  <c r="AX380" i="41"/>
  <c r="AW380" i="41"/>
  <c r="AV380" i="41"/>
  <c r="AU380" i="41"/>
  <c r="AT380" i="41"/>
  <c r="AS380" i="41"/>
  <c r="AR380" i="41"/>
  <c r="AQ380" i="41"/>
  <c r="AP380" i="41"/>
  <c r="AO380" i="41"/>
  <c r="AN380" i="41"/>
  <c r="AJ380" i="41"/>
  <c r="AB380" i="41"/>
  <c r="Z380" i="41"/>
  <c r="X380" i="41"/>
  <c r="U380" i="41"/>
  <c r="V380" i="41" s="1"/>
  <c r="AM380" i="41" s="1"/>
  <c r="R380" i="41"/>
  <c r="P380" i="41"/>
  <c r="M380" i="41"/>
  <c r="N380" i="41" s="1"/>
  <c r="H380" i="41"/>
  <c r="F380" i="41"/>
  <c r="BC379" i="41"/>
  <c r="BB379" i="41"/>
  <c r="BA379" i="41"/>
  <c r="AZ379" i="41"/>
  <c r="AY379" i="41"/>
  <c r="AX379" i="41"/>
  <c r="AW379" i="41"/>
  <c r="AV379" i="41"/>
  <c r="AU379" i="41"/>
  <c r="AT379" i="41"/>
  <c r="AS379" i="41"/>
  <c r="AR379" i="41"/>
  <c r="AQ379" i="41"/>
  <c r="AP379" i="41"/>
  <c r="AO379" i="41"/>
  <c r="AN379" i="41"/>
  <c r="AJ379" i="41"/>
  <c r="AB379" i="41"/>
  <c r="Z379" i="41"/>
  <c r="X379" i="41"/>
  <c r="U379" i="41"/>
  <c r="V379" i="41" s="1"/>
  <c r="AM379" i="41" s="1"/>
  <c r="R379" i="41"/>
  <c r="P379" i="41"/>
  <c r="M379" i="41"/>
  <c r="N379" i="41" s="1"/>
  <c r="I379" i="41"/>
  <c r="H379" i="41"/>
  <c r="F379" i="41"/>
  <c r="BC378" i="41"/>
  <c r="BB378" i="41"/>
  <c r="BA378" i="41"/>
  <c r="AZ378" i="41"/>
  <c r="AY378" i="41"/>
  <c r="AX378" i="41"/>
  <c r="AW378" i="41"/>
  <c r="AV378" i="41"/>
  <c r="AU378" i="41"/>
  <c r="AT378" i="41"/>
  <c r="AS378" i="41"/>
  <c r="AR378" i="41"/>
  <c r="AQ378" i="41"/>
  <c r="AP378" i="41"/>
  <c r="AO378" i="41"/>
  <c r="AN378" i="41"/>
  <c r="AJ378" i="41"/>
  <c r="AB378" i="41"/>
  <c r="Z378" i="41"/>
  <c r="X378" i="41"/>
  <c r="U378" i="41"/>
  <c r="V378" i="41" s="1"/>
  <c r="AM378" i="41" s="1"/>
  <c r="R378" i="41"/>
  <c r="P378" i="41"/>
  <c r="M378" i="41"/>
  <c r="N378" i="41" s="1"/>
  <c r="I378" i="41"/>
  <c r="H378" i="41"/>
  <c r="F378" i="41"/>
  <c r="BC377" i="41"/>
  <c r="BB377" i="41"/>
  <c r="BA377" i="41"/>
  <c r="AZ377" i="41"/>
  <c r="AY377" i="41"/>
  <c r="AX377" i="41"/>
  <c r="AW377" i="41"/>
  <c r="AV377" i="41"/>
  <c r="AU377" i="41"/>
  <c r="AT377" i="41"/>
  <c r="AS377" i="41"/>
  <c r="AR377" i="41"/>
  <c r="AQ377" i="41"/>
  <c r="AP377" i="41"/>
  <c r="AO377" i="41"/>
  <c r="AN377" i="41"/>
  <c r="AJ377" i="41"/>
  <c r="AB377" i="41"/>
  <c r="Z377" i="41"/>
  <c r="X377" i="41"/>
  <c r="U377" i="41"/>
  <c r="V377" i="41" s="1"/>
  <c r="AM377" i="41" s="1"/>
  <c r="R377" i="41"/>
  <c r="P377" i="41"/>
  <c r="M377" i="41"/>
  <c r="N377" i="41" s="1"/>
  <c r="I377" i="41"/>
  <c r="H377" i="41"/>
  <c r="F377" i="41"/>
  <c r="BC376" i="41"/>
  <c r="BB376" i="41"/>
  <c r="BA376" i="41"/>
  <c r="AZ376" i="41"/>
  <c r="AY376" i="41"/>
  <c r="AX376" i="41"/>
  <c r="AW376" i="41"/>
  <c r="AV376" i="41"/>
  <c r="AU376" i="41"/>
  <c r="AT376" i="41"/>
  <c r="AS376" i="41"/>
  <c r="AR376" i="41"/>
  <c r="AQ376" i="41"/>
  <c r="AP376" i="41"/>
  <c r="AO376" i="41"/>
  <c r="AN376" i="41"/>
  <c r="AJ376" i="41"/>
  <c r="AB376" i="41"/>
  <c r="Z376" i="41"/>
  <c r="X376" i="41"/>
  <c r="U376" i="41"/>
  <c r="V376" i="41" s="1"/>
  <c r="AM376" i="41" s="1"/>
  <c r="R376" i="41"/>
  <c r="P376" i="41"/>
  <c r="M376" i="41"/>
  <c r="N376" i="41" s="1"/>
  <c r="I376" i="41"/>
  <c r="H376" i="41"/>
  <c r="F376" i="41"/>
  <c r="BC375" i="41"/>
  <c r="BB375" i="41"/>
  <c r="BA375" i="41"/>
  <c r="AZ375" i="41"/>
  <c r="AY375" i="41"/>
  <c r="AX375" i="41"/>
  <c r="AW375" i="41"/>
  <c r="AV375" i="41"/>
  <c r="AU375" i="41"/>
  <c r="AT375" i="41"/>
  <c r="AS375" i="41"/>
  <c r="AR375" i="41"/>
  <c r="AQ375" i="41"/>
  <c r="AP375" i="41"/>
  <c r="AO375" i="41"/>
  <c r="AN375" i="41"/>
  <c r="AJ375" i="41"/>
  <c r="AB375" i="41"/>
  <c r="Z375" i="41"/>
  <c r="X375" i="41"/>
  <c r="U375" i="41"/>
  <c r="V375" i="41" s="1"/>
  <c r="AM375" i="41" s="1"/>
  <c r="R375" i="41"/>
  <c r="P375" i="41"/>
  <c r="M375" i="41"/>
  <c r="N375" i="41" s="1"/>
  <c r="I375" i="41"/>
  <c r="H375" i="41"/>
  <c r="F375" i="41"/>
  <c r="BC374" i="41"/>
  <c r="BB374" i="41"/>
  <c r="BA374" i="41"/>
  <c r="AZ374" i="41"/>
  <c r="AY374" i="41"/>
  <c r="AX374" i="41"/>
  <c r="AW374" i="41"/>
  <c r="AV374" i="41"/>
  <c r="AU374" i="41"/>
  <c r="AT374" i="41"/>
  <c r="AS374" i="41"/>
  <c r="AR374" i="41"/>
  <c r="AQ374" i="41"/>
  <c r="AP374" i="41"/>
  <c r="AO374" i="41"/>
  <c r="AN374" i="41"/>
  <c r="AJ374" i="41"/>
  <c r="AB374" i="41"/>
  <c r="Z374" i="41"/>
  <c r="X374" i="41"/>
  <c r="U374" i="41"/>
  <c r="V374" i="41" s="1"/>
  <c r="AM374" i="41" s="1"/>
  <c r="R374" i="41"/>
  <c r="P374" i="41"/>
  <c r="M374" i="41"/>
  <c r="N374" i="41" s="1"/>
  <c r="H374" i="41"/>
  <c r="F374" i="41"/>
  <c r="BC373" i="41"/>
  <c r="BB373" i="41"/>
  <c r="BA373" i="41"/>
  <c r="AZ373" i="41"/>
  <c r="AY373" i="41"/>
  <c r="AX373" i="41"/>
  <c r="AW373" i="41"/>
  <c r="AV373" i="41"/>
  <c r="AU373" i="41"/>
  <c r="AT373" i="41"/>
  <c r="AS373" i="41"/>
  <c r="AR373" i="41"/>
  <c r="AQ373" i="41"/>
  <c r="AP373" i="41"/>
  <c r="AO373" i="41"/>
  <c r="AN373" i="41"/>
  <c r="AJ373" i="41"/>
  <c r="AB373" i="41"/>
  <c r="Z373" i="41"/>
  <c r="X373" i="41"/>
  <c r="U373" i="41"/>
  <c r="V373" i="41" s="1"/>
  <c r="AM373" i="41" s="1"/>
  <c r="R373" i="41"/>
  <c r="P373" i="41"/>
  <c r="M373" i="41"/>
  <c r="N373" i="41" s="1"/>
  <c r="I373" i="41"/>
  <c r="H373" i="41"/>
  <c r="F373" i="41"/>
  <c r="BC372" i="41"/>
  <c r="BB372" i="41"/>
  <c r="BA372" i="41"/>
  <c r="AZ372" i="41"/>
  <c r="AY372" i="41"/>
  <c r="AX372" i="41"/>
  <c r="AW372" i="41"/>
  <c r="AV372" i="41"/>
  <c r="AU372" i="41"/>
  <c r="AT372" i="41"/>
  <c r="AS372" i="41"/>
  <c r="AR372" i="41"/>
  <c r="AQ372" i="41"/>
  <c r="AP372" i="41"/>
  <c r="AO372" i="41"/>
  <c r="AN372" i="41"/>
  <c r="AJ372" i="41"/>
  <c r="AB372" i="41"/>
  <c r="Z372" i="41"/>
  <c r="X372" i="41"/>
  <c r="U372" i="41"/>
  <c r="V372" i="41" s="1"/>
  <c r="AM372" i="41" s="1"/>
  <c r="R372" i="41"/>
  <c r="P372" i="41"/>
  <c r="M372" i="41"/>
  <c r="N372" i="41" s="1"/>
  <c r="I372" i="41"/>
  <c r="H372" i="41"/>
  <c r="F372" i="41"/>
  <c r="BC371" i="41"/>
  <c r="BB371" i="41"/>
  <c r="BA371" i="41"/>
  <c r="AZ371" i="41"/>
  <c r="AY371" i="41"/>
  <c r="AX371" i="41"/>
  <c r="AW371" i="41"/>
  <c r="AV371" i="41"/>
  <c r="AU371" i="41"/>
  <c r="AT371" i="41"/>
  <c r="AS371" i="41"/>
  <c r="AR371" i="41"/>
  <c r="AQ371" i="41"/>
  <c r="AP371" i="41"/>
  <c r="AO371" i="41"/>
  <c r="AN371" i="41"/>
  <c r="AJ371" i="41"/>
  <c r="AB371" i="41"/>
  <c r="Z371" i="41"/>
  <c r="X371" i="41"/>
  <c r="U371" i="41"/>
  <c r="V371" i="41" s="1"/>
  <c r="AM371" i="41" s="1"/>
  <c r="R371" i="41"/>
  <c r="P371" i="41"/>
  <c r="M371" i="41"/>
  <c r="N371" i="41" s="1"/>
  <c r="I371" i="41"/>
  <c r="H371" i="41"/>
  <c r="F371" i="41"/>
  <c r="BC370" i="41"/>
  <c r="BB370" i="41"/>
  <c r="BA370" i="41"/>
  <c r="AZ370" i="41"/>
  <c r="AY370" i="41"/>
  <c r="AX370" i="41"/>
  <c r="AW370" i="41"/>
  <c r="AV370" i="41"/>
  <c r="AU370" i="41"/>
  <c r="AT370" i="41"/>
  <c r="AS370" i="41"/>
  <c r="AR370" i="41"/>
  <c r="AQ370" i="41"/>
  <c r="AP370" i="41"/>
  <c r="AO370" i="41"/>
  <c r="AN370" i="41"/>
  <c r="AJ370" i="41"/>
  <c r="AB370" i="41"/>
  <c r="Z370" i="41"/>
  <c r="X370" i="41"/>
  <c r="U370" i="41"/>
  <c r="V370" i="41" s="1"/>
  <c r="AM370" i="41" s="1"/>
  <c r="R370" i="41"/>
  <c r="P370" i="41"/>
  <c r="M370" i="41"/>
  <c r="N370" i="41" s="1"/>
  <c r="I370" i="41"/>
  <c r="H370" i="41"/>
  <c r="F370" i="41"/>
  <c r="BC369" i="41"/>
  <c r="BB369" i="41"/>
  <c r="BA369" i="41"/>
  <c r="AZ369" i="41"/>
  <c r="AY369" i="41"/>
  <c r="AX369" i="41"/>
  <c r="AW369" i="41"/>
  <c r="AV369" i="41"/>
  <c r="AU369" i="41"/>
  <c r="AT369" i="41"/>
  <c r="AS369" i="41"/>
  <c r="AR369" i="41"/>
  <c r="AQ369" i="41"/>
  <c r="AP369" i="41"/>
  <c r="AO369" i="41"/>
  <c r="AN369" i="41"/>
  <c r="AJ369" i="41"/>
  <c r="AB369" i="41"/>
  <c r="Z369" i="41"/>
  <c r="X369" i="41"/>
  <c r="U369" i="41"/>
  <c r="V369" i="41" s="1"/>
  <c r="AM369" i="41" s="1"/>
  <c r="R369" i="41"/>
  <c r="P369" i="41"/>
  <c r="M369" i="41"/>
  <c r="N369" i="41" s="1"/>
  <c r="I369" i="41"/>
  <c r="H369" i="41"/>
  <c r="F369" i="41"/>
  <c r="BC368" i="41"/>
  <c r="BB368" i="41"/>
  <c r="BA368" i="41"/>
  <c r="AZ368" i="41"/>
  <c r="AY368" i="41"/>
  <c r="AX368" i="41"/>
  <c r="AW368" i="41"/>
  <c r="AV368" i="41"/>
  <c r="AU368" i="41"/>
  <c r="AT368" i="41"/>
  <c r="AS368" i="41"/>
  <c r="AR368" i="41"/>
  <c r="AQ368" i="41"/>
  <c r="AP368" i="41"/>
  <c r="AO368" i="41"/>
  <c r="AN368" i="41"/>
  <c r="AJ368" i="41"/>
  <c r="AB368" i="41"/>
  <c r="Z368" i="41"/>
  <c r="X368" i="41"/>
  <c r="U368" i="41"/>
  <c r="V368" i="41" s="1"/>
  <c r="AM368" i="41" s="1"/>
  <c r="R368" i="41"/>
  <c r="P368" i="41"/>
  <c r="M368" i="41"/>
  <c r="N368" i="41" s="1"/>
  <c r="I368" i="41"/>
  <c r="H368" i="41"/>
  <c r="F368" i="41"/>
  <c r="BC367" i="41"/>
  <c r="BB367" i="41"/>
  <c r="BA367" i="41"/>
  <c r="AZ367" i="41"/>
  <c r="AY367" i="41"/>
  <c r="AX367" i="41"/>
  <c r="AW367" i="41"/>
  <c r="AV367" i="41"/>
  <c r="AU367" i="41"/>
  <c r="AT367" i="41"/>
  <c r="AS367" i="41"/>
  <c r="AR367" i="41"/>
  <c r="AQ367" i="41"/>
  <c r="AP367" i="41"/>
  <c r="AO367" i="41"/>
  <c r="AN367" i="41"/>
  <c r="AJ367" i="41"/>
  <c r="AB367" i="41"/>
  <c r="Z367" i="41"/>
  <c r="X367" i="41"/>
  <c r="U367" i="41"/>
  <c r="V367" i="41" s="1"/>
  <c r="AM367" i="41" s="1"/>
  <c r="R367" i="41"/>
  <c r="P367" i="41"/>
  <c r="M367" i="41"/>
  <c r="N367" i="41" s="1"/>
  <c r="I367" i="41"/>
  <c r="H367" i="41"/>
  <c r="F367" i="41"/>
  <c r="BC366" i="41"/>
  <c r="BB366" i="41"/>
  <c r="BA366" i="41"/>
  <c r="AZ366" i="41"/>
  <c r="AY366" i="41"/>
  <c r="AX366" i="41"/>
  <c r="AW366" i="41"/>
  <c r="AV366" i="41"/>
  <c r="AU366" i="41"/>
  <c r="AT366" i="41"/>
  <c r="AS366" i="41"/>
  <c r="AR366" i="41"/>
  <c r="AQ366" i="41"/>
  <c r="AP366" i="41"/>
  <c r="AO366" i="41"/>
  <c r="AN366" i="41"/>
  <c r="AJ366" i="41"/>
  <c r="AB366" i="41"/>
  <c r="Z366" i="41"/>
  <c r="X366" i="41"/>
  <c r="U366" i="41"/>
  <c r="V366" i="41" s="1"/>
  <c r="AM366" i="41" s="1"/>
  <c r="R366" i="41"/>
  <c r="P366" i="41"/>
  <c r="M366" i="41"/>
  <c r="N366" i="41" s="1"/>
  <c r="I366" i="41"/>
  <c r="H366" i="41"/>
  <c r="F366" i="41"/>
  <c r="BC365" i="41"/>
  <c r="BB365" i="41"/>
  <c r="BA365" i="41"/>
  <c r="AZ365" i="41"/>
  <c r="AY365" i="41"/>
  <c r="AX365" i="41"/>
  <c r="AW365" i="41"/>
  <c r="AV365" i="41"/>
  <c r="AU365" i="41"/>
  <c r="AT365" i="41"/>
  <c r="AS365" i="41"/>
  <c r="AR365" i="41"/>
  <c r="AQ365" i="41"/>
  <c r="AP365" i="41"/>
  <c r="AO365" i="41"/>
  <c r="AN365" i="41"/>
  <c r="AJ365" i="41"/>
  <c r="AB365" i="41"/>
  <c r="Z365" i="41"/>
  <c r="X365" i="41"/>
  <c r="U365" i="41"/>
  <c r="V365" i="41" s="1"/>
  <c r="AM365" i="41" s="1"/>
  <c r="R365" i="41"/>
  <c r="P365" i="41"/>
  <c r="M365" i="41"/>
  <c r="N365" i="41" s="1"/>
  <c r="I365" i="41"/>
  <c r="H365" i="41"/>
  <c r="F365" i="41"/>
  <c r="BC364" i="41"/>
  <c r="BB364" i="41"/>
  <c r="BA364" i="41"/>
  <c r="AZ364" i="41"/>
  <c r="AY364" i="41"/>
  <c r="AX364" i="41"/>
  <c r="AW364" i="41"/>
  <c r="AV364" i="41"/>
  <c r="AU364" i="41"/>
  <c r="AT364" i="41"/>
  <c r="AS364" i="41"/>
  <c r="AR364" i="41"/>
  <c r="AQ364" i="41"/>
  <c r="AP364" i="41"/>
  <c r="AO364" i="41"/>
  <c r="AN364" i="41"/>
  <c r="AJ364" i="41"/>
  <c r="AB364" i="41"/>
  <c r="Z364" i="41"/>
  <c r="X364" i="41"/>
  <c r="U364" i="41"/>
  <c r="V364" i="41" s="1"/>
  <c r="AM364" i="41" s="1"/>
  <c r="R364" i="41"/>
  <c r="P364" i="41"/>
  <c r="M364" i="41"/>
  <c r="N364" i="41" s="1"/>
  <c r="H364" i="41"/>
  <c r="F364" i="41"/>
  <c r="BC363" i="41"/>
  <c r="BB363" i="41"/>
  <c r="BA363" i="41"/>
  <c r="AZ363" i="41"/>
  <c r="AY363" i="41"/>
  <c r="AX363" i="41"/>
  <c r="AW363" i="41"/>
  <c r="AV363" i="41"/>
  <c r="AU363" i="41"/>
  <c r="AT363" i="41"/>
  <c r="AS363" i="41"/>
  <c r="AR363" i="41"/>
  <c r="AQ363" i="41"/>
  <c r="AP363" i="41"/>
  <c r="AO363" i="41"/>
  <c r="AN363" i="41"/>
  <c r="AJ363" i="41"/>
  <c r="AB363" i="41"/>
  <c r="Z363" i="41"/>
  <c r="X363" i="41"/>
  <c r="U363" i="41"/>
  <c r="V363" i="41" s="1"/>
  <c r="AM363" i="41" s="1"/>
  <c r="R363" i="41"/>
  <c r="P363" i="41"/>
  <c r="M363" i="41"/>
  <c r="N363" i="41" s="1"/>
  <c r="H363" i="41"/>
  <c r="F363" i="41"/>
  <c r="BC362" i="41"/>
  <c r="BB362" i="41"/>
  <c r="BA362" i="41"/>
  <c r="AZ362" i="41"/>
  <c r="AY362" i="41"/>
  <c r="AX362" i="41"/>
  <c r="AW362" i="41"/>
  <c r="AV362" i="41"/>
  <c r="AU362" i="41"/>
  <c r="AT362" i="41"/>
  <c r="AS362" i="41"/>
  <c r="AR362" i="41"/>
  <c r="AQ362" i="41"/>
  <c r="AP362" i="41"/>
  <c r="AO362" i="41"/>
  <c r="AN362" i="41"/>
  <c r="AJ362" i="41"/>
  <c r="AB362" i="41"/>
  <c r="Z362" i="41"/>
  <c r="X362" i="41"/>
  <c r="U362" i="41"/>
  <c r="V362" i="41" s="1"/>
  <c r="AM362" i="41" s="1"/>
  <c r="R362" i="41"/>
  <c r="P362" i="41"/>
  <c r="M362" i="41"/>
  <c r="N362" i="41" s="1"/>
  <c r="H362" i="41"/>
  <c r="F362" i="41"/>
  <c r="BC361" i="41"/>
  <c r="BB361" i="41"/>
  <c r="BA361" i="41"/>
  <c r="AZ361" i="41"/>
  <c r="AY361" i="41"/>
  <c r="AX361" i="41"/>
  <c r="AW361" i="41"/>
  <c r="AV361" i="41"/>
  <c r="AU361" i="41"/>
  <c r="AT361" i="41"/>
  <c r="AS361" i="41"/>
  <c r="AR361" i="41"/>
  <c r="AQ361" i="41"/>
  <c r="AP361" i="41"/>
  <c r="AO361" i="41"/>
  <c r="AN361" i="41"/>
  <c r="AJ361" i="41"/>
  <c r="AB361" i="41"/>
  <c r="Z361" i="41"/>
  <c r="X361" i="41"/>
  <c r="U361" i="41"/>
  <c r="V361" i="41" s="1"/>
  <c r="AM361" i="41" s="1"/>
  <c r="R361" i="41"/>
  <c r="P361" i="41"/>
  <c r="M361" i="41"/>
  <c r="N361" i="41" s="1"/>
  <c r="H361" i="41"/>
  <c r="F361" i="41"/>
  <c r="BC360" i="41"/>
  <c r="BB360" i="41"/>
  <c r="BA360" i="41"/>
  <c r="AZ360" i="41"/>
  <c r="AY360" i="41"/>
  <c r="AX360" i="41"/>
  <c r="AW360" i="41"/>
  <c r="AV360" i="41"/>
  <c r="AU360" i="41"/>
  <c r="AT360" i="41"/>
  <c r="AS360" i="41"/>
  <c r="AR360" i="41"/>
  <c r="AQ360" i="41"/>
  <c r="AP360" i="41"/>
  <c r="AO360" i="41"/>
  <c r="AN360" i="41"/>
  <c r="AJ360" i="41"/>
  <c r="AB360" i="41"/>
  <c r="Z360" i="41"/>
  <c r="X360" i="41"/>
  <c r="U360" i="41"/>
  <c r="V360" i="41" s="1"/>
  <c r="AM360" i="41" s="1"/>
  <c r="R360" i="41"/>
  <c r="P360" i="41"/>
  <c r="M360" i="41"/>
  <c r="N360" i="41" s="1"/>
  <c r="I360" i="41"/>
  <c r="H360" i="41"/>
  <c r="F360" i="41"/>
  <c r="BC359" i="41"/>
  <c r="BB359" i="41"/>
  <c r="BA359" i="41"/>
  <c r="AZ359" i="41"/>
  <c r="AY359" i="41"/>
  <c r="AX359" i="41"/>
  <c r="AW359" i="41"/>
  <c r="AV359" i="41"/>
  <c r="AU359" i="41"/>
  <c r="AT359" i="41"/>
  <c r="AS359" i="41"/>
  <c r="AR359" i="41"/>
  <c r="AQ359" i="41"/>
  <c r="AP359" i="41"/>
  <c r="AO359" i="41"/>
  <c r="AN359" i="41"/>
  <c r="AJ359" i="41"/>
  <c r="AB359" i="41"/>
  <c r="Z359" i="41"/>
  <c r="X359" i="41"/>
  <c r="R359" i="41"/>
  <c r="P359" i="41"/>
  <c r="M359" i="41"/>
  <c r="N359" i="41" s="1"/>
  <c r="L359" i="41"/>
  <c r="I359" i="41"/>
  <c r="H359" i="41"/>
  <c r="F359" i="41"/>
  <c r="BC358" i="41"/>
  <c r="BB358" i="41"/>
  <c r="BA358" i="41"/>
  <c r="AZ358" i="41"/>
  <c r="AY358" i="41"/>
  <c r="AX358" i="41"/>
  <c r="AW358" i="41"/>
  <c r="AV358" i="41"/>
  <c r="AU358" i="41"/>
  <c r="AT358" i="41"/>
  <c r="AS358" i="41"/>
  <c r="AR358" i="41"/>
  <c r="AQ358" i="41"/>
  <c r="AP358" i="41"/>
  <c r="AO358" i="41"/>
  <c r="AN358" i="41"/>
  <c r="AJ358" i="41"/>
  <c r="AB358" i="41"/>
  <c r="Z358" i="41"/>
  <c r="X358" i="41"/>
  <c r="U358" i="41"/>
  <c r="V358" i="41" s="1"/>
  <c r="AM358" i="41" s="1"/>
  <c r="R358" i="41"/>
  <c r="P358" i="41"/>
  <c r="M358" i="41"/>
  <c r="N358" i="41" s="1"/>
  <c r="I358" i="41"/>
  <c r="H358" i="41"/>
  <c r="F358" i="41"/>
  <c r="BC357" i="41"/>
  <c r="BB357" i="41"/>
  <c r="BA357" i="41"/>
  <c r="AZ357" i="41"/>
  <c r="AY357" i="41"/>
  <c r="AX357" i="41"/>
  <c r="AW357" i="41"/>
  <c r="AV357" i="41"/>
  <c r="AU357" i="41"/>
  <c r="AT357" i="41"/>
  <c r="AS357" i="41"/>
  <c r="AR357" i="41"/>
  <c r="AQ357" i="41"/>
  <c r="AP357" i="41"/>
  <c r="AO357" i="41"/>
  <c r="AN357" i="41"/>
  <c r="AJ357" i="41"/>
  <c r="AB357" i="41"/>
  <c r="Z357" i="41"/>
  <c r="X357" i="41"/>
  <c r="U357" i="41"/>
  <c r="V357" i="41" s="1"/>
  <c r="AM357" i="41" s="1"/>
  <c r="R357" i="41"/>
  <c r="P357" i="41"/>
  <c r="M357" i="41"/>
  <c r="N357" i="41" s="1"/>
  <c r="H357" i="41"/>
  <c r="F357" i="41"/>
  <c r="BC356" i="41"/>
  <c r="BB356" i="41"/>
  <c r="BA356" i="41"/>
  <c r="AZ356" i="41"/>
  <c r="AY356" i="41"/>
  <c r="AX356" i="41"/>
  <c r="AW356" i="41"/>
  <c r="AV356" i="41"/>
  <c r="AU356" i="41"/>
  <c r="AT356" i="41"/>
  <c r="AS356" i="41"/>
  <c r="AR356" i="41"/>
  <c r="AQ356" i="41"/>
  <c r="AP356" i="41"/>
  <c r="AO356" i="41"/>
  <c r="AN356" i="41"/>
  <c r="AJ356" i="41"/>
  <c r="AB356" i="41"/>
  <c r="Z356" i="41"/>
  <c r="X356" i="41"/>
  <c r="U356" i="41"/>
  <c r="V356" i="41" s="1"/>
  <c r="AM356" i="41" s="1"/>
  <c r="R356" i="41"/>
  <c r="P356" i="41"/>
  <c r="M356" i="41"/>
  <c r="N356" i="41" s="1"/>
  <c r="I356" i="41"/>
  <c r="H356" i="41"/>
  <c r="F356" i="41"/>
  <c r="BC355" i="41"/>
  <c r="BB355" i="41"/>
  <c r="BA355" i="41"/>
  <c r="AZ355" i="41"/>
  <c r="AY355" i="41"/>
  <c r="AX355" i="41"/>
  <c r="AW355" i="41"/>
  <c r="AV355" i="41"/>
  <c r="AU355" i="41"/>
  <c r="AT355" i="41"/>
  <c r="AS355" i="41"/>
  <c r="AR355" i="41"/>
  <c r="AQ355" i="41"/>
  <c r="AP355" i="41"/>
  <c r="AO355" i="41"/>
  <c r="AN355" i="41"/>
  <c r="AJ355" i="41"/>
  <c r="AB355" i="41"/>
  <c r="Z355" i="41"/>
  <c r="X355" i="41"/>
  <c r="U355" i="41"/>
  <c r="V355" i="41" s="1"/>
  <c r="AM355" i="41" s="1"/>
  <c r="R355" i="41"/>
  <c r="P355" i="41"/>
  <c r="M355" i="41"/>
  <c r="N355" i="41" s="1"/>
  <c r="I355" i="41"/>
  <c r="H355" i="41"/>
  <c r="F355" i="41"/>
  <c r="BC354" i="41"/>
  <c r="BB354" i="41"/>
  <c r="BA354" i="41"/>
  <c r="AZ354" i="41"/>
  <c r="AY354" i="41"/>
  <c r="AX354" i="41"/>
  <c r="AW354" i="41"/>
  <c r="AV354" i="41"/>
  <c r="AU354" i="41"/>
  <c r="AT354" i="41"/>
  <c r="AS354" i="41"/>
  <c r="AR354" i="41"/>
  <c r="AQ354" i="41"/>
  <c r="AP354" i="41"/>
  <c r="AO354" i="41"/>
  <c r="AN354" i="41"/>
  <c r="AJ354" i="41"/>
  <c r="AB354" i="41"/>
  <c r="Z354" i="41"/>
  <c r="X354" i="41"/>
  <c r="U354" i="41"/>
  <c r="V354" i="41" s="1"/>
  <c r="AM354" i="41" s="1"/>
  <c r="R354" i="41"/>
  <c r="P354" i="41"/>
  <c r="M354" i="41"/>
  <c r="N354" i="41" s="1"/>
  <c r="I354" i="41"/>
  <c r="H354" i="41"/>
  <c r="F354" i="41"/>
  <c r="BC353" i="41"/>
  <c r="BB353" i="41"/>
  <c r="BA353" i="41"/>
  <c r="AZ353" i="41"/>
  <c r="AY353" i="41"/>
  <c r="AX353" i="41"/>
  <c r="AW353" i="41"/>
  <c r="AV353" i="41"/>
  <c r="AU353" i="41"/>
  <c r="AT353" i="41"/>
  <c r="AS353" i="41"/>
  <c r="AR353" i="41"/>
  <c r="AQ353" i="41"/>
  <c r="AP353" i="41"/>
  <c r="AO353" i="41"/>
  <c r="AN353" i="41"/>
  <c r="AJ353" i="41"/>
  <c r="AB353" i="41"/>
  <c r="Z353" i="41"/>
  <c r="X353" i="41"/>
  <c r="U353" i="41"/>
  <c r="V353" i="41" s="1"/>
  <c r="AM353" i="41" s="1"/>
  <c r="R353" i="41"/>
  <c r="P353" i="41"/>
  <c r="M353" i="41"/>
  <c r="N353" i="41" s="1"/>
  <c r="H353" i="41"/>
  <c r="F353" i="41"/>
  <c r="BC352" i="41"/>
  <c r="BB352" i="41"/>
  <c r="BA352" i="41"/>
  <c r="AZ352" i="41"/>
  <c r="AY352" i="41"/>
  <c r="AX352" i="41"/>
  <c r="AW352" i="41"/>
  <c r="AV352" i="41"/>
  <c r="AU352" i="41"/>
  <c r="AT352" i="41"/>
  <c r="AS352" i="41"/>
  <c r="AR352" i="41"/>
  <c r="AQ352" i="41"/>
  <c r="AP352" i="41"/>
  <c r="AO352" i="41"/>
  <c r="AN352" i="41"/>
  <c r="AJ352" i="41"/>
  <c r="AB352" i="41"/>
  <c r="Z352" i="41"/>
  <c r="X352" i="41"/>
  <c r="U352" i="41"/>
  <c r="V352" i="41" s="1"/>
  <c r="AM352" i="41" s="1"/>
  <c r="R352" i="41"/>
  <c r="P352" i="41"/>
  <c r="M352" i="41"/>
  <c r="N352" i="41" s="1"/>
  <c r="H352" i="41"/>
  <c r="F352" i="41"/>
  <c r="BC351" i="41"/>
  <c r="BB351" i="41"/>
  <c r="BA351" i="41"/>
  <c r="AZ351" i="41"/>
  <c r="AY351" i="41"/>
  <c r="AX351" i="41"/>
  <c r="AW351" i="41"/>
  <c r="AV351" i="41"/>
  <c r="AU351" i="41"/>
  <c r="AT351" i="41"/>
  <c r="AS351" i="41"/>
  <c r="AR351" i="41"/>
  <c r="AQ351" i="41"/>
  <c r="AP351" i="41"/>
  <c r="AO351" i="41"/>
  <c r="AN351" i="41"/>
  <c r="AJ351" i="41"/>
  <c r="AB351" i="41"/>
  <c r="Z351" i="41"/>
  <c r="X351" i="41"/>
  <c r="U351" i="41"/>
  <c r="V351" i="41" s="1"/>
  <c r="AM351" i="41" s="1"/>
  <c r="R351" i="41"/>
  <c r="P351" i="41"/>
  <c r="M351" i="41"/>
  <c r="N351" i="41" s="1"/>
  <c r="I351" i="41"/>
  <c r="H351" i="41"/>
  <c r="F351" i="41"/>
  <c r="BC350" i="41"/>
  <c r="BB350" i="41"/>
  <c r="BA350" i="41"/>
  <c r="AZ350" i="41"/>
  <c r="AY350" i="41"/>
  <c r="AX350" i="41"/>
  <c r="AW350" i="41"/>
  <c r="AV350" i="41"/>
  <c r="AU350" i="41"/>
  <c r="AT350" i="41"/>
  <c r="AS350" i="41"/>
  <c r="AR350" i="41"/>
  <c r="AQ350" i="41"/>
  <c r="AP350" i="41"/>
  <c r="AO350" i="41"/>
  <c r="AN350" i="41"/>
  <c r="AJ350" i="41"/>
  <c r="AB350" i="41"/>
  <c r="Z350" i="41"/>
  <c r="X350" i="41"/>
  <c r="U350" i="41"/>
  <c r="V350" i="41" s="1"/>
  <c r="AM350" i="41" s="1"/>
  <c r="R350" i="41"/>
  <c r="P350" i="41"/>
  <c r="M350" i="41"/>
  <c r="N350" i="41" s="1"/>
  <c r="H350" i="41"/>
  <c r="F350" i="41"/>
  <c r="BC349" i="41"/>
  <c r="BB349" i="41"/>
  <c r="BA349" i="41"/>
  <c r="AZ349" i="41"/>
  <c r="AY349" i="41"/>
  <c r="AX349" i="41"/>
  <c r="AW349" i="41"/>
  <c r="AV349" i="41"/>
  <c r="AU349" i="41"/>
  <c r="AT349" i="41"/>
  <c r="AS349" i="41"/>
  <c r="AR349" i="41"/>
  <c r="AQ349" i="41"/>
  <c r="AP349" i="41"/>
  <c r="AO349" i="41"/>
  <c r="AN349" i="41"/>
  <c r="AJ349" i="41"/>
  <c r="AB349" i="41"/>
  <c r="Z349" i="41"/>
  <c r="X349" i="41"/>
  <c r="U349" i="41"/>
  <c r="V349" i="41" s="1"/>
  <c r="AM349" i="41" s="1"/>
  <c r="R349" i="41"/>
  <c r="P349" i="41"/>
  <c r="M349" i="41"/>
  <c r="N349" i="41" s="1"/>
  <c r="I349" i="41"/>
  <c r="H349" i="41"/>
  <c r="F349" i="41"/>
  <c r="BC348" i="41"/>
  <c r="BB348" i="41"/>
  <c r="BA348" i="41"/>
  <c r="AZ348" i="41"/>
  <c r="AY348" i="41"/>
  <c r="AX348" i="41"/>
  <c r="AW348" i="41"/>
  <c r="AV348" i="41"/>
  <c r="AU348" i="41"/>
  <c r="AT348" i="41"/>
  <c r="AS348" i="41"/>
  <c r="AR348" i="41"/>
  <c r="AQ348" i="41"/>
  <c r="AP348" i="41"/>
  <c r="AO348" i="41"/>
  <c r="AN348" i="41"/>
  <c r="AJ348" i="41"/>
  <c r="AB348" i="41"/>
  <c r="Z348" i="41"/>
  <c r="X348" i="41"/>
  <c r="U348" i="41"/>
  <c r="V348" i="41" s="1"/>
  <c r="AM348" i="41" s="1"/>
  <c r="R348" i="41"/>
  <c r="P348" i="41"/>
  <c r="M348" i="41"/>
  <c r="N348" i="41" s="1"/>
  <c r="I348" i="41"/>
  <c r="H348" i="41"/>
  <c r="F348" i="41"/>
  <c r="BC347" i="41"/>
  <c r="BB347" i="41"/>
  <c r="BA347" i="41"/>
  <c r="AZ347" i="41"/>
  <c r="AY347" i="41"/>
  <c r="AX347" i="41"/>
  <c r="AW347" i="41"/>
  <c r="AV347" i="41"/>
  <c r="AU347" i="41"/>
  <c r="AT347" i="41"/>
  <c r="AS347" i="41"/>
  <c r="AR347" i="41"/>
  <c r="AQ347" i="41"/>
  <c r="AP347" i="41"/>
  <c r="AO347" i="41"/>
  <c r="AN347" i="41"/>
  <c r="AJ347" i="41"/>
  <c r="AB347" i="41"/>
  <c r="Z347" i="41"/>
  <c r="X347" i="41"/>
  <c r="U347" i="41"/>
  <c r="V347" i="41" s="1"/>
  <c r="AM347" i="41" s="1"/>
  <c r="R347" i="41"/>
  <c r="P347" i="41"/>
  <c r="M347" i="41"/>
  <c r="N347" i="41" s="1"/>
  <c r="I347" i="41"/>
  <c r="H347" i="41"/>
  <c r="F347" i="41"/>
  <c r="BC346" i="41"/>
  <c r="BB346" i="41"/>
  <c r="BA346" i="41"/>
  <c r="AZ346" i="41"/>
  <c r="AY346" i="41"/>
  <c r="AX346" i="41"/>
  <c r="AW346" i="41"/>
  <c r="AV346" i="41"/>
  <c r="AU346" i="41"/>
  <c r="AT346" i="41"/>
  <c r="AS346" i="41"/>
  <c r="AR346" i="41"/>
  <c r="AQ346" i="41"/>
  <c r="AP346" i="41"/>
  <c r="AO346" i="41"/>
  <c r="AN346" i="41"/>
  <c r="AJ346" i="41"/>
  <c r="AB346" i="41"/>
  <c r="Z346" i="41"/>
  <c r="X346" i="41"/>
  <c r="U346" i="41"/>
  <c r="V346" i="41" s="1"/>
  <c r="AM346" i="41" s="1"/>
  <c r="R346" i="41"/>
  <c r="P346" i="41"/>
  <c r="M346" i="41"/>
  <c r="N346" i="41" s="1"/>
  <c r="I346" i="41"/>
  <c r="H346" i="41"/>
  <c r="F346" i="41"/>
  <c r="BC345" i="41"/>
  <c r="BB345" i="41"/>
  <c r="BA345" i="41"/>
  <c r="AZ345" i="41"/>
  <c r="AY345" i="41"/>
  <c r="AX345" i="41"/>
  <c r="AW345" i="41"/>
  <c r="AV345" i="41"/>
  <c r="AU345" i="41"/>
  <c r="AT345" i="41"/>
  <c r="AS345" i="41"/>
  <c r="AR345" i="41"/>
  <c r="AQ345" i="41"/>
  <c r="AP345" i="41"/>
  <c r="AO345" i="41"/>
  <c r="AN345" i="41"/>
  <c r="AJ345" i="41"/>
  <c r="AB345" i="41"/>
  <c r="Z345" i="41"/>
  <c r="X345" i="41"/>
  <c r="U345" i="41"/>
  <c r="V345" i="41" s="1"/>
  <c r="AM345" i="41" s="1"/>
  <c r="R345" i="41"/>
  <c r="P345" i="41"/>
  <c r="M345" i="41"/>
  <c r="N345" i="41" s="1"/>
  <c r="I345" i="41"/>
  <c r="H345" i="41"/>
  <c r="F345" i="41"/>
  <c r="BC344" i="41"/>
  <c r="BB344" i="41"/>
  <c r="BA344" i="41"/>
  <c r="AZ344" i="41"/>
  <c r="AY344" i="41"/>
  <c r="AX344" i="41"/>
  <c r="AW344" i="41"/>
  <c r="AV344" i="41"/>
  <c r="AU344" i="41"/>
  <c r="AT344" i="41"/>
  <c r="AS344" i="41"/>
  <c r="AR344" i="41"/>
  <c r="AQ344" i="41"/>
  <c r="AP344" i="41"/>
  <c r="AO344" i="41"/>
  <c r="AN344" i="41"/>
  <c r="AJ344" i="41"/>
  <c r="AB344" i="41"/>
  <c r="Z344" i="41"/>
  <c r="X344" i="41"/>
  <c r="U344" i="41"/>
  <c r="V344" i="41" s="1"/>
  <c r="AM344" i="41" s="1"/>
  <c r="R344" i="41"/>
  <c r="P344" i="41"/>
  <c r="M344" i="41"/>
  <c r="N344" i="41" s="1"/>
  <c r="H344" i="41"/>
  <c r="F344" i="41"/>
  <c r="BC343" i="41"/>
  <c r="BB343" i="41"/>
  <c r="BA343" i="41"/>
  <c r="AZ343" i="41"/>
  <c r="AY343" i="41"/>
  <c r="AX343" i="41"/>
  <c r="AW343" i="41"/>
  <c r="AV343" i="41"/>
  <c r="AU343" i="41"/>
  <c r="AT343" i="41"/>
  <c r="AS343" i="41"/>
  <c r="AR343" i="41"/>
  <c r="AQ343" i="41"/>
  <c r="AP343" i="41"/>
  <c r="AO343" i="41"/>
  <c r="AN343" i="41"/>
  <c r="AJ343" i="41"/>
  <c r="AB343" i="41"/>
  <c r="Z343" i="41"/>
  <c r="X343" i="41"/>
  <c r="U343" i="41"/>
  <c r="V343" i="41" s="1"/>
  <c r="AM343" i="41" s="1"/>
  <c r="R343" i="41"/>
  <c r="P343" i="41"/>
  <c r="M343" i="41"/>
  <c r="N343" i="41" s="1"/>
  <c r="I343" i="41"/>
  <c r="H343" i="41"/>
  <c r="F343" i="41"/>
  <c r="BC342" i="41"/>
  <c r="BB342" i="41"/>
  <c r="BA342" i="41"/>
  <c r="AZ342" i="41"/>
  <c r="AY342" i="41"/>
  <c r="AX342" i="41"/>
  <c r="AW342" i="41"/>
  <c r="AV342" i="41"/>
  <c r="AU342" i="41"/>
  <c r="AT342" i="41"/>
  <c r="AS342" i="41"/>
  <c r="AR342" i="41"/>
  <c r="AQ342" i="41"/>
  <c r="AP342" i="41"/>
  <c r="AO342" i="41"/>
  <c r="AN342" i="41"/>
  <c r="AJ342" i="41"/>
  <c r="AB342" i="41"/>
  <c r="Z342" i="41"/>
  <c r="X342" i="41"/>
  <c r="U342" i="41"/>
  <c r="V342" i="41" s="1"/>
  <c r="AM342" i="41" s="1"/>
  <c r="R342" i="41"/>
  <c r="P342" i="41"/>
  <c r="M342" i="41"/>
  <c r="N342" i="41" s="1"/>
  <c r="I342" i="41"/>
  <c r="H342" i="41"/>
  <c r="F342" i="41"/>
  <c r="BC341" i="41"/>
  <c r="BB341" i="41"/>
  <c r="BA341" i="41"/>
  <c r="AZ341" i="41"/>
  <c r="AY341" i="41"/>
  <c r="AX341" i="41"/>
  <c r="AW341" i="41"/>
  <c r="AV341" i="41"/>
  <c r="AU341" i="41"/>
  <c r="AT341" i="41"/>
  <c r="AS341" i="41"/>
  <c r="AR341" i="41"/>
  <c r="AQ341" i="41"/>
  <c r="AP341" i="41"/>
  <c r="AO341" i="41"/>
  <c r="AN341" i="41"/>
  <c r="AJ341" i="41"/>
  <c r="AB341" i="41"/>
  <c r="Z341" i="41"/>
  <c r="X341" i="41"/>
  <c r="U341" i="41"/>
  <c r="V341" i="41" s="1"/>
  <c r="AM341" i="41" s="1"/>
  <c r="R341" i="41"/>
  <c r="P341" i="41"/>
  <c r="M341" i="41"/>
  <c r="N341" i="41" s="1"/>
  <c r="I341" i="41"/>
  <c r="H341" i="41"/>
  <c r="F341" i="41"/>
  <c r="BC340" i="41"/>
  <c r="BB340" i="41"/>
  <c r="BA340" i="41"/>
  <c r="AZ340" i="41"/>
  <c r="AY340" i="41"/>
  <c r="AX340" i="41"/>
  <c r="AW340" i="41"/>
  <c r="AV340" i="41"/>
  <c r="AU340" i="41"/>
  <c r="AT340" i="41"/>
  <c r="AS340" i="41"/>
  <c r="AR340" i="41"/>
  <c r="AQ340" i="41"/>
  <c r="AP340" i="41"/>
  <c r="AO340" i="41"/>
  <c r="AN340" i="41"/>
  <c r="AJ340" i="41"/>
  <c r="AB340" i="41"/>
  <c r="Z340" i="41"/>
  <c r="X340" i="41"/>
  <c r="U340" i="41"/>
  <c r="V340" i="41" s="1"/>
  <c r="AM340" i="41" s="1"/>
  <c r="R340" i="41"/>
  <c r="P340" i="41"/>
  <c r="M340" i="41"/>
  <c r="N340" i="41" s="1"/>
  <c r="I340" i="41"/>
  <c r="H340" i="41"/>
  <c r="F340" i="41"/>
  <c r="BC339" i="41"/>
  <c r="BB339" i="41"/>
  <c r="BA339" i="41"/>
  <c r="AZ339" i="41"/>
  <c r="AY339" i="41"/>
  <c r="AX339" i="41"/>
  <c r="AW339" i="41"/>
  <c r="AV339" i="41"/>
  <c r="AU339" i="41"/>
  <c r="AT339" i="41"/>
  <c r="AS339" i="41"/>
  <c r="AR339" i="41"/>
  <c r="AQ339" i="41"/>
  <c r="AP339" i="41"/>
  <c r="AO339" i="41"/>
  <c r="AN339" i="41"/>
  <c r="AJ339" i="41"/>
  <c r="AB339" i="41"/>
  <c r="Z339" i="41"/>
  <c r="X339" i="41"/>
  <c r="U339" i="41"/>
  <c r="V339" i="41" s="1"/>
  <c r="AM339" i="41" s="1"/>
  <c r="R339" i="41"/>
  <c r="P339" i="41"/>
  <c r="M339" i="41"/>
  <c r="N339" i="41" s="1"/>
  <c r="H339" i="41"/>
  <c r="F339" i="41"/>
  <c r="BC338" i="41"/>
  <c r="BB338" i="41"/>
  <c r="BA338" i="41"/>
  <c r="AZ338" i="41"/>
  <c r="AY338" i="41"/>
  <c r="AX338" i="41"/>
  <c r="AW338" i="41"/>
  <c r="AV338" i="41"/>
  <c r="AU338" i="41"/>
  <c r="AT338" i="41"/>
  <c r="AS338" i="41"/>
  <c r="AR338" i="41"/>
  <c r="AQ338" i="41"/>
  <c r="AP338" i="41"/>
  <c r="AO338" i="41"/>
  <c r="AN338" i="41"/>
  <c r="AJ338" i="41"/>
  <c r="AB338" i="41"/>
  <c r="Z338" i="41"/>
  <c r="X338" i="41"/>
  <c r="U338" i="41"/>
  <c r="V338" i="41" s="1"/>
  <c r="AM338" i="41" s="1"/>
  <c r="R338" i="41"/>
  <c r="P338" i="41"/>
  <c r="M338" i="41"/>
  <c r="N338" i="41" s="1"/>
  <c r="H338" i="41"/>
  <c r="F338" i="41"/>
  <c r="BC337" i="41"/>
  <c r="BB337" i="41"/>
  <c r="BA337" i="41"/>
  <c r="AZ337" i="41"/>
  <c r="AY337" i="41"/>
  <c r="AX337" i="41"/>
  <c r="AW337" i="41"/>
  <c r="AV337" i="41"/>
  <c r="AU337" i="41"/>
  <c r="AT337" i="41"/>
  <c r="AS337" i="41"/>
  <c r="AR337" i="41"/>
  <c r="AQ337" i="41"/>
  <c r="AP337" i="41"/>
  <c r="AO337" i="41"/>
  <c r="AN337" i="41"/>
  <c r="AJ337" i="41"/>
  <c r="AB337" i="41"/>
  <c r="Z337" i="41"/>
  <c r="X337" i="41"/>
  <c r="U337" i="41"/>
  <c r="V337" i="41" s="1"/>
  <c r="AM337" i="41" s="1"/>
  <c r="R337" i="41"/>
  <c r="P337" i="41"/>
  <c r="M337" i="41"/>
  <c r="N337" i="41" s="1"/>
  <c r="I337" i="41"/>
  <c r="H337" i="41"/>
  <c r="F337" i="41"/>
  <c r="BC336" i="41"/>
  <c r="BB336" i="41"/>
  <c r="BA336" i="41"/>
  <c r="AZ336" i="41"/>
  <c r="AY336" i="41"/>
  <c r="AX336" i="41"/>
  <c r="AW336" i="41"/>
  <c r="AV336" i="41"/>
  <c r="AU336" i="41"/>
  <c r="AT336" i="41"/>
  <c r="AS336" i="41"/>
  <c r="AR336" i="41"/>
  <c r="AQ336" i="41"/>
  <c r="AP336" i="41"/>
  <c r="AO336" i="41"/>
  <c r="AN336" i="41"/>
  <c r="AJ336" i="41"/>
  <c r="AB336" i="41"/>
  <c r="Z336" i="41"/>
  <c r="X336" i="41"/>
  <c r="U336" i="41"/>
  <c r="V336" i="41" s="1"/>
  <c r="AM336" i="41" s="1"/>
  <c r="R336" i="41"/>
  <c r="P336" i="41"/>
  <c r="M336" i="41"/>
  <c r="N336" i="41" s="1"/>
  <c r="I336" i="41"/>
  <c r="H336" i="41"/>
  <c r="F336" i="41"/>
  <c r="BC335" i="41"/>
  <c r="BB335" i="41"/>
  <c r="BA335" i="41"/>
  <c r="AZ335" i="41"/>
  <c r="AY335" i="41"/>
  <c r="AX335" i="41"/>
  <c r="AW335" i="41"/>
  <c r="AV335" i="41"/>
  <c r="AU335" i="41"/>
  <c r="AT335" i="41"/>
  <c r="AS335" i="41"/>
  <c r="AR335" i="41"/>
  <c r="AQ335" i="41"/>
  <c r="AP335" i="41"/>
  <c r="AO335" i="41"/>
  <c r="AN335" i="41"/>
  <c r="AJ335" i="41"/>
  <c r="AB335" i="41"/>
  <c r="Z335" i="41"/>
  <c r="X335" i="41"/>
  <c r="U335" i="41"/>
  <c r="V335" i="41" s="1"/>
  <c r="AM335" i="41" s="1"/>
  <c r="R335" i="41"/>
  <c r="P335" i="41"/>
  <c r="M335" i="41"/>
  <c r="N335" i="41" s="1"/>
  <c r="I335" i="41"/>
  <c r="H335" i="41"/>
  <c r="F335" i="41"/>
  <c r="BC334" i="41"/>
  <c r="BB334" i="41"/>
  <c r="BA334" i="41"/>
  <c r="AZ334" i="41"/>
  <c r="AY334" i="41"/>
  <c r="AX334" i="41"/>
  <c r="AW334" i="41"/>
  <c r="AV334" i="41"/>
  <c r="AU334" i="41"/>
  <c r="AT334" i="41"/>
  <c r="AS334" i="41"/>
  <c r="AR334" i="41"/>
  <c r="AQ334" i="41"/>
  <c r="AP334" i="41"/>
  <c r="AO334" i="41"/>
  <c r="AN334" i="41"/>
  <c r="AJ334" i="41"/>
  <c r="AB334" i="41"/>
  <c r="Z334" i="41"/>
  <c r="X334" i="41"/>
  <c r="U334" i="41"/>
  <c r="V334" i="41" s="1"/>
  <c r="AM334" i="41" s="1"/>
  <c r="R334" i="41"/>
  <c r="P334" i="41"/>
  <c r="M334" i="41"/>
  <c r="N334" i="41" s="1"/>
  <c r="I334" i="41"/>
  <c r="H334" i="41"/>
  <c r="F334" i="41"/>
  <c r="BC333" i="41"/>
  <c r="BB333" i="41"/>
  <c r="BA333" i="41"/>
  <c r="AZ333" i="41"/>
  <c r="AY333" i="41"/>
  <c r="AX333" i="41"/>
  <c r="AW333" i="41"/>
  <c r="AV333" i="41"/>
  <c r="AU333" i="41"/>
  <c r="AT333" i="41"/>
  <c r="AS333" i="41"/>
  <c r="AR333" i="41"/>
  <c r="AQ333" i="41"/>
  <c r="AP333" i="41"/>
  <c r="AO333" i="41"/>
  <c r="AN333" i="41"/>
  <c r="AJ333" i="41"/>
  <c r="AB333" i="41"/>
  <c r="Z333" i="41"/>
  <c r="X333" i="41"/>
  <c r="U333" i="41"/>
  <c r="V333" i="41" s="1"/>
  <c r="AM333" i="41" s="1"/>
  <c r="R333" i="41"/>
  <c r="P333" i="41"/>
  <c r="M333" i="41"/>
  <c r="N333" i="41" s="1"/>
  <c r="I333" i="41"/>
  <c r="H333" i="41"/>
  <c r="F333" i="41"/>
  <c r="BC332" i="41"/>
  <c r="BB332" i="41"/>
  <c r="BA332" i="41"/>
  <c r="AZ332" i="41"/>
  <c r="AY332" i="41"/>
  <c r="AX332" i="41"/>
  <c r="AW332" i="41"/>
  <c r="AV332" i="41"/>
  <c r="AU332" i="41"/>
  <c r="AT332" i="41"/>
  <c r="AS332" i="41"/>
  <c r="AR332" i="41"/>
  <c r="AQ332" i="41"/>
  <c r="AP332" i="41"/>
  <c r="AO332" i="41"/>
  <c r="AN332" i="41"/>
  <c r="AJ332" i="41"/>
  <c r="AB332" i="41"/>
  <c r="Z332" i="41"/>
  <c r="X332" i="41"/>
  <c r="U332" i="41"/>
  <c r="V332" i="41" s="1"/>
  <c r="AM332" i="41" s="1"/>
  <c r="R332" i="41"/>
  <c r="P332" i="41"/>
  <c r="M332" i="41"/>
  <c r="N332" i="41" s="1"/>
  <c r="H332" i="41"/>
  <c r="F332" i="41"/>
  <c r="BC331" i="41"/>
  <c r="BB331" i="41"/>
  <c r="BA331" i="41"/>
  <c r="AZ331" i="41"/>
  <c r="AY331" i="41"/>
  <c r="AX331" i="41"/>
  <c r="AW331" i="41"/>
  <c r="AV331" i="41"/>
  <c r="AU331" i="41"/>
  <c r="AT331" i="41"/>
  <c r="AS331" i="41"/>
  <c r="AR331" i="41"/>
  <c r="AQ331" i="41"/>
  <c r="AP331" i="41"/>
  <c r="AO331" i="41"/>
  <c r="AN331" i="41"/>
  <c r="AJ331" i="41"/>
  <c r="AB331" i="41"/>
  <c r="Z331" i="41"/>
  <c r="X331" i="41"/>
  <c r="U331" i="41"/>
  <c r="V331" i="41" s="1"/>
  <c r="AM331" i="41" s="1"/>
  <c r="R331" i="41"/>
  <c r="P331" i="41"/>
  <c r="M331" i="41"/>
  <c r="N331" i="41" s="1"/>
  <c r="I331" i="41"/>
  <c r="H331" i="41"/>
  <c r="F331" i="41"/>
  <c r="BC330" i="41"/>
  <c r="BB330" i="41"/>
  <c r="BA330" i="41"/>
  <c r="AZ330" i="41"/>
  <c r="AY330" i="41"/>
  <c r="AX330" i="41"/>
  <c r="AW330" i="41"/>
  <c r="AV330" i="41"/>
  <c r="AU330" i="41"/>
  <c r="AT330" i="41"/>
  <c r="AS330" i="41"/>
  <c r="AR330" i="41"/>
  <c r="AQ330" i="41"/>
  <c r="AP330" i="41"/>
  <c r="AO330" i="41"/>
  <c r="AN330" i="41"/>
  <c r="AJ330" i="41"/>
  <c r="AB330" i="41"/>
  <c r="Z330" i="41"/>
  <c r="X330" i="41"/>
  <c r="U330" i="41"/>
  <c r="V330" i="41" s="1"/>
  <c r="AM330" i="41" s="1"/>
  <c r="R330" i="41"/>
  <c r="P330" i="41"/>
  <c r="M330" i="41"/>
  <c r="N330" i="41" s="1"/>
  <c r="H330" i="41"/>
  <c r="F330" i="41"/>
  <c r="BC329" i="41"/>
  <c r="BB329" i="41"/>
  <c r="BA329" i="41"/>
  <c r="AZ329" i="41"/>
  <c r="AY329" i="41"/>
  <c r="AX329" i="41"/>
  <c r="AW329" i="41"/>
  <c r="AV329" i="41"/>
  <c r="AU329" i="41"/>
  <c r="AT329" i="41"/>
  <c r="AS329" i="41"/>
  <c r="AR329" i="41"/>
  <c r="AQ329" i="41"/>
  <c r="AP329" i="41"/>
  <c r="AO329" i="41"/>
  <c r="AN329" i="41"/>
  <c r="AJ329" i="41"/>
  <c r="AB329" i="41"/>
  <c r="Z329" i="41"/>
  <c r="X329" i="41"/>
  <c r="U329" i="41"/>
  <c r="V329" i="41" s="1"/>
  <c r="AM329" i="41" s="1"/>
  <c r="R329" i="41"/>
  <c r="P329" i="41"/>
  <c r="M329" i="41"/>
  <c r="N329" i="41" s="1"/>
  <c r="H329" i="41"/>
  <c r="F329" i="41"/>
  <c r="BC328" i="41"/>
  <c r="BB328" i="41"/>
  <c r="BA328" i="41"/>
  <c r="AZ328" i="41"/>
  <c r="AY328" i="41"/>
  <c r="AX328" i="41"/>
  <c r="AW328" i="41"/>
  <c r="AV328" i="41"/>
  <c r="AU328" i="41"/>
  <c r="AT328" i="41"/>
  <c r="AS328" i="41"/>
  <c r="AR328" i="41"/>
  <c r="AQ328" i="41"/>
  <c r="AP328" i="41"/>
  <c r="AO328" i="41"/>
  <c r="AN328" i="41"/>
  <c r="AJ328" i="41"/>
  <c r="AB328" i="41"/>
  <c r="Z328" i="41"/>
  <c r="X328" i="41"/>
  <c r="U328" i="41"/>
  <c r="V328" i="41" s="1"/>
  <c r="AM328" i="41" s="1"/>
  <c r="R328" i="41"/>
  <c r="P328" i="41"/>
  <c r="M328" i="41"/>
  <c r="N328" i="41" s="1"/>
  <c r="H328" i="41"/>
  <c r="F328" i="41"/>
  <c r="BC327" i="41"/>
  <c r="BB327" i="41"/>
  <c r="BA327" i="41"/>
  <c r="AZ327" i="41"/>
  <c r="AY327" i="41"/>
  <c r="AX327" i="41"/>
  <c r="AW327" i="41"/>
  <c r="AV327" i="41"/>
  <c r="AU327" i="41"/>
  <c r="AT327" i="41"/>
  <c r="AS327" i="41"/>
  <c r="AR327" i="41"/>
  <c r="AQ327" i="41"/>
  <c r="AP327" i="41"/>
  <c r="AO327" i="41"/>
  <c r="AN327" i="41"/>
  <c r="AJ327" i="41"/>
  <c r="AB327" i="41"/>
  <c r="Z327" i="41"/>
  <c r="X327" i="41"/>
  <c r="U327" i="41"/>
  <c r="V327" i="41" s="1"/>
  <c r="AM327" i="41" s="1"/>
  <c r="R327" i="41"/>
  <c r="P327" i="41"/>
  <c r="M327" i="41"/>
  <c r="N327" i="41" s="1"/>
  <c r="H327" i="41"/>
  <c r="F327" i="41"/>
  <c r="BC326" i="41"/>
  <c r="BB326" i="41"/>
  <c r="BA326" i="41"/>
  <c r="AZ326" i="41"/>
  <c r="AY326" i="41"/>
  <c r="AX326" i="41"/>
  <c r="AW326" i="41"/>
  <c r="AV326" i="41"/>
  <c r="AU326" i="41"/>
  <c r="AT326" i="41"/>
  <c r="AS326" i="41"/>
  <c r="AR326" i="41"/>
  <c r="AQ326" i="41"/>
  <c r="AP326" i="41"/>
  <c r="AO326" i="41"/>
  <c r="AN326" i="41"/>
  <c r="AJ326" i="41"/>
  <c r="AB326" i="41"/>
  <c r="Z326" i="41"/>
  <c r="X326" i="41"/>
  <c r="U326" i="41"/>
  <c r="V326" i="41" s="1"/>
  <c r="AM326" i="41" s="1"/>
  <c r="R326" i="41"/>
  <c r="P326" i="41"/>
  <c r="M326" i="41"/>
  <c r="N326" i="41" s="1"/>
  <c r="I326" i="41"/>
  <c r="H326" i="41"/>
  <c r="F326" i="41"/>
  <c r="BC325" i="41"/>
  <c r="BB325" i="41"/>
  <c r="BA325" i="41"/>
  <c r="AZ325" i="41"/>
  <c r="AY325" i="41"/>
  <c r="AX325" i="41"/>
  <c r="AW325" i="41"/>
  <c r="AV325" i="41"/>
  <c r="AU325" i="41"/>
  <c r="AT325" i="41"/>
  <c r="AS325" i="41"/>
  <c r="AR325" i="41"/>
  <c r="AQ325" i="41"/>
  <c r="AP325" i="41"/>
  <c r="AO325" i="41"/>
  <c r="AN325" i="41"/>
  <c r="AJ325" i="41"/>
  <c r="AB325" i="41"/>
  <c r="Z325" i="41"/>
  <c r="X325" i="41"/>
  <c r="U325" i="41"/>
  <c r="V325" i="41" s="1"/>
  <c r="AM325" i="41" s="1"/>
  <c r="R325" i="41"/>
  <c r="P325" i="41"/>
  <c r="M325" i="41"/>
  <c r="N325" i="41" s="1"/>
  <c r="I325" i="41"/>
  <c r="H325" i="41"/>
  <c r="F325" i="41"/>
  <c r="BC324" i="41"/>
  <c r="BB324" i="41"/>
  <c r="BA324" i="41"/>
  <c r="AZ324" i="41"/>
  <c r="AY324" i="41"/>
  <c r="AX324" i="41"/>
  <c r="AW324" i="41"/>
  <c r="AV324" i="41"/>
  <c r="AU324" i="41"/>
  <c r="AT324" i="41"/>
  <c r="AS324" i="41"/>
  <c r="AR324" i="41"/>
  <c r="AQ324" i="41"/>
  <c r="AP324" i="41"/>
  <c r="AO324" i="41"/>
  <c r="AN324" i="41"/>
  <c r="AJ324" i="41"/>
  <c r="AB324" i="41"/>
  <c r="Z324" i="41"/>
  <c r="X324" i="41"/>
  <c r="U324" i="41"/>
  <c r="V324" i="41" s="1"/>
  <c r="AM324" i="41" s="1"/>
  <c r="R324" i="41"/>
  <c r="P324" i="41"/>
  <c r="M324" i="41"/>
  <c r="N324" i="41" s="1"/>
  <c r="I324" i="41"/>
  <c r="H324" i="41"/>
  <c r="F324" i="41"/>
  <c r="BC323" i="41"/>
  <c r="BB323" i="41"/>
  <c r="BA323" i="41"/>
  <c r="AZ323" i="41"/>
  <c r="AY323" i="41"/>
  <c r="AX323" i="41"/>
  <c r="AW323" i="41"/>
  <c r="AV323" i="41"/>
  <c r="AU323" i="41"/>
  <c r="AT323" i="41"/>
  <c r="AS323" i="41"/>
  <c r="AR323" i="41"/>
  <c r="AQ323" i="41"/>
  <c r="AP323" i="41"/>
  <c r="AO323" i="41"/>
  <c r="AN323" i="41"/>
  <c r="AJ323" i="41"/>
  <c r="AB323" i="41"/>
  <c r="Z323" i="41"/>
  <c r="X323" i="41"/>
  <c r="U323" i="41"/>
  <c r="V323" i="41" s="1"/>
  <c r="AM323" i="41" s="1"/>
  <c r="R323" i="41"/>
  <c r="P323" i="41"/>
  <c r="M323" i="41"/>
  <c r="N323" i="41" s="1"/>
  <c r="I323" i="41"/>
  <c r="H323" i="41"/>
  <c r="F323" i="41"/>
  <c r="BC322" i="41"/>
  <c r="BB322" i="41"/>
  <c r="BA322" i="41"/>
  <c r="AZ322" i="41"/>
  <c r="AY322" i="41"/>
  <c r="AX322" i="41"/>
  <c r="AW322" i="41"/>
  <c r="AV322" i="41"/>
  <c r="AU322" i="41"/>
  <c r="AT322" i="41"/>
  <c r="AS322" i="41"/>
  <c r="AR322" i="41"/>
  <c r="AQ322" i="41"/>
  <c r="AP322" i="41"/>
  <c r="AO322" i="41"/>
  <c r="AN322" i="41"/>
  <c r="AJ322" i="41"/>
  <c r="AB322" i="41"/>
  <c r="Z322" i="41"/>
  <c r="X322" i="41"/>
  <c r="U322" i="41"/>
  <c r="V322" i="41" s="1"/>
  <c r="AM322" i="41" s="1"/>
  <c r="R322" i="41"/>
  <c r="P322" i="41"/>
  <c r="M322" i="41"/>
  <c r="N322" i="41" s="1"/>
  <c r="I322" i="41"/>
  <c r="H322" i="41"/>
  <c r="F322" i="41"/>
  <c r="BC321" i="41"/>
  <c r="BB321" i="41"/>
  <c r="BA321" i="41"/>
  <c r="AZ321" i="41"/>
  <c r="AY321" i="41"/>
  <c r="AX321" i="41"/>
  <c r="AW321" i="41"/>
  <c r="AV321" i="41"/>
  <c r="AU321" i="41"/>
  <c r="AT321" i="41"/>
  <c r="AS321" i="41"/>
  <c r="AR321" i="41"/>
  <c r="AQ321" i="41"/>
  <c r="AP321" i="41"/>
  <c r="AO321" i="41"/>
  <c r="AN321" i="41"/>
  <c r="AJ321" i="41"/>
  <c r="AB321" i="41"/>
  <c r="Z321" i="41"/>
  <c r="X321" i="41"/>
  <c r="U321" i="41"/>
  <c r="V321" i="41" s="1"/>
  <c r="AM321" i="41" s="1"/>
  <c r="R321" i="41"/>
  <c r="P321" i="41"/>
  <c r="M321" i="41"/>
  <c r="N321" i="41" s="1"/>
  <c r="I321" i="41"/>
  <c r="H321" i="41"/>
  <c r="F321" i="41"/>
  <c r="BC320" i="41"/>
  <c r="BB320" i="41"/>
  <c r="BA320" i="41"/>
  <c r="AZ320" i="41"/>
  <c r="AY320" i="41"/>
  <c r="AX320" i="41"/>
  <c r="AW320" i="41"/>
  <c r="AV320" i="41"/>
  <c r="AU320" i="41"/>
  <c r="AT320" i="41"/>
  <c r="AS320" i="41"/>
  <c r="AR320" i="41"/>
  <c r="AQ320" i="41"/>
  <c r="AP320" i="41"/>
  <c r="AO320" i="41"/>
  <c r="AN320" i="41"/>
  <c r="AJ320" i="41"/>
  <c r="AB320" i="41"/>
  <c r="Z320" i="41"/>
  <c r="X320" i="41"/>
  <c r="U320" i="41"/>
  <c r="V320" i="41" s="1"/>
  <c r="AM320" i="41" s="1"/>
  <c r="R320" i="41"/>
  <c r="P320" i="41"/>
  <c r="M320" i="41"/>
  <c r="N320" i="41" s="1"/>
  <c r="I320" i="41"/>
  <c r="H320" i="41"/>
  <c r="F320" i="41"/>
  <c r="BC319" i="41"/>
  <c r="BB319" i="41"/>
  <c r="BA319" i="41"/>
  <c r="AZ319" i="41"/>
  <c r="AY319" i="41"/>
  <c r="AX319" i="41"/>
  <c r="AW319" i="41"/>
  <c r="AV319" i="41"/>
  <c r="AU319" i="41"/>
  <c r="AT319" i="41"/>
  <c r="AS319" i="41"/>
  <c r="AR319" i="41"/>
  <c r="AQ319" i="41"/>
  <c r="AP319" i="41"/>
  <c r="AO319" i="41"/>
  <c r="AN319" i="41"/>
  <c r="AJ319" i="41"/>
  <c r="AB319" i="41"/>
  <c r="Z319" i="41"/>
  <c r="X319" i="41"/>
  <c r="U319" i="41"/>
  <c r="V319" i="41" s="1"/>
  <c r="AM319" i="41" s="1"/>
  <c r="R319" i="41"/>
  <c r="P319" i="41"/>
  <c r="M319" i="41"/>
  <c r="N319" i="41" s="1"/>
  <c r="I319" i="41"/>
  <c r="H319" i="41"/>
  <c r="F319" i="41"/>
  <c r="BC318" i="41"/>
  <c r="BB318" i="41"/>
  <c r="BA318" i="41"/>
  <c r="AZ318" i="41"/>
  <c r="AY318" i="41"/>
  <c r="AX318" i="41"/>
  <c r="AW318" i="41"/>
  <c r="AV318" i="41"/>
  <c r="AU318" i="41"/>
  <c r="AT318" i="41"/>
  <c r="AS318" i="41"/>
  <c r="AR318" i="41"/>
  <c r="AQ318" i="41"/>
  <c r="AP318" i="41"/>
  <c r="AO318" i="41"/>
  <c r="AN318" i="41"/>
  <c r="AJ318" i="41"/>
  <c r="AB318" i="41"/>
  <c r="Z318" i="41"/>
  <c r="X318" i="41"/>
  <c r="U318" i="41"/>
  <c r="V318" i="41" s="1"/>
  <c r="AM318" i="41" s="1"/>
  <c r="R318" i="41"/>
  <c r="P318" i="41"/>
  <c r="M318" i="41"/>
  <c r="N318" i="41" s="1"/>
  <c r="H318" i="41"/>
  <c r="F318" i="41"/>
  <c r="BC317" i="41"/>
  <c r="BB317" i="41"/>
  <c r="BA317" i="41"/>
  <c r="AZ317" i="41"/>
  <c r="AY317" i="41"/>
  <c r="AX317" i="41"/>
  <c r="AW317" i="41"/>
  <c r="AV317" i="41"/>
  <c r="AU317" i="41"/>
  <c r="AT317" i="41"/>
  <c r="AS317" i="41"/>
  <c r="AR317" i="41"/>
  <c r="AQ317" i="41"/>
  <c r="AP317" i="41"/>
  <c r="AO317" i="41"/>
  <c r="AN317" i="41"/>
  <c r="AJ317" i="41"/>
  <c r="AB317" i="41"/>
  <c r="Z317" i="41"/>
  <c r="X317" i="41"/>
  <c r="U317" i="41"/>
  <c r="V317" i="41" s="1"/>
  <c r="AM317" i="41" s="1"/>
  <c r="R317" i="41"/>
  <c r="P317" i="41"/>
  <c r="M317" i="41"/>
  <c r="N317" i="41" s="1"/>
  <c r="H317" i="41"/>
  <c r="F317" i="41"/>
  <c r="BC316" i="41"/>
  <c r="BB316" i="41"/>
  <c r="BA316" i="41"/>
  <c r="AZ316" i="41"/>
  <c r="AY316" i="41"/>
  <c r="AX316" i="41"/>
  <c r="AW316" i="41"/>
  <c r="AV316" i="41"/>
  <c r="AU316" i="41"/>
  <c r="AT316" i="41"/>
  <c r="AS316" i="41"/>
  <c r="AR316" i="41"/>
  <c r="AQ316" i="41"/>
  <c r="AP316" i="41"/>
  <c r="AO316" i="41"/>
  <c r="AN316" i="41"/>
  <c r="AJ316" i="41"/>
  <c r="AB316" i="41"/>
  <c r="Z316" i="41"/>
  <c r="X316" i="41"/>
  <c r="U316" i="41"/>
  <c r="V316" i="41" s="1"/>
  <c r="AM316" i="41" s="1"/>
  <c r="R316" i="41"/>
  <c r="P316" i="41"/>
  <c r="M316" i="41"/>
  <c r="N316" i="41" s="1"/>
  <c r="I316" i="41"/>
  <c r="H316" i="41"/>
  <c r="F316" i="41"/>
  <c r="BC315" i="41"/>
  <c r="BB315" i="41"/>
  <c r="BA315" i="41"/>
  <c r="AZ315" i="41"/>
  <c r="AY315" i="41"/>
  <c r="AX315" i="41"/>
  <c r="AW315" i="41"/>
  <c r="AV315" i="41"/>
  <c r="AU315" i="41"/>
  <c r="AT315" i="41"/>
  <c r="AS315" i="41"/>
  <c r="AR315" i="41"/>
  <c r="AQ315" i="41"/>
  <c r="AP315" i="41"/>
  <c r="AO315" i="41"/>
  <c r="AN315" i="41"/>
  <c r="AJ315" i="41"/>
  <c r="AB315" i="41"/>
  <c r="Z315" i="41"/>
  <c r="X315" i="41"/>
  <c r="U315" i="41"/>
  <c r="V315" i="41" s="1"/>
  <c r="AM315" i="41" s="1"/>
  <c r="R315" i="41"/>
  <c r="P315" i="41"/>
  <c r="M315" i="41"/>
  <c r="N315" i="41" s="1"/>
  <c r="H315" i="41"/>
  <c r="F315" i="41"/>
  <c r="BC314" i="41"/>
  <c r="BB314" i="41"/>
  <c r="BA314" i="41"/>
  <c r="AZ314" i="41"/>
  <c r="AY314" i="41"/>
  <c r="AX314" i="41"/>
  <c r="AW314" i="41"/>
  <c r="AV314" i="41"/>
  <c r="AU314" i="41"/>
  <c r="AT314" i="41"/>
  <c r="AS314" i="41"/>
  <c r="AR314" i="41"/>
  <c r="AQ314" i="41"/>
  <c r="AP314" i="41"/>
  <c r="AO314" i="41"/>
  <c r="AN314" i="41"/>
  <c r="AJ314" i="41"/>
  <c r="AB314" i="41"/>
  <c r="Z314" i="41"/>
  <c r="X314" i="41"/>
  <c r="U314" i="41"/>
  <c r="V314" i="41" s="1"/>
  <c r="AM314" i="41" s="1"/>
  <c r="R314" i="41"/>
  <c r="P314" i="41"/>
  <c r="M314" i="41"/>
  <c r="N314" i="41" s="1"/>
  <c r="I314" i="41"/>
  <c r="H314" i="41"/>
  <c r="F314" i="41"/>
  <c r="BC313" i="41"/>
  <c r="BB313" i="41"/>
  <c r="BA313" i="41"/>
  <c r="AZ313" i="41"/>
  <c r="AY313" i="41"/>
  <c r="AX313" i="41"/>
  <c r="AW313" i="41"/>
  <c r="AV313" i="41"/>
  <c r="AU313" i="41"/>
  <c r="AT313" i="41"/>
  <c r="AS313" i="41"/>
  <c r="AR313" i="41"/>
  <c r="AQ313" i="41"/>
  <c r="AP313" i="41"/>
  <c r="AO313" i="41"/>
  <c r="AN313" i="41"/>
  <c r="AJ313" i="41"/>
  <c r="AB313" i="41"/>
  <c r="Z313" i="41"/>
  <c r="X313" i="41"/>
  <c r="U313" i="41"/>
  <c r="V313" i="41" s="1"/>
  <c r="AM313" i="41" s="1"/>
  <c r="R313" i="41"/>
  <c r="P313" i="41"/>
  <c r="M313" i="41"/>
  <c r="N313" i="41" s="1"/>
  <c r="H313" i="41"/>
  <c r="F313" i="41"/>
  <c r="BC312" i="41"/>
  <c r="BB312" i="41"/>
  <c r="BA312" i="41"/>
  <c r="AZ312" i="41"/>
  <c r="AY312" i="41"/>
  <c r="AX312" i="41"/>
  <c r="AW312" i="41"/>
  <c r="AV312" i="41"/>
  <c r="AU312" i="41"/>
  <c r="AT312" i="41"/>
  <c r="AS312" i="41"/>
  <c r="AR312" i="41"/>
  <c r="AQ312" i="41"/>
  <c r="AP312" i="41"/>
  <c r="AO312" i="41"/>
  <c r="AN312" i="41"/>
  <c r="AJ312" i="41"/>
  <c r="AB312" i="41"/>
  <c r="Z312" i="41"/>
  <c r="X312" i="41"/>
  <c r="U312" i="41"/>
  <c r="V312" i="41" s="1"/>
  <c r="AM312" i="41" s="1"/>
  <c r="R312" i="41"/>
  <c r="P312" i="41"/>
  <c r="M312" i="41"/>
  <c r="N312" i="41" s="1"/>
  <c r="I312" i="41"/>
  <c r="H312" i="41"/>
  <c r="F312" i="41"/>
  <c r="BC311" i="41"/>
  <c r="BB311" i="41"/>
  <c r="BA311" i="41"/>
  <c r="AZ311" i="41"/>
  <c r="AY311" i="41"/>
  <c r="AX311" i="41"/>
  <c r="AW311" i="41"/>
  <c r="AV311" i="41"/>
  <c r="AU311" i="41"/>
  <c r="AT311" i="41"/>
  <c r="AS311" i="41"/>
  <c r="AR311" i="41"/>
  <c r="AQ311" i="41"/>
  <c r="AP311" i="41"/>
  <c r="AO311" i="41"/>
  <c r="AN311" i="41"/>
  <c r="AJ311" i="41"/>
  <c r="AB311" i="41"/>
  <c r="Z311" i="41"/>
  <c r="X311" i="41"/>
  <c r="U311" i="41"/>
  <c r="V311" i="41" s="1"/>
  <c r="AM311" i="41" s="1"/>
  <c r="R311" i="41"/>
  <c r="P311" i="41"/>
  <c r="M311" i="41"/>
  <c r="N311" i="41" s="1"/>
  <c r="I311" i="41"/>
  <c r="H311" i="41"/>
  <c r="F311" i="41"/>
  <c r="BC310" i="41"/>
  <c r="BB310" i="41"/>
  <c r="BA310" i="41"/>
  <c r="AZ310" i="41"/>
  <c r="AY310" i="41"/>
  <c r="AX310" i="41"/>
  <c r="AW310" i="41"/>
  <c r="AV310" i="41"/>
  <c r="AU310" i="41"/>
  <c r="AT310" i="41"/>
  <c r="AS310" i="41"/>
  <c r="AR310" i="41"/>
  <c r="AQ310" i="41"/>
  <c r="AP310" i="41"/>
  <c r="AO310" i="41"/>
  <c r="AN310" i="41"/>
  <c r="AJ310" i="41"/>
  <c r="AB310" i="41"/>
  <c r="Z310" i="41"/>
  <c r="X310" i="41"/>
  <c r="U310" i="41"/>
  <c r="V310" i="41" s="1"/>
  <c r="AM310" i="41" s="1"/>
  <c r="R310" i="41"/>
  <c r="P310" i="41"/>
  <c r="M310" i="41"/>
  <c r="N310" i="41" s="1"/>
  <c r="I310" i="41"/>
  <c r="H310" i="41"/>
  <c r="F310" i="41"/>
  <c r="BC309" i="41"/>
  <c r="BB309" i="41"/>
  <c r="BA309" i="41"/>
  <c r="AZ309" i="41"/>
  <c r="AY309" i="41"/>
  <c r="AX309" i="41"/>
  <c r="AW309" i="41"/>
  <c r="AV309" i="41"/>
  <c r="AU309" i="41"/>
  <c r="AT309" i="41"/>
  <c r="AS309" i="41"/>
  <c r="AR309" i="41"/>
  <c r="AQ309" i="41"/>
  <c r="AP309" i="41"/>
  <c r="AO309" i="41"/>
  <c r="AN309" i="41"/>
  <c r="AJ309" i="41"/>
  <c r="AB309" i="41"/>
  <c r="Z309" i="41"/>
  <c r="X309" i="41"/>
  <c r="U309" i="41"/>
  <c r="V309" i="41" s="1"/>
  <c r="AM309" i="41" s="1"/>
  <c r="R309" i="41"/>
  <c r="P309" i="41"/>
  <c r="M309" i="41"/>
  <c r="N309" i="41" s="1"/>
  <c r="H309" i="41"/>
  <c r="F309" i="41"/>
  <c r="BC308" i="41"/>
  <c r="BB308" i="41"/>
  <c r="BA308" i="41"/>
  <c r="AZ308" i="41"/>
  <c r="AY308" i="41"/>
  <c r="AX308" i="41"/>
  <c r="AW308" i="41"/>
  <c r="AV308" i="41"/>
  <c r="AU308" i="41"/>
  <c r="AT308" i="41"/>
  <c r="AS308" i="41"/>
  <c r="AR308" i="41"/>
  <c r="AQ308" i="41"/>
  <c r="AP308" i="41"/>
  <c r="AO308" i="41"/>
  <c r="AN308" i="41"/>
  <c r="AJ308" i="41"/>
  <c r="AB308" i="41"/>
  <c r="Z308" i="41"/>
  <c r="X308" i="41"/>
  <c r="U308" i="41"/>
  <c r="V308" i="41" s="1"/>
  <c r="AM308" i="41" s="1"/>
  <c r="R308" i="41"/>
  <c r="P308" i="41"/>
  <c r="M308" i="41"/>
  <c r="N308" i="41" s="1"/>
  <c r="H308" i="41"/>
  <c r="F308" i="41"/>
  <c r="BC307" i="41"/>
  <c r="BB307" i="41"/>
  <c r="BA307" i="41"/>
  <c r="AZ307" i="41"/>
  <c r="AY307" i="41"/>
  <c r="AX307" i="41"/>
  <c r="AW307" i="41"/>
  <c r="AV307" i="41"/>
  <c r="AU307" i="41"/>
  <c r="AT307" i="41"/>
  <c r="AS307" i="41"/>
  <c r="AR307" i="41"/>
  <c r="AQ307" i="41"/>
  <c r="AP307" i="41"/>
  <c r="AO307" i="41"/>
  <c r="AN307" i="41"/>
  <c r="AJ307" i="41"/>
  <c r="AB307" i="41"/>
  <c r="Z307" i="41"/>
  <c r="X307" i="41"/>
  <c r="U307" i="41"/>
  <c r="V307" i="41" s="1"/>
  <c r="AM307" i="41" s="1"/>
  <c r="R307" i="41"/>
  <c r="P307" i="41"/>
  <c r="M307" i="41"/>
  <c r="N307" i="41" s="1"/>
  <c r="H307" i="41"/>
  <c r="F307" i="41"/>
  <c r="BC306" i="41"/>
  <c r="BB306" i="41"/>
  <c r="BA306" i="41"/>
  <c r="AZ306" i="41"/>
  <c r="AY306" i="41"/>
  <c r="AX306" i="41"/>
  <c r="AW306" i="41"/>
  <c r="AV306" i="41"/>
  <c r="AU306" i="41"/>
  <c r="AT306" i="41"/>
  <c r="AS306" i="41"/>
  <c r="AR306" i="41"/>
  <c r="AQ306" i="41"/>
  <c r="AP306" i="41"/>
  <c r="AO306" i="41"/>
  <c r="AN306" i="41"/>
  <c r="AJ306" i="41"/>
  <c r="AB306" i="41"/>
  <c r="Z306" i="41"/>
  <c r="X306" i="41"/>
  <c r="U306" i="41"/>
  <c r="V306" i="41" s="1"/>
  <c r="AM306" i="41" s="1"/>
  <c r="R306" i="41"/>
  <c r="P306" i="41"/>
  <c r="M306" i="41"/>
  <c r="N306" i="41" s="1"/>
  <c r="I306" i="41"/>
  <c r="H306" i="41"/>
  <c r="F306" i="41"/>
  <c r="BC305" i="41"/>
  <c r="BB305" i="41"/>
  <c r="BA305" i="41"/>
  <c r="AZ305" i="41"/>
  <c r="AY305" i="41"/>
  <c r="AX305" i="41"/>
  <c r="AW305" i="41"/>
  <c r="AV305" i="41"/>
  <c r="AU305" i="41"/>
  <c r="AT305" i="41"/>
  <c r="AS305" i="41"/>
  <c r="AR305" i="41"/>
  <c r="AQ305" i="41"/>
  <c r="AP305" i="41"/>
  <c r="AO305" i="41"/>
  <c r="AN305" i="41"/>
  <c r="AJ305" i="41"/>
  <c r="AB305" i="41"/>
  <c r="Z305" i="41"/>
  <c r="X305" i="41"/>
  <c r="U305" i="41"/>
  <c r="V305" i="41" s="1"/>
  <c r="AM305" i="41" s="1"/>
  <c r="R305" i="41"/>
  <c r="P305" i="41"/>
  <c r="M305" i="41"/>
  <c r="N305" i="41" s="1"/>
  <c r="H305" i="41"/>
  <c r="F305" i="41"/>
  <c r="BC304" i="41"/>
  <c r="BB304" i="41"/>
  <c r="BA304" i="41"/>
  <c r="AZ304" i="41"/>
  <c r="AY304" i="41"/>
  <c r="AX304" i="41"/>
  <c r="AW304" i="41"/>
  <c r="AV304" i="41"/>
  <c r="AU304" i="41"/>
  <c r="AT304" i="41"/>
  <c r="AS304" i="41"/>
  <c r="AR304" i="41"/>
  <c r="AQ304" i="41"/>
  <c r="AP304" i="41"/>
  <c r="AO304" i="41"/>
  <c r="AN304" i="41"/>
  <c r="AJ304" i="41"/>
  <c r="AB304" i="41"/>
  <c r="Z304" i="41"/>
  <c r="X304" i="41"/>
  <c r="U304" i="41"/>
  <c r="V304" i="41" s="1"/>
  <c r="AM304" i="41" s="1"/>
  <c r="R304" i="41"/>
  <c r="P304" i="41"/>
  <c r="M304" i="41"/>
  <c r="N304" i="41" s="1"/>
  <c r="I304" i="41"/>
  <c r="H304" i="41"/>
  <c r="F304" i="41"/>
  <c r="BC303" i="41"/>
  <c r="BB303" i="41"/>
  <c r="BA303" i="41"/>
  <c r="AZ303" i="41"/>
  <c r="AY303" i="41"/>
  <c r="AX303" i="41"/>
  <c r="AW303" i="41"/>
  <c r="AV303" i="41"/>
  <c r="AU303" i="41"/>
  <c r="AT303" i="41"/>
  <c r="AS303" i="41"/>
  <c r="AR303" i="41"/>
  <c r="AQ303" i="41"/>
  <c r="AP303" i="41"/>
  <c r="AO303" i="41"/>
  <c r="AN303" i="41"/>
  <c r="AJ303" i="41"/>
  <c r="AB303" i="41"/>
  <c r="Z303" i="41"/>
  <c r="X303" i="41"/>
  <c r="U303" i="41"/>
  <c r="V303" i="41" s="1"/>
  <c r="AM303" i="41" s="1"/>
  <c r="R303" i="41"/>
  <c r="P303" i="41"/>
  <c r="M303" i="41"/>
  <c r="N303" i="41" s="1"/>
  <c r="I303" i="41"/>
  <c r="H303" i="41"/>
  <c r="F303" i="41"/>
  <c r="BC302" i="41"/>
  <c r="BB302" i="41"/>
  <c r="BA302" i="41"/>
  <c r="AZ302" i="41"/>
  <c r="AY302" i="41"/>
  <c r="AX302" i="41"/>
  <c r="AW302" i="41"/>
  <c r="AV302" i="41"/>
  <c r="AU302" i="41"/>
  <c r="AT302" i="41"/>
  <c r="AS302" i="41"/>
  <c r="AR302" i="41"/>
  <c r="AQ302" i="41"/>
  <c r="AP302" i="41"/>
  <c r="AO302" i="41"/>
  <c r="AN302" i="41"/>
  <c r="AJ302" i="41"/>
  <c r="AB302" i="41"/>
  <c r="Z302" i="41"/>
  <c r="X302" i="41"/>
  <c r="U302" i="41"/>
  <c r="V302" i="41" s="1"/>
  <c r="AM302" i="41" s="1"/>
  <c r="R302" i="41"/>
  <c r="P302" i="41"/>
  <c r="M302" i="41"/>
  <c r="N302" i="41" s="1"/>
  <c r="I302" i="41"/>
  <c r="H302" i="41"/>
  <c r="F302" i="41"/>
  <c r="BC301" i="41"/>
  <c r="BB301" i="41"/>
  <c r="BA301" i="41"/>
  <c r="AZ301" i="41"/>
  <c r="AY301" i="41"/>
  <c r="AX301" i="41"/>
  <c r="AW301" i="41"/>
  <c r="AV301" i="41"/>
  <c r="AU301" i="41"/>
  <c r="AT301" i="41"/>
  <c r="AS301" i="41"/>
  <c r="AR301" i="41"/>
  <c r="AQ301" i="41"/>
  <c r="AP301" i="41"/>
  <c r="AO301" i="41"/>
  <c r="AN301" i="41"/>
  <c r="AJ301" i="41"/>
  <c r="AB301" i="41"/>
  <c r="Z301" i="41"/>
  <c r="X301" i="41"/>
  <c r="U301" i="41"/>
  <c r="V301" i="41" s="1"/>
  <c r="AM301" i="41" s="1"/>
  <c r="R301" i="41"/>
  <c r="P301" i="41"/>
  <c r="M301" i="41"/>
  <c r="N301" i="41" s="1"/>
  <c r="I301" i="41"/>
  <c r="H301" i="41"/>
  <c r="F301" i="41"/>
  <c r="BC300" i="41"/>
  <c r="BB300" i="41"/>
  <c r="BA300" i="41"/>
  <c r="AZ300" i="41"/>
  <c r="AY300" i="41"/>
  <c r="AX300" i="41"/>
  <c r="AW300" i="41"/>
  <c r="AV300" i="41"/>
  <c r="AU300" i="41"/>
  <c r="AT300" i="41"/>
  <c r="AS300" i="41"/>
  <c r="AR300" i="41"/>
  <c r="AQ300" i="41"/>
  <c r="AP300" i="41"/>
  <c r="AO300" i="41"/>
  <c r="AN300" i="41"/>
  <c r="AJ300" i="41"/>
  <c r="AB300" i="41"/>
  <c r="Z300" i="41"/>
  <c r="X300" i="41"/>
  <c r="U300" i="41"/>
  <c r="V300" i="41" s="1"/>
  <c r="AM300" i="41" s="1"/>
  <c r="R300" i="41"/>
  <c r="P300" i="41"/>
  <c r="M300" i="41"/>
  <c r="N300" i="41" s="1"/>
  <c r="I300" i="41"/>
  <c r="H300" i="41"/>
  <c r="F300" i="41"/>
  <c r="BC299" i="41"/>
  <c r="BB299" i="41"/>
  <c r="BA299" i="41"/>
  <c r="AZ299" i="41"/>
  <c r="AY299" i="41"/>
  <c r="AX299" i="41"/>
  <c r="AW299" i="41"/>
  <c r="AV299" i="41"/>
  <c r="AU299" i="41"/>
  <c r="AT299" i="41"/>
  <c r="AS299" i="41"/>
  <c r="AR299" i="41"/>
  <c r="AQ299" i="41"/>
  <c r="AP299" i="41"/>
  <c r="AO299" i="41"/>
  <c r="AN299" i="41"/>
  <c r="AJ299" i="41"/>
  <c r="AB299" i="41"/>
  <c r="Z299" i="41"/>
  <c r="X299" i="41"/>
  <c r="U299" i="41"/>
  <c r="V299" i="41" s="1"/>
  <c r="AM299" i="41" s="1"/>
  <c r="R299" i="41"/>
  <c r="P299" i="41"/>
  <c r="M299" i="41"/>
  <c r="N299" i="41" s="1"/>
  <c r="H299" i="41"/>
  <c r="F299" i="41"/>
  <c r="BC298" i="41"/>
  <c r="BB298" i="41"/>
  <c r="BA298" i="41"/>
  <c r="AZ298" i="41"/>
  <c r="AY298" i="41"/>
  <c r="AX298" i="41"/>
  <c r="AW298" i="41"/>
  <c r="AV298" i="41"/>
  <c r="AU298" i="41"/>
  <c r="AT298" i="41"/>
  <c r="AS298" i="41"/>
  <c r="AR298" i="41"/>
  <c r="AQ298" i="41"/>
  <c r="AP298" i="41"/>
  <c r="AO298" i="41"/>
  <c r="AN298" i="41"/>
  <c r="AJ298" i="41"/>
  <c r="AB298" i="41"/>
  <c r="Z298" i="41"/>
  <c r="X298" i="41"/>
  <c r="U298" i="41"/>
  <c r="V298" i="41" s="1"/>
  <c r="AM298" i="41" s="1"/>
  <c r="R298" i="41"/>
  <c r="P298" i="41"/>
  <c r="M298" i="41"/>
  <c r="N298" i="41" s="1"/>
  <c r="I298" i="41"/>
  <c r="H298" i="41"/>
  <c r="F298" i="41"/>
  <c r="BC297" i="41"/>
  <c r="BB297" i="41"/>
  <c r="BA297" i="41"/>
  <c r="AZ297" i="41"/>
  <c r="AY297" i="41"/>
  <c r="AX297" i="41"/>
  <c r="AW297" i="41"/>
  <c r="AV297" i="41"/>
  <c r="AU297" i="41"/>
  <c r="AT297" i="41"/>
  <c r="AS297" i="41"/>
  <c r="AR297" i="41"/>
  <c r="AQ297" i="41"/>
  <c r="AP297" i="41"/>
  <c r="AO297" i="41"/>
  <c r="AN297" i="41"/>
  <c r="AJ297" i="41"/>
  <c r="AB297" i="41"/>
  <c r="Z297" i="41"/>
  <c r="X297" i="41"/>
  <c r="U297" i="41"/>
  <c r="V297" i="41" s="1"/>
  <c r="AM297" i="41" s="1"/>
  <c r="R297" i="41"/>
  <c r="P297" i="41"/>
  <c r="M297" i="41"/>
  <c r="N297" i="41" s="1"/>
  <c r="I297" i="41"/>
  <c r="H297" i="41"/>
  <c r="F297" i="41"/>
  <c r="BC296" i="41"/>
  <c r="BB296" i="41"/>
  <c r="BA296" i="41"/>
  <c r="AZ296" i="41"/>
  <c r="AY296" i="41"/>
  <c r="AX296" i="41"/>
  <c r="AW296" i="41"/>
  <c r="AV296" i="41"/>
  <c r="AU296" i="41"/>
  <c r="AT296" i="41"/>
  <c r="AS296" i="41"/>
  <c r="AR296" i="41"/>
  <c r="AQ296" i="41"/>
  <c r="AP296" i="41"/>
  <c r="AO296" i="41"/>
  <c r="AN296" i="41"/>
  <c r="AJ296" i="41"/>
  <c r="AB296" i="41"/>
  <c r="Z296" i="41"/>
  <c r="X296" i="41"/>
  <c r="U296" i="41"/>
  <c r="V296" i="41" s="1"/>
  <c r="AM296" i="41" s="1"/>
  <c r="R296" i="41"/>
  <c r="P296" i="41"/>
  <c r="M296" i="41"/>
  <c r="N296" i="41" s="1"/>
  <c r="I296" i="41"/>
  <c r="H296" i="41"/>
  <c r="F296" i="41"/>
  <c r="BC295" i="41"/>
  <c r="BB295" i="41"/>
  <c r="BA295" i="41"/>
  <c r="AZ295" i="41"/>
  <c r="AY295" i="41"/>
  <c r="AX295" i="41"/>
  <c r="AW295" i="41"/>
  <c r="AV295" i="41"/>
  <c r="AU295" i="41"/>
  <c r="AT295" i="41"/>
  <c r="AS295" i="41"/>
  <c r="AR295" i="41"/>
  <c r="AQ295" i="41"/>
  <c r="AP295" i="41"/>
  <c r="AO295" i="41"/>
  <c r="AN295" i="41"/>
  <c r="AJ295" i="41"/>
  <c r="AB295" i="41"/>
  <c r="Z295" i="41"/>
  <c r="X295" i="41"/>
  <c r="U295" i="41"/>
  <c r="V295" i="41" s="1"/>
  <c r="AM295" i="41" s="1"/>
  <c r="R295" i="41"/>
  <c r="P295" i="41"/>
  <c r="M295" i="41"/>
  <c r="N295" i="41" s="1"/>
  <c r="I295" i="41"/>
  <c r="H295" i="41"/>
  <c r="F295" i="41"/>
  <c r="BC294" i="41"/>
  <c r="BB294" i="41"/>
  <c r="BA294" i="41"/>
  <c r="AZ294" i="41"/>
  <c r="AY294" i="41"/>
  <c r="AX294" i="41"/>
  <c r="AW294" i="41"/>
  <c r="AV294" i="41"/>
  <c r="AU294" i="41"/>
  <c r="AT294" i="41"/>
  <c r="AS294" i="41"/>
  <c r="AR294" i="41"/>
  <c r="AQ294" i="41"/>
  <c r="AP294" i="41"/>
  <c r="AO294" i="41"/>
  <c r="AN294" i="41"/>
  <c r="AJ294" i="41"/>
  <c r="AB294" i="41"/>
  <c r="Z294" i="41"/>
  <c r="X294" i="41"/>
  <c r="U294" i="41"/>
  <c r="V294" i="41" s="1"/>
  <c r="AM294" i="41" s="1"/>
  <c r="R294" i="41"/>
  <c r="P294" i="41"/>
  <c r="M294" i="41"/>
  <c r="N294" i="41" s="1"/>
  <c r="H294" i="41"/>
  <c r="F294" i="41"/>
  <c r="BC293" i="41"/>
  <c r="BB293" i="41"/>
  <c r="BA293" i="41"/>
  <c r="AZ293" i="41"/>
  <c r="AY293" i="41"/>
  <c r="AX293" i="41"/>
  <c r="AW293" i="41"/>
  <c r="AV293" i="41"/>
  <c r="AU293" i="41"/>
  <c r="AT293" i="41"/>
  <c r="AS293" i="41"/>
  <c r="AR293" i="41"/>
  <c r="AQ293" i="41"/>
  <c r="AP293" i="41"/>
  <c r="AO293" i="41"/>
  <c r="AN293" i="41"/>
  <c r="AJ293" i="41"/>
  <c r="AB293" i="41"/>
  <c r="Z293" i="41"/>
  <c r="X293" i="41"/>
  <c r="U293" i="41"/>
  <c r="V293" i="41" s="1"/>
  <c r="AM293" i="41" s="1"/>
  <c r="R293" i="41"/>
  <c r="P293" i="41"/>
  <c r="M293" i="41"/>
  <c r="N293" i="41" s="1"/>
  <c r="H293" i="41"/>
  <c r="F293" i="41"/>
  <c r="BC292" i="41"/>
  <c r="BB292" i="41"/>
  <c r="BA292" i="41"/>
  <c r="AZ292" i="41"/>
  <c r="AY292" i="41"/>
  <c r="AX292" i="41"/>
  <c r="AW292" i="41"/>
  <c r="AV292" i="41"/>
  <c r="AU292" i="41"/>
  <c r="AT292" i="41"/>
  <c r="AS292" i="41"/>
  <c r="AR292" i="41"/>
  <c r="AQ292" i="41"/>
  <c r="AP292" i="41"/>
  <c r="AO292" i="41"/>
  <c r="AN292" i="41"/>
  <c r="AJ292" i="41"/>
  <c r="AB292" i="41"/>
  <c r="Z292" i="41"/>
  <c r="X292" i="41"/>
  <c r="U292" i="41"/>
  <c r="V292" i="41" s="1"/>
  <c r="AM292" i="41" s="1"/>
  <c r="R292" i="41"/>
  <c r="P292" i="41"/>
  <c r="M292" i="41"/>
  <c r="N292" i="41" s="1"/>
  <c r="I292" i="41"/>
  <c r="H292" i="41"/>
  <c r="F292" i="41"/>
  <c r="BC291" i="41"/>
  <c r="BB291" i="41"/>
  <c r="BA291" i="41"/>
  <c r="AZ291" i="41"/>
  <c r="AY291" i="41"/>
  <c r="AX291" i="41"/>
  <c r="AW291" i="41"/>
  <c r="AV291" i="41"/>
  <c r="AU291" i="41"/>
  <c r="AT291" i="41"/>
  <c r="AS291" i="41"/>
  <c r="AR291" i="41"/>
  <c r="AQ291" i="41"/>
  <c r="AP291" i="41"/>
  <c r="AO291" i="41"/>
  <c r="AN291" i="41"/>
  <c r="AJ291" i="41"/>
  <c r="AB291" i="41"/>
  <c r="Z291" i="41"/>
  <c r="X291" i="41"/>
  <c r="U291" i="41"/>
  <c r="V291" i="41" s="1"/>
  <c r="AM291" i="41" s="1"/>
  <c r="R291" i="41"/>
  <c r="P291" i="41"/>
  <c r="M291" i="41"/>
  <c r="N291" i="41" s="1"/>
  <c r="I291" i="41"/>
  <c r="H291" i="41"/>
  <c r="F291" i="41"/>
  <c r="BC290" i="41"/>
  <c r="BB290" i="41"/>
  <c r="BA290" i="41"/>
  <c r="AZ290" i="41"/>
  <c r="AY290" i="41"/>
  <c r="AX290" i="41"/>
  <c r="AW290" i="41"/>
  <c r="AV290" i="41"/>
  <c r="AU290" i="41"/>
  <c r="AT290" i="41"/>
  <c r="AS290" i="41"/>
  <c r="AR290" i="41"/>
  <c r="AQ290" i="41"/>
  <c r="AP290" i="41"/>
  <c r="AO290" i="41"/>
  <c r="AN290" i="41"/>
  <c r="AJ290" i="41"/>
  <c r="AB290" i="41"/>
  <c r="Z290" i="41"/>
  <c r="X290" i="41"/>
  <c r="U290" i="41"/>
  <c r="V290" i="41" s="1"/>
  <c r="AM290" i="41" s="1"/>
  <c r="R290" i="41"/>
  <c r="P290" i="41"/>
  <c r="M290" i="41"/>
  <c r="N290" i="41" s="1"/>
  <c r="I290" i="41"/>
  <c r="H290" i="41"/>
  <c r="F290" i="41"/>
  <c r="BC289" i="41"/>
  <c r="BB289" i="41"/>
  <c r="BA289" i="41"/>
  <c r="AZ289" i="41"/>
  <c r="AY289" i="41"/>
  <c r="AX289" i="41"/>
  <c r="AW289" i="41"/>
  <c r="AV289" i="41"/>
  <c r="AU289" i="41"/>
  <c r="AT289" i="41"/>
  <c r="AS289" i="41"/>
  <c r="AR289" i="41"/>
  <c r="AQ289" i="41"/>
  <c r="AP289" i="41"/>
  <c r="AO289" i="41"/>
  <c r="AN289" i="41"/>
  <c r="AJ289" i="41"/>
  <c r="AB289" i="41"/>
  <c r="Z289" i="41"/>
  <c r="X289" i="41"/>
  <c r="U289" i="41"/>
  <c r="V289" i="41" s="1"/>
  <c r="AM289" i="41" s="1"/>
  <c r="R289" i="41"/>
  <c r="P289" i="41"/>
  <c r="M289" i="41"/>
  <c r="N289" i="41" s="1"/>
  <c r="I289" i="41"/>
  <c r="H289" i="41"/>
  <c r="F289" i="41"/>
  <c r="BC288" i="41"/>
  <c r="BB288" i="41"/>
  <c r="BA288" i="41"/>
  <c r="AZ288" i="41"/>
  <c r="AY288" i="41"/>
  <c r="AX288" i="41"/>
  <c r="AW288" i="41"/>
  <c r="AV288" i="41"/>
  <c r="AU288" i="41"/>
  <c r="AT288" i="41"/>
  <c r="AS288" i="41"/>
  <c r="AR288" i="41"/>
  <c r="AQ288" i="41"/>
  <c r="AP288" i="41"/>
  <c r="AO288" i="41"/>
  <c r="AN288" i="41"/>
  <c r="AJ288" i="41"/>
  <c r="AB288" i="41"/>
  <c r="Z288" i="41"/>
  <c r="X288" i="41"/>
  <c r="U288" i="41"/>
  <c r="V288" i="41" s="1"/>
  <c r="AM288" i="41" s="1"/>
  <c r="R288" i="41"/>
  <c r="P288" i="41"/>
  <c r="M288" i="41"/>
  <c r="N288" i="41" s="1"/>
  <c r="I288" i="41"/>
  <c r="H288" i="41"/>
  <c r="F288" i="41"/>
  <c r="BC287" i="41"/>
  <c r="BB287" i="41"/>
  <c r="BA287" i="41"/>
  <c r="AZ287" i="41"/>
  <c r="AY287" i="41"/>
  <c r="AX287" i="41"/>
  <c r="AW287" i="41"/>
  <c r="AV287" i="41"/>
  <c r="AU287" i="41"/>
  <c r="AT287" i="41"/>
  <c r="AS287" i="41"/>
  <c r="AR287" i="41"/>
  <c r="AQ287" i="41"/>
  <c r="AP287" i="41"/>
  <c r="AO287" i="41"/>
  <c r="AN287" i="41"/>
  <c r="AJ287" i="41"/>
  <c r="AB287" i="41"/>
  <c r="Z287" i="41"/>
  <c r="X287" i="41"/>
  <c r="U287" i="41"/>
  <c r="V287" i="41" s="1"/>
  <c r="AM287" i="41" s="1"/>
  <c r="R287" i="41"/>
  <c r="P287" i="41"/>
  <c r="M287" i="41"/>
  <c r="N287" i="41" s="1"/>
  <c r="I287" i="41"/>
  <c r="H287" i="41"/>
  <c r="F287" i="41"/>
  <c r="BC286" i="41"/>
  <c r="BB286" i="41"/>
  <c r="BA286" i="41"/>
  <c r="AZ286" i="41"/>
  <c r="AY286" i="41"/>
  <c r="AX286" i="41"/>
  <c r="AW286" i="41"/>
  <c r="AV286" i="41"/>
  <c r="AU286" i="41"/>
  <c r="AT286" i="41"/>
  <c r="AS286" i="41"/>
  <c r="AR286" i="41"/>
  <c r="AQ286" i="41"/>
  <c r="AP286" i="41"/>
  <c r="AO286" i="41"/>
  <c r="AN286" i="41"/>
  <c r="AJ286" i="41"/>
  <c r="AB286" i="41"/>
  <c r="Z286" i="41"/>
  <c r="X286" i="41"/>
  <c r="U286" i="41"/>
  <c r="V286" i="41" s="1"/>
  <c r="AM286" i="41" s="1"/>
  <c r="R286" i="41"/>
  <c r="P286" i="41"/>
  <c r="M286" i="41"/>
  <c r="N286" i="41" s="1"/>
  <c r="I286" i="41"/>
  <c r="H286" i="41"/>
  <c r="F286" i="41"/>
  <c r="BC285" i="41"/>
  <c r="BB285" i="41"/>
  <c r="BA285" i="41"/>
  <c r="AZ285" i="41"/>
  <c r="AY285" i="41"/>
  <c r="AX285" i="41"/>
  <c r="AW285" i="41"/>
  <c r="AV285" i="41"/>
  <c r="AU285" i="41"/>
  <c r="AT285" i="41"/>
  <c r="AS285" i="41"/>
  <c r="AR285" i="41"/>
  <c r="AQ285" i="41"/>
  <c r="AP285" i="41"/>
  <c r="AO285" i="41"/>
  <c r="AN285" i="41"/>
  <c r="AJ285" i="41"/>
  <c r="AB285" i="41"/>
  <c r="Z285" i="41"/>
  <c r="X285" i="41"/>
  <c r="U285" i="41"/>
  <c r="V285" i="41" s="1"/>
  <c r="AM285" i="41" s="1"/>
  <c r="R285" i="41"/>
  <c r="P285" i="41"/>
  <c r="M285" i="41"/>
  <c r="N285" i="41" s="1"/>
  <c r="H285" i="41"/>
  <c r="F285" i="41"/>
  <c r="BC284" i="41"/>
  <c r="BB284" i="41"/>
  <c r="BA284" i="41"/>
  <c r="AZ284" i="41"/>
  <c r="AY284" i="41"/>
  <c r="AX284" i="41"/>
  <c r="AW284" i="41"/>
  <c r="AV284" i="41"/>
  <c r="AU284" i="41"/>
  <c r="AT284" i="41"/>
  <c r="AS284" i="41"/>
  <c r="AR284" i="41"/>
  <c r="AQ284" i="41"/>
  <c r="AP284" i="41"/>
  <c r="AO284" i="41"/>
  <c r="AN284" i="41"/>
  <c r="AJ284" i="41"/>
  <c r="AB284" i="41"/>
  <c r="Z284" i="41"/>
  <c r="X284" i="41"/>
  <c r="U284" i="41"/>
  <c r="V284" i="41" s="1"/>
  <c r="AM284" i="41" s="1"/>
  <c r="R284" i="41"/>
  <c r="P284" i="41"/>
  <c r="M284" i="41"/>
  <c r="N284" i="41" s="1"/>
  <c r="I284" i="41"/>
  <c r="H284" i="41"/>
  <c r="F284" i="41"/>
  <c r="BC283" i="41"/>
  <c r="BB283" i="41"/>
  <c r="BA283" i="41"/>
  <c r="AZ283" i="41"/>
  <c r="AY283" i="41"/>
  <c r="AX283" i="41"/>
  <c r="AW283" i="41"/>
  <c r="AV283" i="41"/>
  <c r="AU283" i="41"/>
  <c r="AT283" i="41"/>
  <c r="AS283" i="41"/>
  <c r="AR283" i="41"/>
  <c r="AQ283" i="41"/>
  <c r="AP283" i="41"/>
  <c r="AO283" i="41"/>
  <c r="AN283" i="41"/>
  <c r="AJ283" i="41"/>
  <c r="AB283" i="41"/>
  <c r="Z283" i="41"/>
  <c r="X283" i="41"/>
  <c r="U283" i="41"/>
  <c r="V283" i="41" s="1"/>
  <c r="AM283" i="41" s="1"/>
  <c r="R283" i="41"/>
  <c r="P283" i="41"/>
  <c r="M283" i="41"/>
  <c r="N283" i="41" s="1"/>
  <c r="I283" i="41"/>
  <c r="H283" i="41"/>
  <c r="F283" i="41"/>
  <c r="BC282" i="41"/>
  <c r="BB282" i="41"/>
  <c r="BA282" i="41"/>
  <c r="AZ282" i="41"/>
  <c r="AY282" i="41"/>
  <c r="AX282" i="41"/>
  <c r="AW282" i="41"/>
  <c r="AV282" i="41"/>
  <c r="AU282" i="41"/>
  <c r="AT282" i="41"/>
  <c r="AS282" i="41"/>
  <c r="AR282" i="41"/>
  <c r="AQ282" i="41"/>
  <c r="AP282" i="41"/>
  <c r="AO282" i="41"/>
  <c r="AN282" i="41"/>
  <c r="AJ282" i="41"/>
  <c r="AB282" i="41"/>
  <c r="Z282" i="41"/>
  <c r="X282" i="41"/>
  <c r="U282" i="41"/>
  <c r="V282" i="41" s="1"/>
  <c r="AM282" i="41" s="1"/>
  <c r="R282" i="41"/>
  <c r="P282" i="41"/>
  <c r="M282" i="41"/>
  <c r="N282" i="41" s="1"/>
  <c r="I282" i="41"/>
  <c r="H282" i="41"/>
  <c r="F282" i="41"/>
  <c r="BC281" i="41"/>
  <c r="BB281" i="41"/>
  <c r="BA281" i="41"/>
  <c r="AZ281" i="41"/>
  <c r="AY281" i="41"/>
  <c r="AX281" i="41"/>
  <c r="AW281" i="41"/>
  <c r="AV281" i="41"/>
  <c r="AU281" i="41"/>
  <c r="AT281" i="41"/>
  <c r="AS281" i="41"/>
  <c r="AR281" i="41"/>
  <c r="AQ281" i="41"/>
  <c r="AP281" i="41"/>
  <c r="AO281" i="41"/>
  <c r="AN281" i="41"/>
  <c r="AJ281" i="41"/>
  <c r="AB281" i="41"/>
  <c r="Z281" i="41"/>
  <c r="X281" i="41"/>
  <c r="U281" i="41"/>
  <c r="V281" i="41" s="1"/>
  <c r="AM281" i="41" s="1"/>
  <c r="R281" i="41"/>
  <c r="P281" i="41"/>
  <c r="M281" i="41"/>
  <c r="N281" i="41" s="1"/>
  <c r="H281" i="41"/>
  <c r="F281" i="41"/>
  <c r="BC280" i="41"/>
  <c r="BB280" i="41"/>
  <c r="BA280" i="41"/>
  <c r="AZ280" i="41"/>
  <c r="AY280" i="41"/>
  <c r="AX280" i="41"/>
  <c r="AW280" i="41"/>
  <c r="AV280" i="41"/>
  <c r="AU280" i="41"/>
  <c r="AT280" i="41"/>
  <c r="AS280" i="41"/>
  <c r="AR280" i="41"/>
  <c r="AQ280" i="41"/>
  <c r="AP280" i="41"/>
  <c r="AO280" i="41"/>
  <c r="AN280" i="41"/>
  <c r="AJ280" i="41"/>
  <c r="AB280" i="41"/>
  <c r="Z280" i="41"/>
  <c r="X280" i="41"/>
  <c r="U280" i="41"/>
  <c r="V280" i="41" s="1"/>
  <c r="AM280" i="41" s="1"/>
  <c r="R280" i="41"/>
  <c r="P280" i="41"/>
  <c r="M280" i="41"/>
  <c r="N280" i="41" s="1"/>
  <c r="I280" i="41"/>
  <c r="H280" i="41"/>
  <c r="F280" i="41"/>
  <c r="BC279" i="41"/>
  <c r="BB279" i="41"/>
  <c r="BA279" i="41"/>
  <c r="AZ279" i="41"/>
  <c r="AY279" i="41"/>
  <c r="AX279" i="41"/>
  <c r="AW279" i="41"/>
  <c r="AV279" i="41"/>
  <c r="AU279" i="41"/>
  <c r="AT279" i="41"/>
  <c r="AS279" i="41"/>
  <c r="AR279" i="41"/>
  <c r="AQ279" i="41"/>
  <c r="AP279" i="41"/>
  <c r="AO279" i="41"/>
  <c r="AN279" i="41"/>
  <c r="AJ279" i="41"/>
  <c r="AB279" i="41"/>
  <c r="Z279" i="41"/>
  <c r="X279" i="41"/>
  <c r="U279" i="41"/>
  <c r="V279" i="41" s="1"/>
  <c r="AM279" i="41" s="1"/>
  <c r="R279" i="41"/>
  <c r="P279" i="41"/>
  <c r="M279" i="41"/>
  <c r="N279" i="41" s="1"/>
  <c r="I279" i="41"/>
  <c r="H279" i="41"/>
  <c r="F279" i="41"/>
  <c r="BC278" i="41"/>
  <c r="BB278" i="41"/>
  <c r="BA278" i="41"/>
  <c r="AZ278" i="41"/>
  <c r="AY278" i="41"/>
  <c r="AX278" i="41"/>
  <c r="AW278" i="41"/>
  <c r="AV278" i="41"/>
  <c r="AU278" i="41"/>
  <c r="AT278" i="41"/>
  <c r="AS278" i="41"/>
  <c r="AR278" i="41"/>
  <c r="AQ278" i="41"/>
  <c r="AP278" i="41"/>
  <c r="AO278" i="41"/>
  <c r="AN278" i="41"/>
  <c r="AJ278" i="41"/>
  <c r="AB278" i="41"/>
  <c r="Z278" i="41"/>
  <c r="X278" i="41"/>
  <c r="U278" i="41"/>
  <c r="V278" i="41" s="1"/>
  <c r="AM278" i="41" s="1"/>
  <c r="R278" i="41"/>
  <c r="P278" i="41"/>
  <c r="M278" i="41"/>
  <c r="N278" i="41" s="1"/>
  <c r="I278" i="41"/>
  <c r="H278" i="41"/>
  <c r="F278" i="41"/>
  <c r="BC277" i="41"/>
  <c r="BB277" i="41"/>
  <c r="BA277" i="41"/>
  <c r="AZ277" i="41"/>
  <c r="AY277" i="41"/>
  <c r="AX277" i="41"/>
  <c r="AW277" i="41"/>
  <c r="AV277" i="41"/>
  <c r="AU277" i="41"/>
  <c r="AT277" i="41"/>
  <c r="AS277" i="41"/>
  <c r="AR277" i="41"/>
  <c r="AQ277" i="41"/>
  <c r="AP277" i="41"/>
  <c r="AO277" i="41"/>
  <c r="AN277" i="41"/>
  <c r="AJ277" i="41"/>
  <c r="AB277" i="41"/>
  <c r="Z277" i="41"/>
  <c r="X277" i="41"/>
  <c r="U277" i="41"/>
  <c r="V277" i="41" s="1"/>
  <c r="AM277" i="41" s="1"/>
  <c r="R277" i="41"/>
  <c r="P277" i="41"/>
  <c r="M277" i="41"/>
  <c r="N277" i="41" s="1"/>
  <c r="I277" i="41"/>
  <c r="H277" i="41"/>
  <c r="F277" i="41"/>
  <c r="BC276" i="41"/>
  <c r="BB276" i="41"/>
  <c r="BA276" i="41"/>
  <c r="AZ276" i="41"/>
  <c r="AY276" i="41"/>
  <c r="AX276" i="41"/>
  <c r="AW276" i="41"/>
  <c r="AV276" i="41"/>
  <c r="AU276" i="41"/>
  <c r="AT276" i="41"/>
  <c r="AS276" i="41"/>
  <c r="AR276" i="41"/>
  <c r="AQ276" i="41"/>
  <c r="AP276" i="41"/>
  <c r="AO276" i="41"/>
  <c r="AN276" i="41"/>
  <c r="AJ276" i="41"/>
  <c r="AB276" i="41"/>
  <c r="Z276" i="41"/>
  <c r="X276" i="41"/>
  <c r="U276" i="41"/>
  <c r="V276" i="41" s="1"/>
  <c r="AM276" i="41" s="1"/>
  <c r="R276" i="41"/>
  <c r="P276" i="41"/>
  <c r="M276" i="41"/>
  <c r="N276" i="41" s="1"/>
  <c r="I276" i="41"/>
  <c r="H276" i="41"/>
  <c r="F276" i="41"/>
  <c r="BC275" i="41"/>
  <c r="BB275" i="41"/>
  <c r="BA275" i="41"/>
  <c r="AZ275" i="41"/>
  <c r="AY275" i="41"/>
  <c r="AX275" i="41"/>
  <c r="AW275" i="41"/>
  <c r="AV275" i="41"/>
  <c r="AU275" i="41"/>
  <c r="AT275" i="41"/>
  <c r="AS275" i="41"/>
  <c r="AR275" i="41"/>
  <c r="AQ275" i="41"/>
  <c r="AP275" i="41"/>
  <c r="AO275" i="41"/>
  <c r="AN275" i="41"/>
  <c r="AJ275" i="41"/>
  <c r="AB275" i="41"/>
  <c r="Z275" i="41"/>
  <c r="X275" i="41"/>
  <c r="U275" i="41"/>
  <c r="V275" i="41" s="1"/>
  <c r="AM275" i="41" s="1"/>
  <c r="R275" i="41"/>
  <c r="P275" i="41"/>
  <c r="M275" i="41"/>
  <c r="N275" i="41" s="1"/>
  <c r="H275" i="41"/>
  <c r="F275" i="41"/>
  <c r="BC274" i="41"/>
  <c r="BB274" i="41"/>
  <c r="BA274" i="41"/>
  <c r="AZ274" i="41"/>
  <c r="AY274" i="41"/>
  <c r="AX274" i="41"/>
  <c r="AW274" i="41"/>
  <c r="AV274" i="41"/>
  <c r="AU274" i="41"/>
  <c r="AT274" i="41"/>
  <c r="AS274" i="41"/>
  <c r="AR274" i="41"/>
  <c r="AQ274" i="41"/>
  <c r="AP274" i="41"/>
  <c r="AO274" i="41"/>
  <c r="AN274" i="41"/>
  <c r="AJ274" i="41"/>
  <c r="AB274" i="41"/>
  <c r="Z274" i="41"/>
  <c r="X274" i="41"/>
  <c r="U274" i="41"/>
  <c r="V274" i="41" s="1"/>
  <c r="AM274" i="41" s="1"/>
  <c r="R274" i="41"/>
  <c r="P274" i="41"/>
  <c r="M274" i="41"/>
  <c r="N274" i="41" s="1"/>
  <c r="I274" i="41"/>
  <c r="H274" i="41"/>
  <c r="F274" i="41"/>
  <c r="BC273" i="41"/>
  <c r="BB273" i="41"/>
  <c r="BA273" i="41"/>
  <c r="AZ273" i="41"/>
  <c r="AY273" i="41"/>
  <c r="AX273" i="41"/>
  <c r="AW273" i="41"/>
  <c r="AV273" i="41"/>
  <c r="AU273" i="41"/>
  <c r="AT273" i="41"/>
  <c r="AS273" i="41"/>
  <c r="AR273" i="41"/>
  <c r="AQ273" i="41"/>
  <c r="AP273" i="41"/>
  <c r="AO273" i="41"/>
  <c r="AN273" i="41"/>
  <c r="AJ273" i="41"/>
  <c r="AB273" i="41"/>
  <c r="Z273" i="41"/>
  <c r="X273" i="41"/>
  <c r="U273" i="41"/>
  <c r="V273" i="41" s="1"/>
  <c r="AM273" i="41" s="1"/>
  <c r="R273" i="41"/>
  <c r="P273" i="41"/>
  <c r="M273" i="41"/>
  <c r="N273" i="41" s="1"/>
  <c r="I273" i="41"/>
  <c r="H273" i="41"/>
  <c r="F273" i="41"/>
  <c r="BC272" i="41"/>
  <c r="BB272" i="41"/>
  <c r="BA272" i="41"/>
  <c r="AZ272" i="41"/>
  <c r="AY272" i="41"/>
  <c r="AX272" i="41"/>
  <c r="AW272" i="41"/>
  <c r="AV272" i="41"/>
  <c r="AU272" i="41"/>
  <c r="AT272" i="41"/>
  <c r="AS272" i="41"/>
  <c r="AR272" i="41"/>
  <c r="AQ272" i="41"/>
  <c r="AP272" i="41"/>
  <c r="AO272" i="41"/>
  <c r="AN272" i="41"/>
  <c r="AJ272" i="41"/>
  <c r="AB272" i="41"/>
  <c r="Z272" i="41"/>
  <c r="X272" i="41"/>
  <c r="U272" i="41"/>
  <c r="V272" i="41" s="1"/>
  <c r="AM272" i="41" s="1"/>
  <c r="R272" i="41"/>
  <c r="P272" i="41"/>
  <c r="M272" i="41"/>
  <c r="N272" i="41" s="1"/>
  <c r="I272" i="41"/>
  <c r="H272" i="41"/>
  <c r="F272" i="41"/>
  <c r="BC271" i="41"/>
  <c r="BB271" i="41"/>
  <c r="BA271" i="41"/>
  <c r="AZ271" i="41"/>
  <c r="AY271" i="41"/>
  <c r="AX271" i="41"/>
  <c r="AW271" i="41"/>
  <c r="AV271" i="41"/>
  <c r="AU271" i="41"/>
  <c r="AT271" i="41"/>
  <c r="AS271" i="41"/>
  <c r="AR271" i="41"/>
  <c r="AQ271" i="41"/>
  <c r="AP271" i="41"/>
  <c r="AO271" i="41"/>
  <c r="AN271" i="41"/>
  <c r="AJ271" i="41"/>
  <c r="AB271" i="41"/>
  <c r="Z271" i="41"/>
  <c r="X271" i="41"/>
  <c r="U271" i="41"/>
  <c r="V271" i="41" s="1"/>
  <c r="AM271" i="41" s="1"/>
  <c r="R271" i="41"/>
  <c r="P271" i="41"/>
  <c r="M271" i="41"/>
  <c r="N271" i="41" s="1"/>
  <c r="H271" i="41"/>
  <c r="F271" i="41"/>
  <c r="BC270" i="41"/>
  <c r="BB270" i="41"/>
  <c r="BA270" i="41"/>
  <c r="AZ270" i="41"/>
  <c r="AY270" i="41"/>
  <c r="AX270" i="41"/>
  <c r="AW270" i="41"/>
  <c r="AV270" i="41"/>
  <c r="AU270" i="41"/>
  <c r="AT270" i="41"/>
  <c r="AS270" i="41"/>
  <c r="AR270" i="41"/>
  <c r="AQ270" i="41"/>
  <c r="AP270" i="41"/>
  <c r="AO270" i="41"/>
  <c r="AN270" i="41"/>
  <c r="AJ270" i="41"/>
  <c r="AB270" i="41"/>
  <c r="Z270" i="41"/>
  <c r="X270" i="41"/>
  <c r="U270" i="41"/>
  <c r="V270" i="41" s="1"/>
  <c r="AM270" i="41" s="1"/>
  <c r="R270" i="41"/>
  <c r="P270" i="41"/>
  <c r="M270" i="41"/>
  <c r="N270" i="41" s="1"/>
  <c r="I270" i="41"/>
  <c r="H270" i="41"/>
  <c r="F270" i="41"/>
  <c r="BC269" i="41"/>
  <c r="BB269" i="41"/>
  <c r="BA269" i="41"/>
  <c r="AZ269" i="41"/>
  <c r="AY269" i="41"/>
  <c r="AX269" i="41"/>
  <c r="AW269" i="41"/>
  <c r="AV269" i="41"/>
  <c r="AU269" i="41"/>
  <c r="AT269" i="41"/>
  <c r="AS269" i="41"/>
  <c r="AR269" i="41"/>
  <c r="AQ269" i="41"/>
  <c r="AP269" i="41"/>
  <c r="AO269" i="41"/>
  <c r="AN269" i="41"/>
  <c r="AJ269" i="41"/>
  <c r="AB269" i="41"/>
  <c r="Z269" i="41"/>
  <c r="X269" i="41"/>
  <c r="U269" i="41"/>
  <c r="V269" i="41" s="1"/>
  <c r="AM269" i="41" s="1"/>
  <c r="R269" i="41"/>
  <c r="P269" i="41"/>
  <c r="M269" i="41"/>
  <c r="N269" i="41" s="1"/>
  <c r="I269" i="41"/>
  <c r="H269" i="41"/>
  <c r="F269" i="41"/>
  <c r="BC268" i="41"/>
  <c r="BB268" i="41"/>
  <c r="BA268" i="41"/>
  <c r="AZ268" i="41"/>
  <c r="AY268" i="41"/>
  <c r="AX268" i="41"/>
  <c r="AW268" i="41"/>
  <c r="AV268" i="41"/>
  <c r="AU268" i="41"/>
  <c r="AT268" i="41"/>
  <c r="AS268" i="41"/>
  <c r="AR268" i="41"/>
  <c r="AQ268" i="41"/>
  <c r="AP268" i="41"/>
  <c r="AO268" i="41"/>
  <c r="AN268" i="41"/>
  <c r="AJ268" i="41"/>
  <c r="AB268" i="41"/>
  <c r="Z268" i="41"/>
  <c r="X268" i="41"/>
  <c r="U268" i="41"/>
  <c r="V268" i="41" s="1"/>
  <c r="AM268" i="41" s="1"/>
  <c r="R268" i="41"/>
  <c r="P268" i="41"/>
  <c r="M268" i="41"/>
  <c r="N268" i="41" s="1"/>
  <c r="H268" i="41"/>
  <c r="F268" i="41"/>
  <c r="BC267" i="41"/>
  <c r="BB267" i="41"/>
  <c r="BA267" i="41"/>
  <c r="AZ267" i="41"/>
  <c r="AY267" i="41"/>
  <c r="AX267" i="41"/>
  <c r="AW267" i="41"/>
  <c r="AV267" i="41"/>
  <c r="AU267" i="41"/>
  <c r="AT267" i="41"/>
  <c r="AS267" i="41"/>
  <c r="AR267" i="41"/>
  <c r="AQ267" i="41"/>
  <c r="AP267" i="41"/>
  <c r="AO267" i="41"/>
  <c r="AN267" i="41"/>
  <c r="AJ267" i="41"/>
  <c r="AB267" i="41"/>
  <c r="Z267" i="41"/>
  <c r="X267" i="41"/>
  <c r="U267" i="41"/>
  <c r="V267" i="41" s="1"/>
  <c r="AM267" i="41" s="1"/>
  <c r="R267" i="41"/>
  <c r="P267" i="41"/>
  <c r="M267" i="41"/>
  <c r="N267" i="41" s="1"/>
  <c r="H267" i="41"/>
  <c r="F267" i="41"/>
  <c r="BC266" i="41"/>
  <c r="BB266" i="41"/>
  <c r="BA266" i="41"/>
  <c r="AZ266" i="41"/>
  <c r="AY266" i="41"/>
  <c r="AX266" i="41"/>
  <c r="AW266" i="41"/>
  <c r="AV266" i="41"/>
  <c r="AU266" i="41"/>
  <c r="AT266" i="41"/>
  <c r="AS266" i="41"/>
  <c r="AR266" i="41"/>
  <c r="AQ266" i="41"/>
  <c r="AP266" i="41"/>
  <c r="AO266" i="41"/>
  <c r="AN266" i="41"/>
  <c r="AJ266" i="41"/>
  <c r="AB266" i="41"/>
  <c r="Z266" i="41"/>
  <c r="X266" i="41"/>
  <c r="U266" i="41"/>
  <c r="V266" i="41" s="1"/>
  <c r="AM266" i="41" s="1"/>
  <c r="R266" i="41"/>
  <c r="P266" i="41"/>
  <c r="M266" i="41"/>
  <c r="N266" i="41" s="1"/>
  <c r="I266" i="41"/>
  <c r="H266" i="41"/>
  <c r="F266" i="41"/>
  <c r="BC265" i="41"/>
  <c r="BB265" i="41"/>
  <c r="BA265" i="41"/>
  <c r="AZ265" i="41"/>
  <c r="AY265" i="41"/>
  <c r="AX265" i="41"/>
  <c r="AW265" i="41"/>
  <c r="AV265" i="41"/>
  <c r="AU265" i="41"/>
  <c r="AT265" i="41"/>
  <c r="AS265" i="41"/>
  <c r="AR265" i="41"/>
  <c r="AQ265" i="41"/>
  <c r="AP265" i="41"/>
  <c r="AO265" i="41"/>
  <c r="AN265" i="41"/>
  <c r="AJ265" i="41"/>
  <c r="AB265" i="41"/>
  <c r="Z265" i="41"/>
  <c r="X265" i="41"/>
  <c r="U265" i="41"/>
  <c r="V265" i="41" s="1"/>
  <c r="AM265" i="41" s="1"/>
  <c r="R265" i="41"/>
  <c r="P265" i="41"/>
  <c r="M265" i="41"/>
  <c r="N265" i="41" s="1"/>
  <c r="H265" i="41"/>
  <c r="F265" i="41"/>
  <c r="BC264" i="41"/>
  <c r="BB264" i="41"/>
  <c r="BA264" i="41"/>
  <c r="AZ264" i="41"/>
  <c r="AY264" i="41"/>
  <c r="AX264" i="41"/>
  <c r="AW264" i="41"/>
  <c r="AV264" i="41"/>
  <c r="AU264" i="41"/>
  <c r="AT264" i="41"/>
  <c r="AS264" i="41"/>
  <c r="AR264" i="41"/>
  <c r="AQ264" i="41"/>
  <c r="AP264" i="41"/>
  <c r="AO264" i="41"/>
  <c r="AN264" i="41"/>
  <c r="AJ264" i="41"/>
  <c r="AB264" i="41"/>
  <c r="Z264" i="41"/>
  <c r="X264" i="41"/>
  <c r="U264" i="41"/>
  <c r="V264" i="41" s="1"/>
  <c r="AM264" i="41" s="1"/>
  <c r="R264" i="41"/>
  <c r="P264" i="41"/>
  <c r="M264" i="41"/>
  <c r="N264" i="41" s="1"/>
  <c r="I264" i="41"/>
  <c r="H264" i="41"/>
  <c r="F264" i="41"/>
  <c r="BC263" i="41"/>
  <c r="BB263" i="41"/>
  <c r="BA263" i="41"/>
  <c r="AZ263" i="41"/>
  <c r="AY263" i="41"/>
  <c r="AX263" i="41"/>
  <c r="AW263" i="41"/>
  <c r="AV263" i="41"/>
  <c r="AU263" i="41"/>
  <c r="AT263" i="41"/>
  <c r="AS263" i="41"/>
  <c r="AR263" i="41"/>
  <c r="AQ263" i="41"/>
  <c r="AP263" i="41"/>
  <c r="AO263" i="41"/>
  <c r="AN263" i="41"/>
  <c r="AJ263" i="41"/>
  <c r="AB263" i="41"/>
  <c r="Z263" i="41"/>
  <c r="X263" i="41"/>
  <c r="U263" i="41"/>
  <c r="V263" i="41" s="1"/>
  <c r="AM263" i="41" s="1"/>
  <c r="R263" i="41"/>
  <c r="P263" i="41"/>
  <c r="M263" i="41"/>
  <c r="N263" i="41" s="1"/>
  <c r="H263" i="41"/>
  <c r="F263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J262" i="41"/>
  <c r="AB262" i="41"/>
  <c r="Z262" i="41"/>
  <c r="X262" i="41"/>
  <c r="U262" i="41"/>
  <c r="V262" i="41" s="1"/>
  <c r="AM262" i="41" s="1"/>
  <c r="R262" i="41"/>
  <c r="P262" i="41"/>
  <c r="M262" i="41"/>
  <c r="N262" i="41" s="1"/>
  <c r="I262" i="41"/>
  <c r="H262" i="41"/>
  <c r="F262" i="41"/>
  <c r="BC261" i="41"/>
  <c r="BB261" i="41"/>
  <c r="BA261" i="41"/>
  <c r="AZ261" i="41"/>
  <c r="AY261" i="41"/>
  <c r="AX261" i="41"/>
  <c r="AW261" i="41"/>
  <c r="AV261" i="41"/>
  <c r="AU261" i="41"/>
  <c r="AT261" i="41"/>
  <c r="AS261" i="41"/>
  <c r="AR261" i="41"/>
  <c r="AQ261" i="41"/>
  <c r="AP261" i="41"/>
  <c r="AO261" i="41"/>
  <c r="AN261" i="41"/>
  <c r="AJ261" i="41"/>
  <c r="AB261" i="41"/>
  <c r="Z261" i="41"/>
  <c r="X261" i="41"/>
  <c r="U261" i="41"/>
  <c r="V261" i="41" s="1"/>
  <c r="AM261" i="41" s="1"/>
  <c r="R261" i="41"/>
  <c r="P261" i="41"/>
  <c r="M261" i="41"/>
  <c r="N261" i="41" s="1"/>
  <c r="I261" i="41"/>
  <c r="H261" i="41"/>
  <c r="F261" i="41"/>
  <c r="BC260" i="41"/>
  <c r="BB260" i="41"/>
  <c r="BA260" i="41"/>
  <c r="AZ260" i="41"/>
  <c r="AY260" i="41"/>
  <c r="AX260" i="41"/>
  <c r="AW260" i="41"/>
  <c r="AV260" i="41"/>
  <c r="AU260" i="41"/>
  <c r="AT260" i="41"/>
  <c r="AS260" i="41"/>
  <c r="AR260" i="41"/>
  <c r="AQ260" i="41"/>
  <c r="AP260" i="41"/>
  <c r="AO260" i="41"/>
  <c r="AN260" i="41"/>
  <c r="AJ260" i="41"/>
  <c r="AB260" i="41"/>
  <c r="Z260" i="41"/>
  <c r="X260" i="41"/>
  <c r="U260" i="41"/>
  <c r="V260" i="41" s="1"/>
  <c r="AM260" i="41" s="1"/>
  <c r="R260" i="41"/>
  <c r="P260" i="41"/>
  <c r="M260" i="41"/>
  <c r="N260" i="41" s="1"/>
  <c r="I260" i="41"/>
  <c r="H260" i="41"/>
  <c r="F260" i="41"/>
  <c r="BC259" i="41"/>
  <c r="BB259" i="41"/>
  <c r="BA259" i="41"/>
  <c r="AZ259" i="41"/>
  <c r="AY259" i="41"/>
  <c r="AX259" i="41"/>
  <c r="AW259" i="41"/>
  <c r="AV259" i="41"/>
  <c r="AU259" i="41"/>
  <c r="AT259" i="41"/>
  <c r="AS259" i="41"/>
  <c r="AR259" i="41"/>
  <c r="AQ259" i="41"/>
  <c r="AP259" i="41"/>
  <c r="AO259" i="41"/>
  <c r="AN259" i="41"/>
  <c r="AJ259" i="41"/>
  <c r="AB259" i="41"/>
  <c r="Z259" i="41"/>
  <c r="X259" i="41"/>
  <c r="U259" i="41"/>
  <c r="V259" i="41" s="1"/>
  <c r="AM259" i="41" s="1"/>
  <c r="R259" i="41"/>
  <c r="P259" i="41"/>
  <c r="M259" i="41"/>
  <c r="N259" i="41" s="1"/>
  <c r="I259" i="41"/>
  <c r="H259" i="41"/>
  <c r="F259" i="41"/>
  <c r="BC258" i="41"/>
  <c r="BB258" i="41"/>
  <c r="BA258" i="41"/>
  <c r="AZ258" i="41"/>
  <c r="AY258" i="41"/>
  <c r="AX258" i="41"/>
  <c r="AW258" i="41"/>
  <c r="AV258" i="41"/>
  <c r="AU258" i="41"/>
  <c r="AT258" i="41"/>
  <c r="AS258" i="41"/>
  <c r="AR258" i="41"/>
  <c r="AQ258" i="41"/>
  <c r="AP258" i="41"/>
  <c r="AO258" i="41"/>
  <c r="AN258" i="41"/>
  <c r="AJ258" i="41"/>
  <c r="AB258" i="41"/>
  <c r="Z258" i="41"/>
  <c r="X258" i="41"/>
  <c r="U258" i="41"/>
  <c r="V258" i="41" s="1"/>
  <c r="AM258" i="41" s="1"/>
  <c r="R258" i="41"/>
  <c r="P258" i="41"/>
  <c r="M258" i="41"/>
  <c r="N258" i="41" s="1"/>
  <c r="I258" i="41"/>
  <c r="H258" i="41"/>
  <c r="F258" i="41"/>
  <c r="BC257" i="41"/>
  <c r="BB257" i="41"/>
  <c r="BA257" i="41"/>
  <c r="AZ257" i="41"/>
  <c r="AY257" i="41"/>
  <c r="AX257" i="41"/>
  <c r="AW257" i="41"/>
  <c r="AV257" i="41"/>
  <c r="AU257" i="41"/>
  <c r="AT257" i="41"/>
  <c r="AS257" i="41"/>
  <c r="AR257" i="41"/>
  <c r="AQ257" i="41"/>
  <c r="AP257" i="41"/>
  <c r="AO257" i="41"/>
  <c r="AN257" i="41"/>
  <c r="AJ257" i="41"/>
  <c r="AB257" i="41"/>
  <c r="Z257" i="41"/>
  <c r="X257" i="41"/>
  <c r="U257" i="41"/>
  <c r="V257" i="41" s="1"/>
  <c r="AM257" i="41" s="1"/>
  <c r="R257" i="41"/>
  <c r="P257" i="41"/>
  <c r="M257" i="41"/>
  <c r="N257" i="41" s="1"/>
  <c r="I257" i="41"/>
  <c r="H257" i="41"/>
  <c r="F257" i="41"/>
  <c r="BC256" i="41"/>
  <c r="BB256" i="41"/>
  <c r="BA256" i="41"/>
  <c r="AZ256" i="41"/>
  <c r="AY256" i="41"/>
  <c r="AX256" i="41"/>
  <c r="AW256" i="41"/>
  <c r="AV256" i="41"/>
  <c r="AU256" i="41"/>
  <c r="AT256" i="41"/>
  <c r="AS256" i="41"/>
  <c r="AR256" i="41"/>
  <c r="AQ256" i="41"/>
  <c r="AP256" i="41"/>
  <c r="AO256" i="41"/>
  <c r="AN256" i="41"/>
  <c r="AJ256" i="41"/>
  <c r="AB256" i="41"/>
  <c r="Z256" i="41"/>
  <c r="X256" i="41"/>
  <c r="U256" i="41"/>
  <c r="V256" i="41" s="1"/>
  <c r="AM256" i="41" s="1"/>
  <c r="R256" i="41"/>
  <c r="P256" i="41"/>
  <c r="M256" i="41"/>
  <c r="N256" i="41" s="1"/>
  <c r="I256" i="41"/>
  <c r="H256" i="41"/>
  <c r="F256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J255" i="41"/>
  <c r="AB255" i="41"/>
  <c r="Z255" i="41"/>
  <c r="X255" i="41"/>
  <c r="U255" i="41"/>
  <c r="V255" i="41" s="1"/>
  <c r="AM255" i="41" s="1"/>
  <c r="R255" i="41"/>
  <c r="P255" i="41"/>
  <c r="M255" i="41"/>
  <c r="N255" i="41" s="1"/>
  <c r="H255" i="41"/>
  <c r="F255" i="41"/>
  <c r="BC254" i="41"/>
  <c r="BB254" i="41"/>
  <c r="BA254" i="41"/>
  <c r="AZ254" i="41"/>
  <c r="AY254" i="41"/>
  <c r="AX254" i="41"/>
  <c r="AW254" i="41"/>
  <c r="AV254" i="41"/>
  <c r="AU254" i="41"/>
  <c r="AT254" i="41"/>
  <c r="AS254" i="41"/>
  <c r="AR254" i="41"/>
  <c r="AQ254" i="41"/>
  <c r="AP254" i="41"/>
  <c r="AO254" i="41"/>
  <c r="AN254" i="41"/>
  <c r="AJ254" i="41"/>
  <c r="AB254" i="41"/>
  <c r="Z254" i="41"/>
  <c r="X254" i="41"/>
  <c r="U254" i="41"/>
  <c r="V254" i="41" s="1"/>
  <c r="AM254" i="41" s="1"/>
  <c r="R254" i="41"/>
  <c r="P254" i="41"/>
  <c r="M254" i="41"/>
  <c r="N254" i="41" s="1"/>
  <c r="I254" i="41"/>
  <c r="H254" i="41"/>
  <c r="F254" i="41"/>
  <c r="BC253" i="41"/>
  <c r="BB253" i="41"/>
  <c r="BA253" i="41"/>
  <c r="AZ253" i="41"/>
  <c r="AY253" i="41"/>
  <c r="AX253" i="41"/>
  <c r="AW253" i="41"/>
  <c r="AV253" i="41"/>
  <c r="AU253" i="41"/>
  <c r="AT253" i="41"/>
  <c r="AS253" i="41"/>
  <c r="AR253" i="41"/>
  <c r="AQ253" i="41"/>
  <c r="AP253" i="41"/>
  <c r="AO253" i="41"/>
  <c r="AN253" i="41"/>
  <c r="AJ253" i="41"/>
  <c r="AB253" i="41"/>
  <c r="Z253" i="41"/>
  <c r="X253" i="41"/>
  <c r="U253" i="41"/>
  <c r="V253" i="41" s="1"/>
  <c r="AM253" i="41" s="1"/>
  <c r="R253" i="41"/>
  <c r="P253" i="41"/>
  <c r="M253" i="41"/>
  <c r="N253" i="41" s="1"/>
  <c r="I253" i="41"/>
  <c r="H253" i="41"/>
  <c r="F253" i="41"/>
  <c r="BC252" i="41"/>
  <c r="BB252" i="41"/>
  <c r="BA252" i="41"/>
  <c r="AZ252" i="41"/>
  <c r="AY252" i="41"/>
  <c r="AX252" i="41"/>
  <c r="AW252" i="41"/>
  <c r="AV252" i="41"/>
  <c r="AU252" i="41"/>
  <c r="AT252" i="41"/>
  <c r="AS252" i="41"/>
  <c r="AR252" i="41"/>
  <c r="AQ252" i="41"/>
  <c r="AP252" i="41"/>
  <c r="AO252" i="41"/>
  <c r="AN252" i="41"/>
  <c r="AJ252" i="41"/>
  <c r="AB252" i="41"/>
  <c r="Z252" i="41"/>
  <c r="X252" i="41"/>
  <c r="U252" i="41"/>
  <c r="V252" i="41" s="1"/>
  <c r="AM252" i="41" s="1"/>
  <c r="R252" i="41"/>
  <c r="P252" i="41"/>
  <c r="M252" i="41"/>
  <c r="N252" i="41" s="1"/>
  <c r="H252" i="41"/>
  <c r="F252" i="41"/>
  <c r="BC251" i="41"/>
  <c r="BB251" i="41"/>
  <c r="BA251" i="41"/>
  <c r="AZ251" i="41"/>
  <c r="AY251" i="41"/>
  <c r="AX251" i="41"/>
  <c r="AW251" i="41"/>
  <c r="AV251" i="41"/>
  <c r="AU251" i="41"/>
  <c r="AT251" i="41"/>
  <c r="AS251" i="41"/>
  <c r="AR251" i="41"/>
  <c r="AQ251" i="41"/>
  <c r="AP251" i="41"/>
  <c r="AO251" i="41"/>
  <c r="AN251" i="41"/>
  <c r="AJ251" i="41"/>
  <c r="AB251" i="41"/>
  <c r="Z251" i="41"/>
  <c r="X251" i="41"/>
  <c r="U251" i="41"/>
  <c r="V251" i="41" s="1"/>
  <c r="AM251" i="41" s="1"/>
  <c r="R251" i="41"/>
  <c r="P251" i="41"/>
  <c r="M251" i="41"/>
  <c r="N251" i="41" s="1"/>
  <c r="H251" i="41"/>
  <c r="F251" i="41"/>
  <c r="BC250" i="41"/>
  <c r="BB250" i="41"/>
  <c r="BA250" i="41"/>
  <c r="AZ250" i="41"/>
  <c r="AY250" i="41"/>
  <c r="AX250" i="41"/>
  <c r="AW250" i="41"/>
  <c r="AV250" i="41"/>
  <c r="AU250" i="41"/>
  <c r="AT250" i="41"/>
  <c r="AS250" i="41"/>
  <c r="AR250" i="41"/>
  <c r="AQ250" i="41"/>
  <c r="AP250" i="41"/>
  <c r="AO250" i="41"/>
  <c r="AN250" i="41"/>
  <c r="AJ250" i="41"/>
  <c r="AB250" i="41"/>
  <c r="Z250" i="41"/>
  <c r="X250" i="41"/>
  <c r="U250" i="41"/>
  <c r="V250" i="41" s="1"/>
  <c r="AM250" i="41" s="1"/>
  <c r="R250" i="41"/>
  <c r="P250" i="41"/>
  <c r="M250" i="41"/>
  <c r="N250" i="41" s="1"/>
  <c r="I250" i="41"/>
  <c r="H250" i="41"/>
  <c r="F250" i="41"/>
  <c r="BC249" i="41"/>
  <c r="BB249" i="41"/>
  <c r="BA249" i="41"/>
  <c r="AZ249" i="41"/>
  <c r="AY249" i="41"/>
  <c r="AX249" i="41"/>
  <c r="AW249" i="41"/>
  <c r="AV249" i="41"/>
  <c r="AU249" i="41"/>
  <c r="AT249" i="41"/>
  <c r="AS249" i="41"/>
  <c r="AR249" i="41"/>
  <c r="AQ249" i="41"/>
  <c r="AP249" i="41"/>
  <c r="AO249" i="41"/>
  <c r="AN249" i="41"/>
  <c r="AJ249" i="41"/>
  <c r="AB249" i="41"/>
  <c r="Z249" i="41"/>
  <c r="X249" i="41"/>
  <c r="U249" i="41"/>
  <c r="V249" i="41" s="1"/>
  <c r="AM249" i="41" s="1"/>
  <c r="R249" i="41"/>
  <c r="P249" i="41"/>
  <c r="M249" i="41"/>
  <c r="N249" i="41" s="1"/>
  <c r="I249" i="41"/>
  <c r="H249" i="41"/>
  <c r="F249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J248" i="41"/>
  <c r="AB248" i="41"/>
  <c r="Z248" i="41"/>
  <c r="X248" i="41"/>
  <c r="U248" i="41"/>
  <c r="V248" i="41" s="1"/>
  <c r="AM248" i="41" s="1"/>
  <c r="R248" i="41"/>
  <c r="P248" i="41"/>
  <c r="M248" i="41"/>
  <c r="N248" i="41" s="1"/>
  <c r="H248" i="41"/>
  <c r="F248" i="41"/>
  <c r="BC247" i="41"/>
  <c r="BB247" i="41"/>
  <c r="BA247" i="41"/>
  <c r="AZ247" i="41"/>
  <c r="AY247" i="41"/>
  <c r="AX247" i="41"/>
  <c r="AW247" i="41"/>
  <c r="AV247" i="41"/>
  <c r="AU247" i="41"/>
  <c r="AT247" i="41"/>
  <c r="AS247" i="41"/>
  <c r="AR247" i="41"/>
  <c r="AQ247" i="41"/>
  <c r="AP247" i="41"/>
  <c r="AO247" i="41"/>
  <c r="AN247" i="41"/>
  <c r="AJ247" i="41"/>
  <c r="AB247" i="41"/>
  <c r="Z247" i="41"/>
  <c r="X247" i="41"/>
  <c r="U247" i="41"/>
  <c r="V247" i="41" s="1"/>
  <c r="AM247" i="41" s="1"/>
  <c r="R247" i="41"/>
  <c r="P247" i="41"/>
  <c r="M247" i="41"/>
  <c r="N247" i="41" s="1"/>
  <c r="I247" i="41"/>
  <c r="H247" i="41"/>
  <c r="F247" i="41"/>
  <c r="BC246" i="41"/>
  <c r="BB246" i="41"/>
  <c r="BA246" i="41"/>
  <c r="AZ246" i="41"/>
  <c r="AY246" i="41"/>
  <c r="AX246" i="41"/>
  <c r="AW246" i="41"/>
  <c r="AV246" i="41"/>
  <c r="AU246" i="41"/>
  <c r="AT246" i="41"/>
  <c r="AS246" i="41"/>
  <c r="AR246" i="41"/>
  <c r="AQ246" i="41"/>
  <c r="AP246" i="41"/>
  <c r="AO246" i="41"/>
  <c r="AN246" i="41"/>
  <c r="AJ246" i="41"/>
  <c r="AB246" i="41"/>
  <c r="Z246" i="41"/>
  <c r="X246" i="41"/>
  <c r="R246" i="41"/>
  <c r="P246" i="41"/>
  <c r="M246" i="41"/>
  <c r="N246" i="41" s="1"/>
  <c r="L246" i="41"/>
  <c r="U246" i="41" s="1"/>
  <c r="V246" i="41" s="1"/>
  <c r="AM246" i="41" s="1"/>
  <c r="I246" i="41"/>
  <c r="H246" i="41"/>
  <c r="F246" i="41"/>
  <c r="BC245" i="41"/>
  <c r="BB245" i="41"/>
  <c r="BA245" i="41"/>
  <c r="AZ245" i="41"/>
  <c r="AY245" i="41"/>
  <c r="AX245" i="41"/>
  <c r="AW245" i="41"/>
  <c r="AV245" i="41"/>
  <c r="AU245" i="41"/>
  <c r="AT245" i="41"/>
  <c r="AS245" i="41"/>
  <c r="AR245" i="41"/>
  <c r="AQ245" i="41"/>
  <c r="AP245" i="41"/>
  <c r="AO245" i="41"/>
  <c r="AN245" i="41"/>
  <c r="AJ245" i="41"/>
  <c r="AB245" i="41"/>
  <c r="Z245" i="41"/>
  <c r="X245" i="41"/>
  <c r="U245" i="41"/>
  <c r="V245" i="41" s="1"/>
  <c r="AM245" i="41" s="1"/>
  <c r="R245" i="41"/>
  <c r="P245" i="41"/>
  <c r="M245" i="41"/>
  <c r="N245" i="41" s="1"/>
  <c r="I245" i="41"/>
  <c r="H245" i="41"/>
  <c r="F245" i="41"/>
  <c r="BC244" i="41"/>
  <c r="BB244" i="41"/>
  <c r="BA244" i="41"/>
  <c r="AZ244" i="41"/>
  <c r="AY244" i="41"/>
  <c r="AX244" i="41"/>
  <c r="AW244" i="41"/>
  <c r="AV244" i="41"/>
  <c r="AU244" i="41"/>
  <c r="AT244" i="41"/>
  <c r="AS244" i="41"/>
  <c r="AR244" i="41"/>
  <c r="AQ244" i="41"/>
  <c r="AP244" i="41"/>
  <c r="AO244" i="41"/>
  <c r="AN244" i="41"/>
  <c r="AJ244" i="41"/>
  <c r="AB244" i="41"/>
  <c r="Z244" i="41"/>
  <c r="X244" i="41"/>
  <c r="U244" i="41"/>
  <c r="V244" i="41" s="1"/>
  <c r="AM244" i="41" s="1"/>
  <c r="R244" i="41"/>
  <c r="P244" i="41"/>
  <c r="M244" i="41"/>
  <c r="N244" i="41" s="1"/>
  <c r="I244" i="41"/>
  <c r="H244" i="41"/>
  <c r="F244" i="41"/>
  <c r="BC243" i="41"/>
  <c r="BB243" i="41"/>
  <c r="BA243" i="41"/>
  <c r="AZ243" i="41"/>
  <c r="AY243" i="41"/>
  <c r="AX243" i="41"/>
  <c r="AW243" i="41"/>
  <c r="AV243" i="41"/>
  <c r="AU243" i="41"/>
  <c r="AT243" i="41"/>
  <c r="AS243" i="41"/>
  <c r="AR243" i="41"/>
  <c r="AQ243" i="41"/>
  <c r="AP243" i="41"/>
  <c r="AO243" i="41"/>
  <c r="AN243" i="41"/>
  <c r="AJ243" i="41"/>
  <c r="AB243" i="41"/>
  <c r="Z243" i="41"/>
  <c r="X243" i="41"/>
  <c r="U243" i="41"/>
  <c r="V243" i="41" s="1"/>
  <c r="AM243" i="41" s="1"/>
  <c r="R243" i="41"/>
  <c r="P243" i="41"/>
  <c r="M243" i="41"/>
  <c r="N243" i="41" s="1"/>
  <c r="I243" i="41"/>
  <c r="H243" i="41"/>
  <c r="F243" i="41"/>
  <c r="BC242" i="41"/>
  <c r="BB242" i="41"/>
  <c r="BA242" i="41"/>
  <c r="AZ242" i="41"/>
  <c r="AY242" i="41"/>
  <c r="AX242" i="41"/>
  <c r="AW242" i="41"/>
  <c r="AV242" i="41"/>
  <c r="AU242" i="41"/>
  <c r="AT242" i="41"/>
  <c r="AS242" i="41"/>
  <c r="AR242" i="41"/>
  <c r="AQ242" i="41"/>
  <c r="AP242" i="41"/>
  <c r="AO242" i="41"/>
  <c r="AN242" i="41"/>
  <c r="AJ242" i="41"/>
  <c r="AB242" i="41"/>
  <c r="Z242" i="41"/>
  <c r="X242" i="41"/>
  <c r="U242" i="41"/>
  <c r="V242" i="41" s="1"/>
  <c r="AM242" i="41" s="1"/>
  <c r="R242" i="41"/>
  <c r="P242" i="41"/>
  <c r="M242" i="41"/>
  <c r="N242" i="41" s="1"/>
  <c r="I242" i="41"/>
  <c r="H242" i="41"/>
  <c r="F242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J241" i="41"/>
  <c r="AB241" i="41"/>
  <c r="Z241" i="41"/>
  <c r="X241" i="41"/>
  <c r="U241" i="41"/>
  <c r="V241" i="41" s="1"/>
  <c r="AM241" i="41" s="1"/>
  <c r="R241" i="41"/>
  <c r="P241" i="41"/>
  <c r="M241" i="41"/>
  <c r="N241" i="41" s="1"/>
  <c r="I241" i="41"/>
  <c r="H241" i="41"/>
  <c r="F241" i="41"/>
  <c r="BC240" i="41"/>
  <c r="BB240" i="41"/>
  <c r="BA240" i="41"/>
  <c r="AZ240" i="41"/>
  <c r="AY240" i="41"/>
  <c r="AX240" i="41"/>
  <c r="AW240" i="41"/>
  <c r="AV240" i="41"/>
  <c r="AU240" i="41"/>
  <c r="AT240" i="41"/>
  <c r="AS240" i="41"/>
  <c r="AR240" i="41"/>
  <c r="AQ240" i="41"/>
  <c r="AP240" i="41"/>
  <c r="AO240" i="41"/>
  <c r="AN240" i="41"/>
  <c r="AJ240" i="41"/>
  <c r="AB240" i="41"/>
  <c r="Z240" i="41"/>
  <c r="X240" i="41"/>
  <c r="U240" i="41"/>
  <c r="V240" i="41" s="1"/>
  <c r="AM240" i="41" s="1"/>
  <c r="R240" i="41"/>
  <c r="P240" i="41"/>
  <c r="M240" i="41"/>
  <c r="N240" i="41" s="1"/>
  <c r="I240" i="41"/>
  <c r="H240" i="41"/>
  <c r="F240" i="41"/>
  <c r="BC239" i="41"/>
  <c r="BB239" i="41"/>
  <c r="BA239" i="41"/>
  <c r="AZ239" i="41"/>
  <c r="AY239" i="41"/>
  <c r="AX239" i="41"/>
  <c r="AW239" i="41"/>
  <c r="AV239" i="41"/>
  <c r="AU239" i="41"/>
  <c r="AT239" i="41"/>
  <c r="AS239" i="41"/>
  <c r="AR239" i="41"/>
  <c r="AQ239" i="41"/>
  <c r="AP239" i="41"/>
  <c r="AO239" i="41"/>
  <c r="AN239" i="41"/>
  <c r="AJ239" i="41"/>
  <c r="AB239" i="41"/>
  <c r="Z239" i="41"/>
  <c r="X239" i="41"/>
  <c r="U239" i="41"/>
  <c r="V239" i="41" s="1"/>
  <c r="AM239" i="41" s="1"/>
  <c r="R239" i="41"/>
  <c r="P239" i="41"/>
  <c r="M239" i="41"/>
  <c r="N239" i="41" s="1"/>
  <c r="I239" i="41"/>
  <c r="H239" i="41"/>
  <c r="F239" i="41"/>
  <c r="BC238" i="41"/>
  <c r="BB238" i="41"/>
  <c r="BA238" i="41"/>
  <c r="AZ238" i="41"/>
  <c r="AY238" i="41"/>
  <c r="AX238" i="41"/>
  <c r="AW238" i="41"/>
  <c r="AV238" i="41"/>
  <c r="AU238" i="41"/>
  <c r="AT238" i="41"/>
  <c r="AS238" i="41"/>
  <c r="AR238" i="41"/>
  <c r="AQ238" i="41"/>
  <c r="AP238" i="41"/>
  <c r="AO238" i="41"/>
  <c r="AN238" i="41"/>
  <c r="AJ238" i="41"/>
  <c r="AB238" i="41"/>
  <c r="Z238" i="41"/>
  <c r="X238" i="41"/>
  <c r="U238" i="41"/>
  <c r="V238" i="41" s="1"/>
  <c r="AM238" i="41" s="1"/>
  <c r="R238" i="41"/>
  <c r="P238" i="41"/>
  <c r="M238" i="41"/>
  <c r="N238" i="41" s="1"/>
  <c r="I238" i="41"/>
  <c r="H238" i="41"/>
  <c r="F238" i="41"/>
  <c r="BC237" i="41"/>
  <c r="BB237" i="41"/>
  <c r="BA237" i="41"/>
  <c r="AZ237" i="41"/>
  <c r="AY237" i="41"/>
  <c r="AX237" i="41"/>
  <c r="AW237" i="41"/>
  <c r="AV237" i="41"/>
  <c r="AU237" i="41"/>
  <c r="AT237" i="41"/>
  <c r="AS237" i="41"/>
  <c r="AR237" i="41"/>
  <c r="AQ237" i="41"/>
  <c r="AP237" i="41"/>
  <c r="AO237" i="41"/>
  <c r="AN237" i="41"/>
  <c r="AJ237" i="41"/>
  <c r="AB237" i="41"/>
  <c r="Z237" i="41"/>
  <c r="X237" i="41"/>
  <c r="U237" i="41"/>
  <c r="V237" i="41" s="1"/>
  <c r="AM237" i="41" s="1"/>
  <c r="R237" i="41"/>
  <c r="P237" i="41"/>
  <c r="M237" i="41"/>
  <c r="N237" i="41" s="1"/>
  <c r="I237" i="41"/>
  <c r="H237" i="41"/>
  <c r="F237" i="41"/>
  <c r="BC236" i="41"/>
  <c r="BB236" i="41"/>
  <c r="BA236" i="41"/>
  <c r="AZ236" i="41"/>
  <c r="AY236" i="41"/>
  <c r="AX236" i="41"/>
  <c r="AW236" i="41"/>
  <c r="AV236" i="41"/>
  <c r="AU236" i="41"/>
  <c r="AT236" i="41"/>
  <c r="AS236" i="41"/>
  <c r="AR236" i="41"/>
  <c r="AQ236" i="41"/>
  <c r="AP236" i="41"/>
  <c r="AO236" i="41"/>
  <c r="AN236" i="41"/>
  <c r="AJ236" i="41"/>
  <c r="AB236" i="41"/>
  <c r="Z236" i="41"/>
  <c r="X236" i="41"/>
  <c r="U236" i="41"/>
  <c r="V236" i="41" s="1"/>
  <c r="AM236" i="41" s="1"/>
  <c r="R236" i="41"/>
  <c r="P236" i="41"/>
  <c r="M236" i="41"/>
  <c r="N236" i="41" s="1"/>
  <c r="H236" i="41"/>
  <c r="F236" i="41"/>
  <c r="BC235" i="41"/>
  <c r="BB235" i="41"/>
  <c r="BA235" i="41"/>
  <c r="AZ235" i="41"/>
  <c r="AY235" i="41"/>
  <c r="AX235" i="41"/>
  <c r="AW235" i="41"/>
  <c r="AV235" i="41"/>
  <c r="AU235" i="41"/>
  <c r="AT235" i="41"/>
  <c r="AS235" i="41"/>
  <c r="AR235" i="41"/>
  <c r="AQ235" i="41"/>
  <c r="AP235" i="41"/>
  <c r="AO235" i="41"/>
  <c r="AN235" i="41"/>
  <c r="AJ235" i="41"/>
  <c r="AB235" i="41"/>
  <c r="Z235" i="41"/>
  <c r="X235" i="41"/>
  <c r="U235" i="41"/>
  <c r="V235" i="41" s="1"/>
  <c r="AM235" i="41" s="1"/>
  <c r="R235" i="41"/>
  <c r="P235" i="41"/>
  <c r="M235" i="41"/>
  <c r="N235" i="41" s="1"/>
  <c r="I235" i="41"/>
  <c r="H235" i="41"/>
  <c r="F235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J234" i="41"/>
  <c r="AB234" i="41"/>
  <c r="Z234" i="41"/>
  <c r="X234" i="41"/>
  <c r="U234" i="41"/>
  <c r="V234" i="41" s="1"/>
  <c r="AM234" i="41" s="1"/>
  <c r="R234" i="41"/>
  <c r="P234" i="41"/>
  <c r="M234" i="41"/>
  <c r="N234" i="41" s="1"/>
  <c r="H234" i="41"/>
  <c r="F234" i="41"/>
  <c r="BC233" i="41"/>
  <c r="BB233" i="41"/>
  <c r="BA233" i="41"/>
  <c r="AZ233" i="41"/>
  <c r="AY233" i="41"/>
  <c r="AX233" i="41"/>
  <c r="AW233" i="41"/>
  <c r="AV233" i="41"/>
  <c r="AU233" i="41"/>
  <c r="AT233" i="41"/>
  <c r="AS233" i="41"/>
  <c r="AR233" i="41"/>
  <c r="AQ233" i="41"/>
  <c r="AP233" i="41"/>
  <c r="AO233" i="41"/>
  <c r="AN233" i="41"/>
  <c r="AJ233" i="41"/>
  <c r="AB233" i="41"/>
  <c r="Z233" i="41"/>
  <c r="X233" i="41"/>
  <c r="U233" i="41"/>
  <c r="V233" i="41" s="1"/>
  <c r="AM233" i="41" s="1"/>
  <c r="R233" i="41"/>
  <c r="P233" i="41"/>
  <c r="M233" i="41"/>
  <c r="N233" i="41" s="1"/>
  <c r="H233" i="41"/>
  <c r="F233" i="41"/>
  <c r="BC232" i="41"/>
  <c r="BB232" i="41"/>
  <c r="BA232" i="41"/>
  <c r="AZ232" i="41"/>
  <c r="AY232" i="41"/>
  <c r="AX232" i="41"/>
  <c r="AW232" i="41"/>
  <c r="AV232" i="41"/>
  <c r="AU232" i="41"/>
  <c r="AT232" i="41"/>
  <c r="AS232" i="41"/>
  <c r="AR232" i="41"/>
  <c r="AQ232" i="41"/>
  <c r="AP232" i="41"/>
  <c r="AO232" i="41"/>
  <c r="AN232" i="41"/>
  <c r="AJ232" i="41"/>
  <c r="AB232" i="41"/>
  <c r="Z232" i="41"/>
  <c r="X232" i="41"/>
  <c r="U232" i="41"/>
  <c r="V232" i="41" s="1"/>
  <c r="AM232" i="41" s="1"/>
  <c r="R232" i="41"/>
  <c r="P232" i="41"/>
  <c r="M232" i="41"/>
  <c r="N232" i="41" s="1"/>
  <c r="I232" i="41"/>
  <c r="H232" i="41"/>
  <c r="F232" i="41"/>
  <c r="BC231" i="41"/>
  <c r="BB231" i="41"/>
  <c r="BA231" i="41"/>
  <c r="AZ231" i="41"/>
  <c r="AY231" i="41"/>
  <c r="AX231" i="41"/>
  <c r="AW231" i="41"/>
  <c r="AV231" i="41"/>
  <c r="AU231" i="41"/>
  <c r="AT231" i="41"/>
  <c r="AS231" i="41"/>
  <c r="AR231" i="41"/>
  <c r="AQ231" i="41"/>
  <c r="AP231" i="41"/>
  <c r="AO231" i="41"/>
  <c r="AN231" i="41"/>
  <c r="AJ231" i="41"/>
  <c r="AB231" i="41"/>
  <c r="Z231" i="41"/>
  <c r="X231" i="41"/>
  <c r="R231" i="41"/>
  <c r="P231" i="41"/>
  <c r="M231" i="41"/>
  <c r="N231" i="41" s="1"/>
  <c r="L231" i="41"/>
  <c r="I231" i="41"/>
  <c r="H231" i="41"/>
  <c r="F231" i="41"/>
  <c r="BC230" i="41"/>
  <c r="BB230" i="41"/>
  <c r="BA230" i="41"/>
  <c r="AZ230" i="41"/>
  <c r="AY230" i="41"/>
  <c r="AX230" i="41"/>
  <c r="AW230" i="41"/>
  <c r="AV230" i="41"/>
  <c r="AU230" i="41"/>
  <c r="AT230" i="41"/>
  <c r="AS230" i="41"/>
  <c r="AR230" i="41"/>
  <c r="AQ230" i="41"/>
  <c r="AP230" i="41"/>
  <c r="AO230" i="41"/>
  <c r="AN230" i="41"/>
  <c r="AJ230" i="41"/>
  <c r="AB230" i="41"/>
  <c r="Z230" i="41"/>
  <c r="X230" i="41"/>
  <c r="U230" i="41"/>
  <c r="V230" i="41" s="1"/>
  <c r="AM230" i="41" s="1"/>
  <c r="R230" i="41"/>
  <c r="P230" i="41"/>
  <c r="M230" i="41"/>
  <c r="N230" i="41" s="1"/>
  <c r="I230" i="41"/>
  <c r="H230" i="41"/>
  <c r="F230" i="41"/>
  <c r="BC229" i="41"/>
  <c r="BB229" i="41"/>
  <c r="BA229" i="41"/>
  <c r="AZ229" i="41"/>
  <c r="AY229" i="41"/>
  <c r="AX229" i="41"/>
  <c r="AW229" i="41"/>
  <c r="AV229" i="41"/>
  <c r="AU229" i="41"/>
  <c r="AT229" i="41"/>
  <c r="AS229" i="41"/>
  <c r="AR229" i="41"/>
  <c r="AQ229" i="41"/>
  <c r="AP229" i="41"/>
  <c r="AO229" i="41"/>
  <c r="AN229" i="41"/>
  <c r="AJ229" i="41"/>
  <c r="AB229" i="41"/>
  <c r="Z229" i="41"/>
  <c r="X229" i="41"/>
  <c r="U229" i="41"/>
  <c r="V229" i="41" s="1"/>
  <c r="AM229" i="41" s="1"/>
  <c r="R229" i="41"/>
  <c r="P229" i="41"/>
  <c r="M229" i="41"/>
  <c r="N229" i="41" s="1"/>
  <c r="I229" i="41"/>
  <c r="H229" i="41"/>
  <c r="F229" i="41"/>
  <c r="BC228" i="41"/>
  <c r="BB228" i="41"/>
  <c r="BA228" i="41"/>
  <c r="AZ228" i="41"/>
  <c r="AY228" i="41"/>
  <c r="AX228" i="41"/>
  <c r="AW228" i="41"/>
  <c r="AV228" i="41"/>
  <c r="AU228" i="41"/>
  <c r="AT228" i="41"/>
  <c r="AS228" i="41"/>
  <c r="AR228" i="41"/>
  <c r="AQ228" i="41"/>
  <c r="AP228" i="41"/>
  <c r="AO228" i="41"/>
  <c r="AN228" i="41"/>
  <c r="AJ228" i="41"/>
  <c r="AB228" i="41"/>
  <c r="Z228" i="41"/>
  <c r="X228" i="41"/>
  <c r="U228" i="41"/>
  <c r="V228" i="41" s="1"/>
  <c r="AM228" i="41" s="1"/>
  <c r="R228" i="41"/>
  <c r="P228" i="41"/>
  <c r="M228" i="41"/>
  <c r="N228" i="41" s="1"/>
  <c r="H228" i="41"/>
  <c r="F228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J227" i="41"/>
  <c r="AB227" i="41"/>
  <c r="Z227" i="41"/>
  <c r="X227" i="41"/>
  <c r="U227" i="41"/>
  <c r="V227" i="41" s="1"/>
  <c r="AM227" i="41" s="1"/>
  <c r="R227" i="41"/>
  <c r="P227" i="41"/>
  <c r="M227" i="41"/>
  <c r="N227" i="41" s="1"/>
  <c r="I227" i="41"/>
  <c r="H227" i="41"/>
  <c r="F227" i="41"/>
  <c r="BC226" i="41"/>
  <c r="BB226" i="41"/>
  <c r="BA226" i="41"/>
  <c r="AZ226" i="41"/>
  <c r="AY226" i="41"/>
  <c r="AX226" i="41"/>
  <c r="AW226" i="41"/>
  <c r="AV226" i="41"/>
  <c r="AU226" i="41"/>
  <c r="AT226" i="41"/>
  <c r="AS226" i="41"/>
  <c r="AR226" i="41"/>
  <c r="AQ226" i="41"/>
  <c r="AP226" i="41"/>
  <c r="AO226" i="41"/>
  <c r="AN226" i="41"/>
  <c r="AJ226" i="41"/>
  <c r="AB226" i="41"/>
  <c r="Z226" i="41"/>
  <c r="X226" i="41"/>
  <c r="U226" i="41"/>
  <c r="V226" i="41" s="1"/>
  <c r="AM226" i="41" s="1"/>
  <c r="R226" i="41"/>
  <c r="P226" i="41"/>
  <c r="M226" i="41"/>
  <c r="N226" i="41" s="1"/>
  <c r="I226" i="41"/>
  <c r="H226" i="41"/>
  <c r="F226" i="41"/>
  <c r="BC225" i="41"/>
  <c r="BB225" i="41"/>
  <c r="BA225" i="41"/>
  <c r="AZ225" i="41"/>
  <c r="AY225" i="41"/>
  <c r="AX225" i="41"/>
  <c r="AW225" i="41"/>
  <c r="AV225" i="41"/>
  <c r="AU225" i="41"/>
  <c r="AT225" i="41"/>
  <c r="AS225" i="41"/>
  <c r="AR225" i="41"/>
  <c r="AQ225" i="41"/>
  <c r="AP225" i="41"/>
  <c r="AO225" i="41"/>
  <c r="AN225" i="41"/>
  <c r="AJ225" i="41"/>
  <c r="AB225" i="41"/>
  <c r="Z225" i="41"/>
  <c r="X225" i="41"/>
  <c r="U225" i="41"/>
  <c r="V225" i="41" s="1"/>
  <c r="AM225" i="41" s="1"/>
  <c r="R225" i="41"/>
  <c r="P225" i="41"/>
  <c r="M225" i="41"/>
  <c r="N225" i="41" s="1"/>
  <c r="I225" i="41"/>
  <c r="H225" i="41"/>
  <c r="F225" i="41"/>
  <c r="BC224" i="41"/>
  <c r="BB224" i="41"/>
  <c r="BA224" i="41"/>
  <c r="AZ224" i="41"/>
  <c r="AY224" i="41"/>
  <c r="AX224" i="41"/>
  <c r="AW224" i="41"/>
  <c r="AV224" i="41"/>
  <c r="AU224" i="41"/>
  <c r="AT224" i="41"/>
  <c r="AS224" i="41"/>
  <c r="AR224" i="41"/>
  <c r="AQ224" i="41"/>
  <c r="AP224" i="41"/>
  <c r="AO224" i="41"/>
  <c r="AN224" i="41"/>
  <c r="AJ224" i="41"/>
  <c r="AB224" i="41"/>
  <c r="Z224" i="41"/>
  <c r="X224" i="41"/>
  <c r="U224" i="41"/>
  <c r="V224" i="41" s="1"/>
  <c r="AM224" i="41" s="1"/>
  <c r="R224" i="41"/>
  <c r="P224" i="41"/>
  <c r="M224" i="41"/>
  <c r="N224" i="41" s="1"/>
  <c r="I224" i="41"/>
  <c r="H224" i="41"/>
  <c r="F224" i="41"/>
  <c r="BC223" i="41"/>
  <c r="BB223" i="41"/>
  <c r="BA223" i="41"/>
  <c r="AZ223" i="41"/>
  <c r="AY223" i="41"/>
  <c r="AX223" i="41"/>
  <c r="AW223" i="41"/>
  <c r="AV223" i="41"/>
  <c r="AU223" i="41"/>
  <c r="AT223" i="41"/>
  <c r="AS223" i="41"/>
  <c r="AR223" i="41"/>
  <c r="AQ223" i="41"/>
  <c r="AP223" i="41"/>
  <c r="AO223" i="41"/>
  <c r="AN223" i="41"/>
  <c r="AJ223" i="41"/>
  <c r="AB223" i="41"/>
  <c r="Z223" i="41"/>
  <c r="X223" i="41"/>
  <c r="U223" i="41"/>
  <c r="V223" i="41" s="1"/>
  <c r="AM223" i="41" s="1"/>
  <c r="R223" i="41"/>
  <c r="P223" i="41"/>
  <c r="M223" i="41"/>
  <c r="N223" i="41" s="1"/>
  <c r="H223" i="41"/>
  <c r="F223" i="41"/>
  <c r="BC222" i="41"/>
  <c r="BB222" i="41"/>
  <c r="BA222" i="41"/>
  <c r="AZ222" i="41"/>
  <c r="AY222" i="41"/>
  <c r="AX222" i="41"/>
  <c r="AW222" i="41"/>
  <c r="AV222" i="41"/>
  <c r="AU222" i="41"/>
  <c r="AT222" i="41"/>
  <c r="AS222" i="41"/>
  <c r="AR222" i="41"/>
  <c r="AQ222" i="41"/>
  <c r="AP222" i="41"/>
  <c r="AO222" i="41"/>
  <c r="AN222" i="41"/>
  <c r="AJ222" i="41"/>
  <c r="AB222" i="41"/>
  <c r="Z222" i="41"/>
  <c r="X222" i="41"/>
  <c r="U222" i="41"/>
  <c r="V222" i="41" s="1"/>
  <c r="AM222" i="41" s="1"/>
  <c r="R222" i="41"/>
  <c r="P222" i="41"/>
  <c r="M222" i="41"/>
  <c r="N222" i="41" s="1"/>
  <c r="I222" i="41"/>
  <c r="H222" i="41"/>
  <c r="F222" i="41"/>
  <c r="BC221" i="41"/>
  <c r="BB221" i="41"/>
  <c r="BA221" i="41"/>
  <c r="AZ221" i="41"/>
  <c r="AY221" i="41"/>
  <c r="AX221" i="41"/>
  <c r="AW221" i="41"/>
  <c r="AV221" i="41"/>
  <c r="AU221" i="41"/>
  <c r="AT221" i="41"/>
  <c r="AS221" i="41"/>
  <c r="AR221" i="41"/>
  <c r="AQ221" i="41"/>
  <c r="AP221" i="41"/>
  <c r="AO221" i="41"/>
  <c r="AN221" i="41"/>
  <c r="AJ221" i="41"/>
  <c r="AB221" i="41"/>
  <c r="Z221" i="41"/>
  <c r="X221" i="41"/>
  <c r="U221" i="41"/>
  <c r="V221" i="41" s="1"/>
  <c r="AM221" i="41" s="1"/>
  <c r="R221" i="41"/>
  <c r="P221" i="41"/>
  <c r="M221" i="41"/>
  <c r="N221" i="41" s="1"/>
  <c r="H221" i="41"/>
  <c r="F221" i="41"/>
  <c r="BC220" i="41"/>
  <c r="BB220" i="41"/>
  <c r="BA220" i="41"/>
  <c r="AZ220" i="41"/>
  <c r="AY220" i="41"/>
  <c r="AX220" i="41"/>
  <c r="AW220" i="41"/>
  <c r="AV220" i="41"/>
  <c r="AU220" i="41"/>
  <c r="AT220" i="41"/>
  <c r="AS220" i="41"/>
  <c r="AR220" i="41"/>
  <c r="AQ220" i="41"/>
  <c r="AP220" i="41"/>
  <c r="AO220" i="41"/>
  <c r="AN220" i="41"/>
  <c r="AJ220" i="41"/>
  <c r="AB220" i="41"/>
  <c r="Z220" i="41"/>
  <c r="X220" i="41"/>
  <c r="U220" i="41"/>
  <c r="V220" i="41" s="1"/>
  <c r="AM220" i="41" s="1"/>
  <c r="R220" i="41"/>
  <c r="P220" i="41"/>
  <c r="M220" i="41"/>
  <c r="N220" i="41" s="1"/>
  <c r="H220" i="41"/>
  <c r="F220" i="41"/>
  <c r="BC219" i="41"/>
  <c r="BB219" i="41"/>
  <c r="BA219" i="41"/>
  <c r="AZ219" i="41"/>
  <c r="AY219" i="41"/>
  <c r="AX219" i="41"/>
  <c r="AW219" i="41"/>
  <c r="AV219" i="41"/>
  <c r="AU219" i="41"/>
  <c r="AT219" i="41"/>
  <c r="AS219" i="41"/>
  <c r="AR219" i="41"/>
  <c r="AQ219" i="41"/>
  <c r="AP219" i="41"/>
  <c r="AO219" i="41"/>
  <c r="AN219" i="41"/>
  <c r="AJ219" i="41"/>
  <c r="AB219" i="41"/>
  <c r="Z219" i="41"/>
  <c r="X219" i="41"/>
  <c r="U219" i="41"/>
  <c r="V219" i="41" s="1"/>
  <c r="AM219" i="41" s="1"/>
  <c r="R219" i="41"/>
  <c r="P219" i="41"/>
  <c r="M219" i="41"/>
  <c r="N219" i="41" s="1"/>
  <c r="I219" i="41"/>
  <c r="H219" i="41"/>
  <c r="F219" i="41"/>
  <c r="BC218" i="41"/>
  <c r="BB218" i="41"/>
  <c r="BA218" i="41"/>
  <c r="AZ218" i="41"/>
  <c r="AY218" i="41"/>
  <c r="AX218" i="41"/>
  <c r="AW218" i="41"/>
  <c r="AV218" i="41"/>
  <c r="AU218" i="41"/>
  <c r="AT218" i="41"/>
  <c r="AS218" i="41"/>
  <c r="AR218" i="41"/>
  <c r="AQ218" i="41"/>
  <c r="AP218" i="41"/>
  <c r="AO218" i="41"/>
  <c r="AN218" i="41"/>
  <c r="AJ218" i="41"/>
  <c r="AB218" i="41"/>
  <c r="Z218" i="41"/>
  <c r="X218" i="41"/>
  <c r="U218" i="41"/>
  <c r="V218" i="41" s="1"/>
  <c r="AM218" i="41" s="1"/>
  <c r="R218" i="41"/>
  <c r="P218" i="41"/>
  <c r="M218" i="41"/>
  <c r="N218" i="41" s="1"/>
  <c r="I218" i="41"/>
  <c r="H218" i="41"/>
  <c r="F218" i="41"/>
  <c r="BC217" i="41"/>
  <c r="BB217" i="41"/>
  <c r="BA217" i="41"/>
  <c r="AZ217" i="41"/>
  <c r="AY217" i="41"/>
  <c r="AX217" i="41"/>
  <c r="AW217" i="41"/>
  <c r="AV217" i="41"/>
  <c r="AU217" i="41"/>
  <c r="AT217" i="41"/>
  <c r="AS217" i="41"/>
  <c r="AR217" i="41"/>
  <c r="AQ217" i="41"/>
  <c r="AP217" i="41"/>
  <c r="AO217" i="41"/>
  <c r="AN217" i="41"/>
  <c r="AJ217" i="41"/>
  <c r="AB217" i="41"/>
  <c r="Z217" i="41"/>
  <c r="X217" i="41"/>
  <c r="U217" i="41"/>
  <c r="V217" i="41" s="1"/>
  <c r="AM217" i="41" s="1"/>
  <c r="R217" i="41"/>
  <c r="P217" i="41"/>
  <c r="M217" i="41"/>
  <c r="N217" i="41" s="1"/>
  <c r="I217" i="41"/>
  <c r="H217" i="41"/>
  <c r="F217" i="41"/>
  <c r="BC216" i="41"/>
  <c r="BB216" i="41"/>
  <c r="BA216" i="41"/>
  <c r="AZ216" i="41"/>
  <c r="AY216" i="41"/>
  <c r="AX216" i="41"/>
  <c r="AW216" i="41"/>
  <c r="AV216" i="41"/>
  <c r="AU216" i="41"/>
  <c r="AT216" i="41"/>
  <c r="AS216" i="41"/>
  <c r="AR216" i="41"/>
  <c r="AQ216" i="41"/>
  <c r="AP216" i="41"/>
  <c r="AO216" i="41"/>
  <c r="AN216" i="41"/>
  <c r="AJ216" i="41"/>
  <c r="AB216" i="41"/>
  <c r="Z216" i="41"/>
  <c r="X216" i="41"/>
  <c r="U216" i="41"/>
  <c r="V216" i="41" s="1"/>
  <c r="AM216" i="41" s="1"/>
  <c r="R216" i="41"/>
  <c r="P216" i="41"/>
  <c r="M216" i="41"/>
  <c r="N216" i="41" s="1"/>
  <c r="I216" i="41"/>
  <c r="H216" i="41"/>
  <c r="F216" i="41"/>
  <c r="BC215" i="41"/>
  <c r="BB215" i="41"/>
  <c r="BA215" i="41"/>
  <c r="AZ215" i="41"/>
  <c r="AY215" i="41"/>
  <c r="AX215" i="41"/>
  <c r="AW215" i="41"/>
  <c r="AV215" i="41"/>
  <c r="AU215" i="41"/>
  <c r="AT215" i="41"/>
  <c r="AS215" i="41"/>
  <c r="AR215" i="41"/>
  <c r="AQ215" i="41"/>
  <c r="AP215" i="41"/>
  <c r="AO215" i="41"/>
  <c r="AN215" i="41"/>
  <c r="AJ215" i="41"/>
  <c r="AB215" i="41"/>
  <c r="Z215" i="41"/>
  <c r="X215" i="41"/>
  <c r="U215" i="41"/>
  <c r="V215" i="41" s="1"/>
  <c r="AM215" i="41" s="1"/>
  <c r="R215" i="41"/>
  <c r="P215" i="41"/>
  <c r="M215" i="41"/>
  <c r="N215" i="41" s="1"/>
  <c r="I215" i="41"/>
  <c r="H215" i="41"/>
  <c r="F215" i="41"/>
  <c r="BC214" i="41"/>
  <c r="BB214" i="41"/>
  <c r="BA214" i="41"/>
  <c r="AZ214" i="41"/>
  <c r="AY214" i="41"/>
  <c r="AX214" i="41"/>
  <c r="AW214" i="41"/>
  <c r="AV214" i="41"/>
  <c r="AU214" i="41"/>
  <c r="AT214" i="41"/>
  <c r="AS214" i="41"/>
  <c r="AR214" i="41"/>
  <c r="AQ214" i="41"/>
  <c r="AP214" i="41"/>
  <c r="AO214" i="41"/>
  <c r="AN214" i="41"/>
  <c r="AJ214" i="41"/>
  <c r="AB214" i="41"/>
  <c r="Z214" i="41"/>
  <c r="X214" i="41"/>
  <c r="U214" i="41"/>
  <c r="V214" i="41" s="1"/>
  <c r="AM214" i="41" s="1"/>
  <c r="R214" i="41"/>
  <c r="P214" i="41"/>
  <c r="M214" i="41"/>
  <c r="N214" i="41" s="1"/>
  <c r="I214" i="41"/>
  <c r="H214" i="41"/>
  <c r="F214" i="41"/>
  <c r="BC213" i="41"/>
  <c r="BB213" i="41"/>
  <c r="BA213" i="41"/>
  <c r="AZ213" i="41"/>
  <c r="AY213" i="41"/>
  <c r="AX213" i="41"/>
  <c r="AW213" i="41"/>
  <c r="AV213" i="41"/>
  <c r="AU213" i="41"/>
  <c r="AT213" i="41"/>
  <c r="AS213" i="41"/>
  <c r="AR213" i="41"/>
  <c r="AQ213" i="41"/>
  <c r="AP213" i="41"/>
  <c r="AO213" i="41"/>
  <c r="AN213" i="41"/>
  <c r="AJ213" i="41"/>
  <c r="AB213" i="41"/>
  <c r="Z213" i="41"/>
  <c r="X213" i="41"/>
  <c r="U213" i="41"/>
  <c r="V213" i="41" s="1"/>
  <c r="AM213" i="41" s="1"/>
  <c r="R213" i="41"/>
  <c r="P213" i="41"/>
  <c r="M213" i="41"/>
  <c r="N213" i="41" s="1"/>
  <c r="I213" i="41"/>
  <c r="H213" i="41"/>
  <c r="F213" i="41"/>
  <c r="BC212" i="41"/>
  <c r="BB212" i="41"/>
  <c r="BA212" i="41"/>
  <c r="AZ212" i="41"/>
  <c r="AY212" i="41"/>
  <c r="AX212" i="41"/>
  <c r="AW212" i="41"/>
  <c r="AV212" i="41"/>
  <c r="AU212" i="41"/>
  <c r="AT212" i="41"/>
  <c r="AS212" i="41"/>
  <c r="AR212" i="41"/>
  <c r="AQ212" i="41"/>
  <c r="AP212" i="41"/>
  <c r="AO212" i="41"/>
  <c r="AN212" i="41"/>
  <c r="AJ212" i="41"/>
  <c r="AB212" i="41"/>
  <c r="Z212" i="41"/>
  <c r="X212" i="41"/>
  <c r="U212" i="41"/>
  <c r="V212" i="41" s="1"/>
  <c r="AM212" i="41" s="1"/>
  <c r="R212" i="41"/>
  <c r="P212" i="41"/>
  <c r="M212" i="41"/>
  <c r="N212" i="41" s="1"/>
  <c r="I212" i="41"/>
  <c r="H212" i="41"/>
  <c r="F212" i="41"/>
  <c r="BC211" i="41"/>
  <c r="BB211" i="41"/>
  <c r="BA211" i="41"/>
  <c r="AZ211" i="41"/>
  <c r="AY211" i="41"/>
  <c r="AX211" i="41"/>
  <c r="AW211" i="41"/>
  <c r="AV211" i="41"/>
  <c r="AU211" i="41"/>
  <c r="AT211" i="41"/>
  <c r="AS211" i="41"/>
  <c r="AR211" i="41"/>
  <c r="AQ211" i="41"/>
  <c r="AP211" i="41"/>
  <c r="AO211" i="41"/>
  <c r="AN211" i="41"/>
  <c r="AJ211" i="41"/>
  <c r="AB211" i="41"/>
  <c r="Z211" i="41"/>
  <c r="X211" i="41"/>
  <c r="U211" i="41"/>
  <c r="V211" i="41" s="1"/>
  <c r="AM211" i="41" s="1"/>
  <c r="R211" i="41"/>
  <c r="P211" i="41"/>
  <c r="M211" i="41"/>
  <c r="N211" i="41" s="1"/>
  <c r="I211" i="41"/>
  <c r="H211" i="41"/>
  <c r="F211" i="41"/>
  <c r="BC210" i="41"/>
  <c r="BB210" i="41"/>
  <c r="BA210" i="41"/>
  <c r="AZ210" i="41"/>
  <c r="AY210" i="41"/>
  <c r="AX210" i="41"/>
  <c r="AW210" i="41"/>
  <c r="AV210" i="41"/>
  <c r="AU210" i="41"/>
  <c r="AT210" i="41"/>
  <c r="AS210" i="41"/>
  <c r="AR210" i="41"/>
  <c r="AQ210" i="41"/>
  <c r="AP210" i="41"/>
  <c r="AO210" i="41"/>
  <c r="AN210" i="41"/>
  <c r="AJ210" i="41"/>
  <c r="AB210" i="41"/>
  <c r="Z210" i="41"/>
  <c r="X210" i="41"/>
  <c r="U210" i="41"/>
  <c r="V210" i="41" s="1"/>
  <c r="AM210" i="41" s="1"/>
  <c r="R210" i="41"/>
  <c r="P210" i="41"/>
  <c r="M210" i="41"/>
  <c r="N210" i="41" s="1"/>
  <c r="H210" i="41"/>
  <c r="F210" i="41"/>
  <c r="BC209" i="41"/>
  <c r="BB209" i="41"/>
  <c r="BA209" i="41"/>
  <c r="AZ209" i="41"/>
  <c r="AY209" i="41"/>
  <c r="AX209" i="41"/>
  <c r="AW209" i="41"/>
  <c r="AV209" i="41"/>
  <c r="AU209" i="41"/>
  <c r="AT209" i="41"/>
  <c r="AS209" i="41"/>
  <c r="AR209" i="41"/>
  <c r="AQ209" i="41"/>
  <c r="AP209" i="41"/>
  <c r="AO209" i="41"/>
  <c r="AN209" i="41"/>
  <c r="AJ209" i="41"/>
  <c r="AB209" i="41"/>
  <c r="Z209" i="41"/>
  <c r="X209" i="41"/>
  <c r="U209" i="41"/>
  <c r="V209" i="41" s="1"/>
  <c r="AM209" i="41" s="1"/>
  <c r="R209" i="41"/>
  <c r="P209" i="41"/>
  <c r="M209" i="41"/>
  <c r="N209" i="41" s="1"/>
  <c r="I209" i="41"/>
  <c r="H209" i="41"/>
  <c r="F209" i="41"/>
  <c r="BC208" i="41"/>
  <c r="BB208" i="41"/>
  <c r="BA208" i="41"/>
  <c r="AZ208" i="41"/>
  <c r="AY208" i="41"/>
  <c r="AX208" i="41"/>
  <c r="AW208" i="41"/>
  <c r="AV208" i="41"/>
  <c r="AU208" i="41"/>
  <c r="AT208" i="41"/>
  <c r="AS208" i="41"/>
  <c r="AR208" i="41"/>
  <c r="AQ208" i="41"/>
  <c r="AP208" i="41"/>
  <c r="AO208" i="41"/>
  <c r="AN208" i="41"/>
  <c r="AJ208" i="41"/>
  <c r="AB208" i="41"/>
  <c r="Z208" i="41"/>
  <c r="X208" i="41"/>
  <c r="U208" i="41"/>
  <c r="V208" i="41" s="1"/>
  <c r="AM208" i="41" s="1"/>
  <c r="R208" i="41"/>
  <c r="P208" i="41"/>
  <c r="M208" i="41"/>
  <c r="N208" i="41" s="1"/>
  <c r="I208" i="41"/>
  <c r="H208" i="41"/>
  <c r="F208" i="41"/>
  <c r="BC207" i="41"/>
  <c r="BB207" i="41"/>
  <c r="BA207" i="41"/>
  <c r="AZ207" i="41"/>
  <c r="AY207" i="41"/>
  <c r="AX207" i="41"/>
  <c r="AW207" i="41"/>
  <c r="AV207" i="41"/>
  <c r="AU207" i="41"/>
  <c r="AT207" i="41"/>
  <c r="AS207" i="41"/>
  <c r="AR207" i="41"/>
  <c r="AQ207" i="41"/>
  <c r="AP207" i="41"/>
  <c r="AO207" i="41"/>
  <c r="AN207" i="41"/>
  <c r="AJ207" i="41"/>
  <c r="AB207" i="41"/>
  <c r="Z207" i="41"/>
  <c r="X207" i="41"/>
  <c r="U207" i="41"/>
  <c r="V207" i="41" s="1"/>
  <c r="AM207" i="41" s="1"/>
  <c r="R207" i="41"/>
  <c r="P207" i="41"/>
  <c r="M207" i="41"/>
  <c r="N207" i="41" s="1"/>
  <c r="I207" i="41"/>
  <c r="H207" i="41"/>
  <c r="F207" i="41"/>
  <c r="BC206" i="41"/>
  <c r="BB206" i="41"/>
  <c r="BA206" i="41"/>
  <c r="AZ206" i="41"/>
  <c r="AY206" i="41"/>
  <c r="AX206" i="41"/>
  <c r="AW206" i="41"/>
  <c r="AV206" i="41"/>
  <c r="AU206" i="41"/>
  <c r="AT206" i="41"/>
  <c r="AS206" i="41"/>
  <c r="AR206" i="41"/>
  <c r="AQ206" i="41"/>
  <c r="AP206" i="41"/>
  <c r="AO206" i="41"/>
  <c r="AN206" i="41"/>
  <c r="AJ206" i="41"/>
  <c r="AB206" i="41"/>
  <c r="Z206" i="41"/>
  <c r="X206" i="41"/>
  <c r="U206" i="41"/>
  <c r="V206" i="41" s="1"/>
  <c r="AM206" i="41" s="1"/>
  <c r="R206" i="41"/>
  <c r="P206" i="41"/>
  <c r="M206" i="41"/>
  <c r="N206" i="41" s="1"/>
  <c r="H206" i="41"/>
  <c r="F206" i="41"/>
  <c r="BC205" i="41"/>
  <c r="BB205" i="41"/>
  <c r="BA205" i="41"/>
  <c r="AZ205" i="41"/>
  <c r="AY205" i="41"/>
  <c r="AX205" i="41"/>
  <c r="AW205" i="41"/>
  <c r="AV205" i="41"/>
  <c r="AU205" i="41"/>
  <c r="AT205" i="41"/>
  <c r="AS205" i="41"/>
  <c r="AR205" i="41"/>
  <c r="AQ205" i="41"/>
  <c r="AP205" i="41"/>
  <c r="AO205" i="41"/>
  <c r="AN205" i="41"/>
  <c r="AJ205" i="41"/>
  <c r="AB205" i="41"/>
  <c r="Z205" i="41"/>
  <c r="X205" i="41"/>
  <c r="U205" i="41"/>
  <c r="V205" i="41" s="1"/>
  <c r="AM205" i="41" s="1"/>
  <c r="R205" i="41"/>
  <c r="P205" i="41"/>
  <c r="M205" i="41"/>
  <c r="N205" i="41" s="1"/>
  <c r="I205" i="41"/>
  <c r="H205" i="41"/>
  <c r="F205" i="41"/>
  <c r="BC204" i="41"/>
  <c r="BB204" i="41"/>
  <c r="BA204" i="41"/>
  <c r="AZ204" i="4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J204" i="41"/>
  <c r="AB204" i="41"/>
  <c r="Z204" i="41"/>
  <c r="X204" i="41"/>
  <c r="U204" i="41"/>
  <c r="V204" i="41" s="1"/>
  <c r="AM204" i="41" s="1"/>
  <c r="R204" i="41"/>
  <c r="P204" i="41"/>
  <c r="M204" i="41"/>
  <c r="N204" i="41" s="1"/>
  <c r="I204" i="41"/>
  <c r="H204" i="41"/>
  <c r="F204" i="41"/>
  <c r="BC203" i="41"/>
  <c r="BB203" i="41"/>
  <c r="BA203" i="41"/>
  <c r="AZ203" i="41"/>
  <c r="AY203" i="41"/>
  <c r="AX203" i="41"/>
  <c r="AW203" i="41"/>
  <c r="AV203" i="41"/>
  <c r="AU203" i="41"/>
  <c r="AT203" i="41"/>
  <c r="AS203" i="41"/>
  <c r="AR203" i="41"/>
  <c r="AQ203" i="41"/>
  <c r="AP203" i="41"/>
  <c r="AO203" i="41"/>
  <c r="AN203" i="41"/>
  <c r="AJ203" i="41"/>
  <c r="AB203" i="41"/>
  <c r="Z203" i="41"/>
  <c r="X203" i="41"/>
  <c r="U203" i="41"/>
  <c r="V203" i="41" s="1"/>
  <c r="AM203" i="41" s="1"/>
  <c r="R203" i="41"/>
  <c r="P203" i="41"/>
  <c r="M203" i="41"/>
  <c r="N203" i="41" s="1"/>
  <c r="H203" i="41"/>
  <c r="F203" i="41"/>
  <c r="BC202" i="41"/>
  <c r="BB202" i="41"/>
  <c r="BA202" i="41"/>
  <c r="AZ202" i="41"/>
  <c r="AY202" i="41"/>
  <c r="AX202" i="41"/>
  <c r="AW202" i="41"/>
  <c r="AV202" i="41"/>
  <c r="AU202" i="41"/>
  <c r="AT202" i="41"/>
  <c r="AS202" i="41"/>
  <c r="AR202" i="41"/>
  <c r="AQ202" i="41"/>
  <c r="AP202" i="41"/>
  <c r="AO202" i="41"/>
  <c r="AN202" i="41"/>
  <c r="AJ202" i="41"/>
  <c r="AB202" i="41"/>
  <c r="Z202" i="41"/>
  <c r="X202" i="41"/>
  <c r="R202" i="41"/>
  <c r="P202" i="41"/>
  <c r="M202" i="41"/>
  <c r="N202" i="41" s="1"/>
  <c r="G202" i="41"/>
  <c r="U202" i="41" s="1"/>
  <c r="V202" i="41" s="1"/>
  <c r="AM202" i="41" s="1"/>
  <c r="F202" i="41"/>
  <c r="BC201" i="41"/>
  <c r="BB201" i="41"/>
  <c r="BA201" i="41"/>
  <c r="AZ201" i="41"/>
  <c r="AY201" i="41"/>
  <c r="AX201" i="41"/>
  <c r="AW201" i="41"/>
  <c r="AV201" i="41"/>
  <c r="AU201" i="41"/>
  <c r="AT201" i="41"/>
  <c r="AS201" i="41"/>
  <c r="AR201" i="41"/>
  <c r="AQ201" i="41"/>
  <c r="AP201" i="41"/>
  <c r="AO201" i="41"/>
  <c r="AN201" i="41"/>
  <c r="AJ201" i="41"/>
  <c r="AB201" i="41"/>
  <c r="Z201" i="41"/>
  <c r="X201" i="41"/>
  <c r="U201" i="41"/>
  <c r="V201" i="41" s="1"/>
  <c r="AM201" i="41" s="1"/>
  <c r="R201" i="41"/>
  <c r="P201" i="41"/>
  <c r="M201" i="41"/>
  <c r="N201" i="41" s="1"/>
  <c r="I201" i="41"/>
  <c r="H201" i="41"/>
  <c r="F201" i="41"/>
  <c r="BC200" i="41"/>
  <c r="BB200" i="41"/>
  <c r="BA200" i="41"/>
  <c r="AZ200" i="41"/>
  <c r="AY200" i="41"/>
  <c r="AX200" i="41"/>
  <c r="AW200" i="41"/>
  <c r="AV200" i="41"/>
  <c r="AU200" i="41"/>
  <c r="AT200" i="41"/>
  <c r="AS200" i="41"/>
  <c r="AR200" i="41"/>
  <c r="AQ200" i="41"/>
  <c r="AP200" i="41"/>
  <c r="AO200" i="41"/>
  <c r="AN200" i="41"/>
  <c r="AJ200" i="41"/>
  <c r="AB200" i="41"/>
  <c r="Z200" i="41"/>
  <c r="X200" i="41"/>
  <c r="U200" i="41"/>
  <c r="V200" i="41" s="1"/>
  <c r="AM200" i="41" s="1"/>
  <c r="R200" i="41"/>
  <c r="P200" i="41"/>
  <c r="M200" i="41"/>
  <c r="N200" i="41" s="1"/>
  <c r="H200" i="41"/>
  <c r="F200" i="41"/>
  <c r="BC199" i="41"/>
  <c r="BB199" i="41"/>
  <c r="BA199" i="41"/>
  <c r="AZ199" i="41"/>
  <c r="AY199" i="41"/>
  <c r="AX199" i="41"/>
  <c r="AW199" i="41"/>
  <c r="AV199" i="41"/>
  <c r="AU199" i="41"/>
  <c r="AT199" i="41"/>
  <c r="AS199" i="41"/>
  <c r="AR199" i="41"/>
  <c r="AQ199" i="41"/>
  <c r="AP199" i="41"/>
  <c r="AO199" i="41"/>
  <c r="AN199" i="41"/>
  <c r="AJ199" i="41"/>
  <c r="AB199" i="41"/>
  <c r="Z199" i="41"/>
  <c r="X199" i="41"/>
  <c r="U199" i="41"/>
  <c r="V199" i="41" s="1"/>
  <c r="AM199" i="41" s="1"/>
  <c r="R199" i="41"/>
  <c r="P199" i="41"/>
  <c r="M199" i="41"/>
  <c r="N199" i="41" s="1"/>
  <c r="I199" i="41"/>
  <c r="H199" i="41"/>
  <c r="F199" i="41"/>
  <c r="BC198" i="41"/>
  <c r="BB198" i="41"/>
  <c r="BA198" i="41"/>
  <c r="AZ198" i="41"/>
  <c r="AY198" i="41"/>
  <c r="AX198" i="41"/>
  <c r="AW198" i="41"/>
  <c r="AV198" i="41"/>
  <c r="AU198" i="41"/>
  <c r="AT198" i="41"/>
  <c r="AS198" i="41"/>
  <c r="AR198" i="41"/>
  <c r="AQ198" i="41"/>
  <c r="AP198" i="41"/>
  <c r="AO198" i="41"/>
  <c r="AN198" i="41"/>
  <c r="AJ198" i="41"/>
  <c r="AB198" i="41"/>
  <c r="Z198" i="41"/>
  <c r="X198" i="41"/>
  <c r="U198" i="41"/>
  <c r="V198" i="41" s="1"/>
  <c r="AM198" i="41" s="1"/>
  <c r="R198" i="41"/>
  <c r="P198" i="41"/>
  <c r="M198" i="41"/>
  <c r="N198" i="41" s="1"/>
  <c r="I198" i="41"/>
  <c r="H198" i="41"/>
  <c r="F198" i="41"/>
  <c r="BC197" i="41"/>
  <c r="BB197" i="41"/>
  <c r="BA197" i="41"/>
  <c r="AZ197" i="41"/>
  <c r="AY197" i="41"/>
  <c r="AX197" i="41"/>
  <c r="AW197" i="41"/>
  <c r="AV197" i="41"/>
  <c r="AU197" i="41"/>
  <c r="AT197" i="41"/>
  <c r="AS197" i="41"/>
  <c r="AR197" i="41"/>
  <c r="AQ197" i="41"/>
  <c r="AP197" i="41"/>
  <c r="AO197" i="41"/>
  <c r="AN197" i="41"/>
  <c r="AJ197" i="41"/>
  <c r="AB197" i="41"/>
  <c r="Z197" i="41"/>
  <c r="X197" i="41"/>
  <c r="U197" i="41"/>
  <c r="V197" i="41" s="1"/>
  <c r="AM197" i="41" s="1"/>
  <c r="R197" i="41"/>
  <c r="P197" i="41"/>
  <c r="M197" i="41"/>
  <c r="N197" i="41" s="1"/>
  <c r="H197" i="41"/>
  <c r="F197" i="41"/>
  <c r="BC196" i="41"/>
  <c r="BB196" i="41"/>
  <c r="BA196" i="41"/>
  <c r="AZ196" i="41"/>
  <c r="AY196" i="41"/>
  <c r="AX196" i="41"/>
  <c r="AW196" i="41"/>
  <c r="AV196" i="41"/>
  <c r="AU196" i="41"/>
  <c r="AT196" i="41"/>
  <c r="AS196" i="41"/>
  <c r="AR196" i="41"/>
  <c r="AQ196" i="41"/>
  <c r="AP196" i="41"/>
  <c r="AO196" i="41"/>
  <c r="AN196" i="41"/>
  <c r="AJ196" i="41"/>
  <c r="AB196" i="41"/>
  <c r="Z196" i="41"/>
  <c r="X196" i="41"/>
  <c r="U196" i="41"/>
  <c r="V196" i="41" s="1"/>
  <c r="AM196" i="41" s="1"/>
  <c r="R196" i="41"/>
  <c r="P196" i="41"/>
  <c r="M196" i="41"/>
  <c r="N196" i="41" s="1"/>
  <c r="I196" i="41"/>
  <c r="H196" i="41"/>
  <c r="F196" i="41"/>
  <c r="BC195" i="41"/>
  <c r="BB195" i="41"/>
  <c r="BA195" i="41"/>
  <c r="AZ195" i="41"/>
  <c r="AY195" i="41"/>
  <c r="AX195" i="41"/>
  <c r="AW195" i="41"/>
  <c r="AV195" i="41"/>
  <c r="AU195" i="41"/>
  <c r="AT195" i="41"/>
  <c r="AS195" i="41"/>
  <c r="AR195" i="41"/>
  <c r="AQ195" i="41"/>
  <c r="AP195" i="41"/>
  <c r="AO195" i="41"/>
  <c r="AN195" i="41"/>
  <c r="AJ195" i="41"/>
  <c r="AB195" i="41"/>
  <c r="Z195" i="41"/>
  <c r="X195" i="41"/>
  <c r="U195" i="41"/>
  <c r="V195" i="41" s="1"/>
  <c r="AM195" i="41" s="1"/>
  <c r="R195" i="41"/>
  <c r="P195" i="41"/>
  <c r="M195" i="41"/>
  <c r="N195" i="41" s="1"/>
  <c r="I195" i="41"/>
  <c r="H195" i="41"/>
  <c r="F195" i="41"/>
  <c r="BC194" i="41"/>
  <c r="BB194" i="41"/>
  <c r="BA194" i="41"/>
  <c r="AZ194" i="41"/>
  <c r="AY194" i="41"/>
  <c r="AX194" i="41"/>
  <c r="AW194" i="41"/>
  <c r="AV194" i="41"/>
  <c r="AU194" i="41"/>
  <c r="AT194" i="41"/>
  <c r="AS194" i="41"/>
  <c r="AR194" i="41"/>
  <c r="AQ194" i="41"/>
  <c r="AP194" i="41"/>
  <c r="AO194" i="41"/>
  <c r="AN194" i="41"/>
  <c r="AJ194" i="41"/>
  <c r="AB194" i="41"/>
  <c r="Z194" i="41"/>
  <c r="X194" i="41"/>
  <c r="U194" i="41"/>
  <c r="V194" i="41" s="1"/>
  <c r="AM194" i="41" s="1"/>
  <c r="R194" i="41"/>
  <c r="P194" i="41"/>
  <c r="M194" i="41"/>
  <c r="N194" i="41" s="1"/>
  <c r="I194" i="41"/>
  <c r="H194" i="41"/>
  <c r="F194" i="41"/>
  <c r="BC193" i="41"/>
  <c r="BB193" i="41"/>
  <c r="BA193" i="41"/>
  <c r="AZ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J193" i="41"/>
  <c r="AB193" i="41"/>
  <c r="Z193" i="41"/>
  <c r="X193" i="41"/>
  <c r="U193" i="41"/>
  <c r="V193" i="41" s="1"/>
  <c r="AM193" i="41" s="1"/>
  <c r="R193" i="41"/>
  <c r="P193" i="41"/>
  <c r="M193" i="41"/>
  <c r="N193" i="41" s="1"/>
  <c r="H193" i="41"/>
  <c r="F193" i="41"/>
  <c r="BC192" i="41"/>
  <c r="BB192" i="41"/>
  <c r="BA192" i="41"/>
  <c r="AZ192" i="41"/>
  <c r="AY192" i="41"/>
  <c r="AX192" i="41"/>
  <c r="AW192" i="41"/>
  <c r="AV192" i="41"/>
  <c r="AU192" i="41"/>
  <c r="AT192" i="41"/>
  <c r="AS192" i="41"/>
  <c r="AR192" i="41"/>
  <c r="AQ192" i="41"/>
  <c r="AP192" i="41"/>
  <c r="AO192" i="41"/>
  <c r="AN192" i="41"/>
  <c r="AJ192" i="41"/>
  <c r="AB192" i="41"/>
  <c r="Z192" i="41"/>
  <c r="X192" i="41"/>
  <c r="U192" i="41"/>
  <c r="V192" i="41" s="1"/>
  <c r="AM192" i="41" s="1"/>
  <c r="R192" i="41"/>
  <c r="P192" i="41"/>
  <c r="M192" i="41"/>
  <c r="N192" i="41" s="1"/>
  <c r="I192" i="41"/>
  <c r="H192" i="41"/>
  <c r="F192" i="41"/>
  <c r="BC191" i="41"/>
  <c r="BB191" i="41"/>
  <c r="BA191" i="41"/>
  <c r="AZ191" i="41"/>
  <c r="AY191" i="41"/>
  <c r="AX191" i="41"/>
  <c r="AW191" i="41"/>
  <c r="AV191" i="41"/>
  <c r="AU191" i="41"/>
  <c r="AT191" i="41"/>
  <c r="AS191" i="41"/>
  <c r="AR191" i="41"/>
  <c r="AQ191" i="41"/>
  <c r="AP191" i="41"/>
  <c r="AO191" i="41"/>
  <c r="AN191" i="41"/>
  <c r="AJ191" i="41"/>
  <c r="AB191" i="41"/>
  <c r="Z191" i="41"/>
  <c r="X191" i="41"/>
  <c r="U191" i="41"/>
  <c r="V191" i="41" s="1"/>
  <c r="AM191" i="41" s="1"/>
  <c r="R191" i="41"/>
  <c r="P191" i="41"/>
  <c r="M191" i="41"/>
  <c r="N191" i="41" s="1"/>
  <c r="I191" i="41"/>
  <c r="H191" i="41"/>
  <c r="F191" i="41"/>
  <c r="BC190" i="41"/>
  <c r="BB190" i="41"/>
  <c r="BA190" i="41"/>
  <c r="AZ190" i="41"/>
  <c r="AY190" i="41"/>
  <c r="AX190" i="41"/>
  <c r="AW190" i="41"/>
  <c r="AV190" i="41"/>
  <c r="AU190" i="41"/>
  <c r="AT190" i="41"/>
  <c r="AS190" i="41"/>
  <c r="AR190" i="41"/>
  <c r="AQ190" i="41"/>
  <c r="AP190" i="41"/>
  <c r="AO190" i="41"/>
  <c r="AN190" i="41"/>
  <c r="AJ190" i="41"/>
  <c r="AB190" i="41"/>
  <c r="Z190" i="41"/>
  <c r="X190" i="41"/>
  <c r="U190" i="41"/>
  <c r="V190" i="41" s="1"/>
  <c r="AM190" i="41" s="1"/>
  <c r="R190" i="41"/>
  <c r="P190" i="41"/>
  <c r="M190" i="41"/>
  <c r="N190" i="41" s="1"/>
  <c r="H190" i="41"/>
  <c r="F190" i="41"/>
  <c r="BC189" i="41"/>
  <c r="BB189" i="41"/>
  <c r="BA189" i="41"/>
  <c r="AZ189" i="41"/>
  <c r="AY189" i="41"/>
  <c r="AX189" i="41"/>
  <c r="AW189" i="41"/>
  <c r="AV189" i="41"/>
  <c r="AU189" i="41"/>
  <c r="AT189" i="41"/>
  <c r="AS189" i="41"/>
  <c r="AR189" i="41"/>
  <c r="AQ189" i="41"/>
  <c r="AP189" i="41"/>
  <c r="AO189" i="41"/>
  <c r="AN189" i="41"/>
  <c r="AJ189" i="41"/>
  <c r="AB189" i="41"/>
  <c r="Z189" i="41"/>
  <c r="X189" i="41"/>
  <c r="U189" i="41"/>
  <c r="V189" i="41" s="1"/>
  <c r="AM189" i="41" s="1"/>
  <c r="R189" i="41"/>
  <c r="P189" i="41"/>
  <c r="M189" i="41"/>
  <c r="N189" i="41" s="1"/>
  <c r="I189" i="41"/>
  <c r="H189" i="41"/>
  <c r="F189" i="41"/>
  <c r="BC188" i="41"/>
  <c r="BB188" i="41"/>
  <c r="BA188" i="41"/>
  <c r="AZ188" i="41"/>
  <c r="AY188" i="41"/>
  <c r="AX188" i="41"/>
  <c r="AW188" i="41"/>
  <c r="AV188" i="41"/>
  <c r="AU188" i="41"/>
  <c r="AT188" i="41"/>
  <c r="AS188" i="41"/>
  <c r="AR188" i="41"/>
  <c r="AQ188" i="41"/>
  <c r="AP188" i="41"/>
  <c r="AO188" i="41"/>
  <c r="AN188" i="41"/>
  <c r="AJ188" i="41"/>
  <c r="AB188" i="41"/>
  <c r="Z188" i="41"/>
  <c r="X188" i="41"/>
  <c r="U188" i="41"/>
  <c r="V188" i="41" s="1"/>
  <c r="AM188" i="41" s="1"/>
  <c r="R188" i="41"/>
  <c r="P188" i="41"/>
  <c r="M188" i="41"/>
  <c r="N188" i="41" s="1"/>
  <c r="H188" i="41"/>
  <c r="F188" i="41"/>
  <c r="BC187" i="41"/>
  <c r="BB187" i="41"/>
  <c r="BA187" i="41"/>
  <c r="AZ187" i="41"/>
  <c r="AY187" i="41"/>
  <c r="AX187" i="41"/>
  <c r="AW187" i="41"/>
  <c r="AV187" i="41"/>
  <c r="AU187" i="41"/>
  <c r="AT187" i="41"/>
  <c r="AS187" i="41"/>
  <c r="AR187" i="41"/>
  <c r="AQ187" i="41"/>
  <c r="AP187" i="41"/>
  <c r="AO187" i="41"/>
  <c r="AN187" i="41"/>
  <c r="AJ187" i="41"/>
  <c r="AB187" i="41"/>
  <c r="Z187" i="41"/>
  <c r="X187" i="41"/>
  <c r="U187" i="41"/>
  <c r="V187" i="41" s="1"/>
  <c r="AM187" i="41" s="1"/>
  <c r="R187" i="41"/>
  <c r="P187" i="41"/>
  <c r="M187" i="41"/>
  <c r="N187" i="41" s="1"/>
  <c r="H187" i="41"/>
  <c r="F187" i="41"/>
  <c r="BC186" i="41"/>
  <c r="BB186" i="41"/>
  <c r="BA186" i="41"/>
  <c r="AZ186" i="41"/>
  <c r="AY186" i="41"/>
  <c r="AX186" i="41"/>
  <c r="AW186" i="41"/>
  <c r="AV186" i="41"/>
  <c r="AU186" i="41"/>
  <c r="AT186" i="41"/>
  <c r="AS186" i="41"/>
  <c r="AR186" i="41"/>
  <c r="AQ186" i="41"/>
  <c r="AP186" i="41"/>
  <c r="AO186" i="41"/>
  <c r="AN186" i="41"/>
  <c r="AJ186" i="41"/>
  <c r="AB186" i="41"/>
  <c r="Z186" i="41"/>
  <c r="X186" i="41"/>
  <c r="U186" i="41"/>
  <c r="V186" i="41" s="1"/>
  <c r="AM186" i="41" s="1"/>
  <c r="R186" i="41"/>
  <c r="P186" i="41"/>
  <c r="M186" i="41"/>
  <c r="N186" i="41" s="1"/>
  <c r="H186" i="41"/>
  <c r="F186" i="41"/>
  <c r="BC185" i="41"/>
  <c r="BB185" i="41"/>
  <c r="BA185" i="41"/>
  <c r="AZ185" i="41"/>
  <c r="AY185" i="41"/>
  <c r="AX185" i="41"/>
  <c r="AW185" i="41"/>
  <c r="AV185" i="41"/>
  <c r="AU185" i="41"/>
  <c r="AT185" i="41"/>
  <c r="AS185" i="41"/>
  <c r="AR185" i="41"/>
  <c r="AQ185" i="41"/>
  <c r="AP185" i="41"/>
  <c r="AO185" i="41"/>
  <c r="AN185" i="41"/>
  <c r="AJ185" i="41"/>
  <c r="AB185" i="41"/>
  <c r="Z185" i="41"/>
  <c r="X185" i="41"/>
  <c r="R185" i="41"/>
  <c r="P185" i="41"/>
  <c r="M185" i="41"/>
  <c r="N185" i="41" s="1"/>
  <c r="G185" i="41"/>
  <c r="I185" i="41" s="1"/>
  <c r="F185" i="41"/>
  <c r="BC184" i="41"/>
  <c r="BB184" i="41"/>
  <c r="BA184" i="41"/>
  <c r="AZ184" i="41"/>
  <c r="AY184" i="41"/>
  <c r="AX184" i="41"/>
  <c r="AW184" i="41"/>
  <c r="AV184" i="41"/>
  <c r="AU184" i="41"/>
  <c r="AT184" i="41"/>
  <c r="AS184" i="41"/>
  <c r="AR184" i="41"/>
  <c r="AQ184" i="41"/>
  <c r="AP184" i="41"/>
  <c r="AO184" i="41"/>
  <c r="AN184" i="41"/>
  <c r="AJ184" i="41"/>
  <c r="AB184" i="41"/>
  <c r="Z184" i="41"/>
  <c r="X184" i="41"/>
  <c r="U184" i="41"/>
  <c r="V184" i="41" s="1"/>
  <c r="AM184" i="41" s="1"/>
  <c r="R184" i="41"/>
  <c r="P184" i="41"/>
  <c r="M184" i="41"/>
  <c r="N184" i="41" s="1"/>
  <c r="I184" i="41"/>
  <c r="H184" i="41"/>
  <c r="F184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J183" i="41"/>
  <c r="AB183" i="41"/>
  <c r="Z183" i="41"/>
  <c r="X183" i="41"/>
  <c r="U183" i="41"/>
  <c r="V183" i="41" s="1"/>
  <c r="AM183" i="41" s="1"/>
  <c r="R183" i="41"/>
  <c r="P183" i="41"/>
  <c r="M183" i="41"/>
  <c r="N183" i="41" s="1"/>
  <c r="H183" i="41"/>
  <c r="F183" i="41"/>
  <c r="BC182" i="41"/>
  <c r="BB182" i="41"/>
  <c r="BA182" i="41"/>
  <c r="AZ182" i="41"/>
  <c r="AY182" i="41"/>
  <c r="AX182" i="41"/>
  <c r="AW182" i="41"/>
  <c r="AV182" i="41"/>
  <c r="AU182" i="41"/>
  <c r="AT182" i="41"/>
  <c r="AS182" i="41"/>
  <c r="AR182" i="41"/>
  <c r="AQ182" i="41"/>
  <c r="AP182" i="41"/>
  <c r="AO182" i="41"/>
  <c r="AN182" i="41"/>
  <c r="AJ182" i="41"/>
  <c r="AB182" i="41"/>
  <c r="Z182" i="41"/>
  <c r="X182" i="41"/>
  <c r="U182" i="41"/>
  <c r="V182" i="41" s="1"/>
  <c r="AM182" i="41" s="1"/>
  <c r="R182" i="41"/>
  <c r="P182" i="41"/>
  <c r="M182" i="41"/>
  <c r="N182" i="41" s="1"/>
  <c r="I182" i="41"/>
  <c r="H182" i="41"/>
  <c r="F182" i="41"/>
  <c r="BC181" i="41"/>
  <c r="BB181" i="41"/>
  <c r="BA181" i="41"/>
  <c r="AZ181" i="41"/>
  <c r="AY181" i="41"/>
  <c r="AX181" i="41"/>
  <c r="AW181" i="41"/>
  <c r="AV181" i="41"/>
  <c r="AU181" i="41"/>
  <c r="AT181" i="41"/>
  <c r="AS181" i="41"/>
  <c r="AR181" i="41"/>
  <c r="AQ181" i="41"/>
  <c r="AP181" i="41"/>
  <c r="AO181" i="41"/>
  <c r="AN181" i="41"/>
  <c r="AJ181" i="41"/>
  <c r="AB181" i="41"/>
  <c r="Z181" i="41"/>
  <c r="X181" i="41"/>
  <c r="U181" i="41"/>
  <c r="V181" i="41" s="1"/>
  <c r="AM181" i="41" s="1"/>
  <c r="R181" i="41"/>
  <c r="P181" i="41"/>
  <c r="M181" i="41"/>
  <c r="N181" i="41" s="1"/>
  <c r="I181" i="41"/>
  <c r="H181" i="41"/>
  <c r="F181" i="41"/>
  <c r="BC180" i="41"/>
  <c r="BB180" i="41"/>
  <c r="BA180" i="41"/>
  <c r="AZ180" i="41"/>
  <c r="AY180" i="41"/>
  <c r="AX180" i="41"/>
  <c r="AW180" i="41"/>
  <c r="AV180" i="41"/>
  <c r="AU180" i="41"/>
  <c r="AT180" i="41"/>
  <c r="AS180" i="41"/>
  <c r="AR180" i="41"/>
  <c r="AQ180" i="41"/>
  <c r="AP180" i="41"/>
  <c r="AO180" i="41"/>
  <c r="AN180" i="41"/>
  <c r="AJ180" i="41"/>
  <c r="AB180" i="41"/>
  <c r="Z180" i="41"/>
  <c r="X180" i="41"/>
  <c r="U180" i="41"/>
  <c r="V180" i="41" s="1"/>
  <c r="AM180" i="41" s="1"/>
  <c r="R180" i="41"/>
  <c r="P180" i="41"/>
  <c r="M180" i="41"/>
  <c r="N180" i="41" s="1"/>
  <c r="H180" i="41"/>
  <c r="F180" i="41"/>
  <c r="BC179" i="41"/>
  <c r="BB179" i="41"/>
  <c r="BA179" i="41"/>
  <c r="AZ179" i="41"/>
  <c r="AY179" i="41"/>
  <c r="AX179" i="41"/>
  <c r="AW179" i="41"/>
  <c r="AV179" i="41"/>
  <c r="AU179" i="41"/>
  <c r="AT179" i="41"/>
  <c r="AS179" i="41"/>
  <c r="AR179" i="41"/>
  <c r="AQ179" i="41"/>
  <c r="AP179" i="41"/>
  <c r="AO179" i="41"/>
  <c r="AN179" i="41"/>
  <c r="AJ179" i="41"/>
  <c r="AB179" i="41"/>
  <c r="Z179" i="41"/>
  <c r="X179" i="41"/>
  <c r="U179" i="41"/>
  <c r="V179" i="41" s="1"/>
  <c r="AM179" i="41" s="1"/>
  <c r="R179" i="41"/>
  <c r="P179" i="41"/>
  <c r="M179" i="41"/>
  <c r="N179" i="41" s="1"/>
  <c r="I179" i="41"/>
  <c r="H179" i="41"/>
  <c r="F179" i="41"/>
  <c r="BC178" i="41"/>
  <c r="BB178" i="41"/>
  <c r="BA178" i="41"/>
  <c r="AZ178" i="41"/>
  <c r="AY178" i="41"/>
  <c r="AX178" i="41"/>
  <c r="AW178" i="41"/>
  <c r="AV178" i="41"/>
  <c r="AU178" i="41"/>
  <c r="AT178" i="41"/>
  <c r="AS178" i="41"/>
  <c r="AR178" i="41"/>
  <c r="AQ178" i="41"/>
  <c r="AP178" i="41"/>
  <c r="AO178" i="41"/>
  <c r="AN178" i="41"/>
  <c r="AJ178" i="41"/>
  <c r="AB178" i="41"/>
  <c r="Z178" i="41"/>
  <c r="X178" i="41"/>
  <c r="U178" i="41"/>
  <c r="V178" i="41" s="1"/>
  <c r="AM178" i="41" s="1"/>
  <c r="R178" i="41"/>
  <c r="P178" i="41"/>
  <c r="M178" i="41"/>
  <c r="N178" i="41" s="1"/>
  <c r="I178" i="41"/>
  <c r="H178" i="41"/>
  <c r="F178" i="41"/>
  <c r="BC177" i="41"/>
  <c r="BB177" i="41"/>
  <c r="BA177" i="41"/>
  <c r="AZ177" i="41"/>
  <c r="AY177" i="41"/>
  <c r="AX177" i="41"/>
  <c r="AW177" i="41"/>
  <c r="AV177" i="41"/>
  <c r="AU177" i="41"/>
  <c r="AT177" i="41"/>
  <c r="AS177" i="41"/>
  <c r="AR177" i="41"/>
  <c r="AQ177" i="41"/>
  <c r="AP177" i="41"/>
  <c r="AO177" i="41"/>
  <c r="AN177" i="41"/>
  <c r="AJ177" i="41"/>
  <c r="AB177" i="41"/>
  <c r="Z177" i="41"/>
  <c r="X177" i="41"/>
  <c r="U177" i="41"/>
  <c r="V177" i="41" s="1"/>
  <c r="AM177" i="41" s="1"/>
  <c r="R177" i="41"/>
  <c r="P177" i="41"/>
  <c r="M177" i="41"/>
  <c r="N177" i="41" s="1"/>
  <c r="I177" i="41"/>
  <c r="H177" i="41"/>
  <c r="F177" i="41"/>
  <c r="BC176" i="41"/>
  <c r="BB176" i="41"/>
  <c r="BA176" i="41"/>
  <c r="AZ176" i="41"/>
  <c r="AY176" i="41"/>
  <c r="AX176" i="41"/>
  <c r="AW176" i="41"/>
  <c r="AV176" i="41"/>
  <c r="AU176" i="41"/>
  <c r="AT176" i="41"/>
  <c r="AS176" i="41"/>
  <c r="AR176" i="41"/>
  <c r="AQ176" i="41"/>
  <c r="AP176" i="41"/>
  <c r="AO176" i="41"/>
  <c r="AN176" i="41"/>
  <c r="AJ176" i="41"/>
  <c r="AB176" i="41"/>
  <c r="Z176" i="41"/>
  <c r="X176" i="41"/>
  <c r="U176" i="41"/>
  <c r="V176" i="41" s="1"/>
  <c r="AM176" i="41" s="1"/>
  <c r="R176" i="41"/>
  <c r="P176" i="41"/>
  <c r="M176" i="41"/>
  <c r="N176" i="41" s="1"/>
  <c r="I176" i="41"/>
  <c r="H176" i="41"/>
  <c r="F176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J175" i="41"/>
  <c r="AB175" i="41"/>
  <c r="Z175" i="41"/>
  <c r="X175" i="41"/>
  <c r="U175" i="41"/>
  <c r="V175" i="41" s="1"/>
  <c r="AM175" i="41" s="1"/>
  <c r="R175" i="41"/>
  <c r="P175" i="41"/>
  <c r="M175" i="41"/>
  <c r="N175" i="41" s="1"/>
  <c r="I175" i="41"/>
  <c r="H175" i="41"/>
  <c r="F175" i="41"/>
  <c r="BC174" i="41"/>
  <c r="BB174" i="41"/>
  <c r="BA174" i="41"/>
  <c r="AZ174" i="41"/>
  <c r="AY174" i="41"/>
  <c r="AX174" i="41"/>
  <c r="AW174" i="41"/>
  <c r="AV174" i="41"/>
  <c r="AU174" i="41"/>
  <c r="AT174" i="41"/>
  <c r="AS174" i="41"/>
  <c r="AR174" i="41"/>
  <c r="AQ174" i="41"/>
  <c r="AP174" i="41"/>
  <c r="AO174" i="41"/>
  <c r="AN174" i="41"/>
  <c r="AJ174" i="41"/>
  <c r="AB174" i="41"/>
  <c r="Z174" i="41"/>
  <c r="X174" i="41"/>
  <c r="U174" i="41"/>
  <c r="V174" i="41" s="1"/>
  <c r="AM174" i="41" s="1"/>
  <c r="R174" i="41"/>
  <c r="P174" i="41"/>
  <c r="M174" i="41"/>
  <c r="N174" i="41" s="1"/>
  <c r="H174" i="41"/>
  <c r="F174" i="41"/>
  <c r="BC173" i="41"/>
  <c r="BB173" i="41"/>
  <c r="BA173" i="41"/>
  <c r="AZ173" i="41"/>
  <c r="AY173" i="41"/>
  <c r="AX173" i="41"/>
  <c r="AW173" i="41"/>
  <c r="AV173" i="41"/>
  <c r="AU173" i="41"/>
  <c r="AT173" i="41"/>
  <c r="AS173" i="41"/>
  <c r="AR173" i="41"/>
  <c r="AQ173" i="41"/>
  <c r="AP173" i="41"/>
  <c r="AO173" i="41"/>
  <c r="AN173" i="41"/>
  <c r="AJ173" i="41"/>
  <c r="AB173" i="41"/>
  <c r="Z173" i="41"/>
  <c r="X173" i="41"/>
  <c r="U173" i="41"/>
  <c r="V173" i="41" s="1"/>
  <c r="AM173" i="41" s="1"/>
  <c r="R173" i="41"/>
  <c r="P173" i="41"/>
  <c r="M173" i="41"/>
  <c r="N173" i="41" s="1"/>
  <c r="H173" i="41"/>
  <c r="F173" i="41"/>
  <c r="BC172" i="41"/>
  <c r="BB172" i="41"/>
  <c r="BA172" i="41"/>
  <c r="AZ172" i="41"/>
  <c r="AY172" i="41"/>
  <c r="AX172" i="41"/>
  <c r="AW172" i="41"/>
  <c r="AV172" i="41"/>
  <c r="AU172" i="41"/>
  <c r="AT172" i="41"/>
  <c r="AS172" i="41"/>
  <c r="AR172" i="41"/>
  <c r="AQ172" i="41"/>
  <c r="AP172" i="41"/>
  <c r="AO172" i="41"/>
  <c r="AN172" i="41"/>
  <c r="AJ172" i="41"/>
  <c r="AB172" i="41"/>
  <c r="Z172" i="41"/>
  <c r="X172" i="41"/>
  <c r="U172" i="41"/>
  <c r="V172" i="41" s="1"/>
  <c r="AM172" i="41" s="1"/>
  <c r="R172" i="41"/>
  <c r="P172" i="41"/>
  <c r="M172" i="41"/>
  <c r="N172" i="41" s="1"/>
  <c r="I172" i="41"/>
  <c r="H172" i="41"/>
  <c r="F172" i="41"/>
  <c r="BC171" i="41"/>
  <c r="BB171" i="41"/>
  <c r="BA171" i="41"/>
  <c r="AZ171" i="41"/>
  <c r="AY171" i="41"/>
  <c r="AX171" i="41"/>
  <c r="AW171" i="41"/>
  <c r="AV171" i="41"/>
  <c r="AU171" i="41"/>
  <c r="AT171" i="41"/>
  <c r="AS171" i="41"/>
  <c r="AR171" i="41"/>
  <c r="AQ171" i="41"/>
  <c r="AP171" i="41"/>
  <c r="AO171" i="41"/>
  <c r="AN171" i="41"/>
  <c r="AJ171" i="41"/>
  <c r="AB171" i="41"/>
  <c r="Z171" i="41"/>
  <c r="X171" i="41"/>
  <c r="U171" i="41"/>
  <c r="V171" i="41" s="1"/>
  <c r="AM171" i="41" s="1"/>
  <c r="R171" i="41"/>
  <c r="P171" i="41"/>
  <c r="M171" i="41"/>
  <c r="N171" i="41" s="1"/>
  <c r="I171" i="41"/>
  <c r="H171" i="41"/>
  <c r="F171" i="41"/>
  <c r="BC170" i="41"/>
  <c r="BB170" i="41"/>
  <c r="BA170" i="41"/>
  <c r="AZ170" i="41"/>
  <c r="AY170" i="41"/>
  <c r="AX170" i="41"/>
  <c r="AW170" i="41"/>
  <c r="AV170" i="41"/>
  <c r="AU170" i="41"/>
  <c r="AT170" i="41"/>
  <c r="AS170" i="41"/>
  <c r="AR170" i="41"/>
  <c r="AQ170" i="41"/>
  <c r="AP170" i="41"/>
  <c r="AO170" i="41"/>
  <c r="AN170" i="41"/>
  <c r="AJ170" i="41"/>
  <c r="AB170" i="41"/>
  <c r="Z170" i="41"/>
  <c r="X170" i="41"/>
  <c r="U170" i="41"/>
  <c r="V170" i="41" s="1"/>
  <c r="AM170" i="41" s="1"/>
  <c r="R170" i="41"/>
  <c r="P170" i="41"/>
  <c r="M170" i="41"/>
  <c r="N170" i="41" s="1"/>
  <c r="H170" i="41"/>
  <c r="F170" i="41"/>
  <c r="BC169" i="41"/>
  <c r="BB169" i="41"/>
  <c r="BA169" i="41"/>
  <c r="AZ169" i="41"/>
  <c r="AY169" i="41"/>
  <c r="AX169" i="41"/>
  <c r="AW169" i="41"/>
  <c r="AV169" i="41"/>
  <c r="AU169" i="41"/>
  <c r="AT169" i="41"/>
  <c r="AS169" i="41"/>
  <c r="AR169" i="41"/>
  <c r="AQ169" i="41"/>
  <c r="AP169" i="41"/>
  <c r="AO169" i="41"/>
  <c r="AN169" i="41"/>
  <c r="AJ169" i="41"/>
  <c r="AB169" i="41"/>
  <c r="Z169" i="41"/>
  <c r="X169" i="41"/>
  <c r="U169" i="41"/>
  <c r="V169" i="41" s="1"/>
  <c r="AM169" i="41" s="1"/>
  <c r="R169" i="41"/>
  <c r="P169" i="41"/>
  <c r="M169" i="41"/>
  <c r="N169" i="41" s="1"/>
  <c r="H169" i="41"/>
  <c r="F169" i="41"/>
  <c r="BC168" i="41"/>
  <c r="BB168" i="41"/>
  <c r="BA168" i="41"/>
  <c r="AZ168" i="41"/>
  <c r="AY168" i="41"/>
  <c r="AX168" i="41"/>
  <c r="AW168" i="41"/>
  <c r="AV168" i="41"/>
  <c r="AU168" i="41"/>
  <c r="AT168" i="41"/>
  <c r="AS168" i="41"/>
  <c r="AR168" i="41"/>
  <c r="AQ168" i="41"/>
  <c r="AP168" i="41"/>
  <c r="AO168" i="41"/>
  <c r="AN168" i="41"/>
  <c r="AJ168" i="41"/>
  <c r="AB168" i="41"/>
  <c r="Z168" i="41"/>
  <c r="X168" i="41"/>
  <c r="U168" i="41"/>
  <c r="V168" i="41" s="1"/>
  <c r="AM168" i="41" s="1"/>
  <c r="R168" i="41"/>
  <c r="P168" i="41"/>
  <c r="M168" i="41"/>
  <c r="N168" i="41" s="1"/>
  <c r="I168" i="41"/>
  <c r="H168" i="41"/>
  <c r="F168" i="41"/>
  <c r="BC167" i="41"/>
  <c r="BB167" i="41"/>
  <c r="BA167" i="41"/>
  <c r="AZ167" i="41"/>
  <c r="AY167" i="41"/>
  <c r="AX167" i="41"/>
  <c r="AW167" i="41"/>
  <c r="AV167" i="41"/>
  <c r="AU167" i="41"/>
  <c r="AT167" i="41"/>
  <c r="AS167" i="41"/>
  <c r="AR167" i="41"/>
  <c r="AQ167" i="41"/>
  <c r="AP167" i="41"/>
  <c r="AO167" i="41"/>
  <c r="AN167" i="41"/>
  <c r="AJ167" i="41"/>
  <c r="AB167" i="41"/>
  <c r="Z167" i="41"/>
  <c r="X167" i="41"/>
  <c r="U167" i="41"/>
  <c r="V167" i="41" s="1"/>
  <c r="AM167" i="41" s="1"/>
  <c r="R167" i="41"/>
  <c r="P167" i="41"/>
  <c r="M167" i="41"/>
  <c r="N167" i="41" s="1"/>
  <c r="I167" i="41"/>
  <c r="H167" i="41"/>
  <c r="F167" i="41"/>
  <c r="BC166" i="41"/>
  <c r="BB166" i="41"/>
  <c r="BA166" i="41"/>
  <c r="AZ166" i="41"/>
  <c r="AY166" i="41"/>
  <c r="AX166" i="41"/>
  <c r="AW166" i="41"/>
  <c r="AV166" i="41"/>
  <c r="AU166" i="41"/>
  <c r="AT166" i="41"/>
  <c r="AS166" i="41"/>
  <c r="AR166" i="41"/>
  <c r="AQ166" i="41"/>
  <c r="AP166" i="41"/>
  <c r="AO166" i="41"/>
  <c r="AN166" i="41"/>
  <c r="AJ166" i="41"/>
  <c r="AB166" i="41"/>
  <c r="Z166" i="41"/>
  <c r="X166" i="41"/>
  <c r="U166" i="41"/>
  <c r="V166" i="41" s="1"/>
  <c r="AM166" i="41" s="1"/>
  <c r="R166" i="41"/>
  <c r="P166" i="41"/>
  <c r="M166" i="41"/>
  <c r="N166" i="41" s="1"/>
  <c r="I166" i="41"/>
  <c r="H166" i="41"/>
  <c r="F166" i="41"/>
  <c r="BC165" i="41"/>
  <c r="BB165" i="41"/>
  <c r="BA165" i="41"/>
  <c r="AZ165" i="41"/>
  <c r="AY165" i="41"/>
  <c r="AX165" i="41"/>
  <c r="AW165" i="41"/>
  <c r="AV165" i="41"/>
  <c r="AU165" i="41"/>
  <c r="AT165" i="41"/>
  <c r="AS165" i="41"/>
  <c r="AR165" i="41"/>
  <c r="AQ165" i="41"/>
  <c r="AP165" i="41"/>
  <c r="AO165" i="41"/>
  <c r="AN165" i="41"/>
  <c r="AJ165" i="41"/>
  <c r="AB165" i="41"/>
  <c r="Z165" i="41"/>
  <c r="X165" i="41"/>
  <c r="U165" i="41"/>
  <c r="V165" i="41" s="1"/>
  <c r="AM165" i="41" s="1"/>
  <c r="R165" i="41"/>
  <c r="P165" i="41"/>
  <c r="M165" i="41"/>
  <c r="N165" i="41" s="1"/>
  <c r="I165" i="41"/>
  <c r="H165" i="41"/>
  <c r="F165" i="41"/>
  <c r="BC164" i="41"/>
  <c r="BB164" i="41"/>
  <c r="BA164" i="41"/>
  <c r="AZ164" i="41"/>
  <c r="AY164" i="41"/>
  <c r="AX164" i="41"/>
  <c r="AW164" i="41"/>
  <c r="AV164" i="41"/>
  <c r="AU164" i="41"/>
  <c r="AT164" i="41"/>
  <c r="AS164" i="41"/>
  <c r="AR164" i="41"/>
  <c r="AQ164" i="41"/>
  <c r="AP164" i="41"/>
  <c r="AO164" i="41"/>
  <c r="AN164" i="41"/>
  <c r="AJ164" i="41"/>
  <c r="AB164" i="41"/>
  <c r="Z164" i="41"/>
  <c r="X164" i="41"/>
  <c r="U164" i="41"/>
  <c r="V164" i="41" s="1"/>
  <c r="AM164" i="41" s="1"/>
  <c r="R164" i="41"/>
  <c r="P164" i="41"/>
  <c r="M164" i="41"/>
  <c r="N164" i="41" s="1"/>
  <c r="I164" i="41"/>
  <c r="H164" i="41"/>
  <c r="F164" i="41"/>
  <c r="BC163" i="41"/>
  <c r="BB163" i="41"/>
  <c r="BA163" i="41"/>
  <c r="AZ163" i="41"/>
  <c r="AY163" i="41"/>
  <c r="AX163" i="41"/>
  <c r="AW163" i="41"/>
  <c r="AV163" i="41"/>
  <c r="AU163" i="41"/>
  <c r="AT163" i="41"/>
  <c r="AS163" i="41"/>
  <c r="AR163" i="41"/>
  <c r="AQ163" i="41"/>
  <c r="AP163" i="41"/>
  <c r="AO163" i="41"/>
  <c r="AN163" i="41"/>
  <c r="AJ163" i="41"/>
  <c r="AB163" i="41"/>
  <c r="Z163" i="41"/>
  <c r="X163" i="41"/>
  <c r="U163" i="41"/>
  <c r="V163" i="41" s="1"/>
  <c r="AM163" i="41" s="1"/>
  <c r="R163" i="41"/>
  <c r="P163" i="41"/>
  <c r="M163" i="41"/>
  <c r="N163" i="41" s="1"/>
  <c r="H163" i="41"/>
  <c r="F163" i="41"/>
  <c r="BC162" i="41"/>
  <c r="BB162" i="41"/>
  <c r="BA162" i="41"/>
  <c r="AZ162" i="41"/>
  <c r="AY162" i="41"/>
  <c r="AX162" i="41"/>
  <c r="AW162" i="41"/>
  <c r="AV162" i="41"/>
  <c r="AU162" i="41"/>
  <c r="AT162" i="41"/>
  <c r="AS162" i="41"/>
  <c r="AR162" i="41"/>
  <c r="AQ162" i="41"/>
  <c r="AP162" i="41"/>
  <c r="AO162" i="41"/>
  <c r="AN162" i="41"/>
  <c r="AJ162" i="41"/>
  <c r="AB162" i="41"/>
  <c r="Z162" i="41"/>
  <c r="X162" i="41"/>
  <c r="U162" i="41"/>
  <c r="V162" i="41" s="1"/>
  <c r="AM162" i="41" s="1"/>
  <c r="R162" i="41"/>
  <c r="P162" i="41"/>
  <c r="M162" i="41"/>
  <c r="N162" i="41" s="1"/>
  <c r="H162" i="41"/>
  <c r="F162" i="41"/>
  <c r="BC161" i="41"/>
  <c r="BB161" i="41"/>
  <c r="BA161" i="41"/>
  <c r="AZ161" i="41"/>
  <c r="AY161" i="41"/>
  <c r="AX161" i="41"/>
  <c r="AW161" i="41"/>
  <c r="AV161" i="41"/>
  <c r="AU161" i="41"/>
  <c r="AT161" i="41"/>
  <c r="AS161" i="41"/>
  <c r="AR161" i="41"/>
  <c r="AQ161" i="41"/>
  <c r="AP161" i="41"/>
  <c r="AO161" i="41"/>
  <c r="AN161" i="41"/>
  <c r="AJ161" i="41"/>
  <c r="AB161" i="41"/>
  <c r="Z161" i="41"/>
  <c r="X161" i="41"/>
  <c r="U161" i="41"/>
  <c r="V161" i="41" s="1"/>
  <c r="AM161" i="41" s="1"/>
  <c r="R161" i="41"/>
  <c r="P161" i="41"/>
  <c r="M161" i="41"/>
  <c r="N161" i="41" s="1"/>
  <c r="I161" i="41"/>
  <c r="H161" i="41"/>
  <c r="F161" i="41"/>
  <c r="BC160" i="41"/>
  <c r="BB160" i="41"/>
  <c r="BA160" i="41"/>
  <c r="AZ160" i="41"/>
  <c r="AY160" i="41"/>
  <c r="AX160" i="41"/>
  <c r="AW160" i="41"/>
  <c r="AV160" i="41"/>
  <c r="AU160" i="41"/>
  <c r="AT160" i="41"/>
  <c r="AS160" i="41"/>
  <c r="AR160" i="41"/>
  <c r="AQ160" i="41"/>
  <c r="AP160" i="41"/>
  <c r="AO160" i="41"/>
  <c r="AN160" i="41"/>
  <c r="AJ160" i="41"/>
  <c r="AB160" i="41"/>
  <c r="Z160" i="41"/>
  <c r="X160" i="41"/>
  <c r="U160" i="41"/>
  <c r="V160" i="41" s="1"/>
  <c r="AM160" i="41" s="1"/>
  <c r="R160" i="41"/>
  <c r="P160" i="41"/>
  <c r="M160" i="41"/>
  <c r="N160" i="41" s="1"/>
  <c r="I160" i="41"/>
  <c r="H160" i="41"/>
  <c r="F160" i="41"/>
  <c r="BC159" i="41"/>
  <c r="BB159" i="41"/>
  <c r="BA159" i="41"/>
  <c r="AZ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J159" i="41"/>
  <c r="AB159" i="41"/>
  <c r="Z159" i="41"/>
  <c r="X159" i="41"/>
  <c r="U159" i="41"/>
  <c r="V159" i="41" s="1"/>
  <c r="AM159" i="41" s="1"/>
  <c r="R159" i="41"/>
  <c r="P159" i="41"/>
  <c r="M159" i="41"/>
  <c r="N159" i="41" s="1"/>
  <c r="I159" i="41"/>
  <c r="H159" i="41"/>
  <c r="F159" i="41"/>
  <c r="BC158" i="41"/>
  <c r="BB158" i="41"/>
  <c r="BA158" i="41"/>
  <c r="AZ158" i="41"/>
  <c r="AY158" i="41"/>
  <c r="AX158" i="41"/>
  <c r="AW158" i="41"/>
  <c r="AV158" i="41"/>
  <c r="AU158" i="41"/>
  <c r="AT158" i="41"/>
  <c r="AS158" i="41"/>
  <c r="AR158" i="41"/>
  <c r="AQ158" i="41"/>
  <c r="AP158" i="41"/>
  <c r="AO158" i="41"/>
  <c r="AN158" i="41"/>
  <c r="AJ158" i="41"/>
  <c r="AB158" i="41"/>
  <c r="Z158" i="41"/>
  <c r="X158" i="41"/>
  <c r="U158" i="41"/>
  <c r="V158" i="41" s="1"/>
  <c r="AM158" i="41" s="1"/>
  <c r="R158" i="41"/>
  <c r="P158" i="41"/>
  <c r="M158" i="41"/>
  <c r="N158" i="41" s="1"/>
  <c r="H158" i="41"/>
  <c r="F158" i="41"/>
  <c r="BC157" i="41"/>
  <c r="BB157" i="41"/>
  <c r="BA157" i="41"/>
  <c r="AZ157" i="41"/>
  <c r="AY157" i="41"/>
  <c r="AX157" i="41"/>
  <c r="AW157" i="41"/>
  <c r="AV157" i="41"/>
  <c r="AU157" i="41"/>
  <c r="AT157" i="41"/>
  <c r="AS157" i="41"/>
  <c r="AR157" i="41"/>
  <c r="AQ157" i="41"/>
  <c r="AP157" i="41"/>
  <c r="AO157" i="41"/>
  <c r="AN157" i="41"/>
  <c r="AJ157" i="41"/>
  <c r="AB157" i="41"/>
  <c r="Z157" i="41"/>
  <c r="X157" i="41"/>
  <c r="U157" i="41"/>
  <c r="V157" i="41" s="1"/>
  <c r="AM157" i="41" s="1"/>
  <c r="R157" i="41"/>
  <c r="P157" i="41"/>
  <c r="M157" i="41"/>
  <c r="N157" i="41" s="1"/>
  <c r="I157" i="41"/>
  <c r="H157" i="41"/>
  <c r="F157" i="41"/>
  <c r="BC156" i="41"/>
  <c r="BB156" i="41"/>
  <c r="BA156" i="41"/>
  <c r="AZ156" i="41"/>
  <c r="AY156" i="41"/>
  <c r="AX156" i="41"/>
  <c r="AW156" i="41"/>
  <c r="AV156" i="41"/>
  <c r="AU156" i="41"/>
  <c r="AT156" i="41"/>
  <c r="AS156" i="41"/>
  <c r="AR156" i="41"/>
  <c r="AQ156" i="41"/>
  <c r="AP156" i="41"/>
  <c r="AO156" i="41"/>
  <c r="AN156" i="41"/>
  <c r="AJ156" i="41"/>
  <c r="AB156" i="41"/>
  <c r="Z156" i="41"/>
  <c r="X156" i="41"/>
  <c r="U156" i="41"/>
  <c r="V156" i="41" s="1"/>
  <c r="AM156" i="41" s="1"/>
  <c r="R156" i="41"/>
  <c r="P156" i="41"/>
  <c r="M156" i="41"/>
  <c r="N156" i="41" s="1"/>
  <c r="H156" i="41"/>
  <c r="F156" i="41"/>
  <c r="BC155" i="41"/>
  <c r="BB155" i="41"/>
  <c r="BA155" i="41"/>
  <c r="AZ155" i="41"/>
  <c r="AY155" i="41"/>
  <c r="AX155" i="41"/>
  <c r="AW155" i="41"/>
  <c r="AV155" i="41"/>
  <c r="AU155" i="41"/>
  <c r="AT155" i="41"/>
  <c r="AS155" i="41"/>
  <c r="AR155" i="41"/>
  <c r="AQ155" i="41"/>
  <c r="AP155" i="41"/>
  <c r="AO155" i="41"/>
  <c r="AN155" i="41"/>
  <c r="AJ155" i="41"/>
  <c r="AB155" i="41"/>
  <c r="Z155" i="41"/>
  <c r="X155" i="41"/>
  <c r="U155" i="41"/>
  <c r="V155" i="41" s="1"/>
  <c r="AM155" i="41" s="1"/>
  <c r="R155" i="41"/>
  <c r="P155" i="41"/>
  <c r="M155" i="41"/>
  <c r="N155" i="41" s="1"/>
  <c r="I155" i="41"/>
  <c r="H155" i="41"/>
  <c r="F155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J154" i="41"/>
  <c r="AB154" i="41"/>
  <c r="Z154" i="41"/>
  <c r="X154" i="41"/>
  <c r="U154" i="41"/>
  <c r="V154" i="41" s="1"/>
  <c r="AM154" i="41" s="1"/>
  <c r="R154" i="41"/>
  <c r="P154" i="41"/>
  <c r="M154" i="41"/>
  <c r="N154" i="41" s="1"/>
  <c r="I154" i="41"/>
  <c r="H154" i="41"/>
  <c r="F154" i="41"/>
  <c r="BC153" i="41"/>
  <c r="BB153" i="41"/>
  <c r="BA153" i="41"/>
  <c r="AZ153" i="41"/>
  <c r="AY153" i="41"/>
  <c r="AX153" i="41"/>
  <c r="AW153" i="41"/>
  <c r="AV153" i="41"/>
  <c r="AU153" i="41"/>
  <c r="AT153" i="41"/>
  <c r="AS153" i="41"/>
  <c r="AR153" i="41"/>
  <c r="AQ153" i="41"/>
  <c r="AP153" i="41"/>
  <c r="AO153" i="41"/>
  <c r="AN153" i="41"/>
  <c r="AJ153" i="41"/>
  <c r="AB153" i="41"/>
  <c r="Z153" i="41"/>
  <c r="X153" i="41"/>
  <c r="U153" i="41"/>
  <c r="V153" i="41" s="1"/>
  <c r="AM153" i="41" s="1"/>
  <c r="R153" i="41"/>
  <c r="P153" i="41"/>
  <c r="M153" i="41"/>
  <c r="N153" i="41" s="1"/>
  <c r="I153" i="41"/>
  <c r="H153" i="41"/>
  <c r="F153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J152" i="41"/>
  <c r="AB152" i="41"/>
  <c r="Z152" i="41"/>
  <c r="X152" i="41"/>
  <c r="U152" i="41"/>
  <c r="V152" i="41" s="1"/>
  <c r="AM152" i="41" s="1"/>
  <c r="R152" i="41"/>
  <c r="P152" i="41"/>
  <c r="M152" i="41"/>
  <c r="N152" i="41" s="1"/>
  <c r="H152" i="41"/>
  <c r="F152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J151" i="41"/>
  <c r="AB151" i="41"/>
  <c r="Z151" i="41"/>
  <c r="X151" i="41"/>
  <c r="U151" i="41"/>
  <c r="V151" i="41" s="1"/>
  <c r="AM151" i="41" s="1"/>
  <c r="R151" i="41"/>
  <c r="P151" i="41"/>
  <c r="M151" i="41"/>
  <c r="N151" i="41" s="1"/>
  <c r="I151" i="41"/>
  <c r="H151" i="41"/>
  <c r="F151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J150" i="41"/>
  <c r="AB150" i="41"/>
  <c r="Z150" i="41"/>
  <c r="X150" i="41"/>
  <c r="U150" i="41"/>
  <c r="V150" i="41" s="1"/>
  <c r="AM150" i="41" s="1"/>
  <c r="R150" i="41"/>
  <c r="P150" i="41"/>
  <c r="M150" i="41"/>
  <c r="N150" i="41" s="1"/>
  <c r="I150" i="41"/>
  <c r="H150" i="41"/>
  <c r="F150" i="41"/>
  <c r="BC149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J149" i="41"/>
  <c r="AB149" i="41"/>
  <c r="Z149" i="41"/>
  <c r="X149" i="41"/>
  <c r="U149" i="41"/>
  <c r="V149" i="41" s="1"/>
  <c r="AM149" i="41" s="1"/>
  <c r="R149" i="41"/>
  <c r="P149" i="41"/>
  <c r="M149" i="41"/>
  <c r="N149" i="41" s="1"/>
  <c r="I149" i="41"/>
  <c r="H149" i="41"/>
  <c r="F149" i="41"/>
  <c r="BC148" i="41"/>
  <c r="BB148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J148" i="41"/>
  <c r="AB148" i="41"/>
  <c r="Z148" i="41"/>
  <c r="X148" i="41"/>
  <c r="U148" i="41"/>
  <c r="V148" i="41" s="1"/>
  <c r="AM148" i="41" s="1"/>
  <c r="R148" i="41"/>
  <c r="P148" i="41"/>
  <c r="M148" i="41"/>
  <c r="N148" i="41" s="1"/>
  <c r="H148" i="41"/>
  <c r="F148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J147" i="41"/>
  <c r="AB147" i="41"/>
  <c r="Z147" i="41"/>
  <c r="X147" i="41"/>
  <c r="U147" i="41"/>
  <c r="V147" i="41" s="1"/>
  <c r="AM147" i="41" s="1"/>
  <c r="R147" i="41"/>
  <c r="P147" i="41"/>
  <c r="M147" i="41"/>
  <c r="N147" i="41" s="1"/>
  <c r="I147" i="41"/>
  <c r="H147" i="41"/>
  <c r="F147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J146" i="41"/>
  <c r="AB146" i="41"/>
  <c r="Z146" i="41"/>
  <c r="X146" i="41"/>
  <c r="U146" i="41"/>
  <c r="V146" i="41" s="1"/>
  <c r="AM146" i="41" s="1"/>
  <c r="R146" i="41"/>
  <c r="P146" i="41"/>
  <c r="M146" i="41"/>
  <c r="N146" i="41" s="1"/>
  <c r="I146" i="41"/>
  <c r="H146" i="41"/>
  <c r="F146" i="41"/>
  <c r="BC145" i="41"/>
  <c r="BB145" i="41"/>
  <c r="BA145" i="41"/>
  <c r="AZ145" i="41"/>
  <c r="AY145" i="41"/>
  <c r="AX145" i="41"/>
  <c r="AW145" i="41"/>
  <c r="AV145" i="41"/>
  <c r="AU145" i="41"/>
  <c r="AT145" i="41"/>
  <c r="AS145" i="41"/>
  <c r="AR145" i="41"/>
  <c r="AQ145" i="41"/>
  <c r="AP145" i="41"/>
  <c r="AO145" i="41"/>
  <c r="AN145" i="41"/>
  <c r="AJ145" i="41"/>
  <c r="AB145" i="41"/>
  <c r="Z145" i="41"/>
  <c r="X145" i="41"/>
  <c r="U145" i="41"/>
  <c r="V145" i="41" s="1"/>
  <c r="AM145" i="41" s="1"/>
  <c r="R145" i="41"/>
  <c r="P145" i="41"/>
  <c r="M145" i="41"/>
  <c r="N145" i="41" s="1"/>
  <c r="I145" i="41"/>
  <c r="H145" i="41"/>
  <c r="F145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J144" i="41"/>
  <c r="AB144" i="41"/>
  <c r="Z144" i="41"/>
  <c r="X144" i="41"/>
  <c r="U144" i="41"/>
  <c r="V144" i="41" s="1"/>
  <c r="AM144" i="41" s="1"/>
  <c r="R144" i="41"/>
  <c r="P144" i="41"/>
  <c r="M144" i="41"/>
  <c r="N144" i="41" s="1"/>
  <c r="I144" i="41"/>
  <c r="H144" i="41"/>
  <c r="F144" i="41"/>
  <c r="BC143" i="41"/>
  <c r="BB143" i="41"/>
  <c r="BA143" i="41"/>
  <c r="AZ143" i="41"/>
  <c r="AY143" i="41"/>
  <c r="AX143" i="41"/>
  <c r="AW143" i="41"/>
  <c r="AV143" i="41"/>
  <c r="AU143" i="41"/>
  <c r="AT143" i="41"/>
  <c r="AS143" i="41"/>
  <c r="AR143" i="41"/>
  <c r="AQ143" i="41"/>
  <c r="AP143" i="41"/>
  <c r="AO143" i="41"/>
  <c r="AN143" i="41"/>
  <c r="AJ143" i="41"/>
  <c r="AB143" i="41"/>
  <c r="Z143" i="41"/>
  <c r="X143" i="41"/>
  <c r="U143" i="41"/>
  <c r="V143" i="41" s="1"/>
  <c r="AM143" i="41" s="1"/>
  <c r="R143" i="41"/>
  <c r="P143" i="41"/>
  <c r="M143" i="41"/>
  <c r="N143" i="41" s="1"/>
  <c r="I143" i="41"/>
  <c r="H143" i="41"/>
  <c r="F143" i="41"/>
  <c r="BC142" i="41"/>
  <c r="BB142" i="41"/>
  <c r="BA142" i="41"/>
  <c r="AZ142" i="41"/>
  <c r="AY142" i="41"/>
  <c r="AX142" i="41"/>
  <c r="AW142" i="41"/>
  <c r="AV142" i="41"/>
  <c r="AU142" i="41"/>
  <c r="AT142" i="41"/>
  <c r="AS142" i="41"/>
  <c r="AR142" i="41"/>
  <c r="AQ142" i="41"/>
  <c r="AP142" i="41"/>
  <c r="AO142" i="41"/>
  <c r="AN142" i="41"/>
  <c r="AJ142" i="41"/>
  <c r="AB142" i="41"/>
  <c r="Z142" i="41"/>
  <c r="X142" i="41"/>
  <c r="U142" i="41"/>
  <c r="V142" i="41" s="1"/>
  <c r="AM142" i="41" s="1"/>
  <c r="R142" i="41"/>
  <c r="P142" i="41"/>
  <c r="M142" i="41"/>
  <c r="N142" i="41" s="1"/>
  <c r="H142" i="41"/>
  <c r="F142" i="41"/>
  <c r="BC141" i="41"/>
  <c r="BB141" i="41"/>
  <c r="BA141" i="41"/>
  <c r="AZ141" i="41"/>
  <c r="AY141" i="41"/>
  <c r="AX141" i="41"/>
  <c r="AW141" i="41"/>
  <c r="AV141" i="41"/>
  <c r="AU141" i="41"/>
  <c r="AT141" i="41"/>
  <c r="AS141" i="41"/>
  <c r="AR141" i="41"/>
  <c r="AQ141" i="41"/>
  <c r="AP141" i="41"/>
  <c r="AO141" i="41"/>
  <c r="AN141" i="41"/>
  <c r="AJ141" i="41"/>
  <c r="AB141" i="41"/>
  <c r="Z141" i="41"/>
  <c r="X141" i="41"/>
  <c r="U141" i="41"/>
  <c r="V141" i="41" s="1"/>
  <c r="AM141" i="41" s="1"/>
  <c r="R141" i="41"/>
  <c r="P141" i="41"/>
  <c r="M141" i="41"/>
  <c r="N141" i="41" s="1"/>
  <c r="I141" i="41"/>
  <c r="H141" i="41"/>
  <c r="F141" i="41"/>
  <c r="BC140" i="41"/>
  <c r="BB140" i="41"/>
  <c r="BA140" i="41"/>
  <c r="AZ140" i="41"/>
  <c r="AY140" i="41"/>
  <c r="AX140" i="41"/>
  <c r="AW140" i="41"/>
  <c r="AV140" i="41"/>
  <c r="AU140" i="41"/>
  <c r="AT140" i="41"/>
  <c r="AS140" i="41"/>
  <c r="AR140" i="41"/>
  <c r="AQ140" i="41"/>
  <c r="AP140" i="41"/>
  <c r="AO140" i="41"/>
  <c r="AN140" i="41"/>
  <c r="AJ140" i="41"/>
  <c r="AB140" i="41"/>
  <c r="Z140" i="41"/>
  <c r="X140" i="41"/>
  <c r="U140" i="41"/>
  <c r="V140" i="41" s="1"/>
  <c r="AM140" i="41" s="1"/>
  <c r="R140" i="41"/>
  <c r="P140" i="41"/>
  <c r="M140" i="41"/>
  <c r="N140" i="41" s="1"/>
  <c r="I140" i="41"/>
  <c r="H140" i="41"/>
  <c r="F140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J139" i="41"/>
  <c r="AB139" i="41"/>
  <c r="Z139" i="41"/>
  <c r="X139" i="41"/>
  <c r="U139" i="41"/>
  <c r="V139" i="41" s="1"/>
  <c r="AM139" i="41" s="1"/>
  <c r="R139" i="41"/>
  <c r="P139" i="41"/>
  <c r="M139" i="41"/>
  <c r="N139" i="41" s="1"/>
  <c r="I139" i="41"/>
  <c r="H139" i="41"/>
  <c r="F139" i="41"/>
  <c r="BC138" i="41"/>
  <c r="BB138" i="41"/>
  <c r="BA138" i="41"/>
  <c r="AZ138" i="41"/>
  <c r="AY138" i="41"/>
  <c r="AX138" i="41"/>
  <c r="AW138" i="41"/>
  <c r="AV138" i="41"/>
  <c r="AU138" i="41"/>
  <c r="AT138" i="41"/>
  <c r="AS138" i="41"/>
  <c r="AR138" i="41"/>
  <c r="AQ138" i="41"/>
  <c r="AP138" i="41"/>
  <c r="AO138" i="41"/>
  <c r="AN138" i="41"/>
  <c r="AJ138" i="41"/>
  <c r="AB138" i="41"/>
  <c r="Z138" i="41"/>
  <c r="X138" i="41"/>
  <c r="U138" i="41"/>
  <c r="V138" i="41" s="1"/>
  <c r="AM138" i="41" s="1"/>
  <c r="R138" i="41"/>
  <c r="P138" i="41"/>
  <c r="M138" i="41"/>
  <c r="N138" i="41" s="1"/>
  <c r="I138" i="41"/>
  <c r="H138" i="41"/>
  <c r="F138" i="41"/>
  <c r="BC137" i="41"/>
  <c r="BB137" i="41"/>
  <c r="BA137" i="41"/>
  <c r="AZ137" i="41"/>
  <c r="AY137" i="41"/>
  <c r="AX137" i="41"/>
  <c r="AW137" i="41"/>
  <c r="AV137" i="41"/>
  <c r="AU137" i="41"/>
  <c r="AT137" i="41"/>
  <c r="AS137" i="41"/>
  <c r="AR137" i="41"/>
  <c r="AQ137" i="41"/>
  <c r="AP137" i="41"/>
  <c r="AO137" i="41"/>
  <c r="AN137" i="41"/>
  <c r="AJ137" i="41"/>
  <c r="AB137" i="41"/>
  <c r="Z137" i="41"/>
  <c r="X137" i="41"/>
  <c r="U137" i="41"/>
  <c r="V137" i="41" s="1"/>
  <c r="AM137" i="41" s="1"/>
  <c r="R137" i="41"/>
  <c r="P137" i="41"/>
  <c r="M137" i="41"/>
  <c r="N137" i="41" s="1"/>
  <c r="H137" i="41"/>
  <c r="F137" i="41"/>
  <c r="BC136" i="41"/>
  <c r="BB136" i="41"/>
  <c r="BA136" i="41"/>
  <c r="AZ136" i="41"/>
  <c r="AY136" i="41"/>
  <c r="AX136" i="41"/>
  <c r="AW136" i="41"/>
  <c r="AV136" i="41"/>
  <c r="AU136" i="41"/>
  <c r="AT136" i="41"/>
  <c r="AS136" i="41"/>
  <c r="AR136" i="41"/>
  <c r="AQ136" i="41"/>
  <c r="AP136" i="41"/>
  <c r="AO136" i="41"/>
  <c r="AN136" i="41"/>
  <c r="AJ136" i="41"/>
  <c r="AB136" i="41"/>
  <c r="Z136" i="41"/>
  <c r="X136" i="41"/>
  <c r="R136" i="41"/>
  <c r="P136" i="41"/>
  <c r="M136" i="41"/>
  <c r="N136" i="41" s="1"/>
  <c r="G136" i="41"/>
  <c r="H136" i="41" s="1"/>
  <c r="F136" i="41"/>
  <c r="BC135" i="41"/>
  <c r="BB135" i="41"/>
  <c r="BA135" i="41"/>
  <c r="AZ135" i="41"/>
  <c r="AY135" i="41"/>
  <c r="AX135" i="41"/>
  <c r="AW135" i="41"/>
  <c r="AV135" i="41"/>
  <c r="AU135" i="41"/>
  <c r="AT135" i="41"/>
  <c r="AS135" i="41"/>
  <c r="AR135" i="41"/>
  <c r="AQ135" i="41"/>
  <c r="AP135" i="41"/>
  <c r="AO135" i="41"/>
  <c r="AN135" i="41"/>
  <c r="AJ135" i="41"/>
  <c r="AB135" i="41"/>
  <c r="Z135" i="41"/>
  <c r="X135" i="41"/>
  <c r="U135" i="41"/>
  <c r="V135" i="41" s="1"/>
  <c r="AM135" i="41" s="1"/>
  <c r="R135" i="41"/>
  <c r="P135" i="41"/>
  <c r="M135" i="41"/>
  <c r="N135" i="41" s="1"/>
  <c r="I135" i="41"/>
  <c r="H135" i="41"/>
  <c r="F135" i="41"/>
  <c r="BC134" i="41"/>
  <c r="BB134" i="41"/>
  <c r="BA134" i="41"/>
  <c r="AZ134" i="41"/>
  <c r="AY134" i="41"/>
  <c r="AX134" i="41"/>
  <c r="AW134" i="41"/>
  <c r="AV134" i="41"/>
  <c r="AU134" i="41"/>
  <c r="AT134" i="41"/>
  <c r="AS134" i="41"/>
  <c r="AR134" i="41"/>
  <c r="AQ134" i="41"/>
  <c r="AP134" i="41"/>
  <c r="AO134" i="41"/>
  <c r="AN134" i="41"/>
  <c r="AJ134" i="41"/>
  <c r="AB134" i="41"/>
  <c r="Z134" i="41"/>
  <c r="X134" i="41"/>
  <c r="U134" i="41"/>
  <c r="V134" i="41" s="1"/>
  <c r="AM134" i="41" s="1"/>
  <c r="R134" i="41"/>
  <c r="P134" i="41"/>
  <c r="M134" i="41"/>
  <c r="N134" i="41" s="1"/>
  <c r="I134" i="41"/>
  <c r="H134" i="41"/>
  <c r="F134" i="41"/>
  <c r="BC133" i="41"/>
  <c r="BB133" i="41"/>
  <c r="BA133" i="41"/>
  <c r="AZ133" i="41"/>
  <c r="AY133" i="41"/>
  <c r="AX133" i="41"/>
  <c r="AW133" i="41"/>
  <c r="AV133" i="41"/>
  <c r="AU133" i="41"/>
  <c r="AT133" i="41"/>
  <c r="AS133" i="41"/>
  <c r="AR133" i="41"/>
  <c r="AQ133" i="41"/>
  <c r="AP133" i="41"/>
  <c r="AO133" i="41"/>
  <c r="AN133" i="41"/>
  <c r="AJ133" i="41"/>
  <c r="AB133" i="41"/>
  <c r="Z133" i="41"/>
  <c r="X133" i="41"/>
  <c r="U133" i="41"/>
  <c r="V133" i="41" s="1"/>
  <c r="AM133" i="41" s="1"/>
  <c r="R133" i="41"/>
  <c r="P133" i="41"/>
  <c r="M133" i="41"/>
  <c r="N133" i="41" s="1"/>
  <c r="I133" i="41"/>
  <c r="H133" i="41"/>
  <c r="F133" i="41"/>
  <c r="BC132" i="41"/>
  <c r="BB132" i="41"/>
  <c r="BA132" i="41"/>
  <c r="AZ132" i="41"/>
  <c r="AY132" i="41"/>
  <c r="AX132" i="41"/>
  <c r="AW132" i="41"/>
  <c r="AV132" i="41"/>
  <c r="AU132" i="41"/>
  <c r="AT132" i="41"/>
  <c r="AS132" i="41"/>
  <c r="AR132" i="41"/>
  <c r="AQ132" i="41"/>
  <c r="AP132" i="41"/>
  <c r="AO132" i="41"/>
  <c r="AN132" i="41"/>
  <c r="AJ132" i="41"/>
  <c r="AB132" i="41"/>
  <c r="Z132" i="41"/>
  <c r="X132" i="41"/>
  <c r="U132" i="41"/>
  <c r="V132" i="41" s="1"/>
  <c r="AM132" i="41" s="1"/>
  <c r="R132" i="41"/>
  <c r="P132" i="41"/>
  <c r="M132" i="41"/>
  <c r="N132" i="41" s="1"/>
  <c r="I132" i="41"/>
  <c r="H132" i="41"/>
  <c r="F132" i="41"/>
  <c r="BC131" i="41"/>
  <c r="BB131" i="41"/>
  <c r="BA131" i="41"/>
  <c r="AZ131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J131" i="41"/>
  <c r="AB131" i="41"/>
  <c r="Z131" i="41"/>
  <c r="X131" i="41"/>
  <c r="U131" i="41"/>
  <c r="V131" i="41" s="1"/>
  <c r="AM131" i="41" s="1"/>
  <c r="R131" i="41"/>
  <c r="P131" i="41"/>
  <c r="M131" i="41"/>
  <c r="N131" i="41" s="1"/>
  <c r="I131" i="41"/>
  <c r="H131" i="41"/>
  <c r="F131" i="41"/>
  <c r="BC130" i="41"/>
  <c r="BB130" i="41"/>
  <c r="BA130" i="41"/>
  <c r="AZ130" i="41"/>
  <c r="AY130" i="41"/>
  <c r="AX130" i="41"/>
  <c r="AW130" i="41"/>
  <c r="AV130" i="41"/>
  <c r="AU130" i="41"/>
  <c r="AT130" i="41"/>
  <c r="AS130" i="41"/>
  <c r="AR130" i="41"/>
  <c r="AQ130" i="41"/>
  <c r="AP130" i="41"/>
  <c r="AO130" i="41"/>
  <c r="AN130" i="41"/>
  <c r="AJ130" i="41"/>
  <c r="AB130" i="41"/>
  <c r="Z130" i="41"/>
  <c r="X130" i="41"/>
  <c r="U130" i="41"/>
  <c r="V130" i="41" s="1"/>
  <c r="AM130" i="41" s="1"/>
  <c r="R130" i="41"/>
  <c r="P130" i="41"/>
  <c r="M130" i="41"/>
  <c r="N130" i="41" s="1"/>
  <c r="H130" i="41"/>
  <c r="F130" i="41"/>
  <c r="BC129" i="41"/>
  <c r="BB129" i="41"/>
  <c r="BA129" i="41"/>
  <c r="AZ129" i="41"/>
  <c r="AY129" i="41"/>
  <c r="AX129" i="41"/>
  <c r="AW129" i="41"/>
  <c r="AV129" i="41"/>
  <c r="AU129" i="41"/>
  <c r="AT129" i="41"/>
  <c r="AS129" i="41"/>
  <c r="AR129" i="41"/>
  <c r="AQ129" i="41"/>
  <c r="AP129" i="41"/>
  <c r="AO129" i="41"/>
  <c r="AN129" i="41"/>
  <c r="AJ129" i="41"/>
  <c r="AB129" i="41"/>
  <c r="Z129" i="41"/>
  <c r="X129" i="41"/>
  <c r="U129" i="41"/>
  <c r="V129" i="41" s="1"/>
  <c r="AM129" i="41" s="1"/>
  <c r="R129" i="41"/>
  <c r="P129" i="41"/>
  <c r="M129" i="41"/>
  <c r="N129" i="41" s="1"/>
  <c r="I129" i="41"/>
  <c r="H129" i="41"/>
  <c r="F129" i="41"/>
  <c r="BC128" i="41"/>
  <c r="BB128" i="41"/>
  <c r="BA128" i="41"/>
  <c r="AZ128" i="41"/>
  <c r="AY128" i="41"/>
  <c r="AX128" i="41"/>
  <c r="AW128" i="41"/>
  <c r="AV128" i="41"/>
  <c r="AU128" i="41"/>
  <c r="AT128" i="41"/>
  <c r="AS128" i="41"/>
  <c r="AR128" i="41"/>
  <c r="AQ128" i="41"/>
  <c r="AP128" i="41"/>
  <c r="AO128" i="41"/>
  <c r="AN128" i="41"/>
  <c r="AJ128" i="41"/>
  <c r="AB128" i="41"/>
  <c r="Z128" i="41"/>
  <c r="X128" i="41"/>
  <c r="U128" i="41"/>
  <c r="V128" i="41" s="1"/>
  <c r="AM128" i="41" s="1"/>
  <c r="R128" i="41"/>
  <c r="P128" i="41"/>
  <c r="M128" i="41"/>
  <c r="N128" i="41" s="1"/>
  <c r="I128" i="41"/>
  <c r="H128" i="41"/>
  <c r="F128" i="41"/>
  <c r="BC127" i="41"/>
  <c r="BB127" i="41"/>
  <c r="BA127" i="41"/>
  <c r="AZ127" i="41"/>
  <c r="AY127" i="41"/>
  <c r="AX127" i="41"/>
  <c r="AW127" i="41"/>
  <c r="AV127" i="41"/>
  <c r="AU127" i="41"/>
  <c r="AT127" i="41"/>
  <c r="AS127" i="41"/>
  <c r="AR127" i="41"/>
  <c r="AQ127" i="41"/>
  <c r="AP127" i="41"/>
  <c r="AO127" i="41"/>
  <c r="AN127" i="41"/>
  <c r="AJ127" i="41"/>
  <c r="AB127" i="41"/>
  <c r="Z127" i="41"/>
  <c r="X127" i="41"/>
  <c r="U127" i="41"/>
  <c r="V127" i="41" s="1"/>
  <c r="AM127" i="41" s="1"/>
  <c r="R127" i="41"/>
  <c r="P127" i="41"/>
  <c r="M127" i="41"/>
  <c r="N127" i="41" s="1"/>
  <c r="H127" i="41"/>
  <c r="F127" i="41"/>
  <c r="BC126" i="41"/>
  <c r="BB126" i="41"/>
  <c r="BA126" i="41"/>
  <c r="AZ126" i="41"/>
  <c r="AY126" i="41"/>
  <c r="AX126" i="41"/>
  <c r="AW126" i="41"/>
  <c r="AV126" i="41"/>
  <c r="AU126" i="41"/>
  <c r="AT126" i="41"/>
  <c r="AS126" i="41"/>
  <c r="AR126" i="41"/>
  <c r="AQ126" i="41"/>
  <c r="AP126" i="41"/>
  <c r="AO126" i="41"/>
  <c r="AN126" i="41"/>
  <c r="AJ126" i="41"/>
  <c r="AB126" i="41"/>
  <c r="Z126" i="41"/>
  <c r="X126" i="41"/>
  <c r="U126" i="41"/>
  <c r="V126" i="41" s="1"/>
  <c r="AM126" i="41" s="1"/>
  <c r="R126" i="41"/>
  <c r="P126" i="41"/>
  <c r="M126" i="41"/>
  <c r="N126" i="41" s="1"/>
  <c r="H126" i="41"/>
  <c r="F126" i="41"/>
  <c r="BC125" i="41"/>
  <c r="BB125" i="41"/>
  <c r="BA125" i="41"/>
  <c r="AZ125" i="41"/>
  <c r="AY125" i="41"/>
  <c r="AX125" i="41"/>
  <c r="AW125" i="41"/>
  <c r="AV125" i="41"/>
  <c r="AU125" i="41"/>
  <c r="AT125" i="41"/>
  <c r="AS125" i="41"/>
  <c r="AR125" i="41"/>
  <c r="AQ125" i="41"/>
  <c r="AP125" i="41"/>
  <c r="AO125" i="41"/>
  <c r="AN125" i="41"/>
  <c r="AJ125" i="41"/>
  <c r="AB125" i="41"/>
  <c r="Z125" i="41"/>
  <c r="X125" i="41"/>
  <c r="U125" i="41"/>
  <c r="V125" i="41" s="1"/>
  <c r="AM125" i="41" s="1"/>
  <c r="R125" i="41"/>
  <c r="P125" i="41"/>
  <c r="M125" i="41"/>
  <c r="N125" i="41" s="1"/>
  <c r="I125" i="41"/>
  <c r="H125" i="41"/>
  <c r="F125" i="41"/>
  <c r="BC124" i="41"/>
  <c r="BB124" i="41"/>
  <c r="BA124" i="41"/>
  <c r="AZ124" i="41"/>
  <c r="AY124" i="41"/>
  <c r="AX124" i="41"/>
  <c r="AW124" i="41"/>
  <c r="AV124" i="41"/>
  <c r="AU124" i="41"/>
  <c r="AT124" i="41"/>
  <c r="AS124" i="41"/>
  <c r="AR124" i="41"/>
  <c r="AQ124" i="41"/>
  <c r="AP124" i="41"/>
  <c r="AO124" i="41"/>
  <c r="AN124" i="41"/>
  <c r="AJ124" i="41"/>
  <c r="AB124" i="41"/>
  <c r="Z124" i="41"/>
  <c r="X124" i="41"/>
  <c r="U124" i="41"/>
  <c r="V124" i="41" s="1"/>
  <c r="AM124" i="41" s="1"/>
  <c r="R124" i="41"/>
  <c r="P124" i="41"/>
  <c r="M124" i="41"/>
  <c r="N124" i="41" s="1"/>
  <c r="I124" i="41"/>
  <c r="H124" i="41"/>
  <c r="F124" i="41"/>
  <c r="BC123" i="41"/>
  <c r="BB123" i="41"/>
  <c r="BA123" i="41"/>
  <c r="AZ123" i="41"/>
  <c r="AY123" i="41"/>
  <c r="AX123" i="41"/>
  <c r="AW123" i="41"/>
  <c r="AV123" i="41"/>
  <c r="AU123" i="41"/>
  <c r="AT123" i="41"/>
  <c r="AS123" i="41"/>
  <c r="AR123" i="41"/>
  <c r="AQ123" i="41"/>
  <c r="AP123" i="41"/>
  <c r="AO123" i="41"/>
  <c r="AN123" i="41"/>
  <c r="AJ123" i="41"/>
  <c r="AB123" i="41"/>
  <c r="Z123" i="41"/>
  <c r="X123" i="41"/>
  <c r="U123" i="41"/>
  <c r="V123" i="41" s="1"/>
  <c r="AM123" i="41" s="1"/>
  <c r="R123" i="41"/>
  <c r="P123" i="41"/>
  <c r="M123" i="41"/>
  <c r="N123" i="41" s="1"/>
  <c r="I123" i="41"/>
  <c r="H123" i="41"/>
  <c r="F123" i="41"/>
  <c r="BC122" i="41"/>
  <c r="BB122" i="41"/>
  <c r="BA122" i="41"/>
  <c r="AZ122" i="41"/>
  <c r="AY122" i="41"/>
  <c r="AX122" i="41"/>
  <c r="AW122" i="41"/>
  <c r="AV122" i="41"/>
  <c r="AU122" i="41"/>
  <c r="AT122" i="41"/>
  <c r="AS122" i="41"/>
  <c r="AR122" i="41"/>
  <c r="AQ122" i="41"/>
  <c r="AP122" i="41"/>
  <c r="AO122" i="41"/>
  <c r="AN122" i="41"/>
  <c r="AJ122" i="41"/>
  <c r="AB122" i="41"/>
  <c r="Z122" i="41"/>
  <c r="X122" i="41"/>
  <c r="U122" i="41"/>
  <c r="V122" i="41" s="1"/>
  <c r="AM122" i="41" s="1"/>
  <c r="R122" i="41"/>
  <c r="P122" i="41"/>
  <c r="M122" i="41"/>
  <c r="N122" i="41" s="1"/>
  <c r="I122" i="41"/>
  <c r="H122" i="41"/>
  <c r="F122" i="41"/>
  <c r="BC121" i="41"/>
  <c r="BB121" i="41"/>
  <c r="BA121" i="41"/>
  <c r="AZ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J121" i="41"/>
  <c r="AB121" i="41"/>
  <c r="Z121" i="41"/>
  <c r="X121" i="41"/>
  <c r="U121" i="41"/>
  <c r="V121" i="41" s="1"/>
  <c r="AM121" i="41" s="1"/>
  <c r="R121" i="41"/>
  <c r="P121" i="41"/>
  <c r="M121" i="41"/>
  <c r="N121" i="41" s="1"/>
  <c r="I121" i="41"/>
  <c r="H121" i="41"/>
  <c r="F121" i="41"/>
  <c r="BC120" i="41"/>
  <c r="BB120" i="41"/>
  <c r="BA120" i="41"/>
  <c r="AZ120" i="41"/>
  <c r="AY120" i="41"/>
  <c r="AX120" i="41"/>
  <c r="AW120" i="41"/>
  <c r="AV120" i="41"/>
  <c r="AU120" i="41"/>
  <c r="AT120" i="41"/>
  <c r="AS120" i="41"/>
  <c r="AR120" i="41"/>
  <c r="AQ120" i="41"/>
  <c r="AP120" i="41"/>
  <c r="AO120" i="41"/>
  <c r="AN120" i="41"/>
  <c r="AJ120" i="41"/>
  <c r="AB120" i="41"/>
  <c r="Z120" i="41"/>
  <c r="X120" i="41"/>
  <c r="U120" i="41"/>
  <c r="V120" i="41" s="1"/>
  <c r="AM120" i="41" s="1"/>
  <c r="R120" i="41"/>
  <c r="P120" i="41"/>
  <c r="M120" i="41"/>
  <c r="N120" i="41" s="1"/>
  <c r="H120" i="41"/>
  <c r="F120" i="41"/>
  <c r="BC119" i="41"/>
  <c r="BB119" i="41"/>
  <c r="BA119" i="41"/>
  <c r="AZ119" i="41"/>
  <c r="AY119" i="41"/>
  <c r="AX119" i="41"/>
  <c r="AW119" i="41"/>
  <c r="AV119" i="41"/>
  <c r="AU119" i="41"/>
  <c r="AT119" i="41"/>
  <c r="AS119" i="41"/>
  <c r="AR119" i="41"/>
  <c r="AQ119" i="41"/>
  <c r="AP119" i="41"/>
  <c r="AO119" i="41"/>
  <c r="AN119" i="41"/>
  <c r="AJ119" i="41"/>
  <c r="AB119" i="41"/>
  <c r="Z119" i="41"/>
  <c r="X119" i="41"/>
  <c r="U119" i="41"/>
  <c r="V119" i="41" s="1"/>
  <c r="AM119" i="41" s="1"/>
  <c r="R119" i="41"/>
  <c r="P119" i="41"/>
  <c r="M119" i="41"/>
  <c r="N119" i="41" s="1"/>
  <c r="I119" i="41"/>
  <c r="H119" i="41"/>
  <c r="F119" i="41"/>
  <c r="BC118" i="41"/>
  <c r="BB118" i="41"/>
  <c r="BA118" i="41"/>
  <c r="AZ118" i="41"/>
  <c r="AY118" i="41"/>
  <c r="AX118" i="41"/>
  <c r="AW118" i="41"/>
  <c r="AV118" i="41"/>
  <c r="AU118" i="41"/>
  <c r="AT118" i="41"/>
  <c r="AS118" i="41"/>
  <c r="AR118" i="41"/>
  <c r="AQ118" i="41"/>
  <c r="AP118" i="41"/>
  <c r="AO118" i="41"/>
  <c r="AN118" i="41"/>
  <c r="AJ118" i="41"/>
  <c r="AB118" i="41"/>
  <c r="Z118" i="41"/>
  <c r="X118" i="41"/>
  <c r="U118" i="41"/>
  <c r="V118" i="41" s="1"/>
  <c r="AM118" i="41" s="1"/>
  <c r="R118" i="41"/>
  <c r="P118" i="41"/>
  <c r="M118" i="41"/>
  <c r="N118" i="41" s="1"/>
  <c r="H118" i="41"/>
  <c r="F118" i="41"/>
  <c r="BC117" i="41"/>
  <c r="BB117" i="41"/>
  <c r="BA117" i="41"/>
  <c r="AZ117" i="41"/>
  <c r="AY117" i="41"/>
  <c r="AX117" i="41"/>
  <c r="AW117" i="41"/>
  <c r="AV117" i="41"/>
  <c r="AU117" i="41"/>
  <c r="AT117" i="41"/>
  <c r="AS117" i="41"/>
  <c r="AR117" i="41"/>
  <c r="AQ117" i="41"/>
  <c r="AP117" i="41"/>
  <c r="AO117" i="41"/>
  <c r="AN117" i="41"/>
  <c r="AJ117" i="41"/>
  <c r="AB117" i="41"/>
  <c r="Z117" i="41"/>
  <c r="X117" i="41"/>
  <c r="U117" i="41"/>
  <c r="V117" i="41" s="1"/>
  <c r="AM117" i="41" s="1"/>
  <c r="R117" i="41"/>
  <c r="P117" i="41"/>
  <c r="M117" i="41"/>
  <c r="N117" i="41" s="1"/>
  <c r="H117" i="41"/>
  <c r="F117" i="41"/>
  <c r="BC116" i="41"/>
  <c r="BB116" i="41"/>
  <c r="BA116" i="41"/>
  <c r="AZ116" i="41"/>
  <c r="AY116" i="41"/>
  <c r="AX116" i="41"/>
  <c r="AW116" i="41"/>
  <c r="AV116" i="41"/>
  <c r="AU116" i="41"/>
  <c r="AT116" i="41"/>
  <c r="AS116" i="41"/>
  <c r="AR116" i="41"/>
  <c r="AQ116" i="41"/>
  <c r="AP116" i="41"/>
  <c r="AO116" i="41"/>
  <c r="AN116" i="41"/>
  <c r="AJ116" i="41"/>
  <c r="AB116" i="41"/>
  <c r="Z116" i="41"/>
  <c r="X116" i="41"/>
  <c r="U116" i="41"/>
  <c r="V116" i="41" s="1"/>
  <c r="AM116" i="41" s="1"/>
  <c r="R116" i="41"/>
  <c r="P116" i="41"/>
  <c r="M116" i="41"/>
  <c r="N116" i="41" s="1"/>
  <c r="H116" i="41"/>
  <c r="F116" i="41"/>
  <c r="BC115" i="41"/>
  <c r="BB115" i="41"/>
  <c r="BA115" i="41"/>
  <c r="AZ115" i="41"/>
  <c r="AY115" i="41"/>
  <c r="AX115" i="41"/>
  <c r="AW115" i="41"/>
  <c r="AV115" i="41"/>
  <c r="AU115" i="41"/>
  <c r="AT115" i="41"/>
  <c r="AS115" i="41"/>
  <c r="AR115" i="41"/>
  <c r="AQ115" i="41"/>
  <c r="AP115" i="41"/>
  <c r="AO115" i="41"/>
  <c r="AN115" i="41"/>
  <c r="AJ115" i="41"/>
  <c r="AB115" i="41"/>
  <c r="Z115" i="41"/>
  <c r="X115" i="41"/>
  <c r="U115" i="41"/>
  <c r="V115" i="41" s="1"/>
  <c r="AM115" i="41" s="1"/>
  <c r="R115" i="41"/>
  <c r="P115" i="41"/>
  <c r="M115" i="41"/>
  <c r="N115" i="41" s="1"/>
  <c r="H115" i="41"/>
  <c r="F115" i="41"/>
  <c r="BC114" i="41"/>
  <c r="BB114" i="41"/>
  <c r="BA114" i="41"/>
  <c r="AZ114" i="41"/>
  <c r="AY114" i="41"/>
  <c r="AX114" i="41"/>
  <c r="AW114" i="41"/>
  <c r="AV114" i="41"/>
  <c r="AU114" i="41"/>
  <c r="AT114" i="41"/>
  <c r="AS114" i="41"/>
  <c r="AR114" i="41"/>
  <c r="AQ114" i="41"/>
  <c r="AP114" i="41"/>
  <c r="AO114" i="41"/>
  <c r="AN114" i="41"/>
  <c r="AJ114" i="41"/>
  <c r="AB114" i="41"/>
  <c r="Z114" i="41"/>
  <c r="X114" i="41"/>
  <c r="U114" i="41"/>
  <c r="V114" i="41" s="1"/>
  <c r="AM114" i="41" s="1"/>
  <c r="R114" i="41"/>
  <c r="P114" i="41"/>
  <c r="M114" i="41"/>
  <c r="N114" i="41" s="1"/>
  <c r="H114" i="41"/>
  <c r="F114" i="41"/>
  <c r="BC113" i="41"/>
  <c r="BB113" i="41"/>
  <c r="BA113" i="41"/>
  <c r="AZ113" i="41"/>
  <c r="AY113" i="41"/>
  <c r="AX113" i="41"/>
  <c r="AW113" i="41"/>
  <c r="AV113" i="41"/>
  <c r="AU113" i="41"/>
  <c r="AT113" i="41"/>
  <c r="AS113" i="41"/>
  <c r="AR113" i="41"/>
  <c r="AQ113" i="41"/>
  <c r="AP113" i="41"/>
  <c r="AO113" i="41"/>
  <c r="AN113" i="41"/>
  <c r="AJ113" i="41"/>
  <c r="AB113" i="41"/>
  <c r="Z113" i="41"/>
  <c r="X113" i="41"/>
  <c r="U113" i="41"/>
  <c r="V113" i="41" s="1"/>
  <c r="AM113" i="41" s="1"/>
  <c r="R113" i="41"/>
  <c r="P113" i="41"/>
  <c r="M113" i="41"/>
  <c r="N113" i="41" s="1"/>
  <c r="H113" i="41"/>
  <c r="F113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J112" i="41"/>
  <c r="AB112" i="41"/>
  <c r="Z112" i="41"/>
  <c r="X112" i="41"/>
  <c r="U112" i="41"/>
  <c r="V112" i="41" s="1"/>
  <c r="AM112" i="41" s="1"/>
  <c r="R112" i="41"/>
  <c r="P112" i="41"/>
  <c r="M112" i="41"/>
  <c r="N112" i="41" s="1"/>
  <c r="I112" i="41"/>
  <c r="H112" i="41"/>
  <c r="F112" i="41"/>
  <c r="BC111" i="41"/>
  <c r="BB111" i="41"/>
  <c r="BA111" i="41"/>
  <c r="AZ111" i="41"/>
  <c r="AY111" i="41"/>
  <c r="AX111" i="41"/>
  <c r="AW111" i="41"/>
  <c r="AV111" i="41"/>
  <c r="AU111" i="41"/>
  <c r="AT111" i="41"/>
  <c r="AS111" i="41"/>
  <c r="AR111" i="41"/>
  <c r="AQ111" i="41"/>
  <c r="AP111" i="41"/>
  <c r="AO111" i="41"/>
  <c r="AN111" i="41"/>
  <c r="AJ111" i="41"/>
  <c r="AB111" i="41"/>
  <c r="Z111" i="41"/>
  <c r="X111" i="41"/>
  <c r="U111" i="41"/>
  <c r="V111" i="41" s="1"/>
  <c r="AM111" i="41" s="1"/>
  <c r="R111" i="41"/>
  <c r="P111" i="41"/>
  <c r="M111" i="41"/>
  <c r="N111" i="41" s="1"/>
  <c r="I111" i="41"/>
  <c r="H111" i="41"/>
  <c r="F111" i="41"/>
  <c r="BC110" i="41"/>
  <c r="BB110" i="41"/>
  <c r="BA110" i="41"/>
  <c r="AZ110" i="41"/>
  <c r="AY110" i="41"/>
  <c r="AX110" i="41"/>
  <c r="AW110" i="41"/>
  <c r="AV110" i="41"/>
  <c r="AU110" i="41"/>
  <c r="AT110" i="41"/>
  <c r="AS110" i="41"/>
  <c r="AR110" i="41"/>
  <c r="AQ110" i="41"/>
  <c r="AP110" i="41"/>
  <c r="AO110" i="41"/>
  <c r="AN110" i="41"/>
  <c r="AJ110" i="41"/>
  <c r="AB110" i="41"/>
  <c r="Z110" i="41"/>
  <c r="X110" i="41"/>
  <c r="U110" i="41"/>
  <c r="V110" i="41" s="1"/>
  <c r="AM110" i="41" s="1"/>
  <c r="R110" i="41"/>
  <c r="P110" i="41"/>
  <c r="M110" i="41"/>
  <c r="N110" i="41" s="1"/>
  <c r="I110" i="41"/>
  <c r="H110" i="41"/>
  <c r="F110" i="41"/>
  <c r="BC109" i="41"/>
  <c r="BB109" i="41"/>
  <c r="BA109" i="41"/>
  <c r="AZ109" i="41"/>
  <c r="AY109" i="41"/>
  <c r="AX109" i="41"/>
  <c r="AW109" i="41"/>
  <c r="AV109" i="41"/>
  <c r="AU109" i="41"/>
  <c r="AT109" i="41"/>
  <c r="AS109" i="41"/>
  <c r="AR109" i="41"/>
  <c r="AQ109" i="41"/>
  <c r="AP109" i="41"/>
  <c r="AO109" i="41"/>
  <c r="AN109" i="41"/>
  <c r="AJ109" i="41"/>
  <c r="AB109" i="41"/>
  <c r="Z109" i="41"/>
  <c r="X109" i="41"/>
  <c r="U109" i="41"/>
  <c r="V109" i="41" s="1"/>
  <c r="AM109" i="41" s="1"/>
  <c r="R109" i="41"/>
  <c r="P109" i="41"/>
  <c r="M109" i="41"/>
  <c r="N109" i="41" s="1"/>
  <c r="I109" i="41"/>
  <c r="H109" i="41"/>
  <c r="F109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J108" i="41"/>
  <c r="AB108" i="41"/>
  <c r="Z108" i="41"/>
  <c r="X108" i="41"/>
  <c r="U108" i="41"/>
  <c r="V108" i="41" s="1"/>
  <c r="AM108" i="41" s="1"/>
  <c r="R108" i="41"/>
  <c r="P108" i="41"/>
  <c r="M108" i="41"/>
  <c r="N108" i="41" s="1"/>
  <c r="H108" i="41"/>
  <c r="F108" i="41"/>
  <c r="BC107" i="41"/>
  <c r="BB107" i="41"/>
  <c r="BA107" i="41"/>
  <c r="AZ107" i="41"/>
  <c r="AY107" i="41"/>
  <c r="AX107" i="41"/>
  <c r="AW107" i="41"/>
  <c r="AV107" i="41"/>
  <c r="AU107" i="41"/>
  <c r="AT107" i="41"/>
  <c r="AS107" i="41"/>
  <c r="AR107" i="41"/>
  <c r="AQ107" i="41"/>
  <c r="AP107" i="41"/>
  <c r="AO107" i="41"/>
  <c r="AN107" i="41"/>
  <c r="AJ107" i="41"/>
  <c r="AB107" i="41"/>
  <c r="Z107" i="41"/>
  <c r="X107" i="41"/>
  <c r="U107" i="41"/>
  <c r="V107" i="41" s="1"/>
  <c r="AM107" i="41" s="1"/>
  <c r="R107" i="41"/>
  <c r="P107" i="41"/>
  <c r="M107" i="41"/>
  <c r="N107" i="41" s="1"/>
  <c r="I107" i="41"/>
  <c r="H107" i="41"/>
  <c r="F107" i="41"/>
  <c r="BC106" i="41"/>
  <c r="BB106" i="41"/>
  <c r="BA106" i="41"/>
  <c r="AZ106" i="41"/>
  <c r="AY106" i="41"/>
  <c r="AX106" i="41"/>
  <c r="AW106" i="41"/>
  <c r="AV106" i="41"/>
  <c r="AU106" i="41"/>
  <c r="AT106" i="41"/>
  <c r="AS106" i="41"/>
  <c r="AR106" i="41"/>
  <c r="AQ106" i="41"/>
  <c r="AP106" i="41"/>
  <c r="AO106" i="41"/>
  <c r="AN106" i="41"/>
  <c r="AJ106" i="41"/>
  <c r="AB106" i="41"/>
  <c r="Z106" i="41"/>
  <c r="X106" i="41"/>
  <c r="U106" i="41"/>
  <c r="V106" i="41" s="1"/>
  <c r="AM106" i="41" s="1"/>
  <c r="R106" i="41"/>
  <c r="P106" i="41"/>
  <c r="M106" i="41"/>
  <c r="N106" i="41" s="1"/>
  <c r="H106" i="41"/>
  <c r="F106" i="41"/>
  <c r="BC105" i="41"/>
  <c r="BB105" i="41"/>
  <c r="BA105" i="41"/>
  <c r="AZ105" i="41"/>
  <c r="AY105" i="41"/>
  <c r="AX105" i="41"/>
  <c r="AW105" i="41"/>
  <c r="AV105" i="41"/>
  <c r="AU105" i="41"/>
  <c r="AT105" i="41"/>
  <c r="AS105" i="41"/>
  <c r="AR105" i="41"/>
  <c r="AQ105" i="41"/>
  <c r="AP105" i="41"/>
  <c r="AO105" i="41"/>
  <c r="AN105" i="41"/>
  <c r="AJ105" i="41"/>
  <c r="AB105" i="41"/>
  <c r="Z105" i="41"/>
  <c r="X105" i="41"/>
  <c r="U105" i="41"/>
  <c r="V105" i="41" s="1"/>
  <c r="AM105" i="41" s="1"/>
  <c r="R105" i="41"/>
  <c r="P105" i="41"/>
  <c r="M105" i="41"/>
  <c r="N105" i="41" s="1"/>
  <c r="I105" i="41"/>
  <c r="H105" i="41"/>
  <c r="F105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J104" i="41"/>
  <c r="AB104" i="41"/>
  <c r="Z104" i="41"/>
  <c r="X104" i="41"/>
  <c r="U104" i="41"/>
  <c r="V104" i="41" s="1"/>
  <c r="AM104" i="41" s="1"/>
  <c r="R104" i="41"/>
  <c r="P104" i="41"/>
  <c r="M104" i="41"/>
  <c r="N104" i="41" s="1"/>
  <c r="I104" i="41"/>
  <c r="H104" i="41"/>
  <c r="F104" i="41"/>
  <c r="BC103" i="41"/>
  <c r="BB103" i="41"/>
  <c r="BA103" i="41"/>
  <c r="AZ103" i="41"/>
  <c r="AY103" i="41"/>
  <c r="AX103" i="41"/>
  <c r="AW103" i="41"/>
  <c r="AV103" i="41"/>
  <c r="AU103" i="41"/>
  <c r="AT103" i="41"/>
  <c r="AS103" i="41"/>
  <c r="AR103" i="41"/>
  <c r="AQ103" i="41"/>
  <c r="AP103" i="41"/>
  <c r="AO103" i="41"/>
  <c r="AN103" i="41"/>
  <c r="AJ103" i="41"/>
  <c r="AB103" i="41"/>
  <c r="Z103" i="41"/>
  <c r="X103" i="41"/>
  <c r="U103" i="41"/>
  <c r="V103" i="41" s="1"/>
  <c r="AM103" i="41" s="1"/>
  <c r="R103" i="41"/>
  <c r="P103" i="41"/>
  <c r="M103" i="41"/>
  <c r="N103" i="41" s="1"/>
  <c r="I103" i="41"/>
  <c r="H103" i="41"/>
  <c r="F103" i="41"/>
  <c r="BC102" i="41"/>
  <c r="BB102" i="41"/>
  <c r="BA102" i="41"/>
  <c r="AZ102" i="41"/>
  <c r="AY102" i="41"/>
  <c r="AX102" i="41"/>
  <c r="AW102" i="41"/>
  <c r="AV102" i="41"/>
  <c r="AU102" i="41"/>
  <c r="AT102" i="41"/>
  <c r="AS102" i="41"/>
  <c r="AR102" i="41"/>
  <c r="AQ102" i="41"/>
  <c r="AP102" i="41"/>
  <c r="AO102" i="41"/>
  <c r="AN102" i="41"/>
  <c r="AJ102" i="41"/>
  <c r="AB102" i="41"/>
  <c r="Z102" i="41"/>
  <c r="X102" i="41"/>
  <c r="U102" i="41"/>
  <c r="V102" i="41" s="1"/>
  <c r="AM102" i="41" s="1"/>
  <c r="R102" i="41"/>
  <c r="P102" i="41"/>
  <c r="M102" i="41"/>
  <c r="N102" i="41" s="1"/>
  <c r="I102" i="41"/>
  <c r="H102" i="41"/>
  <c r="F102" i="41"/>
  <c r="BC101" i="41"/>
  <c r="BB101" i="41"/>
  <c r="BA101" i="41"/>
  <c r="AZ101" i="41"/>
  <c r="AY101" i="41"/>
  <c r="AX101" i="41"/>
  <c r="AW101" i="41"/>
  <c r="AV101" i="41"/>
  <c r="AU101" i="41"/>
  <c r="AT101" i="41"/>
  <c r="AS101" i="41"/>
  <c r="AR101" i="41"/>
  <c r="AQ101" i="41"/>
  <c r="AP101" i="41"/>
  <c r="AO101" i="41"/>
  <c r="AN101" i="41"/>
  <c r="AJ101" i="41"/>
  <c r="AB101" i="41"/>
  <c r="Z101" i="41"/>
  <c r="X101" i="41"/>
  <c r="U101" i="41"/>
  <c r="V101" i="41" s="1"/>
  <c r="AM101" i="41" s="1"/>
  <c r="R101" i="41"/>
  <c r="P101" i="41"/>
  <c r="M101" i="41"/>
  <c r="N101" i="41" s="1"/>
  <c r="I101" i="41"/>
  <c r="H101" i="41"/>
  <c r="F101" i="41"/>
  <c r="BC100" i="41"/>
  <c r="BB100" i="41"/>
  <c r="BA100" i="41"/>
  <c r="AZ100" i="41"/>
  <c r="AY100" i="41"/>
  <c r="AX100" i="41"/>
  <c r="AW100" i="41"/>
  <c r="AV100" i="41"/>
  <c r="AU100" i="41"/>
  <c r="AT100" i="41"/>
  <c r="AS100" i="41"/>
  <c r="AR100" i="41"/>
  <c r="AQ100" i="41"/>
  <c r="AP100" i="41"/>
  <c r="AO100" i="41"/>
  <c r="AN100" i="41"/>
  <c r="AJ100" i="41"/>
  <c r="AB100" i="41"/>
  <c r="Z100" i="41"/>
  <c r="X100" i="41"/>
  <c r="U100" i="41"/>
  <c r="V100" i="41" s="1"/>
  <c r="AM100" i="41" s="1"/>
  <c r="R100" i="41"/>
  <c r="P100" i="41"/>
  <c r="M100" i="41"/>
  <c r="N100" i="41" s="1"/>
  <c r="H100" i="41"/>
  <c r="F100" i="41"/>
  <c r="BC99" i="41"/>
  <c r="BB99" i="41"/>
  <c r="BA99" i="41"/>
  <c r="AZ99" i="41"/>
  <c r="AY99" i="41"/>
  <c r="AX99" i="41"/>
  <c r="AW99" i="41"/>
  <c r="AV99" i="41"/>
  <c r="AU99" i="41"/>
  <c r="AT99" i="41"/>
  <c r="AS99" i="41"/>
  <c r="AR99" i="41"/>
  <c r="AQ99" i="41"/>
  <c r="AP99" i="41"/>
  <c r="AO99" i="41"/>
  <c r="AN99" i="41"/>
  <c r="AJ99" i="41"/>
  <c r="AB99" i="41"/>
  <c r="Z99" i="41"/>
  <c r="X99" i="41"/>
  <c r="U99" i="41"/>
  <c r="V99" i="41" s="1"/>
  <c r="AM99" i="41" s="1"/>
  <c r="R99" i="41"/>
  <c r="P99" i="41"/>
  <c r="M99" i="41"/>
  <c r="N99" i="41" s="1"/>
  <c r="I99" i="41"/>
  <c r="H99" i="41"/>
  <c r="F99" i="41"/>
  <c r="BC98" i="41"/>
  <c r="BB98" i="41"/>
  <c r="BA98" i="41"/>
  <c r="AZ98" i="41"/>
  <c r="AY98" i="41"/>
  <c r="AX98" i="41"/>
  <c r="AW98" i="41"/>
  <c r="AV98" i="41"/>
  <c r="AU98" i="41"/>
  <c r="AT98" i="41"/>
  <c r="AS98" i="41"/>
  <c r="AR98" i="41"/>
  <c r="AQ98" i="41"/>
  <c r="AP98" i="41"/>
  <c r="AO98" i="41"/>
  <c r="AN98" i="41"/>
  <c r="AJ98" i="41"/>
  <c r="AB98" i="41"/>
  <c r="Z98" i="41"/>
  <c r="X98" i="41"/>
  <c r="U98" i="41"/>
  <c r="V98" i="41" s="1"/>
  <c r="AM98" i="41" s="1"/>
  <c r="R98" i="41"/>
  <c r="P98" i="41"/>
  <c r="M98" i="41"/>
  <c r="N98" i="41" s="1"/>
  <c r="I98" i="41"/>
  <c r="H98" i="41"/>
  <c r="F98" i="41"/>
  <c r="BC97" i="41"/>
  <c r="BB97" i="41"/>
  <c r="BA97" i="41"/>
  <c r="AZ97" i="41"/>
  <c r="AY97" i="41"/>
  <c r="AX97" i="41"/>
  <c r="AW97" i="41"/>
  <c r="AV97" i="41"/>
  <c r="AU97" i="41"/>
  <c r="AT97" i="41"/>
  <c r="AS97" i="41"/>
  <c r="AR97" i="41"/>
  <c r="AQ97" i="41"/>
  <c r="AP97" i="41"/>
  <c r="AO97" i="41"/>
  <c r="AN97" i="41"/>
  <c r="AJ97" i="41"/>
  <c r="AB97" i="41"/>
  <c r="Z97" i="41"/>
  <c r="X97" i="41"/>
  <c r="U97" i="41"/>
  <c r="V97" i="41" s="1"/>
  <c r="AM97" i="41" s="1"/>
  <c r="R97" i="41"/>
  <c r="P97" i="41"/>
  <c r="M97" i="41"/>
  <c r="N97" i="41" s="1"/>
  <c r="I97" i="41"/>
  <c r="H97" i="41"/>
  <c r="F97" i="4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N96" i="41"/>
  <c r="AJ96" i="41"/>
  <c r="AB96" i="41"/>
  <c r="Z96" i="41"/>
  <c r="X96" i="41"/>
  <c r="U96" i="41"/>
  <c r="V96" i="41" s="1"/>
  <c r="AM96" i="41" s="1"/>
  <c r="R96" i="41"/>
  <c r="P96" i="41"/>
  <c r="M96" i="41"/>
  <c r="N96" i="41" s="1"/>
  <c r="I96" i="41"/>
  <c r="H96" i="41"/>
  <c r="F96" i="41"/>
  <c r="BC95" i="41"/>
  <c r="BB95" i="41"/>
  <c r="BA95" i="41"/>
  <c r="AZ95" i="41"/>
  <c r="AY95" i="41"/>
  <c r="AX95" i="41"/>
  <c r="AW95" i="41"/>
  <c r="AV95" i="41"/>
  <c r="AU95" i="41"/>
  <c r="AT95" i="41"/>
  <c r="AS95" i="41"/>
  <c r="AR95" i="41"/>
  <c r="AQ95" i="41"/>
  <c r="AP95" i="41"/>
  <c r="AO95" i="41"/>
  <c r="AN95" i="41"/>
  <c r="AJ95" i="41"/>
  <c r="AB95" i="41"/>
  <c r="Z95" i="41"/>
  <c r="X95" i="41"/>
  <c r="U95" i="41"/>
  <c r="V95" i="41" s="1"/>
  <c r="AM95" i="41" s="1"/>
  <c r="R95" i="41"/>
  <c r="P95" i="41"/>
  <c r="M95" i="41"/>
  <c r="N95" i="41" s="1"/>
  <c r="H95" i="41"/>
  <c r="F95" i="41"/>
  <c r="BC94" i="41"/>
  <c r="BB94" i="41"/>
  <c r="BA94" i="41"/>
  <c r="AZ94" i="41"/>
  <c r="AY94" i="41"/>
  <c r="AX94" i="41"/>
  <c r="AW94" i="41"/>
  <c r="AV94" i="41"/>
  <c r="AU94" i="41"/>
  <c r="AT94" i="41"/>
  <c r="AS94" i="41"/>
  <c r="AR94" i="41"/>
  <c r="AQ94" i="41"/>
  <c r="AP94" i="41"/>
  <c r="AO94" i="41"/>
  <c r="AN94" i="41"/>
  <c r="AJ94" i="41"/>
  <c r="AB94" i="41"/>
  <c r="Z94" i="41"/>
  <c r="X94" i="41"/>
  <c r="U94" i="41"/>
  <c r="V94" i="41" s="1"/>
  <c r="AM94" i="41" s="1"/>
  <c r="R94" i="41"/>
  <c r="P94" i="41"/>
  <c r="M94" i="41"/>
  <c r="N94" i="41" s="1"/>
  <c r="I94" i="41"/>
  <c r="H94" i="41"/>
  <c r="F94" i="41"/>
  <c r="BC93" i="41"/>
  <c r="BB93" i="41"/>
  <c r="BA93" i="41"/>
  <c r="AZ93" i="41"/>
  <c r="AY93" i="41"/>
  <c r="AX93" i="41"/>
  <c r="AW93" i="41"/>
  <c r="AV93" i="41"/>
  <c r="AU93" i="41"/>
  <c r="AT93" i="41"/>
  <c r="AS93" i="41"/>
  <c r="AR93" i="41"/>
  <c r="AQ93" i="41"/>
  <c r="AP93" i="41"/>
  <c r="AO93" i="41"/>
  <c r="AN93" i="41"/>
  <c r="AJ93" i="41"/>
  <c r="AB93" i="41"/>
  <c r="Z93" i="41"/>
  <c r="X93" i="41"/>
  <c r="U93" i="41"/>
  <c r="V93" i="41" s="1"/>
  <c r="AM93" i="41" s="1"/>
  <c r="R93" i="41"/>
  <c r="P93" i="41"/>
  <c r="M93" i="41"/>
  <c r="N93" i="41" s="1"/>
  <c r="I93" i="41"/>
  <c r="H93" i="41"/>
  <c r="F93" i="41"/>
  <c r="BC92" i="41"/>
  <c r="BB92" i="41"/>
  <c r="BA92" i="41"/>
  <c r="AZ92" i="41"/>
  <c r="AY92" i="41"/>
  <c r="AX92" i="41"/>
  <c r="AW92" i="41"/>
  <c r="AV92" i="41"/>
  <c r="AU92" i="41"/>
  <c r="AT92" i="41"/>
  <c r="AS92" i="41"/>
  <c r="AR92" i="41"/>
  <c r="AQ92" i="41"/>
  <c r="AP92" i="41"/>
  <c r="AO92" i="41"/>
  <c r="AN92" i="41"/>
  <c r="AJ92" i="41"/>
  <c r="AB92" i="41"/>
  <c r="Z92" i="41"/>
  <c r="X92" i="41"/>
  <c r="U92" i="41"/>
  <c r="V92" i="41" s="1"/>
  <c r="AM92" i="41" s="1"/>
  <c r="R92" i="41"/>
  <c r="P92" i="41"/>
  <c r="M92" i="41"/>
  <c r="N92" i="41" s="1"/>
  <c r="I92" i="41"/>
  <c r="H92" i="41"/>
  <c r="F92" i="41"/>
  <c r="BC91" i="41"/>
  <c r="BB91" i="41"/>
  <c r="BA91" i="41"/>
  <c r="AZ91" i="41"/>
  <c r="AY91" i="41"/>
  <c r="AX91" i="41"/>
  <c r="AW91" i="41"/>
  <c r="AV91" i="41"/>
  <c r="AU91" i="41"/>
  <c r="AT91" i="41"/>
  <c r="AS91" i="41"/>
  <c r="AR91" i="41"/>
  <c r="AQ91" i="41"/>
  <c r="AP91" i="41"/>
  <c r="AO91" i="41"/>
  <c r="AN91" i="41"/>
  <c r="AJ91" i="41"/>
  <c r="AB91" i="41"/>
  <c r="Z91" i="41"/>
  <c r="X91" i="41"/>
  <c r="U91" i="41"/>
  <c r="V91" i="41" s="1"/>
  <c r="AM91" i="41" s="1"/>
  <c r="R91" i="41"/>
  <c r="P91" i="41"/>
  <c r="M91" i="41"/>
  <c r="N91" i="41" s="1"/>
  <c r="I91" i="41"/>
  <c r="H91" i="41"/>
  <c r="F91" i="41"/>
  <c r="BC90" i="41"/>
  <c r="BB90" i="41"/>
  <c r="BA90" i="41"/>
  <c r="AZ90" i="41"/>
  <c r="AY90" i="41"/>
  <c r="AX90" i="41"/>
  <c r="AW90" i="41"/>
  <c r="AV90" i="41"/>
  <c r="AU90" i="41"/>
  <c r="AT90" i="41"/>
  <c r="AS90" i="41"/>
  <c r="AR90" i="41"/>
  <c r="AQ90" i="41"/>
  <c r="AP90" i="41"/>
  <c r="AO90" i="41"/>
  <c r="AN90" i="41"/>
  <c r="AJ90" i="41"/>
  <c r="AB90" i="41"/>
  <c r="Z90" i="41"/>
  <c r="X90" i="41"/>
  <c r="U90" i="41"/>
  <c r="V90" i="41" s="1"/>
  <c r="AM90" i="41" s="1"/>
  <c r="R90" i="41"/>
  <c r="P90" i="41"/>
  <c r="M90" i="41"/>
  <c r="N90" i="41" s="1"/>
  <c r="I90" i="41"/>
  <c r="H90" i="41"/>
  <c r="F90" i="41"/>
  <c r="BC89" i="41"/>
  <c r="BB89" i="41"/>
  <c r="BA89" i="41"/>
  <c r="AZ89" i="41"/>
  <c r="AY89" i="41"/>
  <c r="AX89" i="41"/>
  <c r="AW89" i="41"/>
  <c r="AV89" i="41"/>
  <c r="AU89" i="41"/>
  <c r="AT89" i="41"/>
  <c r="AS89" i="41"/>
  <c r="AR89" i="41"/>
  <c r="AQ89" i="41"/>
  <c r="AP89" i="41"/>
  <c r="AO89" i="41"/>
  <c r="AN89" i="41"/>
  <c r="AJ89" i="41"/>
  <c r="AB89" i="41"/>
  <c r="Z89" i="41"/>
  <c r="X89" i="41"/>
  <c r="U89" i="41"/>
  <c r="V89" i="41" s="1"/>
  <c r="AM89" i="41" s="1"/>
  <c r="R89" i="41"/>
  <c r="P89" i="41"/>
  <c r="M89" i="41"/>
  <c r="N89" i="41" s="1"/>
  <c r="I89" i="41"/>
  <c r="H89" i="41"/>
  <c r="F89" i="41"/>
  <c r="BC88" i="41"/>
  <c r="BB88" i="41"/>
  <c r="BA88" i="41"/>
  <c r="AZ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J88" i="41"/>
  <c r="AB88" i="41"/>
  <c r="Z88" i="41"/>
  <c r="X88" i="41"/>
  <c r="U88" i="41"/>
  <c r="V88" i="41" s="1"/>
  <c r="AM88" i="41" s="1"/>
  <c r="R88" i="41"/>
  <c r="P88" i="41"/>
  <c r="M88" i="41"/>
  <c r="N88" i="41" s="1"/>
  <c r="I88" i="41"/>
  <c r="H88" i="41"/>
  <c r="F88" i="41"/>
  <c r="BC87" i="41"/>
  <c r="BB87" i="41"/>
  <c r="BA87" i="41"/>
  <c r="AZ87" i="41"/>
  <c r="AY87" i="41"/>
  <c r="AX87" i="41"/>
  <c r="AW87" i="41"/>
  <c r="AV87" i="41"/>
  <c r="AU87" i="41"/>
  <c r="AT87" i="41"/>
  <c r="AS87" i="41"/>
  <c r="AR87" i="41"/>
  <c r="AQ87" i="41"/>
  <c r="AP87" i="41"/>
  <c r="AO87" i="41"/>
  <c r="AN87" i="41"/>
  <c r="AJ87" i="41"/>
  <c r="AB87" i="41"/>
  <c r="Z87" i="41"/>
  <c r="X87" i="41"/>
  <c r="U87" i="41"/>
  <c r="V87" i="41" s="1"/>
  <c r="AM87" i="41" s="1"/>
  <c r="R87" i="41"/>
  <c r="P87" i="41"/>
  <c r="M87" i="41"/>
  <c r="N87" i="41" s="1"/>
  <c r="I87" i="41"/>
  <c r="H87" i="41"/>
  <c r="F87" i="41"/>
  <c r="BC86" i="41"/>
  <c r="BB86" i="41"/>
  <c r="BA86" i="41"/>
  <c r="AZ86" i="41"/>
  <c r="AY86" i="41"/>
  <c r="AX86" i="41"/>
  <c r="AW86" i="41"/>
  <c r="AV86" i="41"/>
  <c r="AU86" i="41"/>
  <c r="AT86" i="41"/>
  <c r="AS86" i="41"/>
  <c r="AR86" i="41"/>
  <c r="AQ86" i="41"/>
  <c r="AP86" i="41"/>
  <c r="AO86" i="41"/>
  <c r="AN86" i="41"/>
  <c r="AJ86" i="41"/>
  <c r="AB86" i="41"/>
  <c r="Z86" i="41"/>
  <c r="X86" i="41"/>
  <c r="U86" i="41"/>
  <c r="V86" i="41" s="1"/>
  <c r="AM86" i="41" s="1"/>
  <c r="R86" i="41"/>
  <c r="P86" i="41"/>
  <c r="M86" i="41"/>
  <c r="N86" i="41" s="1"/>
  <c r="I86" i="41"/>
  <c r="H86" i="41"/>
  <c r="F86" i="41"/>
  <c r="BC85" i="41"/>
  <c r="BB85" i="41"/>
  <c r="BA85" i="41"/>
  <c r="AZ85" i="41"/>
  <c r="AY85" i="41"/>
  <c r="AX85" i="41"/>
  <c r="AW85" i="41"/>
  <c r="AV85" i="41"/>
  <c r="AU85" i="41"/>
  <c r="AT85" i="41"/>
  <c r="AS85" i="41"/>
  <c r="AR85" i="41"/>
  <c r="AQ85" i="41"/>
  <c r="AP85" i="41"/>
  <c r="AO85" i="41"/>
  <c r="AN85" i="41"/>
  <c r="AJ85" i="41"/>
  <c r="AB85" i="41"/>
  <c r="Z85" i="41"/>
  <c r="X85" i="41"/>
  <c r="U85" i="41"/>
  <c r="V85" i="41" s="1"/>
  <c r="AM85" i="41" s="1"/>
  <c r="R85" i="41"/>
  <c r="P85" i="41"/>
  <c r="M85" i="41"/>
  <c r="N85" i="41" s="1"/>
  <c r="I85" i="41"/>
  <c r="H85" i="41"/>
  <c r="F85" i="41"/>
  <c r="BC84" i="41"/>
  <c r="BB84" i="41"/>
  <c r="BA84" i="41"/>
  <c r="AZ84" i="41"/>
  <c r="AY84" i="41"/>
  <c r="AX84" i="41"/>
  <c r="AW84" i="41"/>
  <c r="AV84" i="41"/>
  <c r="AU84" i="41"/>
  <c r="AT84" i="41"/>
  <c r="AS84" i="41"/>
  <c r="AR84" i="41"/>
  <c r="AQ84" i="41"/>
  <c r="AP84" i="41"/>
  <c r="AO84" i="41"/>
  <c r="AN84" i="41"/>
  <c r="AJ84" i="41"/>
  <c r="AB84" i="41"/>
  <c r="Z84" i="41"/>
  <c r="X84" i="41"/>
  <c r="U84" i="41"/>
  <c r="V84" i="41" s="1"/>
  <c r="AM84" i="41" s="1"/>
  <c r="R84" i="41"/>
  <c r="P84" i="41"/>
  <c r="M84" i="41"/>
  <c r="N84" i="41" s="1"/>
  <c r="I84" i="41"/>
  <c r="H84" i="41"/>
  <c r="F84" i="41"/>
  <c r="BC83" i="41"/>
  <c r="BB83" i="41"/>
  <c r="BA83" i="41"/>
  <c r="AZ83" i="41"/>
  <c r="AY83" i="41"/>
  <c r="AX83" i="41"/>
  <c r="AW83" i="41"/>
  <c r="AV83" i="41"/>
  <c r="AU83" i="41"/>
  <c r="AT83" i="41"/>
  <c r="AS83" i="41"/>
  <c r="AR83" i="41"/>
  <c r="AQ83" i="41"/>
  <c r="AP83" i="41"/>
  <c r="AO83" i="41"/>
  <c r="AN83" i="41"/>
  <c r="AJ83" i="41"/>
  <c r="AB83" i="41"/>
  <c r="Z83" i="41"/>
  <c r="X83" i="41"/>
  <c r="U83" i="41"/>
  <c r="V83" i="41" s="1"/>
  <c r="AM83" i="41" s="1"/>
  <c r="R83" i="41"/>
  <c r="P83" i="41"/>
  <c r="M83" i="41"/>
  <c r="N83" i="41" s="1"/>
  <c r="I83" i="41"/>
  <c r="H83" i="41"/>
  <c r="F83" i="41"/>
  <c r="BC82" i="41"/>
  <c r="BB82" i="41"/>
  <c r="BA82" i="41"/>
  <c r="AZ82" i="41"/>
  <c r="AY82" i="41"/>
  <c r="AX82" i="41"/>
  <c r="AW82" i="41"/>
  <c r="AV82" i="41"/>
  <c r="AU82" i="41"/>
  <c r="AT82" i="41"/>
  <c r="AS82" i="41"/>
  <c r="AR82" i="41"/>
  <c r="AQ82" i="41"/>
  <c r="AP82" i="41"/>
  <c r="AO82" i="41"/>
  <c r="AN82" i="41"/>
  <c r="AJ82" i="41"/>
  <c r="AB82" i="41"/>
  <c r="Z82" i="41"/>
  <c r="X82" i="41"/>
  <c r="U82" i="41"/>
  <c r="V82" i="41" s="1"/>
  <c r="AM82" i="41" s="1"/>
  <c r="R82" i="41"/>
  <c r="P82" i="41"/>
  <c r="M82" i="41"/>
  <c r="N82" i="41" s="1"/>
  <c r="H82" i="41"/>
  <c r="F82" i="41"/>
  <c r="BC81" i="41"/>
  <c r="BB81" i="41"/>
  <c r="BA81" i="41"/>
  <c r="AZ81" i="41"/>
  <c r="AY81" i="41"/>
  <c r="AX81" i="41"/>
  <c r="AW81" i="41"/>
  <c r="AV81" i="41"/>
  <c r="AU81" i="41"/>
  <c r="AT81" i="41"/>
  <c r="AS81" i="41"/>
  <c r="AR81" i="41"/>
  <c r="AQ81" i="41"/>
  <c r="AP81" i="41"/>
  <c r="AO81" i="41"/>
  <c r="AN81" i="41"/>
  <c r="AJ81" i="41"/>
  <c r="AB81" i="41"/>
  <c r="Z81" i="41"/>
  <c r="X81" i="41"/>
  <c r="U81" i="41"/>
  <c r="V81" i="41" s="1"/>
  <c r="AM81" i="41" s="1"/>
  <c r="R81" i="41"/>
  <c r="P81" i="41"/>
  <c r="M81" i="41"/>
  <c r="N81" i="41" s="1"/>
  <c r="I81" i="41"/>
  <c r="H81" i="41"/>
  <c r="F81" i="41"/>
  <c r="BC80" i="41"/>
  <c r="BB80" i="41"/>
  <c r="BA80" i="41"/>
  <c r="AZ80" i="41"/>
  <c r="AY80" i="41"/>
  <c r="AX80" i="41"/>
  <c r="AW80" i="41"/>
  <c r="AV80" i="41"/>
  <c r="AU80" i="41"/>
  <c r="AT80" i="41"/>
  <c r="AS80" i="41"/>
  <c r="AR80" i="41"/>
  <c r="AQ80" i="41"/>
  <c r="AP80" i="41"/>
  <c r="AO80" i="41"/>
  <c r="AN80" i="41"/>
  <c r="AJ80" i="41"/>
  <c r="AB80" i="41"/>
  <c r="Z80" i="41"/>
  <c r="X80" i="41"/>
  <c r="U80" i="41"/>
  <c r="V80" i="41" s="1"/>
  <c r="AM80" i="41" s="1"/>
  <c r="R80" i="41"/>
  <c r="P80" i="41"/>
  <c r="M80" i="41"/>
  <c r="N80" i="41" s="1"/>
  <c r="I80" i="41"/>
  <c r="H80" i="41"/>
  <c r="F80" i="41"/>
  <c r="BC79" i="41"/>
  <c r="BB79" i="41"/>
  <c r="BA79" i="41"/>
  <c r="AZ79" i="41"/>
  <c r="AY79" i="41"/>
  <c r="AX79" i="41"/>
  <c r="AW79" i="41"/>
  <c r="AV79" i="41"/>
  <c r="AU79" i="41"/>
  <c r="AT79" i="41"/>
  <c r="AS79" i="41"/>
  <c r="AR79" i="41"/>
  <c r="AQ79" i="41"/>
  <c r="AP79" i="41"/>
  <c r="AO79" i="41"/>
  <c r="AN79" i="41"/>
  <c r="AJ79" i="41"/>
  <c r="AB79" i="41"/>
  <c r="Z79" i="41"/>
  <c r="X79" i="41"/>
  <c r="U79" i="41"/>
  <c r="V79" i="41" s="1"/>
  <c r="AM79" i="41" s="1"/>
  <c r="R79" i="41"/>
  <c r="P79" i="41"/>
  <c r="M79" i="41"/>
  <c r="N79" i="41" s="1"/>
  <c r="I79" i="41"/>
  <c r="H79" i="41"/>
  <c r="F79" i="41"/>
  <c r="BC78" i="41"/>
  <c r="BB78" i="41"/>
  <c r="BA78" i="41"/>
  <c r="AZ78" i="41"/>
  <c r="AY78" i="41"/>
  <c r="AX78" i="41"/>
  <c r="AW78" i="41"/>
  <c r="AV78" i="41"/>
  <c r="AU78" i="41"/>
  <c r="AT78" i="41"/>
  <c r="AS78" i="41"/>
  <c r="AR78" i="41"/>
  <c r="AQ78" i="41"/>
  <c r="AP78" i="41"/>
  <c r="AO78" i="41"/>
  <c r="AN78" i="41"/>
  <c r="AJ78" i="41"/>
  <c r="AB78" i="41"/>
  <c r="Z78" i="41"/>
  <c r="X78" i="41"/>
  <c r="U78" i="41"/>
  <c r="V78" i="41" s="1"/>
  <c r="AM78" i="41" s="1"/>
  <c r="R78" i="41"/>
  <c r="P78" i="41"/>
  <c r="M78" i="41"/>
  <c r="N78" i="41" s="1"/>
  <c r="I78" i="41"/>
  <c r="H78" i="41"/>
  <c r="F78" i="41"/>
  <c r="BC77" i="41"/>
  <c r="BB77" i="41"/>
  <c r="BA77" i="41"/>
  <c r="AZ77" i="41"/>
  <c r="AY77" i="41"/>
  <c r="AX77" i="41"/>
  <c r="AW77" i="41"/>
  <c r="AV77" i="41"/>
  <c r="AU77" i="41"/>
  <c r="AT77" i="41"/>
  <c r="AS77" i="41"/>
  <c r="AR77" i="41"/>
  <c r="AQ77" i="41"/>
  <c r="AP77" i="41"/>
  <c r="AO77" i="41"/>
  <c r="AN77" i="41"/>
  <c r="AJ77" i="41"/>
  <c r="AB77" i="41"/>
  <c r="Z77" i="41"/>
  <c r="X77" i="41"/>
  <c r="U77" i="41"/>
  <c r="V77" i="41" s="1"/>
  <c r="AM77" i="41" s="1"/>
  <c r="R77" i="41"/>
  <c r="P77" i="41"/>
  <c r="M77" i="41"/>
  <c r="N77" i="41" s="1"/>
  <c r="H77" i="41"/>
  <c r="F77" i="41"/>
  <c r="BC76" i="41"/>
  <c r="BB76" i="41"/>
  <c r="BA76" i="41"/>
  <c r="AZ76" i="41"/>
  <c r="AY76" i="41"/>
  <c r="AX76" i="41"/>
  <c r="AW76" i="41"/>
  <c r="AV76" i="41"/>
  <c r="AU76" i="41"/>
  <c r="AT76" i="41"/>
  <c r="AS76" i="41"/>
  <c r="AR76" i="41"/>
  <c r="AQ76" i="41"/>
  <c r="AP76" i="41"/>
  <c r="AO76" i="41"/>
  <c r="AN76" i="41"/>
  <c r="AJ76" i="41"/>
  <c r="AB76" i="41"/>
  <c r="Z76" i="41"/>
  <c r="X76" i="41"/>
  <c r="U76" i="41"/>
  <c r="V76" i="41" s="1"/>
  <c r="AM76" i="41" s="1"/>
  <c r="R76" i="41"/>
  <c r="P76" i="41"/>
  <c r="M76" i="41"/>
  <c r="N76" i="41" s="1"/>
  <c r="I76" i="41"/>
  <c r="H76" i="41"/>
  <c r="F76" i="41"/>
  <c r="BC75" i="41"/>
  <c r="BB75" i="41"/>
  <c r="BA75" i="41"/>
  <c r="AZ75" i="41"/>
  <c r="AY75" i="41"/>
  <c r="AX75" i="41"/>
  <c r="AW75" i="41"/>
  <c r="AV75" i="41"/>
  <c r="AU75" i="41"/>
  <c r="AT75" i="41"/>
  <c r="AS75" i="41"/>
  <c r="AR75" i="41"/>
  <c r="AQ75" i="41"/>
  <c r="AP75" i="41"/>
  <c r="AO75" i="41"/>
  <c r="AN75" i="41"/>
  <c r="AJ75" i="41"/>
  <c r="AB75" i="41"/>
  <c r="Z75" i="41"/>
  <c r="X75" i="41"/>
  <c r="U75" i="41"/>
  <c r="V75" i="41" s="1"/>
  <c r="AM75" i="41" s="1"/>
  <c r="R75" i="41"/>
  <c r="P75" i="41"/>
  <c r="M75" i="41"/>
  <c r="N75" i="41" s="1"/>
  <c r="I75" i="41"/>
  <c r="H75" i="41"/>
  <c r="F75" i="41"/>
  <c r="BC74" i="41"/>
  <c r="BB74" i="41"/>
  <c r="BA74" i="41"/>
  <c r="AZ74" i="41"/>
  <c r="AY74" i="41"/>
  <c r="AX74" i="41"/>
  <c r="AW74" i="41"/>
  <c r="AV74" i="41"/>
  <c r="AU74" i="41"/>
  <c r="AT74" i="41"/>
  <c r="AS74" i="41"/>
  <c r="AR74" i="41"/>
  <c r="AQ74" i="41"/>
  <c r="AP74" i="41"/>
  <c r="AO74" i="41"/>
  <c r="AN74" i="41"/>
  <c r="AJ74" i="41"/>
  <c r="AB74" i="41"/>
  <c r="Z74" i="41"/>
  <c r="X74" i="41"/>
  <c r="U74" i="41"/>
  <c r="V74" i="41" s="1"/>
  <c r="AM74" i="41" s="1"/>
  <c r="R74" i="41"/>
  <c r="P74" i="41"/>
  <c r="M74" i="41"/>
  <c r="N74" i="41" s="1"/>
  <c r="I74" i="41"/>
  <c r="H74" i="41"/>
  <c r="F74" i="41"/>
  <c r="BC73" i="41"/>
  <c r="BB73" i="41"/>
  <c r="BA73" i="41"/>
  <c r="AZ73" i="41"/>
  <c r="AY73" i="41"/>
  <c r="AX73" i="41"/>
  <c r="AW73" i="41"/>
  <c r="AV73" i="41"/>
  <c r="AU73" i="41"/>
  <c r="AT73" i="41"/>
  <c r="AS73" i="41"/>
  <c r="AR73" i="41"/>
  <c r="AQ73" i="41"/>
  <c r="AP73" i="41"/>
  <c r="AO73" i="41"/>
  <c r="AN73" i="41"/>
  <c r="AJ73" i="41"/>
  <c r="AB73" i="41"/>
  <c r="Z73" i="41"/>
  <c r="X73" i="41"/>
  <c r="U73" i="41"/>
  <c r="V73" i="41" s="1"/>
  <c r="AM73" i="41" s="1"/>
  <c r="R73" i="41"/>
  <c r="P73" i="41"/>
  <c r="M73" i="41"/>
  <c r="N73" i="41" s="1"/>
  <c r="I73" i="41"/>
  <c r="H73" i="41"/>
  <c r="F73" i="41"/>
  <c r="BC72" i="41"/>
  <c r="BB72" i="41"/>
  <c r="BA72" i="41"/>
  <c r="AZ72" i="41"/>
  <c r="AY72" i="41"/>
  <c r="AX72" i="41"/>
  <c r="AW72" i="41"/>
  <c r="AV72" i="41"/>
  <c r="AU72" i="41"/>
  <c r="AT72" i="41"/>
  <c r="AS72" i="41"/>
  <c r="AR72" i="41"/>
  <c r="AQ72" i="41"/>
  <c r="AP72" i="41"/>
  <c r="AO72" i="41"/>
  <c r="AN72" i="41"/>
  <c r="AJ72" i="41"/>
  <c r="AB72" i="41"/>
  <c r="Z72" i="41"/>
  <c r="X72" i="41"/>
  <c r="U72" i="41"/>
  <c r="V72" i="41" s="1"/>
  <c r="AM72" i="41" s="1"/>
  <c r="R72" i="41"/>
  <c r="P72" i="41"/>
  <c r="M72" i="41"/>
  <c r="N72" i="41" s="1"/>
  <c r="I72" i="41"/>
  <c r="H72" i="41"/>
  <c r="F72" i="41"/>
  <c r="BC71" i="41"/>
  <c r="BB71" i="41"/>
  <c r="BA71" i="41"/>
  <c r="AZ71" i="41"/>
  <c r="AY71" i="41"/>
  <c r="AX71" i="41"/>
  <c r="AW71" i="41"/>
  <c r="AV71" i="41"/>
  <c r="AU71" i="41"/>
  <c r="AT71" i="41"/>
  <c r="AS71" i="41"/>
  <c r="AR71" i="41"/>
  <c r="AQ71" i="41"/>
  <c r="AP71" i="41"/>
  <c r="AO71" i="41"/>
  <c r="AN71" i="41"/>
  <c r="AJ71" i="41"/>
  <c r="AB71" i="41"/>
  <c r="Z71" i="41"/>
  <c r="X71" i="41"/>
  <c r="U71" i="41"/>
  <c r="V71" i="41" s="1"/>
  <c r="AM71" i="41" s="1"/>
  <c r="R71" i="41"/>
  <c r="P71" i="41"/>
  <c r="M71" i="41"/>
  <c r="N71" i="41" s="1"/>
  <c r="I71" i="41"/>
  <c r="H71" i="41"/>
  <c r="F71" i="41"/>
  <c r="BC70" i="41"/>
  <c r="BB70" i="41"/>
  <c r="BA70" i="41"/>
  <c r="AZ70" i="41"/>
  <c r="AY70" i="41"/>
  <c r="AX70" i="41"/>
  <c r="AW70" i="41"/>
  <c r="AV70" i="41"/>
  <c r="AU70" i="41"/>
  <c r="AT70" i="41"/>
  <c r="AS70" i="41"/>
  <c r="AR70" i="41"/>
  <c r="AQ70" i="41"/>
  <c r="AP70" i="41"/>
  <c r="AO70" i="41"/>
  <c r="AN70" i="41"/>
  <c r="AJ70" i="41"/>
  <c r="AB70" i="41"/>
  <c r="Z70" i="41"/>
  <c r="X70" i="41"/>
  <c r="U70" i="41"/>
  <c r="V70" i="41" s="1"/>
  <c r="AM70" i="41" s="1"/>
  <c r="R70" i="41"/>
  <c r="P70" i="41"/>
  <c r="M70" i="41"/>
  <c r="N70" i="41" s="1"/>
  <c r="I70" i="41"/>
  <c r="H70" i="41"/>
  <c r="F70" i="41"/>
  <c r="BC69" i="41"/>
  <c r="BB69" i="41"/>
  <c r="BA69" i="41"/>
  <c r="AZ69" i="41"/>
  <c r="AY69" i="41"/>
  <c r="AX69" i="41"/>
  <c r="AW69" i="41"/>
  <c r="AV69" i="41"/>
  <c r="AU69" i="41"/>
  <c r="AT69" i="41"/>
  <c r="AS69" i="41"/>
  <c r="AR69" i="41"/>
  <c r="AQ69" i="41"/>
  <c r="AP69" i="41"/>
  <c r="AO69" i="41"/>
  <c r="AN69" i="41"/>
  <c r="AJ69" i="41"/>
  <c r="AB69" i="41"/>
  <c r="Z69" i="41"/>
  <c r="X69" i="41"/>
  <c r="U69" i="41"/>
  <c r="V69" i="41" s="1"/>
  <c r="AM69" i="41" s="1"/>
  <c r="R69" i="41"/>
  <c r="P69" i="41"/>
  <c r="M69" i="41"/>
  <c r="N69" i="41" s="1"/>
  <c r="I69" i="41"/>
  <c r="H69" i="41"/>
  <c r="F69" i="41"/>
  <c r="BC68" i="41"/>
  <c r="BB68" i="41"/>
  <c r="BA68" i="41"/>
  <c r="AZ68" i="41"/>
  <c r="AY68" i="41"/>
  <c r="AX68" i="41"/>
  <c r="AW68" i="41"/>
  <c r="AV68" i="41"/>
  <c r="AU68" i="41"/>
  <c r="AT68" i="41"/>
  <c r="AS68" i="41"/>
  <c r="AR68" i="41"/>
  <c r="AQ68" i="41"/>
  <c r="AP68" i="41"/>
  <c r="AO68" i="41"/>
  <c r="AN68" i="41"/>
  <c r="AJ68" i="41"/>
  <c r="AB68" i="41"/>
  <c r="Z68" i="41"/>
  <c r="X68" i="41"/>
  <c r="U68" i="41"/>
  <c r="V68" i="41" s="1"/>
  <c r="AM68" i="41" s="1"/>
  <c r="R68" i="41"/>
  <c r="P68" i="41"/>
  <c r="M68" i="41"/>
  <c r="N68" i="41" s="1"/>
  <c r="I68" i="41"/>
  <c r="H68" i="41"/>
  <c r="F68" i="41"/>
  <c r="BC67" i="41"/>
  <c r="BB67" i="41"/>
  <c r="BA67" i="41"/>
  <c r="AZ67" i="41"/>
  <c r="AY67" i="41"/>
  <c r="AX67" i="41"/>
  <c r="AW67" i="41"/>
  <c r="AV67" i="41"/>
  <c r="AU67" i="41"/>
  <c r="AT67" i="41"/>
  <c r="AS67" i="41"/>
  <c r="AR67" i="41"/>
  <c r="AQ67" i="41"/>
  <c r="AP67" i="41"/>
  <c r="AO67" i="41"/>
  <c r="AN67" i="41"/>
  <c r="AJ67" i="41"/>
  <c r="AB67" i="41"/>
  <c r="Z67" i="41"/>
  <c r="X67" i="41"/>
  <c r="U67" i="41"/>
  <c r="V67" i="41" s="1"/>
  <c r="AM67" i="41" s="1"/>
  <c r="R67" i="41"/>
  <c r="P67" i="41"/>
  <c r="M67" i="41"/>
  <c r="N67" i="41" s="1"/>
  <c r="I67" i="41"/>
  <c r="H67" i="41"/>
  <c r="F67" i="41"/>
  <c r="BC66" i="41"/>
  <c r="BB66" i="41"/>
  <c r="BA66" i="41"/>
  <c r="AZ66" i="41"/>
  <c r="AY66" i="41"/>
  <c r="AX66" i="41"/>
  <c r="AW66" i="41"/>
  <c r="AV66" i="41"/>
  <c r="AU66" i="41"/>
  <c r="AT66" i="41"/>
  <c r="AS66" i="41"/>
  <c r="AR66" i="41"/>
  <c r="AQ66" i="41"/>
  <c r="AP66" i="41"/>
  <c r="AO66" i="41"/>
  <c r="AN66" i="41"/>
  <c r="AJ66" i="41"/>
  <c r="AB66" i="41"/>
  <c r="Z66" i="41"/>
  <c r="X66" i="41"/>
  <c r="U66" i="41"/>
  <c r="V66" i="41" s="1"/>
  <c r="AM66" i="41" s="1"/>
  <c r="R66" i="41"/>
  <c r="P66" i="41"/>
  <c r="M66" i="41"/>
  <c r="N66" i="41" s="1"/>
  <c r="I66" i="41"/>
  <c r="H66" i="41"/>
  <c r="F66" i="41"/>
  <c r="BC65" i="41"/>
  <c r="BB65" i="41"/>
  <c r="BA65" i="41"/>
  <c r="AZ65" i="41"/>
  <c r="AY65" i="41"/>
  <c r="AX65" i="41"/>
  <c r="AW65" i="41"/>
  <c r="AV65" i="41"/>
  <c r="AU65" i="41"/>
  <c r="AT65" i="41"/>
  <c r="AS65" i="41"/>
  <c r="AR65" i="41"/>
  <c r="AQ65" i="41"/>
  <c r="AP65" i="41"/>
  <c r="AO65" i="41"/>
  <c r="AN65" i="41"/>
  <c r="AJ65" i="41"/>
  <c r="AB65" i="41"/>
  <c r="Z65" i="41"/>
  <c r="X65" i="41"/>
  <c r="U65" i="41"/>
  <c r="V65" i="41" s="1"/>
  <c r="AM65" i="41" s="1"/>
  <c r="R65" i="41"/>
  <c r="P65" i="41"/>
  <c r="M65" i="41"/>
  <c r="N65" i="41" s="1"/>
  <c r="I65" i="41"/>
  <c r="H65" i="41"/>
  <c r="F65" i="41"/>
  <c r="BC64" i="41"/>
  <c r="BB64" i="41"/>
  <c r="BA64" i="41"/>
  <c r="AZ64" i="41"/>
  <c r="AY64" i="41"/>
  <c r="AX64" i="41"/>
  <c r="AW64" i="41"/>
  <c r="AV64" i="41"/>
  <c r="AU64" i="41"/>
  <c r="AT64" i="41"/>
  <c r="AS64" i="41"/>
  <c r="AR64" i="41"/>
  <c r="AQ64" i="41"/>
  <c r="AP64" i="41"/>
  <c r="AO64" i="41"/>
  <c r="AN64" i="41"/>
  <c r="AJ64" i="41"/>
  <c r="AB64" i="41"/>
  <c r="Z64" i="41"/>
  <c r="X64" i="41"/>
  <c r="U64" i="41"/>
  <c r="V64" i="41" s="1"/>
  <c r="AM64" i="41" s="1"/>
  <c r="R64" i="41"/>
  <c r="P64" i="41"/>
  <c r="M64" i="41"/>
  <c r="N64" i="41" s="1"/>
  <c r="H64" i="41"/>
  <c r="F64" i="41"/>
  <c r="BC63" i="41"/>
  <c r="BB63" i="41"/>
  <c r="BA63" i="41"/>
  <c r="AZ63" i="41"/>
  <c r="AY63" i="41"/>
  <c r="AX63" i="41"/>
  <c r="AW63" i="41"/>
  <c r="AV63" i="41"/>
  <c r="AU63" i="41"/>
  <c r="AT63" i="41"/>
  <c r="AS63" i="41"/>
  <c r="AR63" i="41"/>
  <c r="AQ63" i="41"/>
  <c r="AP63" i="41"/>
  <c r="AO63" i="41"/>
  <c r="AN63" i="41"/>
  <c r="AJ63" i="41"/>
  <c r="AB63" i="41"/>
  <c r="Z63" i="41"/>
  <c r="X63" i="41"/>
  <c r="U63" i="41"/>
  <c r="V63" i="41" s="1"/>
  <c r="AM63" i="41" s="1"/>
  <c r="R63" i="41"/>
  <c r="P63" i="41"/>
  <c r="M63" i="41"/>
  <c r="N63" i="41" s="1"/>
  <c r="I63" i="41"/>
  <c r="H63" i="41"/>
  <c r="F63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J62" i="41"/>
  <c r="AB62" i="41"/>
  <c r="Z62" i="41"/>
  <c r="X62" i="41"/>
  <c r="U62" i="41"/>
  <c r="V62" i="41" s="1"/>
  <c r="AM62" i="41" s="1"/>
  <c r="R62" i="41"/>
  <c r="P62" i="41"/>
  <c r="M62" i="41"/>
  <c r="N62" i="41" s="1"/>
  <c r="I62" i="41"/>
  <c r="H62" i="41"/>
  <c r="F62" i="41"/>
  <c r="BC61" i="41"/>
  <c r="BB61" i="41"/>
  <c r="BA61" i="41"/>
  <c r="AZ61" i="4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J61" i="41"/>
  <c r="AB61" i="41"/>
  <c r="Z61" i="41"/>
  <c r="X61" i="41"/>
  <c r="U61" i="41"/>
  <c r="V61" i="41" s="1"/>
  <c r="AM61" i="41" s="1"/>
  <c r="R61" i="41"/>
  <c r="P61" i="41"/>
  <c r="M61" i="41"/>
  <c r="N61" i="41" s="1"/>
  <c r="I61" i="41"/>
  <c r="H61" i="41"/>
  <c r="F61" i="41"/>
  <c r="BC60" i="41"/>
  <c r="BB60" i="41"/>
  <c r="BA60" i="41"/>
  <c r="AZ60" i="41"/>
  <c r="AY60" i="41"/>
  <c r="AX60" i="41"/>
  <c r="AW60" i="41"/>
  <c r="AV60" i="41"/>
  <c r="AU60" i="41"/>
  <c r="AT60" i="41"/>
  <c r="AS60" i="41"/>
  <c r="AR60" i="41"/>
  <c r="AQ60" i="41"/>
  <c r="AP60" i="41"/>
  <c r="AO60" i="41"/>
  <c r="AN60" i="41"/>
  <c r="AJ60" i="41"/>
  <c r="AB60" i="41"/>
  <c r="Z60" i="41"/>
  <c r="X60" i="41"/>
  <c r="U60" i="41"/>
  <c r="V60" i="41" s="1"/>
  <c r="AM60" i="41" s="1"/>
  <c r="R60" i="41"/>
  <c r="P60" i="41"/>
  <c r="M60" i="41"/>
  <c r="N60" i="41" s="1"/>
  <c r="I60" i="41"/>
  <c r="H60" i="41"/>
  <c r="F60" i="41"/>
  <c r="BC59" i="41"/>
  <c r="BB59" i="41"/>
  <c r="BA59" i="41"/>
  <c r="AZ59" i="41"/>
  <c r="AY59" i="41"/>
  <c r="AX59" i="41"/>
  <c r="AW59" i="41"/>
  <c r="AV59" i="41"/>
  <c r="AU59" i="41"/>
  <c r="AT59" i="41"/>
  <c r="AS59" i="41"/>
  <c r="AR59" i="41"/>
  <c r="AQ59" i="41"/>
  <c r="AP59" i="41"/>
  <c r="AO59" i="41"/>
  <c r="AN59" i="41"/>
  <c r="AJ59" i="41"/>
  <c r="AB59" i="41"/>
  <c r="Z59" i="41"/>
  <c r="X59" i="41"/>
  <c r="U59" i="41"/>
  <c r="V59" i="41" s="1"/>
  <c r="AM59" i="41" s="1"/>
  <c r="R59" i="41"/>
  <c r="P59" i="41"/>
  <c r="M59" i="41"/>
  <c r="N59" i="41" s="1"/>
  <c r="I59" i="41"/>
  <c r="H59" i="41"/>
  <c r="F59" i="41"/>
  <c r="BC58" i="41"/>
  <c r="BB58" i="41"/>
  <c r="BA58" i="41"/>
  <c r="AZ58" i="41"/>
  <c r="AY58" i="41"/>
  <c r="AX58" i="41"/>
  <c r="AW58" i="41"/>
  <c r="AV58" i="41"/>
  <c r="AU58" i="41"/>
  <c r="AT58" i="41"/>
  <c r="AS58" i="41"/>
  <c r="AR58" i="41"/>
  <c r="AQ58" i="41"/>
  <c r="AP58" i="41"/>
  <c r="AO58" i="41"/>
  <c r="AN58" i="41"/>
  <c r="AJ58" i="41"/>
  <c r="AB58" i="41"/>
  <c r="Z58" i="41"/>
  <c r="X58" i="41"/>
  <c r="U58" i="41"/>
  <c r="V58" i="41" s="1"/>
  <c r="AM58" i="41" s="1"/>
  <c r="R58" i="41"/>
  <c r="P58" i="41"/>
  <c r="M58" i="41"/>
  <c r="N58" i="41" s="1"/>
  <c r="I58" i="41"/>
  <c r="H58" i="41"/>
  <c r="F58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J57" i="41"/>
  <c r="AB57" i="41"/>
  <c r="Z57" i="41"/>
  <c r="X57" i="41"/>
  <c r="U57" i="41"/>
  <c r="V57" i="41" s="1"/>
  <c r="AM57" i="41" s="1"/>
  <c r="R57" i="41"/>
  <c r="P57" i="41"/>
  <c r="M57" i="41"/>
  <c r="N57" i="41" s="1"/>
  <c r="I57" i="41"/>
  <c r="H57" i="41"/>
  <c r="F57" i="41"/>
  <c r="BC56" i="41"/>
  <c r="BB56" i="41"/>
  <c r="BA56" i="41"/>
  <c r="AZ56" i="41"/>
  <c r="AY56" i="41"/>
  <c r="AX56" i="41"/>
  <c r="AW56" i="41"/>
  <c r="AV56" i="41"/>
  <c r="AU56" i="41"/>
  <c r="AT56" i="41"/>
  <c r="AS56" i="41"/>
  <c r="AR56" i="41"/>
  <c r="AQ56" i="41"/>
  <c r="AP56" i="41"/>
  <c r="AO56" i="41"/>
  <c r="AN56" i="41"/>
  <c r="AJ56" i="41"/>
  <c r="AB56" i="41"/>
  <c r="Z56" i="41"/>
  <c r="X56" i="41"/>
  <c r="U56" i="41"/>
  <c r="V56" i="41" s="1"/>
  <c r="AM56" i="41" s="1"/>
  <c r="R56" i="41"/>
  <c r="P56" i="41"/>
  <c r="M56" i="41"/>
  <c r="N56" i="41" s="1"/>
  <c r="I56" i="41"/>
  <c r="H56" i="41"/>
  <c r="F56" i="41"/>
  <c r="BC55" i="41"/>
  <c r="BB55" i="41"/>
  <c r="BA55" i="41"/>
  <c r="AZ55" i="41"/>
  <c r="AY55" i="41"/>
  <c r="AX55" i="41"/>
  <c r="AW55" i="41"/>
  <c r="AV55" i="41"/>
  <c r="AU55" i="41"/>
  <c r="AT55" i="41"/>
  <c r="AS55" i="41"/>
  <c r="AR55" i="41"/>
  <c r="AQ55" i="41"/>
  <c r="AP55" i="41"/>
  <c r="AO55" i="41"/>
  <c r="AN55" i="41"/>
  <c r="AJ55" i="41"/>
  <c r="AB55" i="41"/>
  <c r="Z55" i="41"/>
  <c r="X55" i="41"/>
  <c r="U55" i="41"/>
  <c r="V55" i="41" s="1"/>
  <c r="AM55" i="41" s="1"/>
  <c r="R55" i="41"/>
  <c r="P55" i="41"/>
  <c r="M55" i="41"/>
  <c r="N55" i="41" s="1"/>
  <c r="I55" i="41"/>
  <c r="H55" i="41"/>
  <c r="F55" i="41"/>
  <c r="BC54" i="41"/>
  <c r="BB54" i="41"/>
  <c r="BA54" i="41"/>
  <c r="AZ54" i="41"/>
  <c r="AY54" i="41"/>
  <c r="AX54" i="41"/>
  <c r="AW54" i="41"/>
  <c r="AV54" i="41"/>
  <c r="AU54" i="41"/>
  <c r="AT54" i="41"/>
  <c r="AS54" i="41"/>
  <c r="AR54" i="41"/>
  <c r="AQ54" i="41"/>
  <c r="AP54" i="41"/>
  <c r="AO54" i="41"/>
  <c r="AN54" i="41"/>
  <c r="AJ54" i="41"/>
  <c r="AB54" i="41"/>
  <c r="Z54" i="41"/>
  <c r="X54" i="41"/>
  <c r="U54" i="41"/>
  <c r="V54" i="41" s="1"/>
  <c r="AM54" i="41" s="1"/>
  <c r="R54" i="41"/>
  <c r="P54" i="41"/>
  <c r="M54" i="41"/>
  <c r="N54" i="41" s="1"/>
  <c r="I54" i="41"/>
  <c r="H54" i="41"/>
  <c r="F54" i="41"/>
  <c r="BC53" i="41"/>
  <c r="BB53" i="41"/>
  <c r="BA53" i="41"/>
  <c r="AZ53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J53" i="41"/>
  <c r="AB53" i="41"/>
  <c r="Z53" i="41"/>
  <c r="X53" i="41"/>
  <c r="U53" i="41"/>
  <c r="V53" i="41" s="1"/>
  <c r="AM53" i="41" s="1"/>
  <c r="R53" i="41"/>
  <c r="P53" i="41"/>
  <c r="M53" i="41"/>
  <c r="N53" i="41" s="1"/>
  <c r="I53" i="41"/>
  <c r="H53" i="41"/>
  <c r="F53" i="41"/>
  <c r="BC52" i="41"/>
  <c r="BB52" i="41"/>
  <c r="BA52" i="41"/>
  <c r="AZ52" i="41"/>
  <c r="AY52" i="41"/>
  <c r="AX52" i="41"/>
  <c r="AW52" i="41"/>
  <c r="AV52" i="41"/>
  <c r="AU52" i="41"/>
  <c r="AT52" i="41"/>
  <c r="AS52" i="41"/>
  <c r="AR52" i="41"/>
  <c r="AQ52" i="41"/>
  <c r="AP52" i="41"/>
  <c r="AO52" i="41"/>
  <c r="AN52" i="41"/>
  <c r="AJ52" i="41"/>
  <c r="AB52" i="41"/>
  <c r="Z52" i="41"/>
  <c r="X52" i="41"/>
  <c r="U52" i="41"/>
  <c r="V52" i="41" s="1"/>
  <c r="AM52" i="41" s="1"/>
  <c r="R52" i="41"/>
  <c r="P52" i="41"/>
  <c r="M52" i="41"/>
  <c r="N52" i="41" s="1"/>
  <c r="I52" i="41"/>
  <c r="H52" i="41"/>
  <c r="F52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J51" i="41"/>
  <c r="AB51" i="41"/>
  <c r="Z51" i="41"/>
  <c r="X51" i="41"/>
  <c r="U51" i="41"/>
  <c r="V51" i="41" s="1"/>
  <c r="AM51" i="41" s="1"/>
  <c r="R51" i="41"/>
  <c r="P51" i="41"/>
  <c r="M51" i="41"/>
  <c r="N51" i="41" s="1"/>
  <c r="I51" i="41"/>
  <c r="H51" i="41"/>
  <c r="F51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J50" i="41"/>
  <c r="AB50" i="41"/>
  <c r="Z50" i="41"/>
  <c r="X50" i="41"/>
  <c r="U50" i="41"/>
  <c r="V50" i="41" s="1"/>
  <c r="AM50" i="41" s="1"/>
  <c r="R50" i="41"/>
  <c r="P50" i="41"/>
  <c r="M50" i="41"/>
  <c r="N50" i="41" s="1"/>
  <c r="H50" i="41"/>
  <c r="F50" i="41"/>
  <c r="BC49" i="41"/>
  <c r="BB49" i="41"/>
  <c r="BA49" i="41"/>
  <c r="AZ49" i="41"/>
  <c r="AY49" i="41"/>
  <c r="AX49" i="41"/>
  <c r="AW49" i="41"/>
  <c r="AV49" i="41"/>
  <c r="AU49" i="41"/>
  <c r="AT49" i="41"/>
  <c r="AS49" i="41"/>
  <c r="AR49" i="41"/>
  <c r="AQ49" i="41"/>
  <c r="AP49" i="41"/>
  <c r="AO49" i="41"/>
  <c r="AN49" i="41"/>
  <c r="AJ49" i="41"/>
  <c r="AB49" i="41"/>
  <c r="Z49" i="41"/>
  <c r="X49" i="41"/>
  <c r="U49" i="41"/>
  <c r="V49" i="41" s="1"/>
  <c r="AM49" i="41" s="1"/>
  <c r="R49" i="41"/>
  <c r="P49" i="41"/>
  <c r="M49" i="41"/>
  <c r="N49" i="41" s="1"/>
  <c r="H49" i="41"/>
  <c r="F49" i="41"/>
  <c r="BC48" i="41"/>
  <c r="BB48" i="41"/>
  <c r="BA48" i="41"/>
  <c r="AZ48" i="41"/>
  <c r="AY48" i="41"/>
  <c r="AX48" i="41"/>
  <c r="AW48" i="41"/>
  <c r="AV48" i="41"/>
  <c r="AU48" i="41"/>
  <c r="AT48" i="41"/>
  <c r="AS48" i="41"/>
  <c r="AR48" i="41"/>
  <c r="AQ48" i="41"/>
  <c r="AP48" i="41"/>
  <c r="AO48" i="41"/>
  <c r="AN48" i="41"/>
  <c r="AJ48" i="41"/>
  <c r="AB48" i="41"/>
  <c r="Z48" i="41"/>
  <c r="X48" i="41"/>
  <c r="U48" i="41"/>
  <c r="V48" i="41" s="1"/>
  <c r="AM48" i="41" s="1"/>
  <c r="R48" i="41"/>
  <c r="P48" i="41"/>
  <c r="M48" i="41"/>
  <c r="N48" i="41" s="1"/>
  <c r="I48" i="41"/>
  <c r="H48" i="41"/>
  <c r="F48" i="41"/>
  <c r="BC47" i="41"/>
  <c r="BB47" i="41"/>
  <c r="BA47" i="41"/>
  <c r="AZ47" i="41"/>
  <c r="AY47" i="41"/>
  <c r="AX47" i="41"/>
  <c r="AW47" i="41"/>
  <c r="AV47" i="41"/>
  <c r="AU47" i="41"/>
  <c r="AT47" i="41"/>
  <c r="AS47" i="41"/>
  <c r="AR47" i="41"/>
  <c r="AQ47" i="41"/>
  <c r="AP47" i="41"/>
  <c r="AO47" i="41"/>
  <c r="AN47" i="41"/>
  <c r="AJ47" i="41"/>
  <c r="AB47" i="41"/>
  <c r="Z47" i="41"/>
  <c r="X47" i="41"/>
  <c r="U47" i="41"/>
  <c r="V47" i="41" s="1"/>
  <c r="AM47" i="41" s="1"/>
  <c r="R47" i="41"/>
  <c r="P47" i="41"/>
  <c r="M47" i="41"/>
  <c r="N47" i="41" s="1"/>
  <c r="I47" i="41"/>
  <c r="H47" i="41"/>
  <c r="F47" i="41"/>
  <c r="BC46" i="41"/>
  <c r="BB46" i="41"/>
  <c r="BA46" i="41"/>
  <c r="AZ46" i="41"/>
  <c r="AY46" i="41"/>
  <c r="AX46" i="41"/>
  <c r="AW46" i="41"/>
  <c r="AV46" i="41"/>
  <c r="AU46" i="41"/>
  <c r="AT46" i="41"/>
  <c r="AS46" i="41"/>
  <c r="AR46" i="41"/>
  <c r="AQ46" i="41"/>
  <c r="AP46" i="41"/>
  <c r="AO46" i="41"/>
  <c r="AN46" i="41"/>
  <c r="AJ46" i="41"/>
  <c r="AB46" i="41"/>
  <c r="Z46" i="41"/>
  <c r="X46" i="41"/>
  <c r="U46" i="41"/>
  <c r="V46" i="41" s="1"/>
  <c r="AM46" i="41" s="1"/>
  <c r="R46" i="41"/>
  <c r="P46" i="41"/>
  <c r="M46" i="41"/>
  <c r="N46" i="41" s="1"/>
  <c r="I46" i="41"/>
  <c r="H46" i="41"/>
  <c r="F46" i="41"/>
  <c r="BC45" i="41"/>
  <c r="BB45" i="41"/>
  <c r="BA45" i="41"/>
  <c r="AZ45" i="41"/>
  <c r="AY45" i="41"/>
  <c r="AX45" i="41"/>
  <c r="AW45" i="41"/>
  <c r="AV45" i="41"/>
  <c r="AU45" i="41"/>
  <c r="AT45" i="41"/>
  <c r="AS45" i="41"/>
  <c r="AR45" i="41"/>
  <c r="AQ45" i="41"/>
  <c r="AP45" i="41"/>
  <c r="AO45" i="41"/>
  <c r="AN45" i="41"/>
  <c r="AJ45" i="41"/>
  <c r="AB45" i="41"/>
  <c r="Z45" i="41"/>
  <c r="X45" i="41"/>
  <c r="U45" i="41"/>
  <c r="V45" i="41" s="1"/>
  <c r="AM45" i="41" s="1"/>
  <c r="R45" i="41"/>
  <c r="P45" i="41"/>
  <c r="M45" i="41"/>
  <c r="N45" i="41" s="1"/>
  <c r="I45" i="41"/>
  <c r="H45" i="41"/>
  <c r="F45" i="41"/>
  <c r="BC44" i="41"/>
  <c r="BB44" i="41"/>
  <c r="BA44" i="41"/>
  <c r="AZ44" i="41"/>
  <c r="AY44" i="41"/>
  <c r="AX44" i="41"/>
  <c r="AW44" i="41"/>
  <c r="AV44" i="41"/>
  <c r="AU44" i="41"/>
  <c r="AT44" i="41"/>
  <c r="AS44" i="41"/>
  <c r="AR44" i="41"/>
  <c r="AQ44" i="41"/>
  <c r="AP44" i="41"/>
  <c r="AO44" i="41"/>
  <c r="AN44" i="41"/>
  <c r="AJ44" i="41"/>
  <c r="AB44" i="41"/>
  <c r="Z44" i="41"/>
  <c r="X44" i="41"/>
  <c r="U44" i="41"/>
  <c r="V44" i="41" s="1"/>
  <c r="AM44" i="41" s="1"/>
  <c r="R44" i="41"/>
  <c r="P44" i="41"/>
  <c r="M44" i="41"/>
  <c r="N44" i="41" s="1"/>
  <c r="I44" i="41"/>
  <c r="H44" i="41"/>
  <c r="F44" i="41"/>
  <c r="BC43" i="41"/>
  <c r="BB43" i="41"/>
  <c r="BA43" i="41"/>
  <c r="AZ43" i="41"/>
  <c r="AY43" i="41"/>
  <c r="AX43" i="41"/>
  <c r="AW43" i="41"/>
  <c r="AV43" i="41"/>
  <c r="AU43" i="41"/>
  <c r="AT43" i="41"/>
  <c r="AS43" i="41"/>
  <c r="AR43" i="41"/>
  <c r="AQ43" i="41"/>
  <c r="AP43" i="41"/>
  <c r="AO43" i="41"/>
  <c r="AN43" i="41"/>
  <c r="AJ43" i="41"/>
  <c r="AB43" i="41"/>
  <c r="Z43" i="41"/>
  <c r="X43" i="41"/>
  <c r="U43" i="41"/>
  <c r="V43" i="41" s="1"/>
  <c r="AM43" i="41" s="1"/>
  <c r="R43" i="41"/>
  <c r="P43" i="41"/>
  <c r="M43" i="41"/>
  <c r="N43" i="41" s="1"/>
  <c r="I43" i="41"/>
  <c r="H43" i="41"/>
  <c r="F43" i="41"/>
  <c r="BC42" i="41"/>
  <c r="BB42" i="41"/>
  <c r="BA42" i="41"/>
  <c r="AZ42" i="41"/>
  <c r="AY42" i="41"/>
  <c r="AX42" i="41"/>
  <c r="AW42" i="41"/>
  <c r="AV42" i="41"/>
  <c r="AU42" i="41"/>
  <c r="AT42" i="41"/>
  <c r="AS42" i="41"/>
  <c r="AR42" i="41"/>
  <c r="AQ42" i="41"/>
  <c r="AP42" i="41"/>
  <c r="AO42" i="41"/>
  <c r="AN42" i="41"/>
  <c r="AJ42" i="41"/>
  <c r="AB42" i="41"/>
  <c r="Z42" i="41"/>
  <c r="X42" i="41"/>
  <c r="U42" i="41"/>
  <c r="V42" i="41" s="1"/>
  <c r="AM42" i="41" s="1"/>
  <c r="R42" i="41"/>
  <c r="P42" i="41"/>
  <c r="M42" i="41"/>
  <c r="N42" i="41" s="1"/>
  <c r="I42" i="41"/>
  <c r="H42" i="41"/>
  <c r="F42" i="41"/>
  <c r="BC41" i="41"/>
  <c r="BB41" i="41"/>
  <c r="BA41" i="41"/>
  <c r="AZ41" i="41"/>
  <c r="AY41" i="41"/>
  <c r="AX41" i="41"/>
  <c r="AW41" i="41"/>
  <c r="AV41" i="41"/>
  <c r="AU41" i="41"/>
  <c r="AT41" i="41"/>
  <c r="AS41" i="41"/>
  <c r="AR41" i="41"/>
  <c r="AQ41" i="41"/>
  <c r="AP41" i="41"/>
  <c r="AO41" i="41"/>
  <c r="AN41" i="41"/>
  <c r="AJ41" i="41"/>
  <c r="AB41" i="41"/>
  <c r="Z41" i="41"/>
  <c r="X41" i="41"/>
  <c r="U41" i="41"/>
  <c r="V41" i="41" s="1"/>
  <c r="AM41" i="41" s="1"/>
  <c r="R41" i="41"/>
  <c r="P41" i="41"/>
  <c r="M41" i="41"/>
  <c r="N41" i="41" s="1"/>
  <c r="I41" i="41"/>
  <c r="H41" i="41"/>
  <c r="F41" i="41"/>
  <c r="BC40" i="41"/>
  <c r="BB40" i="41"/>
  <c r="BA40" i="41"/>
  <c r="AZ40" i="41"/>
  <c r="AY40" i="41"/>
  <c r="AX40" i="41"/>
  <c r="AW40" i="41"/>
  <c r="AV40" i="41"/>
  <c r="AU40" i="41"/>
  <c r="AT40" i="41"/>
  <c r="AS40" i="41"/>
  <c r="AR40" i="41"/>
  <c r="AQ40" i="41"/>
  <c r="AP40" i="41"/>
  <c r="AO40" i="41"/>
  <c r="AN40" i="41"/>
  <c r="AJ40" i="41"/>
  <c r="AB40" i="41"/>
  <c r="Z40" i="41"/>
  <c r="X40" i="41"/>
  <c r="U40" i="41"/>
  <c r="V40" i="41" s="1"/>
  <c r="AM40" i="41" s="1"/>
  <c r="R40" i="41"/>
  <c r="P40" i="41"/>
  <c r="M40" i="41"/>
  <c r="N40" i="41" s="1"/>
  <c r="I40" i="41"/>
  <c r="H40" i="41"/>
  <c r="F40" i="41"/>
  <c r="BC39" i="41"/>
  <c r="BB39" i="41"/>
  <c r="BA39" i="41"/>
  <c r="AZ39" i="41"/>
  <c r="AY39" i="41"/>
  <c r="AX39" i="41"/>
  <c r="AW39" i="41"/>
  <c r="AV39" i="41"/>
  <c r="AU39" i="41"/>
  <c r="AT39" i="41"/>
  <c r="AS39" i="41"/>
  <c r="AR39" i="41"/>
  <c r="AQ39" i="41"/>
  <c r="AP39" i="41"/>
  <c r="AO39" i="41"/>
  <c r="AN39" i="41"/>
  <c r="AJ39" i="41"/>
  <c r="AB39" i="41"/>
  <c r="Z39" i="41"/>
  <c r="X39" i="41"/>
  <c r="U39" i="41"/>
  <c r="V39" i="41" s="1"/>
  <c r="AM39" i="41" s="1"/>
  <c r="R39" i="41"/>
  <c r="P39" i="41"/>
  <c r="M39" i="41"/>
  <c r="N39" i="41" s="1"/>
  <c r="I39" i="41"/>
  <c r="H39" i="41"/>
  <c r="F39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J38" i="41"/>
  <c r="AB38" i="41"/>
  <c r="Z38" i="41"/>
  <c r="X38" i="41"/>
  <c r="U38" i="41"/>
  <c r="V38" i="41" s="1"/>
  <c r="AM38" i="41" s="1"/>
  <c r="R38" i="41"/>
  <c r="P38" i="41"/>
  <c r="M38" i="41"/>
  <c r="N38" i="41" s="1"/>
  <c r="I38" i="41"/>
  <c r="H38" i="41"/>
  <c r="F38" i="41"/>
  <c r="BC37" i="41"/>
  <c r="BB37" i="41"/>
  <c r="BA37" i="41"/>
  <c r="AZ37" i="41"/>
  <c r="AY37" i="41"/>
  <c r="AX37" i="41"/>
  <c r="AW37" i="41"/>
  <c r="AV37" i="41"/>
  <c r="AU37" i="41"/>
  <c r="AT37" i="41"/>
  <c r="AS37" i="41"/>
  <c r="AR37" i="41"/>
  <c r="AQ37" i="41"/>
  <c r="AP37" i="41"/>
  <c r="AO37" i="41"/>
  <c r="AN37" i="41"/>
  <c r="AJ37" i="41"/>
  <c r="AB37" i="41"/>
  <c r="Z37" i="41"/>
  <c r="X37" i="41"/>
  <c r="U37" i="41"/>
  <c r="V37" i="41" s="1"/>
  <c r="AM37" i="41" s="1"/>
  <c r="R37" i="41"/>
  <c r="P37" i="41"/>
  <c r="M37" i="41"/>
  <c r="N37" i="41" s="1"/>
  <c r="I37" i="41"/>
  <c r="H37" i="41"/>
  <c r="F37" i="41"/>
  <c r="BC36" i="41"/>
  <c r="BB36" i="41"/>
  <c r="BA36" i="41"/>
  <c r="AZ36" i="41"/>
  <c r="AY36" i="41"/>
  <c r="AX36" i="41"/>
  <c r="AW36" i="41"/>
  <c r="AV36" i="41"/>
  <c r="AU36" i="41"/>
  <c r="AT36" i="41"/>
  <c r="AS36" i="41"/>
  <c r="AR36" i="41"/>
  <c r="AQ36" i="41"/>
  <c r="AP36" i="41"/>
  <c r="AO36" i="41"/>
  <c r="AN36" i="41"/>
  <c r="AJ36" i="41"/>
  <c r="AB36" i="41"/>
  <c r="Z36" i="41"/>
  <c r="X36" i="41"/>
  <c r="U36" i="41"/>
  <c r="V36" i="41" s="1"/>
  <c r="AM36" i="41" s="1"/>
  <c r="R36" i="41"/>
  <c r="P36" i="41"/>
  <c r="M36" i="41"/>
  <c r="N36" i="41" s="1"/>
  <c r="I36" i="41"/>
  <c r="H36" i="41"/>
  <c r="F36" i="41"/>
  <c r="BC35" i="41"/>
  <c r="BB35" i="41"/>
  <c r="BA35" i="41"/>
  <c r="AZ35" i="41"/>
  <c r="AY35" i="41"/>
  <c r="AX35" i="41"/>
  <c r="AW35" i="41"/>
  <c r="AV35" i="41"/>
  <c r="AU35" i="41"/>
  <c r="AT35" i="41"/>
  <c r="AS35" i="41"/>
  <c r="AR35" i="41"/>
  <c r="AQ35" i="41"/>
  <c r="AP35" i="41"/>
  <c r="AO35" i="41"/>
  <c r="AN35" i="41"/>
  <c r="AJ35" i="41"/>
  <c r="AB35" i="41"/>
  <c r="Z35" i="41"/>
  <c r="X35" i="41"/>
  <c r="U35" i="41"/>
  <c r="V35" i="41" s="1"/>
  <c r="AM35" i="41" s="1"/>
  <c r="R35" i="41"/>
  <c r="P35" i="41"/>
  <c r="M35" i="41"/>
  <c r="N35" i="41" s="1"/>
  <c r="H35" i="41"/>
  <c r="F35" i="41"/>
  <c r="BC34" i="41"/>
  <c r="BB34" i="41"/>
  <c r="BA34" i="41"/>
  <c r="AZ34" i="41"/>
  <c r="AY34" i="41"/>
  <c r="AX34" i="41"/>
  <c r="AW34" i="41"/>
  <c r="AV34" i="41"/>
  <c r="AU34" i="41"/>
  <c r="AT34" i="41"/>
  <c r="AS34" i="41"/>
  <c r="AR34" i="41"/>
  <c r="AQ34" i="41"/>
  <c r="AP34" i="41"/>
  <c r="AO34" i="41"/>
  <c r="AN34" i="41"/>
  <c r="AJ34" i="41"/>
  <c r="AB34" i="41"/>
  <c r="Z34" i="41"/>
  <c r="X34" i="41"/>
  <c r="U34" i="41"/>
  <c r="V34" i="41" s="1"/>
  <c r="AM34" i="41" s="1"/>
  <c r="R34" i="41"/>
  <c r="P34" i="41"/>
  <c r="M34" i="41"/>
  <c r="N34" i="41" s="1"/>
  <c r="I34" i="41"/>
  <c r="H34" i="41"/>
  <c r="F34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J33" i="41"/>
  <c r="AB33" i="41"/>
  <c r="Z33" i="41"/>
  <c r="X33" i="41"/>
  <c r="U33" i="41"/>
  <c r="V33" i="41" s="1"/>
  <c r="AM33" i="41" s="1"/>
  <c r="R33" i="41"/>
  <c r="P33" i="41"/>
  <c r="M33" i="41"/>
  <c r="N33" i="41" s="1"/>
  <c r="H33" i="41"/>
  <c r="F33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J32" i="41"/>
  <c r="AB32" i="41"/>
  <c r="Z32" i="41"/>
  <c r="X32" i="41"/>
  <c r="U32" i="41"/>
  <c r="V32" i="41" s="1"/>
  <c r="AM32" i="41" s="1"/>
  <c r="R32" i="41"/>
  <c r="P32" i="41"/>
  <c r="M32" i="41"/>
  <c r="N32" i="41" s="1"/>
  <c r="I32" i="41"/>
  <c r="H32" i="41"/>
  <c r="F32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J31" i="41"/>
  <c r="AB31" i="41"/>
  <c r="Z31" i="41"/>
  <c r="X31" i="41"/>
  <c r="U31" i="41"/>
  <c r="V31" i="41" s="1"/>
  <c r="AM31" i="41" s="1"/>
  <c r="R31" i="41"/>
  <c r="P31" i="41"/>
  <c r="M31" i="41"/>
  <c r="N31" i="41" s="1"/>
  <c r="I31" i="41"/>
  <c r="H31" i="41"/>
  <c r="F31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J30" i="41"/>
  <c r="AB30" i="41"/>
  <c r="Z30" i="41"/>
  <c r="X30" i="41"/>
  <c r="U30" i="41"/>
  <c r="V30" i="41" s="1"/>
  <c r="AM30" i="41" s="1"/>
  <c r="R30" i="41"/>
  <c r="P30" i="41"/>
  <c r="M30" i="41"/>
  <c r="N30" i="41" s="1"/>
  <c r="H30" i="41"/>
  <c r="F30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J29" i="41"/>
  <c r="AB29" i="41"/>
  <c r="Z29" i="41"/>
  <c r="X29" i="41"/>
  <c r="U29" i="41"/>
  <c r="V29" i="41" s="1"/>
  <c r="AM29" i="41" s="1"/>
  <c r="R29" i="41"/>
  <c r="P29" i="41"/>
  <c r="M29" i="41"/>
  <c r="N29" i="41" s="1"/>
  <c r="I29" i="41"/>
  <c r="H29" i="41"/>
  <c r="F29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J28" i="41"/>
  <c r="AB28" i="41"/>
  <c r="Z28" i="41"/>
  <c r="X28" i="41"/>
  <c r="U28" i="41"/>
  <c r="V28" i="41" s="1"/>
  <c r="AM28" i="41" s="1"/>
  <c r="R28" i="41"/>
  <c r="P28" i="41"/>
  <c r="M28" i="41"/>
  <c r="N28" i="41" s="1"/>
  <c r="H28" i="41"/>
  <c r="F28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J27" i="41"/>
  <c r="AB27" i="41"/>
  <c r="Z27" i="41"/>
  <c r="X27" i="41"/>
  <c r="U27" i="41"/>
  <c r="V27" i="41" s="1"/>
  <c r="AM27" i="41" s="1"/>
  <c r="R27" i="41"/>
  <c r="P27" i="41"/>
  <c r="M27" i="41"/>
  <c r="N27" i="41" s="1"/>
  <c r="I27" i="41"/>
  <c r="H27" i="41"/>
  <c r="F27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J26" i="41"/>
  <c r="AB26" i="41"/>
  <c r="Z26" i="41"/>
  <c r="X26" i="41"/>
  <c r="U26" i="41"/>
  <c r="V26" i="41" s="1"/>
  <c r="AM26" i="41" s="1"/>
  <c r="R26" i="41"/>
  <c r="P26" i="41"/>
  <c r="M26" i="41"/>
  <c r="N26" i="41" s="1"/>
  <c r="I26" i="41"/>
  <c r="H26" i="41"/>
  <c r="F26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J25" i="41"/>
  <c r="AB25" i="41"/>
  <c r="Z25" i="41"/>
  <c r="X25" i="41"/>
  <c r="U25" i="41"/>
  <c r="V25" i="41" s="1"/>
  <c r="AM25" i="41" s="1"/>
  <c r="R25" i="41"/>
  <c r="P25" i="41"/>
  <c r="M25" i="41"/>
  <c r="N25" i="41" s="1"/>
  <c r="I25" i="41"/>
  <c r="H25" i="41"/>
  <c r="F25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J24" i="41"/>
  <c r="AB24" i="41"/>
  <c r="Z24" i="41"/>
  <c r="X24" i="41"/>
  <c r="U24" i="41"/>
  <c r="V24" i="41" s="1"/>
  <c r="AM24" i="41" s="1"/>
  <c r="R24" i="41"/>
  <c r="P24" i="41"/>
  <c r="M24" i="41"/>
  <c r="N24" i="41" s="1"/>
  <c r="H24" i="41"/>
  <c r="F24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J23" i="41"/>
  <c r="AB23" i="41"/>
  <c r="Z23" i="41"/>
  <c r="X23" i="41"/>
  <c r="U23" i="41"/>
  <c r="V23" i="41" s="1"/>
  <c r="AM23" i="41" s="1"/>
  <c r="R23" i="41"/>
  <c r="P23" i="41"/>
  <c r="M23" i="41"/>
  <c r="N23" i="41" s="1"/>
  <c r="I23" i="41"/>
  <c r="H23" i="41"/>
  <c r="F23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J22" i="41"/>
  <c r="AB22" i="41"/>
  <c r="Z22" i="41"/>
  <c r="X22" i="41"/>
  <c r="U22" i="41"/>
  <c r="V22" i="41" s="1"/>
  <c r="AM22" i="41" s="1"/>
  <c r="R22" i="41"/>
  <c r="P22" i="41"/>
  <c r="M22" i="41"/>
  <c r="N22" i="41" s="1"/>
  <c r="I22" i="41"/>
  <c r="H22" i="41"/>
  <c r="F22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J21" i="41"/>
  <c r="AB21" i="41"/>
  <c r="Z21" i="41"/>
  <c r="X21" i="41"/>
  <c r="U21" i="41"/>
  <c r="V21" i="41" s="1"/>
  <c r="AM21" i="41" s="1"/>
  <c r="R21" i="41"/>
  <c r="P21" i="41"/>
  <c r="M21" i="41"/>
  <c r="N21" i="41" s="1"/>
  <c r="I21" i="41"/>
  <c r="H21" i="41"/>
  <c r="F21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J20" i="41"/>
  <c r="AB20" i="41"/>
  <c r="Z20" i="41"/>
  <c r="X20" i="41"/>
  <c r="U20" i="41"/>
  <c r="V20" i="41" s="1"/>
  <c r="AM20" i="41" s="1"/>
  <c r="R20" i="41"/>
  <c r="P20" i="41"/>
  <c r="M20" i="41"/>
  <c r="N20" i="41" s="1"/>
  <c r="I20" i="41"/>
  <c r="H20" i="41"/>
  <c r="F20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J19" i="41"/>
  <c r="AB19" i="41"/>
  <c r="Z19" i="41"/>
  <c r="X19" i="41"/>
  <c r="U19" i="41"/>
  <c r="V19" i="41" s="1"/>
  <c r="AM19" i="41" s="1"/>
  <c r="R19" i="41"/>
  <c r="P19" i="41"/>
  <c r="M19" i="41"/>
  <c r="N19" i="41" s="1"/>
  <c r="H19" i="41"/>
  <c r="F19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J18" i="41"/>
  <c r="AB18" i="41"/>
  <c r="Z18" i="41"/>
  <c r="X18" i="41"/>
  <c r="U18" i="41"/>
  <c r="V18" i="41" s="1"/>
  <c r="AM18" i="41" s="1"/>
  <c r="R18" i="41"/>
  <c r="P18" i="41"/>
  <c r="M18" i="41"/>
  <c r="N18" i="41" s="1"/>
  <c r="I18" i="41"/>
  <c r="H18" i="41"/>
  <c r="F18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J17" i="41"/>
  <c r="AB17" i="41"/>
  <c r="Z17" i="41"/>
  <c r="X17" i="41"/>
  <c r="U17" i="41"/>
  <c r="V17" i="41" s="1"/>
  <c r="AM17" i="41" s="1"/>
  <c r="R17" i="41"/>
  <c r="P17" i="41"/>
  <c r="M17" i="41"/>
  <c r="N17" i="41" s="1"/>
  <c r="I17" i="41"/>
  <c r="H17" i="41"/>
  <c r="F17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J16" i="41"/>
  <c r="AB16" i="41"/>
  <c r="Z16" i="41"/>
  <c r="X16" i="41"/>
  <c r="U16" i="41"/>
  <c r="V16" i="41" s="1"/>
  <c r="AM16" i="41" s="1"/>
  <c r="R16" i="41"/>
  <c r="P16" i="41"/>
  <c r="M16" i="41"/>
  <c r="N16" i="41" s="1"/>
  <c r="H16" i="41"/>
  <c r="F16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J15" i="41"/>
  <c r="AB15" i="41"/>
  <c r="Z15" i="41"/>
  <c r="X15" i="41"/>
  <c r="U15" i="41"/>
  <c r="V15" i="41" s="1"/>
  <c r="AM15" i="41" s="1"/>
  <c r="R15" i="41"/>
  <c r="P15" i="41"/>
  <c r="M15" i="41"/>
  <c r="N15" i="41" s="1"/>
  <c r="H15" i="41"/>
  <c r="F15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J14" i="41"/>
  <c r="AB14" i="41"/>
  <c r="Z14" i="41"/>
  <c r="X14" i="41"/>
  <c r="U14" i="41"/>
  <c r="V14" i="41" s="1"/>
  <c r="AM14" i="41" s="1"/>
  <c r="R14" i="41"/>
  <c r="P14" i="41"/>
  <c r="M14" i="41"/>
  <c r="N14" i="41" s="1"/>
  <c r="I14" i="41"/>
  <c r="H14" i="41"/>
  <c r="F14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J13" i="41"/>
  <c r="AB13" i="41"/>
  <c r="Z13" i="41"/>
  <c r="X13" i="41"/>
  <c r="U13" i="41"/>
  <c r="V13" i="41" s="1"/>
  <c r="AM13" i="41" s="1"/>
  <c r="R13" i="41"/>
  <c r="P13" i="41"/>
  <c r="M13" i="41"/>
  <c r="N13" i="41" s="1"/>
  <c r="H13" i="41"/>
  <c r="F13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J12" i="41"/>
  <c r="AB12" i="41"/>
  <c r="Z12" i="41"/>
  <c r="X12" i="41"/>
  <c r="U12" i="41"/>
  <c r="V12" i="41" s="1"/>
  <c r="AM12" i="41" s="1"/>
  <c r="R12" i="41"/>
  <c r="P12" i="41"/>
  <c r="M12" i="41"/>
  <c r="N12" i="41" s="1"/>
  <c r="I12" i="41"/>
  <c r="H12" i="41"/>
  <c r="F12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J11" i="41"/>
  <c r="AB11" i="41"/>
  <c r="Z11" i="41"/>
  <c r="X11" i="41"/>
  <c r="U11" i="41"/>
  <c r="V11" i="41" s="1"/>
  <c r="AM11" i="41" s="1"/>
  <c r="R11" i="41"/>
  <c r="P11" i="41"/>
  <c r="M11" i="41"/>
  <c r="N11" i="41" s="1"/>
  <c r="H11" i="41"/>
  <c r="F11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J10" i="41"/>
  <c r="AB10" i="41"/>
  <c r="Z10" i="41"/>
  <c r="X10" i="41"/>
  <c r="U10" i="41"/>
  <c r="V10" i="41" s="1"/>
  <c r="AM10" i="41" s="1"/>
  <c r="R10" i="41"/>
  <c r="P10" i="41"/>
  <c r="M10" i="41"/>
  <c r="N10" i="41" s="1"/>
  <c r="I10" i="41"/>
  <c r="H10" i="41"/>
  <c r="F10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J9" i="41"/>
  <c r="AB9" i="41"/>
  <c r="Z9" i="41"/>
  <c r="X9" i="41"/>
  <c r="U9" i="41"/>
  <c r="V9" i="41" s="1"/>
  <c r="AM9" i="41" s="1"/>
  <c r="R9" i="41"/>
  <c r="P9" i="41"/>
  <c r="M9" i="41"/>
  <c r="N9" i="41" s="1"/>
  <c r="I9" i="41"/>
  <c r="H9" i="41"/>
  <c r="F9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J8" i="41"/>
  <c r="AB8" i="41"/>
  <c r="Z8" i="41"/>
  <c r="X8" i="41"/>
  <c r="U8" i="41"/>
  <c r="V8" i="41" s="1"/>
  <c r="AM8" i="41" s="1"/>
  <c r="R8" i="41"/>
  <c r="P8" i="41"/>
  <c r="M8" i="41"/>
  <c r="N8" i="41" s="1"/>
  <c r="I8" i="41"/>
  <c r="H8" i="41"/>
  <c r="F8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J7" i="41"/>
  <c r="AB7" i="41"/>
  <c r="Z7" i="41"/>
  <c r="X7" i="41"/>
  <c r="U7" i="41"/>
  <c r="V7" i="41" s="1"/>
  <c r="AM7" i="41" s="1"/>
  <c r="R7" i="41"/>
  <c r="P7" i="41"/>
  <c r="M7" i="41"/>
  <c r="N7" i="41" s="1"/>
  <c r="I7" i="41"/>
  <c r="H7" i="41"/>
  <c r="F7" i="41"/>
  <c r="BC6" i="41"/>
  <c r="BB6" i="41"/>
  <c r="BA6" i="41"/>
  <c r="AZ6" i="41"/>
  <c r="AY6" i="41"/>
  <c r="AX6" i="41"/>
  <c r="AW6" i="41"/>
  <c r="AV6" i="41"/>
  <c r="AU6" i="41"/>
  <c r="AT6" i="41"/>
  <c r="AS6" i="41"/>
  <c r="AR6" i="41"/>
  <c r="AQ6" i="41"/>
  <c r="AP6" i="41"/>
  <c r="AO6" i="41"/>
  <c r="AN6" i="41"/>
  <c r="AJ6" i="41"/>
  <c r="AB6" i="41"/>
  <c r="Z6" i="41"/>
  <c r="X6" i="41"/>
  <c r="U6" i="41"/>
  <c r="V6" i="41" s="1"/>
  <c r="AM6" i="41" s="1"/>
  <c r="R6" i="41"/>
  <c r="P6" i="41"/>
  <c r="M6" i="41"/>
  <c r="N6" i="41" s="1"/>
  <c r="I6" i="41"/>
  <c r="H6" i="41"/>
  <c r="F6" i="41"/>
  <c r="BC5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J5" i="41"/>
  <c r="AB5" i="41"/>
  <c r="Z5" i="41"/>
  <c r="X5" i="41"/>
  <c r="U5" i="41"/>
  <c r="V5" i="41" s="1"/>
  <c r="AM5" i="41" s="1"/>
  <c r="R5" i="41"/>
  <c r="P5" i="41"/>
  <c r="M5" i="41"/>
  <c r="N5" i="41" s="1"/>
  <c r="I5" i="41"/>
  <c r="H5" i="41"/>
  <c r="F5" i="41"/>
  <c r="BC4" i="41"/>
  <c r="BB4" i="41"/>
  <c r="BA4" i="41"/>
  <c r="AZ4" i="41"/>
  <c r="AY4" i="41"/>
  <c r="AX4" i="41"/>
  <c r="AW4" i="41"/>
  <c r="AV4" i="41"/>
  <c r="AU4" i="41"/>
  <c r="AT4" i="41"/>
  <c r="AS4" i="41"/>
  <c r="AR4" i="41"/>
  <c r="AQ4" i="41"/>
  <c r="AP4" i="41"/>
  <c r="AO4" i="41"/>
  <c r="AN4" i="41"/>
  <c r="AJ4" i="41"/>
  <c r="AB4" i="41"/>
  <c r="Z4" i="41"/>
  <c r="X4" i="41"/>
  <c r="U4" i="41"/>
  <c r="V4" i="41" s="1"/>
  <c r="AM4" i="41" s="1"/>
  <c r="R4" i="41"/>
  <c r="P4" i="41"/>
  <c r="M4" i="41"/>
  <c r="N4" i="41" s="1"/>
  <c r="H4" i="41"/>
  <c r="F4" i="41"/>
  <c r="BC3" i="41"/>
  <c r="BB3" i="41"/>
  <c r="BA3" i="41"/>
  <c r="AZ3" i="41"/>
  <c r="AY3" i="41"/>
  <c r="AX3" i="41"/>
  <c r="AW3" i="41"/>
  <c r="AV3" i="41"/>
  <c r="AU3" i="41"/>
  <c r="AT3" i="41"/>
  <c r="AS3" i="41"/>
  <c r="AR3" i="41"/>
  <c r="AQ3" i="41"/>
  <c r="AP3" i="41"/>
  <c r="AO3" i="41"/>
  <c r="AN3" i="41"/>
  <c r="AJ3" i="41"/>
  <c r="AB3" i="41"/>
  <c r="Z3" i="41"/>
  <c r="X3" i="41"/>
  <c r="U3" i="41"/>
  <c r="V3" i="41" s="1"/>
  <c r="AM3" i="41" s="1"/>
  <c r="R3" i="41"/>
  <c r="P3" i="41"/>
  <c r="M3" i="41"/>
  <c r="N3" i="41" s="1"/>
  <c r="H3" i="41"/>
  <c r="F3" i="41"/>
  <c r="BC2" i="41"/>
  <c r="BB2" i="41"/>
  <c r="BA2" i="41"/>
  <c r="AZ2" i="41"/>
  <c r="AY2" i="41"/>
  <c r="AX2" i="41"/>
  <c r="AW2" i="41"/>
  <c r="AV2" i="41"/>
  <c r="AU2" i="41"/>
  <c r="AT2" i="41"/>
  <c r="AS2" i="41"/>
  <c r="AR2" i="41"/>
  <c r="AQ2" i="41"/>
  <c r="AP2" i="41"/>
  <c r="AO2" i="41"/>
  <c r="AN2" i="41"/>
  <c r="AJ2" i="41"/>
  <c r="AB2" i="41"/>
  <c r="Z2" i="41"/>
  <c r="X2" i="41"/>
  <c r="U2" i="41"/>
  <c r="V2" i="41" s="1"/>
  <c r="AM2" i="41" s="1"/>
  <c r="R2" i="41"/>
  <c r="P2" i="41"/>
  <c r="M2" i="41"/>
  <c r="N2" i="41" s="1"/>
  <c r="H2" i="41"/>
  <c r="F2" i="41"/>
  <c r="H202" i="41" l="1"/>
  <c r="I202" i="41"/>
  <c r="I136" i="41"/>
  <c r="H185" i="41"/>
  <c r="U359" i="41"/>
  <c r="V359" i="41" s="1"/>
  <c r="AM359" i="41" s="1"/>
  <c r="U231" i="41"/>
  <c r="V231" i="41" s="1"/>
  <c r="AM231" i="41" s="1"/>
  <c r="U185" i="41"/>
  <c r="V185" i="41" s="1"/>
  <c r="AM185" i="41" s="1"/>
  <c r="U136" i="41"/>
  <c r="V136" i="41" s="1"/>
  <c r="AM136" i="41" s="1"/>
  <c r="Y3" i="33"/>
  <c r="Y4" i="33"/>
  <c r="Y5" i="33"/>
  <c r="Y6" i="33"/>
  <c r="Y7" i="33"/>
  <c r="Y8" i="33"/>
  <c r="Y9" i="33"/>
  <c r="Y10" i="33"/>
  <c r="Y11" i="33"/>
  <c r="Y12" i="33"/>
  <c r="Y13" i="33"/>
  <c r="Y14" i="33"/>
  <c r="Y15" i="33"/>
  <c r="Y16" i="33"/>
  <c r="Y17" i="33"/>
  <c r="Y18" i="33"/>
  <c r="Y19" i="33"/>
  <c r="Y20" i="33"/>
  <c r="Y21" i="33"/>
  <c r="Y22" i="33"/>
  <c r="Y23" i="33"/>
  <c r="Y24" i="33"/>
  <c r="Y25" i="33"/>
  <c r="Y26" i="33"/>
  <c r="Y27" i="33"/>
  <c r="Y28" i="33"/>
  <c r="Y29" i="33"/>
  <c r="Y30" i="33"/>
  <c r="Y31" i="33"/>
  <c r="Y32" i="33"/>
  <c r="Y33" i="33"/>
  <c r="Y34" i="33"/>
  <c r="Y35" i="33"/>
  <c r="Y36" i="33"/>
  <c r="Y37" i="33"/>
  <c r="Y38" i="33"/>
  <c r="Y39" i="33"/>
  <c r="Y40" i="33"/>
  <c r="Y41" i="33"/>
  <c r="Y42" i="33"/>
  <c r="Y43" i="33"/>
  <c r="Y44" i="33"/>
  <c r="Y45" i="33"/>
  <c r="Y46" i="33"/>
  <c r="Y47" i="33"/>
  <c r="Y48" i="33"/>
  <c r="Y49" i="33"/>
  <c r="Y50" i="33"/>
  <c r="Y51" i="33"/>
  <c r="Y52" i="33"/>
  <c r="Y53" i="33"/>
  <c r="Y54" i="33"/>
  <c r="Y55" i="33"/>
  <c r="Y56" i="33"/>
  <c r="Y57" i="33"/>
  <c r="Y58" i="33"/>
  <c r="Y59" i="33"/>
  <c r="Y60" i="33"/>
  <c r="Y61" i="33"/>
  <c r="Y62" i="33"/>
  <c r="Y63" i="33"/>
  <c r="Y64" i="33"/>
  <c r="Y65" i="33"/>
  <c r="Y66" i="33"/>
  <c r="Y67" i="33"/>
  <c r="Y68" i="33"/>
  <c r="Y69" i="33"/>
  <c r="Y70" i="33"/>
  <c r="Y71" i="33"/>
  <c r="Y72" i="33"/>
  <c r="Y73" i="33"/>
  <c r="Y74" i="33"/>
  <c r="Y75" i="33"/>
  <c r="Y76" i="33"/>
  <c r="Y77" i="33"/>
  <c r="Y78" i="33"/>
  <c r="Y79" i="33"/>
  <c r="Y80" i="33"/>
  <c r="Y81" i="33"/>
  <c r="Y82" i="33"/>
  <c r="Y83" i="33"/>
  <c r="Y84" i="33"/>
  <c r="Y85" i="33"/>
  <c r="Y86" i="33"/>
  <c r="Y87" i="33"/>
  <c r="Y88" i="33"/>
  <c r="Y89" i="33"/>
  <c r="Y90" i="33"/>
  <c r="Y91" i="33"/>
  <c r="Y92" i="33"/>
  <c r="Y93" i="33"/>
  <c r="Y94" i="33"/>
  <c r="Y95" i="33"/>
  <c r="Y96" i="33"/>
  <c r="Y97" i="33"/>
  <c r="Y98" i="33"/>
  <c r="Y99" i="33"/>
  <c r="Y100" i="33"/>
  <c r="Y101" i="33"/>
  <c r="Y102" i="33"/>
  <c r="Y103" i="33"/>
  <c r="Y104" i="33"/>
  <c r="Y105" i="33"/>
  <c r="Y106" i="33"/>
  <c r="Y107" i="33"/>
  <c r="Y108" i="33"/>
  <c r="Y109" i="33"/>
  <c r="Y110" i="33"/>
  <c r="Y111" i="33"/>
  <c r="Y112" i="33"/>
  <c r="Y113" i="33"/>
  <c r="Y114" i="33"/>
  <c r="Y115" i="33"/>
  <c r="Y116" i="33"/>
  <c r="Y117" i="33"/>
  <c r="Y118" i="33"/>
  <c r="Y119" i="33"/>
  <c r="Y120" i="33"/>
  <c r="Y121" i="33"/>
  <c r="Y122" i="33"/>
  <c r="Y123" i="33"/>
  <c r="Y124" i="33"/>
  <c r="Y125" i="33"/>
  <c r="Y126" i="33"/>
  <c r="Y127" i="33"/>
  <c r="Y128" i="33"/>
  <c r="Y129" i="33"/>
  <c r="Y130" i="33"/>
  <c r="Y131" i="33"/>
  <c r="Y132" i="33"/>
  <c r="Y133" i="33"/>
  <c r="Y134" i="33"/>
  <c r="Y135" i="33"/>
  <c r="Y136" i="33"/>
  <c r="Y137" i="33"/>
  <c r="Y138" i="33"/>
  <c r="Y139" i="33"/>
  <c r="Y140" i="33"/>
  <c r="Y141" i="33"/>
  <c r="Y142" i="33"/>
  <c r="Y143" i="33"/>
  <c r="Y2" i="33"/>
  <c r="U3" i="35" l="1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2" i="35"/>
  <c r="U153" i="35"/>
  <c r="U154" i="35"/>
  <c r="U155" i="35"/>
  <c r="U156" i="35"/>
  <c r="U157" i="35"/>
  <c r="U158" i="35"/>
  <c r="U159" i="35"/>
  <c r="U160" i="35"/>
  <c r="U161" i="35"/>
  <c r="U162" i="35"/>
  <c r="U163" i="35"/>
  <c r="U164" i="35"/>
  <c r="U165" i="35"/>
  <c r="U166" i="35"/>
  <c r="U167" i="35"/>
  <c r="U168" i="35"/>
  <c r="U169" i="35"/>
  <c r="U170" i="35"/>
  <c r="U171" i="35"/>
  <c r="U172" i="35"/>
  <c r="U173" i="35"/>
  <c r="U174" i="35"/>
  <c r="U175" i="35"/>
  <c r="U176" i="35"/>
  <c r="U177" i="35"/>
  <c r="U178" i="35"/>
  <c r="U179" i="35"/>
  <c r="U180" i="35"/>
  <c r="U181" i="35"/>
  <c r="U182" i="35"/>
  <c r="U183" i="35"/>
  <c r="U184" i="35"/>
  <c r="U185" i="35"/>
  <c r="U186" i="35"/>
  <c r="U187" i="35"/>
  <c r="U188" i="35"/>
  <c r="U189" i="35"/>
  <c r="U190" i="35"/>
  <c r="U191" i="35"/>
  <c r="U192" i="35"/>
  <c r="U193" i="35"/>
  <c r="U194" i="35"/>
  <c r="U195" i="35"/>
  <c r="U196" i="35"/>
  <c r="U197" i="35"/>
  <c r="U198" i="35"/>
  <c r="U199" i="35"/>
  <c r="U200" i="35"/>
  <c r="U201" i="35"/>
  <c r="U202" i="35"/>
  <c r="U203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218" i="35"/>
  <c r="U219" i="35"/>
  <c r="U220" i="35"/>
  <c r="U221" i="35"/>
  <c r="U222" i="35"/>
  <c r="U223" i="35"/>
  <c r="U224" i="35"/>
  <c r="U225" i="35"/>
  <c r="U226" i="35"/>
  <c r="U227" i="35"/>
  <c r="U228" i="35"/>
  <c r="U229" i="35"/>
  <c r="U230" i="35"/>
  <c r="U231" i="35"/>
  <c r="U232" i="35"/>
  <c r="U233" i="35"/>
  <c r="U234" i="35"/>
  <c r="U235" i="35"/>
  <c r="U236" i="35"/>
  <c r="U237" i="35"/>
  <c r="U238" i="35"/>
  <c r="U239" i="35"/>
  <c r="U240" i="35"/>
  <c r="U241" i="35"/>
  <c r="U242" i="35"/>
  <c r="U243" i="35"/>
  <c r="U244" i="35"/>
  <c r="U245" i="35"/>
  <c r="U2" i="35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2" i="1"/>
  <c r="V292" i="21" l="1"/>
  <c r="W292" i="21" s="1"/>
  <c r="N3" i="21"/>
  <c r="AA351" i="21"/>
  <c r="S351" i="21"/>
  <c r="Q351" i="21"/>
  <c r="N351" i="21"/>
  <c r="O351" i="21" s="1"/>
  <c r="K351" i="21"/>
  <c r="H351" i="21"/>
  <c r="I351" i="21" s="1"/>
  <c r="E351" i="21"/>
  <c r="C351" i="21"/>
  <c r="AA350" i="21"/>
  <c r="S350" i="21"/>
  <c r="Q350" i="21"/>
  <c r="N350" i="21"/>
  <c r="O350" i="21" s="1"/>
  <c r="K350" i="21"/>
  <c r="H350" i="21"/>
  <c r="I350" i="21" s="1"/>
  <c r="E350" i="21"/>
  <c r="C350" i="21"/>
  <c r="AA349" i="21"/>
  <c r="S349" i="21"/>
  <c r="Q349" i="21"/>
  <c r="N349" i="21"/>
  <c r="O349" i="21" s="1"/>
  <c r="K349" i="21"/>
  <c r="H349" i="21"/>
  <c r="I349" i="21" s="1"/>
  <c r="E349" i="21"/>
  <c r="C349" i="21"/>
  <c r="AA348" i="21"/>
  <c r="S348" i="21"/>
  <c r="Q348" i="21"/>
  <c r="N348" i="21"/>
  <c r="O348" i="21" s="1"/>
  <c r="K348" i="21"/>
  <c r="H348" i="21"/>
  <c r="I348" i="21" s="1"/>
  <c r="E348" i="21"/>
  <c r="C348" i="21"/>
  <c r="AA347" i="21"/>
  <c r="S347" i="21"/>
  <c r="Q347" i="21"/>
  <c r="N347" i="21"/>
  <c r="O347" i="21" s="1"/>
  <c r="K347" i="21"/>
  <c r="H347" i="21"/>
  <c r="I347" i="21" s="1"/>
  <c r="E347" i="21"/>
  <c r="C347" i="21"/>
  <c r="AA346" i="21"/>
  <c r="S346" i="21"/>
  <c r="Q346" i="21"/>
  <c r="N346" i="21"/>
  <c r="O346" i="21" s="1"/>
  <c r="K346" i="21"/>
  <c r="H346" i="21"/>
  <c r="I346" i="21" s="1"/>
  <c r="E346" i="21"/>
  <c r="C346" i="21"/>
  <c r="AA345" i="21"/>
  <c r="S345" i="21"/>
  <c r="Q345" i="21"/>
  <c r="N345" i="21"/>
  <c r="O345" i="21" s="1"/>
  <c r="K345" i="21"/>
  <c r="H345" i="21"/>
  <c r="I345" i="21" s="1"/>
  <c r="E345" i="21"/>
  <c r="C345" i="21"/>
  <c r="AA344" i="21"/>
  <c r="S344" i="21"/>
  <c r="Q344" i="21"/>
  <c r="N344" i="21"/>
  <c r="O344" i="21" s="1"/>
  <c r="K344" i="21"/>
  <c r="H344" i="21"/>
  <c r="I344" i="21" s="1"/>
  <c r="E344" i="21"/>
  <c r="C344" i="21"/>
  <c r="AA343" i="21"/>
  <c r="S343" i="21"/>
  <c r="Q343" i="21"/>
  <c r="N343" i="21"/>
  <c r="O343" i="21" s="1"/>
  <c r="K343" i="21"/>
  <c r="H343" i="21"/>
  <c r="I343" i="21" s="1"/>
  <c r="E343" i="21"/>
  <c r="C343" i="21"/>
  <c r="AA342" i="21"/>
  <c r="S342" i="21"/>
  <c r="Q342" i="21"/>
  <c r="N342" i="21"/>
  <c r="O342" i="21" s="1"/>
  <c r="K342" i="21"/>
  <c r="H342" i="21"/>
  <c r="I342" i="21" s="1"/>
  <c r="E342" i="21"/>
  <c r="C342" i="21"/>
  <c r="AA341" i="21"/>
  <c r="S341" i="21"/>
  <c r="Q341" i="21"/>
  <c r="N341" i="21"/>
  <c r="O341" i="21" s="1"/>
  <c r="K341" i="21"/>
  <c r="H341" i="21"/>
  <c r="I341" i="21" s="1"/>
  <c r="E341" i="21"/>
  <c r="C341" i="21"/>
  <c r="AA340" i="21"/>
  <c r="S340" i="21"/>
  <c r="Q340" i="21"/>
  <c r="N340" i="21"/>
  <c r="O340" i="21" s="1"/>
  <c r="K340" i="21"/>
  <c r="H340" i="21"/>
  <c r="I340" i="21" s="1"/>
  <c r="E340" i="21"/>
  <c r="C340" i="21"/>
  <c r="AA339" i="21"/>
  <c r="S339" i="21"/>
  <c r="Q339" i="21"/>
  <c r="N339" i="21"/>
  <c r="O339" i="21" s="1"/>
  <c r="K339" i="21"/>
  <c r="H339" i="21"/>
  <c r="I339" i="21" s="1"/>
  <c r="E339" i="21"/>
  <c r="C339" i="21"/>
  <c r="AA338" i="21"/>
  <c r="S338" i="21"/>
  <c r="Q338" i="21"/>
  <c r="N338" i="21"/>
  <c r="O338" i="21" s="1"/>
  <c r="K338" i="21"/>
  <c r="H338" i="21"/>
  <c r="I338" i="21" s="1"/>
  <c r="E338" i="21"/>
  <c r="C338" i="21"/>
  <c r="AA337" i="21"/>
  <c r="S337" i="21"/>
  <c r="Q337" i="21"/>
  <c r="N337" i="21"/>
  <c r="O337" i="21" s="1"/>
  <c r="K337" i="21"/>
  <c r="H337" i="21"/>
  <c r="I337" i="21" s="1"/>
  <c r="E337" i="21"/>
  <c r="C337" i="21"/>
  <c r="AA336" i="21"/>
  <c r="S336" i="21"/>
  <c r="Q336" i="21"/>
  <c r="N336" i="21"/>
  <c r="O336" i="21" s="1"/>
  <c r="K336" i="21"/>
  <c r="H336" i="21"/>
  <c r="I336" i="21" s="1"/>
  <c r="E336" i="21"/>
  <c r="C336" i="21"/>
  <c r="AA335" i="21"/>
  <c r="S335" i="21"/>
  <c r="Q335" i="21"/>
  <c r="N335" i="21"/>
  <c r="O335" i="21" s="1"/>
  <c r="K335" i="21"/>
  <c r="H335" i="21"/>
  <c r="I335" i="21" s="1"/>
  <c r="E335" i="21"/>
  <c r="C335" i="21"/>
  <c r="AA334" i="21"/>
  <c r="S334" i="21"/>
  <c r="Q334" i="21"/>
  <c r="N334" i="21"/>
  <c r="O334" i="21" s="1"/>
  <c r="K334" i="21"/>
  <c r="H334" i="21"/>
  <c r="I334" i="21" s="1"/>
  <c r="E334" i="21"/>
  <c r="C334" i="21"/>
  <c r="AA333" i="21"/>
  <c r="S333" i="21"/>
  <c r="Q333" i="21"/>
  <c r="N333" i="21"/>
  <c r="O333" i="21" s="1"/>
  <c r="K333" i="21"/>
  <c r="H333" i="21"/>
  <c r="I333" i="21" s="1"/>
  <c r="E333" i="21"/>
  <c r="C333" i="21"/>
  <c r="AA332" i="21"/>
  <c r="S332" i="21"/>
  <c r="Q332" i="21"/>
  <c r="N332" i="21"/>
  <c r="O332" i="21" s="1"/>
  <c r="K332" i="21"/>
  <c r="H332" i="21"/>
  <c r="I332" i="21" s="1"/>
  <c r="E332" i="21"/>
  <c r="C332" i="21"/>
  <c r="AA331" i="21"/>
  <c r="S331" i="21"/>
  <c r="Q331" i="21"/>
  <c r="N331" i="21"/>
  <c r="O331" i="21" s="1"/>
  <c r="K331" i="21"/>
  <c r="H331" i="21"/>
  <c r="I331" i="21" s="1"/>
  <c r="E331" i="21"/>
  <c r="C331" i="21"/>
  <c r="AA330" i="21"/>
  <c r="S330" i="21"/>
  <c r="Q330" i="21"/>
  <c r="N330" i="21"/>
  <c r="O330" i="21" s="1"/>
  <c r="K330" i="21"/>
  <c r="H330" i="21"/>
  <c r="I330" i="21" s="1"/>
  <c r="E330" i="21"/>
  <c r="C330" i="21"/>
  <c r="AA329" i="21"/>
  <c r="S329" i="21"/>
  <c r="Q329" i="21"/>
  <c r="N329" i="21"/>
  <c r="O329" i="21" s="1"/>
  <c r="K329" i="21"/>
  <c r="H329" i="21"/>
  <c r="I329" i="21" s="1"/>
  <c r="E329" i="21"/>
  <c r="C329" i="21"/>
  <c r="AA328" i="21"/>
  <c r="S328" i="21"/>
  <c r="Q328" i="21"/>
  <c r="N328" i="21"/>
  <c r="O328" i="21" s="1"/>
  <c r="K328" i="21"/>
  <c r="H328" i="21"/>
  <c r="I328" i="21" s="1"/>
  <c r="E328" i="21"/>
  <c r="C328" i="21"/>
  <c r="AA327" i="21"/>
  <c r="S327" i="21"/>
  <c r="Q327" i="21"/>
  <c r="N327" i="21"/>
  <c r="O327" i="21" s="1"/>
  <c r="K327" i="21"/>
  <c r="H327" i="21"/>
  <c r="I327" i="21" s="1"/>
  <c r="E327" i="21"/>
  <c r="C327" i="21"/>
  <c r="AA326" i="21"/>
  <c r="S326" i="21"/>
  <c r="Q326" i="21"/>
  <c r="N326" i="21"/>
  <c r="O326" i="21" s="1"/>
  <c r="K326" i="21"/>
  <c r="H326" i="21"/>
  <c r="I326" i="21" s="1"/>
  <c r="E326" i="21"/>
  <c r="C326" i="21"/>
  <c r="AA325" i="21"/>
  <c r="S325" i="21"/>
  <c r="Q325" i="21"/>
  <c r="N325" i="21"/>
  <c r="O325" i="21" s="1"/>
  <c r="K325" i="21"/>
  <c r="H325" i="21"/>
  <c r="I325" i="21" s="1"/>
  <c r="E325" i="21"/>
  <c r="C325" i="21"/>
  <c r="AA324" i="21"/>
  <c r="S324" i="21"/>
  <c r="Q324" i="21"/>
  <c r="N324" i="21"/>
  <c r="O324" i="21" s="1"/>
  <c r="K324" i="21"/>
  <c r="H324" i="21"/>
  <c r="I324" i="21" s="1"/>
  <c r="E324" i="21"/>
  <c r="C324" i="21"/>
  <c r="AA323" i="21"/>
  <c r="S323" i="21"/>
  <c r="Q323" i="21"/>
  <c r="N323" i="21"/>
  <c r="O323" i="21" s="1"/>
  <c r="K323" i="21"/>
  <c r="H323" i="21"/>
  <c r="I323" i="21" s="1"/>
  <c r="E323" i="21"/>
  <c r="C323" i="21"/>
  <c r="AA322" i="21"/>
  <c r="S322" i="21"/>
  <c r="Q322" i="21"/>
  <c r="N322" i="21"/>
  <c r="O322" i="21" s="1"/>
  <c r="K322" i="21"/>
  <c r="H322" i="21"/>
  <c r="I322" i="21" s="1"/>
  <c r="E322" i="21"/>
  <c r="C322" i="21"/>
  <c r="AA321" i="21"/>
  <c r="S321" i="21"/>
  <c r="Q321" i="21"/>
  <c r="N321" i="21"/>
  <c r="O321" i="21" s="1"/>
  <c r="K321" i="21"/>
  <c r="H321" i="21"/>
  <c r="I321" i="21" s="1"/>
  <c r="E321" i="21"/>
  <c r="C321" i="21"/>
  <c r="AA320" i="21"/>
  <c r="S320" i="21"/>
  <c r="Q320" i="21"/>
  <c r="N320" i="21"/>
  <c r="O320" i="21" s="1"/>
  <c r="K320" i="21"/>
  <c r="H320" i="21"/>
  <c r="I320" i="21" s="1"/>
  <c r="E320" i="21"/>
  <c r="C320" i="21"/>
  <c r="AA319" i="21"/>
  <c r="S319" i="21"/>
  <c r="Q319" i="21"/>
  <c r="N319" i="21"/>
  <c r="O319" i="21" s="1"/>
  <c r="K319" i="21"/>
  <c r="H319" i="21"/>
  <c r="I319" i="21" s="1"/>
  <c r="E319" i="21"/>
  <c r="C319" i="21"/>
  <c r="AA318" i="21"/>
  <c r="S318" i="21"/>
  <c r="Q318" i="21"/>
  <c r="N318" i="21"/>
  <c r="O318" i="21" s="1"/>
  <c r="K318" i="21"/>
  <c r="H318" i="21"/>
  <c r="I318" i="21" s="1"/>
  <c r="E318" i="21"/>
  <c r="C318" i="21"/>
  <c r="AA317" i="21"/>
  <c r="S317" i="21"/>
  <c r="Q317" i="21"/>
  <c r="N317" i="21"/>
  <c r="O317" i="21" s="1"/>
  <c r="K317" i="21"/>
  <c r="H317" i="21"/>
  <c r="I317" i="21" s="1"/>
  <c r="E317" i="21"/>
  <c r="C317" i="21"/>
  <c r="AA316" i="21"/>
  <c r="S316" i="21"/>
  <c r="Q316" i="21"/>
  <c r="N316" i="21"/>
  <c r="O316" i="21" s="1"/>
  <c r="K316" i="21"/>
  <c r="H316" i="21"/>
  <c r="I316" i="21" s="1"/>
  <c r="E316" i="21"/>
  <c r="C316" i="21"/>
  <c r="AA315" i="21"/>
  <c r="S315" i="21"/>
  <c r="Q315" i="21"/>
  <c r="N315" i="21"/>
  <c r="O315" i="21" s="1"/>
  <c r="K315" i="21"/>
  <c r="H315" i="21"/>
  <c r="I315" i="21" s="1"/>
  <c r="E315" i="21"/>
  <c r="C315" i="21"/>
  <c r="AA314" i="21"/>
  <c r="S314" i="21"/>
  <c r="Q314" i="21"/>
  <c r="N314" i="21"/>
  <c r="O314" i="21" s="1"/>
  <c r="K314" i="21"/>
  <c r="H314" i="21"/>
  <c r="I314" i="21" s="1"/>
  <c r="E314" i="21"/>
  <c r="C314" i="21"/>
  <c r="AA313" i="21"/>
  <c r="S313" i="21"/>
  <c r="Q313" i="21"/>
  <c r="N313" i="21"/>
  <c r="O313" i="21" s="1"/>
  <c r="K313" i="21"/>
  <c r="H313" i="21"/>
  <c r="I313" i="21" s="1"/>
  <c r="E313" i="21"/>
  <c r="C313" i="21"/>
  <c r="AA312" i="21"/>
  <c r="S312" i="21"/>
  <c r="Q312" i="21"/>
  <c r="N312" i="21"/>
  <c r="O312" i="21" s="1"/>
  <c r="K312" i="21"/>
  <c r="H312" i="21"/>
  <c r="I312" i="21" s="1"/>
  <c r="E312" i="21"/>
  <c r="C312" i="21"/>
  <c r="AA311" i="21"/>
  <c r="S311" i="21"/>
  <c r="Q311" i="21"/>
  <c r="N311" i="21"/>
  <c r="O311" i="21" s="1"/>
  <c r="K311" i="21"/>
  <c r="H311" i="21"/>
  <c r="I311" i="21" s="1"/>
  <c r="E311" i="21"/>
  <c r="C311" i="21"/>
  <c r="AA310" i="21"/>
  <c r="S310" i="21"/>
  <c r="Q310" i="21"/>
  <c r="N310" i="21"/>
  <c r="O310" i="21" s="1"/>
  <c r="K310" i="21"/>
  <c r="H310" i="21"/>
  <c r="I310" i="21" s="1"/>
  <c r="E310" i="21"/>
  <c r="C310" i="21"/>
  <c r="AA309" i="21"/>
  <c r="S309" i="21"/>
  <c r="Q309" i="21"/>
  <c r="N309" i="21"/>
  <c r="O309" i="21" s="1"/>
  <c r="K309" i="21"/>
  <c r="H309" i="21"/>
  <c r="I309" i="21" s="1"/>
  <c r="E309" i="21"/>
  <c r="C309" i="21"/>
  <c r="AA308" i="21"/>
  <c r="S308" i="21"/>
  <c r="Q308" i="21"/>
  <c r="N308" i="21"/>
  <c r="O308" i="21" s="1"/>
  <c r="K308" i="21"/>
  <c r="H308" i="21"/>
  <c r="I308" i="21" s="1"/>
  <c r="E308" i="21"/>
  <c r="C308" i="21"/>
  <c r="AA307" i="21"/>
  <c r="S307" i="21"/>
  <c r="Q307" i="21"/>
  <c r="N307" i="21"/>
  <c r="O307" i="21" s="1"/>
  <c r="K307" i="21"/>
  <c r="H307" i="21"/>
  <c r="I307" i="21" s="1"/>
  <c r="E307" i="21"/>
  <c r="C307" i="21"/>
  <c r="AA306" i="21"/>
  <c r="S306" i="21"/>
  <c r="Q306" i="21"/>
  <c r="N306" i="21"/>
  <c r="O306" i="21" s="1"/>
  <c r="K306" i="21"/>
  <c r="H306" i="21"/>
  <c r="I306" i="21" s="1"/>
  <c r="E306" i="21"/>
  <c r="C306" i="21"/>
  <c r="AA305" i="21"/>
  <c r="S305" i="21"/>
  <c r="Q305" i="21"/>
  <c r="N305" i="21"/>
  <c r="O305" i="21" s="1"/>
  <c r="K305" i="21"/>
  <c r="H305" i="21"/>
  <c r="I305" i="21" s="1"/>
  <c r="E305" i="21"/>
  <c r="C305" i="21"/>
  <c r="AA304" i="21"/>
  <c r="S304" i="21"/>
  <c r="Q304" i="21"/>
  <c r="N304" i="21"/>
  <c r="O304" i="21" s="1"/>
  <c r="K304" i="21"/>
  <c r="H304" i="21"/>
  <c r="I304" i="21" s="1"/>
  <c r="E304" i="21"/>
  <c r="C304" i="21"/>
  <c r="AA303" i="21"/>
  <c r="S303" i="21"/>
  <c r="Q303" i="21"/>
  <c r="N303" i="21"/>
  <c r="O303" i="21" s="1"/>
  <c r="K303" i="21"/>
  <c r="H303" i="21"/>
  <c r="I303" i="21" s="1"/>
  <c r="E303" i="21"/>
  <c r="C303" i="21"/>
  <c r="AA302" i="21"/>
  <c r="S302" i="21"/>
  <c r="Q302" i="21"/>
  <c r="N302" i="21"/>
  <c r="O302" i="21" s="1"/>
  <c r="K302" i="21"/>
  <c r="H302" i="21"/>
  <c r="I302" i="21" s="1"/>
  <c r="E302" i="21"/>
  <c r="C302" i="21"/>
  <c r="AA301" i="21"/>
  <c r="S301" i="21"/>
  <c r="Q301" i="21"/>
  <c r="N301" i="21"/>
  <c r="O301" i="21" s="1"/>
  <c r="K301" i="21"/>
  <c r="H301" i="21"/>
  <c r="I301" i="21" s="1"/>
  <c r="E301" i="21"/>
  <c r="C301" i="21"/>
  <c r="AA300" i="21"/>
  <c r="S300" i="21"/>
  <c r="Q300" i="21"/>
  <c r="N300" i="21"/>
  <c r="O300" i="21" s="1"/>
  <c r="K300" i="21"/>
  <c r="H300" i="21"/>
  <c r="I300" i="21" s="1"/>
  <c r="E300" i="21"/>
  <c r="C300" i="21"/>
  <c r="AA299" i="21"/>
  <c r="S299" i="21"/>
  <c r="Q299" i="21"/>
  <c r="N299" i="21"/>
  <c r="O299" i="21" s="1"/>
  <c r="K299" i="21"/>
  <c r="H299" i="21"/>
  <c r="I299" i="21" s="1"/>
  <c r="E299" i="21"/>
  <c r="C299" i="21"/>
  <c r="AA298" i="21"/>
  <c r="S298" i="21"/>
  <c r="Q298" i="21"/>
  <c r="N298" i="21"/>
  <c r="O298" i="21" s="1"/>
  <c r="K298" i="21"/>
  <c r="H298" i="21"/>
  <c r="I298" i="21" s="1"/>
  <c r="E298" i="21"/>
  <c r="C298" i="21"/>
  <c r="AA297" i="21"/>
  <c r="S297" i="21"/>
  <c r="Q297" i="21"/>
  <c r="N297" i="21"/>
  <c r="O297" i="21" s="1"/>
  <c r="K297" i="21"/>
  <c r="H297" i="21"/>
  <c r="I297" i="21" s="1"/>
  <c r="E297" i="21"/>
  <c r="C297" i="21"/>
  <c r="AA296" i="21"/>
  <c r="S296" i="21"/>
  <c r="Q296" i="21"/>
  <c r="N296" i="21"/>
  <c r="O296" i="21" s="1"/>
  <c r="K296" i="21"/>
  <c r="H296" i="21"/>
  <c r="I296" i="21" s="1"/>
  <c r="E296" i="21"/>
  <c r="C296" i="21"/>
  <c r="AA295" i="21"/>
  <c r="S295" i="21"/>
  <c r="Q295" i="21"/>
  <c r="N295" i="21"/>
  <c r="O295" i="21" s="1"/>
  <c r="K295" i="21"/>
  <c r="H295" i="21"/>
  <c r="I295" i="21" s="1"/>
  <c r="E295" i="21"/>
  <c r="C295" i="21"/>
  <c r="AA294" i="21"/>
  <c r="S294" i="21"/>
  <c r="Q294" i="21"/>
  <c r="N294" i="21"/>
  <c r="O294" i="21" s="1"/>
  <c r="K294" i="21"/>
  <c r="H294" i="21"/>
  <c r="I294" i="21" s="1"/>
  <c r="E294" i="21"/>
  <c r="C294" i="21"/>
  <c r="AA293" i="21"/>
  <c r="S293" i="21"/>
  <c r="Q293" i="21"/>
  <c r="N293" i="21"/>
  <c r="O293" i="21" s="1"/>
  <c r="K293" i="21"/>
  <c r="H293" i="21"/>
  <c r="I293" i="21" s="1"/>
  <c r="E293" i="21"/>
  <c r="C293" i="21"/>
  <c r="AA292" i="21"/>
  <c r="S292" i="21"/>
  <c r="Q292" i="21"/>
  <c r="N292" i="21"/>
  <c r="O292" i="21" s="1"/>
  <c r="K292" i="21"/>
  <c r="H292" i="21"/>
  <c r="I292" i="21" s="1"/>
  <c r="E292" i="21"/>
  <c r="C292" i="21"/>
  <c r="AA291" i="21"/>
  <c r="S291" i="21"/>
  <c r="Q291" i="21"/>
  <c r="N291" i="21"/>
  <c r="O291" i="21" s="1"/>
  <c r="K291" i="21"/>
  <c r="H291" i="21"/>
  <c r="I291" i="21" s="1"/>
  <c r="E291" i="21"/>
  <c r="C291" i="21"/>
  <c r="AA290" i="21"/>
  <c r="S290" i="21"/>
  <c r="Q290" i="21"/>
  <c r="N290" i="21"/>
  <c r="O290" i="21" s="1"/>
  <c r="K290" i="21"/>
  <c r="H290" i="21"/>
  <c r="I290" i="21" s="1"/>
  <c r="E290" i="21"/>
  <c r="C290" i="21"/>
  <c r="AA289" i="21"/>
  <c r="S289" i="21"/>
  <c r="Q289" i="21"/>
  <c r="N289" i="21"/>
  <c r="O289" i="21" s="1"/>
  <c r="K289" i="21"/>
  <c r="H289" i="21"/>
  <c r="I289" i="21" s="1"/>
  <c r="E289" i="21"/>
  <c r="C289" i="21"/>
  <c r="AA288" i="21"/>
  <c r="S288" i="21"/>
  <c r="Q288" i="21"/>
  <c r="N288" i="21"/>
  <c r="O288" i="21" s="1"/>
  <c r="K288" i="21"/>
  <c r="H288" i="21"/>
  <c r="I288" i="21" s="1"/>
  <c r="E288" i="21"/>
  <c r="C288" i="21"/>
  <c r="AA287" i="21"/>
  <c r="S287" i="21"/>
  <c r="Q287" i="21"/>
  <c r="N287" i="21"/>
  <c r="O287" i="21" s="1"/>
  <c r="K287" i="21"/>
  <c r="H287" i="21"/>
  <c r="I287" i="21" s="1"/>
  <c r="E287" i="21"/>
  <c r="C287" i="21"/>
  <c r="AA286" i="21"/>
  <c r="S286" i="21"/>
  <c r="Q286" i="21"/>
  <c r="N286" i="21"/>
  <c r="O286" i="21" s="1"/>
  <c r="K286" i="21"/>
  <c r="H286" i="21"/>
  <c r="I286" i="21" s="1"/>
  <c r="E286" i="21"/>
  <c r="C286" i="21"/>
  <c r="AA285" i="21"/>
  <c r="S285" i="21"/>
  <c r="Q285" i="21"/>
  <c r="N285" i="21"/>
  <c r="O285" i="21" s="1"/>
  <c r="K285" i="21"/>
  <c r="H285" i="21"/>
  <c r="I285" i="21" s="1"/>
  <c r="E285" i="21"/>
  <c r="C285" i="21"/>
  <c r="AA284" i="21"/>
  <c r="S284" i="21"/>
  <c r="Q284" i="21"/>
  <c r="N284" i="21"/>
  <c r="O284" i="21" s="1"/>
  <c r="K284" i="21"/>
  <c r="H284" i="21"/>
  <c r="I284" i="21" s="1"/>
  <c r="E284" i="21"/>
  <c r="C284" i="21"/>
  <c r="AA283" i="21"/>
  <c r="S283" i="21"/>
  <c r="Q283" i="21"/>
  <c r="N283" i="21"/>
  <c r="O283" i="21" s="1"/>
  <c r="K283" i="21"/>
  <c r="H283" i="21"/>
  <c r="I283" i="21" s="1"/>
  <c r="E283" i="21"/>
  <c r="C283" i="21"/>
  <c r="AA282" i="21"/>
  <c r="S282" i="21"/>
  <c r="Q282" i="21"/>
  <c r="N282" i="21"/>
  <c r="O282" i="21" s="1"/>
  <c r="K282" i="21"/>
  <c r="H282" i="21"/>
  <c r="I282" i="21" s="1"/>
  <c r="E282" i="21"/>
  <c r="C282" i="21"/>
  <c r="AA281" i="21"/>
  <c r="S281" i="21"/>
  <c r="Q281" i="21"/>
  <c r="N281" i="21"/>
  <c r="O281" i="21" s="1"/>
  <c r="K281" i="21"/>
  <c r="H281" i="21"/>
  <c r="I281" i="21" s="1"/>
  <c r="E281" i="21"/>
  <c r="C281" i="21"/>
  <c r="AA280" i="21"/>
  <c r="S280" i="21"/>
  <c r="Q280" i="21"/>
  <c r="N280" i="21"/>
  <c r="O280" i="21" s="1"/>
  <c r="K280" i="21"/>
  <c r="H280" i="21"/>
  <c r="I280" i="21" s="1"/>
  <c r="E280" i="21"/>
  <c r="C280" i="21"/>
  <c r="AA279" i="21"/>
  <c r="S279" i="21"/>
  <c r="Q279" i="21"/>
  <c r="N279" i="21"/>
  <c r="O279" i="21" s="1"/>
  <c r="K279" i="21"/>
  <c r="H279" i="21"/>
  <c r="I279" i="21" s="1"/>
  <c r="E279" i="21"/>
  <c r="C279" i="21"/>
  <c r="AA278" i="21"/>
  <c r="S278" i="21"/>
  <c r="Q278" i="21"/>
  <c r="N278" i="21"/>
  <c r="O278" i="21" s="1"/>
  <c r="K278" i="21"/>
  <c r="H278" i="21"/>
  <c r="I278" i="21" s="1"/>
  <c r="E278" i="21"/>
  <c r="C278" i="21"/>
  <c r="AA277" i="21"/>
  <c r="S277" i="21"/>
  <c r="Q277" i="21"/>
  <c r="N277" i="21"/>
  <c r="O277" i="21" s="1"/>
  <c r="K277" i="21"/>
  <c r="H277" i="21"/>
  <c r="I277" i="21" s="1"/>
  <c r="E277" i="21"/>
  <c r="C277" i="21"/>
  <c r="AA276" i="21"/>
  <c r="S276" i="21"/>
  <c r="Q276" i="21"/>
  <c r="N276" i="21"/>
  <c r="O276" i="21" s="1"/>
  <c r="K276" i="21"/>
  <c r="H276" i="21"/>
  <c r="I276" i="21" s="1"/>
  <c r="E276" i="21"/>
  <c r="C276" i="21"/>
  <c r="AA275" i="21"/>
  <c r="S275" i="21"/>
  <c r="Q275" i="21"/>
  <c r="N275" i="21"/>
  <c r="O275" i="21" s="1"/>
  <c r="K275" i="21"/>
  <c r="H275" i="21"/>
  <c r="I275" i="21" s="1"/>
  <c r="E275" i="21"/>
  <c r="C275" i="21"/>
  <c r="AA274" i="21"/>
  <c r="S274" i="21"/>
  <c r="Q274" i="21"/>
  <c r="N274" i="21"/>
  <c r="O274" i="21" s="1"/>
  <c r="K274" i="21"/>
  <c r="H274" i="21"/>
  <c r="I274" i="21" s="1"/>
  <c r="E274" i="21"/>
  <c r="C274" i="21"/>
  <c r="AA273" i="21"/>
  <c r="S273" i="21"/>
  <c r="Q273" i="21"/>
  <c r="N273" i="21"/>
  <c r="O273" i="21" s="1"/>
  <c r="K273" i="21"/>
  <c r="H273" i="21"/>
  <c r="I273" i="21" s="1"/>
  <c r="E273" i="21"/>
  <c r="C273" i="21"/>
  <c r="AA272" i="21"/>
  <c r="S272" i="21"/>
  <c r="Q272" i="21"/>
  <c r="N272" i="21"/>
  <c r="O272" i="21" s="1"/>
  <c r="K272" i="21"/>
  <c r="H272" i="21"/>
  <c r="I272" i="21" s="1"/>
  <c r="E272" i="21"/>
  <c r="C272" i="21"/>
  <c r="AA271" i="21"/>
  <c r="S271" i="21"/>
  <c r="Q271" i="21"/>
  <c r="N271" i="21"/>
  <c r="O271" i="21" s="1"/>
  <c r="K271" i="21"/>
  <c r="H271" i="21"/>
  <c r="I271" i="21" s="1"/>
  <c r="E271" i="21"/>
  <c r="C271" i="21"/>
  <c r="AA270" i="21"/>
  <c r="S270" i="21"/>
  <c r="Q270" i="21"/>
  <c r="N270" i="21"/>
  <c r="O270" i="21" s="1"/>
  <c r="K270" i="21"/>
  <c r="H270" i="21"/>
  <c r="I270" i="21" s="1"/>
  <c r="E270" i="21"/>
  <c r="C270" i="21"/>
  <c r="AA269" i="21"/>
  <c r="S269" i="21"/>
  <c r="Q269" i="21"/>
  <c r="N269" i="21"/>
  <c r="O269" i="21" s="1"/>
  <c r="K269" i="21"/>
  <c r="H269" i="21"/>
  <c r="I269" i="21" s="1"/>
  <c r="E269" i="21"/>
  <c r="C269" i="21"/>
  <c r="AA268" i="21"/>
  <c r="S268" i="21"/>
  <c r="Q268" i="21"/>
  <c r="N268" i="21"/>
  <c r="O268" i="21" s="1"/>
  <c r="K268" i="21"/>
  <c r="H268" i="21"/>
  <c r="I268" i="21" s="1"/>
  <c r="E268" i="21"/>
  <c r="C268" i="21"/>
  <c r="AA267" i="21"/>
  <c r="S267" i="21"/>
  <c r="Q267" i="21"/>
  <c r="N267" i="21"/>
  <c r="O267" i="21" s="1"/>
  <c r="K267" i="21"/>
  <c r="H267" i="21"/>
  <c r="I267" i="21" s="1"/>
  <c r="E267" i="21"/>
  <c r="C267" i="21"/>
  <c r="AA266" i="21"/>
  <c r="S266" i="21"/>
  <c r="Q266" i="21"/>
  <c r="N266" i="21"/>
  <c r="O266" i="21" s="1"/>
  <c r="K266" i="21"/>
  <c r="H266" i="21"/>
  <c r="I266" i="21" s="1"/>
  <c r="E266" i="21"/>
  <c r="C266" i="21"/>
  <c r="AA265" i="21"/>
  <c r="S265" i="21"/>
  <c r="Q265" i="21"/>
  <c r="N265" i="21"/>
  <c r="O265" i="21" s="1"/>
  <c r="K265" i="21"/>
  <c r="H265" i="21"/>
  <c r="I265" i="21" s="1"/>
  <c r="E265" i="21"/>
  <c r="C265" i="21"/>
  <c r="AA264" i="21"/>
  <c r="S264" i="21"/>
  <c r="Q264" i="21"/>
  <c r="N264" i="21"/>
  <c r="O264" i="21" s="1"/>
  <c r="K264" i="21"/>
  <c r="H264" i="21"/>
  <c r="I264" i="21" s="1"/>
  <c r="E264" i="21"/>
  <c r="C264" i="21"/>
  <c r="AA263" i="21"/>
  <c r="S263" i="21"/>
  <c r="Q263" i="21"/>
  <c r="N263" i="21"/>
  <c r="O263" i="21" s="1"/>
  <c r="K263" i="21"/>
  <c r="H263" i="21"/>
  <c r="I263" i="21" s="1"/>
  <c r="E263" i="21"/>
  <c r="C263" i="21"/>
  <c r="AA262" i="21"/>
  <c r="S262" i="21"/>
  <c r="Q262" i="21"/>
  <c r="N262" i="21"/>
  <c r="O262" i="21" s="1"/>
  <c r="K262" i="21"/>
  <c r="H262" i="21"/>
  <c r="I262" i="21" s="1"/>
  <c r="E262" i="21"/>
  <c r="C262" i="21"/>
  <c r="AA261" i="21"/>
  <c r="S261" i="21"/>
  <c r="Q261" i="21"/>
  <c r="N261" i="21"/>
  <c r="O261" i="21" s="1"/>
  <c r="K261" i="21"/>
  <c r="H261" i="21"/>
  <c r="I261" i="21" s="1"/>
  <c r="E261" i="21"/>
  <c r="C261" i="21"/>
  <c r="AA260" i="21"/>
  <c r="S260" i="21"/>
  <c r="Q260" i="21"/>
  <c r="N260" i="21"/>
  <c r="O260" i="21" s="1"/>
  <c r="K260" i="21"/>
  <c r="H260" i="21"/>
  <c r="I260" i="21" s="1"/>
  <c r="E260" i="21"/>
  <c r="C260" i="21"/>
  <c r="AA259" i="21"/>
  <c r="S259" i="21"/>
  <c r="Q259" i="21"/>
  <c r="N259" i="21"/>
  <c r="O259" i="21" s="1"/>
  <c r="K259" i="21"/>
  <c r="H259" i="21"/>
  <c r="I259" i="21" s="1"/>
  <c r="E259" i="21"/>
  <c r="C259" i="21"/>
  <c r="AA258" i="21"/>
  <c r="S258" i="21"/>
  <c r="Q258" i="21"/>
  <c r="N258" i="21"/>
  <c r="O258" i="21" s="1"/>
  <c r="K258" i="21"/>
  <c r="H258" i="21"/>
  <c r="I258" i="21" s="1"/>
  <c r="E258" i="21"/>
  <c r="C258" i="21"/>
  <c r="AA257" i="21"/>
  <c r="S257" i="21"/>
  <c r="Q257" i="21"/>
  <c r="N257" i="21"/>
  <c r="O257" i="21" s="1"/>
  <c r="K257" i="21"/>
  <c r="H257" i="21"/>
  <c r="I257" i="21" s="1"/>
  <c r="E257" i="21"/>
  <c r="C257" i="21"/>
  <c r="AA256" i="21"/>
  <c r="S256" i="21"/>
  <c r="Q256" i="21"/>
  <c r="N256" i="21"/>
  <c r="O256" i="21" s="1"/>
  <c r="K256" i="21"/>
  <c r="H256" i="21"/>
  <c r="I256" i="21" s="1"/>
  <c r="E256" i="21"/>
  <c r="C256" i="21"/>
  <c r="AA255" i="21"/>
  <c r="S255" i="21"/>
  <c r="Q255" i="21"/>
  <c r="N255" i="21"/>
  <c r="O255" i="21" s="1"/>
  <c r="K255" i="21"/>
  <c r="H255" i="21"/>
  <c r="I255" i="21" s="1"/>
  <c r="E255" i="21"/>
  <c r="C255" i="21"/>
  <c r="AA254" i="21"/>
  <c r="S254" i="21"/>
  <c r="Q254" i="21"/>
  <c r="N254" i="21"/>
  <c r="O254" i="21" s="1"/>
  <c r="K254" i="21"/>
  <c r="H254" i="21"/>
  <c r="I254" i="21" s="1"/>
  <c r="E254" i="21"/>
  <c r="C254" i="21"/>
  <c r="AA253" i="21"/>
  <c r="S253" i="21"/>
  <c r="Q253" i="21"/>
  <c r="N253" i="21"/>
  <c r="O253" i="21" s="1"/>
  <c r="K253" i="21"/>
  <c r="H253" i="21"/>
  <c r="I253" i="21" s="1"/>
  <c r="E253" i="21"/>
  <c r="C253" i="21"/>
  <c r="AA252" i="21"/>
  <c r="S252" i="21"/>
  <c r="Q252" i="21"/>
  <c r="N252" i="21"/>
  <c r="O252" i="21" s="1"/>
  <c r="K252" i="21"/>
  <c r="H252" i="21"/>
  <c r="I252" i="21" s="1"/>
  <c r="E252" i="21"/>
  <c r="C252" i="21"/>
  <c r="AA251" i="21"/>
  <c r="S251" i="21"/>
  <c r="Q251" i="21"/>
  <c r="N251" i="21"/>
  <c r="O251" i="21" s="1"/>
  <c r="K251" i="21"/>
  <c r="H251" i="21"/>
  <c r="I251" i="21" s="1"/>
  <c r="E251" i="21"/>
  <c r="C251" i="21"/>
  <c r="AA250" i="21"/>
  <c r="S250" i="21"/>
  <c r="Q250" i="21"/>
  <c r="N250" i="21"/>
  <c r="O250" i="21" s="1"/>
  <c r="K250" i="21"/>
  <c r="H250" i="21"/>
  <c r="I250" i="21" s="1"/>
  <c r="E250" i="21"/>
  <c r="C250" i="21"/>
  <c r="AA249" i="21"/>
  <c r="S249" i="21"/>
  <c r="Q249" i="21"/>
  <c r="N249" i="21"/>
  <c r="O249" i="21" s="1"/>
  <c r="K249" i="21"/>
  <c r="H249" i="21"/>
  <c r="I249" i="21" s="1"/>
  <c r="E249" i="21"/>
  <c r="C249" i="21"/>
  <c r="AA248" i="21"/>
  <c r="S248" i="21"/>
  <c r="Q248" i="21"/>
  <c r="N248" i="21"/>
  <c r="O248" i="21" s="1"/>
  <c r="K248" i="21"/>
  <c r="H248" i="21"/>
  <c r="I248" i="21" s="1"/>
  <c r="E248" i="21"/>
  <c r="C248" i="21"/>
  <c r="AA247" i="21"/>
  <c r="S247" i="21"/>
  <c r="Q247" i="21"/>
  <c r="N247" i="21"/>
  <c r="O247" i="21" s="1"/>
  <c r="K247" i="21"/>
  <c r="H247" i="21"/>
  <c r="I247" i="21" s="1"/>
  <c r="E247" i="21"/>
  <c r="C247" i="21"/>
  <c r="AA246" i="21"/>
  <c r="S246" i="21"/>
  <c r="Q246" i="21"/>
  <c r="N246" i="21"/>
  <c r="O246" i="21" s="1"/>
  <c r="K246" i="21"/>
  <c r="H246" i="21"/>
  <c r="I246" i="21" s="1"/>
  <c r="E246" i="21"/>
  <c r="C246" i="21"/>
  <c r="AA245" i="21"/>
  <c r="S245" i="21"/>
  <c r="Q245" i="21"/>
  <c r="N245" i="21"/>
  <c r="O245" i="21" s="1"/>
  <c r="K245" i="21"/>
  <c r="H245" i="21"/>
  <c r="I245" i="21" s="1"/>
  <c r="E245" i="21"/>
  <c r="C245" i="21"/>
  <c r="AA244" i="21"/>
  <c r="S244" i="21"/>
  <c r="Q244" i="21"/>
  <c r="N244" i="21"/>
  <c r="O244" i="21" s="1"/>
  <c r="K244" i="21"/>
  <c r="H244" i="21"/>
  <c r="I244" i="21" s="1"/>
  <c r="E244" i="21"/>
  <c r="C244" i="21"/>
  <c r="AA243" i="21"/>
  <c r="S243" i="21"/>
  <c r="Q243" i="21"/>
  <c r="N243" i="21"/>
  <c r="O243" i="21" s="1"/>
  <c r="K243" i="21"/>
  <c r="H243" i="21"/>
  <c r="I243" i="21" s="1"/>
  <c r="E243" i="21"/>
  <c r="C243" i="21"/>
  <c r="AA242" i="21"/>
  <c r="S242" i="21"/>
  <c r="Q242" i="21"/>
  <c r="N242" i="21"/>
  <c r="O242" i="21" s="1"/>
  <c r="K242" i="21"/>
  <c r="H242" i="21"/>
  <c r="I242" i="21" s="1"/>
  <c r="E242" i="21"/>
  <c r="C242" i="21"/>
  <c r="AA241" i="21"/>
  <c r="S241" i="21"/>
  <c r="Q241" i="21"/>
  <c r="N241" i="21"/>
  <c r="O241" i="21" s="1"/>
  <c r="K241" i="21"/>
  <c r="H241" i="21"/>
  <c r="I241" i="21" s="1"/>
  <c r="E241" i="21"/>
  <c r="C241" i="21"/>
  <c r="AA240" i="21"/>
  <c r="S240" i="21"/>
  <c r="Q240" i="21"/>
  <c r="N240" i="21"/>
  <c r="O240" i="21" s="1"/>
  <c r="K240" i="21"/>
  <c r="H240" i="21"/>
  <c r="I240" i="21" s="1"/>
  <c r="E240" i="21"/>
  <c r="C240" i="21"/>
  <c r="AA239" i="21"/>
  <c r="S239" i="21"/>
  <c r="Q239" i="21"/>
  <c r="N239" i="21"/>
  <c r="O239" i="21" s="1"/>
  <c r="K239" i="21"/>
  <c r="H239" i="21"/>
  <c r="I239" i="21" s="1"/>
  <c r="E239" i="21"/>
  <c r="C239" i="21"/>
  <c r="AA238" i="21"/>
  <c r="S238" i="21"/>
  <c r="Q238" i="21"/>
  <c r="N238" i="21"/>
  <c r="O238" i="21" s="1"/>
  <c r="K238" i="21"/>
  <c r="H238" i="21"/>
  <c r="I238" i="21" s="1"/>
  <c r="E238" i="21"/>
  <c r="C238" i="21"/>
  <c r="AA237" i="21"/>
  <c r="S237" i="21"/>
  <c r="Q237" i="21"/>
  <c r="N237" i="21"/>
  <c r="O237" i="21" s="1"/>
  <c r="K237" i="21"/>
  <c r="H237" i="21"/>
  <c r="I237" i="21" s="1"/>
  <c r="E237" i="21"/>
  <c r="C237" i="21"/>
  <c r="AA236" i="21"/>
  <c r="S236" i="21"/>
  <c r="Q236" i="21"/>
  <c r="N236" i="21"/>
  <c r="O236" i="21" s="1"/>
  <c r="K236" i="21"/>
  <c r="H236" i="21"/>
  <c r="I236" i="21" s="1"/>
  <c r="E236" i="21"/>
  <c r="C236" i="21"/>
  <c r="AA235" i="21"/>
  <c r="S235" i="21"/>
  <c r="Q235" i="21"/>
  <c r="N235" i="21"/>
  <c r="O235" i="21" s="1"/>
  <c r="K235" i="21"/>
  <c r="H235" i="21"/>
  <c r="I235" i="21" s="1"/>
  <c r="E235" i="21"/>
  <c r="C235" i="21"/>
  <c r="AA234" i="21"/>
  <c r="S234" i="21"/>
  <c r="Q234" i="21"/>
  <c r="N234" i="21"/>
  <c r="O234" i="21" s="1"/>
  <c r="K234" i="21"/>
  <c r="H234" i="21"/>
  <c r="I234" i="21" s="1"/>
  <c r="E234" i="21"/>
  <c r="C234" i="21"/>
  <c r="AA233" i="21"/>
  <c r="S233" i="21"/>
  <c r="Q233" i="21"/>
  <c r="N233" i="21"/>
  <c r="O233" i="21" s="1"/>
  <c r="K233" i="21"/>
  <c r="H233" i="21"/>
  <c r="I233" i="21" s="1"/>
  <c r="E233" i="21"/>
  <c r="C233" i="21"/>
  <c r="AA232" i="21"/>
  <c r="S232" i="21"/>
  <c r="Q232" i="21"/>
  <c r="N232" i="21"/>
  <c r="O232" i="21" s="1"/>
  <c r="K232" i="21"/>
  <c r="H232" i="21"/>
  <c r="I232" i="21" s="1"/>
  <c r="E232" i="21"/>
  <c r="C232" i="21"/>
  <c r="AA231" i="21"/>
  <c r="S231" i="21"/>
  <c r="Q231" i="21"/>
  <c r="N231" i="21"/>
  <c r="O231" i="21" s="1"/>
  <c r="K231" i="21"/>
  <c r="H231" i="21"/>
  <c r="I231" i="21" s="1"/>
  <c r="E231" i="21"/>
  <c r="C231" i="21"/>
  <c r="AA230" i="21"/>
  <c r="S230" i="21"/>
  <c r="Q230" i="21"/>
  <c r="N230" i="21"/>
  <c r="O230" i="21" s="1"/>
  <c r="K230" i="21"/>
  <c r="H230" i="21"/>
  <c r="I230" i="21" s="1"/>
  <c r="E230" i="21"/>
  <c r="C230" i="21"/>
  <c r="AA229" i="21"/>
  <c r="S229" i="21"/>
  <c r="Q229" i="21"/>
  <c r="N229" i="21"/>
  <c r="O229" i="21" s="1"/>
  <c r="K229" i="21"/>
  <c r="H229" i="21"/>
  <c r="I229" i="21" s="1"/>
  <c r="E229" i="21"/>
  <c r="C229" i="21"/>
  <c r="AA228" i="21"/>
  <c r="S228" i="21"/>
  <c r="Q228" i="21"/>
  <c r="N228" i="21"/>
  <c r="O228" i="21" s="1"/>
  <c r="K228" i="21"/>
  <c r="H228" i="21"/>
  <c r="I228" i="21" s="1"/>
  <c r="E228" i="21"/>
  <c r="C228" i="21"/>
  <c r="AA227" i="21"/>
  <c r="S227" i="21"/>
  <c r="Q227" i="21"/>
  <c r="N227" i="21"/>
  <c r="O227" i="21" s="1"/>
  <c r="K227" i="21"/>
  <c r="H227" i="21"/>
  <c r="I227" i="21" s="1"/>
  <c r="E227" i="21"/>
  <c r="C227" i="21"/>
  <c r="AA226" i="21"/>
  <c r="S226" i="21"/>
  <c r="Q226" i="21"/>
  <c r="N226" i="21"/>
  <c r="O226" i="21" s="1"/>
  <c r="K226" i="21"/>
  <c r="H226" i="21"/>
  <c r="I226" i="21" s="1"/>
  <c r="E226" i="21"/>
  <c r="C226" i="21"/>
  <c r="AA225" i="21"/>
  <c r="S225" i="21"/>
  <c r="Q225" i="21"/>
  <c r="N225" i="21"/>
  <c r="O225" i="21" s="1"/>
  <c r="K225" i="21"/>
  <c r="H225" i="21"/>
  <c r="I225" i="21" s="1"/>
  <c r="E225" i="21"/>
  <c r="C225" i="21"/>
  <c r="AA224" i="21"/>
  <c r="S224" i="21"/>
  <c r="Q224" i="21"/>
  <c r="N224" i="21"/>
  <c r="O224" i="21" s="1"/>
  <c r="K224" i="21"/>
  <c r="H224" i="21"/>
  <c r="I224" i="21" s="1"/>
  <c r="E224" i="21"/>
  <c r="C224" i="21"/>
  <c r="AA223" i="21"/>
  <c r="S223" i="21"/>
  <c r="Q223" i="21"/>
  <c r="N223" i="21"/>
  <c r="O223" i="21" s="1"/>
  <c r="K223" i="21"/>
  <c r="H223" i="21"/>
  <c r="I223" i="21" s="1"/>
  <c r="E223" i="21"/>
  <c r="C223" i="21"/>
  <c r="AA222" i="21"/>
  <c r="S222" i="21"/>
  <c r="Q222" i="21"/>
  <c r="N222" i="21"/>
  <c r="O222" i="21" s="1"/>
  <c r="K222" i="21"/>
  <c r="H222" i="21"/>
  <c r="I222" i="21" s="1"/>
  <c r="E222" i="21"/>
  <c r="C222" i="21"/>
  <c r="AA221" i="21"/>
  <c r="S221" i="21"/>
  <c r="Q221" i="21"/>
  <c r="N221" i="21"/>
  <c r="O221" i="21" s="1"/>
  <c r="K221" i="21"/>
  <c r="H221" i="21"/>
  <c r="I221" i="21" s="1"/>
  <c r="E221" i="21"/>
  <c r="C221" i="21"/>
  <c r="AA220" i="21"/>
  <c r="S220" i="21"/>
  <c r="Q220" i="21"/>
  <c r="N220" i="21"/>
  <c r="O220" i="21" s="1"/>
  <c r="K220" i="21"/>
  <c r="H220" i="21"/>
  <c r="I220" i="21" s="1"/>
  <c r="E220" i="21"/>
  <c r="C220" i="21"/>
  <c r="AA219" i="21"/>
  <c r="S219" i="21"/>
  <c r="Q219" i="21"/>
  <c r="N219" i="21"/>
  <c r="O219" i="21" s="1"/>
  <c r="K219" i="21"/>
  <c r="H219" i="21"/>
  <c r="I219" i="21" s="1"/>
  <c r="E219" i="21"/>
  <c r="C219" i="21"/>
  <c r="AA218" i="21"/>
  <c r="S218" i="21"/>
  <c r="Q218" i="21"/>
  <c r="N218" i="21"/>
  <c r="O218" i="21" s="1"/>
  <c r="K218" i="21"/>
  <c r="H218" i="21"/>
  <c r="I218" i="21" s="1"/>
  <c r="E218" i="21"/>
  <c r="C218" i="21"/>
  <c r="AA217" i="21"/>
  <c r="S217" i="21"/>
  <c r="Q217" i="21"/>
  <c r="N217" i="21"/>
  <c r="O217" i="21" s="1"/>
  <c r="K217" i="21"/>
  <c r="H217" i="21"/>
  <c r="I217" i="21" s="1"/>
  <c r="E217" i="21"/>
  <c r="C217" i="21"/>
  <c r="AA216" i="21"/>
  <c r="S216" i="21"/>
  <c r="Q216" i="21"/>
  <c r="N216" i="21"/>
  <c r="O216" i="21" s="1"/>
  <c r="K216" i="21"/>
  <c r="H216" i="21"/>
  <c r="I216" i="21" s="1"/>
  <c r="E216" i="21"/>
  <c r="C216" i="21"/>
  <c r="AA215" i="21"/>
  <c r="S215" i="21"/>
  <c r="Q215" i="21"/>
  <c r="K215" i="21"/>
  <c r="H215" i="21"/>
  <c r="I215" i="21" s="1"/>
  <c r="E215" i="21"/>
  <c r="C215" i="21"/>
  <c r="AA214" i="21"/>
  <c r="S214" i="21"/>
  <c r="Q214" i="21"/>
  <c r="N214" i="21"/>
  <c r="O214" i="21" s="1"/>
  <c r="K214" i="21"/>
  <c r="H214" i="21"/>
  <c r="I214" i="21" s="1"/>
  <c r="E214" i="21"/>
  <c r="C214" i="21"/>
  <c r="AA213" i="21"/>
  <c r="S213" i="21"/>
  <c r="Q213" i="21"/>
  <c r="N213" i="21"/>
  <c r="O213" i="21" s="1"/>
  <c r="K213" i="21"/>
  <c r="H213" i="21"/>
  <c r="I213" i="21" s="1"/>
  <c r="E213" i="21"/>
  <c r="C213" i="21"/>
  <c r="AA212" i="21"/>
  <c r="S212" i="21"/>
  <c r="Q212" i="21"/>
  <c r="N212" i="21"/>
  <c r="O212" i="21" s="1"/>
  <c r="K212" i="21"/>
  <c r="H212" i="21"/>
  <c r="I212" i="21" s="1"/>
  <c r="E212" i="21"/>
  <c r="C212" i="21"/>
  <c r="AA211" i="21"/>
  <c r="S211" i="21"/>
  <c r="Q211" i="21"/>
  <c r="N211" i="21"/>
  <c r="O211" i="21" s="1"/>
  <c r="K211" i="21"/>
  <c r="H211" i="21"/>
  <c r="I211" i="21" s="1"/>
  <c r="E211" i="21"/>
  <c r="C211" i="21"/>
  <c r="AA210" i="21"/>
  <c r="S210" i="21"/>
  <c r="Q210" i="21"/>
  <c r="N210" i="21"/>
  <c r="O210" i="21" s="1"/>
  <c r="K210" i="21"/>
  <c r="H210" i="21"/>
  <c r="I210" i="21" s="1"/>
  <c r="E210" i="21"/>
  <c r="C210" i="21"/>
  <c r="AA209" i="21"/>
  <c r="S209" i="21"/>
  <c r="Q209" i="21"/>
  <c r="N209" i="21"/>
  <c r="O209" i="21" s="1"/>
  <c r="K209" i="21"/>
  <c r="H209" i="21"/>
  <c r="I209" i="21" s="1"/>
  <c r="E209" i="21"/>
  <c r="C209" i="21"/>
  <c r="AA208" i="21"/>
  <c r="S208" i="21"/>
  <c r="Q208" i="21"/>
  <c r="N208" i="21"/>
  <c r="O208" i="21" s="1"/>
  <c r="K208" i="21"/>
  <c r="H208" i="21"/>
  <c r="I208" i="21" s="1"/>
  <c r="E208" i="21"/>
  <c r="C208" i="21"/>
  <c r="AA207" i="21"/>
  <c r="S207" i="21"/>
  <c r="Q207" i="21"/>
  <c r="N207" i="21"/>
  <c r="O207" i="21" s="1"/>
  <c r="K207" i="21"/>
  <c r="H207" i="21"/>
  <c r="I207" i="21" s="1"/>
  <c r="E207" i="21"/>
  <c r="C207" i="21"/>
  <c r="AA206" i="21"/>
  <c r="S206" i="21"/>
  <c r="Q206" i="21"/>
  <c r="N206" i="21"/>
  <c r="O206" i="21" s="1"/>
  <c r="K206" i="21"/>
  <c r="H206" i="21"/>
  <c r="I206" i="21" s="1"/>
  <c r="E206" i="21"/>
  <c r="C206" i="21"/>
  <c r="AA205" i="21"/>
  <c r="S205" i="21"/>
  <c r="Q205" i="21"/>
  <c r="N205" i="21"/>
  <c r="O205" i="21" s="1"/>
  <c r="K205" i="21"/>
  <c r="H205" i="21"/>
  <c r="I205" i="21" s="1"/>
  <c r="E205" i="21"/>
  <c r="C205" i="21"/>
  <c r="AA204" i="21"/>
  <c r="S204" i="21"/>
  <c r="Q204" i="21"/>
  <c r="N204" i="21"/>
  <c r="O204" i="21" s="1"/>
  <c r="K204" i="21"/>
  <c r="H204" i="21"/>
  <c r="I204" i="21" s="1"/>
  <c r="E204" i="21"/>
  <c r="C204" i="21"/>
  <c r="AA203" i="21"/>
  <c r="S203" i="21"/>
  <c r="Q203" i="21"/>
  <c r="N203" i="21"/>
  <c r="O203" i="21" s="1"/>
  <c r="K203" i="21"/>
  <c r="H203" i="21"/>
  <c r="I203" i="21" s="1"/>
  <c r="E203" i="21"/>
  <c r="C203" i="21"/>
  <c r="AA202" i="21"/>
  <c r="S202" i="21"/>
  <c r="Q202" i="21"/>
  <c r="N202" i="21"/>
  <c r="O202" i="21" s="1"/>
  <c r="K202" i="21"/>
  <c r="H202" i="21"/>
  <c r="I202" i="21" s="1"/>
  <c r="E202" i="21"/>
  <c r="C202" i="21"/>
  <c r="AA201" i="21"/>
  <c r="S201" i="21"/>
  <c r="Q201" i="21"/>
  <c r="N201" i="21"/>
  <c r="O201" i="21" s="1"/>
  <c r="K201" i="21"/>
  <c r="H201" i="21"/>
  <c r="I201" i="21" s="1"/>
  <c r="E201" i="21"/>
  <c r="C201" i="21"/>
  <c r="AA200" i="21"/>
  <c r="S200" i="21"/>
  <c r="Q200" i="21"/>
  <c r="N200" i="21"/>
  <c r="O200" i="21" s="1"/>
  <c r="K200" i="21"/>
  <c r="H200" i="21"/>
  <c r="I200" i="21" s="1"/>
  <c r="E200" i="21"/>
  <c r="C200" i="21"/>
  <c r="AA199" i="21"/>
  <c r="S199" i="21"/>
  <c r="Q199" i="21"/>
  <c r="N199" i="21"/>
  <c r="O199" i="21" s="1"/>
  <c r="K199" i="21"/>
  <c r="H199" i="21"/>
  <c r="I199" i="21" s="1"/>
  <c r="E199" i="21"/>
  <c r="C199" i="21"/>
  <c r="AA198" i="21"/>
  <c r="S198" i="21"/>
  <c r="Q198" i="21"/>
  <c r="N198" i="21"/>
  <c r="O198" i="21" s="1"/>
  <c r="K198" i="21"/>
  <c r="H198" i="21"/>
  <c r="I198" i="21" s="1"/>
  <c r="E198" i="21"/>
  <c r="C198" i="21"/>
  <c r="AA197" i="21"/>
  <c r="S197" i="21"/>
  <c r="Q197" i="21"/>
  <c r="K197" i="21"/>
  <c r="H197" i="21"/>
  <c r="I197" i="21" s="1"/>
  <c r="D197" i="21"/>
  <c r="E197" i="21" s="1"/>
  <c r="C197" i="21"/>
  <c r="AA196" i="21"/>
  <c r="S196" i="21"/>
  <c r="Q196" i="21"/>
  <c r="K196" i="21"/>
  <c r="H196" i="21"/>
  <c r="I196" i="21" s="1"/>
  <c r="D196" i="21"/>
  <c r="E196" i="21" s="1"/>
  <c r="C196" i="21"/>
  <c r="AA195" i="21"/>
  <c r="S195" i="21"/>
  <c r="Q195" i="21"/>
  <c r="N195" i="21"/>
  <c r="O195" i="21" s="1"/>
  <c r="K195" i="21"/>
  <c r="H195" i="21"/>
  <c r="I195" i="21" s="1"/>
  <c r="E195" i="21"/>
  <c r="C195" i="21"/>
  <c r="AA194" i="21"/>
  <c r="S194" i="21"/>
  <c r="Q194" i="21"/>
  <c r="N194" i="21"/>
  <c r="O194" i="21" s="1"/>
  <c r="K194" i="21"/>
  <c r="H194" i="21"/>
  <c r="I194" i="21" s="1"/>
  <c r="E194" i="21"/>
  <c r="C194" i="21"/>
  <c r="AA193" i="21"/>
  <c r="S193" i="21"/>
  <c r="Q193" i="21"/>
  <c r="N193" i="21"/>
  <c r="O193" i="21" s="1"/>
  <c r="K193" i="21"/>
  <c r="H193" i="21"/>
  <c r="I193" i="21" s="1"/>
  <c r="E193" i="21"/>
  <c r="C193" i="21"/>
  <c r="AA192" i="21"/>
  <c r="S192" i="21"/>
  <c r="Q192" i="21"/>
  <c r="N192" i="21"/>
  <c r="O192" i="21" s="1"/>
  <c r="K192" i="21"/>
  <c r="H192" i="21"/>
  <c r="I192" i="21" s="1"/>
  <c r="E192" i="21"/>
  <c r="C192" i="21"/>
  <c r="AA191" i="21"/>
  <c r="S191" i="21"/>
  <c r="Q191" i="21"/>
  <c r="N191" i="21"/>
  <c r="O191" i="21" s="1"/>
  <c r="K191" i="21"/>
  <c r="H191" i="21"/>
  <c r="I191" i="21" s="1"/>
  <c r="E191" i="21"/>
  <c r="C191" i="21"/>
  <c r="AA190" i="21"/>
  <c r="S190" i="21"/>
  <c r="Q190" i="21"/>
  <c r="N190" i="21"/>
  <c r="O190" i="21" s="1"/>
  <c r="K190" i="21"/>
  <c r="H190" i="21"/>
  <c r="I190" i="21" s="1"/>
  <c r="E190" i="21"/>
  <c r="C190" i="21"/>
  <c r="AA189" i="21"/>
  <c r="S189" i="21"/>
  <c r="Q189" i="21"/>
  <c r="N189" i="21"/>
  <c r="O189" i="21" s="1"/>
  <c r="K189" i="21"/>
  <c r="H189" i="21"/>
  <c r="I189" i="21" s="1"/>
  <c r="E189" i="21"/>
  <c r="C189" i="21"/>
  <c r="AA188" i="21"/>
  <c r="S188" i="21"/>
  <c r="Q188" i="21"/>
  <c r="N188" i="21"/>
  <c r="O188" i="21" s="1"/>
  <c r="K188" i="21"/>
  <c r="H188" i="21"/>
  <c r="I188" i="21" s="1"/>
  <c r="E188" i="21"/>
  <c r="C188" i="21"/>
  <c r="AA187" i="21"/>
  <c r="S187" i="21"/>
  <c r="Q187" i="21"/>
  <c r="N187" i="21"/>
  <c r="O187" i="21" s="1"/>
  <c r="K187" i="21"/>
  <c r="H187" i="21"/>
  <c r="I187" i="21" s="1"/>
  <c r="E187" i="21"/>
  <c r="C187" i="21"/>
  <c r="AA186" i="21"/>
  <c r="S186" i="21"/>
  <c r="Q186" i="21"/>
  <c r="N186" i="21"/>
  <c r="O186" i="21" s="1"/>
  <c r="K186" i="21"/>
  <c r="H186" i="21"/>
  <c r="I186" i="21" s="1"/>
  <c r="E186" i="21"/>
  <c r="C186" i="21"/>
  <c r="AA185" i="21"/>
  <c r="S185" i="21"/>
  <c r="Q185" i="21"/>
  <c r="N185" i="21"/>
  <c r="O185" i="21" s="1"/>
  <c r="K185" i="21"/>
  <c r="H185" i="21"/>
  <c r="I185" i="21" s="1"/>
  <c r="E185" i="21"/>
  <c r="C185" i="21"/>
  <c r="AA184" i="21"/>
  <c r="S184" i="21"/>
  <c r="Q184" i="21"/>
  <c r="N184" i="21"/>
  <c r="O184" i="21" s="1"/>
  <c r="K184" i="21"/>
  <c r="H184" i="21"/>
  <c r="I184" i="21" s="1"/>
  <c r="E184" i="21"/>
  <c r="C184" i="21"/>
  <c r="AA183" i="21"/>
  <c r="S183" i="21"/>
  <c r="Q183" i="21"/>
  <c r="N183" i="21"/>
  <c r="O183" i="21" s="1"/>
  <c r="K183" i="21"/>
  <c r="H183" i="21"/>
  <c r="I183" i="21" s="1"/>
  <c r="E183" i="21"/>
  <c r="C183" i="21"/>
  <c r="AA182" i="21"/>
  <c r="S182" i="21"/>
  <c r="Q182" i="21"/>
  <c r="N182" i="21"/>
  <c r="O182" i="21" s="1"/>
  <c r="K182" i="21"/>
  <c r="H182" i="21"/>
  <c r="I182" i="21" s="1"/>
  <c r="E182" i="21"/>
  <c r="C182" i="21"/>
  <c r="AA181" i="21"/>
  <c r="S181" i="21"/>
  <c r="Q181" i="21"/>
  <c r="N181" i="21"/>
  <c r="O181" i="21" s="1"/>
  <c r="K181" i="21"/>
  <c r="H181" i="21"/>
  <c r="I181" i="21" s="1"/>
  <c r="E181" i="21"/>
  <c r="C181" i="21"/>
  <c r="AA180" i="21"/>
  <c r="S180" i="21"/>
  <c r="Q180" i="21"/>
  <c r="N180" i="21"/>
  <c r="O180" i="21" s="1"/>
  <c r="K180" i="21"/>
  <c r="H180" i="21"/>
  <c r="I180" i="21" s="1"/>
  <c r="E180" i="21"/>
  <c r="C180" i="21"/>
  <c r="AA179" i="21"/>
  <c r="S179" i="21"/>
  <c r="Q179" i="21"/>
  <c r="N179" i="21"/>
  <c r="O179" i="21" s="1"/>
  <c r="K179" i="21"/>
  <c r="H179" i="21"/>
  <c r="I179" i="21" s="1"/>
  <c r="E179" i="21"/>
  <c r="C179" i="21"/>
  <c r="AA178" i="21"/>
  <c r="S178" i="21"/>
  <c r="Q178" i="21"/>
  <c r="N178" i="21"/>
  <c r="O178" i="21" s="1"/>
  <c r="K178" i="21"/>
  <c r="H178" i="21"/>
  <c r="I178" i="21" s="1"/>
  <c r="E178" i="21"/>
  <c r="C178" i="21"/>
  <c r="AA177" i="21"/>
  <c r="S177" i="21"/>
  <c r="Q177" i="21"/>
  <c r="N177" i="21"/>
  <c r="O177" i="21" s="1"/>
  <c r="K177" i="21"/>
  <c r="H177" i="21"/>
  <c r="I177" i="21" s="1"/>
  <c r="E177" i="21"/>
  <c r="C177" i="21"/>
  <c r="AA176" i="21"/>
  <c r="S176" i="21"/>
  <c r="Q176" i="21"/>
  <c r="N176" i="21"/>
  <c r="O176" i="21" s="1"/>
  <c r="K176" i="21"/>
  <c r="H176" i="21"/>
  <c r="I176" i="21" s="1"/>
  <c r="E176" i="21"/>
  <c r="C176" i="21"/>
  <c r="AA175" i="21"/>
  <c r="S175" i="21"/>
  <c r="Q175" i="21"/>
  <c r="N175" i="21"/>
  <c r="O175" i="21" s="1"/>
  <c r="K175" i="21"/>
  <c r="H175" i="21"/>
  <c r="I175" i="21" s="1"/>
  <c r="E175" i="21"/>
  <c r="C175" i="21"/>
  <c r="AA174" i="21"/>
  <c r="S174" i="21"/>
  <c r="Q174" i="21"/>
  <c r="N174" i="21"/>
  <c r="O174" i="21" s="1"/>
  <c r="K174" i="21"/>
  <c r="H174" i="21"/>
  <c r="I174" i="21" s="1"/>
  <c r="E174" i="21"/>
  <c r="C174" i="21"/>
  <c r="AA173" i="21"/>
  <c r="S173" i="21"/>
  <c r="Q173" i="21"/>
  <c r="N173" i="21"/>
  <c r="O173" i="21" s="1"/>
  <c r="K173" i="21"/>
  <c r="H173" i="21"/>
  <c r="I173" i="21" s="1"/>
  <c r="E173" i="21"/>
  <c r="C173" i="21"/>
  <c r="AA172" i="21"/>
  <c r="S172" i="21"/>
  <c r="Q172" i="21"/>
  <c r="N172" i="21"/>
  <c r="O172" i="21" s="1"/>
  <c r="K172" i="21"/>
  <c r="H172" i="21"/>
  <c r="I172" i="21" s="1"/>
  <c r="E172" i="21"/>
  <c r="C172" i="21"/>
  <c r="AA171" i="21"/>
  <c r="S171" i="21"/>
  <c r="Q171" i="21"/>
  <c r="N171" i="21"/>
  <c r="O171" i="21" s="1"/>
  <c r="K171" i="21"/>
  <c r="H171" i="21"/>
  <c r="I171" i="21" s="1"/>
  <c r="E171" i="21"/>
  <c r="C171" i="21"/>
  <c r="AA170" i="21"/>
  <c r="S170" i="21"/>
  <c r="Q170" i="21"/>
  <c r="N170" i="21"/>
  <c r="O170" i="21" s="1"/>
  <c r="K170" i="21"/>
  <c r="H170" i="21"/>
  <c r="I170" i="21" s="1"/>
  <c r="E170" i="21"/>
  <c r="C170" i="21"/>
  <c r="AA169" i="21"/>
  <c r="S169" i="21"/>
  <c r="Q169" i="21"/>
  <c r="N169" i="21"/>
  <c r="O169" i="21" s="1"/>
  <c r="K169" i="21"/>
  <c r="H169" i="21"/>
  <c r="I169" i="21" s="1"/>
  <c r="E169" i="21"/>
  <c r="C169" i="21"/>
  <c r="AA168" i="21"/>
  <c r="S168" i="21"/>
  <c r="Q168" i="21"/>
  <c r="N168" i="21"/>
  <c r="O168" i="21" s="1"/>
  <c r="K168" i="21"/>
  <c r="H168" i="21"/>
  <c r="I168" i="21" s="1"/>
  <c r="E168" i="21"/>
  <c r="C168" i="21"/>
  <c r="AA167" i="21"/>
  <c r="S167" i="21"/>
  <c r="Q167" i="21"/>
  <c r="N167" i="21"/>
  <c r="O167" i="21" s="1"/>
  <c r="K167" i="21"/>
  <c r="H167" i="21"/>
  <c r="I167" i="21" s="1"/>
  <c r="E167" i="21"/>
  <c r="C167" i="21"/>
  <c r="AA166" i="21"/>
  <c r="S166" i="21"/>
  <c r="Q166" i="21"/>
  <c r="N166" i="21"/>
  <c r="O166" i="21" s="1"/>
  <c r="K166" i="21"/>
  <c r="H166" i="21"/>
  <c r="I166" i="21" s="1"/>
  <c r="E166" i="21"/>
  <c r="C166" i="21"/>
  <c r="AA165" i="21"/>
  <c r="S165" i="21"/>
  <c r="Q165" i="21"/>
  <c r="N165" i="21"/>
  <c r="O165" i="21" s="1"/>
  <c r="K165" i="21"/>
  <c r="H165" i="21"/>
  <c r="I165" i="21" s="1"/>
  <c r="E165" i="21"/>
  <c r="C165" i="21"/>
  <c r="AA164" i="21"/>
  <c r="S164" i="21"/>
  <c r="Q164" i="21"/>
  <c r="N164" i="21"/>
  <c r="O164" i="21" s="1"/>
  <c r="K164" i="21"/>
  <c r="H164" i="21"/>
  <c r="I164" i="21" s="1"/>
  <c r="E164" i="21"/>
  <c r="C164" i="21"/>
  <c r="AA163" i="21"/>
  <c r="S163" i="21"/>
  <c r="Q163" i="21"/>
  <c r="N163" i="21"/>
  <c r="O163" i="21" s="1"/>
  <c r="K163" i="21"/>
  <c r="H163" i="21"/>
  <c r="I163" i="21" s="1"/>
  <c r="E163" i="21"/>
  <c r="C163" i="21"/>
  <c r="AA162" i="21"/>
  <c r="S162" i="21"/>
  <c r="Q162" i="21"/>
  <c r="N162" i="21"/>
  <c r="O162" i="21" s="1"/>
  <c r="K162" i="21"/>
  <c r="H162" i="21"/>
  <c r="I162" i="21" s="1"/>
  <c r="E162" i="21"/>
  <c r="C162" i="21"/>
  <c r="AA161" i="21"/>
  <c r="S161" i="21"/>
  <c r="Q161" i="21"/>
  <c r="N161" i="21"/>
  <c r="O161" i="21" s="1"/>
  <c r="K161" i="21"/>
  <c r="H161" i="21"/>
  <c r="I161" i="21" s="1"/>
  <c r="E161" i="21"/>
  <c r="C161" i="21"/>
  <c r="AA160" i="21"/>
  <c r="S160" i="21"/>
  <c r="Q160" i="21"/>
  <c r="N160" i="21"/>
  <c r="O160" i="21" s="1"/>
  <c r="K160" i="21"/>
  <c r="H160" i="21"/>
  <c r="I160" i="21" s="1"/>
  <c r="E160" i="21"/>
  <c r="C160" i="21"/>
  <c r="AA159" i="21"/>
  <c r="S159" i="21"/>
  <c r="Q159" i="21"/>
  <c r="N159" i="21"/>
  <c r="O159" i="21" s="1"/>
  <c r="K159" i="21"/>
  <c r="H159" i="21"/>
  <c r="I159" i="21" s="1"/>
  <c r="E159" i="21"/>
  <c r="C159" i="21"/>
  <c r="AA158" i="21"/>
  <c r="S158" i="21"/>
  <c r="Q158" i="21"/>
  <c r="N158" i="21"/>
  <c r="O158" i="21" s="1"/>
  <c r="K158" i="21"/>
  <c r="H158" i="21"/>
  <c r="I158" i="21" s="1"/>
  <c r="E158" i="21"/>
  <c r="C158" i="21"/>
  <c r="AA157" i="21"/>
  <c r="S157" i="21"/>
  <c r="Q157" i="21"/>
  <c r="N157" i="21"/>
  <c r="O157" i="21" s="1"/>
  <c r="K157" i="21"/>
  <c r="H157" i="21"/>
  <c r="I157" i="21" s="1"/>
  <c r="E157" i="21"/>
  <c r="C157" i="21"/>
  <c r="AA156" i="21"/>
  <c r="S156" i="21"/>
  <c r="Q156" i="21"/>
  <c r="N156" i="21"/>
  <c r="O156" i="21" s="1"/>
  <c r="K156" i="21"/>
  <c r="H156" i="21"/>
  <c r="I156" i="21" s="1"/>
  <c r="E156" i="21"/>
  <c r="C156" i="21"/>
  <c r="AA155" i="21"/>
  <c r="S155" i="21"/>
  <c r="Q155" i="21"/>
  <c r="N155" i="21"/>
  <c r="O155" i="21" s="1"/>
  <c r="K155" i="21"/>
  <c r="H155" i="21"/>
  <c r="I155" i="21" s="1"/>
  <c r="E155" i="21"/>
  <c r="C155" i="21"/>
  <c r="AA154" i="21"/>
  <c r="S154" i="21"/>
  <c r="Q154" i="21"/>
  <c r="N154" i="21"/>
  <c r="O154" i="21" s="1"/>
  <c r="K154" i="21"/>
  <c r="H154" i="21"/>
  <c r="I154" i="21" s="1"/>
  <c r="E154" i="21"/>
  <c r="C154" i="21"/>
  <c r="AA153" i="21"/>
  <c r="S153" i="21"/>
  <c r="Q153" i="21"/>
  <c r="N153" i="21"/>
  <c r="O153" i="21" s="1"/>
  <c r="K153" i="21"/>
  <c r="H153" i="21"/>
  <c r="I153" i="21" s="1"/>
  <c r="E153" i="21"/>
  <c r="C153" i="21"/>
  <c r="AA152" i="21"/>
  <c r="S152" i="21"/>
  <c r="Q152" i="21"/>
  <c r="N152" i="21"/>
  <c r="O152" i="21" s="1"/>
  <c r="K152" i="21"/>
  <c r="H152" i="21"/>
  <c r="I152" i="21" s="1"/>
  <c r="E152" i="21"/>
  <c r="C152" i="21"/>
  <c r="AA151" i="21"/>
  <c r="S151" i="21"/>
  <c r="Q151" i="21"/>
  <c r="N151" i="21"/>
  <c r="O151" i="21" s="1"/>
  <c r="K151" i="21"/>
  <c r="H151" i="21"/>
  <c r="I151" i="21" s="1"/>
  <c r="E151" i="21"/>
  <c r="C151" i="21"/>
  <c r="AA150" i="21"/>
  <c r="S150" i="21"/>
  <c r="Q150" i="21"/>
  <c r="N150" i="21"/>
  <c r="O150" i="21" s="1"/>
  <c r="K150" i="21"/>
  <c r="H150" i="21"/>
  <c r="I150" i="21" s="1"/>
  <c r="E150" i="21"/>
  <c r="C150" i="21"/>
  <c r="AA149" i="21"/>
  <c r="S149" i="21"/>
  <c r="Q149" i="21"/>
  <c r="N149" i="21"/>
  <c r="O149" i="21" s="1"/>
  <c r="K149" i="21"/>
  <c r="H149" i="21"/>
  <c r="I149" i="21" s="1"/>
  <c r="E149" i="21"/>
  <c r="C149" i="21"/>
  <c r="AA148" i="21"/>
  <c r="S148" i="21"/>
  <c r="Q148" i="21"/>
  <c r="N148" i="21"/>
  <c r="O148" i="21" s="1"/>
  <c r="K148" i="21"/>
  <c r="H148" i="21"/>
  <c r="I148" i="21" s="1"/>
  <c r="E148" i="21"/>
  <c r="C148" i="21"/>
  <c r="AA147" i="21"/>
  <c r="S147" i="21"/>
  <c r="Q147" i="21"/>
  <c r="N147" i="21"/>
  <c r="O147" i="21" s="1"/>
  <c r="K147" i="21"/>
  <c r="H147" i="21"/>
  <c r="I147" i="21" s="1"/>
  <c r="E147" i="21"/>
  <c r="C147" i="21"/>
  <c r="AA146" i="21"/>
  <c r="S146" i="21"/>
  <c r="Q146" i="21"/>
  <c r="N146" i="21"/>
  <c r="O146" i="21" s="1"/>
  <c r="K146" i="21"/>
  <c r="H146" i="21"/>
  <c r="I146" i="21" s="1"/>
  <c r="E146" i="21"/>
  <c r="C146" i="21"/>
  <c r="AA145" i="21"/>
  <c r="S145" i="21"/>
  <c r="Q145" i="21"/>
  <c r="N145" i="21"/>
  <c r="O145" i="21" s="1"/>
  <c r="K145" i="21"/>
  <c r="H145" i="21"/>
  <c r="I145" i="21" s="1"/>
  <c r="E145" i="21"/>
  <c r="C145" i="21"/>
  <c r="AA144" i="21"/>
  <c r="S144" i="21"/>
  <c r="Q144" i="21"/>
  <c r="N144" i="21"/>
  <c r="O144" i="21" s="1"/>
  <c r="K144" i="21"/>
  <c r="H144" i="21"/>
  <c r="I144" i="21" s="1"/>
  <c r="E144" i="21"/>
  <c r="C144" i="21"/>
  <c r="AA143" i="21"/>
  <c r="S143" i="21"/>
  <c r="Q143" i="21"/>
  <c r="N143" i="21"/>
  <c r="O143" i="21" s="1"/>
  <c r="K143" i="21"/>
  <c r="H143" i="21"/>
  <c r="I143" i="21" s="1"/>
  <c r="E143" i="21"/>
  <c r="C143" i="21"/>
  <c r="AA142" i="21"/>
  <c r="S142" i="21"/>
  <c r="Q142" i="21"/>
  <c r="N142" i="21"/>
  <c r="O142" i="21" s="1"/>
  <c r="K142" i="21"/>
  <c r="H142" i="21"/>
  <c r="I142" i="21" s="1"/>
  <c r="E142" i="21"/>
  <c r="C142" i="21"/>
  <c r="AA141" i="21"/>
  <c r="S141" i="21"/>
  <c r="Q141" i="21"/>
  <c r="N141" i="21"/>
  <c r="O141" i="21" s="1"/>
  <c r="K141" i="21"/>
  <c r="H141" i="21"/>
  <c r="I141" i="21" s="1"/>
  <c r="E141" i="21"/>
  <c r="C141" i="21"/>
  <c r="AA140" i="21"/>
  <c r="S140" i="21"/>
  <c r="Q140" i="21"/>
  <c r="N140" i="21"/>
  <c r="O140" i="21" s="1"/>
  <c r="K140" i="21"/>
  <c r="H140" i="21"/>
  <c r="I140" i="21" s="1"/>
  <c r="E140" i="21"/>
  <c r="C140" i="21"/>
  <c r="AA139" i="21"/>
  <c r="S139" i="21"/>
  <c r="Q139" i="21"/>
  <c r="N139" i="21"/>
  <c r="O139" i="21" s="1"/>
  <c r="K139" i="21"/>
  <c r="H139" i="21"/>
  <c r="I139" i="21" s="1"/>
  <c r="E139" i="21"/>
  <c r="C139" i="21"/>
  <c r="AA138" i="21"/>
  <c r="S138" i="21"/>
  <c r="Q138" i="21"/>
  <c r="N138" i="21"/>
  <c r="O138" i="21" s="1"/>
  <c r="K138" i="21"/>
  <c r="H138" i="21"/>
  <c r="I138" i="21" s="1"/>
  <c r="E138" i="21"/>
  <c r="C138" i="21"/>
  <c r="AA137" i="21"/>
  <c r="S137" i="21"/>
  <c r="Q137" i="21"/>
  <c r="N137" i="21"/>
  <c r="O137" i="21" s="1"/>
  <c r="K137" i="21"/>
  <c r="H137" i="21"/>
  <c r="I137" i="21" s="1"/>
  <c r="E137" i="21"/>
  <c r="C137" i="21"/>
  <c r="AA136" i="21"/>
  <c r="S136" i="21"/>
  <c r="Q136" i="21"/>
  <c r="N136" i="21"/>
  <c r="O136" i="21" s="1"/>
  <c r="K136" i="21"/>
  <c r="H136" i="21"/>
  <c r="I136" i="21" s="1"/>
  <c r="E136" i="21"/>
  <c r="C136" i="21"/>
  <c r="AA135" i="21"/>
  <c r="S135" i="21"/>
  <c r="Q135" i="21"/>
  <c r="N135" i="21"/>
  <c r="O135" i="21" s="1"/>
  <c r="K135" i="21"/>
  <c r="H135" i="21"/>
  <c r="I135" i="21" s="1"/>
  <c r="E135" i="21"/>
  <c r="C135" i="21"/>
  <c r="AA134" i="21"/>
  <c r="S134" i="21"/>
  <c r="Q134" i="21"/>
  <c r="N134" i="21"/>
  <c r="O134" i="21" s="1"/>
  <c r="K134" i="21"/>
  <c r="H134" i="21"/>
  <c r="I134" i="21" s="1"/>
  <c r="E134" i="21"/>
  <c r="C134" i="21"/>
  <c r="AA133" i="21"/>
  <c r="S133" i="21"/>
  <c r="Q133" i="21"/>
  <c r="N133" i="21"/>
  <c r="O133" i="21" s="1"/>
  <c r="K133" i="21"/>
  <c r="H133" i="21"/>
  <c r="I133" i="21" s="1"/>
  <c r="E133" i="21"/>
  <c r="C133" i="21"/>
  <c r="AA132" i="21"/>
  <c r="S132" i="21"/>
  <c r="Q132" i="21"/>
  <c r="N132" i="21"/>
  <c r="O132" i="21" s="1"/>
  <c r="K132" i="21"/>
  <c r="H132" i="21"/>
  <c r="I132" i="21" s="1"/>
  <c r="E132" i="21"/>
  <c r="C132" i="21"/>
  <c r="AA131" i="21"/>
  <c r="S131" i="21"/>
  <c r="Q131" i="21"/>
  <c r="N131" i="21"/>
  <c r="O131" i="21" s="1"/>
  <c r="K131" i="21"/>
  <c r="H131" i="21"/>
  <c r="I131" i="21" s="1"/>
  <c r="E131" i="21"/>
  <c r="C131" i="21"/>
  <c r="AA130" i="21"/>
  <c r="S130" i="21"/>
  <c r="Q130" i="21"/>
  <c r="N130" i="21"/>
  <c r="O130" i="21" s="1"/>
  <c r="K130" i="21"/>
  <c r="H130" i="21"/>
  <c r="I130" i="21" s="1"/>
  <c r="E130" i="21"/>
  <c r="C130" i="21"/>
  <c r="AA129" i="21"/>
  <c r="S129" i="21"/>
  <c r="Q129" i="21"/>
  <c r="N129" i="21"/>
  <c r="O129" i="21" s="1"/>
  <c r="K129" i="21"/>
  <c r="H129" i="21"/>
  <c r="I129" i="21" s="1"/>
  <c r="E129" i="21"/>
  <c r="C129" i="21"/>
  <c r="AA128" i="21"/>
  <c r="S128" i="21"/>
  <c r="Q128" i="21"/>
  <c r="N128" i="21"/>
  <c r="O128" i="21" s="1"/>
  <c r="K128" i="21"/>
  <c r="H128" i="21"/>
  <c r="I128" i="21" s="1"/>
  <c r="E128" i="21"/>
  <c r="C128" i="21"/>
  <c r="AA127" i="21"/>
  <c r="S127" i="21"/>
  <c r="Q127" i="21"/>
  <c r="N127" i="21"/>
  <c r="O127" i="21" s="1"/>
  <c r="K127" i="21"/>
  <c r="H127" i="21"/>
  <c r="I127" i="21" s="1"/>
  <c r="E127" i="21"/>
  <c r="C127" i="21"/>
  <c r="AA126" i="21"/>
  <c r="S126" i="21"/>
  <c r="Q126" i="21"/>
  <c r="N126" i="21"/>
  <c r="O126" i="21" s="1"/>
  <c r="K126" i="21"/>
  <c r="H126" i="21"/>
  <c r="I126" i="21" s="1"/>
  <c r="E126" i="21"/>
  <c r="C126" i="21"/>
  <c r="AA125" i="21"/>
  <c r="S125" i="21"/>
  <c r="Q125" i="21"/>
  <c r="N125" i="21"/>
  <c r="O125" i="21" s="1"/>
  <c r="K125" i="21"/>
  <c r="H125" i="21"/>
  <c r="I125" i="21" s="1"/>
  <c r="E125" i="21"/>
  <c r="C125" i="21"/>
  <c r="AA124" i="21"/>
  <c r="S124" i="21"/>
  <c r="Q124" i="21"/>
  <c r="N124" i="21"/>
  <c r="O124" i="21" s="1"/>
  <c r="K124" i="21"/>
  <c r="H124" i="21"/>
  <c r="I124" i="21" s="1"/>
  <c r="E124" i="21"/>
  <c r="C124" i="21"/>
  <c r="AA123" i="21"/>
  <c r="S123" i="21"/>
  <c r="Q123" i="21"/>
  <c r="N123" i="21"/>
  <c r="O123" i="21" s="1"/>
  <c r="K123" i="21"/>
  <c r="H123" i="21"/>
  <c r="I123" i="21" s="1"/>
  <c r="E123" i="21"/>
  <c r="C123" i="21"/>
  <c r="AA122" i="21"/>
  <c r="S122" i="21"/>
  <c r="Q122" i="21"/>
  <c r="N122" i="21"/>
  <c r="O122" i="21" s="1"/>
  <c r="K122" i="21"/>
  <c r="H122" i="21"/>
  <c r="I122" i="21" s="1"/>
  <c r="E122" i="21"/>
  <c r="C122" i="21"/>
  <c r="AA121" i="21"/>
  <c r="S121" i="21"/>
  <c r="Q121" i="21"/>
  <c r="N121" i="21"/>
  <c r="O121" i="21" s="1"/>
  <c r="K121" i="21"/>
  <c r="H121" i="21"/>
  <c r="I121" i="21" s="1"/>
  <c r="E121" i="21"/>
  <c r="C121" i="21"/>
  <c r="AA120" i="21"/>
  <c r="S120" i="21"/>
  <c r="Q120" i="21"/>
  <c r="N120" i="21"/>
  <c r="O120" i="21" s="1"/>
  <c r="K120" i="21"/>
  <c r="H120" i="21"/>
  <c r="I120" i="21" s="1"/>
  <c r="E120" i="21"/>
  <c r="C120" i="21"/>
  <c r="AA119" i="21"/>
  <c r="S119" i="21"/>
  <c r="Q119" i="21"/>
  <c r="N119" i="21"/>
  <c r="O119" i="21" s="1"/>
  <c r="K119" i="21"/>
  <c r="H119" i="21"/>
  <c r="I119" i="21" s="1"/>
  <c r="E119" i="21"/>
  <c r="C119" i="21"/>
  <c r="AA118" i="21"/>
  <c r="S118" i="21"/>
  <c r="Q118" i="21"/>
  <c r="N118" i="21"/>
  <c r="O118" i="21" s="1"/>
  <c r="K118" i="21"/>
  <c r="H118" i="21"/>
  <c r="I118" i="21" s="1"/>
  <c r="E118" i="21"/>
  <c r="C118" i="21"/>
  <c r="AA117" i="21"/>
  <c r="S117" i="21"/>
  <c r="Q117" i="21"/>
  <c r="N117" i="21"/>
  <c r="O117" i="21" s="1"/>
  <c r="K117" i="21"/>
  <c r="H117" i="21"/>
  <c r="I117" i="21" s="1"/>
  <c r="E117" i="21"/>
  <c r="C117" i="21"/>
  <c r="AA116" i="21"/>
  <c r="S116" i="21"/>
  <c r="Q116" i="21"/>
  <c r="N116" i="21"/>
  <c r="O116" i="21" s="1"/>
  <c r="K116" i="21"/>
  <c r="H116" i="21"/>
  <c r="I116" i="21" s="1"/>
  <c r="E116" i="21"/>
  <c r="C116" i="21"/>
  <c r="AA115" i="21"/>
  <c r="S115" i="21"/>
  <c r="Q115" i="21"/>
  <c r="N115" i="21"/>
  <c r="O115" i="21" s="1"/>
  <c r="K115" i="21"/>
  <c r="H115" i="21"/>
  <c r="I115" i="21" s="1"/>
  <c r="E115" i="21"/>
  <c r="C115" i="21"/>
  <c r="AA114" i="21"/>
  <c r="S114" i="21"/>
  <c r="Q114" i="21"/>
  <c r="N114" i="21"/>
  <c r="O114" i="21" s="1"/>
  <c r="K114" i="21"/>
  <c r="H114" i="21"/>
  <c r="I114" i="21" s="1"/>
  <c r="E114" i="21"/>
  <c r="C114" i="21"/>
  <c r="AA113" i="21"/>
  <c r="S113" i="21"/>
  <c r="Q113" i="21"/>
  <c r="N113" i="21"/>
  <c r="O113" i="21" s="1"/>
  <c r="K113" i="21"/>
  <c r="H113" i="21"/>
  <c r="I113" i="21" s="1"/>
  <c r="E113" i="21"/>
  <c r="C113" i="21"/>
  <c r="AA112" i="21"/>
  <c r="S112" i="21"/>
  <c r="Q112" i="21"/>
  <c r="N112" i="21"/>
  <c r="O112" i="21" s="1"/>
  <c r="K112" i="21"/>
  <c r="H112" i="21"/>
  <c r="I112" i="21" s="1"/>
  <c r="E112" i="21"/>
  <c r="C112" i="21"/>
  <c r="AA111" i="21"/>
  <c r="S111" i="21"/>
  <c r="Q111" i="21"/>
  <c r="N111" i="21"/>
  <c r="O111" i="21" s="1"/>
  <c r="K111" i="21"/>
  <c r="H111" i="21"/>
  <c r="I111" i="21" s="1"/>
  <c r="E111" i="21"/>
  <c r="C111" i="21"/>
  <c r="AA110" i="21"/>
  <c r="S110" i="21"/>
  <c r="Q110" i="21"/>
  <c r="N110" i="21"/>
  <c r="O110" i="21" s="1"/>
  <c r="K110" i="21"/>
  <c r="H110" i="21"/>
  <c r="I110" i="21" s="1"/>
  <c r="E110" i="21"/>
  <c r="C110" i="21"/>
  <c r="AA109" i="21"/>
  <c r="S109" i="21"/>
  <c r="Q109" i="21"/>
  <c r="N109" i="21"/>
  <c r="O109" i="21" s="1"/>
  <c r="K109" i="21"/>
  <c r="H109" i="21"/>
  <c r="I109" i="21" s="1"/>
  <c r="E109" i="21"/>
  <c r="C109" i="21"/>
  <c r="AA108" i="21"/>
  <c r="S108" i="21"/>
  <c r="Q108" i="21"/>
  <c r="N108" i="21"/>
  <c r="O108" i="21" s="1"/>
  <c r="K108" i="21"/>
  <c r="H108" i="21"/>
  <c r="I108" i="21" s="1"/>
  <c r="E108" i="21"/>
  <c r="C108" i="21"/>
  <c r="AA107" i="21"/>
  <c r="S107" i="21"/>
  <c r="Q107" i="21"/>
  <c r="N107" i="21"/>
  <c r="O107" i="21" s="1"/>
  <c r="K107" i="21"/>
  <c r="H107" i="21"/>
  <c r="I107" i="21" s="1"/>
  <c r="E107" i="21"/>
  <c r="C107" i="21"/>
  <c r="AA106" i="21"/>
  <c r="S106" i="21"/>
  <c r="Q106" i="21"/>
  <c r="N106" i="21"/>
  <c r="O106" i="21" s="1"/>
  <c r="K106" i="21"/>
  <c r="H106" i="21"/>
  <c r="I106" i="21" s="1"/>
  <c r="E106" i="21"/>
  <c r="C106" i="21"/>
  <c r="AA105" i="21"/>
  <c r="S105" i="21"/>
  <c r="Q105" i="21"/>
  <c r="N105" i="21"/>
  <c r="O105" i="21" s="1"/>
  <c r="K105" i="21"/>
  <c r="H105" i="21"/>
  <c r="I105" i="21" s="1"/>
  <c r="E105" i="21"/>
  <c r="C105" i="21"/>
  <c r="AA104" i="21"/>
  <c r="S104" i="21"/>
  <c r="Q104" i="21"/>
  <c r="N104" i="21"/>
  <c r="O104" i="21" s="1"/>
  <c r="K104" i="21"/>
  <c r="H104" i="21"/>
  <c r="I104" i="21" s="1"/>
  <c r="E104" i="21"/>
  <c r="C104" i="21"/>
  <c r="AA103" i="21"/>
  <c r="S103" i="21"/>
  <c r="Q103" i="21"/>
  <c r="N103" i="21"/>
  <c r="O103" i="21" s="1"/>
  <c r="K103" i="21"/>
  <c r="H103" i="21"/>
  <c r="I103" i="21" s="1"/>
  <c r="E103" i="21"/>
  <c r="C103" i="21"/>
  <c r="AA102" i="21"/>
  <c r="S102" i="21"/>
  <c r="Q102" i="21"/>
  <c r="N102" i="21"/>
  <c r="O102" i="21" s="1"/>
  <c r="K102" i="21"/>
  <c r="H102" i="21"/>
  <c r="I102" i="21" s="1"/>
  <c r="E102" i="21"/>
  <c r="C102" i="21"/>
  <c r="AA101" i="21"/>
  <c r="S101" i="21"/>
  <c r="Q101" i="21"/>
  <c r="N101" i="21"/>
  <c r="O101" i="21" s="1"/>
  <c r="K101" i="21"/>
  <c r="H101" i="21"/>
  <c r="I101" i="21" s="1"/>
  <c r="E101" i="21"/>
  <c r="C101" i="21"/>
  <c r="AA100" i="21"/>
  <c r="S100" i="21"/>
  <c r="Q100" i="21"/>
  <c r="N100" i="21"/>
  <c r="O100" i="21" s="1"/>
  <c r="K100" i="21"/>
  <c r="H100" i="21"/>
  <c r="I100" i="21" s="1"/>
  <c r="E100" i="21"/>
  <c r="C100" i="21"/>
  <c r="AA99" i="21"/>
  <c r="S99" i="21"/>
  <c r="Q99" i="21"/>
  <c r="N99" i="21"/>
  <c r="O99" i="21" s="1"/>
  <c r="K99" i="21"/>
  <c r="H99" i="21"/>
  <c r="I99" i="21" s="1"/>
  <c r="E99" i="21"/>
  <c r="C99" i="21"/>
  <c r="AA98" i="21"/>
  <c r="S98" i="21"/>
  <c r="Q98" i="21"/>
  <c r="N98" i="21"/>
  <c r="O98" i="21" s="1"/>
  <c r="K98" i="21"/>
  <c r="H98" i="21"/>
  <c r="I98" i="21" s="1"/>
  <c r="E98" i="21"/>
  <c r="C98" i="21"/>
  <c r="AA97" i="21"/>
  <c r="S97" i="21"/>
  <c r="Q97" i="21"/>
  <c r="N97" i="21"/>
  <c r="O97" i="21" s="1"/>
  <c r="K97" i="21"/>
  <c r="H97" i="21"/>
  <c r="I97" i="21" s="1"/>
  <c r="E97" i="21"/>
  <c r="C97" i="21"/>
  <c r="AA96" i="21"/>
  <c r="S96" i="21"/>
  <c r="Q96" i="21"/>
  <c r="N96" i="21"/>
  <c r="O96" i="21" s="1"/>
  <c r="K96" i="21"/>
  <c r="H96" i="21"/>
  <c r="I96" i="21" s="1"/>
  <c r="E96" i="21"/>
  <c r="C96" i="21"/>
  <c r="AA95" i="21"/>
  <c r="S95" i="21"/>
  <c r="Q95" i="21"/>
  <c r="N95" i="21"/>
  <c r="O95" i="21" s="1"/>
  <c r="K95" i="21"/>
  <c r="H95" i="21"/>
  <c r="I95" i="21" s="1"/>
  <c r="E95" i="21"/>
  <c r="C95" i="21"/>
  <c r="AA94" i="21"/>
  <c r="S94" i="21"/>
  <c r="Q94" i="21"/>
  <c r="N94" i="21"/>
  <c r="O94" i="21" s="1"/>
  <c r="K94" i="21"/>
  <c r="H94" i="21"/>
  <c r="I94" i="21" s="1"/>
  <c r="E94" i="21"/>
  <c r="C94" i="21"/>
  <c r="AA93" i="21"/>
  <c r="S93" i="21"/>
  <c r="Q93" i="21"/>
  <c r="N93" i="21"/>
  <c r="O93" i="21" s="1"/>
  <c r="K93" i="21"/>
  <c r="H93" i="21"/>
  <c r="I93" i="21" s="1"/>
  <c r="E93" i="21"/>
  <c r="C93" i="21"/>
  <c r="AA92" i="21"/>
  <c r="S92" i="21"/>
  <c r="Q92" i="21"/>
  <c r="N92" i="21"/>
  <c r="O92" i="21" s="1"/>
  <c r="K92" i="21"/>
  <c r="H92" i="21"/>
  <c r="I92" i="21" s="1"/>
  <c r="E92" i="21"/>
  <c r="C92" i="21"/>
  <c r="AA91" i="21"/>
  <c r="S91" i="21"/>
  <c r="Q91" i="21"/>
  <c r="N91" i="21"/>
  <c r="O91" i="21" s="1"/>
  <c r="K91" i="21"/>
  <c r="H91" i="21"/>
  <c r="I91" i="21" s="1"/>
  <c r="E91" i="21"/>
  <c r="C91" i="21"/>
  <c r="AA90" i="21"/>
  <c r="S90" i="21"/>
  <c r="Q90" i="21"/>
  <c r="N90" i="21"/>
  <c r="O90" i="21" s="1"/>
  <c r="K90" i="21"/>
  <c r="H90" i="21"/>
  <c r="I90" i="21" s="1"/>
  <c r="E90" i="21"/>
  <c r="C90" i="21"/>
  <c r="AA89" i="21"/>
  <c r="S89" i="21"/>
  <c r="Q89" i="21"/>
  <c r="N89" i="21"/>
  <c r="O89" i="21" s="1"/>
  <c r="K89" i="21"/>
  <c r="H89" i="21"/>
  <c r="I89" i="21" s="1"/>
  <c r="E89" i="21"/>
  <c r="C89" i="21"/>
  <c r="AA88" i="21"/>
  <c r="S88" i="21"/>
  <c r="Q88" i="21"/>
  <c r="N88" i="21"/>
  <c r="O88" i="21" s="1"/>
  <c r="K88" i="21"/>
  <c r="H88" i="21"/>
  <c r="I88" i="21" s="1"/>
  <c r="E88" i="21"/>
  <c r="C88" i="21"/>
  <c r="AA87" i="21"/>
  <c r="S87" i="21"/>
  <c r="Q87" i="21"/>
  <c r="N87" i="21"/>
  <c r="O87" i="21" s="1"/>
  <c r="K87" i="21"/>
  <c r="H87" i="21"/>
  <c r="I87" i="21" s="1"/>
  <c r="E87" i="21"/>
  <c r="C87" i="21"/>
  <c r="AA86" i="21"/>
  <c r="S86" i="21"/>
  <c r="Q86" i="21"/>
  <c r="N86" i="21"/>
  <c r="O86" i="21" s="1"/>
  <c r="K86" i="21"/>
  <c r="H86" i="21"/>
  <c r="I86" i="21" s="1"/>
  <c r="E86" i="21"/>
  <c r="C86" i="21"/>
  <c r="AA85" i="21"/>
  <c r="S85" i="21"/>
  <c r="Q85" i="21"/>
  <c r="N85" i="21"/>
  <c r="O85" i="21" s="1"/>
  <c r="K85" i="21"/>
  <c r="H85" i="21"/>
  <c r="I85" i="21" s="1"/>
  <c r="E85" i="21"/>
  <c r="C85" i="21"/>
  <c r="AA84" i="21"/>
  <c r="S84" i="21"/>
  <c r="Q84" i="21"/>
  <c r="N84" i="21"/>
  <c r="O84" i="21" s="1"/>
  <c r="K84" i="21"/>
  <c r="H84" i="21"/>
  <c r="I84" i="21" s="1"/>
  <c r="E84" i="21"/>
  <c r="C84" i="21"/>
  <c r="AA83" i="21"/>
  <c r="S83" i="21"/>
  <c r="Q83" i="21"/>
  <c r="N83" i="21"/>
  <c r="O83" i="21" s="1"/>
  <c r="K83" i="21"/>
  <c r="H83" i="21"/>
  <c r="I83" i="21" s="1"/>
  <c r="E83" i="21"/>
  <c r="C83" i="21"/>
  <c r="AA82" i="21"/>
  <c r="S82" i="21"/>
  <c r="Q82" i="21"/>
  <c r="N82" i="21"/>
  <c r="O82" i="21" s="1"/>
  <c r="K82" i="21"/>
  <c r="H82" i="21"/>
  <c r="I82" i="21" s="1"/>
  <c r="E82" i="21"/>
  <c r="C82" i="21"/>
  <c r="AA81" i="21"/>
  <c r="S81" i="21"/>
  <c r="Q81" i="21"/>
  <c r="N81" i="21"/>
  <c r="O81" i="21" s="1"/>
  <c r="K81" i="21"/>
  <c r="H81" i="21"/>
  <c r="I81" i="21" s="1"/>
  <c r="E81" i="21"/>
  <c r="C81" i="21"/>
  <c r="AA80" i="21"/>
  <c r="S80" i="21"/>
  <c r="Q80" i="21"/>
  <c r="N80" i="21"/>
  <c r="O80" i="21" s="1"/>
  <c r="K80" i="21"/>
  <c r="H80" i="21"/>
  <c r="I80" i="21" s="1"/>
  <c r="E80" i="21"/>
  <c r="C80" i="21"/>
  <c r="AA79" i="21"/>
  <c r="S79" i="21"/>
  <c r="Q79" i="21"/>
  <c r="N79" i="21"/>
  <c r="O79" i="21" s="1"/>
  <c r="K79" i="21"/>
  <c r="H79" i="21"/>
  <c r="I79" i="21" s="1"/>
  <c r="E79" i="21"/>
  <c r="C79" i="21"/>
  <c r="AA78" i="21"/>
  <c r="S78" i="21"/>
  <c r="Q78" i="21"/>
  <c r="N78" i="21"/>
  <c r="O78" i="21" s="1"/>
  <c r="K78" i="21"/>
  <c r="H78" i="21"/>
  <c r="I78" i="21" s="1"/>
  <c r="E78" i="21"/>
  <c r="C78" i="21"/>
  <c r="AA77" i="21"/>
  <c r="S77" i="21"/>
  <c r="Q77" i="21"/>
  <c r="N77" i="21"/>
  <c r="O77" i="21" s="1"/>
  <c r="K77" i="21"/>
  <c r="H77" i="21"/>
  <c r="I77" i="21" s="1"/>
  <c r="E77" i="21"/>
  <c r="C77" i="21"/>
  <c r="AA76" i="21"/>
  <c r="S76" i="21"/>
  <c r="Q76" i="21"/>
  <c r="N76" i="21"/>
  <c r="O76" i="21" s="1"/>
  <c r="K76" i="21"/>
  <c r="H76" i="21"/>
  <c r="I76" i="21" s="1"/>
  <c r="E76" i="21"/>
  <c r="C76" i="21"/>
  <c r="AA75" i="21"/>
  <c r="S75" i="21"/>
  <c r="Q75" i="21"/>
  <c r="N75" i="21"/>
  <c r="O75" i="21" s="1"/>
  <c r="K75" i="21"/>
  <c r="H75" i="21"/>
  <c r="I75" i="21" s="1"/>
  <c r="E75" i="21"/>
  <c r="C75" i="21"/>
  <c r="AA74" i="21"/>
  <c r="S74" i="21"/>
  <c r="Q74" i="21"/>
  <c r="N74" i="21"/>
  <c r="O74" i="21" s="1"/>
  <c r="K74" i="21"/>
  <c r="H74" i="21"/>
  <c r="I74" i="21" s="1"/>
  <c r="E74" i="21"/>
  <c r="C74" i="21"/>
  <c r="AA73" i="21"/>
  <c r="S73" i="21"/>
  <c r="Q73" i="21"/>
  <c r="N73" i="21"/>
  <c r="O73" i="21" s="1"/>
  <c r="K73" i="21"/>
  <c r="H73" i="21"/>
  <c r="I73" i="21" s="1"/>
  <c r="E73" i="21"/>
  <c r="C73" i="21"/>
  <c r="AA72" i="21"/>
  <c r="S72" i="21"/>
  <c r="Q72" i="21"/>
  <c r="N72" i="21"/>
  <c r="O72" i="21" s="1"/>
  <c r="K72" i="21"/>
  <c r="H72" i="21"/>
  <c r="I72" i="21" s="1"/>
  <c r="E72" i="21"/>
  <c r="C72" i="21"/>
  <c r="AA71" i="21"/>
  <c r="S71" i="21"/>
  <c r="Q71" i="21"/>
  <c r="N71" i="21"/>
  <c r="O71" i="21" s="1"/>
  <c r="K71" i="21"/>
  <c r="H71" i="21"/>
  <c r="I71" i="21" s="1"/>
  <c r="E71" i="21"/>
  <c r="C71" i="21"/>
  <c r="AA70" i="21"/>
  <c r="S70" i="21"/>
  <c r="Q70" i="21"/>
  <c r="N70" i="21"/>
  <c r="O70" i="21" s="1"/>
  <c r="K70" i="21"/>
  <c r="H70" i="21"/>
  <c r="I70" i="21" s="1"/>
  <c r="E70" i="21"/>
  <c r="C70" i="21"/>
  <c r="AA69" i="21"/>
  <c r="S69" i="21"/>
  <c r="Q69" i="21"/>
  <c r="N69" i="21"/>
  <c r="O69" i="21" s="1"/>
  <c r="K69" i="21"/>
  <c r="H69" i="21"/>
  <c r="I69" i="21" s="1"/>
  <c r="E69" i="21"/>
  <c r="C69" i="21"/>
  <c r="AA68" i="21"/>
  <c r="S68" i="21"/>
  <c r="Q68" i="21"/>
  <c r="N68" i="21"/>
  <c r="O68" i="21" s="1"/>
  <c r="K68" i="21"/>
  <c r="H68" i="21"/>
  <c r="I68" i="21" s="1"/>
  <c r="E68" i="21"/>
  <c r="C68" i="21"/>
  <c r="AA67" i="21"/>
  <c r="S67" i="21"/>
  <c r="Q67" i="21"/>
  <c r="N67" i="21"/>
  <c r="O67" i="21" s="1"/>
  <c r="K67" i="21"/>
  <c r="H67" i="21"/>
  <c r="I67" i="21" s="1"/>
  <c r="E67" i="21"/>
  <c r="C67" i="21"/>
  <c r="AA66" i="21"/>
  <c r="S66" i="21"/>
  <c r="Q66" i="21"/>
  <c r="N66" i="21"/>
  <c r="O66" i="21" s="1"/>
  <c r="K66" i="21"/>
  <c r="H66" i="21"/>
  <c r="I66" i="21" s="1"/>
  <c r="E66" i="21"/>
  <c r="C66" i="21"/>
  <c r="AA65" i="21"/>
  <c r="S65" i="21"/>
  <c r="Q65" i="21"/>
  <c r="N65" i="21"/>
  <c r="O65" i="21" s="1"/>
  <c r="K65" i="21"/>
  <c r="H65" i="21"/>
  <c r="I65" i="21" s="1"/>
  <c r="E65" i="21"/>
  <c r="C65" i="21"/>
  <c r="AA64" i="21"/>
  <c r="S64" i="21"/>
  <c r="Q64" i="21"/>
  <c r="N64" i="21"/>
  <c r="O64" i="21" s="1"/>
  <c r="K64" i="21"/>
  <c r="H64" i="21"/>
  <c r="I64" i="21" s="1"/>
  <c r="E64" i="21"/>
  <c r="C64" i="21"/>
  <c r="AA63" i="21"/>
  <c r="S63" i="21"/>
  <c r="Q63" i="21"/>
  <c r="N63" i="21"/>
  <c r="O63" i="21" s="1"/>
  <c r="K63" i="21"/>
  <c r="H63" i="21"/>
  <c r="I63" i="21" s="1"/>
  <c r="E63" i="21"/>
  <c r="C63" i="21"/>
  <c r="AA62" i="21"/>
  <c r="S62" i="21"/>
  <c r="Q62" i="21"/>
  <c r="N62" i="21"/>
  <c r="O62" i="21" s="1"/>
  <c r="K62" i="21"/>
  <c r="H62" i="21"/>
  <c r="I62" i="21" s="1"/>
  <c r="E62" i="21"/>
  <c r="C62" i="21"/>
  <c r="AA61" i="21"/>
  <c r="S61" i="21"/>
  <c r="Q61" i="21"/>
  <c r="N61" i="21"/>
  <c r="O61" i="21" s="1"/>
  <c r="K61" i="21"/>
  <c r="H61" i="21"/>
  <c r="I61" i="21" s="1"/>
  <c r="E61" i="21"/>
  <c r="C61" i="21"/>
  <c r="AA60" i="21"/>
  <c r="S60" i="21"/>
  <c r="Q60" i="21"/>
  <c r="N60" i="21"/>
  <c r="O60" i="21" s="1"/>
  <c r="K60" i="21"/>
  <c r="H60" i="21"/>
  <c r="I60" i="21" s="1"/>
  <c r="E60" i="21"/>
  <c r="C60" i="21"/>
  <c r="AA59" i="21"/>
  <c r="S59" i="21"/>
  <c r="Q59" i="21"/>
  <c r="N59" i="21"/>
  <c r="O59" i="21" s="1"/>
  <c r="K59" i="21"/>
  <c r="H59" i="21"/>
  <c r="I59" i="21" s="1"/>
  <c r="E59" i="21"/>
  <c r="C59" i="21"/>
  <c r="AA58" i="21"/>
  <c r="S58" i="21"/>
  <c r="Q58" i="21"/>
  <c r="N58" i="21"/>
  <c r="O58" i="21" s="1"/>
  <c r="K58" i="21"/>
  <c r="H58" i="21"/>
  <c r="I58" i="21" s="1"/>
  <c r="E58" i="21"/>
  <c r="C58" i="21"/>
  <c r="AA57" i="21"/>
  <c r="S57" i="21"/>
  <c r="Q57" i="21"/>
  <c r="N57" i="21"/>
  <c r="O57" i="21" s="1"/>
  <c r="K57" i="21"/>
  <c r="H57" i="21"/>
  <c r="I57" i="21" s="1"/>
  <c r="E57" i="21"/>
  <c r="C57" i="21"/>
  <c r="AA56" i="21"/>
  <c r="S56" i="21"/>
  <c r="Q56" i="21"/>
  <c r="N56" i="21"/>
  <c r="O56" i="21" s="1"/>
  <c r="K56" i="21"/>
  <c r="H56" i="21"/>
  <c r="I56" i="21" s="1"/>
  <c r="E56" i="21"/>
  <c r="C56" i="21"/>
  <c r="AA55" i="21"/>
  <c r="S55" i="21"/>
  <c r="Q55" i="21"/>
  <c r="N55" i="21"/>
  <c r="O55" i="21" s="1"/>
  <c r="K55" i="21"/>
  <c r="H55" i="21"/>
  <c r="I55" i="21" s="1"/>
  <c r="E55" i="21"/>
  <c r="C55" i="21"/>
  <c r="AA54" i="21"/>
  <c r="S54" i="21"/>
  <c r="Q54" i="21"/>
  <c r="N54" i="21"/>
  <c r="O54" i="21" s="1"/>
  <c r="K54" i="21"/>
  <c r="H54" i="21"/>
  <c r="I54" i="21" s="1"/>
  <c r="E54" i="21"/>
  <c r="C54" i="21"/>
  <c r="AA53" i="21"/>
  <c r="S53" i="21"/>
  <c r="Q53" i="21"/>
  <c r="N53" i="21"/>
  <c r="O53" i="21" s="1"/>
  <c r="K53" i="21"/>
  <c r="H53" i="21"/>
  <c r="I53" i="21" s="1"/>
  <c r="E53" i="21"/>
  <c r="C53" i="21"/>
  <c r="AA52" i="21"/>
  <c r="S52" i="21"/>
  <c r="Q52" i="21"/>
  <c r="N52" i="21"/>
  <c r="O52" i="21" s="1"/>
  <c r="K52" i="21"/>
  <c r="H52" i="21"/>
  <c r="I52" i="21" s="1"/>
  <c r="E52" i="21"/>
  <c r="C52" i="21"/>
  <c r="AA51" i="21"/>
  <c r="S51" i="21"/>
  <c r="Q51" i="21"/>
  <c r="N51" i="21"/>
  <c r="O51" i="21" s="1"/>
  <c r="K51" i="21"/>
  <c r="H51" i="21"/>
  <c r="I51" i="21" s="1"/>
  <c r="E51" i="21"/>
  <c r="C51" i="21"/>
  <c r="AA50" i="21"/>
  <c r="S50" i="21"/>
  <c r="Q50" i="21"/>
  <c r="N50" i="21"/>
  <c r="O50" i="21" s="1"/>
  <c r="K50" i="21"/>
  <c r="H50" i="21"/>
  <c r="I50" i="21" s="1"/>
  <c r="E50" i="21"/>
  <c r="C50" i="21"/>
  <c r="AA49" i="21"/>
  <c r="S49" i="21"/>
  <c r="Q49" i="21"/>
  <c r="N49" i="21"/>
  <c r="O49" i="21" s="1"/>
  <c r="K49" i="21"/>
  <c r="H49" i="21"/>
  <c r="I49" i="21" s="1"/>
  <c r="E49" i="21"/>
  <c r="C49" i="21"/>
  <c r="AA48" i="21"/>
  <c r="S48" i="21"/>
  <c r="Q48" i="21"/>
  <c r="N48" i="21"/>
  <c r="O48" i="21" s="1"/>
  <c r="K48" i="21"/>
  <c r="H48" i="21"/>
  <c r="I48" i="21" s="1"/>
  <c r="E48" i="21"/>
  <c r="C48" i="21"/>
  <c r="AA47" i="21"/>
  <c r="S47" i="21"/>
  <c r="Q47" i="21"/>
  <c r="N47" i="21"/>
  <c r="O47" i="21" s="1"/>
  <c r="K47" i="21"/>
  <c r="H47" i="21"/>
  <c r="I47" i="21" s="1"/>
  <c r="E47" i="21"/>
  <c r="C47" i="21"/>
  <c r="AA46" i="21"/>
  <c r="S46" i="21"/>
  <c r="Q46" i="21"/>
  <c r="N46" i="21"/>
  <c r="O46" i="21" s="1"/>
  <c r="K46" i="21"/>
  <c r="H46" i="21"/>
  <c r="I46" i="21" s="1"/>
  <c r="E46" i="21"/>
  <c r="C46" i="21"/>
  <c r="AA45" i="21"/>
  <c r="S45" i="21"/>
  <c r="Q45" i="21"/>
  <c r="N45" i="21"/>
  <c r="O45" i="21" s="1"/>
  <c r="K45" i="21"/>
  <c r="H45" i="21"/>
  <c r="I45" i="21" s="1"/>
  <c r="E45" i="21"/>
  <c r="C45" i="21"/>
  <c r="AA44" i="21"/>
  <c r="S44" i="21"/>
  <c r="Q44" i="21"/>
  <c r="N44" i="21"/>
  <c r="O44" i="21" s="1"/>
  <c r="K44" i="21"/>
  <c r="H44" i="21"/>
  <c r="I44" i="21" s="1"/>
  <c r="E44" i="21"/>
  <c r="C44" i="21"/>
  <c r="AA43" i="21"/>
  <c r="S43" i="21"/>
  <c r="Q43" i="21"/>
  <c r="N43" i="21"/>
  <c r="O43" i="21" s="1"/>
  <c r="K43" i="21"/>
  <c r="H43" i="21"/>
  <c r="I43" i="21" s="1"/>
  <c r="E43" i="21"/>
  <c r="C43" i="21"/>
  <c r="AA42" i="21"/>
  <c r="S42" i="21"/>
  <c r="Q42" i="21"/>
  <c r="N42" i="21"/>
  <c r="O42" i="21" s="1"/>
  <c r="K42" i="21"/>
  <c r="H42" i="21"/>
  <c r="I42" i="21" s="1"/>
  <c r="E42" i="21"/>
  <c r="C42" i="21"/>
  <c r="AA41" i="21"/>
  <c r="S41" i="21"/>
  <c r="Q41" i="21"/>
  <c r="N41" i="21"/>
  <c r="O41" i="21" s="1"/>
  <c r="K41" i="21"/>
  <c r="H41" i="21"/>
  <c r="I41" i="21" s="1"/>
  <c r="E41" i="21"/>
  <c r="C41" i="21"/>
  <c r="AA40" i="21"/>
  <c r="S40" i="21"/>
  <c r="Q40" i="21"/>
  <c r="N40" i="21"/>
  <c r="O40" i="21" s="1"/>
  <c r="K40" i="21"/>
  <c r="H40" i="21"/>
  <c r="I40" i="21" s="1"/>
  <c r="E40" i="21"/>
  <c r="C40" i="21"/>
  <c r="AA39" i="21"/>
  <c r="S39" i="21"/>
  <c r="Q39" i="21"/>
  <c r="N39" i="21"/>
  <c r="O39" i="21" s="1"/>
  <c r="K39" i="21"/>
  <c r="H39" i="21"/>
  <c r="I39" i="21" s="1"/>
  <c r="E39" i="21"/>
  <c r="C39" i="21"/>
  <c r="AA38" i="21"/>
  <c r="S38" i="21"/>
  <c r="Q38" i="21"/>
  <c r="N38" i="21"/>
  <c r="O38" i="21" s="1"/>
  <c r="K38" i="21"/>
  <c r="H38" i="21"/>
  <c r="I38" i="21" s="1"/>
  <c r="E38" i="21"/>
  <c r="C38" i="21"/>
  <c r="AA37" i="21"/>
  <c r="S37" i="21"/>
  <c r="Q37" i="21"/>
  <c r="N37" i="21"/>
  <c r="O37" i="21" s="1"/>
  <c r="K37" i="21"/>
  <c r="H37" i="21"/>
  <c r="I37" i="21" s="1"/>
  <c r="E37" i="21"/>
  <c r="C37" i="21"/>
  <c r="AA36" i="21"/>
  <c r="S36" i="21"/>
  <c r="Q36" i="21"/>
  <c r="N36" i="21"/>
  <c r="O36" i="21" s="1"/>
  <c r="K36" i="21"/>
  <c r="H36" i="21"/>
  <c r="I36" i="21" s="1"/>
  <c r="E36" i="21"/>
  <c r="C36" i="21"/>
  <c r="AA35" i="21"/>
  <c r="S35" i="21"/>
  <c r="Q35" i="21"/>
  <c r="N35" i="21"/>
  <c r="O35" i="21" s="1"/>
  <c r="K35" i="21"/>
  <c r="H35" i="21"/>
  <c r="I35" i="21" s="1"/>
  <c r="E35" i="21"/>
  <c r="C35" i="21"/>
  <c r="AA34" i="21"/>
  <c r="S34" i="21"/>
  <c r="Q34" i="21"/>
  <c r="N34" i="21"/>
  <c r="O34" i="21" s="1"/>
  <c r="K34" i="21"/>
  <c r="H34" i="21"/>
  <c r="I34" i="21" s="1"/>
  <c r="E34" i="21"/>
  <c r="C34" i="21"/>
  <c r="AA33" i="21"/>
  <c r="S33" i="21"/>
  <c r="Q33" i="21"/>
  <c r="N33" i="21"/>
  <c r="O33" i="21" s="1"/>
  <c r="K33" i="21"/>
  <c r="H33" i="21"/>
  <c r="I33" i="21" s="1"/>
  <c r="E33" i="21"/>
  <c r="C33" i="21"/>
  <c r="AA32" i="21"/>
  <c r="S32" i="21"/>
  <c r="Q32" i="21"/>
  <c r="N32" i="21"/>
  <c r="O32" i="21" s="1"/>
  <c r="K32" i="21"/>
  <c r="H32" i="21"/>
  <c r="I32" i="21" s="1"/>
  <c r="E32" i="21"/>
  <c r="C32" i="21"/>
  <c r="AA31" i="21"/>
  <c r="S31" i="21"/>
  <c r="Q31" i="21"/>
  <c r="N31" i="21"/>
  <c r="O31" i="21" s="1"/>
  <c r="K31" i="21"/>
  <c r="H31" i="21"/>
  <c r="I31" i="21" s="1"/>
  <c r="E31" i="21"/>
  <c r="C31" i="21"/>
  <c r="AA30" i="21"/>
  <c r="S30" i="21"/>
  <c r="Q30" i="21"/>
  <c r="N30" i="21"/>
  <c r="O30" i="21" s="1"/>
  <c r="K30" i="21"/>
  <c r="H30" i="21"/>
  <c r="I30" i="21" s="1"/>
  <c r="E30" i="21"/>
  <c r="C30" i="21"/>
  <c r="AA29" i="21"/>
  <c r="S29" i="21"/>
  <c r="Q29" i="21"/>
  <c r="N29" i="21"/>
  <c r="O29" i="21" s="1"/>
  <c r="K29" i="21"/>
  <c r="H29" i="21"/>
  <c r="I29" i="21" s="1"/>
  <c r="E29" i="21"/>
  <c r="C29" i="21"/>
  <c r="AA28" i="21"/>
  <c r="S28" i="21"/>
  <c r="Q28" i="21"/>
  <c r="N28" i="21"/>
  <c r="O28" i="21" s="1"/>
  <c r="K28" i="21"/>
  <c r="H28" i="21"/>
  <c r="I28" i="21" s="1"/>
  <c r="E28" i="21"/>
  <c r="C28" i="21"/>
  <c r="AA27" i="21"/>
  <c r="S27" i="21"/>
  <c r="Q27" i="21"/>
  <c r="N27" i="21"/>
  <c r="O27" i="21" s="1"/>
  <c r="K27" i="21"/>
  <c r="H27" i="21"/>
  <c r="I27" i="21" s="1"/>
  <c r="E27" i="21"/>
  <c r="C27" i="21"/>
  <c r="AA26" i="21"/>
  <c r="S26" i="21"/>
  <c r="Q26" i="21"/>
  <c r="N26" i="21"/>
  <c r="O26" i="21" s="1"/>
  <c r="K26" i="21"/>
  <c r="H26" i="21"/>
  <c r="I26" i="21" s="1"/>
  <c r="E26" i="21"/>
  <c r="C26" i="21"/>
  <c r="AA25" i="21"/>
  <c r="S25" i="21"/>
  <c r="Q25" i="21"/>
  <c r="N25" i="21"/>
  <c r="O25" i="21" s="1"/>
  <c r="K25" i="21"/>
  <c r="H25" i="21"/>
  <c r="I25" i="21" s="1"/>
  <c r="E25" i="21"/>
  <c r="C25" i="21"/>
  <c r="AA24" i="21"/>
  <c r="S24" i="21"/>
  <c r="Q24" i="21"/>
  <c r="N24" i="21"/>
  <c r="O24" i="21" s="1"/>
  <c r="K24" i="21"/>
  <c r="H24" i="21"/>
  <c r="I24" i="21" s="1"/>
  <c r="E24" i="21"/>
  <c r="C24" i="21"/>
  <c r="AA23" i="21"/>
  <c r="S23" i="21"/>
  <c r="Q23" i="21"/>
  <c r="N23" i="21"/>
  <c r="O23" i="21" s="1"/>
  <c r="K23" i="21"/>
  <c r="H23" i="21"/>
  <c r="I23" i="21" s="1"/>
  <c r="E23" i="21"/>
  <c r="C23" i="21"/>
  <c r="AA22" i="21"/>
  <c r="S22" i="21"/>
  <c r="Q22" i="21"/>
  <c r="N22" i="21"/>
  <c r="O22" i="21" s="1"/>
  <c r="K22" i="21"/>
  <c r="H22" i="21"/>
  <c r="I22" i="21" s="1"/>
  <c r="E22" i="21"/>
  <c r="C22" i="21"/>
  <c r="AA21" i="21"/>
  <c r="S21" i="21"/>
  <c r="Q21" i="21"/>
  <c r="N21" i="21"/>
  <c r="O21" i="21" s="1"/>
  <c r="K21" i="21"/>
  <c r="H21" i="21"/>
  <c r="I21" i="21" s="1"/>
  <c r="E21" i="21"/>
  <c r="C21" i="21"/>
  <c r="AA20" i="21"/>
  <c r="S20" i="21"/>
  <c r="Q20" i="21"/>
  <c r="N20" i="21"/>
  <c r="O20" i="21" s="1"/>
  <c r="K20" i="21"/>
  <c r="H20" i="21"/>
  <c r="I20" i="21" s="1"/>
  <c r="E20" i="21"/>
  <c r="C20" i="21"/>
  <c r="AA19" i="21"/>
  <c r="S19" i="21"/>
  <c r="Q19" i="21"/>
  <c r="N19" i="21"/>
  <c r="O19" i="21" s="1"/>
  <c r="K19" i="21"/>
  <c r="H19" i="21"/>
  <c r="I19" i="21" s="1"/>
  <c r="E19" i="21"/>
  <c r="C19" i="21"/>
  <c r="AA18" i="21"/>
  <c r="S18" i="21"/>
  <c r="Q18" i="21"/>
  <c r="N18" i="21"/>
  <c r="O18" i="21" s="1"/>
  <c r="K18" i="21"/>
  <c r="H18" i="21"/>
  <c r="I18" i="21" s="1"/>
  <c r="E18" i="21"/>
  <c r="C18" i="21"/>
  <c r="AA17" i="21"/>
  <c r="S17" i="21"/>
  <c r="Q17" i="21"/>
  <c r="N17" i="21"/>
  <c r="O17" i="21" s="1"/>
  <c r="K17" i="21"/>
  <c r="H17" i="21"/>
  <c r="I17" i="21" s="1"/>
  <c r="E17" i="21"/>
  <c r="C17" i="21"/>
  <c r="AA16" i="21"/>
  <c r="S16" i="21"/>
  <c r="Q16" i="21"/>
  <c r="N16" i="21"/>
  <c r="O16" i="21" s="1"/>
  <c r="K16" i="21"/>
  <c r="H16" i="21"/>
  <c r="I16" i="21" s="1"/>
  <c r="E16" i="21"/>
  <c r="C16" i="21"/>
  <c r="AA15" i="21"/>
  <c r="S15" i="21"/>
  <c r="Q15" i="21"/>
  <c r="N15" i="21"/>
  <c r="O15" i="21" s="1"/>
  <c r="K15" i="21"/>
  <c r="H15" i="21"/>
  <c r="I15" i="21" s="1"/>
  <c r="E15" i="21"/>
  <c r="C15" i="21"/>
  <c r="AA14" i="21"/>
  <c r="S14" i="21"/>
  <c r="Q14" i="21"/>
  <c r="N14" i="21"/>
  <c r="O14" i="21" s="1"/>
  <c r="K14" i="21"/>
  <c r="H14" i="21"/>
  <c r="I14" i="21" s="1"/>
  <c r="E14" i="21"/>
  <c r="C14" i="21"/>
  <c r="AA13" i="21"/>
  <c r="S13" i="21"/>
  <c r="Q13" i="21"/>
  <c r="N13" i="21"/>
  <c r="O13" i="21" s="1"/>
  <c r="K13" i="21"/>
  <c r="H13" i="21"/>
  <c r="I13" i="21" s="1"/>
  <c r="E13" i="21"/>
  <c r="C13" i="21"/>
  <c r="AA12" i="21"/>
  <c r="S12" i="21"/>
  <c r="Q12" i="21"/>
  <c r="N12" i="21"/>
  <c r="O12" i="21" s="1"/>
  <c r="K12" i="21"/>
  <c r="H12" i="21"/>
  <c r="I12" i="21" s="1"/>
  <c r="E12" i="21"/>
  <c r="C12" i="21"/>
  <c r="AA11" i="21"/>
  <c r="S11" i="21"/>
  <c r="Q11" i="21"/>
  <c r="N11" i="21"/>
  <c r="O11" i="21" s="1"/>
  <c r="K11" i="21"/>
  <c r="H11" i="21"/>
  <c r="I11" i="21" s="1"/>
  <c r="E11" i="21"/>
  <c r="C11" i="21"/>
  <c r="AA10" i="21"/>
  <c r="S10" i="21"/>
  <c r="Q10" i="21"/>
  <c r="N10" i="21"/>
  <c r="O10" i="21" s="1"/>
  <c r="K10" i="21"/>
  <c r="H10" i="21"/>
  <c r="I10" i="21" s="1"/>
  <c r="E10" i="21"/>
  <c r="C10" i="21"/>
  <c r="AA9" i="21"/>
  <c r="S9" i="21"/>
  <c r="Q9" i="21"/>
  <c r="N9" i="21"/>
  <c r="O9" i="21" s="1"/>
  <c r="K9" i="21"/>
  <c r="H9" i="21"/>
  <c r="I9" i="21" s="1"/>
  <c r="E9" i="21"/>
  <c r="C9" i="21"/>
  <c r="AA8" i="21"/>
  <c r="S8" i="21"/>
  <c r="Q8" i="21"/>
  <c r="N8" i="21"/>
  <c r="O8" i="21" s="1"/>
  <c r="K8" i="21"/>
  <c r="H8" i="21"/>
  <c r="I8" i="21" s="1"/>
  <c r="E8" i="21"/>
  <c r="C8" i="21"/>
  <c r="AA7" i="21"/>
  <c r="S7" i="21"/>
  <c r="Q7" i="21"/>
  <c r="N7" i="21"/>
  <c r="O7" i="21" s="1"/>
  <c r="K7" i="21"/>
  <c r="H7" i="21"/>
  <c r="I7" i="21" s="1"/>
  <c r="E7" i="21"/>
  <c r="C7" i="21"/>
  <c r="AA6" i="21"/>
  <c r="S6" i="21"/>
  <c r="Q6" i="21"/>
  <c r="N6" i="21"/>
  <c r="O6" i="21" s="1"/>
  <c r="K6" i="21"/>
  <c r="H6" i="21"/>
  <c r="I6" i="21" s="1"/>
  <c r="E6" i="21"/>
  <c r="C6" i="21"/>
  <c r="AA5" i="21"/>
  <c r="S5" i="21"/>
  <c r="Q5" i="21"/>
  <c r="N5" i="21"/>
  <c r="O5" i="21" s="1"/>
  <c r="K5" i="21"/>
  <c r="H5" i="21"/>
  <c r="I5" i="21" s="1"/>
  <c r="E5" i="21"/>
  <c r="C5" i="21"/>
  <c r="AA4" i="21"/>
  <c r="S4" i="21"/>
  <c r="Q4" i="21"/>
  <c r="N4" i="21"/>
  <c r="O4" i="21" s="1"/>
  <c r="K4" i="21"/>
  <c r="H4" i="21"/>
  <c r="I4" i="21" s="1"/>
  <c r="E4" i="21"/>
  <c r="C4" i="21"/>
  <c r="AA3" i="21"/>
  <c r="S3" i="21"/>
  <c r="Q3" i="21"/>
  <c r="O3" i="21"/>
  <c r="K3" i="21"/>
  <c r="H3" i="21"/>
  <c r="I3" i="21" s="1"/>
  <c r="E3" i="21"/>
  <c r="C3" i="21"/>
  <c r="AA2" i="21"/>
  <c r="S2" i="21"/>
  <c r="Q2" i="21"/>
  <c r="N2" i="21"/>
  <c r="O2" i="21" s="1"/>
  <c r="K2" i="21"/>
  <c r="H2" i="21"/>
  <c r="I2" i="21" s="1"/>
  <c r="E2" i="21"/>
  <c r="C2" i="21"/>
  <c r="N215" i="21" l="1"/>
  <c r="O215" i="21" s="1"/>
  <c r="N196" i="21"/>
  <c r="O196" i="21" s="1"/>
  <c r="N197" i="21"/>
  <c r="O197" i="21" s="1"/>
  <c r="BI172" i="1" l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N172" i="1"/>
  <c r="AI172" i="1"/>
  <c r="AG172" i="1"/>
  <c r="AE172" i="1"/>
  <c r="AB172" i="1"/>
  <c r="AC172" i="1" s="1"/>
  <c r="AS172" i="1" s="1"/>
  <c r="Y172" i="1"/>
  <c r="V172" i="1"/>
  <c r="T172" i="1"/>
  <c r="Q172" i="1"/>
  <c r="N172" i="1"/>
  <c r="AA172" i="1" s="1"/>
  <c r="M172" i="1"/>
  <c r="K172" i="1"/>
  <c r="AT688" i="1"/>
  <c r="AT699" i="1"/>
  <c r="O2" i="24" l="1"/>
  <c r="O3" i="24"/>
  <c r="O4" i="24"/>
  <c r="O5" i="24"/>
  <c r="O6" i="24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115" i="24"/>
  <c r="O116" i="24"/>
  <c r="O117" i="24"/>
  <c r="O118" i="24"/>
  <c r="O119" i="24"/>
  <c r="O120" i="24"/>
  <c r="O121" i="24"/>
  <c r="O122" i="24"/>
  <c r="O123" i="24"/>
  <c r="O124" i="24"/>
  <c r="O125" i="24"/>
  <c r="O126" i="24"/>
  <c r="O127" i="24"/>
  <c r="O128" i="24"/>
  <c r="O129" i="24"/>
  <c r="O130" i="24"/>
  <c r="O131" i="24"/>
  <c r="O132" i="24"/>
  <c r="O133" i="24"/>
  <c r="O134" i="24"/>
  <c r="O135" i="24"/>
  <c r="O136" i="24"/>
  <c r="O137" i="24"/>
  <c r="O138" i="24"/>
  <c r="O139" i="24"/>
  <c r="O140" i="24"/>
  <c r="O141" i="24"/>
  <c r="O142" i="24"/>
  <c r="O143" i="24"/>
  <c r="O144" i="24"/>
  <c r="O145" i="24"/>
  <c r="O146" i="24"/>
  <c r="O147" i="24"/>
  <c r="O148" i="24"/>
  <c r="O149" i="24"/>
  <c r="O150" i="24"/>
  <c r="O151" i="24"/>
  <c r="O152" i="24"/>
  <c r="O153" i="24"/>
  <c r="O154" i="24"/>
  <c r="O155" i="24"/>
  <c r="O156" i="24"/>
  <c r="O157" i="24"/>
  <c r="O158" i="24"/>
  <c r="O159" i="24"/>
  <c r="O160" i="24"/>
  <c r="O161" i="24"/>
  <c r="O162" i="24"/>
  <c r="O163" i="24"/>
  <c r="O164" i="24"/>
  <c r="O165" i="24"/>
  <c r="O166" i="24"/>
  <c r="O167" i="24"/>
  <c r="O168" i="24"/>
  <c r="O169" i="24"/>
  <c r="O170" i="24"/>
  <c r="O171" i="24"/>
  <c r="O172" i="24"/>
  <c r="O173" i="24"/>
  <c r="O174" i="24"/>
  <c r="O175" i="24"/>
  <c r="O176" i="24"/>
  <c r="O177" i="24"/>
  <c r="O178" i="24"/>
  <c r="O179" i="24"/>
  <c r="O180" i="24"/>
  <c r="O181" i="24"/>
  <c r="O182" i="24"/>
  <c r="O183" i="24"/>
  <c r="O184" i="24"/>
  <c r="O185" i="24"/>
  <c r="O186" i="24"/>
  <c r="O187" i="24"/>
  <c r="O188" i="24"/>
  <c r="O189" i="24"/>
  <c r="O190" i="24"/>
  <c r="O191" i="24"/>
  <c r="O192" i="24"/>
  <c r="O193" i="24"/>
  <c r="O194" i="24"/>
  <c r="O195" i="24"/>
  <c r="O196" i="24"/>
  <c r="O197" i="24"/>
  <c r="O198" i="24"/>
  <c r="O199" i="24"/>
  <c r="O200" i="24"/>
  <c r="O201" i="24"/>
  <c r="O202" i="24"/>
  <c r="O203" i="24"/>
  <c r="O204" i="24"/>
  <c r="O205" i="24"/>
  <c r="O206" i="24"/>
  <c r="O207" i="24"/>
  <c r="O208" i="24"/>
  <c r="O209" i="24"/>
  <c r="O210" i="24"/>
  <c r="O211" i="24"/>
  <c r="O212" i="24"/>
  <c r="O213" i="24"/>
  <c r="O214" i="24"/>
  <c r="O215" i="24"/>
  <c r="O216" i="24"/>
  <c r="O217" i="24"/>
  <c r="O218" i="24"/>
  <c r="O219" i="24"/>
  <c r="O220" i="24"/>
  <c r="O221" i="24"/>
  <c r="O222" i="24"/>
  <c r="O223" i="24"/>
  <c r="O224" i="24"/>
  <c r="O225" i="24"/>
  <c r="O226" i="24"/>
  <c r="O227" i="24"/>
  <c r="O228" i="24"/>
  <c r="O229" i="24"/>
  <c r="O230" i="24"/>
  <c r="O231" i="24"/>
  <c r="O232" i="24"/>
  <c r="O233" i="24"/>
  <c r="O234" i="24"/>
  <c r="O235" i="24"/>
  <c r="O236" i="24"/>
  <c r="O237" i="24"/>
  <c r="O238" i="24"/>
  <c r="O239" i="24"/>
  <c r="O240" i="24"/>
  <c r="O241" i="24"/>
  <c r="O242" i="24"/>
  <c r="O243" i="24"/>
  <c r="O244" i="24"/>
  <c r="O245" i="24"/>
  <c r="O246" i="24"/>
  <c r="O247" i="24"/>
  <c r="O248" i="24"/>
  <c r="O249" i="24"/>
  <c r="O250" i="24"/>
  <c r="O251" i="24"/>
  <c r="O252" i="24"/>
  <c r="O253" i="24"/>
  <c r="O254" i="24"/>
  <c r="O255" i="24"/>
  <c r="O256" i="24"/>
  <c r="O257" i="24"/>
  <c r="O258" i="24"/>
  <c r="O259" i="24"/>
  <c r="O260" i="24"/>
  <c r="O261" i="24"/>
  <c r="O262" i="24"/>
  <c r="O263" i="24"/>
  <c r="O264" i="24"/>
  <c r="O265" i="24"/>
  <c r="O266" i="24"/>
  <c r="O267" i="24"/>
  <c r="O268" i="24"/>
  <c r="O269" i="24"/>
  <c r="O270" i="24"/>
  <c r="O271" i="24"/>
  <c r="O272" i="24"/>
  <c r="O273" i="24"/>
  <c r="O274" i="24"/>
  <c r="O275" i="24"/>
  <c r="O276" i="24"/>
  <c r="O277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5" i="24"/>
  <c r="O296" i="24"/>
  <c r="O297" i="24"/>
  <c r="O298" i="24"/>
  <c r="O299" i="24"/>
  <c r="O300" i="24"/>
  <c r="O301" i="24"/>
  <c r="O302" i="24"/>
  <c r="O303" i="24"/>
  <c r="O304" i="24"/>
  <c r="O305" i="24"/>
  <c r="O306" i="24"/>
  <c r="O307" i="24"/>
  <c r="O308" i="24"/>
  <c r="O309" i="24"/>
  <c r="O310" i="24"/>
  <c r="O311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5" i="24"/>
  <c r="O326" i="24"/>
  <c r="O327" i="24"/>
  <c r="O328" i="24"/>
  <c r="O329" i="24"/>
  <c r="O330" i="24"/>
  <c r="O331" i="24"/>
  <c r="O332" i="24"/>
  <c r="O333" i="24"/>
  <c r="O334" i="24"/>
  <c r="O335" i="24"/>
  <c r="O336" i="24"/>
  <c r="O337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AA3" i="25"/>
  <c r="AA4" i="25"/>
  <c r="AA5" i="25"/>
  <c r="AA6" i="25"/>
  <c r="AA7" i="25"/>
  <c r="AA8" i="25"/>
  <c r="AA9" i="25"/>
  <c r="AA10" i="25"/>
  <c r="AA1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0" i="25"/>
  <c r="AA31" i="25"/>
  <c r="AA32" i="25"/>
  <c r="AA33" i="25"/>
  <c r="AA34" i="25"/>
  <c r="AA35" i="25"/>
  <c r="AA36" i="25"/>
  <c r="AA37" i="25"/>
  <c r="AA38" i="25"/>
  <c r="AA39" i="25"/>
  <c r="AA40" i="25"/>
  <c r="AA41" i="25"/>
  <c r="AA42" i="25"/>
  <c r="AA43" i="25"/>
  <c r="AA44" i="25"/>
  <c r="AA45" i="25"/>
  <c r="AA46" i="25"/>
  <c r="AA47" i="25"/>
  <c r="AA48" i="25"/>
  <c r="AA49" i="25"/>
  <c r="AA50" i="25"/>
  <c r="AA51" i="25"/>
  <c r="AA52" i="25"/>
  <c r="AA53" i="25"/>
  <c r="AA54" i="25"/>
  <c r="AA55" i="25"/>
  <c r="AA56" i="25"/>
  <c r="AA57" i="25"/>
  <c r="AA58" i="25"/>
  <c r="AA59" i="25"/>
  <c r="AA60" i="25"/>
  <c r="AA61" i="25"/>
  <c r="AA62" i="25"/>
  <c r="AA63" i="25"/>
  <c r="AA64" i="25"/>
  <c r="AA65" i="25"/>
  <c r="AA66" i="25"/>
  <c r="AA67" i="25"/>
  <c r="AA68" i="25"/>
  <c r="AA69" i="25"/>
  <c r="AA70" i="25"/>
  <c r="AA71" i="25"/>
  <c r="AA72" i="25"/>
  <c r="AA73" i="25"/>
  <c r="AA74" i="25"/>
  <c r="AA75" i="25"/>
  <c r="AA76" i="25"/>
  <c r="AA77" i="25"/>
  <c r="AA78" i="25"/>
  <c r="AA79" i="25"/>
  <c r="AA80" i="25"/>
  <c r="AA81" i="25"/>
  <c r="AA82" i="25"/>
  <c r="AA83" i="25"/>
  <c r="AA84" i="25"/>
  <c r="AA85" i="25"/>
  <c r="AA86" i="25"/>
  <c r="AA87" i="25"/>
  <c r="AA88" i="25"/>
  <c r="AA89" i="25"/>
  <c r="AA90" i="25"/>
  <c r="AA91" i="25"/>
  <c r="AA92" i="25"/>
  <c r="AA93" i="25"/>
  <c r="AA94" i="25"/>
  <c r="AA95" i="25"/>
  <c r="AA96" i="25"/>
  <c r="AA97" i="25"/>
  <c r="AA98" i="25"/>
  <c r="AA99" i="25"/>
  <c r="AA100" i="25"/>
  <c r="AA101" i="25"/>
  <c r="AA102" i="25"/>
  <c r="AA103" i="25"/>
  <c r="AA104" i="25"/>
  <c r="AA105" i="25"/>
  <c r="AA106" i="25"/>
  <c r="AA107" i="25"/>
  <c r="AA108" i="25"/>
  <c r="AA109" i="25"/>
  <c r="AA110" i="25"/>
  <c r="AA111" i="25"/>
  <c r="AA112" i="25"/>
  <c r="AA113" i="25"/>
  <c r="AA114" i="25"/>
  <c r="AA115" i="25"/>
  <c r="AA116" i="25"/>
  <c r="AA117" i="25"/>
  <c r="AA118" i="25"/>
  <c r="AA119" i="25"/>
  <c r="AA120" i="25"/>
  <c r="AA121" i="25"/>
  <c r="AA122" i="25"/>
  <c r="AA123" i="25"/>
  <c r="AA124" i="25"/>
  <c r="AA125" i="25"/>
  <c r="AA126" i="25"/>
  <c r="AA127" i="25"/>
  <c r="AA128" i="25"/>
  <c r="AA129" i="25"/>
  <c r="AA130" i="25"/>
  <c r="AA131" i="25"/>
  <c r="AA132" i="25"/>
  <c r="AA133" i="25"/>
  <c r="AA134" i="25"/>
  <c r="AA135" i="25"/>
  <c r="AA136" i="25"/>
  <c r="AA137" i="25"/>
  <c r="AA138" i="25"/>
  <c r="AA139" i="25"/>
  <c r="AA140" i="25"/>
  <c r="AA141" i="25"/>
  <c r="AA142" i="25"/>
  <c r="AA143" i="25"/>
  <c r="AA144" i="25"/>
  <c r="AA145" i="25"/>
  <c r="AA146" i="25"/>
  <c r="AA147" i="25"/>
  <c r="AA148" i="25"/>
  <c r="AA149" i="25"/>
  <c r="AA150" i="25"/>
  <c r="AA151" i="25"/>
  <c r="AA152" i="25"/>
  <c r="AA153" i="25"/>
  <c r="AA154" i="25"/>
  <c r="AA155" i="25"/>
  <c r="AA156" i="25"/>
  <c r="AA157" i="25"/>
  <c r="AA158" i="25"/>
  <c r="AA159" i="25"/>
  <c r="AA160" i="25"/>
  <c r="AA161" i="25"/>
  <c r="AA162" i="25"/>
  <c r="AA163" i="25"/>
  <c r="AA164" i="25"/>
  <c r="AA165" i="25"/>
  <c r="AA166" i="25"/>
  <c r="AA167" i="25"/>
  <c r="AA168" i="25"/>
  <c r="AA169" i="25"/>
  <c r="AA170" i="25"/>
  <c r="AA171" i="25"/>
  <c r="AA172" i="25"/>
  <c r="AA173" i="25"/>
  <c r="AA174" i="25"/>
  <c r="AA175" i="25"/>
  <c r="AA176" i="25"/>
  <c r="AA177" i="25"/>
  <c r="AA178" i="25"/>
  <c r="AA179" i="25"/>
  <c r="AA180" i="25"/>
  <c r="AA181" i="25"/>
  <c r="AA182" i="25"/>
  <c r="AA183" i="25"/>
  <c r="AA184" i="25"/>
  <c r="AA185" i="25"/>
  <c r="AA186" i="25"/>
  <c r="AA187" i="25"/>
  <c r="AA188" i="25"/>
  <c r="AA189" i="25"/>
  <c r="AA190" i="25"/>
  <c r="AA191" i="25"/>
  <c r="AA192" i="25"/>
  <c r="AA193" i="25"/>
  <c r="AA194" i="25"/>
  <c r="AA195" i="25"/>
  <c r="AA196" i="25"/>
  <c r="AA197" i="25"/>
  <c r="AA198" i="25"/>
  <c r="AA199" i="25"/>
  <c r="AA200" i="25"/>
  <c r="AA201" i="25"/>
  <c r="AA202" i="25"/>
  <c r="AA203" i="25"/>
  <c r="AA204" i="25"/>
  <c r="AA205" i="25"/>
  <c r="AA206" i="25"/>
  <c r="AA207" i="25"/>
  <c r="AA208" i="25"/>
  <c r="AA209" i="25"/>
  <c r="AA210" i="25"/>
  <c r="AA211" i="25"/>
  <c r="AA212" i="25"/>
  <c r="AA213" i="25"/>
  <c r="AA214" i="25"/>
  <c r="AA215" i="25"/>
  <c r="AA216" i="25"/>
  <c r="AA217" i="25"/>
  <c r="AA218" i="25"/>
  <c r="AA219" i="25"/>
  <c r="AA220" i="25"/>
  <c r="AA221" i="25"/>
  <c r="AA222" i="25"/>
  <c r="AA223" i="25"/>
  <c r="AA224" i="25"/>
  <c r="AA225" i="25"/>
  <c r="AA226" i="25"/>
  <c r="AA227" i="25"/>
  <c r="AA228" i="25"/>
  <c r="AA229" i="25"/>
  <c r="AA230" i="25"/>
  <c r="AA231" i="25"/>
  <c r="AA232" i="25"/>
  <c r="AA233" i="25"/>
  <c r="AA234" i="25"/>
  <c r="AA235" i="25"/>
  <c r="AA236" i="25"/>
  <c r="AA237" i="25"/>
  <c r="AA238" i="25"/>
  <c r="AA239" i="25"/>
  <c r="AA240" i="25"/>
  <c r="AA241" i="25"/>
  <c r="AA242" i="25"/>
  <c r="AA243" i="25"/>
  <c r="AA244" i="25"/>
  <c r="AA245" i="25"/>
  <c r="AA2" i="25"/>
  <c r="Z3" i="25"/>
  <c r="Z4" i="25"/>
  <c r="Z5" i="25"/>
  <c r="Z6" i="25"/>
  <c r="Z7" i="25"/>
  <c r="Z8" i="25"/>
  <c r="Z9" i="25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39" i="25"/>
  <c r="Z40" i="25"/>
  <c r="Z41" i="25"/>
  <c r="Z42" i="25"/>
  <c r="Z43" i="25"/>
  <c r="Z44" i="25"/>
  <c r="Z45" i="25"/>
  <c r="Z46" i="25"/>
  <c r="Z47" i="25"/>
  <c r="Z48" i="25"/>
  <c r="Z49" i="25"/>
  <c r="Z50" i="25"/>
  <c r="Z51" i="25"/>
  <c r="Z52" i="25"/>
  <c r="Z53" i="25"/>
  <c r="Z54" i="25"/>
  <c r="Z55" i="25"/>
  <c r="Z56" i="25"/>
  <c r="Z57" i="25"/>
  <c r="Z58" i="25"/>
  <c r="Z59" i="25"/>
  <c r="Z60" i="25"/>
  <c r="Z61" i="25"/>
  <c r="Z62" i="25"/>
  <c r="Z63" i="25"/>
  <c r="Z64" i="25"/>
  <c r="Z65" i="25"/>
  <c r="Z66" i="25"/>
  <c r="Z67" i="25"/>
  <c r="Z68" i="25"/>
  <c r="Z69" i="25"/>
  <c r="Z70" i="25"/>
  <c r="Z71" i="25"/>
  <c r="Z72" i="25"/>
  <c r="Z73" i="25"/>
  <c r="Z74" i="25"/>
  <c r="Z75" i="25"/>
  <c r="Z76" i="25"/>
  <c r="Z77" i="25"/>
  <c r="Z78" i="25"/>
  <c r="Z79" i="25"/>
  <c r="Z80" i="25"/>
  <c r="Z81" i="25"/>
  <c r="Z82" i="25"/>
  <c r="Z83" i="25"/>
  <c r="Z84" i="25"/>
  <c r="Z85" i="25"/>
  <c r="Z86" i="25"/>
  <c r="Z87" i="25"/>
  <c r="Z88" i="25"/>
  <c r="Z89" i="25"/>
  <c r="Z90" i="25"/>
  <c r="Z91" i="25"/>
  <c r="Z92" i="25"/>
  <c r="Z93" i="25"/>
  <c r="Z94" i="25"/>
  <c r="Z95" i="25"/>
  <c r="Z96" i="25"/>
  <c r="Z97" i="25"/>
  <c r="Z98" i="25"/>
  <c r="Z99" i="25"/>
  <c r="Z100" i="25"/>
  <c r="Z101" i="25"/>
  <c r="Z102" i="25"/>
  <c r="Z103" i="25"/>
  <c r="Z104" i="25"/>
  <c r="Z105" i="25"/>
  <c r="Z106" i="25"/>
  <c r="Z107" i="25"/>
  <c r="Z108" i="25"/>
  <c r="Z109" i="25"/>
  <c r="Z110" i="25"/>
  <c r="Z111" i="25"/>
  <c r="Z112" i="25"/>
  <c r="Z113" i="25"/>
  <c r="Z114" i="25"/>
  <c r="Z115" i="25"/>
  <c r="Z116" i="25"/>
  <c r="Z117" i="25"/>
  <c r="Z118" i="25"/>
  <c r="Z119" i="25"/>
  <c r="Z120" i="25"/>
  <c r="Z121" i="25"/>
  <c r="Z122" i="25"/>
  <c r="Z123" i="25"/>
  <c r="Z124" i="25"/>
  <c r="Z125" i="25"/>
  <c r="Z126" i="25"/>
  <c r="Z127" i="25"/>
  <c r="Z128" i="25"/>
  <c r="Z129" i="25"/>
  <c r="Z130" i="25"/>
  <c r="Z131" i="25"/>
  <c r="Z132" i="25"/>
  <c r="Z133" i="25"/>
  <c r="Z134" i="25"/>
  <c r="Z135" i="25"/>
  <c r="Z136" i="25"/>
  <c r="Z137" i="25"/>
  <c r="Z138" i="25"/>
  <c r="Z139" i="25"/>
  <c r="Z140" i="25"/>
  <c r="Z141" i="25"/>
  <c r="Z142" i="25"/>
  <c r="Z143" i="25"/>
  <c r="Z144" i="25"/>
  <c r="Z145" i="25"/>
  <c r="Z146" i="25"/>
  <c r="Z147" i="25"/>
  <c r="Z148" i="25"/>
  <c r="Z149" i="25"/>
  <c r="Z150" i="25"/>
  <c r="Z151" i="25"/>
  <c r="Z152" i="25"/>
  <c r="Z153" i="25"/>
  <c r="Z154" i="25"/>
  <c r="Z155" i="25"/>
  <c r="Z156" i="25"/>
  <c r="Z157" i="25"/>
  <c r="Z158" i="25"/>
  <c r="Z159" i="25"/>
  <c r="Z160" i="25"/>
  <c r="Z161" i="25"/>
  <c r="Z162" i="25"/>
  <c r="Z163" i="25"/>
  <c r="Z164" i="25"/>
  <c r="Z165" i="25"/>
  <c r="Z166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79" i="25"/>
  <c r="Z180" i="25"/>
  <c r="Z181" i="25"/>
  <c r="Z182" i="25"/>
  <c r="Z183" i="25"/>
  <c r="Z184" i="25"/>
  <c r="Z185" i="25"/>
  <c r="Z186" i="25"/>
  <c r="Z187" i="25"/>
  <c r="Z188" i="25"/>
  <c r="Z189" i="25"/>
  <c r="Z190" i="25"/>
  <c r="Z191" i="25"/>
  <c r="Z192" i="25"/>
  <c r="Z193" i="25"/>
  <c r="Z194" i="25"/>
  <c r="Z195" i="25"/>
  <c r="Z196" i="25"/>
  <c r="Z197" i="25"/>
  <c r="Z198" i="25"/>
  <c r="Z199" i="25"/>
  <c r="Z200" i="25"/>
  <c r="Z201" i="25"/>
  <c r="Z202" i="25"/>
  <c r="Z203" i="25"/>
  <c r="Z204" i="25"/>
  <c r="Z205" i="25"/>
  <c r="Z206" i="25"/>
  <c r="Z207" i="25"/>
  <c r="Z208" i="25"/>
  <c r="Z209" i="25"/>
  <c r="Z210" i="25"/>
  <c r="Z211" i="25"/>
  <c r="Z212" i="25"/>
  <c r="Z213" i="25"/>
  <c r="Z214" i="25"/>
  <c r="Z215" i="25"/>
  <c r="Z216" i="25"/>
  <c r="Z217" i="25"/>
  <c r="Z218" i="25"/>
  <c r="Z219" i="25"/>
  <c r="Z220" i="25"/>
  <c r="Z221" i="25"/>
  <c r="Z222" i="25"/>
  <c r="Z223" i="25"/>
  <c r="Z224" i="25"/>
  <c r="Z225" i="25"/>
  <c r="Z226" i="25"/>
  <c r="Z227" i="25"/>
  <c r="Z228" i="25"/>
  <c r="Z229" i="25"/>
  <c r="Z230" i="25"/>
  <c r="Z231" i="25"/>
  <c r="Z232" i="25"/>
  <c r="Z233" i="25"/>
  <c r="Z234" i="25"/>
  <c r="Z235" i="25"/>
  <c r="Z236" i="25"/>
  <c r="Z237" i="25"/>
  <c r="Z238" i="25"/>
  <c r="Z239" i="25"/>
  <c r="Z240" i="25"/>
  <c r="Z241" i="25"/>
  <c r="Z242" i="25"/>
  <c r="Z243" i="25"/>
  <c r="Z244" i="25"/>
  <c r="Z245" i="25"/>
  <c r="Z2" i="25"/>
  <c r="W3" i="25"/>
  <c r="W4" i="25"/>
  <c r="W5" i="25"/>
  <c r="W6" i="25"/>
  <c r="W7" i="25"/>
  <c r="W8" i="25"/>
  <c r="W9" i="25"/>
  <c r="W10" i="25"/>
  <c r="W11" i="25"/>
  <c r="W12" i="25"/>
  <c r="W13" i="25"/>
  <c r="W14" i="25"/>
  <c r="W15" i="25"/>
  <c r="W16" i="25"/>
  <c r="W17" i="25"/>
  <c r="W18" i="25"/>
  <c r="W19" i="25"/>
  <c r="W20" i="25"/>
  <c r="W21" i="25"/>
  <c r="W22" i="25"/>
  <c r="W23" i="25"/>
  <c r="W24" i="25"/>
  <c r="W25" i="25"/>
  <c r="W26" i="25"/>
  <c r="W27" i="25"/>
  <c r="W28" i="25"/>
  <c r="W29" i="25"/>
  <c r="W30" i="25"/>
  <c r="W31" i="25"/>
  <c r="W32" i="25"/>
  <c r="W33" i="25"/>
  <c r="W34" i="25"/>
  <c r="W35" i="25"/>
  <c r="W36" i="25"/>
  <c r="W37" i="25"/>
  <c r="W38" i="25"/>
  <c r="W39" i="25"/>
  <c r="W40" i="25"/>
  <c r="W41" i="25"/>
  <c r="W42" i="25"/>
  <c r="W43" i="25"/>
  <c r="W44" i="25"/>
  <c r="W45" i="25"/>
  <c r="W46" i="25"/>
  <c r="W47" i="25"/>
  <c r="W48" i="25"/>
  <c r="W49" i="25"/>
  <c r="W50" i="25"/>
  <c r="W51" i="25"/>
  <c r="W52" i="25"/>
  <c r="W53" i="25"/>
  <c r="W54" i="25"/>
  <c r="W55" i="25"/>
  <c r="W56" i="25"/>
  <c r="W57" i="25"/>
  <c r="W58" i="25"/>
  <c r="W59" i="25"/>
  <c r="W60" i="25"/>
  <c r="W61" i="25"/>
  <c r="W62" i="25"/>
  <c r="W63" i="25"/>
  <c r="W64" i="25"/>
  <c r="W65" i="25"/>
  <c r="W66" i="25"/>
  <c r="W67" i="25"/>
  <c r="W68" i="25"/>
  <c r="W69" i="25"/>
  <c r="W70" i="25"/>
  <c r="W71" i="25"/>
  <c r="W72" i="25"/>
  <c r="W73" i="25"/>
  <c r="W74" i="25"/>
  <c r="W75" i="25"/>
  <c r="W76" i="25"/>
  <c r="W77" i="25"/>
  <c r="W78" i="25"/>
  <c r="W79" i="25"/>
  <c r="W80" i="25"/>
  <c r="W81" i="25"/>
  <c r="W82" i="25"/>
  <c r="W83" i="25"/>
  <c r="W84" i="25"/>
  <c r="W85" i="25"/>
  <c r="W86" i="25"/>
  <c r="W87" i="25"/>
  <c r="W88" i="25"/>
  <c r="W89" i="25"/>
  <c r="W90" i="25"/>
  <c r="W91" i="25"/>
  <c r="W92" i="25"/>
  <c r="W93" i="25"/>
  <c r="W94" i="25"/>
  <c r="W95" i="25"/>
  <c r="W96" i="25"/>
  <c r="W97" i="25"/>
  <c r="W98" i="25"/>
  <c r="W99" i="25"/>
  <c r="W100" i="25"/>
  <c r="W101" i="25"/>
  <c r="W102" i="25"/>
  <c r="W103" i="25"/>
  <c r="W104" i="25"/>
  <c r="W105" i="25"/>
  <c r="W106" i="25"/>
  <c r="W107" i="25"/>
  <c r="W108" i="25"/>
  <c r="W109" i="25"/>
  <c r="W110" i="25"/>
  <c r="W111" i="25"/>
  <c r="W112" i="25"/>
  <c r="W113" i="25"/>
  <c r="W114" i="25"/>
  <c r="W115" i="25"/>
  <c r="W116" i="25"/>
  <c r="W117" i="25"/>
  <c r="W118" i="25"/>
  <c r="W119" i="25"/>
  <c r="W120" i="25"/>
  <c r="W121" i="25"/>
  <c r="W122" i="25"/>
  <c r="W123" i="25"/>
  <c r="W124" i="25"/>
  <c r="W125" i="25"/>
  <c r="W126" i="25"/>
  <c r="W127" i="25"/>
  <c r="W128" i="25"/>
  <c r="W129" i="25"/>
  <c r="W130" i="25"/>
  <c r="W131" i="25"/>
  <c r="W132" i="25"/>
  <c r="W133" i="25"/>
  <c r="W134" i="25"/>
  <c r="W135" i="25"/>
  <c r="W136" i="25"/>
  <c r="W137" i="25"/>
  <c r="W138" i="25"/>
  <c r="W139" i="25"/>
  <c r="W140" i="25"/>
  <c r="W141" i="25"/>
  <c r="W142" i="25"/>
  <c r="W143" i="25"/>
  <c r="W144" i="25"/>
  <c r="W145" i="25"/>
  <c r="W146" i="25"/>
  <c r="W147" i="25"/>
  <c r="W148" i="25"/>
  <c r="W149" i="25"/>
  <c r="W150" i="25"/>
  <c r="W151" i="25"/>
  <c r="W152" i="25"/>
  <c r="W153" i="25"/>
  <c r="W154" i="25"/>
  <c r="W155" i="25"/>
  <c r="W156" i="25"/>
  <c r="W157" i="25"/>
  <c r="W158" i="25"/>
  <c r="W159" i="25"/>
  <c r="W160" i="25"/>
  <c r="W161" i="25"/>
  <c r="W162" i="25"/>
  <c r="W163" i="25"/>
  <c r="W164" i="25"/>
  <c r="W165" i="25"/>
  <c r="W166" i="25"/>
  <c r="W167" i="25"/>
  <c r="W168" i="25"/>
  <c r="W169" i="25"/>
  <c r="W170" i="25"/>
  <c r="W171" i="25"/>
  <c r="W172" i="25"/>
  <c r="W173" i="25"/>
  <c r="W174" i="25"/>
  <c r="W175" i="25"/>
  <c r="W176" i="25"/>
  <c r="W177" i="25"/>
  <c r="W178" i="25"/>
  <c r="W179" i="25"/>
  <c r="W180" i="25"/>
  <c r="W181" i="25"/>
  <c r="W182" i="25"/>
  <c r="W183" i="25"/>
  <c r="W184" i="25"/>
  <c r="W185" i="25"/>
  <c r="W186" i="25"/>
  <c r="W187" i="25"/>
  <c r="W188" i="25"/>
  <c r="W189" i="25"/>
  <c r="W190" i="25"/>
  <c r="W191" i="25"/>
  <c r="W192" i="25"/>
  <c r="W193" i="25"/>
  <c r="W194" i="25"/>
  <c r="W195" i="25"/>
  <c r="W196" i="25"/>
  <c r="W197" i="25"/>
  <c r="W198" i="25"/>
  <c r="W199" i="25"/>
  <c r="W200" i="25"/>
  <c r="W201" i="25"/>
  <c r="W202" i="25"/>
  <c r="W203" i="25"/>
  <c r="W204" i="25"/>
  <c r="W205" i="25"/>
  <c r="W206" i="25"/>
  <c r="W207" i="25"/>
  <c r="W208" i="25"/>
  <c r="W209" i="25"/>
  <c r="W210" i="25"/>
  <c r="W211" i="25"/>
  <c r="W212" i="25"/>
  <c r="W213" i="25"/>
  <c r="W214" i="25"/>
  <c r="W215" i="25"/>
  <c r="W216" i="25"/>
  <c r="W217" i="25"/>
  <c r="W218" i="25"/>
  <c r="W219" i="25"/>
  <c r="W220" i="25"/>
  <c r="W221" i="25"/>
  <c r="W222" i="25"/>
  <c r="W223" i="25"/>
  <c r="W224" i="25"/>
  <c r="W225" i="25"/>
  <c r="W226" i="25"/>
  <c r="W227" i="25"/>
  <c r="W228" i="25"/>
  <c r="W229" i="25"/>
  <c r="W230" i="25"/>
  <c r="W231" i="25"/>
  <c r="W232" i="25"/>
  <c r="W233" i="25"/>
  <c r="W234" i="25"/>
  <c r="W235" i="25"/>
  <c r="W236" i="25"/>
  <c r="W237" i="25"/>
  <c r="W238" i="25"/>
  <c r="W239" i="25"/>
  <c r="W240" i="25"/>
  <c r="W241" i="25"/>
  <c r="W242" i="25"/>
  <c r="W243" i="25"/>
  <c r="W244" i="25"/>
  <c r="W245" i="25"/>
  <c r="W2" i="25"/>
  <c r="N3" i="25"/>
  <c r="N4" i="25"/>
  <c r="N5" i="25"/>
  <c r="N6" i="25"/>
  <c r="N7" i="25"/>
  <c r="N8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" i="25"/>
  <c r="J3" i="25"/>
  <c r="J4" i="25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" i="25"/>
  <c r="H3" i="25"/>
  <c r="H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" i="25"/>
  <c r="C3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" i="25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C2" i="24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" i="25"/>
  <c r="T457" i="34"/>
  <c r="T456" i="34"/>
  <c r="T455" i="34"/>
  <c r="T454" i="34"/>
  <c r="T453" i="34"/>
  <c r="T452" i="34"/>
  <c r="T451" i="34"/>
  <c r="T450" i="34"/>
  <c r="T449" i="34"/>
  <c r="T448" i="34"/>
  <c r="T447" i="34"/>
  <c r="T446" i="34"/>
  <c r="T445" i="34"/>
  <c r="T444" i="34"/>
  <c r="T443" i="34"/>
  <c r="T442" i="34"/>
  <c r="T441" i="34"/>
  <c r="T440" i="34"/>
  <c r="T439" i="34"/>
  <c r="T438" i="34"/>
  <c r="T437" i="34"/>
  <c r="T436" i="34"/>
  <c r="T435" i="34"/>
  <c r="T434" i="34"/>
  <c r="T433" i="34"/>
  <c r="T432" i="34"/>
  <c r="T431" i="34"/>
  <c r="T430" i="34"/>
  <c r="T429" i="34"/>
  <c r="T428" i="34"/>
  <c r="T427" i="34"/>
  <c r="T426" i="34"/>
  <c r="T425" i="34"/>
  <c r="T424" i="34"/>
  <c r="T423" i="34"/>
  <c r="T422" i="34"/>
  <c r="T421" i="34"/>
  <c r="T420" i="34"/>
  <c r="T419" i="34"/>
  <c r="T418" i="34"/>
  <c r="T417" i="34"/>
  <c r="T416" i="34"/>
  <c r="T415" i="34"/>
  <c r="T414" i="34"/>
  <c r="T413" i="34"/>
  <c r="T412" i="34"/>
  <c r="T411" i="34"/>
  <c r="T410" i="34"/>
  <c r="T409" i="34"/>
  <c r="T408" i="34"/>
  <c r="T407" i="34"/>
  <c r="T406" i="34"/>
  <c r="T405" i="34"/>
  <c r="T404" i="34"/>
  <c r="T403" i="34"/>
  <c r="T402" i="34"/>
  <c r="T401" i="34"/>
  <c r="T400" i="34"/>
  <c r="T399" i="34"/>
  <c r="T398" i="34"/>
  <c r="T397" i="34"/>
  <c r="T396" i="34"/>
  <c r="T395" i="34"/>
  <c r="T394" i="34"/>
  <c r="T393" i="34"/>
  <c r="T392" i="34"/>
  <c r="T391" i="34"/>
  <c r="T390" i="34"/>
  <c r="T389" i="34"/>
  <c r="T388" i="34"/>
  <c r="T387" i="34"/>
  <c r="T386" i="34"/>
  <c r="T385" i="34"/>
  <c r="T384" i="34"/>
  <c r="T383" i="34"/>
  <c r="T382" i="34"/>
  <c r="T381" i="34"/>
  <c r="T380" i="34"/>
  <c r="T379" i="34"/>
  <c r="T378" i="34"/>
  <c r="T377" i="34"/>
  <c r="T376" i="34"/>
  <c r="T375" i="34"/>
  <c r="T374" i="34"/>
  <c r="T373" i="34"/>
  <c r="T372" i="34"/>
  <c r="T371" i="34"/>
  <c r="T370" i="34"/>
  <c r="T369" i="34"/>
  <c r="T368" i="34"/>
  <c r="T367" i="34"/>
  <c r="T366" i="34"/>
  <c r="T365" i="34"/>
  <c r="T364" i="34"/>
  <c r="T363" i="34"/>
  <c r="T362" i="34"/>
  <c r="T361" i="34"/>
  <c r="T360" i="34"/>
  <c r="T359" i="34"/>
  <c r="T358" i="34"/>
  <c r="T357" i="34"/>
  <c r="T356" i="34"/>
  <c r="T355" i="34"/>
  <c r="T354" i="34"/>
  <c r="T353" i="34"/>
  <c r="T352" i="34"/>
  <c r="T351" i="34"/>
  <c r="T350" i="34"/>
  <c r="T349" i="34"/>
  <c r="T348" i="34"/>
  <c r="T347" i="34"/>
  <c r="T346" i="34"/>
  <c r="T345" i="34"/>
  <c r="T344" i="34"/>
  <c r="T343" i="34"/>
  <c r="T342" i="34"/>
  <c r="T341" i="34"/>
  <c r="T340" i="34"/>
  <c r="T339" i="34"/>
  <c r="T338" i="34"/>
  <c r="T337" i="34"/>
  <c r="T336" i="34"/>
  <c r="T335" i="34"/>
  <c r="T334" i="34"/>
  <c r="T333" i="34"/>
  <c r="T332" i="34"/>
  <c r="T331" i="34"/>
  <c r="T330" i="34"/>
  <c r="T329" i="34"/>
  <c r="T328" i="34"/>
  <c r="T327" i="34"/>
  <c r="T326" i="34"/>
  <c r="T325" i="34"/>
  <c r="T324" i="34"/>
  <c r="T323" i="34"/>
  <c r="T322" i="34"/>
  <c r="T321" i="34"/>
  <c r="T320" i="34"/>
  <c r="T319" i="34"/>
  <c r="T318" i="34"/>
  <c r="T317" i="34"/>
  <c r="T316" i="34"/>
  <c r="T315" i="34"/>
  <c r="T314" i="34"/>
  <c r="T313" i="34"/>
  <c r="T312" i="34"/>
  <c r="T311" i="34"/>
  <c r="T310" i="34"/>
  <c r="T309" i="34"/>
  <c r="T308" i="34"/>
  <c r="T307" i="34"/>
  <c r="T306" i="34"/>
  <c r="T305" i="34"/>
  <c r="T304" i="34"/>
  <c r="T303" i="34"/>
  <c r="T302" i="34"/>
  <c r="T301" i="34"/>
  <c r="T300" i="34"/>
  <c r="T299" i="34"/>
  <c r="T298" i="34"/>
  <c r="T297" i="34"/>
  <c r="T296" i="34"/>
  <c r="T295" i="34"/>
  <c r="T294" i="34"/>
  <c r="T293" i="34"/>
  <c r="T292" i="34"/>
  <c r="T291" i="34"/>
  <c r="T290" i="34"/>
  <c r="T289" i="34"/>
  <c r="T288" i="34"/>
  <c r="T287" i="34"/>
  <c r="T286" i="34"/>
  <c r="T285" i="34"/>
  <c r="T284" i="34"/>
  <c r="T283" i="34"/>
  <c r="T282" i="34"/>
  <c r="T281" i="34"/>
  <c r="T280" i="34"/>
  <c r="T279" i="34"/>
  <c r="T278" i="34"/>
  <c r="T277" i="34"/>
  <c r="T276" i="34"/>
  <c r="T275" i="34"/>
  <c r="T274" i="34"/>
  <c r="T273" i="34"/>
  <c r="T272" i="34"/>
  <c r="T271" i="34"/>
  <c r="T270" i="34"/>
  <c r="T269" i="34"/>
  <c r="T268" i="34"/>
  <c r="T267" i="34"/>
  <c r="T266" i="34"/>
  <c r="T265" i="34"/>
  <c r="T264" i="34"/>
  <c r="T263" i="34"/>
  <c r="T262" i="34"/>
  <c r="T261" i="34"/>
  <c r="T260" i="34"/>
  <c r="T259" i="34"/>
  <c r="T258" i="34"/>
  <c r="T257" i="34"/>
  <c r="T256" i="34"/>
  <c r="T255" i="34"/>
  <c r="T254" i="34"/>
  <c r="T253" i="34"/>
  <c r="T252" i="34"/>
  <c r="T251" i="34"/>
  <c r="T250" i="34"/>
  <c r="T249" i="34"/>
  <c r="T248" i="34"/>
  <c r="T247" i="34"/>
  <c r="T246" i="34"/>
  <c r="T245" i="34"/>
  <c r="T244" i="34"/>
  <c r="T243" i="34"/>
  <c r="T242" i="34"/>
  <c r="T241" i="34"/>
  <c r="T240" i="34"/>
  <c r="T239" i="34"/>
  <c r="T238" i="34"/>
  <c r="T237" i="34"/>
  <c r="T236" i="34"/>
  <c r="T235" i="34"/>
  <c r="T234" i="34"/>
  <c r="T233" i="34"/>
  <c r="T232" i="34"/>
  <c r="T231" i="34"/>
  <c r="T230" i="34"/>
  <c r="T229" i="34"/>
  <c r="T228" i="34"/>
  <c r="T227" i="34"/>
  <c r="T226" i="34"/>
  <c r="T225" i="34"/>
  <c r="T224" i="34"/>
  <c r="T223" i="34"/>
  <c r="T222" i="34"/>
  <c r="T221" i="34"/>
  <c r="T220" i="34"/>
  <c r="T219" i="34"/>
  <c r="T218" i="34"/>
  <c r="T217" i="34"/>
  <c r="T216" i="34"/>
  <c r="T215" i="34"/>
  <c r="T214" i="34"/>
  <c r="T213" i="34"/>
  <c r="T212" i="34"/>
  <c r="T211" i="34"/>
  <c r="T210" i="34"/>
  <c r="T209" i="34"/>
  <c r="T208" i="34"/>
  <c r="T207" i="34"/>
  <c r="T206" i="34"/>
  <c r="T205" i="34"/>
  <c r="T204" i="34"/>
  <c r="T203" i="34"/>
  <c r="T202" i="34"/>
  <c r="T201" i="34"/>
  <c r="T200" i="34"/>
  <c r="T199" i="34"/>
  <c r="T198" i="34"/>
  <c r="T197" i="34"/>
  <c r="T196" i="34"/>
  <c r="T195" i="34"/>
  <c r="T194" i="34"/>
  <c r="T193" i="34"/>
  <c r="T192" i="34"/>
  <c r="T191" i="34"/>
  <c r="T190" i="34"/>
  <c r="T189" i="34"/>
  <c r="T188" i="34"/>
  <c r="T187" i="34"/>
  <c r="T186" i="34"/>
  <c r="T185" i="34"/>
  <c r="T184" i="34"/>
  <c r="T183" i="34"/>
  <c r="T182" i="34"/>
  <c r="T181" i="34"/>
  <c r="T180" i="34"/>
  <c r="T179" i="34"/>
  <c r="T178" i="34"/>
  <c r="T177" i="34"/>
  <c r="T176" i="34"/>
  <c r="T175" i="34"/>
  <c r="T174" i="34"/>
  <c r="T173" i="34"/>
  <c r="T172" i="34"/>
  <c r="T171" i="34"/>
  <c r="T170" i="34"/>
  <c r="T169" i="34"/>
  <c r="T168" i="34"/>
  <c r="T167" i="34"/>
  <c r="T166" i="34"/>
  <c r="T165" i="34"/>
  <c r="T164" i="34"/>
  <c r="T163" i="34"/>
  <c r="T162" i="34"/>
  <c r="T161" i="34"/>
  <c r="T160" i="34"/>
  <c r="T159" i="34"/>
  <c r="T158" i="34"/>
  <c r="T157" i="34"/>
  <c r="T156" i="34"/>
  <c r="T155" i="34"/>
  <c r="T154" i="34"/>
  <c r="T153" i="34"/>
  <c r="T152" i="34"/>
  <c r="T151" i="34"/>
  <c r="T150" i="34"/>
  <c r="T149" i="34"/>
  <c r="T148" i="34"/>
  <c r="T147" i="34"/>
  <c r="T146" i="34"/>
  <c r="T145" i="34"/>
  <c r="T144" i="34"/>
  <c r="T143" i="34"/>
  <c r="T142" i="34"/>
  <c r="T141" i="34"/>
  <c r="T140" i="34"/>
  <c r="T139" i="34"/>
  <c r="T138" i="34"/>
  <c r="T137" i="34"/>
  <c r="T136" i="34"/>
  <c r="T135" i="34"/>
  <c r="T134" i="34"/>
  <c r="T133" i="34"/>
  <c r="T132" i="34"/>
  <c r="T131" i="34"/>
  <c r="T130" i="34"/>
  <c r="T129" i="34"/>
  <c r="T128" i="34"/>
  <c r="T127" i="34"/>
  <c r="T126" i="34"/>
  <c r="T125" i="34"/>
  <c r="T124" i="34"/>
  <c r="T122" i="34"/>
  <c r="T121" i="34"/>
  <c r="T120" i="34"/>
  <c r="T119" i="34"/>
  <c r="T118" i="34"/>
  <c r="T117" i="34"/>
  <c r="T116" i="34"/>
  <c r="T115" i="34"/>
  <c r="T114" i="34"/>
  <c r="T113" i="34"/>
  <c r="T112" i="34"/>
  <c r="T111" i="34"/>
  <c r="T110" i="34"/>
  <c r="T109" i="34"/>
  <c r="T108" i="34"/>
  <c r="T107" i="34"/>
  <c r="T106" i="34"/>
  <c r="T105" i="34"/>
  <c r="T104" i="34"/>
  <c r="T103" i="34"/>
  <c r="T102" i="34"/>
  <c r="T101" i="34"/>
  <c r="T100" i="34"/>
  <c r="T99" i="34"/>
  <c r="T98" i="34"/>
  <c r="T97" i="34"/>
  <c r="T96" i="34"/>
  <c r="T95" i="34"/>
  <c r="T94" i="34"/>
  <c r="T93" i="34"/>
  <c r="T92" i="34"/>
  <c r="T91" i="34"/>
  <c r="T90" i="34"/>
  <c r="T89" i="34"/>
  <c r="T88" i="34"/>
  <c r="T87" i="34"/>
  <c r="T86" i="34"/>
  <c r="T85" i="34"/>
  <c r="T84" i="34"/>
  <c r="T83" i="34"/>
  <c r="T80" i="34"/>
  <c r="T79" i="34"/>
  <c r="T78" i="34"/>
  <c r="T77" i="34"/>
  <c r="T76" i="34"/>
  <c r="T75" i="34"/>
  <c r="T74" i="34"/>
  <c r="T73" i="34"/>
  <c r="T72" i="34"/>
  <c r="T71" i="34"/>
  <c r="T70" i="34"/>
  <c r="T69" i="34"/>
  <c r="T68" i="34"/>
  <c r="T67" i="34"/>
  <c r="T66" i="34"/>
  <c r="T65" i="34"/>
  <c r="T64" i="34"/>
  <c r="T63" i="34"/>
  <c r="T62" i="34"/>
  <c r="T61" i="34"/>
  <c r="T60" i="34"/>
  <c r="T59" i="34"/>
  <c r="T58" i="34"/>
  <c r="T57" i="34"/>
  <c r="T56" i="34"/>
  <c r="T55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2" i="34"/>
  <c r="T41" i="34"/>
  <c r="T40" i="34"/>
  <c r="T39" i="34"/>
  <c r="T38" i="34"/>
  <c r="T37" i="34"/>
  <c r="T36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T8" i="34"/>
  <c r="T7" i="34"/>
  <c r="T6" i="34"/>
  <c r="T5" i="34"/>
  <c r="T4" i="34"/>
  <c r="T3" i="34"/>
  <c r="T2" i="34"/>
  <c r="S457" i="34"/>
  <c r="S456" i="34"/>
  <c r="S455" i="34"/>
  <c r="S454" i="34"/>
  <c r="S453" i="34"/>
  <c r="S452" i="34"/>
  <c r="S451" i="34"/>
  <c r="S450" i="34"/>
  <c r="S449" i="34"/>
  <c r="S448" i="34"/>
  <c r="S447" i="34"/>
  <c r="S446" i="34"/>
  <c r="S445" i="34"/>
  <c r="S444" i="34"/>
  <c r="S443" i="34"/>
  <c r="S442" i="34"/>
  <c r="S441" i="34"/>
  <c r="S440" i="34"/>
  <c r="S439" i="34"/>
  <c r="S438" i="34"/>
  <c r="S437" i="34"/>
  <c r="S436" i="34"/>
  <c r="S435" i="34"/>
  <c r="S434" i="34"/>
  <c r="S433" i="34"/>
  <c r="S432" i="34"/>
  <c r="S431" i="34"/>
  <c r="S430" i="34"/>
  <c r="S429" i="34"/>
  <c r="S428" i="34"/>
  <c r="S427" i="34"/>
  <c r="S426" i="34"/>
  <c r="S425" i="34"/>
  <c r="S424" i="34"/>
  <c r="S423" i="34"/>
  <c r="S422" i="34"/>
  <c r="S421" i="34"/>
  <c r="S420" i="34"/>
  <c r="S419" i="34"/>
  <c r="S418" i="34"/>
  <c r="S417" i="34"/>
  <c r="S416" i="34"/>
  <c r="S415" i="34"/>
  <c r="S414" i="34"/>
  <c r="S413" i="34"/>
  <c r="S412" i="34"/>
  <c r="S411" i="34"/>
  <c r="S410" i="34"/>
  <c r="S409" i="34"/>
  <c r="S408" i="34"/>
  <c r="S407" i="34"/>
  <c r="S406" i="34"/>
  <c r="S405" i="34"/>
  <c r="S404" i="34"/>
  <c r="S403" i="34"/>
  <c r="S402" i="34"/>
  <c r="S401" i="34"/>
  <c r="S400" i="34"/>
  <c r="S399" i="34"/>
  <c r="S398" i="34"/>
  <c r="S397" i="34"/>
  <c r="S396" i="34"/>
  <c r="S395" i="34"/>
  <c r="S394" i="34"/>
  <c r="S393" i="34"/>
  <c r="S392" i="34"/>
  <c r="S391" i="34"/>
  <c r="S390" i="34"/>
  <c r="S389" i="34"/>
  <c r="S388" i="34"/>
  <c r="S387" i="34"/>
  <c r="S386" i="34"/>
  <c r="S385" i="34"/>
  <c r="S384" i="34"/>
  <c r="S383" i="34"/>
  <c r="S382" i="34"/>
  <c r="S381" i="34"/>
  <c r="S380" i="34"/>
  <c r="S379" i="34"/>
  <c r="S378" i="34"/>
  <c r="S377" i="34"/>
  <c r="S376" i="34"/>
  <c r="S375" i="34"/>
  <c r="S374" i="34"/>
  <c r="S373" i="34"/>
  <c r="S372" i="34"/>
  <c r="S371" i="34"/>
  <c r="S370" i="34"/>
  <c r="S369" i="34"/>
  <c r="S368" i="34"/>
  <c r="S367" i="34"/>
  <c r="S366" i="34"/>
  <c r="S365" i="34"/>
  <c r="S364" i="34"/>
  <c r="S363" i="34"/>
  <c r="S362" i="34"/>
  <c r="S361" i="34"/>
  <c r="S360" i="34"/>
  <c r="S359" i="34"/>
  <c r="S358" i="34"/>
  <c r="S357" i="34"/>
  <c r="S356" i="34"/>
  <c r="S355" i="34"/>
  <c r="S354" i="34"/>
  <c r="S353" i="34"/>
  <c r="S352" i="34"/>
  <c r="S351" i="34"/>
  <c r="S350" i="34"/>
  <c r="S349" i="34"/>
  <c r="S348" i="34"/>
  <c r="S347" i="34"/>
  <c r="S346" i="34"/>
  <c r="S345" i="34"/>
  <c r="S344" i="34"/>
  <c r="S343" i="34"/>
  <c r="S342" i="34"/>
  <c r="S341" i="34"/>
  <c r="S340" i="34"/>
  <c r="S339" i="34"/>
  <c r="S338" i="34"/>
  <c r="S337" i="34"/>
  <c r="S336" i="34"/>
  <c r="S335" i="34"/>
  <c r="S334" i="34"/>
  <c r="S333" i="34"/>
  <c r="S332" i="34"/>
  <c r="S331" i="34"/>
  <c r="S330" i="34"/>
  <c r="S329" i="34"/>
  <c r="S328" i="34"/>
  <c r="S327" i="34"/>
  <c r="S326" i="34"/>
  <c r="S325" i="34"/>
  <c r="S324" i="34"/>
  <c r="S323" i="34"/>
  <c r="S322" i="34"/>
  <c r="S321" i="34"/>
  <c r="S320" i="34"/>
  <c r="S319" i="34"/>
  <c r="S318" i="34"/>
  <c r="S317" i="34"/>
  <c r="S316" i="34"/>
  <c r="S315" i="34"/>
  <c r="S314" i="34"/>
  <c r="S313" i="34"/>
  <c r="S312" i="34"/>
  <c r="S311" i="34"/>
  <c r="S310" i="34"/>
  <c r="S309" i="34"/>
  <c r="S308" i="34"/>
  <c r="S307" i="34"/>
  <c r="S306" i="34"/>
  <c r="S305" i="34"/>
  <c r="S304" i="34"/>
  <c r="S303" i="34"/>
  <c r="S302" i="34"/>
  <c r="S301" i="34"/>
  <c r="S300" i="34"/>
  <c r="S299" i="34"/>
  <c r="S298" i="34"/>
  <c r="S297" i="34"/>
  <c r="S296" i="34"/>
  <c r="S295" i="34"/>
  <c r="S294" i="34"/>
  <c r="S293" i="34"/>
  <c r="S292" i="34"/>
  <c r="S291" i="34"/>
  <c r="S290" i="34"/>
  <c r="S289" i="34"/>
  <c r="S288" i="34"/>
  <c r="S287" i="34"/>
  <c r="S286" i="34"/>
  <c r="S285" i="34"/>
  <c r="S284" i="34"/>
  <c r="S283" i="34"/>
  <c r="S282" i="34"/>
  <c r="S281" i="34"/>
  <c r="S280" i="34"/>
  <c r="S279" i="34"/>
  <c r="S278" i="34"/>
  <c r="S277" i="34"/>
  <c r="S276" i="34"/>
  <c r="S275" i="34"/>
  <c r="S274" i="34"/>
  <c r="S273" i="34"/>
  <c r="S272" i="34"/>
  <c r="S271" i="34"/>
  <c r="S270" i="34"/>
  <c r="S269" i="34"/>
  <c r="S268" i="34"/>
  <c r="S267" i="34"/>
  <c r="S266" i="34"/>
  <c r="S265" i="34"/>
  <c r="S264" i="34"/>
  <c r="S263" i="34"/>
  <c r="S262" i="34"/>
  <c r="S261" i="34"/>
  <c r="S260" i="34"/>
  <c r="S259" i="34"/>
  <c r="S258" i="34"/>
  <c r="S257" i="34"/>
  <c r="S256" i="34"/>
  <c r="S255" i="34"/>
  <c r="S254" i="34"/>
  <c r="S253" i="34"/>
  <c r="S252" i="34"/>
  <c r="S251" i="34"/>
  <c r="S250" i="34"/>
  <c r="S249" i="34"/>
  <c r="S248" i="34"/>
  <c r="S247" i="34"/>
  <c r="S246" i="34"/>
  <c r="S245" i="34"/>
  <c r="S244" i="34"/>
  <c r="S243" i="34"/>
  <c r="S242" i="34"/>
  <c r="S241" i="34"/>
  <c r="S240" i="34"/>
  <c r="S239" i="34"/>
  <c r="S238" i="34"/>
  <c r="S237" i="34"/>
  <c r="S236" i="34"/>
  <c r="S235" i="34"/>
  <c r="S234" i="34"/>
  <c r="S233" i="34"/>
  <c r="S232" i="34"/>
  <c r="S231" i="34"/>
  <c r="S230" i="34"/>
  <c r="S229" i="34"/>
  <c r="S228" i="34"/>
  <c r="S227" i="34"/>
  <c r="S226" i="34"/>
  <c r="S225" i="34"/>
  <c r="S224" i="34"/>
  <c r="S223" i="34"/>
  <c r="S222" i="34"/>
  <c r="S221" i="34"/>
  <c r="S220" i="34"/>
  <c r="S219" i="34"/>
  <c r="S218" i="34"/>
  <c r="S217" i="34"/>
  <c r="S216" i="34"/>
  <c r="S215" i="34"/>
  <c r="S214" i="34"/>
  <c r="S213" i="34"/>
  <c r="S212" i="34"/>
  <c r="S211" i="34"/>
  <c r="S210" i="34"/>
  <c r="S209" i="34"/>
  <c r="S208" i="34"/>
  <c r="S207" i="34"/>
  <c r="S206" i="34"/>
  <c r="S205" i="34"/>
  <c r="S204" i="34"/>
  <c r="S203" i="34"/>
  <c r="S202" i="34"/>
  <c r="S201" i="34"/>
  <c r="S200" i="34"/>
  <c r="S199" i="34"/>
  <c r="S198" i="34"/>
  <c r="S197" i="34"/>
  <c r="S196" i="34"/>
  <c r="S195" i="34"/>
  <c r="S194" i="34"/>
  <c r="S193" i="34"/>
  <c r="S192" i="34"/>
  <c r="S191" i="34"/>
  <c r="S190" i="34"/>
  <c r="S189" i="34"/>
  <c r="S188" i="34"/>
  <c r="S187" i="34"/>
  <c r="S186" i="34"/>
  <c r="S185" i="34"/>
  <c r="S184" i="34"/>
  <c r="S183" i="34"/>
  <c r="S182" i="34"/>
  <c r="S181" i="34"/>
  <c r="S180" i="34"/>
  <c r="S179" i="34"/>
  <c r="S178" i="34"/>
  <c r="S177" i="34"/>
  <c r="S176" i="34"/>
  <c r="S175" i="34"/>
  <c r="S174" i="34"/>
  <c r="S173" i="34"/>
  <c r="S172" i="34"/>
  <c r="S171" i="34"/>
  <c r="S170" i="34"/>
  <c r="S169" i="34"/>
  <c r="S168" i="34"/>
  <c r="S167" i="34"/>
  <c r="S166" i="34"/>
  <c r="S165" i="34"/>
  <c r="S164" i="34"/>
  <c r="S163" i="34"/>
  <c r="S162" i="34"/>
  <c r="S161" i="34"/>
  <c r="S160" i="34"/>
  <c r="S159" i="34"/>
  <c r="S158" i="34"/>
  <c r="S157" i="34"/>
  <c r="S156" i="34"/>
  <c r="S155" i="34"/>
  <c r="S154" i="34"/>
  <c r="S153" i="34"/>
  <c r="S152" i="34"/>
  <c r="S151" i="34"/>
  <c r="S150" i="34"/>
  <c r="S149" i="34"/>
  <c r="S148" i="34"/>
  <c r="S147" i="34"/>
  <c r="S146" i="34"/>
  <c r="S145" i="34"/>
  <c r="S144" i="34"/>
  <c r="S143" i="34"/>
  <c r="S142" i="34"/>
  <c r="S141" i="34"/>
  <c r="S140" i="34"/>
  <c r="S139" i="34"/>
  <c r="S138" i="34"/>
  <c r="S137" i="34"/>
  <c r="S136" i="34"/>
  <c r="S135" i="34"/>
  <c r="S134" i="34"/>
  <c r="S133" i="34"/>
  <c r="S132" i="34"/>
  <c r="S131" i="34"/>
  <c r="S130" i="34"/>
  <c r="S129" i="34"/>
  <c r="S128" i="34"/>
  <c r="S127" i="34"/>
  <c r="S126" i="34"/>
  <c r="S125" i="34"/>
  <c r="S124" i="34"/>
  <c r="S123" i="34"/>
  <c r="S122" i="34"/>
  <c r="S121" i="34"/>
  <c r="S120" i="34"/>
  <c r="S119" i="34"/>
  <c r="S118" i="34"/>
  <c r="S117" i="34"/>
  <c r="S116" i="34"/>
  <c r="S115" i="34"/>
  <c r="S114" i="34"/>
  <c r="S113" i="34"/>
  <c r="S112" i="34"/>
  <c r="S111" i="34"/>
  <c r="S110" i="34"/>
  <c r="S109" i="34"/>
  <c r="S108" i="34"/>
  <c r="S107" i="34"/>
  <c r="S106" i="34"/>
  <c r="S105" i="34"/>
  <c r="S104" i="34"/>
  <c r="S103" i="34"/>
  <c r="S102" i="34"/>
  <c r="S101" i="34"/>
  <c r="S100" i="34"/>
  <c r="S99" i="34"/>
  <c r="S98" i="34"/>
  <c r="S97" i="34"/>
  <c r="S96" i="34"/>
  <c r="S95" i="34"/>
  <c r="S94" i="34"/>
  <c r="S93" i="34"/>
  <c r="S92" i="34"/>
  <c r="S91" i="34"/>
  <c r="S90" i="34"/>
  <c r="S89" i="34"/>
  <c r="S88" i="34"/>
  <c r="S87" i="34"/>
  <c r="S86" i="34"/>
  <c r="S85" i="34"/>
  <c r="S84" i="34"/>
  <c r="S83" i="34"/>
  <c r="S82" i="34"/>
  <c r="S81" i="34"/>
  <c r="S80" i="34"/>
  <c r="S79" i="34"/>
  <c r="S78" i="34"/>
  <c r="S77" i="34"/>
  <c r="S76" i="34"/>
  <c r="S75" i="34"/>
  <c r="S74" i="34"/>
  <c r="S73" i="34"/>
  <c r="S72" i="34"/>
  <c r="S71" i="34"/>
  <c r="S70" i="34"/>
  <c r="S69" i="34"/>
  <c r="S68" i="34"/>
  <c r="S67" i="34"/>
  <c r="S66" i="34"/>
  <c r="S65" i="34"/>
  <c r="S64" i="34"/>
  <c r="S63" i="34"/>
  <c r="S62" i="34"/>
  <c r="S61" i="34"/>
  <c r="S60" i="34"/>
  <c r="S59" i="34"/>
  <c r="S58" i="34"/>
  <c r="S57" i="34"/>
  <c r="S56" i="34"/>
  <c r="S55" i="34"/>
  <c r="S54" i="34"/>
  <c r="S53" i="34"/>
  <c r="S52" i="34"/>
  <c r="S51" i="34"/>
  <c r="S50" i="34"/>
  <c r="S49" i="34"/>
  <c r="S48" i="34"/>
  <c r="S47" i="34"/>
  <c r="S46" i="34"/>
  <c r="S45" i="34"/>
  <c r="S44" i="34"/>
  <c r="S43" i="34"/>
  <c r="S42" i="34"/>
  <c r="S41" i="34"/>
  <c r="S40" i="34"/>
  <c r="S39" i="34"/>
  <c r="S38" i="34"/>
  <c r="S37" i="34"/>
  <c r="S36" i="34"/>
  <c r="S35" i="34"/>
  <c r="S34" i="34"/>
  <c r="S33" i="34"/>
  <c r="S32" i="34"/>
  <c r="S31" i="34"/>
  <c r="S30" i="34"/>
  <c r="S29" i="34"/>
  <c r="S28" i="34"/>
  <c r="S27" i="34"/>
  <c r="S26" i="34"/>
  <c r="S25" i="34"/>
  <c r="S24" i="34"/>
  <c r="S23" i="34"/>
  <c r="S22" i="34"/>
  <c r="S21" i="34"/>
  <c r="S20" i="34"/>
  <c r="S19" i="34"/>
  <c r="S18" i="34"/>
  <c r="S17" i="34"/>
  <c r="S16" i="34"/>
  <c r="S15" i="34"/>
  <c r="S14" i="34"/>
  <c r="S13" i="34"/>
  <c r="S12" i="34"/>
  <c r="S11" i="34"/>
  <c r="S10" i="34"/>
  <c r="S9" i="34"/>
  <c r="S8" i="34"/>
  <c r="S7" i="34"/>
  <c r="S6" i="34"/>
  <c r="S5" i="34"/>
  <c r="S4" i="34"/>
  <c r="S3" i="34"/>
  <c r="S2" i="34"/>
  <c r="R457" i="34"/>
  <c r="R456" i="34"/>
  <c r="R455" i="34"/>
  <c r="R454" i="34"/>
  <c r="R453" i="34"/>
  <c r="R452" i="34"/>
  <c r="R451" i="34"/>
  <c r="R450" i="34"/>
  <c r="R449" i="34"/>
  <c r="R448" i="34"/>
  <c r="R447" i="34"/>
  <c r="R446" i="34"/>
  <c r="R445" i="34"/>
  <c r="R444" i="34"/>
  <c r="R443" i="34"/>
  <c r="R442" i="34"/>
  <c r="R441" i="34"/>
  <c r="R440" i="34"/>
  <c r="R439" i="34"/>
  <c r="R438" i="34"/>
  <c r="R437" i="34"/>
  <c r="R436" i="34"/>
  <c r="R435" i="34"/>
  <c r="R434" i="34"/>
  <c r="R433" i="34"/>
  <c r="R432" i="34"/>
  <c r="R431" i="34"/>
  <c r="R430" i="34"/>
  <c r="R429" i="34"/>
  <c r="R428" i="34"/>
  <c r="R427" i="34"/>
  <c r="R426" i="34"/>
  <c r="R425" i="34"/>
  <c r="R424" i="34"/>
  <c r="R423" i="34"/>
  <c r="R422" i="34"/>
  <c r="R421" i="34"/>
  <c r="R420" i="34"/>
  <c r="R419" i="34"/>
  <c r="R418" i="34"/>
  <c r="R417" i="34"/>
  <c r="R416" i="34"/>
  <c r="R415" i="34"/>
  <c r="R414" i="34"/>
  <c r="R413" i="34"/>
  <c r="R412" i="34"/>
  <c r="R411" i="34"/>
  <c r="R410" i="34"/>
  <c r="R409" i="34"/>
  <c r="R408" i="34"/>
  <c r="R407" i="34"/>
  <c r="R406" i="34"/>
  <c r="R405" i="34"/>
  <c r="R404" i="34"/>
  <c r="R403" i="34"/>
  <c r="R402" i="34"/>
  <c r="R401" i="34"/>
  <c r="R400" i="34"/>
  <c r="R399" i="34"/>
  <c r="R398" i="34"/>
  <c r="R397" i="34"/>
  <c r="R396" i="34"/>
  <c r="R395" i="34"/>
  <c r="R394" i="34"/>
  <c r="R393" i="34"/>
  <c r="R392" i="34"/>
  <c r="R391" i="34"/>
  <c r="R390" i="34"/>
  <c r="R389" i="34"/>
  <c r="R388" i="34"/>
  <c r="R387" i="34"/>
  <c r="R386" i="34"/>
  <c r="R385" i="34"/>
  <c r="R384" i="34"/>
  <c r="R383" i="34"/>
  <c r="R382" i="34"/>
  <c r="R381" i="34"/>
  <c r="R380" i="34"/>
  <c r="R379" i="34"/>
  <c r="R378" i="34"/>
  <c r="R377" i="34"/>
  <c r="R376" i="34"/>
  <c r="R375" i="34"/>
  <c r="R374" i="34"/>
  <c r="R373" i="34"/>
  <c r="R372" i="34"/>
  <c r="R371" i="34"/>
  <c r="R370" i="34"/>
  <c r="R369" i="34"/>
  <c r="R368" i="34"/>
  <c r="R367" i="34"/>
  <c r="R366" i="34"/>
  <c r="R365" i="34"/>
  <c r="R364" i="34"/>
  <c r="R363" i="34"/>
  <c r="R362" i="34"/>
  <c r="R361" i="34"/>
  <c r="R360" i="34"/>
  <c r="R359" i="34"/>
  <c r="R358" i="34"/>
  <c r="R357" i="34"/>
  <c r="R356" i="34"/>
  <c r="R355" i="34"/>
  <c r="R354" i="34"/>
  <c r="R353" i="34"/>
  <c r="R352" i="34"/>
  <c r="R351" i="34"/>
  <c r="R350" i="34"/>
  <c r="R349" i="34"/>
  <c r="R348" i="34"/>
  <c r="R347" i="34"/>
  <c r="R346" i="34"/>
  <c r="R345" i="34"/>
  <c r="R344" i="34"/>
  <c r="R343" i="34"/>
  <c r="R342" i="34"/>
  <c r="R341" i="34"/>
  <c r="R340" i="34"/>
  <c r="R339" i="34"/>
  <c r="R338" i="34"/>
  <c r="R337" i="34"/>
  <c r="R336" i="34"/>
  <c r="R335" i="34"/>
  <c r="R334" i="34"/>
  <c r="R333" i="34"/>
  <c r="R332" i="34"/>
  <c r="R331" i="34"/>
  <c r="R330" i="34"/>
  <c r="R329" i="34"/>
  <c r="R328" i="34"/>
  <c r="R327" i="34"/>
  <c r="R326" i="34"/>
  <c r="R325" i="34"/>
  <c r="R324" i="34"/>
  <c r="R323" i="34"/>
  <c r="R322" i="34"/>
  <c r="R321" i="34"/>
  <c r="R320" i="34"/>
  <c r="R319" i="34"/>
  <c r="R318" i="34"/>
  <c r="R317" i="34"/>
  <c r="R316" i="34"/>
  <c r="R315" i="34"/>
  <c r="R314" i="34"/>
  <c r="R313" i="34"/>
  <c r="R312" i="34"/>
  <c r="R311" i="34"/>
  <c r="R310" i="34"/>
  <c r="R309" i="34"/>
  <c r="R308" i="34"/>
  <c r="R307" i="34"/>
  <c r="R306" i="34"/>
  <c r="R305" i="34"/>
  <c r="R304" i="34"/>
  <c r="R303" i="34"/>
  <c r="R302" i="34"/>
  <c r="R301" i="34"/>
  <c r="R300" i="34"/>
  <c r="R299" i="34"/>
  <c r="R298" i="34"/>
  <c r="R297" i="34"/>
  <c r="R296" i="34"/>
  <c r="R295" i="34"/>
  <c r="R294" i="34"/>
  <c r="R293" i="34"/>
  <c r="R292" i="34"/>
  <c r="R291" i="34"/>
  <c r="R290" i="34"/>
  <c r="R289" i="34"/>
  <c r="R288" i="34"/>
  <c r="R287" i="34"/>
  <c r="R286" i="34"/>
  <c r="R285" i="34"/>
  <c r="R284" i="34"/>
  <c r="R283" i="34"/>
  <c r="R282" i="34"/>
  <c r="R281" i="34"/>
  <c r="R280" i="34"/>
  <c r="R279" i="34"/>
  <c r="R278" i="34"/>
  <c r="R277" i="34"/>
  <c r="R276" i="34"/>
  <c r="R275" i="34"/>
  <c r="R274" i="34"/>
  <c r="R273" i="34"/>
  <c r="R272" i="34"/>
  <c r="R271" i="34"/>
  <c r="R270" i="34"/>
  <c r="R269" i="34"/>
  <c r="R268" i="34"/>
  <c r="R267" i="34"/>
  <c r="R266" i="34"/>
  <c r="R265" i="34"/>
  <c r="R264" i="34"/>
  <c r="R263" i="34"/>
  <c r="R262" i="34"/>
  <c r="R261" i="34"/>
  <c r="R260" i="34"/>
  <c r="R259" i="34"/>
  <c r="R258" i="34"/>
  <c r="R257" i="34"/>
  <c r="R256" i="34"/>
  <c r="R255" i="34"/>
  <c r="R254" i="34"/>
  <c r="R253" i="34"/>
  <c r="R252" i="34"/>
  <c r="R251" i="34"/>
  <c r="R250" i="34"/>
  <c r="R249" i="34"/>
  <c r="R248" i="34"/>
  <c r="R247" i="34"/>
  <c r="R246" i="34"/>
  <c r="R245" i="34"/>
  <c r="R244" i="34"/>
  <c r="R243" i="34"/>
  <c r="R242" i="34"/>
  <c r="R241" i="34"/>
  <c r="R240" i="34"/>
  <c r="R239" i="34"/>
  <c r="R238" i="34"/>
  <c r="R237" i="34"/>
  <c r="R236" i="34"/>
  <c r="R235" i="34"/>
  <c r="R234" i="34"/>
  <c r="R233" i="34"/>
  <c r="R232" i="34"/>
  <c r="R231" i="34"/>
  <c r="R230" i="34"/>
  <c r="R229" i="34"/>
  <c r="R228" i="34"/>
  <c r="R227" i="34"/>
  <c r="R226" i="34"/>
  <c r="R225" i="34"/>
  <c r="R224" i="34"/>
  <c r="R223" i="34"/>
  <c r="R222" i="34"/>
  <c r="R221" i="34"/>
  <c r="R220" i="34"/>
  <c r="R219" i="34"/>
  <c r="R218" i="34"/>
  <c r="R217" i="34"/>
  <c r="R216" i="34"/>
  <c r="R215" i="34"/>
  <c r="R214" i="34"/>
  <c r="R213" i="34"/>
  <c r="R212" i="34"/>
  <c r="R211" i="34"/>
  <c r="R210" i="34"/>
  <c r="R209" i="34"/>
  <c r="R208" i="34"/>
  <c r="R207" i="34"/>
  <c r="R206" i="34"/>
  <c r="R205" i="34"/>
  <c r="R204" i="34"/>
  <c r="R203" i="34"/>
  <c r="R202" i="34"/>
  <c r="R201" i="34"/>
  <c r="R200" i="34"/>
  <c r="R199" i="34"/>
  <c r="R198" i="34"/>
  <c r="R197" i="34"/>
  <c r="R196" i="34"/>
  <c r="R195" i="34"/>
  <c r="R194" i="34"/>
  <c r="R193" i="34"/>
  <c r="R192" i="34"/>
  <c r="R191" i="34"/>
  <c r="R190" i="34"/>
  <c r="R189" i="34"/>
  <c r="R188" i="34"/>
  <c r="R187" i="34"/>
  <c r="R186" i="34"/>
  <c r="R185" i="34"/>
  <c r="R184" i="34"/>
  <c r="R183" i="34"/>
  <c r="R182" i="34"/>
  <c r="R181" i="34"/>
  <c r="R180" i="34"/>
  <c r="R179" i="34"/>
  <c r="R178" i="34"/>
  <c r="R177" i="34"/>
  <c r="R176" i="34"/>
  <c r="R175" i="34"/>
  <c r="R174" i="34"/>
  <c r="R173" i="34"/>
  <c r="R172" i="34"/>
  <c r="R171" i="34"/>
  <c r="R170" i="34"/>
  <c r="R169" i="34"/>
  <c r="R168" i="34"/>
  <c r="R167" i="34"/>
  <c r="R166" i="34"/>
  <c r="R165" i="34"/>
  <c r="R164" i="34"/>
  <c r="R163" i="34"/>
  <c r="R162" i="34"/>
  <c r="R161" i="34"/>
  <c r="R160" i="34"/>
  <c r="R159" i="34"/>
  <c r="R158" i="34"/>
  <c r="R157" i="34"/>
  <c r="R156" i="34"/>
  <c r="R155" i="34"/>
  <c r="R154" i="34"/>
  <c r="R153" i="34"/>
  <c r="R152" i="34"/>
  <c r="R151" i="34"/>
  <c r="R150" i="34"/>
  <c r="R149" i="34"/>
  <c r="R148" i="34"/>
  <c r="R147" i="34"/>
  <c r="R146" i="34"/>
  <c r="R145" i="34"/>
  <c r="R144" i="34"/>
  <c r="R143" i="34"/>
  <c r="R142" i="34"/>
  <c r="R141" i="34"/>
  <c r="R140" i="34"/>
  <c r="R139" i="34"/>
  <c r="R138" i="34"/>
  <c r="R137" i="34"/>
  <c r="R136" i="34"/>
  <c r="R135" i="34"/>
  <c r="R134" i="34"/>
  <c r="R133" i="34"/>
  <c r="R132" i="34"/>
  <c r="R131" i="34"/>
  <c r="R130" i="34"/>
  <c r="R129" i="34"/>
  <c r="R128" i="34"/>
  <c r="R127" i="34"/>
  <c r="R126" i="34"/>
  <c r="R125" i="34"/>
  <c r="R124" i="34"/>
  <c r="R123" i="34"/>
  <c r="R122" i="34"/>
  <c r="R121" i="34"/>
  <c r="R120" i="34"/>
  <c r="R119" i="34"/>
  <c r="R118" i="34"/>
  <c r="R117" i="34"/>
  <c r="R116" i="34"/>
  <c r="R115" i="34"/>
  <c r="R114" i="34"/>
  <c r="R113" i="34"/>
  <c r="R112" i="34"/>
  <c r="R111" i="34"/>
  <c r="R110" i="34"/>
  <c r="R109" i="34"/>
  <c r="R108" i="34"/>
  <c r="R107" i="34"/>
  <c r="R106" i="34"/>
  <c r="R105" i="34"/>
  <c r="R104" i="34"/>
  <c r="R103" i="34"/>
  <c r="R102" i="34"/>
  <c r="R101" i="34"/>
  <c r="R100" i="34"/>
  <c r="R99" i="34"/>
  <c r="R98" i="34"/>
  <c r="R97" i="34"/>
  <c r="R96" i="34"/>
  <c r="R95" i="34"/>
  <c r="R94" i="34"/>
  <c r="R93" i="34"/>
  <c r="R92" i="34"/>
  <c r="R91" i="34"/>
  <c r="R90" i="34"/>
  <c r="R89" i="34"/>
  <c r="R88" i="34"/>
  <c r="R87" i="34"/>
  <c r="R86" i="34"/>
  <c r="R85" i="34"/>
  <c r="R84" i="34"/>
  <c r="R83" i="34"/>
  <c r="R82" i="34"/>
  <c r="R81" i="34"/>
  <c r="R80" i="34"/>
  <c r="R79" i="34"/>
  <c r="R78" i="34"/>
  <c r="R77" i="34"/>
  <c r="R76" i="34"/>
  <c r="R75" i="34"/>
  <c r="R74" i="34"/>
  <c r="R73" i="34"/>
  <c r="R72" i="34"/>
  <c r="R71" i="34"/>
  <c r="R70" i="34"/>
  <c r="R69" i="34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3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39" i="34"/>
  <c r="R38" i="34"/>
  <c r="R37" i="34"/>
  <c r="R36" i="34"/>
  <c r="R35" i="34"/>
  <c r="R34" i="34"/>
  <c r="R33" i="34"/>
  <c r="R32" i="34"/>
  <c r="R31" i="34"/>
  <c r="R30" i="34"/>
  <c r="R29" i="34"/>
  <c r="R28" i="34"/>
  <c r="R27" i="34"/>
  <c r="R26" i="34"/>
  <c r="R25" i="34"/>
  <c r="R24" i="34"/>
  <c r="R23" i="34"/>
  <c r="R22" i="34"/>
  <c r="R21" i="34"/>
  <c r="R20" i="34"/>
  <c r="R19" i="34"/>
  <c r="R18" i="34"/>
  <c r="R17" i="34"/>
  <c r="R16" i="34"/>
  <c r="R15" i="34"/>
  <c r="R14" i="34"/>
  <c r="R13" i="34"/>
  <c r="R12" i="34"/>
  <c r="R11" i="34"/>
  <c r="R10" i="34"/>
  <c r="R9" i="34"/>
  <c r="R8" i="34"/>
  <c r="R7" i="34"/>
  <c r="R6" i="34"/>
  <c r="R5" i="34"/>
  <c r="R4" i="34"/>
  <c r="R3" i="34"/>
  <c r="R2" i="34"/>
  <c r="J457" i="34"/>
  <c r="J456" i="34"/>
  <c r="J455" i="34"/>
  <c r="J454" i="34"/>
  <c r="J453" i="34"/>
  <c r="J452" i="34"/>
  <c r="J451" i="34"/>
  <c r="J450" i="34"/>
  <c r="J449" i="34"/>
  <c r="J448" i="34"/>
  <c r="J447" i="34"/>
  <c r="J446" i="34"/>
  <c r="J445" i="34"/>
  <c r="J444" i="34"/>
  <c r="J443" i="34"/>
  <c r="J442" i="34"/>
  <c r="J441" i="34"/>
  <c r="J440" i="34"/>
  <c r="J439" i="34"/>
  <c r="J438" i="34"/>
  <c r="J437" i="34"/>
  <c r="J436" i="34"/>
  <c r="J435" i="34"/>
  <c r="J434" i="34"/>
  <c r="J433" i="34"/>
  <c r="J432" i="34"/>
  <c r="J431" i="34"/>
  <c r="J430" i="34"/>
  <c r="J429" i="34"/>
  <c r="J428" i="34"/>
  <c r="J427" i="34"/>
  <c r="J426" i="34"/>
  <c r="J425" i="34"/>
  <c r="J424" i="34"/>
  <c r="J423" i="34"/>
  <c r="J422" i="34"/>
  <c r="J421" i="34"/>
  <c r="J420" i="34"/>
  <c r="J419" i="34"/>
  <c r="J418" i="34"/>
  <c r="J417" i="34"/>
  <c r="J416" i="34"/>
  <c r="J415" i="34"/>
  <c r="J414" i="34"/>
  <c r="J413" i="34"/>
  <c r="J412" i="34"/>
  <c r="J411" i="34"/>
  <c r="J410" i="34"/>
  <c r="J409" i="34"/>
  <c r="J408" i="34"/>
  <c r="J407" i="34"/>
  <c r="J406" i="34"/>
  <c r="J405" i="34"/>
  <c r="J404" i="34"/>
  <c r="J403" i="34"/>
  <c r="J402" i="34"/>
  <c r="J401" i="34"/>
  <c r="J400" i="34"/>
  <c r="J399" i="34"/>
  <c r="J398" i="34"/>
  <c r="J397" i="34"/>
  <c r="J396" i="34"/>
  <c r="J395" i="34"/>
  <c r="J394" i="34"/>
  <c r="J393" i="34"/>
  <c r="J392" i="34"/>
  <c r="J391" i="34"/>
  <c r="J390" i="34"/>
  <c r="J389" i="34"/>
  <c r="J388" i="34"/>
  <c r="J387" i="34"/>
  <c r="J386" i="34"/>
  <c r="J385" i="34"/>
  <c r="J384" i="34"/>
  <c r="J383" i="34"/>
  <c r="J382" i="34"/>
  <c r="J381" i="34"/>
  <c r="J380" i="34"/>
  <c r="J379" i="34"/>
  <c r="J378" i="34"/>
  <c r="J377" i="34"/>
  <c r="J376" i="34"/>
  <c r="J375" i="34"/>
  <c r="J374" i="34"/>
  <c r="J373" i="34"/>
  <c r="J372" i="34"/>
  <c r="J371" i="34"/>
  <c r="J370" i="34"/>
  <c r="J369" i="34"/>
  <c r="J368" i="34"/>
  <c r="J367" i="34"/>
  <c r="J366" i="34"/>
  <c r="J365" i="34"/>
  <c r="J364" i="34"/>
  <c r="J363" i="34"/>
  <c r="J362" i="34"/>
  <c r="J361" i="34"/>
  <c r="J360" i="34"/>
  <c r="J359" i="34"/>
  <c r="J358" i="34"/>
  <c r="J357" i="34"/>
  <c r="J356" i="34"/>
  <c r="J355" i="34"/>
  <c r="J354" i="34"/>
  <c r="J353" i="34"/>
  <c r="J352" i="34"/>
  <c r="J351" i="34"/>
  <c r="J350" i="34"/>
  <c r="J349" i="34"/>
  <c r="J348" i="34"/>
  <c r="J347" i="34"/>
  <c r="J346" i="34"/>
  <c r="J345" i="34"/>
  <c r="J344" i="34"/>
  <c r="J343" i="34"/>
  <c r="J342" i="34"/>
  <c r="J341" i="34"/>
  <c r="J340" i="34"/>
  <c r="J339" i="34"/>
  <c r="J338" i="34"/>
  <c r="J337" i="34"/>
  <c r="J336" i="34"/>
  <c r="J335" i="34"/>
  <c r="J334" i="34"/>
  <c r="J333" i="34"/>
  <c r="J332" i="34"/>
  <c r="J331" i="34"/>
  <c r="J330" i="34"/>
  <c r="J329" i="34"/>
  <c r="J328" i="34"/>
  <c r="J327" i="34"/>
  <c r="J326" i="34"/>
  <c r="J325" i="34"/>
  <c r="J324" i="34"/>
  <c r="J323" i="34"/>
  <c r="J322" i="34"/>
  <c r="J321" i="34"/>
  <c r="J320" i="34"/>
  <c r="J319" i="34"/>
  <c r="J318" i="34"/>
  <c r="J317" i="34"/>
  <c r="J316" i="34"/>
  <c r="J315" i="34"/>
  <c r="J314" i="34"/>
  <c r="J313" i="34"/>
  <c r="J312" i="34"/>
  <c r="J311" i="34"/>
  <c r="J310" i="34"/>
  <c r="J309" i="34"/>
  <c r="J308" i="34"/>
  <c r="J307" i="34"/>
  <c r="J306" i="34"/>
  <c r="J305" i="34"/>
  <c r="J304" i="34"/>
  <c r="J303" i="34"/>
  <c r="J302" i="34"/>
  <c r="J301" i="34"/>
  <c r="J300" i="34"/>
  <c r="J299" i="34"/>
  <c r="J298" i="34"/>
  <c r="J297" i="34"/>
  <c r="J296" i="34"/>
  <c r="J295" i="34"/>
  <c r="J294" i="34"/>
  <c r="J293" i="34"/>
  <c r="J292" i="34"/>
  <c r="J291" i="34"/>
  <c r="J290" i="34"/>
  <c r="J289" i="34"/>
  <c r="J288" i="34"/>
  <c r="J287" i="34"/>
  <c r="J286" i="34"/>
  <c r="J285" i="34"/>
  <c r="J284" i="34"/>
  <c r="J283" i="34"/>
  <c r="J282" i="34"/>
  <c r="J281" i="34"/>
  <c r="J280" i="34"/>
  <c r="J279" i="34"/>
  <c r="J278" i="34"/>
  <c r="J277" i="34"/>
  <c r="J276" i="34"/>
  <c r="J275" i="34"/>
  <c r="J274" i="34"/>
  <c r="J273" i="34"/>
  <c r="J272" i="34"/>
  <c r="J271" i="34"/>
  <c r="J270" i="34"/>
  <c r="J269" i="34"/>
  <c r="J268" i="34"/>
  <c r="J267" i="34"/>
  <c r="J266" i="34"/>
  <c r="J265" i="34"/>
  <c r="J264" i="34"/>
  <c r="J263" i="34"/>
  <c r="J262" i="34"/>
  <c r="J261" i="34"/>
  <c r="J260" i="34"/>
  <c r="J259" i="34"/>
  <c r="J258" i="34"/>
  <c r="J257" i="34"/>
  <c r="J256" i="34"/>
  <c r="J255" i="34"/>
  <c r="J254" i="34"/>
  <c r="J253" i="34"/>
  <c r="J252" i="34"/>
  <c r="J251" i="34"/>
  <c r="J250" i="34"/>
  <c r="J249" i="34"/>
  <c r="J248" i="34"/>
  <c r="J247" i="34"/>
  <c r="J246" i="34"/>
  <c r="J245" i="34"/>
  <c r="J244" i="34"/>
  <c r="J243" i="34"/>
  <c r="J242" i="34"/>
  <c r="J241" i="34"/>
  <c r="J240" i="34"/>
  <c r="J239" i="34"/>
  <c r="J238" i="34"/>
  <c r="J237" i="34"/>
  <c r="J236" i="34"/>
  <c r="J235" i="34"/>
  <c r="J234" i="34"/>
  <c r="J233" i="34"/>
  <c r="J232" i="34"/>
  <c r="J231" i="34"/>
  <c r="J230" i="34"/>
  <c r="J229" i="34"/>
  <c r="J228" i="34"/>
  <c r="J227" i="34"/>
  <c r="J226" i="34"/>
  <c r="J225" i="34"/>
  <c r="J224" i="34"/>
  <c r="J223" i="34"/>
  <c r="J222" i="34"/>
  <c r="J221" i="34"/>
  <c r="J220" i="34"/>
  <c r="J219" i="34"/>
  <c r="J218" i="34"/>
  <c r="J217" i="34"/>
  <c r="J216" i="34"/>
  <c r="J215" i="34"/>
  <c r="J214" i="34"/>
  <c r="J213" i="34"/>
  <c r="J212" i="34"/>
  <c r="J211" i="34"/>
  <c r="J210" i="34"/>
  <c r="J209" i="34"/>
  <c r="J208" i="34"/>
  <c r="J207" i="34"/>
  <c r="J206" i="34"/>
  <c r="J205" i="34"/>
  <c r="J204" i="34"/>
  <c r="J203" i="34"/>
  <c r="J202" i="34"/>
  <c r="J201" i="34"/>
  <c r="J200" i="34"/>
  <c r="J199" i="34"/>
  <c r="J198" i="34"/>
  <c r="J197" i="34"/>
  <c r="J196" i="34"/>
  <c r="J195" i="34"/>
  <c r="J194" i="34"/>
  <c r="J193" i="34"/>
  <c r="J192" i="34"/>
  <c r="J191" i="34"/>
  <c r="J190" i="34"/>
  <c r="J189" i="34"/>
  <c r="J188" i="34"/>
  <c r="J187" i="34"/>
  <c r="J186" i="34"/>
  <c r="J185" i="34"/>
  <c r="J184" i="34"/>
  <c r="J183" i="34"/>
  <c r="J182" i="34"/>
  <c r="J181" i="34"/>
  <c r="J180" i="34"/>
  <c r="J179" i="34"/>
  <c r="J178" i="34"/>
  <c r="J177" i="34"/>
  <c r="J176" i="34"/>
  <c r="J175" i="34"/>
  <c r="J174" i="34"/>
  <c r="J173" i="34"/>
  <c r="J172" i="34"/>
  <c r="J171" i="34"/>
  <c r="J170" i="34"/>
  <c r="J169" i="34"/>
  <c r="J168" i="34"/>
  <c r="J167" i="34"/>
  <c r="J166" i="34"/>
  <c r="J165" i="34"/>
  <c r="J164" i="34"/>
  <c r="J163" i="34"/>
  <c r="J162" i="34"/>
  <c r="J161" i="34"/>
  <c r="J160" i="34"/>
  <c r="J159" i="34"/>
  <c r="J158" i="34"/>
  <c r="J157" i="34"/>
  <c r="J156" i="34"/>
  <c r="J155" i="34"/>
  <c r="J154" i="34"/>
  <c r="J153" i="34"/>
  <c r="J152" i="34"/>
  <c r="J151" i="34"/>
  <c r="J150" i="34"/>
  <c r="J149" i="34"/>
  <c r="J148" i="34"/>
  <c r="J147" i="34"/>
  <c r="J146" i="34"/>
  <c r="J145" i="34"/>
  <c r="J144" i="34"/>
  <c r="J143" i="34"/>
  <c r="J142" i="34"/>
  <c r="J141" i="34"/>
  <c r="J140" i="34"/>
  <c r="J139" i="34"/>
  <c r="J138" i="34"/>
  <c r="J137" i="34"/>
  <c r="J136" i="34"/>
  <c r="J135" i="34"/>
  <c r="J134" i="34"/>
  <c r="J133" i="34"/>
  <c r="J132" i="34"/>
  <c r="J131" i="34"/>
  <c r="J130" i="34"/>
  <c r="J129" i="34"/>
  <c r="J128" i="34"/>
  <c r="J127" i="34"/>
  <c r="J126" i="34"/>
  <c r="J125" i="34"/>
  <c r="J124" i="34"/>
  <c r="J123" i="34"/>
  <c r="J122" i="34"/>
  <c r="J121" i="34"/>
  <c r="J120" i="34"/>
  <c r="J119" i="34"/>
  <c r="J118" i="34"/>
  <c r="J117" i="34"/>
  <c r="J116" i="34"/>
  <c r="J115" i="34"/>
  <c r="J114" i="34"/>
  <c r="J113" i="34"/>
  <c r="J112" i="34"/>
  <c r="J111" i="34"/>
  <c r="J110" i="34"/>
  <c r="J109" i="34"/>
  <c r="J108" i="34"/>
  <c r="J107" i="34"/>
  <c r="J106" i="34"/>
  <c r="J105" i="34"/>
  <c r="J104" i="34"/>
  <c r="J103" i="34"/>
  <c r="J102" i="34"/>
  <c r="J101" i="34"/>
  <c r="J100" i="34"/>
  <c r="J99" i="34"/>
  <c r="J98" i="34"/>
  <c r="J97" i="34"/>
  <c r="J96" i="34"/>
  <c r="J95" i="34"/>
  <c r="J94" i="34"/>
  <c r="J93" i="34"/>
  <c r="J92" i="34"/>
  <c r="J91" i="34"/>
  <c r="J90" i="34"/>
  <c r="J89" i="34"/>
  <c r="J88" i="34"/>
  <c r="J87" i="34"/>
  <c r="J86" i="34"/>
  <c r="J85" i="34"/>
  <c r="J84" i="34"/>
  <c r="J83" i="34"/>
  <c r="J82" i="34"/>
  <c r="J81" i="34"/>
  <c r="J80" i="34"/>
  <c r="J79" i="34"/>
  <c r="J78" i="34"/>
  <c r="J77" i="34"/>
  <c r="J76" i="34"/>
  <c r="J75" i="34"/>
  <c r="J74" i="34"/>
  <c r="J73" i="34"/>
  <c r="J72" i="34"/>
  <c r="J71" i="34"/>
  <c r="J70" i="34"/>
  <c r="J69" i="34"/>
  <c r="J68" i="34"/>
  <c r="J67" i="34"/>
  <c r="J66" i="34"/>
  <c r="J65" i="34"/>
  <c r="J64" i="34"/>
  <c r="J63" i="34"/>
  <c r="J62" i="34"/>
  <c r="J61" i="34"/>
  <c r="J60" i="34"/>
  <c r="J59" i="34"/>
  <c r="J58" i="34"/>
  <c r="J57" i="34"/>
  <c r="J56" i="34"/>
  <c r="J55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12" i="34"/>
  <c r="J11" i="34"/>
  <c r="J10" i="34"/>
  <c r="J9" i="34"/>
  <c r="J8" i="34"/>
  <c r="J7" i="34"/>
  <c r="J6" i="34"/>
  <c r="J5" i="34"/>
  <c r="J4" i="34"/>
  <c r="J3" i="34"/>
  <c r="J2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F457" i="34"/>
  <c r="F456" i="34"/>
  <c r="F455" i="34"/>
  <c r="F454" i="34"/>
  <c r="F453" i="34"/>
  <c r="F452" i="34"/>
  <c r="F451" i="34"/>
  <c r="F450" i="34"/>
  <c r="F449" i="34"/>
  <c r="F448" i="34"/>
  <c r="F447" i="34"/>
  <c r="F446" i="34"/>
  <c r="F445" i="34"/>
  <c r="F444" i="34"/>
  <c r="F443" i="34"/>
  <c r="F442" i="34"/>
  <c r="F441" i="34"/>
  <c r="F440" i="34"/>
  <c r="F439" i="34"/>
  <c r="F438" i="34"/>
  <c r="F437" i="34"/>
  <c r="F436" i="34"/>
  <c r="F435" i="34"/>
  <c r="F434" i="34"/>
  <c r="F433" i="34"/>
  <c r="F432" i="34"/>
  <c r="F431" i="34"/>
  <c r="F430" i="34"/>
  <c r="F429" i="34"/>
  <c r="F428" i="34"/>
  <c r="F427" i="34"/>
  <c r="F426" i="34"/>
  <c r="F425" i="34"/>
  <c r="F424" i="34"/>
  <c r="F423" i="34"/>
  <c r="F422" i="34"/>
  <c r="F421" i="34"/>
  <c r="F420" i="34"/>
  <c r="F419" i="34"/>
  <c r="F418" i="34"/>
  <c r="F417" i="34"/>
  <c r="F416" i="34"/>
  <c r="F415" i="34"/>
  <c r="F414" i="34"/>
  <c r="F413" i="34"/>
  <c r="F412" i="34"/>
  <c r="F411" i="34"/>
  <c r="F410" i="34"/>
  <c r="F409" i="34"/>
  <c r="F408" i="34"/>
  <c r="F407" i="34"/>
  <c r="F406" i="34"/>
  <c r="F405" i="34"/>
  <c r="F404" i="34"/>
  <c r="F403" i="34"/>
  <c r="F402" i="34"/>
  <c r="F401" i="34"/>
  <c r="F400" i="34"/>
  <c r="F399" i="34"/>
  <c r="F398" i="34"/>
  <c r="F397" i="34"/>
  <c r="F396" i="34"/>
  <c r="F395" i="34"/>
  <c r="F394" i="34"/>
  <c r="F393" i="34"/>
  <c r="F392" i="34"/>
  <c r="F391" i="34"/>
  <c r="F390" i="34"/>
  <c r="F389" i="34"/>
  <c r="F388" i="34"/>
  <c r="F387" i="34"/>
  <c r="F386" i="34"/>
  <c r="F385" i="34"/>
  <c r="F384" i="34"/>
  <c r="F383" i="34"/>
  <c r="F382" i="34"/>
  <c r="F381" i="34"/>
  <c r="F380" i="34"/>
  <c r="F379" i="34"/>
  <c r="F378" i="34"/>
  <c r="F377" i="34"/>
  <c r="F376" i="34"/>
  <c r="F375" i="34"/>
  <c r="F374" i="34"/>
  <c r="F373" i="34"/>
  <c r="F372" i="34"/>
  <c r="F371" i="34"/>
  <c r="F370" i="34"/>
  <c r="F369" i="34"/>
  <c r="F368" i="34"/>
  <c r="F367" i="34"/>
  <c r="F366" i="34"/>
  <c r="F365" i="34"/>
  <c r="F364" i="34"/>
  <c r="F363" i="34"/>
  <c r="F362" i="34"/>
  <c r="F361" i="34"/>
  <c r="F360" i="34"/>
  <c r="F359" i="34"/>
  <c r="F358" i="34"/>
  <c r="F357" i="34"/>
  <c r="F356" i="34"/>
  <c r="F355" i="34"/>
  <c r="F354" i="34"/>
  <c r="F353" i="34"/>
  <c r="F352" i="34"/>
  <c r="F351" i="34"/>
  <c r="F350" i="34"/>
  <c r="F349" i="34"/>
  <c r="F348" i="34"/>
  <c r="F347" i="34"/>
  <c r="F346" i="34"/>
  <c r="F345" i="34"/>
  <c r="F344" i="34"/>
  <c r="F343" i="34"/>
  <c r="F342" i="34"/>
  <c r="F341" i="34"/>
  <c r="F340" i="34"/>
  <c r="F339" i="34"/>
  <c r="F338" i="34"/>
  <c r="F337" i="34"/>
  <c r="F336" i="34"/>
  <c r="F335" i="34"/>
  <c r="F334" i="34"/>
  <c r="F333" i="34"/>
  <c r="F332" i="34"/>
  <c r="F331" i="34"/>
  <c r="F330" i="34"/>
  <c r="F329" i="34"/>
  <c r="F328" i="34"/>
  <c r="F327" i="34"/>
  <c r="F326" i="34"/>
  <c r="F325" i="34"/>
  <c r="F324" i="34"/>
  <c r="F323" i="34"/>
  <c r="F322" i="34"/>
  <c r="F321" i="34"/>
  <c r="F320" i="34"/>
  <c r="F319" i="34"/>
  <c r="F318" i="34"/>
  <c r="F317" i="34"/>
  <c r="F316" i="34"/>
  <c r="F315" i="34"/>
  <c r="F314" i="34"/>
  <c r="F313" i="34"/>
  <c r="F312" i="34"/>
  <c r="F311" i="34"/>
  <c r="F310" i="34"/>
  <c r="F309" i="34"/>
  <c r="F308" i="34"/>
  <c r="F307" i="34"/>
  <c r="F306" i="34"/>
  <c r="F305" i="34"/>
  <c r="F304" i="34"/>
  <c r="F303" i="34"/>
  <c r="F302" i="34"/>
  <c r="F301" i="34"/>
  <c r="F300" i="34"/>
  <c r="F299" i="34"/>
  <c r="F298" i="34"/>
  <c r="F297" i="34"/>
  <c r="F296" i="34"/>
  <c r="F295" i="34"/>
  <c r="F294" i="34"/>
  <c r="F293" i="34"/>
  <c r="F292" i="34"/>
  <c r="F291" i="34"/>
  <c r="F290" i="34"/>
  <c r="F289" i="34"/>
  <c r="F288" i="34"/>
  <c r="F287" i="34"/>
  <c r="F286" i="34"/>
  <c r="F285" i="34"/>
  <c r="F284" i="34"/>
  <c r="F283" i="34"/>
  <c r="F282" i="34"/>
  <c r="F281" i="34"/>
  <c r="F280" i="34"/>
  <c r="F279" i="34"/>
  <c r="F278" i="34"/>
  <c r="F277" i="34"/>
  <c r="F276" i="34"/>
  <c r="F275" i="34"/>
  <c r="F274" i="34"/>
  <c r="F273" i="34"/>
  <c r="F272" i="34"/>
  <c r="F271" i="34"/>
  <c r="F270" i="34"/>
  <c r="F269" i="34"/>
  <c r="F268" i="34"/>
  <c r="F267" i="34"/>
  <c r="F266" i="34"/>
  <c r="F265" i="34"/>
  <c r="F264" i="34"/>
  <c r="F263" i="34"/>
  <c r="F262" i="34"/>
  <c r="F261" i="34"/>
  <c r="F260" i="34"/>
  <c r="F259" i="34"/>
  <c r="F258" i="34"/>
  <c r="F257" i="34"/>
  <c r="F256" i="34"/>
  <c r="F255" i="34"/>
  <c r="F254" i="34"/>
  <c r="F253" i="34"/>
  <c r="F252" i="34"/>
  <c r="F251" i="34"/>
  <c r="F250" i="34"/>
  <c r="F249" i="34"/>
  <c r="F248" i="34"/>
  <c r="F247" i="34"/>
  <c r="F246" i="34"/>
  <c r="F245" i="34"/>
  <c r="F244" i="34"/>
  <c r="F243" i="34"/>
  <c r="F242" i="34"/>
  <c r="F241" i="34"/>
  <c r="F240" i="34"/>
  <c r="F239" i="34"/>
  <c r="F238" i="34"/>
  <c r="F237" i="34"/>
  <c r="F236" i="34"/>
  <c r="F235" i="34"/>
  <c r="F234" i="34"/>
  <c r="F233" i="34"/>
  <c r="F232" i="34"/>
  <c r="F231" i="34"/>
  <c r="F230" i="34"/>
  <c r="F229" i="34"/>
  <c r="F228" i="34"/>
  <c r="F227" i="34"/>
  <c r="F226" i="34"/>
  <c r="F225" i="34"/>
  <c r="F224" i="34"/>
  <c r="F223" i="34"/>
  <c r="F222" i="34"/>
  <c r="F221" i="34"/>
  <c r="F220" i="34"/>
  <c r="F219" i="34"/>
  <c r="F218" i="34"/>
  <c r="F217" i="34"/>
  <c r="F216" i="34"/>
  <c r="F215" i="34"/>
  <c r="F214" i="34"/>
  <c r="F213" i="34"/>
  <c r="F212" i="34"/>
  <c r="F211" i="34"/>
  <c r="F210" i="34"/>
  <c r="F209" i="34"/>
  <c r="F208" i="34"/>
  <c r="F207" i="34"/>
  <c r="F206" i="34"/>
  <c r="F205" i="34"/>
  <c r="F204" i="34"/>
  <c r="F203" i="34"/>
  <c r="F202" i="34"/>
  <c r="F201" i="34"/>
  <c r="F200" i="34"/>
  <c r="F199" i="34"/>
  <c r="F198" i="34"/>
  <c r="F197" i="34"/>
  <c r="F196" i="34"/>
  <c r="F195" i="34"/>
  <c r="F194" i="34"/>
  <c r="F193" i="34"/>
  <c r="F192" i="34"/>
  <c r="F191" i="34"/>
  <c r="F190" i="34"/>
  <c r="F189" i="34"/>
  <c r="F188" i="34"/>
  <c r="F187" i="34"/>
  <c r="F186" i="34"/>
  <c r="F185" i="34"/>
  <c r="F184" i="34"/>
  <c r="F183" i="34"/>
  <c r="F182" i="34"/>
  <c r="F181" i="34"/>
  <c r="F180" i="34"/>
  <c r="F179" i="34"/>
  <c r="F178" i="34"/>
  <c r="F177" i="34"/>
  <c r="F176" i="34"/>
  <c r="F175" i="34"/>
  <c r="F174" i="34"/>
  <c r="F173" i="34"/>
  <c r="F172" i="34"/>
  <c r="F171" i="34"/>
  <c r="F170" i="34"/>
  <c r="F169" i="34"/>
  <c r="F168" i="34"/>
  <c r="F167" i="34"/>
  <c r="F166" i="34"/>
  <c r="F165" i="34"/>
  <c r="F164" i="34"/>
  <c r="F163" i="34"/>
  <c r="F162" i="34"/>
  <c r="F161" i="34"/>
  <c r="F160" i="34"/>
  <c r="F159" i="34"/>
  <c r="F158" i="34"/>
  <c r="F157" i="34"/>
  <c r="F156" i="34"/>
  <c r="F155" i="34"/>
  <c r="F154" i="34"/>
  <c r="F153" i="34"/>
  <c r="F152" i="34"/>
  <c r="F151" i="34"/>
  <c r="F150" i="34"/>
  <c r="F149" i="34"/>
  <c r="F148" i="34"/>
  <c r="F147" i="34"/>
  <c r="F146" i="34"/>
  <c r="F145" i="34"/>
  <c r="F144" i="34"/>
  <c r="F143" i="34"/>
  <c r="F142" i="34"/>
  <c r="F141" i="34"/>
  <c r="F140" i="34"/>
  <c r="F139" i="34"/>
  <c r="F138" i="34"/>
  <c r="F137" i="34"/>
  <c r="F136" i="34"/>
  <c r="F135" i="34"/>
  <c r="F134" i="34"/>
  <c r="F133" i="34"/>
  <c r="F132" i="34"/>
  <c r="F131" i="34"/>
  <c r="F130" i="34"/>
  <c r="F129" i="34"/>
  <c r="F128" i="34"/>
  <c r="F127" i="34"/>
  <c r="F126" i="34"/>
  <c r="F125" i="34"/>
  <c r="F124" i="34"/>
  <c r="F123" i="34"/>
  <c r="F122" i="34"/>
  <c r="F121" i="34"/>
  <c r="F120" i="34"/>
  <c r="F119" i="34"/>
  <c r="F118" i="34"/>
  <c r="F117" i="34"/>
  <c r="F116" i="34"/>
  <c r="F115" i="34"/>
  <c r="F114" i="34"/>
  <c r="F1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F3" i="34"/>
  <c r="F2" i="34"/>
  <c r="H284" i="24"/>
  <c r="K3" i="24"/>
  <c r="K4" i="24"/>
  <c r="K5" i="24"/>
  <c r="K6" i="24"/>
  <c r="K7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K281" i="24"/>
  <c r="K282" i="24"/>
  <c r="K283" i="24"/>
  <c r="K284" i="24"/>
  <c r="K285" i="24"/>
  <c r="K286" i="24"/>
  <c r="K287" i="24"/>
  <c r="K288" i="24"/>
  <c r="K289" i="24"/>
  <c r="K290" i="24"/>
  <c r="K291" i="24"/>
  <c r="K292" i="24"/>
  <c r="K293" i="24"/>
  <c r="K294" i="24"/>
  <c r="K295" i="24"/>
  <c r="K296" i="24"/>
  <c r="K297" i="24"/>
  <c r="K298" i="24"/>
  <c r="K299" i="24"/>
  <c r="K300" i="24"/>
  <c r="K301" i="24"/>
  <c r="K302" i="24"/>
  <c r="K303" i="24"/>
  <c r="K304" i="24"/>
  <c r="K305" i="24"/>
  <c r="K306" i="24"/>
  <c r="K307" i="24"/>
  <c r="K308" i="24"/>
  <c r="K309" i="24"/>
  <c r="K310" i="24"/>
  <c r="K311" i="24"/>
  <c r="K312" i="24"/>
  <c r="K313" i="24"/>
  <c r="K314" i="24"/>
  <c r="K315" i="24"/>
  <c r="K316" i="24"/>
  <c r="K317" i="24"/>
  <c r="K318" i="24"/>
  <c r="K319" i="24"/>
  <c r="K320" i="24"/>
  <c r="K321" i="24"/>
  <c r="K322" i="24"/>
  <c r="K323" i="24"/>
  <c r="K324" i="24"/>
  <c r="K325" i="24"/>
  <c r="K326" i="24"/>
  <c r="K327" i="24"/>
  <c r="K328" i="24"/>
  <c r="K329" i="24"/>
  <c r="K330" i="24"/>
  <c r="K331" i="24"/>
  <c r="K332" i="24"/>
  <c r="K333" i="24"/>
  <c r="K334" i="24"/>
  <c r="K335" i="24"/>
  <c r="K336" i="24"/>
  <c r="K337" i="24"/>
  <c r="K338" i="24"/>
  <c r="K339" i="24"/>
  <c r="K340" i="24"/>
  <c r="K341" i="24"/>
  <c r="K342" i="24"/>
  <c r="K343" i="24"/>
  <c r="K344" i="24"/>
  <c r="K345" i="24"/>
  <c r="K346" i="24"/>
  <c r="K347" i="24"/>
  <c r="K348" i="24"/>
  <c r="K349" i="24"/>
  <c r="K350" i="24"/>
  <c r="K351" i="24"/>
  <c r="K352" i="24"/>
  <c r="K353" i="24"/>
  <c r="K354" i="24"/>
  <c r="K355" i="24"/>
  <c r="K356" i="24"/>
  <c r="K357" i="24"/>
  <c r="K358" i="24"/>
  <c r="K359" i="24"/>
  <c r="K360" i="24"/>
  <c r="K361" i="24"/>
  <c r="K362" i="24"/>
  <c r="K363" i="24"/>
  <c r="K364" i="24"/>
  <c r="K365" i="24"/>
  <c r="K366" i="24"/>
  <c r="K367" i="24"/>
  <c r="K368" i="24"/>
  <c r="K369" i="24"/>
  <c r="K370" i="24"/>
  <c r="K371" i="24"/>
  <c r="K372" i="24"/>
  <c r="K373" i="24"/>
  <c r="K374" i="24"/>
  <c r="K375" i="24"/>
  <c r="K376" i="24"/>
  <c r="K377" i="24"/>
  <c r="K378" i="24"/>
  <c r="K379" i="24"/>
  <c r="K380" i="24"/>
  <c r="K381" i="24"/>
  <c r="K382" i="24"/>
  <c r="K383" i="24"/>
  <c r="K384" i="24"/>
  <c r="K385" i="24"/>
  <c r="K386" i="24"/>
  <c r="K387" i="24"/>
  <c r="K388" i="24"/>
  <c r="K389" i="24"/>
  <c r="K390" i="24"/>
  <c r="K391" i="24"/>
  <c r="K392" i="24"/>
  <c r="K393" i="24"/>
  <c r="K394" i="24"/>
  <c r="K395" i="24"/>
  <c r="K396" i="24"/>
  <c r="K397" i="24"/>
  <c r="K398" i="24"/>
  <c r="K399" i="24"/>
  <c r="K400" i="24"/>
  <c r="K401" i="24"/>
  <c r="K402" i="24"/>
  <c r="K403" i="24"/>
  <c r="K404" i="24"/>
  <c r="K405" i="24"/>
  <c r="K406" i="24"/>
  <c r="K407" i="24"/>
  <c r="K408" i="24"/>
  <c r="K409" i="24"/>
  <c r="K410" i="24"/>
  <c r="K411" i="24"/>
  <c r="K412" i="24"/>
  <c r="K413" i="24"/>
  <c r="K414" i="24"/>
  <c r="K415" i="24"/>
  <c r="K416" i="24"/>
  <c r="K417" i="24"/>
  <c r="K418" i="24"/>
  <c r="K419" i="24"/>
  <c r="K420" i="24"/>
  <c r="K421" i="24"/>
  <c r="K422" i="24"/>
  <c r="K423" i="24"/>
  <c r="K424" i="24"/>
  <c r="K425" i="24"/>
  <c r="K426" i="24"/>
  <c r="K427" i="24"/>
  <c r="K428" i="24"/>
  <c r="K429" i="24"/>
  <c r="K430" i="24"/>
  <c r="K431" i="24"/>
  <c r="K432" i="24"/>
  <c r="K433" i="24"/>
  <c r="K434" i="24"/>
  <c r="K435" i="24"/>
  <c r="K436" i="24"/>
  <c r="K437" i="24"/>
  <c r="K438" i="24"/>
  <c r="K439" i="24"/>
  <c r="K440" i="24"/>
  <c r="K441" i="24"/>
  <c r="K442" i="24"/>
  <c r="K443" i="24"/>
  <c r="K444" i="24"/>
  <c r="K445" i="24"/>
  <c r="K446" i="24"/>
  <c r="K447" i="24"/>
  <c r="K448" i="24"/>
  <c r="K449" i="24"/>
  <c r="K450" i="24"/>
  <c r="K451" i="24"/>
  <c r="K452" i="24"/>
  <c r="K453" i="24"/>
  <c r="K454" i="24"/>
  <c r="K455" i="24"/>
  <c r="K456" i="24"/>
  <c r="K457" i="24"/>
  <c r="K2" i="24"/>
  <c r="E457" i="34"/>
  <c r="V457" i="34" s="1"/>
  <c r="E456" i="34"/>
  <c r="V456" i="34" s="1"/>
  <c r="E455" i="34"/>
  <c r="V455" i="34" s="1"/>
  <c r="E454" i="34"/>
  <c r="V454" i="34" s="1"/>
  <c r="E453" i="34"/>
  <c r="V453" i="34" s="1"/>
  <c r="E452" i="34"/>
  <c r="V452" i="34" s="1"/>
  <c r="E451" i="34"/>
  <c r="V451" i="34" s="1"/>
  <c r="E450" i="34"/>
  <c r="V450" i="34" s="1"/>
  <c r="E449" i="34"/>
  <c r="V449" i="34" s="1"/>
  <c r="E448" i="34"/>
  <c r="V448" i="34" s="1"/>
  <c r="E447" i="34"/>
  <c r="V447" i="34" s="1"/>
  <c r="E446" i="34"/>
  <c r="V446" i="34" s="1"/>
  <c r="E445" i="34"/>
  <c r="V445" i="34" s="1"/>
  <c r="E444" i="34"/>
  <c r="V444" i="34" s="1"/>
  <c r="E443" i="34"/>
  <c r="V443" i="34" s="1"/>
  <c r="E442" i="34"/>
  <c r="V442" i="34" s="1"/>
  <c r="E441" i="34"/>
  <c r="V441" i="34" s="1"/>
  <c r="E440" i="34"/>
  <c r="V440" i="34" s="1"/>
  <c r="E439" i="34"/>
  <c r="V439" i="34" s="1"/>
  <c r="E438" i="34"/>
  <c r="V438" i="34" s="1"/>
  <c r="E437" i="34"/>
  <c r="V437" i="34" s="1"/>
  <c r="E436" i="34"/>
  <c r="V436" i="34" s="1"/>
  <c r="E435" i="34"/>
  <c r="V435" i="34" s="1"/>
  <c r="E434" i="34"/>
  <c r="V434" i="34" s="1"/>
  <c r="E433" i="34"/>
  <c r="V433" i="34" s="1"/>
  <c r="E432" i="34"/>
  <c r="V432" i="34" s="1"/>
  <c r="E431" i="34"/>
  <c r="V431" i="34" s="1"/>
  <c r="E430" i="34"/>
  <c r="V430" i="34" s="1"/>
  <c r="E429" i="34"/>
  <c r="V429" i="34" s="1"/>
  <c r="E428" i="34"/>
  <c r="V428" i="34" s="1"/>
  <c r="E427" i="34"/>
  <c r="V427" i="34" s="1"/>
  <c r="E426" i="34"/>
  <c r="V426" i="34" s="1"/>
  <c r="E425" i="34"/>
  <c r="V425" i="34" s="1"/>
  <c r="E424" i="34"/>
  <c r="V424" i="34" s="1"/>
  <c r="E423" i="34"/>
  <c r="V423" i="34" s="1"/>
  <c r="E422" i="34"/>
  <c r="V422" i="34" s="1"/>
  <c r="E421" i="34"/>
  <c r="V421" i="34" s="1"/>
  <c r="E420" i="34"/>
  <c r="V420" i="34" s="1"/>
  <c r="E419" i="34"/>
  <c r="V419" i="34" s="1"/>
  <c r="E418" i="34"/>
  <c r="V418" i="34" s="1"/>
  <c r="E417" i="34"/>
  <c r="V417" i="34" s="1"/>
  <c r="E416" i="34"/>
  <c r="V416" i="34" s="1"/>
  <c r="E415" i="34"/>
  <c r="V415" i="34" s="1"/>
  <c r="E414" i="34"/>
  <c r="V414" i="34" s="1"/>
  <c r="E413" i="34"/>
  <c r="V413" i="34" s="1"/>
  <c r="E412" i="34"/>
  <c r="V412" i="34" s="1"/>
  <c r="E411" i="34"/>
  <c r="V411" i="34" s="1"/>
  <c r="E410" i="34"/>
  <c r="V410" i="34" s="1"/>
  <c r="E409" i="34"/>
  <c r="V409" i="34" s="1"/>
  <c r="E408" i="34"/>
  <c r="V408" i="34" s="1"/>
  <c r="E407" i="34"/>
  <c r="V407" i="34" s="1"/>
  <c r="E406" i="34"/>
  <c r="V406" i="34" s="1"/>
  <c r="E405" i="34"/>
  <c r="V405" i="34" s="1"/>
  <c r="E404" i="34"/>
  <c r="V404" i="34" s="1"/>
  <c r="E403" i="34"/>
  <c r="V403" i="34" s="1"/>
  <c r="E402" i="34"/>
  <c r="V402" i="34" s="1"/>
  <c r="E401" i="34"/>
  <c r="V401" i="34" s="1"/>
  <c r="E400" i="34"/>
  <c r="V400" i="34" s="1"/>
  <c r="E399" i="34"/>
  <c r="V399" i="34" s="1"/>
  <c r="E398" i="34"/>
  <c r="V398" i="34" s="1"/>
  <c r="E397" i="34"/>
  <c r="V397" i="34" s="1"/>
  <c r="E396" i="34"/>
  <c r="V396" i="34" s="1"/>
  <c r="E395" i="34"/>
  <c r="V395" i="34" s="1"/>
  <c r="E394" i="34"/>
  <c r="V394" i="34" s="1"/>
  <c r="E393" i="34"/>
  <c r="V393" i="34" s="1"/>
  <c r="E392" i="34"/>
  <c r="V392" i="34" s="1"/>
  <c r="E391" i="34"/>
  <c r="V391" i="34" s="1"/>
  <c r="E390" i="34"/>
  <c r="V390" i="34" s="1"/>
  <c r="E389" i="34"/>
  <c r="V389" i="34" s="1"/>
  <c r="E388" i="34"/>
  <c r="V388" i="34" s="1"/>
  <c r="E387" i="34"/>
  <c r="V387" i="34" s="1"/>
  <c r="E386" i="34"/>
  <c r="V386" i="34" s="1"/>
  <c r="E385" i="34"/>
  <c r="V385" i="34" s="1"/>
  <c r="E384" i="34"/>
  <c r="V384" i="34" s="1"/>
  <c r="E383" i="34"/>
  <c r="V383" i="34" s="1"/>
  <c r="E382" i="34"/>
  <c r="V382" i="34" s="1"/>
  <c r="E381" i="34"/>
  <c r="V381" i="34" s="1"/>
  <c r="E380" i="34"/>
  <c r="V380" i="34" s="1"/>
  <c r="E379" i="34"/>
  <c r="V379" i="34" s="1"/>
  <c r="E378" i="34"/>
  <c r="V378" i="34" s="1"/>
  <c r="E377" i="34"/>
  <c r="V377" i="34" s="1"/>
  <c r="E376" i="34"/>
  <c r="V376" i="34" s="1"/>
  <c r="E375" i="34"/>
  <c r="V375" i="34" s="1"/>
  <c r="E374" i="34"/>
  <c r="V374" i="34" s="1"/>
  <c r="E373" i="34"/>
  <c r="V373" i="34" s="1"/>
  <c r="E372" i="34"/>
  <c r="V372" i="34" s="1"/>
  <c r="E371" i="34"/>
  <c r="V371" i="34" s="1"/>
  <c r="E370" i="34"/>
  <c r="V370" i="34" s="1"/>
  <c r="E369" i="34"/>
  <c r="V369" i="34" s="1"/>
  <c r="E368" i="34"/>
  <c r="V368" i="34" s="1"/>
  <c r="E367" i="34"/>
  <c r="V367" i="34" s="1"/>
  <c r="E366" i="34"/>
  <c r="V366" i="34" s="1"/>
  <c r="E365" i="34"/>
  <c r="V365" i="34" s="1"/>
  <c r="E364" i="34"/>
  <c r="V364" i="34" s="1"/>
  <c r="E363" i="34"/>
  <c r="V363" i="34" s="1"/>
  <c r="E362" i="34"/>
  <c r="V362" i="34" s="1"/>
  <c r="E361" i="34"/>
  <c r="V361" i="34" s="1"/>
  <c r="E360" i="34"/>
  <c r="V360" i="34" s="1"/>
  <c r="E359" i="34"/>
  <c r="V359" i="34" s="1"/>
  <c r="E358" i="34"/>
  <c r="V358" i="34" s="1"/>
  <c r="E357" i="34"/>
  <c r="V357" i="34" s="1"/>
  <c r="E356" i="34"/>
  <c r="V356" i="34" s="1"/>
  <c r="E355" i="34"/>
  <c r="V355" i="34" s="1"/>
  <c r="E354" i="34"/>
  <c r="V354" i="34" s="1"/>
  <c r="E353" i="34"/>
  <c r="V353" i="34" s="1"/>
  <c r="E352" i="34"/>
  <c r="V352" i="34" s="1"/>
  <c r="E351" i="34"/>
  <c r="V351" i="34" s="1"/>
  <c r="E350" i="34"/>
  <c r="V350" i="34" s="1"/>
  <c r="E349" i="34"/>
  <c r="V349" i="34" s="1"/>
  <c r="E348" i="34"/>
  <c r="V348" i="34" s="1"/>
  <c r="E347" i="34"/>
  <c r="V347" i="34" s="1"/>
  <c r="E346" i="34"/>
  <c r="V346" i="34" s="1"/>
  <c r="E345" i="34"/>
  <c r="V345" i="34" s="1"/>
  <c r="E344" i="34"/>
  <c r="V344" i="34" s="1"/>
  <c r="E343" i="34"/>
  <c r="V343" i="34" s="1"/>
  <c r="E342" i="34"/>
  <c r="V342" i="34" s="1"/>
  <c r="E341" i="34"/>
  <c r="V341" i="34" s="1"/>
  <c r="E340" i="34"/>
  <c r="V340" i="34" s="1"/>
  <c r="E339" i="34"/>
  <c r="V339" i="34" s="1"/>
  <c r="E338" i="34"/>
  <c r="V338" i="34" s="1"/>
  <c r="E337" i="34"/>
  <c r="V337" i="34" s="1"/>
  <c r="E336" i="34"/>
  <c r="V336" i="34" s="1"/>
  <c r="E335" i="34"/>
  <c r="V335" i="34" s="1"/>
  <c r="E334" i="34"/>
  <c r="V334" i="34" s="1"/>
  <c r="E333" i="34"/>
  <c r="V333" i="34" s="1"/>
  <c r="E332" i="34"/>
  <c r="V332" i="34" s="1"/>
  <c r="E331" i="34"/>
  <c r="V331" i="34" s="1"/>
  <c r="E330" i="34"/>
  <c r="V330" i="34" s="1"/>
  <c r="E329" i="34"/>
  <c r="V329" i="34" s="1"/>
  <c r="E328" i="34"/>
  <c r="V328" i="34" s="1"/>
  <c r="E327" i="34"/>
  <c r="V327" i="34" s="1"/>
  <c r="E326" i="34"/>
  <c r="V326" i="34" s="1"/>
  <c r="E325" i="34"/>
  <c r="V325" i="34" s="1"/>
  <c r="E324" i="34"/>
  <c r="V324" i="34" s="1"/>
  <c r="E323" i="34"/>
  <c r="V323" i="34" s="1"/>
  <c r="E322" i="34"/>
  <c r="V322" i="34" s="1"/>
  <c r="E321" i="34"/>
  <c r="V321" i="34" s="1"/>
  <c r="E320" i="34"/>
  <c r="V320" i="34" s="1"/>
  <c r="E319" i="34"/>
  <c r="V319" i="34" s="1"/>
  <c r="E318" i="34"/>
  <c r="V318" i="34" s="1"/>
  <c r="E317" i="34"/>
  <c r="V317" i="34" s="1"/>
  <c r="E316" i="34"/>
  <c r="V316" i="34" s="1"/>
  <c r="E315" i="34"/>
  <c r="V315" i="34" s="1"/>
  <c r="E314" i="34"/>
  <c r="V314" i="34" s="1"/>
  <c r="E313" i="34"/>
  <c r="V313" i="34" s="1"/>
  <c r="E312" i="34"/>
  <c r="V312" i="34" s="1"/>
  <c r="E311" i="34"/>
  <c r="V311" i="34" s="1"/>
  <c r="E310" i="34"/>
  <c r="V310" i="34" s="1"/>
  <c r="E309" i="34"/>
  <c r="V309" i="34" s="1"/>
  <c r="E308" i="34"/>
  <c r="V308" i="34" s="1"/>
  <c r="E307" i="34"/>
  <c r="V307" i="34" s="1"/>
  <c r="E306" i="34"/>
  <c r="V306" i="34" s="1"/>
  <c r="E305" i="34"/>
  <c r="V305" i="34" s="1"/>
  <c r="E304" i="34"/>
  <c r="V304" i="34" s="1"/>
  <c r="E303" i="34"/>
  <c r="V303" i="34" s="1"/>
  <c r="E302" i="34"/>
  <c r="V302" i="34" s="1"/>
  <c r="E301" i="34"/>
  <c r="V301" i="34" s="1"/>
  <c r="E300" i="34"/>
  <c r="V300" i="34" s="1"/>
  <c r="E299" i="34"/>
  <c r="V299" i="34" s="1"/>
  <c r="E298" i="34"/>
  <c r="V298" i="34" s="1"/>
  <c r="E297" i="34"/>
  <c r="V297" i="34" s="1"/>
  <c r="E296" i="34"/>
  <c r="V296" i="34" s="1"/>
  <c r="E295" i="34"/>
  <c r="V295" i="34" s="1"/>
  <c r="E294" i="34"/>
  <c r="V294" i="34" s="1"/>
  <c r="E293" i="34"/>
  <c r="V293" i="34" s="1"/>
  <c r="E292" i="34"/>
  <c r="V292" i="34" s="1"/>
  <c r="E291" i="34"/>
  <c r="V291" i="34" s="1"/>
  <c r="E290" i="34"/>
  <c r="V290" i="34" s="1"/>
  <c r="E289" i="34"/>
  <c r="V289" i="34" s="1"/>
  <c r="E288" i="34"/>
  <c r="V288" i="34" s="1"/>
  <c r="E287" i="34"/>
  <c r="V287" i="34" s="1"/>
  <c r="E286" i="34"/>
  <c r="V286" i="34" s="1"/>
  <c r="E285" i="34"/>
  <c r="V285" i="34" s="1"/>
  <c r="E284" i="34"/>
  <c r="V284" i="34" s="1"/>
  <c r="E283" i="34"/>
  <c r="V283" i="34" s="1"/>
  <c r="E282" i="34"/>
  <c r="V282" i="34" s="1"/>
  <c r="E281" i="34"/>
  <c r="V281" i="34" s="1"/>
  <c r="E280" i="34"/>
  <c r="V280" i="34" s="1"/>
  <c r="E279" i="34"/>
  <c r="V279" i="34" s="1"/>
  <c r="E278" i="34"/>
  <c r="V278" i="34" s="1"/>
  <c r="E277" i="34"/>
  <c r="V277" i="34" s="1"/>
  <c r="E276" i="34"/>
  <c r="V276" i="34" s="1"/>
  <c r="E275" i="34"/>
  <c r="V275" i="34" s="1"/>
  <c r="E274" i="34"/>
  <c r="V274" i="34" s="1"/>
  <c r="E273" i="34"/>
  <c r="V273" i="34" s="1"/>
  <c r="E272" i="34"/>
  <c r="V272" i="34" s="1"/>
  <c r="E271" i="34"/>
  <c r="V271" i="34" s="1"/>
  <c r="E270" i="34"/>
  <c r="V270" i="34" s="1"/>
  <c r="E269" i="34"/>
  <c r="V269" i="34" s="1"/>
  <c r="E268" i="34"/>
  <c r="V268" i="34" s="1"/>
  <c r="E267" i="34"/>
  <c r="V267" i="34" s="1"/>
  <c r="E266" i="34"/>
  <c r="V266" i="34" s="1"/>
  <c r="E265" i="34"/>
  <c r="V265" i="34" s="1"/>
  <c r="E264" i="34"/>
  <c r="V264" i="34" s="1"/>
  <c r="E263" i="34"/>
  <c r="V263" i="34" s="1"/>
  <c r="E262" i="34"/>
  <c r="V262" i="34" s="1"/>
  <c r="E261" i="34"/>
  <c r="V261" i="34" s="1"/>
  <c r="E260" i="34"/>
  <c r="V260" i="34" s="1"/>
  <c r="E259" i="34"/>
  <c r="V259" i="34" s="1"/>
  <c r="E258" i="34"/>
  <c r="V258" i="34" s="1"/>
  <c r="E257" i="34"/>
  <c r="V257" i="34" s="1"/>
  <c r="E256" i="34"/>
  <c r="V256" i="34" s="1"/>
  <c r="E255" i="34"/>
  <c r="V255" i="34" s="1"/>
  <c r="E254" i="34"/>
  <c r="V254" i="34" s="1"/>
  <c r="E253" i="34"/>
  <c r="V253" i="34" s="1"/>
  <c r="E252" i="34"/>
  <c r="V252" i="34" s="1"/>
  <c r="E251" i="34"/>
  <c r="V251" i="34" s="1"/>
  <c r="E250" i="34"/>
  <c r="V250" i="34" s="1"/>
  <c r="E249" i="34"/>
  <c r="V249" i="34" s="1"/>
  <c r="E248" i="34"/>
  <c r="V248" i="34" s="1"/>
  <c r="E247" i="34"/>
  <c r="V247" i="34" s="1"/>
  <c r="E246" i="34"/>
  <c r="V246" i="34" s="1"/>
  <c r="E245" i="34"/>
  <c r="V245" i="34" s="1"/>
  <c r="E244" i="34"/>
  <c r="V244" i="34" s="1"/>
  <c r="E243" i="34"/>
  <c r="V243" i="34" s="1"/>
  <c r="E242" i="34"/>
  <c r="V242" i="34" s="1"/>
  <c r="E241" i="34"/>
  <c r="V241" i="34" s="1"/>
  <c r="E240" i="34"/>
  <c r="V240" i="34" s="1"/>
  <c r="E239" i="34"/>
  <c r="V239" i="34" s="1"/>
  <c r="E238" i="34"/>
  <c r="V238" i="34" s="1"/>
  <c r="E237" i="34"/>
  <c r="V237" i="34" s="1"/>
  <c r="E236" i="34"/>
  <c r="V236" i="34" s="1"/>
  <c r="E235" i="34"/>
  <c r="V235" i="34" s="1"/>
  <c r="E234" i="34"/>
  <c r="V234" i="34" s="1"/>
  <c r="E233" i="34"/>
  <c r="V233" i="34" s="1"/>
  <c r="E232" i="34"/>
  <c r="V232" i="34" s="1"/>
  <c r="E231" i="34"/>
  <c r="V231" i="34" s="1"/>
  <c r="E230" i="34"/>
  <c r="V230" i="34" s="1"/>
  <c r="E229" i="34"/>
  <c r="V229" i="34" s="1"/>
  <c r="E228" i="34"/>
  <c r="V228" i="34" s="1"/>
  <c r="E227" i="34"/>
  <c r="V227" i="34" s="1"/>
  <c r="E226" i="34"/>
  <c r="V226" i="34" s="1"/>
  <c r="E225" i="34"/>
  <c r="V225" i="34" s="1"/>
  <c r="E224" i="34"/>
  <c r="V224" i="34" s="1"/>
  <c r="E223" i="34"/>
  <c r="V223" i="34" s="1"/>
  <c r="E222" i="34"/>
  <c r="V222" i="34" s="1"/>
  <c r="E221" i="34"/>
  <c r="V221" i="34" s="1"/>
  <c r="E220" i="34"/>
  <c r="V220" i="34" s="1"/>
  <c r="E219" i="34"/>
  <c r="V219" i="34" s="1"/>
  <c r="E218" i="34"/>
  <c r="V218" i="34" s="1"/>
  <c r="E217" i="34"/>
  <c r="V217" i="34" s="1"/>
  <c r="E216" i="34"/>
  <c r="V216" i="34" s="1"/>
  <c r="E215" i="34"/>
  <c r="V215" i="34" s="1"/>
  <c r="E214" i="34"/>
  <c r="V214" i="34" s="1"/>
  <c r="E213" i="34"/>
  <c r="V213" i="34" s="1"/>
  <c r="E212" i="34"/>
  <c r="V212" i="34" s="1"/>
  <c r="E211" i="34"/>
  <c r="V211" i="34" s="1"/>
  <c r="E210" i="34"/>
  <c r="V210" i="34" s="1"/>
  <c r="E209" i="34"/>
  <c r="V209" i="34" s="1"/>
  <c r="E208" i="34"/>
  <c r="V208" i="34" s="1"/>
  <c r="E207" i="34"/>
  <c r="V207" i="34" s="1"/>
  <c r="E206" i="34"/>
  <c r="V206" i="34" s="1"/>
  <c r="E205" i="34"/>
  <c r="V205" i="34" s="1"/>
  <c r="E204" i="34"/>
  <c r="V204" i="34" s="1"/>
  <c r="E203" i="34"/>
  <c r="V203" i="34" s="1"/>
  <c r="E202" i="34"/>
  <c r="V202" i="34" s="1"/>
  <c r="E201" i="34"/>
  <c r="V201" i="34" s="1"/>
  <c r="E200" i="34"/>
  <c r="V200" i="34" s="1"/>
  <c r="E199" i="34"/>
  <c r="V199" i="34" s="1"/>
  <c r="E198" i="34"/>
  <c r="V198" i="34" s="1"/>
  <c r="E197" i="34"/>
  <c r="V197" i="34" s="1"/>
  <c r="E196" i="34"/>
  <c r="V196" i="34" s="1"/>
  <c r="E195" i="34"/>
  <c r="V195" i="34" s="1"/>
  <c r="E194" i="34"/>
  <c r="V194" i="34" s="1"/>
  <c r="E193" i="34"/>
  <c r="V193" i="34" s="1"/>
  <c r="E192" i="34"/>
  <c r="V192" i="34" s="1"/>
  <c r="E191" i="34"/>
  <c r="V191" i="34" s="1"/>
  <c r="E190" i="34"/>
  <c r="V190" i="34" s="1"/>
  <c r="E189" i="34"/>
  <c r="V189" i="34" s="1"/>
  <c r="E188" i="34"/>
  <c r="V188" i="34" s="1"/>
  <c r="E187" i="34"/>
  <c r="V187" i="34" s="1"/>
  <c r="E186" i="34"/>
  <c r="V186" i="34" s="1"/>
  <c r="E185" i="34"/>
  <c r="V185" i="34" s="1"/>
  <c r="E184" i="34"/>
  <c r="V184" i="34" s="1"/>
  <c r="E183" i="34"/>
  <c r="V183" i="34" s="1"/>
  <c r="E182" i="34"/>
  <c r="V182" i="34" s="1"/>
  <c r="E181" i="34"/>
  <c r="V181" i="34" s="1"/>
  <c r="E180" i="34"/>
  <c r="V180" i="34" s="1"/>
  <c r="E179" i="34"/>
  <c r="V179" i="34" s="1"/>
  <c r="E178" i="34"/>
  <c r="V178" i="34" s="1"/>
  <c r="E177" i="34"/>
  <c r="V177" i="34" s="1"/>
  <c r="E176" i="34"/>
  <c r="V176" i="34" s="1"/>
  <c r="E175" i="34"/>
  <c r="V175" i="34" s="1"/>
  <c r="E174" i="34"/>
  <c r="V174" i="34" s="1"/>
  <c r="E173" i="34"/>
  <c r="V173" i="34" s="1"/>
  <c r="E172" i="34"/>
  <c r="V172" i="34" s="1"/>
  <c r="E171" i="34"/>
  <c r="V171" i="34" s="1"/>
  <c r="E170" i="34"/>
  <c r="V170" i="34" s="1"/>
  <c r="E169" i="34"/>
  <c r="V169" i="34" s="1"/>
  <c r="E168" i="34"/>
  <c r="V168" i="34" s="1"/>
  <c r="E167" i="34"/>
  <c r="V167" i="34" s="1"/>
  <c r="E166" i="34"/>
  <c r="V166" i="34" s="1"/>
  <c r="E165" i="34"/>
  <c r="V165" i="34" s="1"/>
  <c r="E164" i="34"/>
  <c r="V164" i="34" s="1"/>
  <c r="E163" i="34"/>
  <c r="V163" i="34" s="1"/>
  <c r="E162" i="34"/>
  <c r="V162" i="34" s="1"/>
  <c r="E161" i="34"/>
  <c r="V161" i="34" s="1"/>
  <c r="E160" i="34"/>
  <c r="V160" i="34" s="1"/>
  <c r="E159" i="34"/>
  <c r="V159" i="34" s="1"/>
  <c r="E158" i="34"/>
  <c r="V158" i="34" s="1"/>
  <c r="E157" i="34"/>
  <c r="V157" i="34" s="1"/>
  <c r="E156" i="34"/>
  <c r="V156" i="34" s="1"/>
  <c r="E155" i="34"/>
  <c r="V155" i="34" s="1"/>
  <c r="E154" i="34"/>
  <c r="V154" i="34" s="1"/>
  <c r="E153" i="34"/>
  <c r="V153" i="34" s="1"/>
  <c r="E152" i="34"/>
  <c r="V152" i="34" s="1"/>
  <c r="E151" i="34"/>
  <c r="V151" i="34" s="1"/>
  <c r="E150" i="34"/>
  <c r="V150" i="34" s="1"/>
  <c r="E149" i="34"/>
  <c r="V149" i="34" s="1"/>
  <c r="E148" i="34"/>
  <c r="V148" i="34" s="1"/>
  <c r="E147" i="34"/>
  <c r="V147" i="34" s="1"/>
  <c r="E146" i="34"/>
  <c r="V146" i="34" s="1"/>
  <c r="E145" i="34"/>
  <c r="V145" i="34" s="1"/>
  <c r="E144" i="34"/>
  <c r="V144" i="34" s="1"/>
  <c r="E143" i="34"/>
  <c r="V143" i="34" s="1"/>
  <c r="E142" i="34"/>
  <c r="V142" i="34" s="1"/>
  <c r="E141" i="34"/>
  <c r="V141" i="34" s="1"/>
  <c r="E140" i="34"/>
  <c r="V140" i="34" s="1"/>
  <c r="E139" i="34"/>
  <c r="V139" i="34" s="1"/>
  <c r="E138" i="34"/>
  <c r="V138" i="34" s="1"/>
  <c r="E137" i="34"/>
  <c r="V137" i="34" s="1"/>
  <c r="E136" i="34"/>
  <c r="V136" i="34" s="1"/>
  <c r="E135" i="34"/>
  <c r="V135" i="34" s="1"/>
  <c r="E134" i="34"/>
  <c r="V134" i="34" s="1"/>
  <c r="E133" i="34"/>
  <c r="V133" i="34" s="1"/>
  <c r="E132" i="34"/>
  <c r="V132" i="34" s="1"/>
  <c r="E131" i="34"/>
  <c r="V131" i="34" s="1"/>
  <c r="E130" i="34"/>
  <c r="V130" i="34" s="1"/>
  <c r="E129" i="34"/>
  <c r="V129" i="34" s="1"/>
  <c r="E128" i="34"/>
  <c r="V128" i="34" s="1"/>
  <c r="E127" i="34"/>
  <c r="V127" i="34" s="1"/>
  <c r="E126" i="34"/>
  <c r="V126" i="34" s="1"/>
  <c r="E125" i="34"/>
  <c r="V125" i="34" s="1"/>
  <c r="E124" i="34"/>
  <c r="V124" i="34" s="1"/>
  <c r="E123" i="34"/>
  <c r="V123" i="34" s="1"/>
  <c r="E122" i="34"/>
  <c r="V122" i="34" s="1"/>
  <c r="E121" i="34"/>
  <c r="V121" i="34" s="1"/>
  <c r="E120" i="34"/>
  <c r="V120" i="34" s="1"/>
  <c r="E119" i="34"/>
  <c r="V119" i="34" s="1"/>
  <c r="E118" i="34"/>
  <c r="V118" i="34" s="1"/>
  <c r="E117" i="34"/>
  <c r="V117" i="34" s="1"/>
  <c r="E116" i="34"/>
  <c r="V116" i="34" s="1"/>
  <c r="E115" i="34"/>
  <c r="V115" i="34" s="1"/>
  <c r="E114" i="34"/>
  <c r="V114" i="34" s="1"/>
  <c r="E113" i="34"/>
  <c r="V113" i="34" s="1"/>
  <c r="E112" i="34"/>
  <c r="V112" i="34" s="1"/>
  <c r="E111" i="34"/>
  <c r="V111" i="34" s="1"/>
  <c r="E110" i="34"/>
  <c r="V110" i="34" s="1"/>
  <c r="E109" i="34"/>
  <c r="V109" i="34" s="1"/>
  <c r="E108" i="34"/>
  <c r="V108" i="34" s="1"/>
  <c r="E107" i="34"/>
  <c r="V107" i="34" s="1"/>
  <c r="E106" i="34"/>
  <c r="V106" i="34" s="1"/>
  <c r="E105" i="34"/>
  <c r="V105" i="34" s="1"/>
  <c r="E104" i="34"/>
  <c r="V104" i="34" s="1"/>
  <c r="E103" i="34"/>
  <c r="V103" i="34" s="1"/>
  <c r="E102" i="34"/>
  <c r="V102" i="34" s="1"/>
  <c r="E101" i="34"/>
  <c r="V101" i="34" s="1"/>
  <c r="E100" i="34"/>
  <c r="V100" i="34" s="1"/>
  <c r="E99" i="34"/>
  <c r="V99" i="34" s="1"/>
  <c r="E98" i="34"/>
  <c r="V98" i="34" s="1"/>
  <c r="E97" i="34"/>
  <c r="V97" i="34" s="1"/>
  <c r="E96" i="34"/>
  <c r="V96" i="34" s="1"/>
  <c r="E95" i="34"/>
  <c r="V95" i="34" s="1"/>
  <c r="E94" i="34"/>
  <c r="V94" i="34" s="1"/>
  <c r="E93" i="34"/>
  <c r="V93" i="34" s="1"/>
  <c r="E92" i="34"/>
  <c r="V92" i="34" s="1"/>
  <c r="E91" i="34"/>
  <c r="V91" i="34" s="1"/>
  <c r="E90" i="34"/>
  <c r="V90" i="34" s="1"/>
  <c r="E89" i="34"/>
  <c r="V89" i="34" s="1"/>
  <c r="E88" i="34"/>
  <c r="V88" i="34" s="1"/>
  <c r="E87" i="34"/>
  <c r="V87" i="34" s="1"/>
  <c r="E86" i="34"/>
  <c r="V86" i="34" s="1"/>
  <c r="E85" i="34"/>
  <c r="V85" i="34" s="1"/>
  <c r="E84" i="34"/>
  <c r="V84" i="34" s="1"/>
  <c r="E83" i="34"/>
  <c r="V83" i="34" s="1"/>
  <c r="E82" i="34"/>
  <c r="V82" i="34" s="1"/>
  <c r="E81" i="34"/>
  <c r="V81" i="34" s="1"/>
  <c r="E80" i="34"/>
  <c r="V80" i="34" s="1"/>
  <c r="E79" i="34"/>
  <c r="V79" i="34" s="1"/>
  <c r="E78" i="34"/>
  <c r="V78" i="34" s="1"/>
  <c r="E77" i="34"/>
  <c r="V77" i="34" s="1"/>
  <c r="E76" i="34"/>
  <c r="V76" i="34" s="1"/>
  <c r="E75" i="34"/>
  <c r="V75" i="34" s="1"/>
  <c r="E74" i="34"/>
  <c r="V74" i="34" s="1"/>
  <c r="E73" i="34"/>
  <c r="V73" i="34" s="1"/>
  <c r="E72" i="34"/>
  <c r="V72" i="34" s="1"/>
  <c r="E71" i="34"/>
  <c r="V71" i="34" s="1"/>
  <c r="E70" i="34"/>
  <c r="V70" i="34" s="1"/>
  <c r="E69" i="34"/>
  <c r="V69" i="34" s="1"/>
  <c r="E68" i="34"/>
  <c r="V68" i="34" s="1"/>
  <c r="E67" i="34"/>
  <c r="V67" i="34" s="1"/>
  <c r="E66" i="34"/>
  <c r="V66" i="34" s="1"/>
  <c r="E65" i="34"/>
  <c r="V65" i="34" s="1"/>
  <c r="E64" i="34"/>
  <c r="V64" i="34" s="1"/>
  <c r="E63" i="34"/>
  <c r="V63" i="34" s="1"/>
  <c r="E62" i="34"/>
  <c r="V62" i="34" s="1"/>
  <c r="E61" i="34"/>
  <c r="V61" i="34" s="1"/>
  <c r="E60" i="34"/>
  <c r="V60" i="34" s="1"/>
  <c r="E59" i="34"/>
  <c r="V59" i="34" s="1"/>
  <c r="E58" i="34"/>
  <c r="V58" i="34" s="1"/>
  <c r="E57" i="34"/>
  <c r="V57" i="34" s="1"/>
  <c r="E56" i="34"/>
  <c r="V56" i="34" s="1"/>
  <c r="E55" i="34"/>
  <c r="V55" i="34" s="1"/>
  <c r="E54" i="34"/>
  <c r="V54" i="34" s="1"/>
  <c r="E53" i="34"/>
  <c r="V53" i="34" s="1"/>
  <c r="E52" i="34"/>
  <c r="V52" i="34" s="1"/>
  <c r="E51" i="34"/>
  <c r="V51" i="34" s="1"/>
  <c r="E50" i="34"/>
  <c r="V50" i="34" s="1"/>
  <c r="E49" i="34"/>
  <c r="V49" i="34" s="1"/>
  <c r="E48" i="34"/>
  <c r="V48" i="34" s="1"/>
  <c r="E47" i="34"/>
  <c r="V47" i="34" s="1"/>
  <c r="E46" i="34"/>
  <c r="V46" i="34" s="1"/>
  <c r="E45" i="34"/>
  <c r="V45" i="34" s="1"/>
  <c r="E44" i="34"/>
  <c r="V44" i="34" s="1"/>
  <c r="E43" i="34"/>
  <c r="V43" i="34" s="1"/>
  <c r="E42" i="34"/>
  <c r="V42" i="34" s="1"/>
  <c r="E41" i="34"/>
  <c r="V41" i="34" s="1"/>
  <c r="E40" i="34"/>
  <c r="V40" i="34" s="1"/>
  <c r="E39" i="34"/>
  <c r="V39" i="34" s="1"/>
  <c r="E38" i="34"/>
  <c r="V38" i="34" s="1"/>
  <c r="E37" i="34"/>
  <c r="V37" i="34" s="1"/>
  <c r="E36" i="34"/>
  <c r="V36" i="34" s="1"/>
  <c r="E35" i="34"/>
  <c r="V35" i="34" s="1"/>
  <c r="E34" i="34"/>
  <c r="V34" i="34" s="1"/>
  <c r="E33" i="34"/>
  <c r="V33" i="34" s="1"/>
  <c r="E32" i="34"/>
  <c r="V32" i="34" s="1"/>
  <c r="E31" i="34"/>
  <c r="V31" i="34" s="1"/>
  <c r="E30" i="34"/>
  <c r="V30" i="34" s="1"/>
  <c r="E29" i="34"/>
  <c r="V29" i="34" s="1"/>
  <c r="E28" i="34"/>
  <c r="V28" i="34" s="1"/>
  <c r="E27" i="34"/>
  <c r="V27" i="34" s="1"/>
  <c r="E26" i="34"/>
  <c r="V26" i="34" s="1"/>
  <c r="E25" i="34"/>
  <c r="V25" i="34" s="1"/>
  <c r="E24" i="34"/>
  <c r="V24" i="34" s="1"/>
  <c r="E23" i="34"/>
  <c r="V23" i="34" s="1"/>
  <c r="E22" i="34"/>
  <c r="V22" i="34" s="1"/>
  <c r="E21" i="34"/>
  <c r="V21" i="34" s="1"/>
  <c r="E20" i="34"/>
  <c r="V20" i="34" s="1"/>
  <c r="E19" i="34"/>
  <c r="V19" i="34" s="1"/>
  <c r="E18" i="34"/>
  <c r="V18" i="34" s="1"/>
  <c r="E17" i="34"/>
  <c r="V17" i="34" s="1"/>
  <c r="E16" i="34"/>
  <c r="V16" i="34" s="1"/>
  <c r="E15" i="34"/>
  <c r="V15" i="34" s="1"/>
  <c r="E14" i="34"/>
  <c r="V14" i="34" s="1"/>
  <c r="E13" i="34"/>
  <c r="V13" i="34" s="1"/>
  <c r="E12" i="34"/>
  <c r="V12" i="34" s="1"/>
  <c r="E11" i="34"/>
  <c r="V11" i="34" s="1"/>
  <c r="E10" i="34"/>
  <c r="V10" i="34" s="1"/>
  <c r="E9" i="34"/>
  <c r="V9" i="34" s="1"/>
  <c r="E8" i="34"/>
  <c r="V8" i="34" s="1"/>
  <c r="E7" i="34"/>
  <c r="V7" i="34" s="1"/>
  <c r="E6" i="34"/>
  <c r="V6" i="34" s="1"/>
  <c r="E5" i="34"/>
  <c r="V5" i="34" s="1"/>
  <c r="E4" i="34"/>
  <c r="V4" i="34" s="1"/>
  <c r="E3" i="34"/>
  <c r="V3" i="34" s="1"/>
  <c r="E2" i="34"/>
  <c r="V2" i="34" s="1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F352" i="24"/>
  <c r="F353" i="24"/>
  <c r="F354" i="24"/>
  <c r="F355" i="24"/>
  <c r="F356" i="24"/>
  <c r="F357" i="24"/>
  <c r="F358" i="24"/>
  <c r="F359" i="24"/>
  <c r="F360" i="24"/>
  <c r="F361" i="24"/>
  <c r="F362" i="24"/>
  <c r="F363" i="24"/>
  <c r="F364" i="24"/>
  <c r="F365" i="24"/>
  <c r="F366" i="24"/>
  <c r="F367" i="24"/>
  <c r="F368" i="24"/>
  <c r="F369" i="24"/>
  <c r="F370" i="24"/>
  <c r="F371" i="24"/>
  <c r="F372" i="24"/>
  <c r="F373" i="24"/>
  <c r="F374" i="24"/>
  <c r="F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8" i="24"/>
  <c r="F389" i="24"/>
  <c r="F390" i="24"/>
  <c r="F391" i="24"/>
  <c r="F392" i="24"/>
  <c r="F393" i="24"/>
  <c r="F394" i="24"/>
  <c r="F395" i="24"/>
  <c r="F396" i="24"/>
  <c r="F397" i="24"/>
  <c r="F398" i="24"/>
  <c r="F399" i="24"/>
  <c r="F400" i="24"/>
  <c r="F401" i="24"/>
  <c r="F402" i="24"/>
  <c r="F403" i="24"/>
  <c r="F404" i="24"/>
  <c r="F405" i="24"/>
  <c r="F406" i="24"/>
  <c r="F407" i="24"/>
  <c r="F408" i="24"/>
  <c r="F409" i="24"/>
  <c r="F410" i="24"/>
  <c r="F411" i="24"/>
  <c r="F412" i="24"/>
  <c r="F413" i="24"/>
  <c r="F414" i="24"/>
  <c r="F415" i="24"/>
  <c r="F416" i="24"/>
  <c r="F417" i="24"/>
  <c r="F418" i="24"/>
  <c r="F419" i="24"/>
  <c r="F420" i="24"/>
  <c r="F421" i="24"/>
  <c r="F422" i="24"/>
  <c r="F423" i="24"/>
  <c r="F424" i="24"/>
  <c r="F425" i="24"/>
  <c r="F426" i="24"/>
  <c r="F427" i="24"/>
  <c r="F428" i="24"/>
  <c r="F429" i="24"/>
  <c r="F430" i="24"/>
  <c r="F431" i="24"/>
  <c r="F432" i="24"/>
  <c r="F433" i="24"/>
  <c r="F434" i="24"/>
  <c r="F435" i="24"/>
  <c r="F436" i="24"/>
  <c r="F437" i="24"/>
  <c r="F438" i="24"/>
  <c r="F439" i="24"/>
  <c r="F440" i="24"/>
  <c r="F441" i="24"/>
  <c r="F442" i="24"/>
  <c r="F443" i="24"/>
  <c r="F444" i="24"/>
  <c r="F445" i="24"/>
  <c r="F446" i="24"/>
  <c r="F447" i="24"/>
  <c r="F448" i="24"/>
  <c r="F449" i="24"/>
  <c r="F450" i="24"/>
  <c r="F451" i="24"/>
  <c r="F452" i="24"/>
  <c r="F453" i="24"/>
  <c r="F454" i="24"/>
  <c r="F455" i="24"/>
  <c r="F456" i="24"/>
  <c r="F457" i="24"/>
  <c r="F2" i="24"/>
  <c r="AB2" i="24"/>
  <c r="AB3" i="24"/>
  <c r="AB4" i="24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8" i="24"/>
  <c r="AB39" i="24"/>
  <c r="AB40" i="24"/>
  <c r="AB41" i="24"/>
  <c r="AB42" i="24"/>
  <c r="AB43" i="24"/>
  <c r="AB44" i="24"/>
  <c r="AB45" i="24"/>
  <c r="AB46" i="24"/>
  <c r="AB47" i="24"/>
  <c r="AB48" i="24"/>
  <c r="AB49" i="24"/>
  <c r="AB50" i="24"/>
  <c r="AB51" i="24"/>
  <c r="AB52" i="24"/>
  <c r="AB53" i="24"/>
  <c r="AB54" i="24"/>
  <c r="AB55" i="24"/>
  <c r="AB56" i="24"/>
  <c r="AB57" i="24"/>
  <c r="AB58" i="24"/>
  <c r="AB59" i="24"/>
  <c r="AB60" i="24"/>
  <c r="AB61" i="24"/>
  <c r="AB62" i="24"/>
  <c r="AB63" i="24"/>
  <c r="AB64" i="24"/>
  <c r="AB65" i="24"/>
  <c r="AB66" i="24"/>
  <c r="AB67" i="24"/>
  <c r="AB68" i="24"/>
  <c r="AB69" i="24"/>
  <c r="AB70" i="24"/>
  <c r="AB71" i="24"/>
  <c r="AB72" i="24"/>
  <c r="AB73" i="24"/>
  <c r="AB74" i="24"/>
  <c r="AB75" i="24"/>
  <c r="AB76" i="24"/>
  <c r="AB77" i="24"/>
  <c r="AB78" i="24"/>
  <c r="AB79" i="24"/>
  <c r="AB80" i="24"/>
  <c r="AB83" i="24"/>
  <c r="AB84" i="24"/>
  <c r="AB85" i="24"/>
  <c r="AB86" i="24"/>
  <c r="AB87" i="24"/>
  <c r="AB88" i="24"/>
  <c r="AB89" i="24"/>
  <c r="AB90" i="24"/>
  <c r="AB91" i="24"/>
  <c r="AB92" i="24"/>
  <c r="AB93" i="24"/>
  <c r="AB94" i="24"/>
  <c r="AB95" i="24"/>
  <c r="AB96" i="24"/>
  <c r="AB97" i="24"/>
  <c r="AB98" i="24"/>
  <c r="AB99" i="24"/>
  <c r="AB100" i="24"/>
  <c r="AB101" i="24"/>
  <c r="AB102" i="24"/>
  <c r="AB103" i="24"/>
  <c r="AB104" i="24"/>
  <c r="AB105" i="24"/>
  <c r="AB106" i="24"/>
  <c r="AB107" i="24"/>
  <c r="AB108" i="24"/>
  <c r="AB109" i="24"/>
  <c r="AB110" i="24"/>
  <c r="AB111" i="24"/>
  <c r="AB112" i="24"/>
  <c r="AB113" i="24"/>
  <c r="AB114" i="24"/>
  <c r="AB115" i="24"/>
  <c r="AB116" i="24"/>
  <c r="AB117" i="24"/>
  <c r="AB118" i="24"/>
  <c r="AB119" i="24"/>
  <c r="AB120" i="24"/>
  <c r="AB121" i="24"/>
  <c r="AB122" i="24"/>
  <c r="AB124" i="24"/>
  <c r="AB125" i="24"/>
  <c r="AB126" i="24"/>
  <c r="AB127" i="24"/>
  <c r="AB128" i="24"/>
  <c r="AB129" i="24"/>
  <c r="AB130" i="24"/>
  <c r="AB131" i="24"/>
  <c r="AB132" i="24"/>
  <c r="AB133" i="24"/>
  <c r="AB134" i="24"/>
  <c r="AB135" i="24"/>
  <c r="AB136" i="24"/>
  <c r="AB137" i="24"/>
  <c r="AB138" i="24"/>
  <c r="AB139" i="24"/>
  <c r="AB140" i="24"/>
  <c r="AB141" i="24"/>
  <c r="AB142" i="24"/>
  <c r="AB143" i="24"/>
  <c r="AB144" i="24"/>
  <c r="AB145" i="24"/>
  <c r="AB146" i="24"/>
  <c r="AB147" i="24"/>
  <c r="AB148" i="24"/>
  <c r="AB149" i="24"/>
  <c r="AB150" i="24"/>
  <c r="AB151" i="24"/>
  <c r="AB152" i="24"/>
  <c r="AB153" i="24"/>
  <c r="AB154" i="24"/>
  <c r="AB155" i="24"/>
  <c r="AB156" i="24"/>
  <c r="AB157" i="24"/>
  <c r="AB158" i="24"/>
  <c r="AB159" i="24"/>
  <c r="AB160" i="24"/>
  <c r="AB161" i="24"/>
  <c r="AB162" i="24"/>
  <c r="AB163" i="24"/>
  <c r="AB164" i="24"/>
  <c r="AB165" i="24"/>
  <c r="AB166" i="24"/>
  <c r="AB167" i="24"/>
  <c r="AB168" i="24"/>
  <c r="AB169" i="24"/>
  <c r="AB170" i="24"/>
  <c r="AB171" i="24"/>
  <c r="AB172" i="24"/>
  <c r="AB173" i="24"/>
  <c r="AB174" i="24"/>
  <c r="AB175" i="24"/>
  <c r="AB176" i="24"/>
  <c r="AB177" i="24"/>
  <c r="AB178" i="24"/>
  <c r="AB179" i="24"/>
  <c r="AB180" i="24"/>
  <c r="AB181" i="24"/>
  <c r="AB182" i="24"/>
  <c r="AB183" i="24"/>
  <c r="AB184" i="24"/>
  <c r="AB185" i="24"/>
  <c r="AB186" i="24"/>
  <c r="AB187" i="24"/>
  <c r="AB188" i="24"/>
  <c r="AB189" i="24"/>
  <c r="AB190" i="24"/>
  <c r="AB191" i="24"/>
  <c r="AB192" i="24"/>
  <c r="AB193" i="24"/>
  <c r="AB194" i="24"/>
  <c r="AB195" i="24"/>
  <c r="AB196" i="24"/>
  <c r="AB197" i="24"/>
  <c r="AB198" i="24"/>
  <c r="AB199" i="24"/>
  <c r="AB200" i="24"/>
  <c r="AB201" i="24"/>
  <c r="AB202" i="24"/>
  <c r="AB203" i="24"/>
  <c r="AB204" i="24"/>
  <c r="AB205" i="24"/>
  <c r="AB206" i="24"/>
  <c r="AB207" i="24"/>
  <c r="AB208" i="24"/>
  <c r="AB209" i="24"/>
  <c r="AB210" i="24"/>
  <c r="AB211" i="24"/>
  <c r="AB212" i="24"/>
  <c r="AB213" i="24"/>
  <c r="AB214" i="24"/>
  <c r="AB215" i="24"/>
  <c r="AB216" i="24"/>
  <c r="AB217" i="24"/>
  <c r="AB218" i="24"/>
  <c r="AB219" i="24"/>
  <c r="AB220" i="24"/>
  <c r="AB221" i="24"/>
  <c r="AB222" i="24"/>
  <c r="AB223" i="24"/>
  <c r="AB224" i="24"/>
  <c r="AB225" i="24"/>
  <c r="AB226" i="24"/>
  <c r="AB227" i="24"/>
  <c r="AB228" i="24"/>
  <c r="AB229" i="24"/>
  <c r="AB230" i="24"/>
  <c r="AB231" i="24"/>
  <c r="AB232" i="24"/>
  <c r="AB233" i="24"/>
  <c r="AB234" i="24"/>
  <c r="AB235" i="24"/>
  <c r="AB236" i="24"/>
  <c r="AB237" i="24"/>
  <c r="AB238" i="24"/>
  <c r="AB239" i="24"/>
  <c r="AB240" i="24"/>
  <c r="AB241" i="24"/>
  <c r="AB242" i="24"/>
  <c r="AB243" i="24"/>
  <c r="AB244" i="24"/>
  <c r="AB245" i="24"/>
  <c r="AB246" i="24"/>
  <c r="AB247" i="24"/>
  <c r="AB248" i="24"/>
  <c r="AB249" i="24"/>
  <c r="AB250" i="24"/>
  <c r="AB251" i="24"/>
  <c r="AB252" i="24"/>
  <c r="AB253" i="24"/>
  <c r="AB254" i="24"/>
  <c r="AB255" i="24"/>
  <c r="AB256" i="24"/>
  <c r="AB257" i="24"/>
  <c r="AB258" i="24"/>
  <c r="AB259" i="24"/>
  <c r="AB260" i="24"/>
  <c r="AB261" i="24"/>
  <c r="AB262" i="24"/>
  <c r="AB263" i="24"/>
  <c r="AB264" i="24"/>
  <c r="AB265" i="24"/>
  <c r="AB266" i="24"/>
  <c r="AB267" i="24"/>
  <c r="AB268" i="24"/>
  <c r="AB269" i="24"/>
  <c r="AB270" i="24"/>
  <c r="AB271" i="24"/>
  <c r="AB272" i="24"/>
  <c r="AB273" i="24"/>
  <c r="AB274" i="24"/>
  <c r="AB275" i="24"/>
  <c r="AB276" i="24"/>
  <c r="AB277" i="24"/>
  <c r="AB278" i="24"/>
  <c r="AB279" i="24"/>
  <c r="AB280" i="24"/>
  <c r="AB281" i="24"/>
  <c r="AB282" i="24"/>
  <c r="AB283" i="24"/>
  <c r="AB284" i="24"/>
  <c r="AB285" i="24"/>
  <c r="AB286" i="24"/>
  <c r="AB287" i="24"/>
  <c r="AB288" i="24"/>
  <c r="AB289" i="24"/>
  <c r="AB290" i="24"/>
  <c r="AB291" i="24"/>
  <c r="AB292" i="24"/>
  <c r="AB293" i="24"/>
  <c r="AB294" i="24"/>
  <c r="AB295" i="24"/>
  <c r="AB296" i="24"/>
  <c r="AB297" i="24"/>
  <c r="AB298" i="24"/>
  <c r="AB299" i="24"/>
  <c r="AB300" i="24"/>
  <c r="AB301" i="24"/>
  <c r="AB302" i="24"/>
  <c r="AB303" i="24"/>
  <c r="AB304" i="24"/>
  <c r="AB305" i="24"/>
  <c r="AB306" i="24"/>
  <c r="AB307" i="24"/>
  <c r="AB308" i="24"/>
  <c r="AB309" i="24"/>
  <c r="AB310" i="24"/>
  <c r="AB311" i="24"/>
  <c r="AB312" i="24"/>
  <c r="AB313" i="24"/>
  <c r="AB314" i="24"/>
  <c r="AB315" i="24"/>
  <c r="AB316" i="24"/>
  <c r="AB317" i="24"/>
  <c r="AB318" i="24"/>
  <c r="AB319" i="24"/>
  <c r="AB320" i="24"/>
  <c r="AB321" i="24"/>
  <c r="AB322" i="24"/>
  <c r="AB323" i="24"/>
  <c r="AB324" i="24"/>
  <c r="AB325" i="24"/>
  <c r="AB326" i="24"/>
  <c r="AB327" i="24"/>
  <c r="AB328" i="24"/>
  <c r="AB329" i="24"/>
  <c r="AB330" i="24"/>
  <c r="AB331" i="24"/>
  <c r="AB332" i="24"/>
  <c r="AB333" i="24"/>
  <c r="AB334" i="24"/>
  <c r="AB335" i="24"/>
  <c r="AB336" i="24"/>
  <c r="AB337" i="24"/>
  <c r="AB338" i="24"/>
  <c r="AB339" i="24"/>
  <c r="AB340" i="24"/>
  <c r="AB341" i="24"/>
  <c r="AB342" i="24"/>
  <c r="AB343" i="24"/>
  <c r="AB344" i="24"/>
  <c r="AB345" i="24"/>
  <c r="AB346" i="24"/>
  <c r="AB347" i="24"/>
  <c r="AB348" i="24"/>
  <c r="AB349" i="24"/>
  <c r="AB350" i="24"/>
  <c r="AB351" i="24"/>
  <c r="AB352" i="24"/>
  <c r="AB353" i="24"/>
  <c r="AB354" i="24"/>
  <c r="AB355" i="24"/>
  <c r="AB356" i="24"/>
  <c r="AB357" i="24"/>
  <c r="AB358" i="24"/>
  <c r="AB359" i="24"/>
  <c r="AB360" i="24"/>
  <c r="AB361" i="24"/>
  <c r="AB362" i="24"/>
  <c r="AB363" i="24"/>
  <c r="AB364" i="24"/>
  <c r="AB365" i="24"/>
  <c r="AB366" i="24"/>
  <c r="AB367" i="24"/>
  <c r="AB368" i="24"/>
  <c r="AB369" i="24"/>
  <c r="AB370" i="24"/>
  <c r="AB371" i="24"/>
  <c r="AB372" i="24"/>
  <c r="AB373" i="24"/>
  <c r="AB374" i="24"/>
  <c r="AB375" i="24"/>
  <c r="AB376" i="24"/>
  <c r="AB377" i="24"/>
  <c r="AB378" i="24"/>
  <c r="AB379" i="24"/>
  <c r="AB380" i="24"/>
  <c r="AB381" i="24"/>
  <c r="AB382" i="24"/>
  <c r="AB383" i="24"/>
  <c r="AB384" i="24"/>
  <c r="AB385" i="24"/>
  <c r="AB386" i="24"/>
  <c r="AB387" i="24"/>
  <c r="AB388" i="24"/>
  <c r="AB389" i="24"/>
  <c r="AB390" i="24"/>
  <c r="AB391" i="24"/>
  <c r="AB392" i="24"/>
  <c r="AB393" i="24"/>
  <c r="AB394" i="24"/>
  <c r="AB395" i="24"/>
  <c r="AB396" i="24"/>
  <c r="AB397" i="24"/>
  <c r="AB398" i="24"/>
  <c r="AB399" i="24"/>
  <c r="AB400" i="24"/>
  <c r="AB401" i="24"/>
  <c r="AB402" i="24"/>
  <c r="AB403" i="24"/>
  <c r="AB404" i="24"/>
  <c r="AB405" i="24"/>
  <c r="AB406" i="24"/>
  <c r="AB407" i="24"/>
  <c r="AB408" i="24"/>
  <c r="AB409" i="24"/>
  <c r="AB410" i="24"/>
  <c r="AB411" i="24"/>
  <c r="AB412" i="24"/>
  <c r="AB413" i="24"/>
  <c r="AB414" i="24"/>
  <c r="AB415" i="24"/>
  <c r="AB416" i="24"/>
  <c r="AB417" i="24"/>
  <c r="AB418" i="24"/>
  <c r="AB419" i="24"/>
  <c r="AB420" i="24"/>
  <c r="AB421" i="24"/>
  <c r="AB422" i="24"/>
  <c r="AB423" i="24"/>
  <c r="AB424" i="24"/>
  <c r="AB425" i="24"/>
  <c r="AB426" i="24"/>
  <c r="AB427" i="24"/>
  <c r="AB428" i="24"/>
  <c r="AB429" i="24"/>
  <c r="AB430" i="24"/>
  <c r="AB431" i="24"/>
  <c r="AB432" i="24"/>
  <c r="AB433" i="24"/>
  <c r="AB434" i="24"/>
  <c r="AB435" i="24"/>
  <c r="AB436" i="24"/>
  <c r="AB437" i="24"/>
  <c r="AB438" i="24"/>
  <c r="AB439" i="24"/>
  <c r="AB440" i="24"/>
  <c r="AB441" i="24"/>
  <c r="AB442" i="24"/>
  <c r="AB443" i="24"/>
  <c r="AB444" i="24"/>
  <c r="AB445" i="24"/>
  <c r="AB446" i="24"/>
  <c r="AB447" i="24"/>
  <c r="AB448" i="24"/>
  <c r="AB449" i="24"/>
  <c r="AB450" i="24"/>
  <c r="AB451" i="24"/>
  <c r="AB452" i="24"/>
  <c r="AB453" i="24"/>
  <c r="AB454" i="24"/>
  <c r="AB455" i="24"/>
  <c r="AB456" i="24"/>
  <c r="AB457" i="24"/>
  <c r="Z2" i="24"/>
  <c r="Z3" i="24"/>
  <c r="Z4" i="24"/>
  <c r="Z5" i="24"/>
  <c r="Z6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39" i="24"/>
  <c r="Z40" i="24"/>
  <c r="Z41" i="24"/>
  <c r="Z42" i="24"/>
  <c r="Z43" i="24"/>
  <c r="Z44" i="24"/>
  <c r="Z45" i="24"/>
  <c r="Z46" i="24"/>
  <c r="Z47" i="24"/>
  <c r="Z48" i="24"/>
  <c r="Z49" i="24"/>
  <c r="Z50" i="24"/>
  <c r="Z51" i="24"/>
  <c r="Z52" i="24"/>
  <c r="Z53" i="24"/>
  <c r="Z54" i="24"/>
  <c r="Z55" i="24"/>
  <c r="Z56" i="24"/>
  <c r="Z57" i="24"/>
  <c r="Z58" i="24"/>
  <c r="Z59" i="24"/>
  <c r="Z60" i="24"/>
  <c r="Z61" i="24"/>
  <c r="Z62" i="24"/>
  <c r="Z63" i="24"/>
  <c r="Z64" i="24"/>
  <c r="Z65" i="24"/>
  <c r="Z66" i="24"/>
  <c r="Z67" i="24"/>
  <c r="Z68" i="24"/>
  <c r="Z69" i="24"/>
  <c r="Z70" i="24"/>
  <c r="Z71" i="24"/>
  <c r="Z72" i="24"/>
  <c r="Z73" i="24"/>
  <c r="Z74" i="24"/>
  <c r="Z75" i="24"/>
  <c r="Z76" i="24"/>
  <c r="Z77" i="24"/>
  <c r="Z78" i="24"/>
  <c r="Z79" i="24"/>
  <c r="Z80" i="24"/>
  <c r="Z81" i="24"/>
  <c r="Z82" i="24"/>
  <c r="Z83" i="24"/>
  <c r="Z84" i="24"/>
  <c r="Z85" i="24"/>
  <c r="Z86" i="24"/>
  <c r="Z87" i="24"/>
  <c r="Z88" i="24"/>
  <c r="Z89" i="24"/>
  <c r="Z90" i="24"/>
  <c r="Z91" i="24"/>
  <c r="Z92" i="24"/>
  <c r="Z93" i="24"/>
  <c r="Z94" i="24"/>
  <c r="Z95" i="24"/>
  <c r="Z96" i="24"/>
  <c r="Z97" i="24"/>
  <c r="Z98" i="24"/>
  <c r="Z99" i="24"/>
  <c r="Z100" i="24"/>
  <c r="Z101" i="24"/>
  <c r="Z102" i="24"/>
  <c r="Z103" i="24"/>
  <c r="Z104" i="24"/>
  <c r="Z105" i="24"/>
  <c r="Z106" i="24"/>
  <c r="Z107" i="24"/>
  <c r="Z108" i="24"/>
  <c r="Z109" i="24"/>
  <c r="Z110" i="24"/>
  <c r="Z111" i="24"/>
  <c r="Z112" i="24"/>
  <c r="Z113" i="24"/>
  <c r="Z114" i="24"/>
  <c r="Z115" i="24"/>
  <c r="Z116" i="24"/>
  <c r="Z117" i="24"/>
  <c r="Z118" i="24"/>
  <c r="Z119" i="24"/>
  <c r="Z120" i="24"/>
  <c r="Z121" i="24"/>
  <c r="Z122" i="24"/>
  <c r="Z123" i="24"/>
  <c r="Z124" i="24"/>
  <c r="Z125" i="24"/>
  <c r="Z126" i="24"/>
  <c r="Z127" i="24"/>
  <c r="Z128" i="24"/>
  <c r="Z129" i="24"/>
  <c r="Z130" i="24"/>
  <c r="Z131" i="24"/>
  <c r="Z132" i="24"/>
  <c r="Z133" i="24"/>
  <c r="Z134" i="24"/>
  <c r="Z135" i="24"/>
  <c r="Z136" i="24"/>
  <c r="Z137" i="24"/>
  <c r="Z138" i="24"/>
  <c r="Z139" i="24"/>
  <c r="Z140" i="24"/>
  <c r="Z141" i="24"/>
  <c r="Z142" i="24"/>
  <c r="Z143" i="24"/>
  <c r="Z144" i="24"/>
  <c r="Z145" i="24"/>
  <c r="Z146" i="24"/>
  <c r="Z147" i="24"/>
  <c r="Z148" i="24"/>
  <c r="Z149" i="24"/>
  <c r="Z150" i="24"/>
  <c r="Z151" i="24"/>
  <c r="Z152" i="24"/>
  <c r="Z153" i="24"/>
  <c r="Z154" i="24"/>
  <c r="Z155" i="24"/>
  <c r="Z156" i="24"/>
  <c r="Z157" i="24"/>
  <c r="Z158" i="24"/>
  <c r="Z159" i="24"/>
  <c r="Z160" i="24"/>
  <c r="Z161" i="24"/>
  <c r="Z162" i="24"/>
  <c r="Z163" i="24"/>
  <c r="Z164" i="24"/>
  <c r="Z165" i="24"/>
  <c r="Z166" i="24"/>
  <c r="Z167" i="24"/>
  <c r="Z168" i="24"/>
  <c r="Z169" i="24"/>
  <c r="Z170" i="24"/>
  <c r="Z171" i="24"/>
  <c r="Z172" i="24"/>
  <c r="Z173" i="24"/>
  <c r="Z174" i="24"/>
  <c r="Z175" i="24"/>
  <c r="Z176" i="24"/>
  <c r="Z177" i="24"/>
  <c r="Z178" i="24"/>
  <c r="Z179" i="24"/>
  <c r="Z180" i="24"/>
  <c r="Z181" i="24"/>
  <c r="Z182" i="24"/>
  <c r="Z183" i="24"/>
  <c r="Z184" i="24"/>
  <c r="Z185" i="24"/>
  <c r="Z186" i="24"/>
  <c r="Z187" i="24"/>
  <c r="Z188" i="24"/>
  <c r="Z189" i="24"/>
  <c r="Z190" i="24"/>
  <c r="Z191" i="24"/>
  <c r="Z192" i="24"/>
  <c r="Z193" i="24"/>
  <c r="Z194" i="24"/>
  <c r="Z195" i="24"/>
  <c r="Z196" i="24"/>
  <c r="Z197" i="24"/>
  <c r="Z198" i="24"/>
  <c r="Z199" i="24"/>
  <c r="Z200" i="24"/>
  <c r="Z201" i="24"/>
  <c r="Z202" i="24"/>
  <c r="Z203" i="24"/>
  <c r="Z204" i="24"/>
  <c r="Z205" i="24"/>
  <c r="Z206" i="24"/>
  <c r="Z207" i="24"/>
  <c r="Z208" i="24"/>
  <c r="Z209" i="24"/>
  <c r="Z210" i="24"/>
  <c r="Z211" i="24"/>
  <c r="Z212" i="24"/>
  <c r="Z213" i="24"/>
  <c r="Z214" i="24"/>
  <c r="Z215" i="24"/>
  <c r="Z216" i="24"/>
  <c r="Z217" i="24"/>
  <c r="Z218" i="24"/>
  <c r="Z219" i="24"/>
  <c r="Z220" i="24"/>
  <c r="Z221" i="24"/>
  <c r="Z222" i="24"/>
  <c r="Z223" i="24"/>
  <c r="Z224" i="24"/>
  <c r="Z225" i="24"/>
  <c r="Z226" i="24"/>
  <c r="Z227" i="24"/>
  <c r="Z228" i="24"/>
  <c r="Z229" i="24"/>
  <c r="Z230" i="24"/>
  <c r="Z231" i="24"/>
  <c r="Z232" i="24"/>
  <c r="Z233" i="24"/>
  <c r="Z234" i="24"/>
  <c r="Z235" i="24"/>
  <c r="Z236" i="24"/>
  <c r="Z237" i="24"/>
  <c r="Z238" i="24"/>
  <c r="Z239" i="24"/>
  <c r="Z240" i="24"/>
  <c r="Z241" i="24"/>
  <c r="Z242" i="24"/>
  <c r="Z243" i="24"/>
  <c r="Z244" i="24"/>
  <c r="Z245" i="24"/>
  <c r="Z246" i="24"/>
  <c r="Z247" i="24"/>
  <c r="Z248" i="24"/>
  <c r="Z249" i="24"/>
  <c r="Z250" i="24"/>
  <c r="Z251" i="24"/>
  <c r="Z252" i="24"/>
  <c r="Z253" i="24"/>
  <c r="Z254" i="24"/>
  <c r="Z255" i="24"/>
  <c r="Z256" i="24"/>
  <c r="Z257" i="24"/>
  <c r="Z258" i="24"/>
  <c r="Z259" i="24"/>
  <c r="Z260" i="24"/>
  <c r="Z261" i="24"/>
  <c r="Z262" i="24"/>
  <c r="Z263" i="24"/>
  <c r="Z264" i="24"/>
  <c r="Z265" i="24"/>
  <c r="Z266" i="24"/>
  <c r="Z267" i="24"/>
  <c r="Z268" i="24"/>
  <c r="Z269" i="24"/>
  <c r="Z270" i="24"/>
  <c r="Z271" i="24"/>
  <c r="Z272" i="24"/>
  <c r="Z273" i="24"/>
  <c r="Z274" i="24"/>
  <c r="Z275" i="24"/>
  <c r="Z276" i="24"/>
  <c r="Z277" i="24"/>
  <c r="Z278" i="24"/>
  <c r="Z279" i="24"/>
  <c r="Z280" i="24"/>
  <c r="Z281" i="24"/>
  <c r="Z282" i="24"/>
  <c r="Z283" i="24"/>
  <c r="Z284" i="24"/>
  <c r="Z285" i="24"/>
  <c r="Z286" i="24"/>
  <c r="Z287" i="24"/>
  <c r="Z288" i="24"/>
  <c r="Z289" i="24"/>
  <c r="Z290" i="24"/>
  <c r="Z291" i="24"/>
  <c r="Z292" i="24"/>
  <c r="Z293" i="24"/>
  <c r="Z294" i="24"/>
  <c r="Z295" i="24"/>
  <c r="Z296" i="24"/>
  <c r="Z297" i="24"/>
  <c r="Z298" i="24"/>
  <c r="Z299" i="24"/>
  <c r="Z300" i="24"/>
  <c r="Z301" i="24"/>
  <c r="Z302" i="24"/>
  <c r="Z303" i="24"/>
  <c r="Z304" i="24"/>
  <c r="Z305" i="24"/>
  <c r="Z306" i="24"/>
  <c r="Z307" i="24"/>
  <c r="Z308" i="24"/>
  <c r="Z309" i="24"/>
  <c r="Z310" i="24"/>
  <c r="Z311" i="24"/>
  <c r="Z312" i="24"/>
  <c r="Z313" i="24"/>
  <c r="Z314" i="24"/>
  <c r="Z315" i="24"/>
  <c r="Z316" i="24"/>
  <c r="Z317" i="24"/>
  <c r="Z318" i="24"/>
  <c r="Z319" i="24"/>
  <c r="Z320" i="24"/>
  <c r="Z321" i="24"/>
  <c r="Z322" i="24"/>
  <c r="Z323" i="24"/>
  <c r="Z324" i="24"/>
  <c r="Z325" i="24"/>
  <c r="Z326" i="24"/>
  <c r="Z327" i="24"/>
  <c r="Z328" i="24"/>
  <c r="Z329" i="24"/>
  <c r="Z330" i="24"/>
  <c r="Z331" i="24"/>
  <c r="Z332" i="24"/>
  <c r="Z333" i="24"/>
  <c r="Z334" i="24"/>
  <c r="Z335" i="24"/>
  <c r="Z336" i="24"/>
  <c r="Z337" i="24"/>
  <c r="Z338" i="24"/>
  <c r="Z339" i="24"/>
  <c r="Z340" i="24"/>
  <c r="Z341" i="24"/>
  <c r="Z342" i="24"/>
  <c r="Z343" i="24"/>
  <c r="Z344" i="24"/>
  <c r="Z345" i="24"/>
  <c r="Z346" i="24"/>
  <c r="Z347" i="24"/>
  <c r="Z348" i="24"/>
  <c r="Z349" i="24"/>
  <c r="Z350" i="24"/>
  <c r="Z351" i="24"/>
  <c r="Z352" i="24"/>
  <c r="Z353" i="24"/>
  <c r="Z354" i="24"/>
  <c r="Z355" i="24"/>
  <c r="Z356" i="24"/>
  <c r="Z357" i="24"/>
  <c r="Z358" i="24"/>
  <c r="Z359" i="24"/>
  <c r="Z360" i="24"/>
  <c r="Z361" i="24"/>
  <c r="Z362" i="24"/>
  <c r="Z363" i="24"/>
  <c r="Z364" i="24"/>
  <c r="Z365" i="24"/>
  <c r="Z366" i="24"/>
  <c r="Z367" i="24"/>
  <c r="Z368" i="24"/>
  <c r="Z369" i="24"/>
  <c r="Z370" i="24"/>
  <c r="Z371" i="24"/>
  <c r="Z372" i="24"/>
  <c r="Z373" i="24"/>
  <c r="Z374" i="24"/>
  <c r="Z375" i="24"/>
  <c r="Z376" i="24"/>
  <c r="Z377" i="24"/>
  <c r="Z378" i="24"/>
  <c r="Z379" i="24"/>
  <c r="Z380" i="24"/>
  <c r="Z381" i="24"/>
  <c r="Z382" i="24"/>
  <c r="Z383" i="24"/>
  <c r="Z384" i="24"/>
  <c r="Z385" i="24"/>
  <c r="Z386" i="24"/>
  <c r="Z387" i="24"/>
  <c r="Z388" i="24"/>
  <c r="Z389" i="24"/>
  <c r="Z390" i="24"/>
  <c r="Z391" i="24"/>
  <c r="Z392" i="24"/>
  <c r="Z393" i="24"/>
  <c r="Z394" i="24"/>
  <c r="Z395" i="24"/>
  <c r="Z396" i="24"/>
  <c r="Z397" i="24"/>
  <c r="Z398" i="24"/>
  <c r="Z399" i="24"/>
  <c r="Z400" i="24"/>
  <c r="Z401" i="24"/>
  <c r="Z402" i="24"/>
  <c r="Z403" i="24"/>
  <c r="Z404" i="24"/>
  <c r="Z405" i="24"/>
  <c r="Z406" i="24"/>
  <c r="Z407" i="24"/>
  <c r="Z408" i="24"/>
  <c r="Z409" i="24"/>
  <c r="Z410" i="24"/>
  <c r="Z411" i="24"/>
  <c r="Z412" i="24"/>
  <c r="Z413" i="24"/>
  <c r="Z414" i="24"/>
  <c r="Z415" i="24"/>
  <c r="Z416" i="24"/>
  <c r="Z417" i="24"/>
  <c r="Z418" i="24"/>
  <c r="Z419" i="24"/>
  <c r="Z420" i="24"/>
  <c r="Z421" i="24"/>
  <c r="Z422" i="24"/>
  <c r="Z423" i="24"/>
  <c r="Z424" i="24"/>
  <c r="Z425" i="24"/>
  <c r="Z426" i="24"/>
  <c r="Z427" i="24"/>
  <c r="Z428" i="24"/>
  <c r="Z429" i="24"/>
  <c r="Z430" i="24"/>
  <c r="Z431" i="24"/>
  <c r="Z432" i="24"/>
  <c r="Z433" i="24"/>
  <c r="Z434" i="24"/>
  <c r="Z435" i="24"/>
  <c r="Z436" i="24"/>
  <c r="Z437" i="24"/>
  <c r="Z438" i="24"/>
  <c r="Z439" i="24"/>
  <c r="Z440" i="24"/>
  <c r="Z441" i="24"/>
  <c r="Z442" i="24"/>
  <c r="Z443" i="24"/>
  <c r="Z444" i="24"/>
  <c r="Z445" i="24"/>
  <c r="Z446" i="24"/>
  <c r="Z447" i="24"/>
  <c r="Z448" i="24"/>
  <c r="Z449" i="24"/>
  <c r="Z450" i="24"/>
  <c r="Z451" i="24"/>
  <c r="Z452" i="24"/>
  <c r="Z453" i="24"/>
  <c r="Z454" i="24"/>
  <c r="Z455" i="24"/>
  <c r="Z456" i="24"/>
  <c r="Z457" i="24"/>
  <c r="W2" i="24"/>
  <c r="W3" i="24"/>
  <c r="W4" i="24"/>
  <c r="W5" i="24"/>
  <c r="W6" i="24"/>
  <c r="W7" i="24"/>
  <c r="W8" i="24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W38" i="24"/>
  <c r="W39" i="24"/>
  <c r="W40" i="24"/>
  <c r="W41" i="24"/>
  <c r="W42" i="24"/>
  <c r="W43" i="24"/>
  <c r="W44" i="24"/>
  <c r="W45" i="24"/>
  <c r="W46" i="24"/>
  <c r="W47" i="24"/>
  <c r="W48" i="24"/>
  <c r="W49" i="24"/>
  <c r="W50" i="24"/>
  <c r="W51" i="24"/>
  <c r="W52" i="24"/>
  <c r="W53" i="24"/>
  <c r="W54" i="24"/>
  <c r="W55" i="24"/>
  <c r="W56" i="24"/>
  <c r="W57" i="24"/>
  <c r="W58" i="24"/>
  <c r="W59" i="24"/>
  <c r="W60" i="24"/>
  <c r="W61" i="24"/>
  <c r="W62" i="24"/>
  <c r="W63" i="24"/>
  <c r="W64" i="24"/>
  <c r="W65" i="24"/>
  <c r="W66" i="24"/>
  <c r="W67" i="24"/>
  <c r="W68" i="24"/>
  <c r="W69" i="24"/>
  <c r="W70" i="24"/>
  <c r="W71" i="24"/>
  <c r="W72" i="24"/>
  <c r="W73" i="24"/>
  <c r="W74" i="24"/>
  <c r="W75" i="24"/>
  <c r="W76" i="24"/>
  <c r="W77" i="24"/>
  <c r="W78" i="24"/>
  <c r="W79" i="24"/>
  <c r="W80" i="24"/>
  <c r="W81" i="24"/>
  <c r="W82" i="24"/>
  <c r="W83" i="24"/>
  <c r="W84" i="24"/>
  <c r="W85" i="24"/>
  <c r="W86" i="24"/>
  <c r="W87" i="24"/>
  <c r="W88" i="24"/>
  <c r="W89" i="24"/>
  <c r="W90" i="24"/>
  <c r="W91" i="24"/>
  <c r="W92" i="24"/>
  <c r="W93" i="24"/>
  <c r="W94" i="24"/>
  <c r="W95" i="24"/>
  <c r="W96" i="24"/>
  <c r="W97" i="24"/>
  <c r="W98" i="24"/>
  <c r="W99" i="24"/>
  <c r="W100" i="24"/>
  <c r="W101" i="24"/>
  <c r="W102" i="24"/>
  <c r="W103" i="24"/>
  <c r="W104" i="24"/>
  <c r="W105" i="24"/>
  <c r="W106" i="24"/>
  <c r="W107" i="24"/>
  <c r="W108" i="24"/>
  <c r="W109" i="24"/>
  <c r="W110" i="24"/>
  <c r="W111" i="24"/>
  <c r="W112" i="24"/>
  <c r="W113" i="24"/>
  <c r="W114" i="24"/>
  <c r="W115" i="24"/>
  <c r="W116" i="24"/>
  <c r="W117" i="24"/>
  <c r="W118" i="24"/>
  <c r="W119" i="24"/>
  <c r="W120" i="24"/>
  <c r="W121" i="24"/>
  <c r="W122" i="24"/>
  <c r="W123" i="24"/>
  <c r="W124" i="24"/>
  <c r="W125" i="24"/>
  <c r="W126" i="24"/>
  <c r="W127" i="24"/>
  <c r="W128" i="24"/>
  <c r="W129" i="24"/>
  <c r="W130" i="24"/>
  <c r="W131" i="24"/>
  <c r="W132" i="24"/>
  <c r="W133" i="24"/>
  <c r="W134" i="24"/>
  <c r="W135" i="24"/>
  <c r="W136" i="24"/>
  <c r="W137" i="24"/>
  <c r="W138" i="24"/>
  <c r="W139" i="24"/>
  <c r="W140" i="24"/>
  <c r="W141" i="24"/>
  <c r="W142" i="24"/>
  <c r="W143" i="24"/>
  <c r="W144" i="24"/>
  <c r="W145" i="24"/>
  <c r="W146" i="24"/>
  <c r="W147" i="24"/>
  <c r="W148" i="24"/>
  <c r="W149" i="24"/>
  <c r="W150" i="24"/>
  <c r="W151" i="24"/>
  <c r="W152" i="24"/>
  <c r="W153" i="24"/>
  <c r="W154" i="24"/>
  <c r="W155" i="24"/>
  <c r="W156" i="24"/>
  <c r="W157" i="24"/>
  <c r="W158" i="24"/>
  <c r="W159" i="24"/>
  <c r="W160" i="24"/>
  <c r="W161" i="24"/>
  <c r="W162" i="24"/>
  <c r="W163" i="24"/>
  <c r="W164" i="24"/>
  <c r="W165" i="24"/>
  <c r="W166" i="24"/>
  <c r="W167" i="24"/>
  <c r="W168" i="24"/>
  <c r="W169" i="24"/>
  <c r="W170" i="24"/>
  <c r="W171" i="24"/>
  <c r="W172" i="24"/>
  <c r="W173" i="24"/>
  <c r="W174" i="24"/>
  <c r="W175" i="24"/>
  <c r="W176" i="24"/>
  <c r="W177" i="24"/>
  <c r="W178" i="24"/>
  <c r="W179" i="24"/>
  <c r="W180" i="24"/>
  <c r="W181" i="24"/>
  <c r="W182" i="24"/>
  <c r="W183" i="24"/>
  <c r="W184" i="24"/>
  <c r="W185" i="24"/>
  <c r="W186" i="24"/>
  <c r="W187" i="24"/>
  <c r="W188" i="24"/>
  <c r="W189" i="24"/>
  <c r="W190" i="24"/>
  <c r="W191" i="24"/>
  <c r="W192" i="24"/>
  <c r="W193" i="24"/>
  <c r="W194" i="24"/>
  <c r="W195" i="24"/>
  <c r="W196" i="24"/>
  <c r="W197" i="24"/>
  <c r="W198" i="24"/>
  <c r="W199" i="24"/>
  <c r="W200" i="24"/>
  <c r="W201" i="24"/>
  <c r="W202" i="24"/>
  <c r="W203" i="24"/>
  <c r="W204" i="24"/>
  <c r="W205" i="24"/>
  <c r="W206" i="24"/>
  <c r="W207" i="24"/>
  <c r="W208" i="24"/>
  <c r="W209" i="24"/>
  <c r="W210" i="24"/>
  <c r="W211" i="24"/>
  <c r="W212" i="24"/>
  <c r="W213" i="24"/>
  <c r="W214" i="24"/>
  <c r="W215" i="24"/>
  <c r="W216" i="24"/>
  <c r="W217" i="24"/>
  <c r="W218" i="24"/>
  <c r="W219" i="24"/>
  <c r="W220" i="24"/>
  <c r="W221" i="24"/>
  <c r="W222" i="24"/>
  <c r="W223" i="24"/>
  <c r="W224" i="24"/>
  <c r="W225" i="24"/>
  <c r="W226" i="24"/>
  <c r="W227" i="24"/>
  <c r="W228" i="24"/>
  <c r="W229" i="24"/>
  <c r="W230" i="24"/>
  <c r="W231" i="24"/>
  <c r="W232" i="24"/>
  <c r="W233" i="24"/>
  <c r="W234" i="24"/>
  <c r="W235" i="24"/>
  <c r="W236" i="24"/>
  <c r="W237" i="24"/>
  <c r="W238" i="24"/>
  <c r="W239" i="24"/>
  <c r="W240" i="24"/>
  <c r="W241" i="24"/>
  <c r="W242" i="24"/>
  <c r="W243" i="24"/>
  <c r="W244" i="24"/>
  <c r="W245" i="24"/>
  <c r="W246" i="24"/>
  <c r="W247" i="24"/>
  <c r="W248" i="24"/>
  <c r="W249" i="24"/>
  <c r="W250" i="24"/>
  <c r="W251" i="24"/>
  <c r="W252" i="24"/>
  <c r="W253" i="24"/>
  <c r="W254" i="24"/>
  <c r="W255" i="24"/>
  <c r="W256" i="24"/>
  <c r="W257" i="24"/>
  <c r="W258" i="24"/>
  <c r="W259" i="24"/>
  <c r="W260" i="24"/>
  <c r="W261" i="24"/>
  <c r="W262" i="24"/>
  <c r="W263" i="24"/>
  <c r="W264" i="24"/>
  <c r="W265" i="24"/>
  <c r="W266" i="24"/>
  <c r="W267" i="24"/>
  <c r="W268" i="24"/>
  <c r="W269" i="24"/>
  <c r="W270" i="24"/>
  <c r="W271" i="24"/>
  <c r="W272" i="24"/>
  <c r="W273" i="24"/>
  <c r="W274" i="24"/>
  <c r="W275" i="24"/>
  <c r="W276" i="24"/>
  <c r="W277" i="24"/>
  <c r="W278" i="24"/>
  <c r="W279" i="24"/>
  <c r="W280" i="24"/>
  <c r="W281" i="24"/>
  <c r="W282" i="24"/>
  <c r="W283" i="24"/>
  <c r="W284" i="24"/>
  <c r="W285" i="24"/>
  <c r="W286" i="24"/>
  <c r="W287" i="24"/>
  <c r="W288" i="24"/>
  <c r="W289" i="24"/>
  <c r="W290" i="24"/>
  <c r="W291" i="24"/>
  <c r="W292" i="24"/>
  <c r="W293" i="24"/>
  <c r="W294" i="24"/>
  <c r="W295" i="24"/>
  <c r="W296" i="24"/>
  <c r="W297" i="24"/>
  <c r="W298" i="24"/>
  <c r="W299" i="24"/>
  <c r="W300" i="24"/>
  <c r="W301" i="24"/>
  <c r="W302" i="24"/>
  <c r="W303" i="24"/>
  <c r="W304" i="24"/>
  <c r="W305" i="24"/>
  <c r="W306" i="24"/>
  <c r="W307" i="24"/>
  <c r="W308" i="24"/>
  <c r="W309" i="24"/>
  <c r="W310" i="24"/>
  <c r="W311" i="24"/>
  <c r="W312" i="24"/>
  <c r="W313" i="24"/>
  <c r="W314" i="24"/>
  <c r="W315" i="24"/>
  <c r="W316" i="24"/>
  <c r="W317" i="24"/>
  <c r="W318" i="24"/>
  <c r="W319" i="24"/>
  <c r="W320" i="24"/>
  <c r="W321" i="24"/>
  <c r="W322" i="24"/>
  <c r="W323" i="24"/>
  <c r="W324" i="24"/>
  <c r="W325" i="24"/>
  <c r="W326" i="24"/>
  <c r="W327" i="24"/>
  <c r="W328" i="24"/>
  <c r="W329" i="24"/>
  <c r="W330" i="24"/>
  <c r="W331" i="24"/>
  <c r="W332" i="24"/>
  <c r="W333" i="24"/>
  <c r="W334" i="24"/>
  <c r="W335" i="24"/>
  <c r="W336" i="24"/>
  <c r="W337" i="24"/>
  <c r="W338" i="24"/>
  <c r="W339" i="24"/>
  <c r="W340" i="24"/>
  <c r="W341" i="24"/>
  <c r="W342" i="24"/>
  <c r="W343" i="24"/>
  <c r="W344" i="24"/>
  <c r="W345" i="24"/>
  <c r="W346" i="24"/>
  <c r="W347" i="24"/>
  <c r="W348" i="24"/>
  <c r="W349" i="24"/>
  <c r="W350" i="24"/>
  <c r="W351" i="24"/>
  <c r="W352" i="24"/>
  <c r="W353" i="24"/>
  <c r="W354" i="24"/>
  <c r="W355" i="24"/>
  <c r="W356" i="24"/>
  <c r="W357" i="24"/>
  <c r="W358" i="24"/>
  <c r="W359" i="24"/>
  <c r="W360" i="24"/>
  <c r="W361" i="24"/>
  <c r="W362" i="24"/>
  <c r="W363" i="24"/>
  <c r="W364" i="24"/>
  <c r="W365" i="24"/>
  <c r="W366" i="24"/>
  <c r="W367" i="24"/>
  <c r="W368" i="24"/>
  <c r="W369" i="24"/>
  <c r="W370" i="24"/>
  <c r="W371" i="24"/>
  <c r="W372" i="24"/>
  <c r="W373" i="24"/>
  <c r="W374" i="24"/>
  <c r="W375" i="24"/>
  <c r="W376" i="24"/>
  <c r="W377" i="24"/>
  <c r="W378" i="24"/>
  <c r="W379" i="24"/>
  <c r="W380" i="24"/>
  <c r="W381" i="24"/>
  <c r="W382" i="24"/>
  <c r="W383" i="24"/>
  <c r="W384" i="24"/>
  <c r="W385" i="24"/>
  <c r="W386" i="24"/>
  <c r="W387" i="24"/>
  <c r="W388" i="24"/>
  <c r="W389" i="24"/>
  <c r="W390" i="24"/>
  <c r="W391" i="24"/>
  <c r="W392" i="24"/>
  <c r="W393" i="24"/>
  <c r="W394" i="24"/>
  <c r="W395" i="24"/>
  <c r="W396" i="24"/>
  <c r="W397" i="24"/>
  <c r="W398" i="24"/>
  <c r="W399" i="24"/>
  <c r="W400" i="24"/>
  <c r="W401" i="24"/>
  <c r="W402" i="24"/>
  <c r="W403" i="24"/>
  <c r="W404" i="24"/>
  <c r="W405" i="24"/>
  <c r="W406" i="24"/>
  <c r="W407" i="24"/>
  <c r="W408" i="24"/>
  <c r="W409" i="24"/>
  <c r="W410" i="24"/>
  <c r="W411" i="24"/>
  <c r="W412" i="24"/>
  <c r="W413" i="24"/>
  <c r="W414" i="24"/>
  <c r="W415" i="24"/>
  <c r="W416" i="24"/>
  <c r="W417" i="24"/>
  <c r="W418" i="24"/>
  <c r="W419" i="24"/>
  <c r="W420" i="24"/>
  <c r="W421" i="24"/>
  <c r="W422" i="24"/>
  <c r="W423" i="24"/>
  <c r="W424" i="24"/>
  <c r="W425" i="24"/>
  <c r="W426" i="24"/>
  <c r="W427" i="24"/>
  <c r="W428" i="24"/>
  <c r="W429" i="24"/>
  <c r="W430" i="24"/>
  <c r="W431" i="24"/>
  <c r="W432" i="24"/>
  <c r="W433" i="24"/>
  <c r="W434" i="24"/>
  <c r="W435" i="24"/>
  <c r="W436" i="24"/>
  <c r="W437" i="24"/>
  <c r="W438" i="24"/>
  <c r="W439" i="24"/>
  <c r="W440" i="24"/>
  <c r="W441" i="24"/>
  <c r="W442" i="24"/>
  <c r="W443" i="24"/>
  <c r="W444" i="24"/>
  <c r="W445" i="24"/>
  <c r="W446" i="24"/>
  <c r="W447" i="24"/>
  <c r="W448" i="24"/>
  <c r="W449" i="24"/>
  <c r="W450" i="24"/>
  <c r="W451" i="24"/>
  <c r="W452" i="24"/>
  <c r="W453" i="24"/>
  <c r="W454" i="24"/>
  <c r="W455" i="24"/>
  <c r="W456" i="24"/>
  <c r="W457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H337" i="24"/>
  <c r="H336" i="24"/>
  <c r="H335" i="24"/>
  <c r="H334" i="24"/>
  <c r="H333" i="24"/>
  <c r="H332" i="24"/>
  <c r="H331" i="24"/>
  <c r="H330" i="24"/>
  <c r="H329" i="24"/>
  <c r="H328" i="24"/>
  <c r="H327" i="24"/>
  <c r="H326" i="24"/>
  <c r="H325" i="24"/>
  <c r="H324" i="24"/>
  <c r="H323" i="24"/>
  <c r="H322" i="24"/>
  <c r="H321" i="24"/>
  <c r="H320" i="24"/>
  <c r="H319" i="24"/>
  <c r="H318" i="24"/>
  <c r="H317" i="24"/>
  <c r="H316" i="24"/>
  <c r="H315" i="24"/>
  <c r="H314" i="24"/>
  <c r="H313" i="24"/>
  <c r="H312" i="24"/>
  <c r="H311" i="24"/>
  <c r="H310" i="24"/>
  <c r="H309" i="24"/>
  <c r="H308" i="24"/>
  <c r="H307" i="24"/>
  <c r="H306" i="24"/>
  <c r="H305" i="24"/>
  <c r="H304" i="24"/>
  <c r="H303" i="24"/>
  <c r="H302" i="24"/>
  <c r="H301" i="24"/>
  <c r="H300" i="24"/>
  <c r="H299" i="24"/>
  <c r="H298" i="24"/>
  <c r="H297" i="24"/>
  <c r="H296" i="24"/>
  <c r="H295" i="24"/>
  <c r="H294" i="24"/>
  <c r="H293" i="24"/>
  <c r="H292" i="24"/>
  <c r="H291" i="24"/>
  <c r="H290" i="24"/>
  <c r="H289" i="24"/>
  <c r="H288" i="24"/>
  <c r="H287" i="24"/>
  <c r="H286" i="24"/>
  <c r="H285" i="24"/>
  <c r="H283" i="24"/>
  <c r="H282" i="24"/>
  <c r="H281" i="24"/>
  <c r="H280" i="24"/>
  <c r="H279" i="24"/>
  <c r="H278" i="24"/>
  <c r="H277" i="24"/>
  <c r="H276" i="24"/>
  <c r="H275" i="24"/>
  <c r="H274" i="24"/>
  <c r="H273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H224" i="24"/>
  <c r="H223" i="24"/>
  <c r="H222" i="24"/>
  <c r="H221" i="24"/>
  <c r="H220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H7" i="24"/>
  <c r="H6" i="24"/>
  <c r="H5" i="24"/>
  <c r="H4" i="24"/>
  <c r="H3" i="24"/>
  <c r="H2" i="24"/>
  <c r="M2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5" i="24"/>
  <c r="M296" i="24"/>
  <c r="M297" i="24"/>
  <c r="M298" i="24"/>
  <c r="M299" i="24"/>
  <c r="M300" i="24"/>
  <c r="M301" i="24"/>
  <c r="M302" i="24"/>
  <c r="M303" i="24"/>
  <c r="M304" i="24"/>
  <c r="M305" i="24"/>
  <c r="M306" i="24"/>
  <c r="M307" i="24"/>
  <c r="M308" i="24"/>
  <c r="M309" i="24"/>
  <c r="M310" i="24"/>
  <c r="M311" i="24"/>
  <c r="M312" i="24"/>
  <c r="M313" i="24"/>
  <c r="M314" i="24"/>
  <c r="M315" i="24"/>
  <c r="M316" i="24"/>
  <c r="M317" i="24"/>
  <c r="M318" i="24"/>
  <c r="M319" i="24"/>
  <c r="M320" i="24"/>
  <c r="M321" i="24"/>
  <c r="M322" i="24"/>
  <c r="M323" i="24"/>
  <c r="M324" i="24"/>
  <c r="M325" i="24"/>
  <c r="M326" i="24"/>
  <c r="M327" i="24"/>
  <c r="M328" i="24"/>
  <c r="M329" i="24"/>
  <c r="M330" i="24"/>
  <c r="M331" i="24"/>
  <c r="M332" i="24"/>
  <c r="M333" i="24"/>
  <c r="M334" i="24"/>
  <c r="M335" i="24"/>
  <c r="M336" i="24"/>
  <c r="M337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AG3" i="1" l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2" i="1"/>
  <c r="B254" i="25" l="1"/>
  <c r="B253" i="25"/>
  <c r="B252" i="25"/>
  <c r="B251" i="25"/>
  <c r="B250" i="25"/>
  <c r="B248" i="25"/>
  <c r="B249" i="25"/>
  <c r="AM703" i="1"/>
  <c r="AM704" i="1"/>
  <c r="AM705" i="1"/>
  <c r="AM706" i="1"/>
  <c r="AM707" i="1"/>
  <c r="AM708" i="1"/>
  <c r="AM709" i="1"/>
  <c r="AM710" i="1"/>
  <c r="BI3" i="1" l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I2" i="1"/>
  <c r="BH2" i="1"/>
  <c r="BG2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C3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F2" i="1"/>
  <c r="BE2" i="1"/>
  <c r="BD2" i="1"/>
  <c r="BC2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2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2" i="1"/>
  <c r="AY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2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2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2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9" i="1"/>
  <c r="AT690" i="1"/>
  <c r="AT691" i="1"/>
  <c r="AT692" i="1"/>
  <c r="AT693" i="1"/>
  <c r="AT694" i="1"/>
  <c r="AT695" i="1"/>
  <c r="AT696" i="1"/>
  <c r="AT697" i="1"/>
  <c r="AT698" i="1"/>
  <c r="AT700" i="1"/>
  <c r="AT701" i="1"/>
  <c r="AT2" i="1"/>
  <c r="AT702" i="1" l="1"/>
  <c r="AX702" i="1"/>
  <c r="AV702" i="1"/>
  <c r="AZ702" i="1"/>
  <c r="BH702" i="1"/>
  <c r="BB702" i="1"/>
  <c r="BI702" i="1"/>
  <c r="AU702" i="1"/>
  <c r="AW702" i="1"/>
  <c r="AY702" i="1"/>
  <c r="BA702" i="1"/>
  <c r="BC702" i="1"/>
  <c r="BD702" i="1"/>
  <c r="BE702" i="1"/>
  <c r="BF702" i="1"/>
  <c r="BG702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F531" i="28" l="1"/>
  <c r="F530" i="28"/>
  <c r="F282" i="28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2" i="1"/>
  <c r="AB3" i="1"/>
  <c r="AC3" i="1" s="1"/>
  <c r="AS3" i="1" s="1"/>
  <c r="AB4" i="1"/>
  <c r="AC4" i="1" s="1"/>
  <c r="AS4" i="1" s="1"/>
  <c r="AB5" i="1"/>
  <c r="AC5" i="1" s="1"/>
  <c r="AS5" i="1" s="1"/>
  <c r="AB6" i="1"/>
  <c r="AC6" i="1" s="1"/>
  <c r="AS6" i="1" s="1"/>
  <c r="AB7" i="1"/>
  <c r="AC7" i="1" s="1"/>
  <c r="AS7" i="1" s="1"/>
  <c r="AB8" i="1"/>
  <c r="AC8" i="1" s="1"/>
  <c r="AS8" i="1" s="1"/>
  <c r="AB9" i="1"/>
  <c r="AC9" i="1" s="1"/>
  <c r="AS9" i="1" s="1"/>
  <c r="AB10" i="1"/>
  <c r="AC10" i="1" s="1"/>
  <c r="AS10" i="1" s="1"/>
  <c r="AB11" i="1"/>
  <c r="AC11" i="1" s="1"/>
  <c r="AS11" i="1" s="1"/>
  <c r="AB12" i="1"/>
  <c r="AC12" i="1" s="1"/>
  <c r="AS12" i="1" s="1"/>
  <c r="AB13" i="1"/>
  <c r="AC13" i="1" s="1"/>
  <c r="AS13" i="1" s="1"/>
  <c r="AB14" i="1"/>
  <c r="AC14" i="1" s="1"/>
  <c r="AS14" i="1" s="1"/>
  <c r="AB15" i="1"/>
  <c r="AC15" i="1" s="1"/>
  <c r="AS15" i="1" s="1"/>
  <c r="AB16" i="1"/>
  <c r="AC16" i="1" s="1"/>
  <c r="AS16" i="1" s="1"/>
  <c r="AB17" i="1"/>
  <c r="AC17" i="1" s="1"/>
  <c r="AS17" i="1" s="1"/>
  <c r="AB18" i="1"/>
  <c r="AC18" i="1" s="1"/>
  <c r="AS18" i="1" s="1"/>
  <c r="AB19" i="1"/>
  <c r="AC19" i="1" s="1"/>
  <c r="AS19" i="1" s="1"/>
  <c r="AB20" i="1"/>
  <c r="AC20" i="1" s="1"/>
  <c r="AS20" i="1" s="1"/>
  <c r="AB21" i="1"/>
  <c r="AC21" i="1" s="1"/>
  <c r="AS21" i="1" s="1"/>
  <c r="AB22" i="1"/>
  <c r="AC22" i="1" s="1"/>
  <c r="AS22" i="1" s="1"/>
  <c r="AB23" i="1"/>
  <c r="AC23" i="1" s="1"/>
  <c r="AS23" i="1" s="1"/>
  <c r="AB24" i="1"/>
  <c r="AC24" i="1" s="1"/>
  <c r="AS24" i="1" s="1"/>
  <c r="AB25" i="1"/>
  <c r="AC25" i="1" s="1"/>
  <c r="AS25" i="1" s="1"/>
  <c r="AB26" i="1"/>
  <c r="AC26" i="1" s="1"/>
  <c r="AS26" i="1" s="1"/>
  <c r="AB27" i="1"/>
  <c r="AC27" i="1" s="1"/>
  <c r="AS27" i="1" s="1"/>
  <c r="AB28" i="1"/>
  <c r="AC28" i="1" s="1"/>
  <c r="AS28" i="1" s="1"/>
  <c r="AB29" i="1"/>
  <c r="AC29" i="1" s="1"/>
  <c r="AS29" i="1" s="1"/>
  <c r="AB30" i="1"/>
  <c r="AC30" i="1" s="1"/>
  <c r="AS30" i="1" s="1"/>
  <c r="AB31" i="1"/>
  <c r="AC31" i="1" s="1"/>
  <c r="AS31" i="1" s="1"/>
  <c r="AB32" i="1"/>
  <c r="AC32" i="1" s="1"/>
  <c r="AS32" i="1" s="1"/>
  <c r="AB33" i="1"/>
  <c r="AC33" i="1" s="1"/>
  <c r="AS33" i="1" s="1"/>
  <c r="AB34" i="1"/>
  <c r="AC34" i="1" s="1"/>
  <c r="AS34" i="1" s="1"/>
  <c r="AB35" i="1"/>
  <c r="AC35" i="1" s="1"/>
  <c r="AS35" i="1" s="1"/>
  <c r="AB36" i="1"/>
  <c r="AC36" i="1" s="1"/>
  <c r="AS36" i="1" s="1"/>
  <c r="AB37" i="1"/>
  <c r="AC37" i="1" s="1"/>
  <c r="AS37" i="1" s="1"/>
  <c r="AB38" i="1"/>
  <c r="AC38" i="1" s="1"/>
  <c r="AS38" i="1" s="1"/>
  <c r="AB39" i="1"/>
  <c r="AC39" i="1" s="1"/>
  <c r="AS39" i="1" s="1"/>
  <c r="AB40" i="1"/>
  <c r="AC40" i="1" s="1"/>
  <c r="AS40" i="1" s="1"/>
  <c r="AB41" i="1"/>
  <c r="AC41" i="1" s="1"/>
  <c r="AS41" i="1" s="1"/>
  <c r="AB42" i="1"/>
  <c r="AC42" i="1" s="1"/>
  <c r="AS42" i="1" s="1"/>
  <c r="AB43" i="1"/>
  <c r="AC43" i="1" s="1"/>
  <c r="AS43" i="1" s="1"/>
  <c r="AB44" i="1"/>
  <c r="AC44" i="1" s="1"/>
  <c r="AS44" i="1" s="1"/>
  <c r="AB45" i="1"/>
  <c r="AC45" i="1" s="1"/>
  <c r="AS45" i="1" s="1"/>
  <c r="AB46" i="1"/>
  <c r="AC46" i="1" s="1"/>
  <c r="AS46" i="1" s="1"/>
  <c r="AB47" i="1"/>
  <c r="AC47" i="1" s="1"/>
  <c r="AS47" i="1" s="1"/>
  <c r="AB48" i="1"/>
  <c r="AC48" i="1" s="1"/>
  <c r="AS48" i="1" s="1"/>
  <c r="AB49" i="1"/>
  <c r="AC49" i="1" s="1"/>
  <c r="AS49" i="1" s="1"/>
  <c r="AB50" i="1"/>
  <c r="AC50" i="1" s="1"/>
  <c r="AS50" i="1" s="1"/>
  <c r="AB51" i="1"/>
  <c r="AC51" i="1" s="1"/>
  <c r="AS51" i="1" s="1"/>
  <c r="AB52" i="1"/>
  <c r="AC52" i="1" s="1"/>
  <c r="AS52" i="1" s="1"/>
  <c r="AB53" i="1"/>
  <c r="AC53" i="1" s="1"/>
  <c r="AS53" i="1" s="1"/>
  <c r="AB54" i="1"/>
  <c r="AC54" i="1" s="1"/>
  <c r="AS54" i="1" s="1"/>
  <c r="AB55" i="1"/>
  <c r="AC55" i="1" s="1"/>
  <c r="AS55" i="1" s="1"/>
  <c r="AB56" i="1"/>
  <c r="AC56" i="1" s="1"/>
  <c r="AS56" i="1" s="1"/>
  <c r="AB57" i="1"/>
  <c r="AC57" i="1" s="1"/>
  <c r="AS57" i="1" s="1"/>
  <c r="AB58" i="1"/>
  <c r="AC58" i="1" s="1"/>
  <c r="AS58" i="1" s="1"/>
  <c r="AB59" i="1"/>
  <c r="AC59" i="1" s="1"/>
  <c r="AS59" i="1" s="1"/>
  <c r="AB60" i="1"/>
  <c r="AC60" i="1" s="1"/>
  <c r="AS60" i="1" s="1"/>
  <c r="AB61" i="1"/>
  <c r="AC61" i="1" s="1"/>
  <c r="AS61" i="1" s="1"/>
  <c r="AB62" i="1"/>
  <c r="AC62" i="1" s="1"/>
  <c r="AS62" i="1" s="1"/>
  <c r="AB63" i="1"/>
  <c r="AC63" i="1" s="1"/>
  <c r="AS63" i="1" s="1"/>
  <c r="AB64" i="1"/>
  <c r="AC64" i="1" s="1"/>
  <c r="AS64" i="1" s="1"/>
  <c r="AB65" i="1"/>
  <c r="AC65" i="1" s="1"/>
  <c r="AS65" i="1" s="1"/>
  <c r="AB66" i="1"/>
  <c r="AC66" i="1" s="1"/>
  <c r="AS66" i="1" s="1"/>
  <c r="AB67" i="1"/>
  <c r="AC67" i="1" s="1"/>
  <c r="AS67" i="1" s="1"/>
  <c r="AB68" i="1"/>
  <c r="AC68" i="1" s="1"/>
  <c r="AS68" i="1" s="1"/>
  <c r="AB69" i="1"/>
  <c r="AC69" i="1" s="1"/>
  <c r="AS69" i="1" s="1"/>
  <c r="AB70" i="1"/>
  <c r="AC70" i="1" s="1"/>
  <c r="AS70" i="1" s="1"/>
  <c r="AB71" i="1"/>
  <c r="AC71" i="1" s="1"/>
  <c r="AS71" i="1" s="1"/>
  <c r="AB72" i="1"/>
  <c r="AC72" i="1" s="1"/>
  <c r="AS72" i="1" s="1"/>
  <c r="AB73" i="1"/>
  <c r="AC73" i="1" s="1"/>
  <c r="AS73" i="1" s="1"/>
  <c r="AB74" i="1"/>
  <c r="AC74" i="1" s="1"/>
  <c r="AS74" i="1" s="1"/>
  <c r="AB75" i="1"/>
  <c r="AC75" i="1" s="1"/>
  <c r="AS75" i="1" s="1"/>
  <c r="AB76" i="1"/>
  <c r="AC76" i="1" s="1"/>
  <c r="AS76" i="1" s="1"/>
  <c r="AB77" i="1"/>
  <c r="AC77" i="1" s="1"/>
  <c r="AS77" i="1" s="1"/>
  <c r="AB78" i="1"/>
  <c r="AC78" i="1" s="1"/>
  <c r="AS78" i="1" s="1"/>
  <c r="AB79" i="1"/>
  <c r="AC79" i="1" s="1"/>
  <c r="AS79" i="1" s="1"/>
  <c r="AB80" i="1"/>
  <c r="AC80" i="1" s="1"/>
  <c r="AS80" i="1" s="1"/>
  <c r="AB81" i="1"/>
  <c r="AC81" i="1" s="1"/>
  <c r="AS81" i="1" s="1"/>
  <c r="AB82" i="1"/>
  <c r="AC82" i="1" s="1"/>
  <c r="AS82" i="1" s="1"/>
  <c r="AB83" i="1"/>
  <c r="AC83" i="1" s="1"/>
  <c r="AS83" i="1" s="1"/>
  <c r="AB84" i="1"/>
  <c r="AC84" i="1" s="1"/>
  <c r="AS84" i="1" s="1"/>
  <c r="AB85" i="1"/>
  <c r="AC85" i="1" s="1"/>
  <c r="AS85" i="1" s="1"/>
  <c r="AB86" i="1"/>
  <c r="AC86" i="1" s="1"/>
  <c r="AS86" i="1" s="1"/>
  <c r="AB87" i="1"/>
  <c r="AC87" i="1" s="1"/>
  <c r="AS87" i="1" s="1"/>
  <c r="AB88" i="1"/>
  <c r="AC88" i="1" s="1"/>
  <c r="AS88" i="1" s="1"/>
  <c r="AB89" i="1"/>
  <c r="AC89" i="1" s="1"/>
  <c r="AS89" i="1" s="1"/>
  <c r="AB90" i="1"/>
  <c r="AC90" i="1" s="1"/>
  <c r="AS90" i="1" s="1"/>
  <c r="AB91" i="1"/>
  <c r="AC91" i="1" s="1"/>
  <c r="AS91" i="1" s="1"/>
  <c r="AB92" i="1"/>
  <c r="AC92" i="1" s="1"/>
  <c r="AS92" i="1" s="1"/>
  <c r="AB93" i="1"/>
  <c r="AC93" i="1" s="1"/>
  <c r="AS93" i="1" s="1"/>
  <c r="AB94" i="1"/>
  <c r="AC94" i="1" s="1"/>
  <c r="AS94" i="1" s="1"/>
  <c r="AB95" i="1"/>
  <c r="AC95" i="1" s="1"/>
  <c r="AS95" i="1" s="1"/>
  <c r="AB96" i="1"/>
  <c r="AC96" i="1" s="1"/>
  <c r="AS96" i="1" s="1"/>
  <c r="AB97" i="1"/>
  <c r="AC97" i="1" s="1"/>
  <c r="AS97" i="1" s="1"/>
  <c r="AB98" i="1"/>
  <c r="AC98" i="1" s="1"/>
  <c r="AS98" i="1" s="1"/>
  <c r="AB99" i="1"/>
  <c r="AC99" i="1" s="1"/>
  <c r="AS99" i="1" s="1"/>
  <c r="AB100" i="1"/>
  <c r="AC100" i="1" s="1"/>
  <c r="AS100" i="1" s="1"/>
  <c r="AB101" i="1"/>
  <c r="AC101" i="1" s="1"/>
  <c r="AS101" i="1" s="1"/>
  <c r="AB102" i="1"/>
  <c r="AC102" i="1" s="1"/>
  <c r="AS102" i="1" s="1"/>
  <c r="AB103" i="1"/>
  <c r="AC103" i="1" s="1"/>
  <c r="AS103" i="1" s="1"/>
  <c r="AB104" i="1"/>
  <c r="AC104" i="1" s="1"/>
  <c r="AS104" i="1" s="1"/>
  <c r="AB105" i="1"/>
  <c r="AC105" i="1" s="1"/>
  <c r="AS105" i="1" s="1"/>
  <c r="AB106" i="1"/>
  <c r="AC106" i="1" s="1"/>
  <c r="AS106" i="1" s="1"/>
  <c r="AB107" i="1"/>
  <c r="AC107" i="1" s="1"/>
  <c r="AS107" i="1" s="1"/>
  <c r="AB108" i="1"/>
  <c r="AC108" i="1" s="1"/>
  <c r="AS108" i="1" s="1"/>
  <c r="AB109" i="1"/>
  <c r="AC109" i="1" s="1"/>
  <c r="AS109" i="1" s="1"/>
  <c r="AB110" i="1"/>
  <c r="AC110" i="1" s="1"/>
  <c r="AS110" i="1" s="1"/>
  <c r="AB111" i="1"/>
  <c r="AC111" i="1" s="1"/>
  <c r="AS111" i="1" s="1"/>
  <c r="AB112" i="1"/>
  <c r="AC112" i="1" s="1"/>
  <c r="AS112" i="1" s="1"/>
  <c r="AB113" i="1"/>
  <c r="AC113" i="1" s="1"/>
  <c r="AS113" i="1" s="1"/>
  <c r="AB114" i="1"/>
  <c r="AC114" i="1" s="1"/>
  <c r="AS114" i="1" s="1"/>
  <c r="AB115" i="1"/>
  <c r="AC115" i="1" s="1"/>
  <c r="AS115" i="1" s="1"/>
  <c r="AB116" i="1"/>
  <c r="AC116" i="1" s="1"/>
  <c r="AS116" i="1" s="1"/>
  <c r="AB117" i="1"/>
  <c r="AC117" i="1" s="1"/>
  <c r="AS117" i="1" s="1"/>
  <c r="AB118" i="1"/>
  <c r="AC118" i="1" s="1"/>
  <c r="AS118" i="1" s="1"/>
  <c r="AB119" i="1"/>
  <c r="AC119" i="1" s="1"/>
  <c r="AS119" i="1" s="1"/>
  <c r="AB120" i="1"/>
  <c r="AC120" i="1" s="1"/>
  <c r="AS120" i="1" s="1"/>
  <c r="AB121" i="1"/>
  <c r="AC121" i="1" s="1"/>
  <c r="AS121" i="1" s="1"/>
  <c r="AB122" i="1"/>
  <c r="AC122" i="1" s="1"/>
  <c r="AS122" i="1" s="1"/>
  <c r="AB123" i="1"/>
  <c r="AC123" i="1" s="1"/>
  <c r="AS123" i="1" s="1"/>
  <c r="AB124" i="1"/>
  <c r="AC124" i="1" s="1"/>
  <c r="AS124" i="1" s="1"/>
  <c r="AB125" i="1"/>
  <c r="AC125" i="1" s="1"/>
  <c r="AS125" i="1" s="1"/>
  <c r="AB126" i="1"/>
  <c r="AC126" i="1" s="1"/>
  <c r="AS126" i="1" s="1"/>
  <c r="AB127" i="1"/>
  <c r="AC127" i="1" s="1"/>
  <c r="AS127" i="1" s="1"/>
  <c r="AB128" i="1"/>
  <c r="AC128" i="1" s="1"/>
  <c r="AS128" i="1" s="1"/>
  <c r="AB129" i="1"/>
  <c r="AC129" i="1" s="1"/>
  <c r="AS129" i="1" s="1"/>
  <c r="AB130" i="1"/>
  <c r="AC130" i="1" s="1"/>
  <c r="AS130" i="1" s="1"/>
  <c r="AB131" i="1"/>
  <c r="AC131" i="1" s="1"/>
  <c r="AS131" i="1" s="1"/>
  <c r="AB132" i="1"/>
  <c r="AC132" i="1" s="1"/>
  <c r="AS132" i="1" s="1"/>
  <c r="AB133" i="1"/>
  <c r="AC133" i="1" s="1"/>
  <c r="AS133" i="1" s="1"/>
  <c r="AB134" i="1"/>
  <c r="AC134" i="1" s="1"/>
  <c r="AS134" i="1" s="1"/>
  <c r="AB135" i="1"/>
  <c r="AC135" i="1" s="1"/>
  <c r="AS135" i="1" s="1"/>
  <c r="AB136" i="1"/>
  <c r="AC136" i="1" s="1"/>
  <c r="AS136" i="1" s="1"/>
  <c r="AB137" i="1"/>
  <c r="AC137" i="1" s="1"/>
  <c r="AS137" i="1" s="1"/>
  <c r="AB138" i="1"/>
  <c r="AC138" i="1" s="1"/>
  <c r="AS138" i="1" s="1"/>
  <c r="AB139" i="1"/>
  <c r="AC139" i="1" s="1"/>
  <c r="AS139" i="1" s="1"/>
  <c r="AB140" i="1"/>
  <c r="AC140" i="1" s="1"/>
  <c r="AS140" i="1" s="1"/>
  <c r="AB141" i="1"/>
  <c r="AC141" i="1" s="1"/>
  <c r="AS141" i="1" s="1"/>
  <c r="AB142" i="1"/>
  <c r="AC142" i="1" s="1"/>
  <c r="AS142" i="1" s="1"/>
  <c r="AB143" i="1"/>
  <c r="AC143" i="1" s="1"/>
  <c r="AS143" i="1" s="1"/>
  <c r="AB144" i="1"/>
  <c r="AC144" i="1" s="1"/>
  <c r="AS144" i="1" s="1"/>
  <c r="AB145" i="1"/>
  <c r="AC145" i="1" s="1"/>
  <c r="AS145" i="1" s="1"/>
  <c r="AB146" i="1"/>
  <c r="AC146" i="1" s="1"/>
  <c r="AS146" i="1" s="1"/>
  <c r="AB147" i="1"/>
  <c r="AC147" i="1" s="1"/>
  <c r="AS147" i="1" s="1"/>
  <c r="AB148" i="1"/>
  <c r="AC148" i="1" s="1"/>
  <c r="AS148" i="1" s="1"/>
  <c r="AB149" i="1"/>
  <c r="AC149" i="1" s="1"/>
  <c r="AS149" i="1" s="1"/>
  <c r="AB150" i="1"/>
  <c r="AC150" i="1" s="1"/>
  <c r="AS150" i="1" s="1"/>
  <c r="AB151" i="1"/>
  <c r="AC151" i="1" s="1"/>
  <c r="AS151" i="1" s="1"/>
  <c r="AB152" i="1"/>
  <c r="AC152" i="1" s="1"/>
  <c r="AS152" i="1" s="1"/>
  <c r="AB153" i="1"/>
  <c r="AC153" i="1" s="1"/>
  <c r="AS153" i="1" s="1"/>
  <c r="AB154" i="1"/>
  <c r="AC154" i="1" s="1"/>
  <c r="AS154" i="1" s="1"/>
  <c r="AB156" i="1"/>
  <c r="AC156" i="1" s="1"/>
  <c r="AS156" i="1" s="1"/>
  <c r="AB157" i="1"/>
  <c r="AC157" i="1" s="1"/>
  <c r="AS157" i="1" s="1"/>
  <c r="AB158" i="1"/>
  <c r="AC158" i="1" s="1"/>
  <c r="AS158" i="1" s="1"/>
  <c r="AB159" i="1"/>
  <c r="AC159" i="1" s="1"/>
  <c r="AS159" i="1" s="1"/>
  <c r="AB160" i="1"/>
  <c r="AC160" i="1" s="1"/>
  <c r="AS160" i="1" s="1"/>
  <c r="AB161" i="1"/>
  <c r="AC161" i="1" s="1"/>
  <c r="AS161" i="1" s="1"/>
  <c r="AB162" i="1"/>
  <c r="AC162" i="1" s="1"/>
  <c r="AS162" i="1" s="1"/>
  <c r="AB163" i="1"/>
  <c r="AC163" i="1" s="1"/>
  <c r="AS163" i="1" s="1"/>
  <c r="AB164" i="1"/>
  <c r="AC164" i="1" s="1"/>
  <c r="AS164" i="1" s="1"/>
  <c r="AB165" i="1"/>
  <c r="AC165" i="1" s="1"/>
  <c r="AS165" i="1" s="1"/>
  <c r="AB166" i="1"/>
  <c r="AC166" i="1" s="1"/>
  <c r="AS166" i="1" s="1"/>
  <c r="AB167" i="1"/>
  <c r="AC167" i="1" s="1"/>
  <c r="AS167" i="1" s="1"/>
  <c r="AB168" i="1"/>
  <c r="AC168" i="1" s="1"/>
  <c r="AS168" i="1" s="1"/>
  <c r="AB169" i="1"/>
  <c r="AC169" i="1" s="1"/>
  <c r="AS169" i="1" s="1"/>
  <c r="AB170" i="1"/>
  <c r="AC170" i="1" s="1"/>
  <c r="AS170" i="1" s="1"/>
  <c r="AB171" i="1"/>
  <c r="AC171" i="1" s="1"/>
  <c r="AS171" i="1" s="1"/>
  <c r="AB173" i="1"/>
  <c r="AC173" i="1" s="1"/>
  <c r="AS173" i="1" s="1"/>
  <c r="AB174" i="1"/>
  <c r="AC174" i="1" s="1"/>
  <c r="AS174" i="1" s="1"/>
  <c r="AB175" i="1"/>
  <c r="AC175" i="1" s="1"/>
  <c r="AS175" i="1" s="1"/>
  <c r="AB176" i="1"/>
  <c r="AC176" i="1" s="1"/>
  <c r="AS176" i="1" s="1"/>
  <c r="AB177" i="1"/>
  <c r="AC177" i="1" s="1"/>
  <c r="AS177" i="1" s="1"/>
  <c r="AB178" i="1"/>
  <c r="AC178" i="1" s="1"/>
  <c r="AS178" i="1" s="1"/>
  <c r="AB179" i="1"/>
  <c r="AC179" i="1" s="1"/>
  <c r="AS179" i="1" s="1"/>
  <c r="AB180" i="1"/>
  <c r="AC180" i="1" s="1"/>
  <c r="AS180" i="1" s="1"/>
  <c r="AB181" i="1"/>
  <c r="AC181" i="1" s="1"/>
  <c r="AS181" i="1" s="1"/>
  <c r="AB182" i="1"/>
  <c r="AC182" i="1" s="1"/>
  <c r="AS182" i="1" s="1"/>
  <c r="AB183" i="1"/>
  <c r="AC183" i="1" s="1"/>
  <c r="AS183" i="1" s="1"/>
  <c r="AB184" i="1"/>
  <c r="AC184" i="1" s="1"/>
  <c r="AS184" i="1" s="1"/>
  <c r="AB185" i="1"/>
  <c r="AC185" i="1" s="1"/>
  <c r="AS185" i="1" s="1"/>
  <c r="AB186" i="1"/>
  <c r="AC186" i="1" s="1"/>
  <c r="AS186" i="1" s="1"/>
  <c r="AB187" i="1"/>
  <c r="AC187" i="1" s="1"/>
  <c r="AS187" i="1" s="1"/>
  <c r="AB188" i="1"/>
  <c r="AC188" i="1" s="1"/>
  <c r="AS188" i="1" s="1"/>
  <c r="AB189" i="1"/>
  <c r="AC189" i="1" s="1"/>
  <c r="AS189" i="1" s="1"/>
  <c r="AB190" i="1"/>
  <c r="AC190" i="1" s="1"/>
  <c r="AS190" i="1" s="1"/>
  <c r="AB191" i="1"/>
  <c r="AC191" i="1" s="1"/>
  <c r="AS191" i="1" s="1"/>
  <c r="AB192" i="1"/>
  <c r="AC192" i="1" s="1"/>
  <c r="AS192" i="1" s="1"/>
  <c r="AB193" i="1"/>
  <c r="AC193" i="1" s="1"/>
  <c r="AS193" i="1" s="1"/>
  <c r="AB194" i="1"/>
  <c r="AC194" i="1" s="1"/>
  <c r="AS194" i="1" s="1"/>
  <c r="AB195" i="1"/>
  <c r="AC195" i="1" s="1"/>
  <c r="AS195" i="1" s="1"/>
  <c r="AB196" i="1"/>
  <c r="AC196" i="1" s="1"/>
  <c r="AS196" i="1" s="1"/>
  <c r="AB197" i="1"/>
  <c r="AC197" i="1" s="1"/>
  <c r="AS197" i="1" s="1"/>
  <c r="AB198" i="1"/>
  <c r="AC198" i="1" s="1"/>
  <c r="AS198" i="1" s="1"/>
  <c r="AB199" i="1"/>
  <c r="AC199" i="1" s="1"/>
  <c r="AS199" i="1" s="1"/>
  <c r="AB200" i="1"/>
  <c r="AC200" i="1" s="1"/>
  <c r="AS200" i="1" s="1"/>
  <c r="AB201" i="1"/>
  <c r="AC201" i="1" s="1"/>
  <c r="AS201" i="1" s="1"/>
  <c r="AB202" i="1"/>
  <c r="AC202" i="1" s="1"/>
  <c r="AS202" i="1" s="1"/>
  <c r="AB203" i="1"/>
  <c r="AC203" i="1" s="1"/>
  <c r="AS203" i="1" s="1"/>
  <c r="AB204" i="1"/>
  <c r="AC204" i="1" s="1"/>
  <c r="AS204" i="1" s="1"/>
  <c r="AB205" i="1"/>
  <c r="AC205" i="1" s="1"/>
  <c r="AS205" i="1" s="1"/>
  <c r="AB206" i="1"/>
  <c r="AC206" i="1" s="1"/>
  <c r="AS206" i="1" s="1"/>
  <c r="AB207" i="1"/>
  <c r="AC207" i="1" s="1"/>
  <c r="AS207" i="1" s="1"/>
  <c r="AB208" i="1"/>
  <c r="AC208" i="1" s="1"/>
  <c r="AS208" i="1" s="1"/>
  <c r="AB209" i="1"/>
  <c r="AC209" i="1" s="1"/>
  <c r="AS209" i="1" s="1"/>
  <c r="AB210" i="1"/>
  <c r="AC210" i="1" s="1"/>
  <c r="AS210" i="1" s="1"/>
  <c r="AB211" i="1"/>
  <c r="AC211" i="1" s="1"/>
  <c r="AS211" i="1" s="1"/>
  <c r="AB212" i="1"/>
  <c r="AC212" i="1" s="1"/>
  <c r="AS212" i="1" s="1"/>
  <c r="AB213" i="1"/>
  <c r="AC213" i="1" s="1"/>
  <c r="AS213" i="1" s="1"/>
  <c r="AB214" i="1"/>
  <c r="AC214" i="1" s="1"/>
  <c r="AS214" i="1" s="1"/>
  <c r="AB215" i="1"/>
  <c r="AC215" i="1" s="1"/>
  <c r="AS215" i="1" s="1"/>
  <c r="AB216" i="1"/>
  <c r="AC216" i="1" s="1"/>
  <c r="AS216" i="1" s="1"/>
  <c r="AB217" i="1"/>
  <c r="AC217" i="1" s="1"/>
  <c r="AS217" i="1" s="1"/>
  <c r="AB218" i="1"/>
  <c r="AC218" i="1" s="1"/>
  <c r="AS218" i="1" s="1"/>
  <c r="AB219" i="1"/>
  <c r="AC219" i="1" s="1"/>
  <c r="AS219" i="1" s="1"/>
  <c r="AB220" i="1"/>
  <c r="AC220" i="1" s="1"/>
  <c r="AS220" i="1" s="1"/>
  <c r="AB221" i="1"/>
  <c r="AC221" i="1" s="1"/>
  <c r="AS221" i="1" s="1"/>
  <c r="AB222" i="1"/>
  <c r="AC222" i="1" s="1"/>
  <c r="AS222" i="1" s="1"/>
  <c r="AB223" i="1"/>
  <c r="AC223" i="1" s="1"/>
  <c r="AS223" i="1" s="1"/>
  <c r="AB224" i="1"/>
  <c r="AC224" i="1" s="1"/>
  <c r="AS224" i="1" s="1"/>
  <c r="AB225" i="1"/>
  <c r="AC225" i="1" s="1"/>
  <c r="AS225" i="1" s="1"/>
  <c r="AB226" i="1"/>
  <c r="AC226" i="1" s="1"/>
  <c r="AS226" i="1" s="1"/>
  <c r="AB227" i="1"/>
  <c r="AC227" i="1" s="1"/>
  <c r="AS227" i="1" s="1"/>
  <c r="AB228" i="1"/>
  <c r="AC228" i="1" s="1"/>
  <c r="AS228" i="1" s="1"/>
  <c r="AB229" i="1"/>
  <c r="AC229" i="1" s="1"/>
  <c r="AS229" i="1" s="1"/>
  <c r="AB230" i="1"/>
  <c r="AC230" i="1" s="1"/>
  <c r="AS230" i="1" s="1"/>
  <c r="AB231" i="1"/>
  <c r="AC231" i="1" s="1"/>
  <c r="AS231" i="1" s="1"/>
  <c r="AB232" i="1"/>
  <c r="AC232" i="1" s="1"/>
  <c r="AS232" i="1" s="1"/>
  <c r="AB233" i="1"/>
  <c r="AC233" i="1" s="1"/>
  <c r="AS233" i="1" s="1"/>
  <c r="AB234" i="1"/>
  <c r="AC234" i="1" s="1"/>
  <c r="AS234" i="1" s="1"/>
  <c r="AB235" i="1"/>
  <c r="AC235" i="1" s="1"/>
  <c r="AS235" i="1" s="1"/>
  <c r="AB236" i="1"/>
  <c r="AC236" i="1" s="1"/>
  <c r="AS236" i="1" s="1"/>
  <c r="AB237" i="1"/>
  <c r="AC237" i="1" s="1"/>
  <c r="AS237" i="1" s="1"/>
  <c r="AB238" i="1"/>
  <c r="AC238" i="1" s="1"/>
  <c r="AS238" i="1" s="1"/>
  <c r="AB239" i="1"/>
  <c r="AC239" i="1" s="1"/>
  <c r="AS239" i="1" s="1"/>
  <c r="AB240" i="1"/>
  <c r="AC240" i="1" s="1"/>
  <c r="AS240" i="1" s="1"/>
  <c r="AB241" i="1"/>
  <c r="AC241" i="1" s="1"/>
  <c r="AS241" i="1" s="1"/>
  <c r="AB242" i="1"/>
  <c r="AC242" i="1" s="1"/>
  <c r="AS242" i="1" s="1"/>
  <c r="AB243" i="1"/>
  <c r="AC243" i="1" s="1"/>
  <c r="AS243" i="1" s="1"/>
  <c r="AB244" i="1"/>
  <c r="AC244" i="1" s="1"/>
  <c r="AS244" i="1" s="1"/>
  <c r="AB245" i="1"/>
  <c r="AC245" i="1" s="1"/>
  <c r="AS245" i="1" s="1"/>
  <c r="AB246" i="1"/>
  <c r="AC246" i="1" s="1"/>
  <c r="AS246" i="1" s="1"/>
  <c r="AB247" i="1"/>
  <c r="AC247" i="1" s="1"/>
  <c r="AS247" i="1" s="1"/>
  <c r="AB248" i="1"/>
  <c r="AC248" i="1" s="1"/>
  <c r="AS248" i="1" s="1"/>
  <c r="AB249" i="1"/>
  <c r="AC249" i="1" s="1"/>
  <c r="AS249" i="1" s="1"/>
  <c r="AB250" i="1"/>
  <c r="AC250" i="1" s="1"/>
  <c r="AS250" i="1" s="1"/>
  <c r="AB251" i="1"/>
  <c r="AC251" i="1" s="1"/>
  <c r="AS251" i="1" s="1"/>
  <c r="AB252" i="1"/>
  <c r="AC252" i="1" s="1"/>
  <c r="AS252" i="1" s="1"/>
  <c r="AB253" i="1"/>
  <c r="AC253" i="1" s="1"/>
  <c r="AS253" i="1" s="1"/>
  <c r="AB254" i="1"/>
  <c r="AC254" i="1" s="1"/>
  <c r="AS254" i="1" s="1"/>
  <c r="AB255" i="1"/>
  <c r="AC255" i="1" s="1"/>
  <c r="AS255" i="1" s="1"/>
  <c r="AB256" i="1"/>
  <c r="AC256" i="1" s="1"/>
  <c r="AS256" i="1" s="1"/>
  <c r="AB257" i="1"/>
  <c r="AC257" i="1" s="1"/>
  <c r="AS257" i="1" s="1"/>
  <c r="AB258" i="1"/>
  <c r="AC258" i="1" s="1"/>
  <c r="AS258" i="1" s="1"/>
  <c r="AB259" i="1"/>
  <c r="AC259" i="1" s="1"/>
  <c r="AS259" i="1" s="1"/>
  <c r="AB260" i="1"/>
  <c r="AC260" i="1" s="1"/>
  <c r="AS260" i="1" s="1"/>
  <c r="AB261" i="1"/>
  <c r="AC261" i="1" s="1"/>
  <c r="AS261" i="1" s="1"/>
  <c r="AB262" i="1"/>
  <c r="AC262" i="1" s="1"/>
  <c r="AS262" i="1" s="1"/>
  <c r="AB263" i="1"/>
  <c r="AC263" i="1" s="1"/>
  <c r="AS263" i="1" s="1"/>
  <c r="AB264" i="1"/>
  <c r="AC264" i="1" s="1"/>
  <c r="AS264" i="1" s="1"/>
  <c r="AB265" i="1"/>
  <c r="AC265" i="1" s="1"/>
  <c r="AS265" i="1" s="1"/>
  <c r="AB266" i="1"/>
  <c r="AC266" i="1" s="1"/>
  <c r="AS266" i="1" s="1"/>
  <c r="AB267" i="1"/>
  <c r="AC267" i="1" s="1"/>
  <c r="AS267" i="1" s="1"/>
  <c r="AB268" i="1"/>
  <c r="AC268" i="1" s="1"/>
  <c r="AS268" i="1" s="1"/>
  <c r="AB269" i="1"/>
  <c r="AC269" i="1" s="1"/>
  <c r="AS269" i="1" s="1"/>
  <c r="AB270" i="1"/>
  <c r="AC270" i="1" s="1"/>
  <c r="AS270" i="1" s="1"/>
  <c r="AB271" i="1"/>
  <c r="AC271" i="1" s="1"/>
  <c r="AS271" i="1" s="1"/>
  <c r="AB272" i="1"/>
  <c r="AC272" i="1" s="1"/>
  <c r="AS272" i="1" s="1"/>
  <c r="AB273" i="1"/>
  <c r="AC273" i="1" s="1"/>
  <c r="AS273" i="1" s="1"/>
  <c r="AB274" i="1"/>
  <c r="AC274" i="1" s="1"/>
  <c r="AS274" i="1" s="1"/>
  <c r="AB275" i="1"/>
  <c r="AC275" i="1" s="1"/>
  <c r="AS275" i="1" s="1"/>
  <c r="AB276" i="1"/>
  <c r="AC276" i="1" s="1"/>
  <c r="AS276" i="1" s="1"/>
  <c r="AB277" i="1"/>
  <c r="AC277" i="1" s="1"/>
  <c r="AS277" i="1" s="1"/>
  <c r="AB278" i="1"/>
  <c r="AC278" i="1" s="1"/>
  <c r="AS278" i="1" s="1"/>
  <c r="AB279" i="1"/>
  <c r="AC279" i="1" s="1"/>
  <c r="AS279" i="1" s="1"/>
  <c r="AB280" i="1"/>
  <c r="AC280" i="1" s="1"/>
  <c r="AS280" i="1" s="1"/>
  <c r="AB281" i="1"/>
  <c r="AC281" i="1" s="1"/>
  <c r="AS281" i="1" s="1"/>
  <c r="AB283" i="1"/>
  <c r="AC283" i="1" s="1"/>
  <c r="AS283" i="1" s="1"/>
  <c r="AB284" i="1"/>
  <c r="AC284" i="1" s="1"/>
  <c r="AS284" i="1" s="1"/>
  <c r="AB285" i="1"/>
  <c r="AC285" i="1" s="1"/>
  <c r="AS285" i="1" s="1"/>
  <c r="AB286" i="1"/>
  <c r="AC286" i="1" s="1"/>
  <c r="AS286" i="1" s="1"/>
  <c r="AB287" i="1"/>
  <c r="AC287" i="1" s="1"/>
  <c r="AS287" i="1" s="1"/>
  <c r="AB288" i="1"/>
  <c r="AC288" i="1" s="1"/>
  <c r="AS288" i="1" s="1"/>
  <c r="AB289" i="1"/>
  <c r="AC289" i="1" s="1"/>
  <c r="AS289" i="1" s="1"/>
  <c r="AB290" i="1"/>
  <c r="AC290" i="1" s="1"/>
  <c r="AS290" i="1" s="1"/>
  <c r="AB291" i="1"/>
  <c r="AC291" i="1" s="1"/>
  <c r="AS291" i="1" s="1"/>
  <c r="AB292" i="1"/>
  <c r="AC292" i="1" s="1"/>
  <c r="AS292" i="1" s="1"/>
  <c r="AB293" i="1"/>
  <c r="AC293" i="1" s="1"/>
  <c r="AS293" i="1" s="1"/>
  <c r="AB294" i="1"/>
  <c r="AC294" i="1" s="1"/>
  <c r="AS294" i="1" s="1"/>
  <c r="AB295" i="1"/>
  <c r="AC295" i="1" s="1"/>
  <c r="AS295" i="1" s="1"/>
  <c r="AB296" i="1"/>
  <c r="AC296" i="1" s="1"/>
  <c r="AS296" i="1" s="1"/>
  <c r="AB297" i="1"/>
  <c r="AC297" i="1" s="1"/>
  <c r="AS297" i="1" s="1"/>
  <c r="AB298" i="1"/>
  <c r="AC298" i="1" s="1"/>
  <c r="AS298" i="1" s="1"/>
  <c r="AB299" i="1"/>
  <c r="AC299" i="1" s="1"/>
  <c r="AS299" i="1" s="1"/>
  <c r="AB300" i="1"/>
  <c r="AC300" i="1" s="1"/>
  <c r="AS300" i="1" s="1"/>
  <c r="AB301" i="1"/>
  <c r="AC301" i="1" s="1"/>
  <c r="AS301" i="1" s="1"/>
  <c r="AB302" i="1"/>
  <c r="AC302" i="1" s="1"/>
  <c r="AS302" i="1" s="1"/>
  <c r="AB303" i="1"/>
  <c r="AC303" i="1" s="1"/>
  <c r="AS303" i="1" s="1"/>
  <c r="AB304" i="1"/>
  <c r="AC304" i="1" s="1"/>
  <c r="AS304" i="1" s="1"/>
  <c r="AB305" i="1"/>
  <c r="AC305" i="1" s="1"/>
  <c r="AS305" i="1" s="1"/>
  <c r="AB306" i="1"/>
  <c r="AC306" i="1" s="1"/>
  <c r="AS306" i="1" s="1"/>
  <c r="AB307" i="1"/>
  <c r="AC307" i="1" s="1"/>
  <c r="AS307" i="1" s="1"/>
  <c r="AB308" i="1"/>
  <c r="AC308" i="1" s="1"/>
  <c r="AS308" i="1" s="1"/>
  <c r="AB309" i="1"/>
  <c r="AC309" i="1" s="1"/>
  <c r="AS309" i="1" s="1"/>
  <c r="AB310" i="1"/>
  <c r="AC310" i="1" s="1"/>
  <c r="AS310" i="1" s="1"/>
  <c r="AB311" i="1"/>
  <c r="AC311" i="1" s="1"/>
  <c r="AS311" i="1" s="1"/>
  <c r="AB312" i="1"/>
  <c r="AC312" i="1" s="1"/>
  <c r="AS312" i="1" s="1"/>
  <c r="AB313" i="1"/>
  <c r="AC313" i="1" s="1"/>
  <c r="AS313" i="1" s="1"/>
  <c r="AB314" i="1"/>
  <c r="AC314" i="1" s="1"/>
  <c r="AS314" i="1" s="1"/>
  <c r="AB315" i="1"/>
  <c r="AC315" i="1" s="1"/>
  <c r="AS315" i="1" s="1"/>
  <c r="AB316" i="1"/>
  <c r="AC316" i="1" s="1"/>
  <c r="AS316" i="1" s="1"/>
  <c r="AB317" i="1"/>
  <c r="AC317" i="1" s="1"/>
  <c r="AS317" i="1" s="1"/>
  <c r="AB318" i="1"/>
  <c r="AC318" i="1" s="1"/>
  <c r="AS318" i="1" s="1"/>
  <c r="AB319" i="1"/>
  <c r="AC319" i="1" s="1"/>
  <c r="AS319" i="1" s="1"/>
  <c r="AB320" i="1"/>
  <c r="AC320" i="1" s="1"/>
  <c r="AS320" i="1" s="1"/>
  <c r="AB321" i="1"/>
  <c r="AC321" i="1" s="1"/>
  <c r="AS321" i="1" s="1"/>
  <c r="AB322" i="1"/>
  <c r="AC322" i="1" s="1"/>
  <c r="AS322" i="1" s="1"/>
  <c r="AB323" i="1"/>
  <c r="AC323" i="1" s="1"/>
  <c r="AS323" i="1" s="1"/>
  <c r="AB324" i="1"/>
  <c r="AC324" i="1" s="1"/>
  <c r="AS324" i="1" s="1"/>
  <c r="AB325" i="1"/>
  <c r="AC325" i="1" s="1"/>
  <c r="AS325" i="1" s="1"/>
  <c r="AB326" i="1"/>
  <c r="AC326" i="1" s="1"/>
  <c r="AS326" i="1" s="1"/>
  <c r="AB327" i="1"/>
  <c r="AC327" i="1" s="1"/>
  <c r="AS327" i="1" s="1"/>
  <c r="AB328" i="1"/>
  <c r="AC328" i="1" s="1"/>
  <c r="AS328" i="1" s="1"/>
  <c r="AB329" i="1"/>
  <c r="AC329" i="1" s="1"/>
  <c r="AS329" i="1" s="1"/>
  <c r="AB330" i="1"/>
  <c r="AC330" i="1" s="1"/>
  <c r="AS330" i="1" s="1"/>
  <c r="AB331" i="1"/>
  <c r="AC331" i="1" s="1"/>
  <c r="AS331" i="1" s="1"/>
  <c r="AB332" i="1"/>
  <c r="AC332" i="1" s="1"/>
  <c r="AS332" i="1" s="1"/>
  <c r="AB333" i="1"/>
  <c r="AC333" i="1" s="1"/>
  <c r="AS333" i="1" s="1"/>
  <c r="AB334" i="1"/>
  <c r="AC334" i="1" s="1"/>
  <c r="AS334" i="1" s="1"/>
  <c r="AB335" i="1"/>
  <c r="AC335" i="1" s="1"/>
  <c r="AS335" i="1" s="1"/>
  <c r="AB336" i="1"/>
  <c r="AC336" i="1" s="1"/>
  <c r="AS336" i="1" s="1"/>
  <c r="AB337" i="1"/>
  <c r="AC337" i="1" s="1"/>
  <c r="AS337" i="1" s="1"/>
  <c r="AB338" i="1"/>
  <c r="AC338" i="1" s="1"/>
  <c r="AS338" i="1" s="1"/>
  <c r="AB339" i="1"/>
  <c r="AC339" i="1" s="1"/>
  <c r="AS339" i="1" s="1"/>
  <c r="AB340" i="1"/>
  <c r="AC340" i="1" s="1"/>
  <c r="AS340" i="1" s="1"/>
  <c r="AB341" i="1"/>
  <c r="AC341" i="1" s="1"/>
  <c r="AS341" i="1" s="1"/>
  <c r="AB342" i="1"/>
  <c r="AC342" i="1" s="1"/>
  <c r="AS342" i="1" s="1"/>
  <c r="AB343" i="1"/>
  <c r="AC343" i="1" s="1"/>
  <c r="AS343" i="1" s="1"/>
  <c r="AB344" i="1"/>
  <c r="AC344" i="1" s="1"/>
  <c r="AS344" i="1" s="1"/>
  <c r="AB345" i="1"/>
  <c r="AC345" i="1" s="1"/>
  <c r="AS345" i="1" s="1"/>
  <c r="AB346" i="1"/>
  <c r="AC346" i="1" s="1"/>
  <c r="AS346" i="1" s="1"/>
  <c r="AB347" i="1"/>
  <c r="AC347" i="1" s="1"/>
  <c r="AS347" i="1" s="1"/>
  <c r="AB348" i="1"/>
  <c r="AC348" i="1" s="1"/>
  <c r="AS348" i="1" s="1"/>
  <c r="AB349" i="1"/>
  <c r="AC349" i="1" s="1"/>
  <c r="AS349" i="1" s="1"/>
  <c r="AB350" i="1"/>
  <c r="AC350" i="1" s="1"/>
  <c r="AS350" i="1" s="1"/>
  <c r="AB351" i="1"/>
  <c r="AC351" i="1" s="1"/>
  <c r="AS351" i="1" s="1"/>
  <c r="AB352" i="1"/>
  <c r="AC352" i="1" s="1"/>
  <c r="AS352" i="1" s="1"/>
  <c r="AB353" i="1"/>
  <c r="AC353" i="1" s="1"/>
  <c r="AS353" i="1" s="1"/>
  <c r="AB354" i="1"/>
  <c r="AC354" i="1" s="1"/>
  <c r="AS354" i="1" s="1"/>
  <c r="AB355" i="1"/>
  <c r="AC355" i="1" s="1"/>
  <c r="AS355" i="1" s="1"/>
  <c r="AB356" i="1"/>
  <c r="AC356" i="1" s="1"/>
  <c r="AS356" i="1" s="1"/>
  <c r="AB357" i="1"/>
  <c r="AC357" i="1" s="1"/>
  <c r="AS357" i="1" s="1"/>
  <c r="AB358" i="1"/>
  <c r="AC358" i="1" s="1"/>
  <c r="AS358" i="1" s="1"/>
  <c r="AB359" i="1"/>
  <c r="AC359" i="1" s="1"/>
  <c r="AS359" i="1" s="1"/>
  <c r="AB360" i="1"/>
  <c r="AC360" i="1" s="1"/>
  <c r="AS360" i="1" s="1"/>
  <c r="AB361" i="1"/>
  <c r="AC361" i="1" s="1"/>
  <c r="AS361" i="1" s="1"/>
  <c r="AB362" i="1"/>
  <c r="AC362" i="1" s="1"/>
  <c r="AS362" i="1" s="1"/>
  <c r="AB363" i="1"/>
  <c r="AC363" i="1" s="1"/>
  <c r="AS363" i="1" s="1"/>
  <c r="AB364" i="1"/>
  <c r="AC364" i="1" s="1"/>
  <c r="AS364" i="1" s="1"/>
  <c r="AB365" i="1"/>
  <c r="AC365" i="1" s="1"/>
  <c r="AS365" i="1" s="1"/>
  <c r="AB366" i="1"/>
  <c r="AC366" i="1" s="1"/>
  <c r="AS366" i="1" s="1"/>
  <c r="AB367" i="1"/>
  <c r="AC367" i="1" s="1"/>
  <c r="AS367" i="1" s="1"/>
  <c r="AB368" i="1"/>
  <c r="AC368" i="1" s="1"/>
  <c r="AS368" i="1" s="1"/>
  <c r="AB369" i="1"/>
  <c r="AC369" i="1" s="1"/>
  <c r="AS369" i="1" s="1"/>
  <c r="AB370" i="1"/>
  <c r="AC370" i="1" s="1"/>
  <c r="AS370" i="1" s="1"/>
  <c r="AB371" i="1"/>
  <c r="AC371" i="1" s="1"/>
  <c r="AS371" i="1" s="1"/>
  <c r="AB372" i="1"/>
  <c r="AC372" i="1" s="1"/>
  <c r="AS372" i="1" s="1"/>
  <c r="AB373" i="1"/>
  <c r="AC373" i="1" s="1"/>
  <c r="AS373" i="1" s="1"/>
  <c r="AB374" i="1"/>
  <c r="AC374" i="1" s="1"/>
  <c r="AS374" i="1" s="1"/>
  <c r="AB375" i="1"/>
  <c r="AC375" i="1" s="1"/>
  <c r="AS375" i="1" s="1"/>
  <c r="AB376" i="1"/>
  <c r="AC376" i="1" s="1"/>
  <c r="AS376" i="1" s="1"/>
  <c r="AB377" i="1"/>
  <c r="AC377" i="1" s="1"/>
  <c r="AS377" i="1" s="1"/>
  <c r="AB378" i="1"/>
  <c r="AC378" i="1" s="1"/>
  <c r="AS378" i="1" s="1"/>
  <c r="AB379" i="1"/>
  <c r="AC379" i="1" s="1"/>
  <c r="AS379" i="1" s="1"/>
  <c r="AB380" i="1"/>
  <c r="AC380" i="1" s="1"/>
  <c r="AS380" i="1" s="1"/>
  <c r="AB381" i="1"/>
  <c r="AC381" i="1" s="1"/>
  <c r="AS381" i="1" s="1"/>
  <c r="AB382" i="1"/>
  <c r="AC382" i="1" s="1"/>
  <c r="AS382" i="1" s="1"/>
  <c r="AB383" i="1"/>
  <c r="AC383" i="1" s="1"/>
  <c r="AS383" i="1" s="1"/>
  <c r="AB384" i="1"/>
  <c r="AC384" i="1" s="1"/>
  <c r="AS384" i="1" s="1"/>
  <c r="AB385" i="1"/>
  <c r="AC385" i="1" s="1"/>
  <c r="AS385" i="1" s="1"/>
  <c r="AB386" i="1"/>
  <c r="AC386" i="1" s="1"/>
  <c r="AS386" i="1" s="1"/>
  <c r="AB387" i="1"/>
  <c r="AC387" i="1" s="1"/>
  <c r="AS387" i="1" s="1"/>
  <c r="AB388" i="1"/>
  <c r="AC388" i="1" s="1"/>
  <c r="AS388" i="1" s="1"/>
  <c r="AB389" i="1"/>
  <c r="AC389" i="1" s="1"/>
  <c r="AS389" i="1" s="1"/>
  <c r="AB390" i="1"/>
  <c r="AC390" i="1" s="1"/>
  <c r="AS390" i="1" s="1"/>
  <c r="AB391" i="1"/>
  <c r="AC391" i="1" s="1"/>
  <c r="AS391" i="1" s="1"/>
  <c r="AB392" i="1"/>
  <c r="AC392" i="1" s="1"/>
  <c r="AS392" i="1" s="1"/>
  <c r="AB393" i="1"/>
  <c r="AC393" i="1" s="1"/>
  <c r="AS393" i="1" s="1"/>
  <c r="AB394" i="1"/>
  <c r="AC394" i="1" s="1"/>
  <c r="AS394" i="1" s="1"/>
  <c r="AB395" i="1"/>
  <c r="AC395" i="1" s="1"/>
  <c r="AS395" i="1" s="1"/>
  <c r="AB396" i="1"/>
  <c r="AC396" i="1" s="1"/>
  <c r="AS396" i="1" s="1"/>
  <c r="AB397" i="1"/>
  <c r="AC397" i="1" s="1"/>
  <c r="AS397" i="1" s="1"/>
  <c r="AB398" i="1"/>
  <c r="AC398" i="1" s="1"/>
  <c r="AS398" i="1" s="1"/>
  <c r="AB399" i="1"/>
  <c r="AC399" i="1" s="1"/>
  <c r="AS399" i="1" s="1"/>
  <c r="AB400" i="1"/>
  <c r="AC400" i="1" s="1"/>
  <c r="AS400" i="1" s="1"/>
  <c r="AB401" i="1"/>
  <c r="AC401" i="1" s="1"/>
  <c r="AS401" i="1" s="1"/>
  <c r="AB402" i="1"/>
  <c r="AC402" i="1" s="1"/>
  <c r="AS402" i="1" s="1"/>
  <c r="AB403" i="1"/>
  <c r="AC403" i="1" s="1"/>
  <c r="AS403" i="1" s="1"/>
  <c r="AB404" i="1"/>
  <c r="AC404" i="1" s="1"/>
  <c r="AS404" i="1" s="1"/>
  <c r="AB405" i="1"/>
  <c r="AC405" i="1" s="1"/>
  <c r="AS405" i="1" s="1"/>
  <c r="AB406" i="1"/>
  <c r="AC406" i="1" s="1"/>
  <c r="AS406" i="1" s="1"/>
  <c r="AB407" i="1"/>
  <c r="AC407" i="1" s="1"/>
  <c r="AS407" i="1" s="1"/>
  <c r="AB408" i="1"/>
  <c r="AC408" i="1" s="1"/>
  <c r="AS408" i="1" s="1"/>
  <c r="AB409" i="1"/>
  <c r="AC409" i="1" s="1"/>
  <c r="AS409" i="1" s="1"/>
  <c r="AB410" i="1"/>
  <c r="AC410" i="1" s="1"/>
  <c r="AS410" i="1" s="1"/>
  <c r="AB411" i="1"/>
  <c r="AC411" i="1" s="1"/>
  <c r="AS411" i="1" s="1"/>
  <c r="AB412" i="1"/>
  <c r="AC412" i="1" s="1"/>
  <c r="AS412" i="1" s="1"/>
  <c r="AB413" i="1"/>
  <c r="AC413" i="1" s="1"/>
  <c r="AS413" i="1" s="1"/>
  <c r="AB414" i="1"/>
  <c r="AC414" i="1" s="1"/>
  <c r="AS414" i="1" s="1"/>
  <c r="AB415" i="1"/>
  <c r="AC415" i="1" s="1"/>
  <c r="AS415" i="1" s="1"/>
  <c r="AB416" i="1"/>
  <c r="AC416" i="1" s="1"/>
  <c r="AS416" i="1" s="1"/>
  <c r="AB417" i="1"/>
  <c r="AC417" i="1" s="1"/>
  <c r="AS417" i="1" s="1"/>
  <c r="AB418" i="1"/>
  <c r="AC418" i="1" s="1"/>
  <c r="AS418" i="1" s="1"/>
  <c r="AB419" i="1"/>
  <c r="AC419" i="1" s="1"/>
  <c r="AS419" i="1" s="1"/>
  <c r="AB420" i="1"/>
  <c r="AC420" i="1" s="1"/>
  <c r="AS420" i="1" s="1"/>
  <c r="AB421" i="1"/>
  <c r="AC421" i="1" s="1"/>
  <c r="AS421" i="1" s="1"/>
  <c r="AB422" i="1"/>
  <c r="AC422" i="1" s="1"/>
  <c r="AS422" i="1" s="1"/>
  <c r="AB423" i="1"/>
  <c r="AC423" i="1" s="1"/>
  <c r="AS423" i="1" s="1"/>
  <c r="AB424" i="1"/>
  <c r="AC424" i="1" s="1"/>
  <c r="AS424" i="1" s="1"/>
  <c r="AB425" i="1"/>
  <c r="AC425" i="1" s="1"/>
  <c r="AS425" i="1" s="1"/>
  <c r="AB426" i="1"/>
  <c r="AC426" i="1" s="1"/>
  <c r="AS426" i="1" s="1"/>
  <c r="AB427" i="1"/>
  <c r="AC427" i="1" s="1"/>
  <c r="AS427" i="1" s="1"/>
  <c r="AB428" i="1"/>
  <c r="AC428" i="1" s="1"/>
  <c r="AS428" i="1" s="1"/>
  <c r="AB429" i="1"/>
  <c r="AC429" i="1" s="1"/>
  <c r="AS429" i="1" s="1"/>
  <c r="AB430" i="1"/>
  <c r="AC430" i="1" s="1"/>
  <c r="AS430" i="1" s="1"/>
  <c r="AB431" i="1"/>
  <c r="AC431" i="1" s="1"/>
  <c r="AS431" i="1" s="1"/>
  <c r="AB432" i="1"/>
  <c r="AC432" i="1" s="1"/>
  <c r="AS432" i="1" s="1"/>
  <c r="AB433" i="1"/>
  <c r="AC433" i="1" s="1"/>
  <c r="AS433" i="1" s="1"/>
  <c r="AB434" i="1"/>
  <c r="AC434" i="1" s="1"/>
  <c r="AS434" i="1" s="1"/>
  <c r="AB435" i="1"/>
  <c r="AC435" i="1" s="1"/>
  <c r="AS435" i="1" s="1"/>
  <c r="AB436" i="1"/>
  <c r="AC436" i="1" s="1"/>
  <c r="AS436" i="1" s="1"/>
  <c r="AB437" i="1"/>
  <c r="AC437" i="1" s="1"/>
  <c r="AS437" i="1" s="1"/>
  <c r="AB438" i="1"/>
  <c r="AC438" i="1" s="1"/>
  <c r="AS438" i="1" s="1"/>
  <c r="AB439" i="1"/>
  <c r="AC439" i="1" s="1"/>
  <c r="AS439" i="1" s="1"/>
  <c r="AB440" i="1"/>
  <c r="AC440" i="1" s="1"/>
  <c r="AS440" i="1" s="1"/>
  <c r="AB441" i="1"/>
  <c r="AC441" i="1" s="1"/>
  <c r="AS441" i="1" s="1"/>
  <c r="AB442" i="1"/>
  <c r="AC442" i="1" s="1"/>
  <c r="AS442" i="1" s="1"/>
  <c r="AB443" i="1"/>
  <c r="AC443" i="1" s="1"/>
  <c r="AS443" i="1" s="1"/>
  <c r="AB444" i="1"/>
  <c r="AC444" i="1" s="1"/>
  <c r="AS444" i="1" s="1"/>
  <c r="AB445" i="1"/>
  <c r="AC445" i="1" s="1"/>
  <c r="AS445" i="1" s="1"/>
  <c r="AB446" i="1"/>
  <c r="AC446" i="1" s="1"/>
  <c r="AS446" i="1" s="1"/>
  <c r="AB447" i="1"/>
  <c r="AC447" i="1" s="1"/>
  <c r="AS447" i="1" s="1"/>
  <c r="AB448" i="1"/>
  <c r="AC448" i="1" s="1"/>
  <c r="AS448" i="1" s="1"/>
  <c r="AB449" i="1"/>
  <c r="AC449" i="1" s="1"/>
  <c r="AS449" i="1" s="1"/>
  <c r="AB450" i="1"/>
  <c r="AC450" i="1" s="1"/>
  <c r="AS450" i="1" s="1"/>
  <c r="AB451" i="1"/>
  <c r="AC451" i="1" s="1"/>
  <c r="AS451" i="1" s="1"/>
  <c r="AB452" i="1"/>
  <c r="AC452" i="1" s="1"/>
  <c r="AS452" i="1" s="1"/>
  <c r="AB453" i="1"/>
  <c r="AC453" i="1" s="1"/>
  <c r="AS453" i="1" s="1"/>
  <c r="AB454" i="1"/>
  <c r="AC454" i="1" s="1"/>
  <c r="AS454" i="1" s="1"/>
  <c r="AB455" i="1"/>
  <c r="AC455" i="1" s="1"/>
  <c r="AS455" i="1" s="1"/>
  <c r="AB456" i="1"/>
  <c r="AC456" i="1" s="1"/>
  <c r="AS456" i="1" s="1"/>
  <c r="AB457" i="1"/>
  <c r="AC457" i="1" s="1"/>
  <c r="AS457" i="1" s="1"/>
  <c r="AB458" i="1"/>
  <c r="AC458" i="1" s="1"/>
  <c r="AS458" i="1" s="1"/>
  <c r="AB459" i="1"/>
  <c r="AC459" i="1" s="1"/>
  <c r="AS459" i="1" s="1"/>
  <c r="AB460" i="1"/>
  <c r="AC460" i="1" s="1"/>
  <c r="AS460" i="1" s="1"/>
  <c r="AB461" i="1"/>
  <c r="AC461" i="1" s="1"/>
  <c r="AS461" i="1" s="1"/>
  <c r="AB462" i="1"/>
  <c r="AC462" i="1" s="1"/>
  <c r="AS462" i="1" s="1"/>
  <c r="AB463" i="1"/>
  <c r="AC463" i="1" s="1"/>
  <c r="AS463" i="1" s="1"/>
  <c r="AB464" i="1"/>
  <c r="AC464" i="1" s="1"/>
  <c r="AS464" i="1" s="1"/>
  <c r="AB465" i="1"/>
  <c r="AC465" i="1" s="1"/>
  <c r="AS465" i="1" s="1"/>
  <c r="AB466" i="1"/>
  <c r="AC466" i="1" s="1"/>
  <c r="AS466" i="1" s="1"/>
  <c r="AB467" i="1"/>
  <c r="AC467" i="1" s="1"/>
  <c r="AS467" i="1" s="1"/>
  <c r="AB469" i="1"/>
  <c r="AC469" i="1" s="1"/>
  <c r="AS469" i="1" s="1"/>
  <c r="AB470" i="1"/>
  <c r="AC470" i="1" s="1"/>
  <c r="AS470" i="1" s="1"/>
  <c r="AB471" i="1"/>
  <c r="AC471" i="1" s="1"/>
  <c r="AS471" i="1" s="1"/>
  <c r="AB472" i="1"/>
  <c r="AC472" i="1" s="1"/>
  <c r="AS472" i="1" s="1"/>
  <c r="AB473" i="1"/>
  <c r="AC473" i="1" s="1"/>
  <c r="AS473" i="1" s="1"/>
  <c r="AB474" i="1"/>
  <c r="AC474" i="1" s="1"/>
  <c r="AS474" i="1" s="1"/>
  <c r="AB475" i="1"/>
  <c r="AC475" i="1" s="1"/>
  <c r="AS475" i="1" s="1"/>
  <c r="AB476" i="1"/>
  <c r="AC476" i="1" s="1"/>
  <c r="AS476" i="1" s="1"/>
  <c r="AB477" i="1"/>
  <c r="AC477" i="1" s="1"/>
  <c r="AS477" i="1" s="1"/>
  <c r="AB478" i="1"/>
  <c r="AC478" i="1" s="1"/>
  <c r="AS478" i="1" s="1"/>
  <c r="AB479" i="1"/>
  <c r="AC479" i="1" s="1"/>
  <c r="AS479" i="1" s="1"/>
  <c r="AB480" i="1"/>
  <c r="AC480" i="1" s="1"/>
  <c r="AS480" i="1" s="1"/>
  <c r="AB481" i="1"/>
  <c r="AC481" i="1" s="1"/>
  <c r="AS481" i="1" s="1"/>
  <c r="AB482" i="1"/>
  <c r="AC482" i="1" s="1"/>
  <c r="AS482" i="1" s="1"/>
  <c r="AB483" i="1"/>
  <c r="AC483" i="1" s="1"/>
  <c r="AS483" i="1" s="1"/>
  <c r="AB484" i="1"/>
  <c r="AC484" i="1" s="1"/>
  <c r="AS484" i="1" s="1"/>
  <c r="AB485" i="1"/>
  <c r="AC485" i="1" s="1"/>
  <c r="AS485" i="1" s="1"/>
  <c r="AB486" i="1"/>
  <c r="AC486" i="1" s="1"/>
  <c r="AS486" i="1" s="1"/>
  <c r="AB487" i="1"/>
  <c r="AC487" i="1" s="1"/>
  <c r="AS487" i="1" s="1"/>
  <c r="AB488" i="1"/>
  <c r="AC488" i="1" s="1"/>
  <c r="AS488" i="1" s="1"/>
  <c r="AB489" i="1"/>
  <c r="AC489" i="1" s="1"/>
  <c r="AS489" i="1" s="1"/>
  <c r="AB490" i="1"/>
  <c r="AC490" i="1" s="1"/>
  <c r="AS490" i="1" s="1"/>
  <c r="AB491" i="1"/>
  <c r="AC491" i="1" s="1"/>
  <c r="AS491" i="1" s="1"/>
  <c r="AB492" i="1"/>
  <c r="AC492" i="1" s="1"/>
  <c r="AS492" i="1" s="1"/>
  <c r="AB493" i="1"/>
  <c r="AC493" i="1" s="1"/>
  <c r="AS493" i="1" s="1"/>
  <c r="AB494" i="1"/>
  <c r="AC494" i="1" s="1"/>
  <c r="AS494" i="1" s="1"/>
  <c r="AB495" i="1"/>
  <c r="AC495" i="1" s="1"/>
  <c r="AS495" i="1" s="1"/>
  <c r="AB496" i="1"/>
  <c r="AC496" i="1" s="1"/>
  <c r="AS496" i="1" s="1"/>
  <c r="AB497" i="1"/>
  <c r="AC497" i="1" s="1"/>
  <c r="AS497" i="1" s="1"/>
  <c r="AB498" i="1"/>
  <c r="AC498" i="1" s="1"/>
  <c r="AS498" i="1" s="1"/>
  <c r="AB499" i="1"/>
  <c r="AC499" i="1" s="1"/>
  <c r="AS499" i="1" s="1"/>
  <c r="AB500" i="1"/>
  <c r="AC500" i="1" s="1"/>
  <c r="AS500" i="1" s="1"/>
  <c r="AB501" i="1"/>
  <c r="AC501" i="1" s="1"/>
  <c r="AS501" i="1" s="1"/>
  <c r="AB502" i="1"/>
  <c r="AC502" i="1" s="1"/>
  <c r="AS502" i="1" s="1"/>
  <c r="AB503" i="1"/>
  <c r="AC503" i="1" s="1"/>
  <c r="AS503" i="1" s="1"/>
  <c r="AB504" i="1"/>
  <c r="AC504" i="1" s="1"/>
  <c r="AS504" i="1" s="1"/>
  <c r="AB505" i="1"/>
  <c r="AC505" i="1" s="1"/>
  <c r="AS505" i="1" s="1"/>
  <c r="AB506" i="1"/>
  <c r="AC506" i="1" s="1"/>
  <c r="AS506" i="1" s="1"/>
  <c r="AB507" i="1"/>
  <c r="AC507" i="1" s="1"/>
  <c r="AS507" i="1" s="1"/>
  <c r="AB508" i="1"/>
  <c r="AC508" i="1" s="1"/>
  <c r="AS508" i="1" s="1"/>
  <c r="AB509" i="1"/>
  <c r="AC509" i="1" s="1"/>
  <c r="AS509" i="1" s="1"/>
  <c r="AB510" i="1"/>
  <c r="AC510" i="1" s="1"/>
  <c r="AS510" i="1" s="1"/>
  <c r="AB511" i="1"/>
  <c r="AC511" i="1" s="1"/>
  <c r="AS511" i="1" s="1"/>
  <c r="AB512" i="1"/>
  <c r="AC512" i="1" s="1"/>
  <c r="AS512" i="1" s="1"/>
  <c r="AB513" i="1"/>
  <c r="AC513" i="1" s="1"/>
  <c r="AS513" i="1" s="1"/>
  <c r="AB514" i="1"/>
  <c r="AC514" i="1" s="1"/>
  <c r="AS514" i="1" s="1"/>
  <c r="AB515" i="1"/>
  <c r="AC515" i="1" s="1"/>
  <c r="AS515" i="1" s="1"/>
  <c r="AB516" i="1"/>
  <c r="AC516" i="1" s="1"/>
  <c r="AS516" i="1" s="1"/>
  <c r="AB517" i="1"/>
  <c r="AC517" i="1" s="1"/>
  <c r="AS517" i="1" s="1"/>
  <c r="AB518" i="1"/>
  <c r="AC518" i="1" s="1"/>
  <c r="AS518" i="1" s="1"/>
  <c r="AB519" i="1"/>
  <c r="AC519" i="1" s="1"/>
  <c r="AS519" i="1" s="1"/>
  <c r="AB520" i="1"/>
  <c r="AC520" i="1" s="1"/>
  <c r="AS520" i="1" s="1"/>
  <c r="AB521" i="1"/>
  <c r="AC521" i="1" s="1"/>
  <c r="AS521" i="1" s="1"/>
  <c r="AB522" i="1"/>
  <c r="AC522" i="1" s="1"/>
  <c r="AS522" i="1" s="1"/>
  <c r="AB523" i="1"/>
  <c r="AC523" i="1" s="1"/>
  <c r="AS523" i="1" s="1"/>
  <c r="AB524" i="1"/>
  <c r="AC524" i="1" s="1"/>
  <c r="AS524" i="1" s="1"/>
  <c r="AB525" i="1"/>
  <c r="AC525" i="1" s="1"/>
  <c r="AS525" i="1" s="1"/>
  <c r="AB526" i="1"/>
  <c r="AC526" i="1" s="1"/>
  <c r="AS526" i="1" s="1"/>
  <c r="AB527" i="1"/>
  <c r="AC527" i="1" s="1"/>
  <c r="AS527" i="1" s="1"/>
  <c r="AB528" i="1"/>
  <c r="AC528" i="1" s="1"/>
  <c r="AS528" i="1" s="1"/>
  <c r="AB529" i="1"/>
  <c r="AC529" i="1" s="1"/>
  <c r="AS529" i="1" s="1"/>
  <c r="AB532" i="1"/>
  <c r="AC532" i="1" s="1"/>
  <c r="AS532" i="1" s="1"/>
  <c r="AB533" i="1"/>
  <c r="AC533" i="1" s="1"/>
  <c r="AS533" i="1" s="1"/>
  <c r="AB534" i="1"/>
  <c r="AC534" i="1" s="1"/>
  <c r="AS534" i="1" s="1"/>
  <c r="AB535" i="1"/>
  <c r="AC535" i="1" s="1"/>
  <c r="AS535" i="1" s="1"/>
  <c r="AB536" i="1"/>
  <c r="AC536" i="1" s="1"/>
  <c r="AS536" i="1" s="1"/>
  <c r="AB537" i="1"/>
  <c r="AC537" i="1" s="1"/>
  <c r="AS537" i="1" s="1"/>
  <c r="AB538" i="1"/>
  <c r="AC538" i="1" s="1"/>
  <c r="AS538" i="1" s="1"/>
  <c r="AB539" i="1"/>
  <c r="AC539" i="1" s="1"/>
  <c r="AS539" i="1" s="1"/>
  <c r="AB540" i="1"/>
  <c r="AC540" i="1" s="1"/>
  <c r="AS540" i="1" s="1"/>
  <c r="AB541" i="1"/>
  <c r="AC541" i="1" s="1"/>
  <c r="AS541" i="1" s="1"/>
  <c r="AB542" i="1"/>
  <c r="AC542" i="1" s="1"/>
  <c r="AS542" i="1" s="1"/>
  <c r="AB543" i="1"/>
  <c r="AC543" i="1" s="1"/>
  <c r="AS543" i="1" s="1"/>
  <c r="AB544" i="1"/>
  <c r="AC544" i="1" s="1"/>
  <c r="AS544" i="1" s="1"/>
  <c r="AB545" i="1"/>
  <c r="AC545" i="1" s="1"/>
  <c r="AS545" i="1" s="1"/>
  <c r="AB546" i="1"/>
  <c r="AC546" i="1" s="1"/>
  <c r="AS546" i="1" s="1"/>
  <c r="AB547" i="1"/>
  <c r="AC547" i="1" s="1"/>
  <c r="AS547" i="1" s="1"/>
  <c r="AB548" i="1"/>
  <c r="AC548" i="1" s="1"/>
  <c r="AS548" i="1" s="1"/>
  <c r="AB549" i="1"/>
  <c r="AC549" i="1" s="1"/>
  <c r="AS549" i="1" s="1"/>
  <c r="AB550" i="1"/>
  <c r="AC550" i="1" s="1"/>
  <c r="AS550" i="1" s="1"/>
  <c r="AB552" i="1"/>
  <c r="AC552" i="1" s="1"/>
  <c r="AS552" i="1" s="1"/>
  <c r="AB553" i="1"/>
  <c r="AC553" i="1" s="1"/>
  <c r="AS553" i="1" s="1"/>
  <c r="AB554" i="1"/>
  <c r="AC554" i="1" s="1"/>
  <c r="AS554" i="1" s="1"/>
  <c r="AB555" i="1"/>
  <c r="AC555" i="1" s="1"/>
  <c r="AS555" i="1" s="1"/>
  <c r="AB556" i="1"/>
  <c r="AC556" i="1" s="1"/>
  <c r="AS556" i="1" s="1"/>
  <c r="AB557" i="1"/>
  <c r="AC557" i="1" s="1"/>
  <c r="AS557" i="1" s="1"/>
  <c r="AB558" i="1"/>
  <c r="AC558" i="1" s="1"/>
  <c r="AS558" i="1" s="1"/>
  <c r="AB559" i="1"/>
  <c r="AC559" i="1" s="1"/>
  <c r="AS559" i="1" s="1"/>
  <c r="AB560" i="1"/>
  <c r="AC560" i="1" s="1"/>
  <c r="AS560" i="1" s="1"/>
  <c r="AB561" i="1"/>
  <c r="AC561" i="1" s="1"/>
  <c r="AS561" i="1" s="1"/>
  <c r="AB562" i="1"/>
  <c r="AC562" i="1" s="1"/>
  <c r="AS562" i="1" s="1"/>
  <c r="AB563" i="1"/>
  <c r="AC563" i="1" s="1"/>
  <c r="AS563" i="1" s="1"/>
  <c r="AB564" i="1"/>
  <c r="AC564" i="1" s="1"/>
  <c r="AS564" i="1" s="1"/>
  <c r="AB565" i="1"/>
  <c r="AC565" i="1" s="1"/>
  <c r="AS565" i="1" s="1"/>
  <c r="AB566" i="1"/>
  <c r="AC566" i="1" s="1"/>
  <c r="AS566" i="1" s="1"/>
  <c r="AB567" i="1"/>
  <c r="AC567" i="1" s="1"/>
  <c r="AS567" i="1" s="1"/>
  <c r="AB568" i="1"/>
  <c r="AC568" i="1" s="1"/>
  <c r="AS568" i="1" s="1"/>
  <c r="AB569" i="1"/>
  <c r="AC569" i="1" s="1"/>
  <c r="AS569" i="1" s="1"/>
  <c r="AB570" i="1"/>
  <c r="AC570" i="1" s="1"/>
  <c r="AS570" i="1" s="1"/>
  <c r="AB571" i="1"/>
  <c r="AC571" i="1" s="1"/>
  <c r="AS571" i="1" s="1"/>
  <c r="AB572" i="1"/>
  <c r="AC572" i="1" s="1"/>
  <c r="AS572" i="1" s="1"/>
  <c r="AB573" i="1"/>
  <c r="AC573" i="1" s="1"/>
  <c r="AS573" i="1" s="1"/>
  <c r="AB574" i="1"/>
  <c r="AC574" i="1" s="1"/>
  <c r="AS574" i="1" s="1"/>
  <c r="AB575" i="1"/>
  <c r="AC575" i="1" s="1"/>
  <c r="AS575" i="1" s="1"/>
  <c r="AB576" i="1"/>
  <c r="AC576" i="1" s="1"/>
  <c r="AS576" i="1" s="1"/>
  <c r="AB577" i="1"/>
  <c r="AC577" i="1" s="1"/>
  <c r="AS577" i="1" s="1"/>
  <c r="AB578" i="1"/>
  <c r="AC578" i="1" s="1"/>
  <c r="AS578" i="1" s="1"/>
  <c r="AB579" i="1"/>
  <c r="AC579" i="1" s="1"/>
  <c r="AS579" i="1" s="1"/>
  <c r="AB580" i="1"/>
  <c r="AC580" i="1" s="1"/>
  <c r="AS580" i="1" s="1"/>
  <c r="AB581" i="1"/>
  <c r="AC581" i="1" s="1"/>
  <c r="AS581" i="1" s="1"/>
  <c r="AB582" i="1"/>
  <c r="AC582" i="1" s="1"/>
  <c r="AS582" i="1" s="1"/>
  <c r="AB583" i="1"/>
  <c r="AC583" i="1" s="1"/>
  <c r="AS583" i="1" s="1"/>
  <c r="AB584" i="1"/>
  <c r="AC584" i="1" s="1"/>
  <c r="AS584" i="1" s="1"/>
  <c r="AB585" i="1"/>
  <c r="AC585" i="1" s="1"/>
  <c r="AS585" i="1" s="1"/>
  <c r="AB586" i="1"/>
  <c r="AC586" i="1" s="1"/>
  <c r="AS586" i="1" s="1"/>
  <c r="AB587" i="1"/>
  <c r="AC587" i="1" s="1"/>
  <c r="AS587" i="1" s="1"/>
  <c r="AB588" i="1"/>
  <c r="AC588" i="1" s="1"/>
  <c r="AS588" i="1" s="1"/>
  <c r="AB589" i="1"/>
  <c r="AC589" i="1" s="1"/>
  <c r="AS589" i="1" s="1"/>
  <c r="AB590" i="1"/>
  <c r="AC590" i="1" s="1"/>
  <c r="AS590" i="1" s="1"/>
  <c r="AB591" i="1"/>
  <c r="AC591" i="1" s="1"/>
  <c r="AS591" i="1" s="1"/>
  <c r="AB592" i="1"/>
  <c r="AC592" i="1" s="1"/>
  <c r="AS592" i="1" s="1"/>
  <c r="AB593" i="1"/>
  <c r="AC593" i="1" s="1"/>
  <c r="AS593" i="1" s="1"/>
  <c r="AB594" i="1"/>
  <c r="AC594" i="1" s="1"/>
  <c r="AS594" i="1" s="1"/>
  <c r="AB595" i="1"/>
  <c r="AC595" i="1" s="1"/>
  <c r="AS595" i="1" s="1"/>
  <c r="AB596" i="1"/>
  <c r="AC596" i="1" s="1"/>
  <c r="AS596" i="1" s="1"/>
  <c r="AB597" i="1"/>
  <c r="AC597" i="1" s="1"/>
  <c r="AS597" i="1" s="1"/>
  <c r="AB598" i="1"/>
  <c r="AC598" i="1" s="1"/>
  <c r="AS598" i="1" s="1"/>
  <c r="AB599" i="1"/>
  <c r="AC599" i="1" s="1"/>
  <c r="AS599" i="1" s="1"/>
  <c r="AB600" i="1"/>
  <c r="AC600" i="1" s="1"/>
  <c r="AS600" i="1" s="1"/>
  <c r="AB601" i="1"/>
  <c r="AC601" i="1" s="1"/>
  <c r="AS601" i="1" s="1"/>
  <c r="AB602" i="1"/>
  <c r="AC602" i="1" s="1"/>
  <c r="AS602" i="1" s="1"/>
  <c r="AB603" i="1"/>
  <c r="AC603" i="1" s="1"/>
  <c r="AS603" i="1" s="1"/>
  <c r="AB604" i="1"/>
  <c r="AC604" i="1" s="1"/>
  <c r="AS604" i="1" s="1"/>
  <c r="AB605" i="1"/>
  <c r="AC605" i="1" s="1"/>
  <c r="AS605" i="1" s="1"/>
  <c r="AB606" i="1"/>
  <c r="AC606" i="1" s="1"/>
  <c r="AS606" i="1" s="1"/>
  <c r="AB607" i="1"/>
  <c r="AC607" i="1" s="1"/>
  <c r="AS607" i="1" s="1"/>
  <c r="AB608" i="1"/>
  <c r="AC608" i="1" s="1"/>
  <c r="AS608" i="1" s="1"/>
  <c r="AB609" i="1"/>
  <c r="AC609" i="1" s="1"/>
  <c r="AS609" i="1" s="1"/>
  <c r="AB610" i="1"/>
  <c r="AC610" i="1" s="1"/>
  <c r="AS610" i="1" s="1"/>
  <c r="AB611" i="1"/>
  <c r="AC611" i="1" s="1"/>
  <c r="AS611" i="1" s="1"/>
  <c r="AB612" i="1"/>
  <c r="AC612" i="1" s="1"/>
  <c r="AS612" i="1" s="1"/>
  <c r="AB613" i="1"/>
  <c r="AC613" i="1" s="1"/>
  <c r="AS613" i="1" s="1"/>
  <c r="AB614" i="1"/>
  <c r="AC614" i="1" s="1"/>
  <c r="AS614" i="1" s="1"/>
  <c r="AB615" i="1"/>
  <c r="AC615" i="1" s="1"/>
  <c r="AS615" i="1" s="1"/>
  <c r="AB616" i="1"/>
  <c r="AC616" i="1" s="1"/>
  <c r="AS616" i="1" s="1"/>
  <c r="AB617" i="1"/>
  <c r="AC617" i="1" s="1"/>
  <c r="AS617" i="1" s="1"/>
  <c r="AB618" i="1"/>
  <c r="AC618" i="1" s="1"/>
  <c r="AS618" i="1" s="1"/>
  <c r="AB619" i="1"/>
  <c r="AC619" i="1" s="1"/>
  <c r="AS619" i="1" s="1"/>
  <c r="AB620" i="1"/>
  <c r="AC620" i="1" s="1"/>
  <c r="AS620" i="1" s="1"/>
  <c r="AB621" i="1"/>
  <c r="AC621" i="1" s="1"/>
  <c r="AS621" i="1" s="1"/>
  <c r="AB622" i="1"/>
  <c r="AC622" i="1" s="1"/>
  <c r="AS622" i="1" s="1"/>
  <c r="AB623" i="1"/>
  <c r="AC623" i="1" s="1"/>
  <c r="AS623" i="1" s="1"/>
  <c r="AB624" i="1"/>
  <c r="AC624" i="1" s="1"/>
  <c r="AS624" i="1" s="1"/>
  <c r="AB625" i="1"/>
  <c r="AC625" i="1" s="1"/>
  <c r="AS625" i="1" s="1"/>
  <c r="AB626" i="1"/>
  <c r="AC626" i="1" s="1"/>
  <c r="AS626" i="1" s="1"/>
  <c r="AB627" i="1"/>
  <c r="AC627" i="1" s="1"/>
  <c r="AS627" i="1" s="1"/>
  <c r="AB628" i="1"/>
  <c r="AC628" i="1" s="1"/>
  <c r="AS628" i="1" s="1"/>
  <c r="AB629" i="1"/>
  <c r="AC629" i="1" s="1"/>
  <c r="AS629" i="1" s="1"/>
  <c r="AB630" i="1"/>
  <c r="AC630" i="1" s="1"/>
  <c r="AS630" i="1" s="1"/>
  <c r="AB631" i="1"/>
  <c r="AC631" i="1" s="1"/>
  <c r="AS631" i="1" s="1"/>
  <c r="AB632" i="1"/>
  <c r="AC632" i="1" s="1"/>
  <c r="AS632" i="1" s="1"/>
  <c r="AB633" i="1"/>
  <c r="AC633" i="1" s="1"/>
  <c r="AS633" i="1" s="1"/>
  <c r="AB634" i="1"/>
  <c r="AC634" i="1" s="1"/>
  <c r="AS634" i="1" s="1"/>
  <c r="AB635" i="1"/>
  <c r="AC635" i="1" s="1"/>
  <c r="AS635" i="1" s="1"/>
  <c r="AB636" i="1"/>
  <c r="AC636" i="1" s="1"/>
  <c r="AS636" i="1" s="1"/>
  <c r="AB637" i="1"/>
  <c r="AC637" i="1" s="1"/>
  <c r="AS637" i="1" s="1"/>
  <c r="AB638" i="1"/>
  <c r="AC638" i="1" s="1"/>
  <c r="AS638" i="1" s="1"/>
  <c r="AB639" i="1"/>
  <c r="AC639" i="1" s="1"/>
  <c r="AS639" i="1" s="1"/>
  <c r="AB640" i="1"/>
  <c r="AC640" i="1" s="1"/>
  <c r="AS640" i="1" s="1"/>
  <c r="AB641" i="1"/>
  <c r="AC641" i="1" s="1"/>
  <c r="AS641" i="1" s="1"/>
  <c r="AB642" i="1"/>
  <c r="AC642" i="1" s="1"/>
  <c r="AS642" i="1" s="1"/>
  <c r="AB643" i="1"/>
  <c r="AC643" i="1" s="1"/>
  <c r="AS643" i="1" s="1"/>
  <c r="AB644" i="1"/>
  <c r="AC644" i="1" s="1"/>
  <c r="AS644" i="1" s="1"/>
  <c r="AB645" i="1"/>
  <c r="AC645" i="1" s="1"/>
  <c r="AS645" i="1" s="1"/>
  <c r="AB646" i="1"/>
  <c r="AC646" i="1" s="1"/>
  <c r="AS646" i="1" s="1"/>
  <c r="AB647" i="1"/>
  <c r="AC647" i="1" s="1"/>
  <c r="AS647" i="1" s="1"/>
  <c r="AB648" i="1"/>
  <c r="AC648" i="1" s="1"/>
  <c r="AS648" i="1" s="1"/>
  <c r="AB649" i="1"/>
  <c r="AC649" i="1" s="1"/>
  <c r="AS649" i="1" s="1"/>
  <c r="AB650" i="1"/>
  <c r="AC650" i="1" s="1"/>
  <c r="AS650" i="1" s="1"/>
  <c r="AB651" i="1"/>
  <c r="AC651" i="1" s="1"/>
  <c r="AS651" i="1" s="1"/>
  <c r="AB652" i="1"/>
  <c r="AC652" i="1" s="1"/>
  <c r="AS652" i="1" s="1"/>
  <c r="AB653" i="1"/>
  <c r="AC653" i="1" s="1"/>
  <c r="AS653" i="1" s="1"/>
  <c r="AB654" i="1"/>
  <c r="AC654" i="1" s="1"/>
  <c r="AS654" i="1" s="1"/>
  <c r="AB655" i="1"/>
  <c r="AC655" i="1" s="1"/>
  <c r="AS655" i="1" s="1"/>
  <c r="AB656" i="1"/>
  <c r="AC656" i="1" s="1"/>
  <c r="AS656" i="1" s="1"/>
  <c r="AB657" i="1"/>
  <c r="AC657" i="1" s="1"/>
  <c r="AS657" i="1" s="1"/>
  <c r="AB658" i="1"/>
  <c r="AC658" i="1" s="1"/>
  <c r="AS658" i="1" s="1"/>
  <c r="AB659" i="1"/>
  <c r="AC659" i="1" s="1"/>
  <c r="AS659" i="1" s="1"/>
  <c r="AB660" i="1"/>
  <c r="AC660" i="1" s="1"/>
  <c r="AS660" i="1" s="1"/>
  <c r="AB661" i="1"/>
  <c r="AC661" i="1" s="1"/>
  <c r="AS661" i="1" s="1"/>
  <c r="AB662" i="1"/>
  <c r="AC662" i="1" s="1"/>
  <c r="AS662" i="1" s="1"/>
  <c r="AB663" i="1"/>
  <c r="AC663" i="1" s="1"/>
  <c r="AS663" i="1" s="1"/>
  <c r="AB664" i="1"/>
  <c r="AC664" i="1" s="1"/>
  <c r="AS664" i="1" s="1"/>
  <c r="AB665" i="1"/>
  <c r="AC665" i="1" s="1"/>
  <c r="AS665" i="1" s="1"/>
  <c r="AB666" i="1"/>
  <c r="AC666" i="1" s="1"/>
  <c r="AS666" i="1" s="1"/>
  <c r="AB667" i="1"/>
  <c r="AC667" i="1" s="1"/>
  <c r="AS667" i="1" s="1"/>
  <c r="AB668" i="1"/>
  <c r="AC668" i="1" s="1"/>
  <c r="AS668" i="1" s="1"/>
  <c r="AB669" i="1"/>
  <c r="AC669" i="1" s="1"/>
  <c r="AS669" i="1" s="1"/>
  <c r="AB670" i="1"/>
  <c r="AC670" i="1" s="1"/>
  <c r="AS670" i="1" s="1"/>
  <c r="AB671" i="1"/>
  <c r="AC671" i="1" s="1"/>
  <c r="AS671" i="1" s="1"/>
  <c r="AB672" i="1"/>
  <c r="AC672" i="1" s="1"/>
  <c r="AS672" i="1" s="1"/>
  <c r="AB673" i="1"/>
  <c r="AC673" i="1" s="1"/>
  <c r="AS673" i="1" s="1"/>
  <c r="AB674" i="1"/>
  <c r="AC674" i="1" s="1"/>
  <c r="AS674" i="1" s="1"/>
  <c r="AB675" i="1"/>
  <c r="AC675" i="1" s="1"/>
  <c r="AS675" i="1" s="1"/>
  <c r="AB676" i="1"/>
  <c r="AC676" i="1" s="1"/>
  <c r="AS676" i="1" s="1"/>
  <c r="AB677" i="1"/>
  <c r="AC677" i="1" s="1"/>
  <c r="AS677" i="1" s="1"/>
  <c r="AB678" i="1"/>
  <c r="AC678" i="1" s="1"/>
  <c r="AS678" i="1" s="1"/>
  <c r="AB679" i="1"/>
  <c r="AC679" i="1" s="1"/>
  <c r="AS679" i="1" s="1"/>
  <c r="AB680" i="1"/>
  <c r="AC680" i="1" s="1"/>
  <c r="AS680" i="1" s="1"/>
  <c r="AB681" i="1"/>
  <c r="AC681" i="1" s="1"/>
  <c r="AS681" i="1" s="1"/>
  <c r="AB682" i="1"/>
  <c r="AC682" i="1" s="1"/>
  <c r="AS682" i="1" s="1"/>
  <c r="AB683" i="1"/>
  <c r="AC683" i="1" s="1"/>
  <c r="AS683" i="1" s="1"/>
  <c r="AB684" i="1"/>
  <c r="AC684" i="1" s="1"/>
  <c r="AS684" i="1" s="1"/>
  <c r="AB685" i="1"/>
  <c r="AC685" i="1" s="1"/>
  <c r="AS685" i="1" s="1"/>
  <c r="AB686" i="1"/>
  <c r="AC686" i="1" s="1"/>
  <c r="AS686" i="1" s="1"/>
  <c r="AB687" i="1"/>
  <c r="AC687" i="1" s="1"/>
  <c r="AS687" i="1" s="1"/>
  <c r="AB688" i="1"/>
  <c r="AC688" i="1" s="1"/>
  <c r="AS688" i="1" s="1"/>
  <c r="AB689" i="1"/>
  <c r="AC689" i="1" s="1"/>
  <c r="AS689" i="1" s="1"/>
  <c r="AB690" i="1"/>
  <c r="AC690" i="1" s="1"/>
  <c r="AS690" i="1" s="1"/>
  <c r="AB691" i="1"/>
  <c r="AC691" i="1" s="1"/>
  <c r="AS691" i="1" s="1"/>
  <c r="AB692" i="1"/>
  <c r="AC692" i="1" s="1"/>
  <c r="AS692" i="1" s="1"/>
  <c r="AB693" i="1"/>
  <c r="AC693" i="1" s="1"/>
  <c r="AS693" i="1" s="1"/>
  <c r="AB694" i="1"/>
  <c r="AC694" i="1" s="1"/>
  <c r="AS694" i="1" s="1"/>
  <c r="AB695" i="1"/>
  <c r="AC695" i="1" s="1"/>
  <c r="AS695" i="1" s="1"/>
  <c r="AB696" i="1"/>
  <c r="AC696" i="1" s="1"/>
  <c r="AS696" i="1" s="1"/>
  <c r="AB697" i="1"/>
  <c r="AC697" i="1" s="1"/>
  <c r="AS697" i="1" s="1"/>
  <c r="AB698" i="1"/>
  <c r="AC698" i="1" s="1"/>
  <c r="AS698" i="1" s="1"/>
  <c r="AB699" i="1"/>
  <c r="AC699" i="1" s="1"/>
  <c r="AS699" i="1" s="1"/>
  <c r="AB700" i="1"/>
  <c r="AC700" i="1" s="1"/>
  <c r="AS700" i="1" s="1"/>
  <c r="AB701" i="1"/>
  <c r="AC701" i="1" s="1"/>
  <c r="AS701" i="1" s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2" i="1"/>
  <c r="AB2" i="1"/>
  <c r="AC2" i="1" s="1"/>
  <c r="AS2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2" i="1"/>
  <c r="AK3" i="17"/>
  <c r="AK4" i="17"/>
  <c r="AK5" i="17"/>
  <c r="AK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41" i="17"/>
  <c r="AK42" i="17"/>
  <c r="AK43" i="17"/>
  <c r="AK44" i="17"/>
  <c r="AK45" i="17"/>
  <c r="AK46" i="17"/>
  <c r="AK47" i="17"/>
  <c r="AK48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K61" i="17"/>
  <c r="AK62" i="17"/>
  <c r="AK63" i="17"/>
  <c r="AK64" i="17"/>
  <c r="AK65" i="17"/>
  <c r="AK66" i="17"/>
  <c r="AK67" i="17"/>
  <c r="AK68" i="17"/>
  <c r="AK69" i="17"/>
  <c r="AK70" i="17"/>
  <c r="AK71" i="17"/>
  <c r="AK72" i="17"/>
  <c r="AK73" i="17"/>
  <c r="AK74" i="17"/>
  <c r="AK75" i="17"/>
  <c r="AK76" i="17"/>
  <c r="AK77" i="17"/>
  <c r="AK78" i="17"/>
  <c r="AK79" i="17"/>
  <c r="AK80" i="17"/>
  <c r="AK81" i="17"/>
  <c r="AK82" i="17"/>
  <c r="AK83" i="17"/>
  <c r="AK84" i="17"/>
  <c r="AK85" i="17"/>
  <c r="AK86" i="17"/>
  <c r="AK87" i="17"/>
  <c r="AK88" i="17"/>
  <c r="AK89" i="17"/>
  <c r="AK90" i="17"/>
  <c r="AK91" i="17"/>
  <c r="AK92" i="17"/>
  <c r="AK93" i="17"/>
  <c r="AK94" i="17"/>
  <c r="AK95" i="17"/>
  <c r="AK96" i="17"/>
  <c r="AK97" i="17"/>
  <c r="AK98" i="17"/>
  <c r="AK99" i="17"/>
  <c r="AK100" i="17"/>
  <c r="AK101" i="17"/>
  <c r="AK102" i="17"/>
  <c r="AK103" i="17"/>
  <c r="AK104" i="17"/>
  <c r="AK105" i="17"/>
  <c r="AK106" i="17"/>
  <c r="AK107" i="17"/>
  <c r="AK108" i="17"/>
  <c r="AK109" i="17"/>
  <c r="AK110" i="17"/>
  <c r="AK111" i="17"/>
  <c r="AK112" i="17"/>
  <c r="AK113" i="17"/>
  <c r="AK114" i="17"/>
  <c r="AK115" i="17"/>
  <c r="AK116" i="17"/>
  <c r="AK117" i="17"/>
  <c r="AK118" i="17"/>
  <c r="AK119" i="17"/>
  <c r="AK120" i="17"/>
  <c r="AK121" i="17"/>
  <c r="AK122" i="17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7" i="17"/>
  <c r="AK158" i="17"/>
  <c r="AK159" i="17"/>
  <c r="AK160" i="17"/>
  <c r="AK161" i="17"/>
  <c r="AK162" i="17"/>
  <c r="AK163" i="17"/>
  <c r="AK164" i="17"/>
  <c r="AK165" i="17"/>
  <c r="AK166" i="17"/>
  <c r="AK167" i="17"/>
  <c r="AK168" i="17"/>
  <c r="AK169" i="17"/>
  <c r="AK170" i="17"/>
  <c r="AK171" i="17"/>
  <c r="AK172" i="17"/>
  <c r="AK173" i="17"/>
  <c r="AK174" i="17"/>
  <c r="AK175" i="17"/>
  <c r="AK176" i="17"/>
  <c r="AK177" i="17"/>
  <c r="AK178" i="17"/>
  <c r="AK179" i="17"/>
  <c r="AK180" i="17"/>
  <c r="AK181" i="17"/>
  <c r="AK182" i="17"/>
  <c r="AK183" i="17"/>
  <c r="AK184" i="17"/>
  <c r="AK185" i="17"/>
  <c r="AK186" i="17"/>
  <c r="AK187" i="17"/>
  <c r="AK188" i="17"/>
  <c r="AK189" i="17"/>
  <c r="AK190" i="17"/>
  <c r="AK191" i="17"/>
  <c r="AK192" i="17"/>
  <c r="AK193" i="17"/>
  <c r="AK194" i="17"/>
  <c r="AK195" i="17"/>
  <c r="AK196" i="17"/>
  <c r="AK197" i="17"/>
  <c r="AK198" i="17"/>
  <c r="AK199" i="17"/>
  <c r="AK200" i="17"/>
  <c r="AK201" i="17"/>
  <c r="AK202" i="17"/>
  <c r="AK203" i="17"/>
  <c r="AK204" i="17"/>
  <c r="AK205" i="17"/>
  <c r="AK206" i="17"/>
  <c r="AK207" i="17"/>
  <c r="AK208" i="17"/>
  <c r="AK209" i="17"/>
  <c r="AK210" i="17"/>
  <c r="AK211" i="17"/>
  <c r="AK212" i="17"/>
  <c r="AK213" i="17"/>
  <c r="AK214" i="17"/>
  <c r="AK215" i="17"/>
  <c r="AK216" i="17"/>
  <c r="AK217" i="17"/>
  <c r="AK218" i="17"/>
  <c r="AK219" i="17"/>
  <c r="AK220" i="17"/>
  <c r="AK221" i="17"/>
  <c r="AK222" i="17"/>
  <c r="AK223" i="17"/>
  <c r="AK224" i="17"/>
  <c r="AK225" i="17"/>
  <c r="AK226" i="17"/>
  <c r="AK227" i="17"/>
  <c r="AK228" i="17"/>
  <c r="AK229" i="17"/>
  <c r="AK230" i="17"/>
  <c r="AK231" i="17"/>
  <c r="AK232" i="17"/>
  <c r="AK233" i="17"/>
  <c r="AK234" i="17"/>
  <c r="AK235" i="17"/>
  <c r="AK236" i="17"/>
  <c r="AK237" i="17"/>
  <c r="AK238" i="17"/>
  <c r="AK239" i="17"/>
  <c r="AK240" i="17"/>
  <c r="AK241" i="17"/>
  <c r="AK242" i="17"/>
  <c r="AK243" i="17"/>
  <c r="AK244" i="17"/>
  <c r="AK245" i="17"/>
  <c r="AK246" i="17"/>
  <c r="AK247" i="17"/>
  <c r="AK248" i="17"/>
  <c r="AK249" i="17"/>
  <c r="AK250" i="17"/>
  <c r="AK251" i="17"/>
  <c r="AK252" i="17"/>
  <c r="AK253" i="17"/>
  <c r="AK254" i="17"/>
  <c r="AK255" i="17"/>
  <c r="AK256" i="17"/>
  <c r="AK257" i="17"/>
  <c r="AK258" i="17"/>
  <c r="AK259" i="17"/>
  <c r="AK260" i="17"/>
  <c r="AK261" i="17"/>
  <c r="AK262" i="17"/>
  <c r="AK263" i="17"/>
  <c r="AK264" i="17"/>
  <c r="AK265" i="17"/>
  <c r="AK266" i="17"/>
  <c r="AK267" i="17"/>
  <c r="AK268" i="17"/>
  <c r="AK269" i="17"/>
  <c r="AK270" i="17"/>
  <c r="AK271" i="17"/>
  <c r="AK272" i="17"/>
  <c r="AK273" i="17"/>
  <c r="AK274" i="17"/>
  <c r="AK275" i="17"/>
  <c r="AK276" i="17"/>
  <c r="AK277" i="17"/>
  <c r="AK278" i="17"/>
  <c r="AK279" i="17"/>
  <c r="AK280" i="17"/>
  <c r="AK281" i="17"/>
  <c r="AK282" i="17"/>
  <c r="AK283" i="17"/>
  <c r="AK284" i="17"/>
  <c r="AK285" i="17"/>
  <c r="AK286" i="17"/>
  <c r="AK287" i="17"/>
  <c r="AK288" i="17"/>
  <c r="AK289" i="17"/>
  <c r="AK290" i="17"/>
  <c r="AK291" i="17"/>
  <c r="AK292" i="17"/>
  <c r="AK293" i="17"/>
  <c r="AK294" i="17"/>
  <c r="AK295" i="17"/>
  <c r="AK296" i="17"/>
  <c r="AK297" i="17"/>
  <c r="AK298" i="17"/>
  <c r="AK299" i="17"/>
  <c r="AK300" i="17"/>
  <c r="AK301" i="17"/>
  <c r="AK302" i="17"/>
  <c r="AK303" i="17"/>
  <c r="AK304" i="17"/>
  <c r="AK305" i="17"/>
  <c r="AK306" i="17"/>
  <c r="AK307" i="17"/>
  <c r="AK308" i="17"/>
  <c r="AK309" i="17"/>
  <c r="AK310" i="17"/>
  <c r="AK311" i="17"/>
  <c r="AK312" i="17"/>
  <c r="AK313" i="17"/>
  <c r="AK314" i="17"/>
  <c r="AK315" i="17"/>
  <c r="AK316" i="17"/>
  <c r="AK317" i="17"/>
  <c r="AK318" i="17"/>
  <c r="AK319" i="17"/>
  <c r="AK320" i="17"/>
  <c r="AK321" i="17"/>
  <c r="AK322" i="17"/>
  <c r="AK323" i="17"/>
  <c r="AK324" i="17"/>
  <c r="AK325" i="17"/>
  <c r="AK326" i="17"/>
  <c r="AK327" i="17"/>
  <c r="AK328" i="17"/>
  <c r="AK329" i="17"/>
  <c r="AK330" i="17"/>
  <c r="AK331" i="17"/>
  <c r="AK332" i="17"/>
  <c r="AK333" i="17"/>
  <c r="AK334" i="17"/>
  <c r="AK335" i="17"/>
  <c r="AK336" i="17"/>
  <c r="AK337" i="17"/>
  <c r="AK338" i="17"/>
  <c r="AK339" i="17"/>
  <c r="AK340" i="17"/>
  <c r="AK341" i="17"/>
  <c r="AK342" i="17"/>
  <c r="AK343" i="17"/>
  <c r="AK344" i="17"/>
  <c r="AK345" i="17"/>
  <c r="AK346" i="17"/>
  <c r="AK347" i="17"/>
  <c r="AK348" i="17"/>
  <c r="AK349" i="17"/>
  <c r="AK350" i="17"/>
  <c r="AK351" i="17"/>
  <c r="AK352" i="17"/>
  <c r="AK353" i="17"/>
  <c r="AK354" i="17"/>
  <c r="AK355" i="17"/>
  <c r="AK356" i="17"/>
  <c r="AK357" i="17"/>
  <c r="AK358" i="17"/>
  <c r="AK359" i="17"/>
  <c r="AK360" i="17"/>
  <c r="AK361" i="17"/>
  <c r="AK362" i="17"/>
  <c r="AK363" i="17"/>
  <c r="AK364" i="17"/>
  <c r="AK365" i="17"/>
  <c r="AK366" i="17"/>
  <c r="AK367" i="17"/>
  <c r="AK368" i="17"/>
  <c r="AK369" i="17"/>
  <c r="AK370" i="17"/>
  <c r="AK371" i="17"/>
  <c r="AK372" i="17"/>
  <c r="AK373" i="17"/>
  <c r="AK374" i="17"/>
  <c r="AK375" i="17"/>
  <c r="AK376" i="17"/>
  <c r="AK377" i="17"/>
  <c r="AK378" i="17"/>
  <c r="AK379" i="17"/>
  <c r="AK380" i="17"/>
  <c r="AK381" i="17"/>
  <c r="AK382" i="17"/>
  <c r="AK383" i="17"/>
  <c r="AK384" i="17"/>
  <c r="AK385" i="17"/>
  <c r="AK386" i="17"/>
  <c r="AK387" i="17"/>
  <c r="AK388" i="17"/>
  <c r="AK389" i="17"/>
  <c r="AK390" i="17"/>
  <c r="AK391" i="17"/>
  <c r="AK392" i="17"/>
  <c r="AK393" i="17"/>
  <c r="AK394" i="17"/>
  <c r="AK395" i="17"/>
  <c r="AK396" i="17"/>
  <c r="AK397" i="17"/>
  <c r="AK398" i="17"/>
  <c r="AK399" i="17"/>
  <c r="AK400" i="17"/>
  <c r="AK401" i="17"/>
  <c r="AK402" i="17"/>
  <c r="AK403" i="17"/>
  <c r="AK404" i="17"/>
  <c r="AK405" i="17"/>
  <c r="AK406" i="17"/>
  <c r="AK407" i="17"/>
  <c r="AK408" i="17"/>
  <c r="AK409" i="17"/>
  <c r="AK410" i="17"/>
  <c r="AK411" i="17"/>
  <c r="AK412" i="17"/>
  <c r="AK413" i="17"/>
  <c r="AK414" i="17"/>
  <c r="AK415" i="17"/>
  <c r="AK416" i="17"/>
  <c r="AK417" i="17"/>
  <c r="AK418" i="17"/>
  <c r="AK419" i="17"/>
  <c r="AK420" i="17"/>
  <c r="AK421" i="17"/>
  <c r="AK422" i="17"/>
  <c r="AK423" i="17"/>
  <c r="AK424" i="17"/>
  <c r="AK425" i="17"/>
  <c r="AK426" i="17"/>
  <c r="AK427" i="17"/>
  <c r="AK428" i="17"/>
  <c r="AK429" i="17"/>
  <c r="AK430" i="17"/>
  <c r="AK431" i="17"/>
  <c r="AK432" i="17"/>
  <c r="AK433" i="17"/>
  <c r="AK434" i="17"/>
  <c r="AK435" i="17"/>
  <c r="AK436" i="17"/>
  <c r="AK437" i="17"/>
  <c r="AK438" i="17"/>
  <c r="AK439" i="17"/>
  <c r="AK440" i="17"/>
  <c r="AK441" i="17"/>
  <c r="AK442" i="17"/>
  <c r="AK443" i="17"/>
  <c r="AK444" i="17"/>
  <c r="AK445" i="17"/>
  <c r="AK446" i="17"/>
  <c r="AK447" i="17"/>
  <c r="AK448" i="17"/>
  <c r="AK449" i="17"/>
  <c r="AK450" i="17"/>
  <c r="AK451" i="17"/>
  <c r="AK452" i="17"/>
  <c r="AK453" i="17"/>
  <c r="AK454" i="17"/>
  <c r="AK455" i="17"/>
  <c r="AK456" i="17"/>
  <c r="AK457" i="17"/>
  <c r="AK458" i="17"/>
  <c r="AK459" i="17"/>
  <c r="AK460" i="17"/>
  <c r="AK461" i="17"/>
  <c r="AK462" i="17"/>
  <c r="AK463" i="17"/>
  <c r="AK464" i="17"/>
  <c r="AK465" i="17"/>
  <c r="AK466" i="17"/>
  <c r="AK467" i="17"/>
  <c r="AK468" i="17"/>
  <c r="AK469" i="17"/>
  <c r="AK470" i="17"/>
  <c r="AK471" i="17"/>
  <c r="AK472" i="17"/>
  <c r="AK473" i="17"/>
  <c r="AK474" i="17"/>
  <c r="AK475" i="17"/>
  <c r="AK476" i="17"/>
  <c r="AK477" i="17"/>
  <c r="AK478" i="17"/>
  <c r="AK479" i="17"/>
  <c r="AK480" i="17"/>
  <c r="AK481" i="17"/>
  <c r="AK482" i="17"/>
  <c r="AK483" i="17"/>
  <c r="AK484" i="17"/>
  <c r="AK485" i="17"/>
  <c r="AK486" i="17"/>
  <c r="AK487" i="17"/>
  <c r="AK488" i="17"/>
  <c r="AK489" i="17"/>
  <c r="AK490" i="17"/>
  <c r="AK491" i="17"/>
  <c r="AK492" i="17"/>
  <c r="AK493" i="17"/>
  <c r="AK494" i="17"/>
  <c r="AK495" i="17"/>
  <c r="AK496" i="17"/>
  <c r="AK497" i="17"/>
  <c r="AK498" i="17"/>
  <c r="AK499" i="17"/>
  <c r="AK500" i="17"/>
  <c r="AK501" i="17"/>
  <c r="AK502" i="17"/>
  <c r="AK503" i="17"/>
  <c r="AK504" i="17"/>
  <c r="AK505" i="17"/>
  <c r="AK506" i="17"/>
  <c r="AK507" i="17"/>
  <c r="AK508" i="17"/>
  <c r="AK509" i="17"/>
  <c r="AK510" i="17"/>
  <c r="AK511" i="17"/>
  <c r="AK512" i="17"/>
  <c r="AK513" i="17"/>
  <c r="AK514" i="17"/>
  <c r="AK515" i="17"/>
  <c r="AK516" i="17"/>
  <c r="AK517" i="17"/>
  <c r="AK518" i="17"/>
  <c r="AK519" i="17"/>
  <c r="AK520" i="17"/>
  <c r="AK521" i="17"/>
  <c r="AK522" i="17"/>
  <c r="AK523" i="17"/>
  <c r="AK524" i="17"/>
  <c r="AK525" i="17"/>
  <c r="AK526" i="17"/>
  <c r="AK527" i="17"/>
  <c r="AK528" i="17"/>
  <c r="AK529" i="17"/>
  <c r="AK530" i="17"/>
  <c r="AK531" i="17"/>
  <c r="AK532" i="17"/>
  <c r="AK533" i="17"/>
  <c r="AK534" i="17"/>
  <c r="AK535" i="17"/>
  <c r="AK536" i="17"/>
  <c r="AK537" i="17"/>
  <c r="AK538" i="17"/>
  <c r="AK539" i="17"/>
  <c r="AK540" i="17"/>
  <c r="AK541" i="17"/>
  <c r="AK542" i="17"/>
  <c r="AK543" i="17"/>
  <c r="AK544" i="17"/>
  <c r="AK545" i="17"/>
  <c r="AK546" i="17"/>
  <c r="AK547" i="17"/>
  <c r="AK548" i="17"/>
  <c r="AK549" i="17"/>
  <c r="AK550" i="17"/>
  <c r="AK551" i="17"/>
  <c r="AK552" i="17"/>
  <c r="AK553" i="17"/>
  <c r="AK554" i="17"/>
  <c r="AK555" i="17"/>
  <c r="AK556" i="17"/>
  <c r="AK557" i="17"/>
  <c r="AK558" i="17"/>
  <c r="AK559" i="17"/>
  <c r="AK560" i="17"/>
  <c r="AK561" i="17"/>
  <c r="AK562" i="17"/>
  <c r="AK563" i="17"/>
  <c r="AK564" i="17"/>
  <c r="AK565" i="17"/>
  <c r="AK566" i="17"/>
  <c r="AK567" i="17"/>
  <c r="AK568" i="17"/>
  <c r="AK569" i="17"/>
  <c r="AK570" i="17"/>
  <c r="AK571" i="17"/>
  <c r="AK572" i="17"/>
  <c r="AK573" i="17"/>
  <c r="AK574" i="17"/>
  <c r="AK575" i="17"/>
  <c r="AK576" i="17"/>
  <c r="AK577" i="17"/>
  <c r="AK578" i="17"/>
  <c r="AK579" i="17"/>
  <c r="AK580" i="17"/>
  <c r="AK581" i="17"/>
  <c r="AK582" i="17"/>
  <c r="AK583" i="17"/>
  <c r="AK584" i="17"/>
  <c r="AK585" i="17"/>
  <c r="AK586" i="17"/>
  <c r="AK587" i="17"/>
  <c r="AK588" i="17"/>
  <c r="AK589" i="17"/>
  <c r="AK590" i="17"/>
  <c r="AK591" i="17"/>
  <c r="AK592" i="17"/>
  <c r="AK593" i="17"/>
  <c r="AK594" i="17"/>
  <c r="AK595" i="17"/>
  <c r="AK596" i="17"/>
  <c r="AK597" i="17"/>
  <c r="AK598" i="17"/>
  <c r="AK599" i="17"/>
  <c r="AK600" i="17"/>
  <c r="AK601" i="17"/>
  <c r="AK602" i="17"/>
  <c r="AK603" i="17"/>
  <c r="AK604" i="17"/>
  <c r="AK605" i="17"/>
  <c r="AK606" i="17"/>
  <c r="AK607" i="17"/>
  <c r="AK608" i="17"/>
  <c r="AK609" i="17"/>
  <c r="AK610" i="17"/>
  <c r="AK611" i="17"/>
  <c r="AK612" i="17"/>
  <c r="AK613" i="17"/>
  <c r="AK614" i="17"/>
  <c r="AK615" i="17"/>
  <c r="AK616" i="17"/>
  <c r="AK617" i="17"/>
  <c r="AK618" i="17"/>
  <c r="AK619" i="17"/>
  <c r="AK620" i="17"/>
  <c r="AK621" i="17"/>
  <c r="AK622" i="17"/>
  <c r="AK623" i="17"/>
  <c r="AK624" i="17"/>
  <c r="AK625" i="17"/>
  <c r="AK626" i="17"/>
  <c r="AK627" i="17"/>
  <c r="AK628" i="17"/>
  <c r="AK629" i="17"/>
  <c r="AK630" i="17"/>
  <c r="AK631" i="17"/>
  <c r="AK632" i="17"/>
  <c r="AK633" i="17"/>
  <c r="AK634" i="17"/>
  <c r="AK635" i="17"/>
  <c r="AK636" i="17"/>
  <c r="AK637" i="17"/>
  <c r="AK638" i="17"/>
  <c r="AK639" i="17"/>
  <c r="AK640" i="17"/>
  <c r="AK641" i="17"/>
  <c r="AK642" i="17"/>
  <c r="AK643" i="17"/>
  <c r="AK644" i="17"/>
  <c r="AK645" i="17"/>
  <c r="AK646" i="17"/>
  <c r="AK647" i="17"/>
  <c r="AK648" i="17"/>
  <c r="AK649" i="17"/>
  <c r="AK650" i="17"/>
  <c r="AK651" i="17"/>
  <c r="AK652" i="17"/>
  <c r="AK653" i="17"/>
  <c r="AK654" i="17"/>
  <c r="AK655" i="17"/>
  <c r="AK656" i="17"/>
  <c r="AK657" i="17"/>
  <c r="AK658" i="17"/>
  <c r="AK659" i="17"/>
  <c r="AK660" i="17"/>
  <c r="AK661" i="17"/>
  <c r="AK662" i="17"/>
  <c r="AK663" i="17"/>
  <c r="AK664" i="17"/>
  <c r="AK665" i="17"/>
  <c r="AK666" i="17"/>
  <c r="AK667" i="17"/>
  <c r="AK668" i="17"/>
  <c r="AK669" i="17"/>
  <c r="AK670" i="17"/>
  <c r="AK671" i="17"/>
  <c r="AK672" i="17"/>
  <c r="AK673" i="17"/>
  <c r="AK674" i="17"/>
  <c r="AK675" i="17"/>
  <c r="AK676" i="17"/>
  <c r="AK677" i="17"/>
  <c r="AK678" i="17"/>
  <c r="AK679" i="17"/>
  <c r="AK680" i="17"/>
  <c r="AK681" i="17"/>
  <c r="AK682" i="17"/>
  <c r="AK683" i="17"/>
  <c r="AK684" i="17"/>
  <c r="AK685" i="17"/>
  <c r="AK686" i="17"/>
  <c r="AK687" i="17"/>
  <c r="AK688" i="17"/>
  <c r="AK689" i="17"/>
  <c r="AK690" i="17"/>
  <c r="AK691" i="17"/>
  <c r="AK692" i="17"/>
  <c r="AK693" i="17"/>
  <c r="AK694" i="17"/>
  <c r="AK695" i="17"/>
  <c r="AK696" i="17"/>
  <c r="AK697" i="17"/>
  <c r="AK698" i="17"/>
  <c r="AK699" i="17"/>
  <c r="AK700" i="17"/>
  <c r="AK701" i="17"/>
  <c r="AJ3" i="17"/>
  <c r="AJ4" i="17"/>
  <c r="AJ5" i="17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J225" i="17"/>
  <c r="AJ226" i="17"/>
  <c r="AJ227" i="17"/>
  <c r="AJ228" i="17"/>
  <c r="AJ229" i="17"/>
  <c r="AJ230" i="17"/>
  <c r="AJ231" i="17"/>
  <c r="AJ232" i="17"/>
  <c r="AJ233" i="17"/>
  <c r="AJ234" i="17"/>
  <c r="AJ235" i="17"/>
  <c r="AJ236" i="17"/>
  <c r="AJ237" i="17"/>
  <c r="AJ238" i="17"/>
  <c r="AJ239" i="17"/>
  <c r="AJ240" i="17"/>
  <c r="AJ241" i="17"/>
  <c r="AJ242" i="17"/>
  <c r="AJ243" i="17"/>
  <c r="AJ244" i="17"/>
  <c r="AJ245" i="17"/>
  <c r="AJ246" i="17"/>
  <c r="AJ247" i="17"/>
  <c r="AJ248" i="17"/>
  <c r="AJ249" i="17"/>
  <c r="AJ250" i="17"/>
  <c r="AJ251" i="17"/>
  <c r="AJ252" i="17"/>
  <c r="AJ253" i="17"/>
  <c r="AJ254" i="17"/>
  <c r="AJ255" i="17"/>
  <c r="AJ256" i="17"/>
  <c r="AJ257" i="17"/>
  <c r="AJ258" i="17"/>
  <c r="AJ259" i="17"/>
  <c r="AJ260" i="17"/>
  <c r="AJ261" i="17"/>
  <c r="AJ262" i="17"/>
  <c r="AJ263" i="17"/>
  <c r="AJ264" i="17"/>
  <c r="AJ265" i="17"/>
  <c r="AJ266" i="17"/>
  <c r="AJ267" i="17"/>
  <c r="AJ268" i="17"/>
  <c r="AJ269" i="17"/>
  <c r="AJ270" i="17"/>
  <c r="AJ271" i="17"/>
  <c r="AJ272" i="17"/>
  <c r="AJ273" i="17"/>
  <c r="AJ274" i="17"/>
  <c r="AJ275" i="17"/>
  <c r="AJ276" i="17"/>
  <c r="AJ277" i="17"/>
  <c r="AJ278" i="17"/>
  <c r="AJ279" i="17"/>
  <c r="AJ280" i="17"/>
  <c r="AJ281" i="17"/>
  <c r="AJ282" i="17"/>
  <c r="AJ283" i="17"/>
  <c r="AJ284" i="17"/>
  <c r="AJ285" i="17"/>
  <c r="AJ286" i="17"/>
  <c r="AJ287" i="17"/>
  <c r="AJ288" i="17"/>
  <c r="AJ289" i="17"/>
  <c r="AJ290" i="17"/>
  <c r="AJ291" i="17"/>
  <c r="AJ292" i="17"/>
  <c r="AJ293" i="17"/>
  <c r="AJ294" i="17"/>
  <c r="AJ295" i="17"/>
  <c r="AJ296" i="17"/>
  <c r="AJ297" i="17"/>
  <c r="AJ298" i="17"/>
  <c r="AJ299" i="17"/>
  <c r="AJ300" i="17"/>
  <c r="AJ301" i="17"/>
  <c r="AJ302" i="17"/>
  <c r="AJ303" i="17"/>
  <c r="AJ304" i="17"/>
  <c r="AJ305" i="17"/>
  <c r="AJ306" i="17"/>
  <c r="AJ307" i="17"/>
  <c r="AJ308" i="17"/>
  <c r="AJ309" i="17"/>
  <c r="AJ310" i="17"/>
  <c r="AJ311" i="17"/>
  <c r="AJ312" i="17"/>
  <c r="AJ313" i="17"/>
  <c r="AJ314" i="17"/>
  <c r="AJ315" i="17"/>
  <c r="AJ316" i="17"/>
  <c r="AJ317" i="17"/>
  <c r="AJ318" i="17"/>
  <c r="AJ319" i="17"/>
  <c r="AJ320" i="17"/>
  <c r="AJ321" i="17"/>
  <c r="AJ322" i="17"/>
  <c r="AJ323" i="17"/>
  <c r="AJ324" i="17"/>
  <c r="AJ325" i="17"/>
  <c r="AJ326" i="17"/>
  <c r="AJ327" i="17"/>
  <c r="AJ328" i="17"/>
  <c r="AJ329" i="17"/>
  <c r="AJ330" i="17"/>
  <c r="AJ331" i="17"/>
  <c r="AJ332" i="17"/>
  <c r="AJ333" i="17"/>
  <c r="AJ334" i="17"/>
  <c r="AJ335" i="17"/>
  <c r="AJ336" i="17"/>
  <c r="AJ337" i="17"/>
  <c r="AJ338" i="17"/>
  <c r="AJ339" i="17"/>
  <c r="AJ340" i="17"/>
  <c r="AJ341" i="17"/>
  <c r="AJ342" i="17"/>
  <c r="AJ343" i="17"/>
  <c r="AJ344" i="17"/>
  <c r="AJ345" i="17"/>
  <c r="AJ346" i="17"/>
  <c r="AJ347" i="17"/>
  <c r="AJ348" i="17"/>
  <c r="AJ349" i="17"/>
  <c r="AJ350" i="17"/>
  <c r="AJ351" i="17"/>
  <c r="AJ352" i="17"/>
  <c r="AJ353" i="17"/>
  <c r="AJ354" i="17"/>
  <c r="AJ355" i="17"/>
  <c r="AJ356" i="17"/>
  <c r="AJ357" i="17"/>
  <c r="AJ358" i="17"/>
  <c r="AJ359" i="17"/>
  <c r="AJ360" i="17"/>
  <c r="AJ361" i="17"/>
  <c r="AJ362" i="17"/>
  <c r="AJ363" i="17"/>
  <c r="AJ364" i="17"/>
  <c r="AJ365" i="17"/>
  <c r="AJ366" i="17"/>
  <c r="AJ367" i="17"/>
  <c r="AJ368" i="17"/>
  <c r="AJ369" i="17"/>
  <c r="AJ370" i="17"/>
  <c r="AJ371" i="17"/>
  <c r="AJ372" i="17"/>
  <c r="AJ373" i="17"/>
  <c r="AJ374" i="17"/>
  <c r="AJ375" i="17"/>
  <c r="AJ376" i="17"/>
  <c r="AJ377" i="17"/>
  <c r="AJ378" i="17"/>
  <c r="AJ379" i="17"/>
  <c r="AJ380" i="17"/>
  <c r="AJ381" i="17"/>
  <c r="AJ382" i="17"/>
  <c r="AJ383" i="17"/>
  <c r="AJ384" i="17"/>
  <c r="AJ385" i="17"/>
  <c r="AJ386" i="17"/>
  <c r="AJ387" i="17"/>
  <c r="AJ388" i="17"/>
  <c r="AJ389" i="17"/>
  <c r="AJ390" i="17"/>
  <c r="AJ391" i="17"/>
  <c r="AJ392" i="17"/>
  <c r="AJ393" i="17"/>
  <c r="AJ394" i="17"/>
  <c r="AJ395" i="17"/>
  <c r="AJ396" i="17"/>
  <c r="AJ397" i="17"/>
  <c r="AJ398" i="17"/>
  <c r="AJ399" i="17"/>
  <c r="AJ400" i="17"/>
  <c r="AJ401" i="17"/>
  <c r="AJ402" i="17"/>
  <c r="AJ403" i="17"/>
  <c r="AJ404" i="17"/>
  <c r="AJ405" i="17"/>
  <c r="AJ406" i="17"/>
  <c r="AJ407" i="17"/>
  <c r="AJ408" i="17"/>
  <c r="AJ409" i="17"/>
  <c r="AJ410" i="17"/>
  <c r="AJ411" i="17"/>
  <c r="AJ412" i="17"/>
  <c r="AJ413" i="17"/>
  <c r="AJ414" i="17"/>
  <c r="AJ415" i="17"/>
  <c r="AJ416" i="17"/>
  <c r="AJ417" i="17"/>
  <c r="AJ418" i="17"/>
  <c r="AJ419" i="17"/>
  <c r="AJ420" i="17"/>
  <c r="AJ421" i="17"/>
  <c r="AJ422" i="17"/>
  <c r="AJ423" i="17"/>
  <c r="AJ424" i="17"/>
  <c r="AJ425" i="17"/>
  <c r="AJ426" i="17"/>
  <c r="AJ427" i="17"/>
  <c r="AJ428" i="17"/>
  <c r="AJ429" i="17"/>
  <c r="AJ430" i="17"/>
  <c r="AJ431" i="17"/>
  <c r="AJ432" i="17"/>
  <c r="AJ433" i="17"/>
  <c r="AJ434" i="17"/>
  <c r="AJ435" i="17"/>
  <c r="AJ436" i="17"/>
  <c r="AJ437" i="17"/>
  <c r="AJ438" i="17"/>
  <c r="AJ439" i="17"/>
  <c r="AJ440" i="17"/>
  <c r="AJ441" i="17"/>
  <c r="AJ442" i="17"/>
  <c r="AJ443" i="17"/>
  <c r="AJ444" i="17"/>
  <c r="AJ445" i="17"/>
  <c r="AJ446" i="17"/>
  <c r="AJ447" i="17"/>
  <c r="AJ448" i="17"/>
  <c r="AJ449" i="17"/>
  <c r="AJ450" i="17"/>
  <c r="AJ451" i="17"/>
  <c r="AJ452" i="17"/>
  <c r="AJ453" i="17"/>
  <c r="AJ454" i="17"/>
  <c r="AJ455" i="17"/>
  <c r="AJ456" i="17"/>
  <c r="AJ457" i="17"/>
  <c r="AJ458" i="17"/>
  <c r="AJ459" i="17"/>
  <c r="AJ460" i="17"/>
  <c r="AJ461" i="17"/>
  <c r="AJ462" i="17"/>
  <c r="AJ463" i="17"/>
  <c r="AJ464" i="17"/>
  <c r="AJ465" i="17"/>
  <c r="AJ466" i="17"/>
  <c r="AJ467" i="17"/>
  <c r="AJ468" i="17"/>
  <c r="AJ469" i="17"/>
  <c r="AJ470" i="17"/>
  <c r="AJ471" i="17"/>
  <c r="AJ472" i="17"/>
  <c r="AJ473" i="17"/>
  <c r="AJ474" i="17"/>
  <c r="AJ475" i="17"/>
  <c r="AJ476" i="17"/>
  <c r="AJ477" i="17"/>
  <c r="AJ478" i="17"/>
  <c r="AJ479" i="17"/>
  <c r="AJ480" i="17"/>
  <c r="AJ481" i="17"/>
  <c r="AJ482" i="17"/>
  <c r="AJ483" i="17"/>
  <c r="AJ484" i="17"/>
  <c r="AJ485" i="17"/>
  <c r="AJ486" i="17"/>
  <c r="AJ487" i="17"/>
  <c r="AJ488" i="17"/>
  <c r="AJ489" i="17"/>
  <c r="AJ490" i="17"/>
  <c r="AJ491" i="17"/>
  <c r="AJ492" i="17"/>
  <c r="AJ493" i="17"/>
  <c r="AJ494" i="17"/>
  <c r="AJ495" i="17"/>
  <c r="AJ496" i="17"/>
  <c r="AJ497" i="17"/>
  <c r="AJ498" i="17"/>
  <c r="AJ499" i="17"/>
  <c r="AJ500" i="17"/>
  <c r="AJ501" i="17"/>
  <c r="AJ502" i="17"/>
  <c r="AJ503" i="17"/>
  <c r="AJ504" i="17"/>
  <c r="AJ505" i="17"/>
  <c r="AJ506" i="17"/>
  <c r="AJ507" i="17"/>
  <c r="AJ508" i="17"/>
  <c r="AJ509" i="17"/>
  <c r="AJ510" i="17"/>
  <c r="AJ511" i="17"/>
  <c r="AJ512" i="17"/>
  <c r="AJ513" i="17"/>
  <c r="AJ514" i="17"/>
  <c r="AJ515" i="17"/>
  <c r="AJ516" i="17"/>
  <c r="AJ517" i="17"/>
  <c r="AJ518" i="17"/>
  <c r="AJ519" i="17"/>
  <c r="AJ520" i="17"/>
  <c r="AJ521" i="17"/>
  <c r="AJ522" i="17"/>
  <c r="AJ523" i="17"/>
  <c r="AJ524" i="17"/>
  <c r="AJ525" i="17"/>
  <c r="AJ526" i="17"/>
  <c r="AJ527" i="17"/>
  <c r="AJ528" i="17"/>
  <c r="AJ529" i="17"/>
  <c r="AJ530" i="17"/>
  <c r="AJ531" i="17"/>
  <c r="AJ532" i="17"/>
  <c r="AJ533" i="17"/>
  <c r="AJ534" i="17"/>
  <c r="AJ535" i="17"/>
  <c r="AJ536" i="17"/>
  <c r="AJ537" i="17"/>
  <c r="AJ538" i="17"/>
  <c r="AJ539" i="17"/>
  <c r="AJ540" i="17"/>
  <c r="AJ541" i="17"/>
  <c r="AJ542" i="17"/>
  <c r="AJ543" i="17"/>
  <c r="AJ544" i="17"/>
  <c r="AJ545" i="17"/>
  <c r="AJ546" i="17"/>
  <c r="AJ547" i="17"/>
  <c r="AJ548" i="17"/>
  <c r="AJ549" i="17"/>
  <c r="AJ550" i="17"/>
  <c r="AJ551" i="17"/>
  <c r="AJ552" i="17"/>
  <c r="AJ553" i="17"/>
  <c r="AJ554" i="17"/>
  <c r="AJ555" i="17"/>
  <c r="AJ556" i="17"/>
  <c r="AJ557" i="17"/>
  <c r="AJ558" i="17"/>
  <c r="AJ559" i="17"/>
  <c r="AJ560" i="17"/>
  <c r="AJ561" i="17"/>
  <c r="AJ562" i="17"/>
  <c r="AJ563" i="17"/>
  <c r="AJ564" i="17"/>
  <c r="AJ565" i="17"/>
  <c r="AJ566" i="17"/>
  <c r="AJ567" i="17"/>
  <c r="AJ568" i="17"/>
  <c r="AJ569" i="17"/>
  <c r="AJ570" i="17"/>
  <c r="AJ571" i="17"/>
  <c r="AJ572" i="17"/>
  <c r="AJ573" i="17"/>
  <c r="AJ574" i="17"/>
  <c r="AJ575" i="17"/>
  <c r="AJ576" i="17"/>
  <c r="AJ577" i="17"/>
  <c r="AJ578" i="17"/>
  <c r="AJ579" i="17"/>
  <c r="AJ580" i="17"/>
  <c r="AJ581" i="17"/>
  <c r="AJ582" i="17"/>
  <c r="AJ583" i="17"/>
  <c r="AJ584" i="17"/>
  <c r="AJ585" i="17"/>
  <c r="AJ586" i="17"/>
  <c r="AJ587" i="17"/>
  <c r="AJ588" i="17"/>
  <c r="AJ589" i="17"/>
  <c r="AJ590" i="17"/>
  <c r="AJ591" i="17"/>
  <c r="AJ592" i="17"/>
  <c r="AJ593" i="17"/>
  <c r="AJ594" i="17"/>
  <c r="AJ595" i="17"/>
  <c r="AJ596" i="17"/>
  <c r="AJ597" i="17"/>
  <c r="AJ598" i="17"/>
  <c r="AJ599" i="17"/>
  <c r="AJ600" i="17"/>
  <c r="AJ601" i="17"/>
  <c r="AJ602" i="17"/>
  <c r="AJ603" i="17"/>
  <c r="AJ604" i="17"/>
  <c r="AJ605" i="17"/>
  <c r="AJ606" i="17"/>
  <c r="AJ607" i="17"/>
  <c r="AJ608" i="17"/>
  <c r="AJ609" i="17"/>
  <c r="AJ610" i="17"/>
  <c r="AJ611" i="17"/>
  <c r="AJ612" i="17"/>
  <c r="AJ613" i="17"/>
  <c r="AJ614" i="17"/>
  <c r="AJ615" i="17"/>
  <c r="AJ616" i="17"/>
  <c r="AJ617" i="17"/>
  <c r="AJ618" i="17"/>
  <c r="AJ619" i="17"/>
  <c r="AJ620" i="17"/>
  <c r="AJ621" i="17"/>
  <c r="AJ622" i="17"/>
  <c r="AJ623" i="17"/>
  <c r="AJ624" i="17"/>
  <c r="AJ625" i="17"/>
  <c r="AJ626" i="17"/>
  <c r="AJ627" i="17"/>
  <c r="AJ628" i="17"/>
  <c r="AJ629" i="17"/>
  <c r="AJ630" i="17"/>
  <c r="AJ631" i="17"/>
  <c r="AJ632" i="17"/>
  <c r="AJ633" i="17"/>
  <c r="AJ634" i="17"/>
  <c r="AJ635" i="17"/>
  <c r="AJ636" i="17"/>
  <c r="AJ637" i="17"/>
  <c r="AJ638" i="17"/>
  <c r="AJ639" i="17"/>
  <c r="AJ640" i="17"/>
  <c r="AJ641" i="17"/>
  <c r="AJ642" i="17"/>
  <c r="AJ643" i="17"/>
  <c r="AJ644" i="17"/>
  <c r="AJ645" i="17"/>
  <c r="AJ646" i="17"/>
  <c r="AJ647" i="17"/>
  <c r="AJ648" i="17"/>
  <c r="AJ649" i="17"/>
  <c r="AJ650" i="17"/>
  <c r="AJ651" i="17"/>
  <c r="AJ652" i="17"/>
  <c r="AJ653" i="17"/>
  <c r="AJ654" i="17"/>
  <c r="AJ655" i="17"/>
  <c r="AJ656" i="17"/>
  <c r="AJ657" i="17"/>
  <c r="AJ658" i="17"/>
  <c r="AJ659" i="17"/>
  <c r="AJ660" i="17"/>
  <c r="AJ661" i="17"/>
  <c r="AJ662" i="17"/>
  <c r="AJ663" i="17"/>
  <c r="AJ664" i="17"/>
  <c r="AJ665" i="17"/>
  <c r="AJ666" i="17"/>
  <c r="AJ667" i="17"/>
  <c r="AJ668" i="17"/>
  <c r="AJ669" i="17"/>
  <c r="AJ670" i="17"/>
  <c r="AJ671" i="17"/>
  <c r="AJ672" i="17"/>
  <c r="AJ673" i="17"/>
  <c r="AJ674" i="17"/>
  <c r="AJ675" i="17"/>
  <c r="AJ676" i="17"/>
  <c r="AJ677" i="17"/>
  <c r="AJ678" i="17"/>
  <c r="AJ679" i="17"/>
  <c r="AJ680" i="17"/>
  <c r="AJ681" i="17"/>
  <c r="AJ682" i="17"/>
  <c r="AJ683" i="17"/>
  <c r="AJ684" i="17"/>
  <c r="AJ685" i="17"/>
  <c r="AJ686" i="17"/>
  <c r="AJ687" i="17"/>
  <c r="AJ688" i="17"/>
  <c r="AJ689" i="17"/>
  <c r="AJ690" i="17"/>
  <c r="AJ691" i="17"/>
  <c r="AJ692" i="17"/>
  <c r="AJ693" i="17"/>
  <c r="AJ694" i="17"/>
  <c r="AJ695" i="17"/>
  <c r="AJ696" i="17"/>
  <c r="AJ697" i="17"/>
  <c r="AJ698" i="17"/>
  <c r="AJ699" i="17"/>
  <c r="AJ700" i="17"/>
  <c r="AJ701" i="17"/>
  <c r="AI3" i="17"/>
  <c r="AI4" i="17"/>
  <c r="AI5" i="17"/>
  <c r="AI6" i="17"/>
  <c r="AI7" i="17"/>
  <c r="AI8" i="17"/>
  <c r="AI9" i="17"/>
  <c r="AI10" i="17"/>
  <c r="AI11" i="17"/>
  <c r="AI12" i="17"/>
  <c r="AI13" i="17"/>
  <c r="AI14" i="17"/>
  <c r="AI15" i="17"/>
  <c r="AI16" i="17"/>
  <c r="AI17" i="17"/>
  <c r="AI18" i="17"/>
  <c r="AI19" i="17"/>
  <c r="AI20" i="17"/>
  <c r="AI21" i="17"/>
  <c r="AI22" i="17"/>
  <c r="AI23" i="17"/>
  <c r="AI24" i="17"/>
  <c r="AI25" i="17"/>
  <c r="AI26" i="17"/>
  <c r="AI27" i="17"/>
  <c r="AI28" i="17"/>
  <c r="AI29" i="17"/>
  <c r="AI30" i="17"/>
  <c r="AI31" i="17"/>
  <c r="AI32" i="17"/>
  <c r="AI33" i="17"/>
  <c r="AI34" i="17"/>
  <c r="AI35" i="17"/>
  <c r="AI36" i="17"/>
  <c r="AI37" i="17"/>
  <c r="AI38" i="17"/>
  <c r="AI39" i="17"/>
  <c r="AI40" i="17"/>
  <c r="AI41" i="17"/>
  <c r="AI42" i="17"/>
  <c r="AI43" i="17"/>
  <c r="AI44" i="17"/>
  <c r="AI45" i="17"/>
  <c r="AI46" i="17"/>
  <c r="AI47" i="17"/>
  <c r="AI48" i="17"/>
  <c r="AI49" i="17"/>
  <c r="AI50" i="17"/>
  <c r="AI51" i="17"/>
  <c r="AI52" i="17"/>
  <c r="AI53" i="17"/>
  <c r="AI54" i="17"/>
  <c r="AI55" i="17"/>
  <c r="AI56" i="17"/>
  <c r="AI57" i="17"/>
  <c r="AI58" i="17"/>
  <c r="AI59" i="17"/>
  <c r="AI60" i="17"/>
  <c r="AI61" i="17"/>
  <c r="AI62" i="17"/>
  <c r="AI63" i="17"/>
  <c r="AI64" i="17"/>
  <c r="AI65" i="17"/>
  <c r="AI66" i="17"/>
  <c r="AI67" i="17"/>
  <c r="AI68" i="17"/>
  <c r="AI69" i="17"/>
  <c r="AI70" i="17"/>
  <c r="AI71" i="17"/>
  <c r="AI72" i="17"/>
  <c r="AI73" i="17"/>
  <c r="AI74" i="17"/>
  <c r="AI75" i="17"/>
  <c r="AI76" i="17"/>
  <c r="AI77" i="17"/>
  <c r="AI78" i="17"/>
  <c r="AI79" i="17"/>
  <c r="AI80" i="17"/>
  <c r="AI81" i="17"/>
  <c r="AI82" i="17"/>
  <c r="AI83" i="17"/>
  <c r="AI84" i="17"/>
  <c r="AI85" i="17"/>
  <c r="AI86" i="17"/>
  <c r="AI87" i="17"/>
  <c r="AI88" i="17"/>
  <c r="AI89" i="17"/>
  <c r="AI90" i="17"/>
  <c r="AI91" i="17"/>
  <c r="AI92" i="17"/>
  <c r="AI93" i="17"/>
  <c r="AI94" i="17"/>
  <c r="AI95" i="17"/>
  <c r="AI96" i="17"/>
  <c r="AI97" i="17"/>
  <c r="AI98" i="17"/>
  <c r="AI99" i="17"/>
  <c r="AI100" i="17"/>
  <c r="AI101" i="17"/>
  <c r="AI102" i="17"/>
  <c r="AI103" i="17"/>
  <c r="AI104" i="17"/>
  <c r="AI105" i="17"/>
  <c r="AI106" i="17"/>
  <c r="AI107" i="17"/>
  <c r="AI108" i="17"/>
  <c r="AI109" i="17"/>
  <c r="AI110" i="17"/>
  <c r="AI111" i="17"/>
  <c r="AI112" i="17"/>
  <c r="AI113" i="17"/>
  <c r="AI114" i="17"/>
  <c r="AI115" i="17"/>
  <c r="AI116" i="17"/>
  <c r="AI117" i="17"/>
  <c r="AI118" i="17"/>
  <c r="AI119" i="17"/>
  <c r="AI120" i="17"/>
  <c r="AI121" i="17"/>
  <c r="AI122" i="17"/>
  <c r="AI123" i="17"/>
  <c r="AI124" i="17"/>
  <c r="AI125" i="17"/>
  <c r="AI126" i="17"/>
  <c r="AI127" i="17"/>
  <c r="AI128" i="17"/>
  <c r="AI129" i="17"/>
  <c r="AI130" i="17"/>
  <c r="AI131" i="17"/>
  <c r="AI132" i="17"/>
  <c r="AI133" i="17"/>
  <c r="AI134" i="17"/>
  <c r="AI135" i="17"/>
  <c r="AI136" i="17"/>
  <c r="AI137" i="17"/>
  <c r="AI138" i="17"/>
  <c r="AI139" i="17"/>
  <c r="AI140" i="17"/>
  <c r="AI141" i="17"/>
  <c r="AI142" i="17"/>
  <c r="AI143" i="17"/>
  <c r="AI144" i="17"/>
  <c r="AI145" i="17"/>
  <c r="AI146" i="17"/>
  <c r="AI147" i="17"/>
  <c r="AI148" i="17"/>
  <c r="AI149" i="17"/>
  <c r="AI150" i="17"/>
  <c r="AI151" i="17"/>
  <c r="AI152" i="17"/>
  <c r="AI153" i="17"/>
  <c r="AI154" i="17"/>
  <c r="AI155" i="17"/>
  <c r="AI156" i="17"/>
  <c r="AI157" i="17"/>
  <c r="AI158" i="17"/>
  <c r="AI159" i="17"/>
  <c r="AI160" i="17"/>
  <c r="AI161" i="17"/>
  <c r="AI162" i="17"/>
  <c r="AI163" i="17"/>
  <c r="AI164" i="17"/>
  <c r="AI165" i="17"/>
  <c r="AI166" i="17"/>
  <c r="AI167" i="17"/>
  <c r="AI168" i="17"/>
  <c r="AI169" i="17"/>
  <c r="AI170" i="17"/>
  <c r="AI171" i="17"/>
  <c r="AI172" i="17"/>
  <c r="AI173" i="17"/>
  <c r="AI174" i="17"/>
  <c r="AI175" i="17"/>
  <c r="AI176" i="17"/>
  <c r="AI177" i="17"/>
  <c r="AI178" i="17"/>
  <c r="AI179" i="17"/>
  <c r="AI180" i="17"/>
  <c r="AI181" i="17"/>
  <c r="AI182" i="17"/>
  <c r="AI183" i="17"/>
  <c r="AI184" i="17"/>
  <c r="AI185" i="17"/>
  <c r="AI186" i="17"/>
  <c r="AI187" i="17"/>
  <c r="AI188" i="17"/>
  <c r="AI189" i="17"/>
  <c r="AI190" i="17"/>
  <c r="AI191" i="17"/>
  <c r="AI192" i="17"/>
  <c r="AI193" i="17"/>
  <c r="AI194" i="17"/>
  <c r="AI195" i="17"/>
  <c r="AI196" i="17"/>
  <c r="AI197" i="17"/>
  <c r="AI198" i="17"/>
  <c r="AI199" i="17"/>
  <c r="AI200" i="17"/>
  <c r="AI201" i="17"/>
  <c r="AI202" i="17"/>
  <c r="AI203" i="17"/>
  <c r="AI204" i="17"/>
  <c r="AI205" i="17"/>
  <c r="AI206" i="17"/>
  <c r="AI207" i="17"/>
  <c r="AI208" i="17"/>
  <c r="AI209" i="17"/>
  <c r="AI210" i="17"/>
  <c r="AI211" i="17"/>
  <c r="AI212" i="17"/>
  <c r="AI213" i="17"/>
  <c r="AI214" i="17"/>
  <c r="AI215" i="17"/>
  <c r="AI216" i="17"/>
  <c r="AI217" i="17"/>
  <c r="AI218" i="17"/>
  <c r="AI219" i="17"/>
  <c r="AI220" i="17"/>
  <c r="AI221" i="17"/>
  <c r="AI222" i="17"/>
  <c r="AI223" i="17"/>
  <c r="AI224" i="17"/>
  <c r="AI225" i="17"/>
  <c r="AI226" i="17"/>
  <c r="AI227" i="17"/>
  <c r="AI228" i="17"/>
  <c r="AI229" i="17"/>
  <c r="AI230" i="17"/>
  <c r="AI231" i="17"/>
  <c r="AI232" i="17"/>
  <c r="AI233" i="17"/>
  <c r="AI234" i="17"/>
  <c r="AI235" i="17"/>
  <c r="AI236" i="17"/>
  <c r="AI237" i="17"/>
  <c r="AI238" i="17"/>
  <c r="AI239" i="17"/>
  <c r="AI240" i="17"/>
  <c r="AI241" i="17"/>
  <c r="AI242" i="17"/>
  <c r="AI243" i="17"/>
  <c r="AI244" i="17"/>
  <c r="AI245" i="17"/>
  <c r="AI246" i="17"/>
  <c r="AI247" i="17"/>
  <c r="AI248" i="17"/>
  <c r="AI249" i="17"/>
  <c r="AI250" i="17"/>
  <c r="AI251" i="17"/>
  <c r="AI252" i="17"/>
  <c r="AI253" i="17"/>
  <c r="AI254" i="17"/>
  <c r="AI255" i="17"/>
  <c r="AI256" i="17"/>
  <c r="AI257" i="17"/>
  <c r="AI258" i="17"/>
  <c r="AI259" i="17"/>
  <c r="AI260" i="17"/>
  <c r="AI261" i="17"/>
  <c r="AI262" i="17"/>
  <c r="AI263" i="17"/>
  <c r="AI264" i="17"/>
  <c r="AI265" i="17"/>
  <c r="AI266" i="17"/>
  <c r="AI267" i="17"/>
  <c r="AI268" i="17"/>
  <c r="AI269" i="17"/>
  <c r="AI270" i="17"/>
  <c r="AI271" i="17"/>
  <c r="AI272" i="17"/>
  <c r="AI273" i="17"/>
  <c r="AI274" i="17"/>
  <c r="AI275" i="17"/>
  <c r="AI276" i="17"/>
  <c r="AI277" i="17"/>
  <c r="AI278" i="17"/>
  <c r="AI279" i="17"/>
  <c r="AI280" i="17"/>
  <c r="AI281" i="17"/>
  <c r="AI282" i="17"/>
  <c r="AI283" i="17"/>
  <c r="AI284" i="17"/>
  <c r="AI285" i="17"/>
  <c r="AI286" i="17"/>
  <c r="AI287" i="17"/>
  <c r="AI288" i="17"/>
  <c r="AI289" i="17"/>
  <c r="AI290" i="17"/>
  <c r="AI291" i="17"/>
  <c r="AI292" i="17"/>
  <c r="AI293" i="17"/>
  <c r="AI294" i="17"/>
  <c r="AI295" i="17"/>
  <c r="AI296" i="17"/>
  <c r="AI297" i="17"/>
  <c r="AI298" i="17"/>
  <c r="AI299" i="17"/>
  <c r="AI300" i="17"/>
  <c r="AI301" i="17"/>
  <c r="AI302" i="17"/>
  <c r="AI303" i="17"/>
  <c r="AI304" i="17"/>
  <c r="AI305" i="17"/>
  <c r="AI306" i="17"/>
  <c r="AI307" i="17"/>
  <c r="AI308" i="17"/>
  <c r="AI309" i="17"/>
  <c r="AI310" i="17"/>
  <c r="AI311" i="17"/>
  <c r="AI312" i="17"/>
  <c r="AI313" i="17"/>
  <c r="AI314" i="17"/>
  <c r="AI315" i="17"/>
  <c r="AI316" i="17"/>
  <c r="AI317" i="17"/>
  <c r="AI318" i="17"/>
  <c r="AI319" i="17"/>
  <c r="AI320" i="17"/>
  <c r="AI321" i="17"/>
  <c r="AI322" i="17"/>
  <c r="AI323" i="17"/>
  <c r="AI324" i="17"/>
  <c r="AI325" i="17"/>
  <c r="AI326" i="17"/>
  <c r="AI327" i="17"/>
  <c r="AI328" i="17"/>
  <c r="AI329" i="17"/>
  <c r="AI330" i="17"/>
  <c r="AI331" i="17"/>
  <c r="AI332" i="17"/>
  <c r="AI333" i="17"/>
  <c r="AI334" i="17"/>
  <c r="AI335" i="17"/>
  <c r="AI336" i="17"/>
  <c r="AI337" i="17"/>
  <c r="AI338" i="17"/>
  <c r="AI339" i="17"/>
  <c r="AI340" i="17"/>
  <c r="AI341" i="17"/>
  <c r="AI342" i="17"/>
  <c r="AI343" i="17"/>
  <c r="AI344" i="17"/>
  <c r="AI345" i="17"/>
  <c r="AI346" i="17"/>
  <c r="AI347" i="17"/>
  <c r="AI348" i="17"/>
  <c r="AI349" i="17"/>
  <c r="AI350" i="17"/>
  <c r="AI351" i="17"/>
  <c r="AI352" i="17"/>
  <c r="AI353" i="17"/>
  <c r="AI354" i="17"/>
  <c r="AI355" i="17"/>
  <c r="AI356" i="17"/>
  <c r="AI357" i="17"/>
  <c r="AI358" i="17"/>
  <c r="AI359" i="17"/>
  <c r="AI360" i="17"/>
  <c r="AI361" i="17"/>
  <c r="AI362" i="17"/>
  <c r="AI363" i="17"/>
  <c r="AI364" i="17"/>
  <c r="AI365" i="17"/>
  <c r="AI366" i="17"/>
  <c r="AI367" i="17"/>
  <c r="AI368" i="17"/>
  <c r="AI369" i="17"/>
  <c r="AI370" i="17"/>
  <c r="AI371" i="17"/>
  <c r="AI372" i="17"/>
  <c r="AI373" i="17"/>
  <c r="AI374" i="17"/>
  <c r="AI375" i="17"/>
  <c r="AI376" i="17"/>
  <c r="AI377" i="17"/>
  <c r="AI378" i="17"/>
  <c r="AI379" i="17"/>
  <c r="AI380" i="17"/>
  <c r="AI381" i="17"/>
  <c r="AI382" i="17"/>
  <c r="AI383" i="17"/>
  <c r="AI384" i="17"/>
  <c r="AI385" i="17"/>
  <c r="AI386" i="17"/>
  <c r="AI387" i="17"/>
  <c r="AI388" i="17"/>
  <c r="AI389" i="17"/>
  <c r="AI390" i="17"/>
  <c r="AI391" i="17"/>
  <c r="AI392" i="17"/>
  <c r="AI393" i="17"/>
  <c r="AI394" i="17"/>
  <c r="AI395" i="17"/>
  <c r="AI396" i="17"/>
  <c r="AI397" i="17"/>
  <c r="AI398" i="17"/>
  <c r="AI399" i="17"/>
  <c r="AI400" i="17"/>
  <c r="AI401" i="17"/>
  <c r="AI402" i="17"/>
  <c r="AI403" i="17"/>
  <c r="AI404" i="17"/>
  <c r="AI405" i="17"/>
  <c r="AI406" i="17"/>
  <c r="AI407" i="17"/>
  <c r="AI408" i="17"/>
  <c r="AI409" i="17"/>
  <c r="AI410" i="17"/>
  <c r="AI411" i="17"/>
  <c r="AI412" i="17"/>
  <c r="AI413" i="17"/>
  <c r="AI414" i="17"/>
  <c r="AI415" i="17"/>
  <c r="AI416" i="17"/>
  <c r="AI417" i="17"/>
  <c r="AI418" i="17"/>
  <c r="AI419" i="17"/>
  <c r="AI420" i="17"/>
  <c r="AI421" i="17"/>
  <c r="AI422" i="17"/>
  <c r="AI423" i="17"/>
  <c r="AI424" i="17"/>
  <c r="AI425" i="17"/>
  <c r="AI426" i="17"/>
  <c r="AI427" i="17"/>
  <c r="AI428" i="17"/>
  <c r="AI429" i="17"/>
  <c r="AI430" i="17"/>
  <c r="AI431" i="17"/>
  <c r="AI432" i="17"/>
  <c r="AI433" i="17"/>
  <c r="AI434" i="17"/>
  <c r="AI435" i="17"/>
  <c r="AI436" i="17"/>
  <c r="AI437" i="17"/>
  <c r="AI438" i="17"/>
  <c r="AI439" i="17"/>
  <c r="AI440" i="17"/>
  <c r="AI441" i="17"/>
  <c r="AI442" i="17"/>
  <c r="AI443" i="17"/>
  <c r="AI444" i="17"/>
  <c r="AI445" i="17"/>
  <c r="AI446" i="17"/>
  <c r="AI447" i="17"/>
  <c r="AI448" i="17"/>
  <c r="AI449" i="17"/>
  <c r="AI450" i="17"/>
  <c r="AI451" i="17"/>
  <c r="AI452" i="17"/>
  <c r="AI453" i="17"/>
  <c r="AI454" i="17"/>
  <c r="AI455" i="17"/>
  <c r="AI456" i="17"/>
  <c r="AI457" i="17"/>
  <c r="AI458" i="17"/>
  <c r="AI459" i="17"/>
  <c r="AI460" i="17"/>
  <c r="AI461" i="17"/>
  <c r="AI462" i="17"/>
  <c r="AI463" i="17"/>
  <c r="AI464" i="17"/>
  <c r="AI465" i="17"/>
  <c r="AI466" i="17"/>
  <c r="AI467" i="17"/>
  <c r="AI468" i="17"/>
  <c r="AI469" i="17"/>
  <c r="AI470" i="17"/>
  <c r="AI471" i="17"/>
  <c r="AI472" i="17"/>
  <c r="AI473" i="17"/>
  <c r="AI474" i="17"/>
  <c r="AI475" i="17"/>
  <c r="AI476" i="17"/>
  <c r="AI477" i="17"/>
  <c r="AI478" i="17"/>
  <c r="AI479" i="17"/>
  <c r="AI480" i="17"/>
  <c r="AI481" i="17"/>
  <c r="AI482" i="17"/>
  <c r="AI483" i="17"/>
  <c r="AI484" i="17"/>
  <c r="AI485" i="17"/>
  <c r="AI486" i="17"/>
  <c r="AI487" i="17"/>
  <c r="AI488" i="17"/>
  <c r="AI489" i="17"/>
  <c r="AI490" i="17"/>
  <c r="AI491" i="17"/>
  <c r="AI492" i="17"/>
  <c r="AI493" i="17"/>
  <c r="AI494" i="17"/>
  <c r="AI495" i="17"/>
  <c r="AI496" i="17"/>
  <c r="AI497" i="17"/>
  <c r="AI498" i="17"/>
  <c r="AI499" i="17"/>
  <c r="AI500" i="17"/>
  <c r="AI501" i="17"/>
  <c r="AI502" i="17"/>
  <c r="AI503" i="17"/>
  <c r="AI504" i="17"/>
  <c r="AI505" i="17"/>
  <c r="AI506" i="17"/>
  <c r="AI507" i="17"/>
  <c r="AI508" i="17"/>
  <c r="AI509" i="17"/>
  <c r="AI510" i="17"/>
  <c r="AI511" i="17"/>
  <c r="AI512" i="17"/>
  <c r="AI513" i="17"/>
  <c r="AI514" i="17"/>
  <c r="AI515" i="17"/>
  <c r="AI516" i="17"/>
  <c r="AI517" i="17"/>
  <c r="AI518" i="17"/>
  <c r="AI519" i="17"/>
  <c r="AI520" i="17"/>
  <c r="AI521" i="17"/>
  <c r="AI522" i="17"/>
  <c r="AI523" i="17"/>
  <c r="AI524" i="17"/>
  <c r="AI525" i="17"/>
  <c r="AI526" i="17"/>
  <c r="AI527" i="17"/>
  <c r="AI528" i="17"/>
  <c r="AI529" i="17"/>
  <c r="AI530" i="17"/>
  <c r="AI531" i="17"/>
  <c r="AI532" i="17"/>
  <c r="AI533" i="17"/>
  <c r="AI534" i="17"/>
  <c r="AI535" i="17"/>
  <c r="AI536" i="17"/>
  <c r="AI537" i="17"/>
  <c r="AI538" i="17"/>
  <c r="AI539" i="17"/>
  <c r="AI540" i="17"/>
  <c r="AI541" i="17"/>
  <c r="AI542" i="17"/>
  <c r="AI543" i="17"/>
  <c r="AI544" i="17"/>
  <c r="AI545" i="17"/>
  <c r="AI546" i="17"/>
  <c r="AI547" i="17"/>
  <c r="AI548" i="17"/>
  <c r="AI549" i="17"/>
  <c r="AI550" i="17"/>
  <c r="AI551" i="17"/>
  <c r="AI552" i="17"/>
  <c r="AI553" i="17"/>
  <c r="AI554" i="17"/>
  <c r="AI555" i="17"/>
  <c r="AI556" i="17"/>
  <c r="AI557" i="17"/>
  <c r="AI558" i="17"/>
  <c r="AI559" i="17"/>
  <c r="AI560" i="17"/>
  <c r="AI561" i="17"/>
  <c r="AI562" i="17"/>
  <c r="AI563" i="17"/>
  <c r="AI564" i="17"/>
  <c r="AI565" i="17"/>
  <c r="AI566" i="17"/>
  <c r="AI567" i="17"/>
  <c r="AI568" i="17"/>
  <c r="AI569" i="17"/>
  <c r="AI570" i="17"/>
  <c r="AI571" i="17"/>
  <c r="AI572" i="17"/>
  <c r="AI573" i="17"/>
  <c r="AI574" i="17"/>
  <c r="AI575" i="17"/>
  <c r="AI576" i="17"/>
  <c r="AI577" i="17"/>
  <c r="AI578" i="17"/>
  <c r="AI579" i="17"/>
  <c r="AI580" i="17"/>
  <c r="AI581" i="17"/>
  <c r="AI582" i="17"/>
  <c r="AI583" i="17"/>
  <c r="AI584" i="17"/>
  <c r="AI585" i="17"/>
  <c r="AI586" i="17"/>
  <c r="AI587" i="17"/>
  <c r="AI588" i="17"/>
  <c r="AI589" i="17"/>
  <c r="AI590" i="17"/>
  <c r="AI591" i="17"/>
  <c r="AI592" i="17"/>
  <c r="AI593" i="17"/>
  <c r="AI594" i="17"/>
  <c r="AI595" i="17"/>
  <c r="AI596" i="17"/>
  <c r="AI597" i="17"/>
  <c r="AI598" i="17"/>
  <c r="AI599" i="17"/>
  <c r="AI600" i="17"/>
  <c r="AI601" i="17"/>
  <c r="AI602" i="17"/>
  <c r="AI603" i="17"/>
  <c r="AI604" i="17"/>
  <c r="AI605" i="17"/>
  <c r="AI606" i="17"/>
  <c r="AI607" i="17"/>
  <c r="AI608" i="17"/>
  <c r="AI609" i="17"/>
  <c r="AI610" i="17"/>
  <c r="AI611" i="17"/>
  <c r="AI612" i="17"/>
  <c r="AI613" i="17"/>
  <c r="AI614" i="17"/>
  <c r="AI615" i="17"/>
  <c r="AI616" i="17"/>
  <c r="AI617" i="17"/>
  <c r="AI618" i="17"/>
  <c r="AI619" i="17"/>
  <c r="AI620" i="17"/>
  <c r="AI621" i="17"/>
  <c r="AI622" i="17"/>
  <c r="AI623" i="17"/>
  <c r="AI624" i="17"/>
  <c r="AI625" i="17"/>
  <c r="AI626" i="17"/>
  <c r="AI627" i="17"/>
  <c r="AI628" i="17"/>
  <c r="AI629" i="17"/>
  <c r="AI630" i="17"/>
  <c r="AI631" i="17"/>
  <c r="AI632" i="17"/>
  <c r="AI633" i="17"/>
  <c r="AI634" i="17"/>
  <c r="AI635" i="17"/>
  <c r="AI636" i="17"/>
  <c r="AI637" i="17"/>
  <c r="AI638" i="17"/>
  <c r="AI639" i="17"/>
  <c r="AI640" i="17"/>
  <c r="AI641" i="17"/>
  <c r="AI642" i="17"/>
  <c r="AI643" i="17"/>
  <c r="AI644" i="17"/>
  <c r="AI645" i="17"/>
  <c r="AI646" i="17"/>
  <c r="AI647" i="17"/>
  <c r="AI648" i="17"/>
  <c r="AI649" i="17"/>
  <c r="AI650" i="17"/>
  <c r="AI651" i="17"/>
  <c r="AI652" i="17"/>
  <c r="AI653" i="17"/>
  <c r="AI654" i="17"/>
  <c r="AI655" i="17"/>
  <c r="AI656" i="17"/>
  <c r="AI657" i="17"/>
  <c r="AI658" i="17"/>
  <c r="AI659" i="17"/>
  <c r="AI660" i="17"/>
  <c r="AI661" i="17"/>
  <c r="AI662" i="17"/>
  <c r="AI663" i="17"/>
  <c r="AI664" i="17"/>
  <c r="AI665" i="17"/>
  <c r="AI666" i="17"/>
  <c r="AI667" i="17"/>
  <c r="AI668" i="17"/>
  <c r="AI669" i="17"/>
  <c r="AI670" i="17"/>
  <c r="AI671" i="17"/>
  <c r="AI672" i="17"/>
  <c r="AI673" i="17"/>
  <c r="AI674" i="17"/>
  <c r="AI675" i="17"/>
  <c r="AI676" i="17"/>
  <c r="AI677" i="17"/>
  <c r="AI678" i="17"/>
  <c r="AI679" i="17"/>
  <c r="AI680" i="17"/>
  <c r="AI681" i="17"/>
  <c r="AI682" i="17"/>
  <c r="AI683" i="17"/>
  <c r="AI684" i="17"/>
  <c r="AI685" i="17"/>
  <c r="AI686" i="17"/>
  <c r="AI687" i="17"/>
  <c r="AI688" i="17"/>
  <c r="AI689" i="17"/>
  <c r="AI690" i="17"/>
  <c r="AI691" i="17"/>
  <c r="AI692" i="17"/>
  <c r="AI693" i="17"/>
  <c r="AI694" i="17"/>
  <c r="AI695" i="17"/>
  <c r="AI696" i="17"/>
  <c r="AI697" i="17"/>
  <c r="AI698" i="17"/>
  <c r="AI699" i="17"/>
  <c r="AI700" i="17"/>
  <c r="AI701" i="17"/>
  <c r="AH3" i="17"/>
  <c r="AH4" i="17"/>
  <c r="AH5" i="17"/>
  <c r="AH6" i="17"/>
  <c r="AH7" i="17"/>
  <c r="AH8" i="17"/>
  <c r="AH9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H152" i="17"/>
  <c r="AH153" i="17"/>
  <c r="AH154" i="17"/>
  <c r="AH155" i="17"/>
  <c r="AH156" i="17"/>
  <c r="AH157" i="17"/>
  <c r="AH158" i="17"/>
  <c r="AH159" i="17"/>
  <c r="AH160" i="17"/>
  <c r="AH161" i="17"/>
  <c r="AH162" i="17"/>
  <c r="AH163" i="17"/>
  <c r="AH164" i="17"/>
  <c r="AH165" i="17"/>
  <c r="AH166" i="17"/>
  <c r="AH167" i="17"/>
  <c r="AH168" i="17"/>
  <c r="AH169" i="17"/>
  <c r="AH170" i="17"/>
  <c r="AH171" i="17"/>
  <c r="AH172" i="17"/>
  <c r="AH173" i="17"/>
  <c r="AH174" i="17"/>
  <c r="AH175" i="17"/>
  <c r="AH176" i="17"/>
  <c r="AH177" i="17"/>
  <c r="AH178" i="17"/>
  <c r="AH179" i="17"/>
  <c r="AH180" i="17"/>
  <c r="AH181" i="17"/>
  <c r="AH182" i="17"/>
  <c r="AH183" i="17"/>
  <c r="AH184" i="17"/>
  <c r="AH185" i="17"/>
  <c r="AH186" i="17"/>
  <c r="AH187" i="17"/>
  <c r="AH188" i="17"/>
  <c r="AH189" i="17"/>
  <c r="AH190" i="17"/>
  <c r="AH191" i="17"/>
  <c r="AH192" i="17"/>
  <c r="AH193" i="17"/>
  <c r="AH194" i="17"/>
  <c r="AH195" i="17"/>
  <c r="AH196" i="17"/>
  <c r="AH197" i="17"/>
  <c r="AH198" i="17"/>
  <c r="AH199" i="17"/>
  <c r="AH200" i="17"/>
  <c r="AH201" i="17"/>
  <c r="AH202" i="17"/>
  <c r="AH203" i="17"/>
  <c r="AH204" i="17"/>
  <c r="AH205" i="17"/>
  <c r="AH206" i="17"/>
  <c r="AH207" i="17"/>
  <c r="AH208" i="17"/>
  <c r="AH209" i="17"/>
  <c r="AH210" i="17"/>
  <c r="AH211" i="17"/>
  <c r="AH212" i="17"/>
  <c r="AH213" i="17"/>
  <c r="AH214" i="17"/>
  <c r="AH215" i="17"/>
  <c r="AH216" i="17"/>
  <c r="AH217" i="17"/>
  <c r="AH218" i="17"/>
  <c r="AH219" i="17"/>
  <c r="AH220" i="17"/>
  <c r="AH221" i="17"/>
  <c r="AH222" i="17"/>
  <c r="AH223" i="17"/>
  <c r="AH224" i="17"/>
  <c r="AH225" i="17"/>
  <c r="AH226" i="17"/>
  <c r="AH227" i="17"/>
  <c r="AH228" i="17"/>
  <c r="AH229" i="17"/>
  <c r="AH230" i="17"/>
  <c r="AH231" i="17"/>
  <c r="AH232" i="17"/>
  <c r="AH233" i="17"/>
  <c r="AH234" i="17"/>
  <c r="AH235" i="17"/>
  <c r="AH236" i="17"/>
  <c r="AH237" i="17"/>
  <c r="AH238" i="17"/>
  <c r="AH239" i="17"/>
  <c r="AH240" i="17"/>
  <c r="AH241" i="17"/>
  <c r="AH242" i="17"/>
  <c r="AH243" i="17"/>
  <c r="AH244" i="17"/>
  <c r="AH245" i="17"/>
  <c r="AH246" i="17"/>
  <c r="AH247" i="17"/>
  <c r="AH248" i="17"/>
  <c r="AH249" i="17"/>
  <c r="AH250" i="17"/>
  <c r="AH251" i="17"/>
  <c r="AH252" i="17"/>
  <c r="AH253" i="17"/>
  <c r="AH254" i="17"/>
  <c r="AH255" i="17"/>
  <c r="AH256" i="17"/>
  <c r="AH257" i="17"/>
  <c r="AH258" i="17"/>
  <c r="AH259" i="17"/>
  <c r="AH260" i="17"/>
  <c r="AH261" i="17"/>
  <c r="AH262" i="17"/>
  <c r="AH263" i="17"/>
  <c r="AH264" i="17"/>
  <c r="AH265" i="17"/>
  <c r="AH266" i="17"/>
  <c r="AH267" i="17"/>
  <c r="AH268" i="17"/>
  <c r="AH269" i="17"/>
  <c r="AH270" i="17"/>
  <c r="AH271" i="17"/>
  <c r="AH272" i="17"/>
  <c r="AH273" i="17"/>
  <c r="AH274" i="17"/>
  <c r="AH275" i="17"/>
  <c r="AH276" i="17"/>
  <c r="AH277" i="17"/>
  <c r="AH278" i="17"/>
  <c r="AH279" i="17"/>
  <c r="AH280" i="17"/>
  <c r="AH281" i="17"/>
  <c r="AH282" i="17"/>
  <c r="AH283" i="17"/>
  <c r="AH284" i="17"/>
  <c r="AH285" i="17"/>
  <c r="AH286" i="17"/>
  <c r="AH287" i="17"/>
  <c r="AH288" i="17"/>
  <c r="AH289" i="17"/>
  <c r="AH290" i="17"/>
  <c r="AH291" i="17"/>
  <c r="AH292" i="17"/>
  <c r="AH293" i="17"/>
  <c r="AH294" i="17"/>
  <c r="AH295" i="17"/>
  <c r="AH296" i="17"/>
  <c r="AH297" i="17"/>
  <c r="AH298" i="17"/>
  <c r="AH299" i="17"/>
  <c r="AH300" i="17"/>
  <c r="AH301" i="17"/>
  <c r="AH302" i="17"/>
  <c r="AH303" i="17"/>
  <c r="AH304" i="17"/>
  <c r="AH305" i="17"/>
  <c r="AH306" i="17"/>
  <c r="AH307" i="17"/>
  <c r="AH308" i="17"/>
  <c r="AH309" i="17"/>
  <c r="AH310" i="17"/>
  <c r="AH311" i="17"/>
  <c r="AH312" i="17"/>
  <c r="AH313" i="17"/>
  <c r="AH314" i="17"/>
  <c r="AH315" i="17"/>
  <c r="AH316" i="17"/>
  <c r="AH317" i="17"/>
  <c r="AH318" i="17"/>
  <c r="AH319" i="17"/>
  <c r="AH320" i="17"/>
  <c r="AH321" i="17"/>
  <c r="AH322" i="17"/>
  <c r="AH323" i="17"/>
  <c r="AH324" i="17"/>
  <c r="AH325" i="17"/>
  <c r="AH326" i="17"/>
  <c r="AH327" i="17"/>
  <c r="AH328" i="17"/>
  <c r="AH329" i="17"/>
  <c r="AH330" i="17"/>
  <c r="AH331" i="17"/>
  <c r="AH332" i="17"/>
  <c r="AH333" i="17"/>
  <c r="AH334" i="17"/>
  <c r="AH335" i="17"/>
  <c r="AH336" i="17"/>
  <c r="AH337" i="17"/>
  <c r="AH338" i="17"/>
  <c r="AH339" i="17"/>
  <c r="AH340" i="17"/>
  <c r="AH341" i="17"/>
  <c r="AH342" i="17"/>
  <c r="AH343" i="17"/>
  <c r="AH344" i="17"/>
  <c r="AH345" i="17"/>
  <c r="AH346" i="17"/>
  <c r="AH347" i="17"/>
  <c r="AH348" i="17"/>
  <c r="AH349" i="17"/>
  <c r="AH350" i="17"/>
  <c r="AH351" i="17"/>
  <c r="AH352" i="17"/>
  <c r="AH353" i="17"/>
  <c r="AH354" i="17"/>
  <c r="AH355" i="17"/>
  <c r="AH356" i="17"/>
  <c r="AH357" i="17"/>
  <c r="AH358" i="17"/>
  <c r="AH359" i="17"/>
  <c r="AH360" i="17"/>
  <c r="AH361" i="17"/>
  <c r="AH362" i="17"/>
  <c r="AH363" i="17"/>
  <c r="AH364" i="17"/>
  <c r="AH365" i="17"/>
  <c r="AH366" i="17"/>
  <c r="AH367" i="17"/>
  <c r="AH368" i="17"/>
  <c r="AH369" i="17"/>
  <c r="AH370" i="17"/>
  <c r="AH371" i="17"/>
  <c r="AH372" i="17"/>
  <c r="AH373" i="17"/>
  <c r="AH374" i="17"/>
  <c r="AH375" i="17"/>
  <c r="AH376" i="17"/>
  <c r="AH377" i="17"/>
  <c r="AH378" i="17"/>
  <c r="AH379" i="17"/>
  <c r="AH380" i="17"/>
  <c r="AH381" i="17"/>
  <c r="AH382" i="17"/>
  <c r="AH383" i="17"/>
  <c r="AH384" i="17"/>
  <c r="AH385" i="17"/>
  <c r="AH386" i="17"/>
  <c r="AH387" i="17"/>
  <c r="AH388" i="17"/>
  <c r="AH389" i="17"/>
  <c r="AH390" i="17"/>
  <c r="AH391" i="17"/>
  <c r="AH392" i="17"/>
  <c r="AH393" i="17"/>
  <c r="AH394" i="17"/>
  <c r="AH395" i="17"/>
  <c r="AH396" i="17"/>
  <c r="AH397" i="17"/>
  <c r="AH398" i="17"/>
  <c r="AH399" i="17"/>
  <c r="AH400" i="17"/>
  <c r="AH401" i="17"/>
  <c r="AH402" i="17"/>
  <c r="AH403" i="17"/>
  <c r="AH404" i="17"/>
  <c r="AH405" i="17"/>
  <c r="AH406" i="17"/>
  <c r="AH407" i="17"/>
  <c r="AH408" i="17"/>
  <c r="AH409" i="17"/>
  <c r="AH410" i="17"/>
  <c r="AH411" i="17"/>
  <c r="AH412" i="17"/>
  <c r="AH413" i="17"/>
  <c r="AH414" i="17"/>
  <c r="AH415" i="17"/>
  <c r="AH416" i="17"/>
  <c r="AH417" i="17"/>
  <c r="AH418" i="17"/>
  <c r="AH419" i="17"/>
  <c r="AH420" i="17"/>
  <c r="AH421" i="17"/>
  <c r="AH422" i="17"/>
  <c r="AH423" i="17"/>
  <c r="AH424" i="17"/>
  <c r="AH425" i="17"/>
  <c r="AH426" i="17"/>
  <c r="AH427" i="17"/>
  <c r="AH428" i="17"/>
  <c r="AH429" i="17"/>
  <c r="AH430" i="17"/>
  <c r="AH431" i="17"/>
  <c r="AH432" i="17"/>
  <c r="AH433" i="17"/>
  <c r="AH434" i="17"/>
  <c r="AH435" i="17"/>
  <c r="AH436" i="17"/>
  <c r="AH437" i="17"/>
  <c r="AH438" i="17"/>
  <c r="AH439" i="17"/>
  <c r="AH440" i="17"/>
  <c r="AH441" i="17"/>
  <c r="AH442" i="17"/>
  <c r="AH443" i="17"/>
  <c r="AH444" i="17"/>
  <c r="AH445" i="17"/>
  <c r="AH446" i="17"/>
  <c r="AH447" i="17"/>
  <c r="AH448" i="17"/>
  <c r="AH449" i="17"/>
  <c r="AH450" i="17"/>
  <c r="AH451" i="17"/>
  <c r="AH452" i="17"/>
  <c r="AH453" i="17"/>
  <c r="AH454" i="17"/>
  <c r="AH455" i="17"/>
  <c r="AH456" i="17"/>
  <c r="AH457" i="17"/>
  <c r="AH458" i="17"/>
  <c r="AH459" i="17"/>
  <c r="AH460" i="17"/>
  <c r="AH461" i="17"/>
  <c r="AH462" i="17"/>
  <c r="AH463" i="17"/>
  <c r="AH464" i="17"/>
  <c r="AH465" i="17"/>
  <c r="AH466" i="17"/>
  <c r="AH467" i="17"/>
  <c r="AH468" i="17"/>
  <c r="AH469" i="17"/>
  <c r="AH470" i="17"/>
  <c r="AH471" i="17"/>
  <c r="AH472" i="17"/>
  <c r="AH473" i="17"/>
  <c r="AH474" i="17"/>
  <c r="AH475" i="17"/>
  <c r="AH476" i="17"/>
  <c r="AH477" i="17"/>
  <c r="AH478" i="17"/>
  <c r="AH479" i="17"/>
  <c r="AH480" i="17"/>
  <c r="AH481" i="17"/>
  <c r="AH482" i="17"/>
  <c r="AH483" i="17"/>
  <c r="AH484" i="17"/>
  <c r="AH485" i="17"/>
  <c r="AH486" i="17"/>
  <c r="AH487" i="17"/>
  <c r="AH488" i="17"/>
  <c r="AH489" i="17"/>
  <c r="AH490" i="17"/>
  <c r="AH491" i="17"/>
  <c r="AH492" i="17"/>
  <c r="AH493" i="17"/>
  <c r="AH494" i="17"/>
  <c r="AH495" i="17"/>
  <c r="AH496" i="17"/>
  <c r="AH497" i="17"/>
  <c r="AH498" i="17"/>
  <c r="AH499" i="17"/>
  <c r="AH500" i="17"/>
  <c r="AH501" i="17"/>
  <c r="AH502" i="17"/>
  <c r="AH503" i="17"/>
  <c r="AH504" i="17"/>
  <c r="AH505" i="17"/>
  <c r="AH506" i="17"/>
  <c r="AH507" i="17"/>
  <c r="AH508" i="17"/>
  <c r="AH509" i="17"/>
  <c r="AH510" i="17"/>
  <c r="AH511" i="17"/>
  <c r="AH512" i="17"/>
  <c r="AH513" i="17"/>
  <c r="AH514" i="17"/>
  <c r="AH515" i="17"/>
  <c r="AH516" i="17"/>
  <c r="AH517" i="17"/>
  <c r="AH518" i="17"/>
  <c r="AH519" i="17"/>
  <c r="AH520" i="17"/>
  <c r="AH521" i="17"/>
  <c r="AH522" i="17"/>
  <c r="AH523" i="17"/>
  <c r="AH524" i="17"/>
  <c r="AH525" i="17"/>
  <c r="AH526" i="17"/>
  <c r="AH527" i="17"/>
  <c r="AH528" i="17"/>
  <c r="AH529" i="17"/>
  <c r="AH530" i="17"/>
  <c r="AH531" i="17"/>
  <c r="AH532" i="17"/>
  <c r="AH533" i="17"/>
  <c r="AH534" i="17"/>
  <c r="AH535" i="17"/>
  <c r="AH536" i="17"/>
  <c r="AH537" i="17"/>
  <c r="AH538" i="17"/>
  <c r="AH539" i="17"/>
  <c r="AH540" i="17"/>
  <c r="AH541" i="17"/>
  <c r="AH542" i="17"/>
  <c r="AH543" i="17"/>
  <c r="AH544" i="17"/>
  <c r="AH545" i="17"/>
  <c r="AH546" i="17"/>
  <c r="AH547" i="17"/>
  <c r="AH548" i="17"/>
  <c r="AH549" i="17"/>
  <c r="AH550" i="17"/>
  <c r="AH551" i="17"/>
  <c r="AH552" i="17"/>
  <c r="AH553" i="17"/>
  <c r="AH554" i="17"/>
  <c r="AH555" i="17"/>
  <c r="AH556" i="17"/>
  <c r="AH557" i="17"/>
  <c r="AH558" i="17"/>
  <c r="AH559" i="17"/>
  <c r="AH560" i="17"/>
  <c r="AH561" i="17"/>
  <c r="AH562" i="17"/>
  <c r="AH563" i="17"/>
  <c r="AH564" i="17"/>
  <c r="AH565" i="17"/>
  <c r="AH566" i="17"/>
  <c r="AH567" i="17"/>
  <c r="AH568" i="17"/>
  <c r="AH569" i="17"/>
  <c r="AH570" i="17"/>
  <c r="AH571" i="17"/>
  <c r="AH572" i="17"/>
  <c r="AH573" i="17"/>
  <c r="AH574" i="17"/>
  <c r="AH575" i="17"/>
  <c r="AH576" i="17"/>
  <c r="AH577" i="17"/>
  <c r="AH578" i="17"/>
  <c r="AH579" i="17"/>
  <c r="AH580" i="17"/>
  <c r="AH581" i="17"/>
  <c r="AH582" i="17"/>
  <c r="AH583" i="17"/>
  <c r="AH584" i="17"/>
  <c r="AH585" i="17"/>
  <c r="AH586" i="17"/>
  <c r="AH587" i="17"/>
  <c r="AH588" i="17"/>
  <c r="AH589" i="17"/>
  <c r="AH590" i="17"/>
  <c r="AH591" i="17"/>
  <c r="AH592" i="17"/>
  <c r="AH593" i="17"/>
  <c r="AH594" i="17"/>
  <c r="AH595" i="17"/>
  <c r="AH596" i="17"/>
  <c r="AH597" i="17"/>
  <c r="AH598" i="17"/>
  <c r="AH599" i="17"/>
  <c r="AH600" i="17"/>
  <c r="AH601" i="17"/>
  <c r="AH602" i="17"/>
  <c r="AH603" i="17"/>
  <c r="AH604" i="17"/>
  <c r="AH605" i="17"/>
  <c r="AH606" i="17"/>
  <c r="AH607" i="17"/>
  <c r="AH608" i="17"/>
  <c r="AH609" i="17"/>
  <c r="AH610" i="17"/>
  <c r="AH611" i="17"/>
  <c r="AH612" i="17"/>
  <c r="AH613" i="17"/>
  <c r="AH614" i="17"/>
  <c r="AH615" i="17"/>
  <c r="AH616" i="17"/>
  <c r="AH617" i="17"/>
  <c r="AH618" i="17"/>
  <c r="AH619" i="17"/>
  <c r="AH620" i="17"/>
  <c r="AH621" i="17"/>
  <c r="AH622" i="17"/>
  <c r="AH623" i="17"/>
  <c r="AH624" i="17"/>
  <c r="AH625" i="17"/>
  <c r="AH626" i="17"/>
  <c r="AH627" i="17"/>
  <c r="AH628" i="17"/>
  <c r="AH629" i="17"/>
  <c r="AH630" i="17"/>
  <c r="AH631" i="17"/>
  <c r="AH632" i="17"/>
  <c r="AH633" i="17"/>
  <c r="AH634" i="17"/>
  <c r="AH635" i="17"/>
  <c r="AH636" i="17"/>
  <c r="AH637" i="17"/>
  <c r="AH638" i="17"/>
  <c r="AH639" i="17"/>
  <c r="AH640" i="17"/>
  <c r="AH641" i="17"/>
  <c r="AH642" i="17"/>
  <c r="AH643" i="17"/>
  <c r="AH644" i="17"/>
  <c r="AH645" i="17"/>
  <c r="AH646" i="17"/>
  <c r="AH647" i="17"/>
  <c r="AH648" i="17"/>
  <c r="AH649" i="17"/>
  <c r="AH650" i="17"/>
  <c r="AH651" i="17"/>
  <c r="AH652" i="17"/>
  <c r="AH653" i="17"/>
  <c r="AH654" i="17"/>
  <c r="AH655" i="17"/>
  <c r="AH656" i="17"/>
  <c r="AH657" i="17"/>
  <c r="AH658" i="17"/>
  <c r="AH659" i="17"/>
  <c r="AH660" i="17"/>
  <c r="AH661" i="17"/>
  <c r="AH662" i="17"/>
  <c r="AH663" i="17"/>
  <c r="AH664" i="17"/>
  <c r="AH665" i="17"/>
  <c r="AH666" i="17"/>
  <c r="AH667" i="17"/>
  <c r="AH668" i="17"/>
  <c r="AH669" i="17"/>
  <c r="AH670" i="17"/>
  <c r="AH671" i="17"/>
  <c r="AH672" i="17"/>
  <c r="AH673" i="17"/>
  <c r="AH674" i="17"/>
  <c r="AH675" i="17"/>
  <c r="AH676" i="17"/>
  <c r="AH677" i="17"/>
  <c r="AH678" i="17"/>
  <c r="AH679" i="17"/>
  <c r="AH680" i="17"/>
  <c r="AH681" i="17"/>
  <c r="AH682" i="17"/>
  <c r="AH683" i="17"/>
  <c r="AH684" i="17"/>
  <c r="AH685" i="17"/>
  <c r="AH686" i="17"/>
  <c r="AH687" i="17"/>
  <c r="AH688" i="17"/>
  <c r="AH689" i="17"/>
  <c r="AH690" i="17"/>
  <c r="AH691" i="17"/>
  <c r="AH692" i="17"/>
  <c r="AH693" i="17"/>
  <c r="AH694" i="17"/>
  <c r="AH695" i="17"/>
  <c r="AH696" i="17"/>
  <c r="AH697" i="17"/>
  <c r="AH698" i="17"/>
  <c r="AH699" i="17"/>
  <c r="AH700" i="17"/>
  <c r="AH701" i="17"/>
  <c r="AG3" i="17"/>
  <c r="AG4" i="17"/>
  <c r="AG5" i="17"/>
  <c r="AG6" i="17"/>
  <c r="AG7" i="17"/>
  <c r="AG8" i="17"/>
  <c r="AG9" i="17"/>
  <c r="AG10" i="17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48" i="17"/>
  <c r="AG49" i="17"/>
  <c r="AG50" i="17"/>
  <c r="AG51" i="17"/>
  <c r="AG52" i="17"/>
  <c r="AG53" i="17"/>
  <c r="AG54" i="17"/>
  <c r="AG55" i="17"/>
  <c r="AG56" i="17"/>
  <c r="AG57" i="17"/>
  <c r="AG58" i="17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96" i="17"/>
  <c r="AG97" i="17"/>
  <c r="AG98" i="17"/>
  <c r="AG99" i="17"/>
  <c r="AG100" i="17"/>
  <c r="AG101" i="17"/>
  <c r="AG102" i="17"/>
  <c r="AG103" i="17"/>
  <c r="AG104" i="17"/>
  <c r="AG105" i="17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7" i="17"/>
  <c r="AG118" i="17"/>
  <c r="AG119" i="17"/>
  <c r="AG120" i="17"/>
  <c r="AG121" i="17"/>
  <c r="AG122" i="17"/>
  <c r="AG123" i="17"/>
  <c r="AG124" i="17"/>
  <c r="AG125" i="17"/>
  <c r="AG126" i="17"/>
  <c r="AG127" i="17"/>
  <c r="AG128" i="17"/>
  <c r="AG129" i="17"/>
  <c r="AG130" i="17"/>
  <c r="AG131" i="17"/>
  <c r="AG132" i="17"/>
  <c r="AG133" i="17"/>
  <c r="AG134" i="17"/>
  <c r="AG135" i="17"/>
  <c r="AG136" i="17"/>
  <c r="AG137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G152" i="17"/>
  <c r="AG153" i="17"/>
  <c r="AG154" i="17"/>
  <c r="AG155" i="17"/>
  <c r="AG156" i="17"/>
  <c r="AG157" i="17"/>
  <c r="AG158" i="17"/>
  <c r="AG159" i="17"/>
  <c r="AG160" i="17"/>
  <c r="AG161" i="17"/>
  <c r="AG162" i="17"/>
  <c r="AG163" i="17"/>
  <c r="AG164" i="17"/>
  <c r="AG165" i="17"/>
  <c r="AG166" i="17"/>
  <c r="AG167" i="17"/>
  <c r="AG168" i="17"/>
  <c r="AG169" i="17"/>
  <c r="AG170" i="17"/>
  <c r="AG171" i="17"/>
  <c r="AG172" i="17"/>
  <c r="AG173" i="17"/>
  <c r="AG174" i="17"/>
  <c r="AG175" i="17"/>
  <c r="AG176" i="17"/>
  <c r="AG177" i="17"/>
  <c r="AG178" i="17"/>
  <c r="AG179" i="17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210" i="17"/>
  <c r="AG211" i="17"/>
  <c r="AG212" i="17"/>
  <c r="AG213" i="17"/>
  <c r="AG214" i="17"/>
  <c r="AG215" i="17"/>
  <c r="AG216" i="17"/>
  <c r="AG217" i="17"/>
  <c r="AG218" i="17"/>
  <c r="AG219" i="17"/>
  <c r="AG220" i="17"/>
  <c r="AG221" i="17"/>
  <c r="AG222" i="17"/>
  <c r="AG223" i="17"/>
  <c r="AG224" i="17"/>
  <c r="AG225" i="17"/>
  <c r="AG226" i="17"/>
  <c r="AG227" i="17"/>
  <c r="AG228" i="17"/>
  <c r="AG229" i="17"/>
  <c r="AG230" i="17"/>
  <c r="AG231" i="17"/>
  <c r="AG232" i="17"/>
  <c r="AG233" i="17"/>
  <c r="AG234" i="17"/>
  <c r="AG235" i="17"/>
  <c r="AG236" i="17"/>
  <c r="AG237" i="17"/>
  <c r="AG238" i="17"/>
  <c r="AG239" i="17"/>
  <c r="AG240" i="17"/>
  <c r="AG241" i="17"/>
  <c r="AG242" i="17"/>
  <c r="AG243" i="17"/>
  <c r="AG244" i="17"/>
  <c r="AG245" i="17"/>
  <c r="AG246" i="17"/>
  <c r="AG247" i="17"/>
  <c r="AG248" i="17"/>
  <c r="AG249" i="17"/>
  <c r="AG250" i="17"/>
  <c r="AG251" i="17"/>
  <c r="AG252" i="17"/>
  <c r="AG253" i="17"/>
  <c r="AG254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G273" i="17"/>
  <c r="AG274" i="17"/>
  <c r="AG275" i="17"/>
  <c r="AG276" i="17"/>
  <c r="AG277" i="17"/>
  <c r="AG278" i="17"/>
  <c r="AG279" i="17"/>
  <c r="AG280" i="17"/>
  <c r="AG281" i="17"/>
  <c r="AG282" i="17"/>
  <c r="AG283" i="17"/>
  <c r="AG284" i="17"/>
  <c r="AG285" i="17"/>
  <c r="AG286" i="17"/>
  <c r="AG287" i="17"/>
  <c r="AG288" i="17"/>
  <c r="AG289" i="17"/>
  <c r="AG290" i="17"/>
  <c r="AG291" i="17"/>
  <c r="AG292" i="17"/>
  <c r="AG293" i="17"/>
  <c r="AG294" i="17"/>
  <c r="AG295" i="17"/>
  <c r="AG296" i="17"/>
  <c r="AG297" i="17"/>
  <c r="AG298" i="17"/>
  <c r="AG299" i="17"/>
  <c r="AG300" i="17"/>
  <c r="AG301" i="17"/>
  <c r="AG302" i="17"/>
  <c r="AG303" i="17"/>
  <c r="AG304" i="17"/>
  <c r="AG305" i="17"/>
  <c r="AG306" i="17"/>
  <c r="AG307" i="17"/>
  <c r="AG308" i="17"/>
  <c r="AG309" i="17"/>
  <c r="AG310" i="17"/>
  <c r="AG311" i="17"/>
  <c r="AG312" i="17"/>
  <c r="AG313" i="17"/>
  <c r="AG314" i="17"/>
  <c r="AG315" i="17"/>
  <c r="AG316" i="17"/>
  <c r="AG317" i="17"/>
  <c r="AG318" i="17"/>
  <c r="AG319" i="17"/>
  <c r="AG320" i="17"/>
  <c r="AG321" i="17"/>
  <c r="AG322" i="17"/>
  <c r="AG323" i="17"/>
  <c r="AG324" i="17"/>
  <c r="AG325" i="17"/>
  <c r="AG326" i="17"/>
  <c r="AG327" i="17"/>
  <c r="AG328" i="17"/>
  <c r="AG329" i="17"/>
  <c r="AG330" i="17"/>
  <c r="AG331" i="17"/>
  <c r="AG332" i="17"/>
  <c r="AG333" i="17"/>
  <c r="AG334" i="17"/>
  <c r="AG335" i="17"/>
  <c r="AG336" i="17"/>
  <c r="AG337" i="17"/>
  <c r="AG338" i="17"/>
  <c r="AG339" i="17"/>
  <c r="AG340" i="17"/>
  <c r="AG341" i="17"/>
  <c r="AG342" i="17"/>
  <c r="AG343" i="17"/>
  <c r="AG344" i="17"/>
  <c r="AG345" i="17"/>
  <c r="AG346" i="17"/>
  <c r="AG347" i="17"/>
  <c r="AG348" i="17"/>
  <c r="AG349" i="17"/>
  <c r="AG350" i="17"/>
  <c r="AG351" i="17"/>
  <c r="AG352" i="17"/>
  <c r="AG353" i="17"/>
  <c r="AG354" i="17"/>
  <c r="AG355" i="17"/>
  <c r="AG356" i="17"/>
  <c r="AG357" i="17"/>
  <c r="AG358" i="17"/>
  <c r="AG359" i="17"/>
  <c r="AG360" i="17"/>
  <c r="AG361" i="17"/>
  <c r="AG362" i="17"/>
  <c r="AG363" i="17"/>
  <c r="AG364" i="17"/>
  <c r="AG365" i="17"/>
  <c r="AG366" i="17"/>
  <c r="AG367" i="17"/>
  <c r="AG368" i="17"/>
  <c r="AG369" i="17"/>
  <c r="AG370" i="17"/>
  <c r="AG371" i="17"/>
  <c r="AG372" i="17"/>
  <c r="AG373" i="17"/>
  <c r="AG374" i="17"/>
  <c r="AG375" i="17"/>
  <c r="AG376" i="17"/>
  <c r="AG377" i="17"/>
  <c r="AG378" i="17"/>
  <c r="AG379" i="17"/>
  <c r="AG380" i="17"/>
  <c r="AG381" i="17"/>
  <c r="AG382" i="17"/>
  <c r="AG383" i="17"/>
  <c r="AG384" i="17"/>
  <c r="AG385" i="17"/>
  <c r="AG386" i="17"/>
  <c r="AG387" i="17"/>
  <c r="AG388" i="17"/>
  <c r="AG389" i="17"/>
  <c r="AG390" i="17"/>
  <c r="AG391" i="17"/>
  <c r="AG392" i="17"/>
  <c r="AG393" i="17"/>
  <c r="AG394" i="17"/>
  <c r="AG395" i="17"/>
  <c r="AG396" i="17"/>
  <c r="AG397" i="17"/>
  <c r="AG398" i="17"/>
  <c r="AG399" i="17"/>
  <c r="AG400" i="17"/>
  <c r="AG401" i="17"/>
  <c r="AG402" i="17"/>
  <c r="AG403" i="17"/>
  <c r="AG404" i="17"/>
  <c r="AG405" i="17"/>
  <c r="AG406" i="17"/>
  <c r="AG407" i="17"/>
  <c r="AG408" i="17"/>
  <c r="AG409" i="17"/>
  <c r="AG410" i="17"/>
  <c r="AG411" i="17"/>
  <c r="AG412" i="17"/>
  <c r="AG413" i="17"/>
  <c r="AG414" i="17"/>
  <c r="AG415" i="17"/>
  <c r="AG416" i="17"/>
  <c r="AG417" i="17"/>
  <c r="AG418" i="17"/>
  <c r="AG419" i="17"/>
  <c r="AG420" i="17"/>
  <c r="AG421" i="17"/>
  <c r="AG422" i="17"/>
  <c r="AG423" i="17"/>
  <c r="AG424" i="17"/>
  <c r="AG425" i="17"/>
  <c r="AG426" i="17"/>
  <c r="AG427" i="17"/>
  <c r="AG428" i="17"/>
  <c r="AG429" i="17"/>
  <c r="AG430" i="17"/>
  <c r="AG431" i="17"/>
  <c r="AG432" i="17"/>
  <c r="AG433" i="17"/>
  <c r="AG434" i="17"/>
  <c r="AG435" i="17"/>
  <c r="AG436" i="17"/>
  <c r="AG437" i="17"/>
  <c r="AG438" i="17"/>
  <c r="AG439" i="17"/>
  <c r="AG440" i="17"/>
  <c r="AG441" i="17"/>
  <c r="AG442" i="17"/>
  <c r="AG443" i="17"/>
  <c r="AG444" i="17"/>
  <c r="AG445" i="17"/>
  <c r="AG446" i="17"/>
  <c r="AG447" i="17"/>
  <c r="AG448" i="17"/>
  <c r="AG449" i="17"/>
  <c r="AG450" i="17"/>
  <c r="AG451" i="17"/>
  <c r="AG452" i="17"/>
  <c r="AG453" i="17"/>
  <c r="AG454" i="17"/>
  <c r="AG455" i="17"/>
  <c r="AG456" i="17"/>
  <c r="AG457" i="17"/>
  <c r="AG458" i="17"/>
  <c r="AG459" i="17"/>
  <c r="AG460" i="17"/>
  <c r="AG461" i="17"/>
  <c r="AG462" i="17"/>
  <c r="AG463" i="17"/>
  <c r="AG464" i="17"/>
  <c r="AG465" i="17"/>
  <c r="AG466" i="17"/>
  <c r="AG467" i="17"/>
  <c r="AG468" i="17"/>
  <c r="AG469" i="17"/>
  <c r="AG470" i="17"/>
  <c r="AG471" i="17"/>
  <c r="AG472" i="17"/>
  <c r="AG473" i="17"/>
  <c r="AG474" i="17"/>
  <c r="AG475" i="17"/>
  <c r="AG476" i="17"/>
  <c r="AG477" i="17"/>
  <c r="AG478" i="17"/>
  <c r="AG479" i="17"/>
  <c r="AG480" i="17"/>
  <c r="AG481" i="17"/>
  <c r="AG482" i="17"/>
  <c r="AG483" i="17"/>
  <c r="AG484" i="17"/>
  <c r="AG485" i="17"/>
  <c r="AG486" i="17"/>
  <c r="AG487" i="17"/>
  <c r="AG488" i="17"/>
  <c r="AG489" i="17"/>
  <c r="AG490" i="17"/>
  <c r="AG491" i="17"/>
  <c r="AG492" i="17"/>
  <c r="AG493" i="17"/>
  <c r="AG494" i="17"/>
  <c r="AG495" i="17"/>
  <c r="AG496" i="17"/>
  <c r="AG497" i="17"/>
  <c r="AG498" i="17"/>
  <c r="AG499" i="17"/>
  <c r="AG500" i="17"/>
  <c r="AG501" i="17"/>
  <c r="AG502" i="17"/>
  <c r="AG503" i="17"/>
  <c r="AG504" i="17"/>
  <c r="AG505" i="17"/>
  <c r="AG506" i="17"/>
  <c r="AG507" i="17"/>
  <c r="AG508" i="17"/>
  <c r="AG509" i="17"/>
  <c r="AG510" i="17"/>
  <c r="AG511" i="17"/>
  <c r="AG512" i="17"/>
  <c r="AG513" i="17"/>
  <c r="AG514" i="17"/>
  <c r="AG515" i="17"/>
  <c r="AG516" i="17"/>
  <c r="AG517" i="17"/>
  <c r="AG518" i="17"/>
  <c r="AG519" i="17"/>
  <c r="AG520" i="17"/>
  <c r="AG521" i="17"/>
  <c r="AG522" i="17"/>
  <c r="AG523" i="17"/>
  <c r="AG524" i="17"/>
  <c r="AG525" i="17"/>
  <c r="AG526" i="17"/>
  <c r="AG527" i="17"/>
  <c r="AG528" i="17"/>
  <c r="AG529" i="17"/>
  <c r="AG530" i="17"/>
  <c r="AG531" i="17"/>
  <c r="AG532" i="17"/>
  <c r="AG533" i="17"/>
  <c r="AG534" i="17"/>
  <c r="AG535" i="17"/>
  <c r="AG536" i="17"/>
  <c r="AG537" i="17"/>
  <c r="AG538" i="17"/>
  <c r="AG539" i="17"/>
  <c r="AG540" i="17"/>
  <c r="AG541" i="17"/>
  <c r="AG542" i="17"/>
  <c r="AG543" i="17"/>
  <c r="AG544" i="17"/>
  <c r="AG545" i="17"/>
  <c r="AG546" i="17"/>
  <c r="AG547" i="17"/>
  <c r="AG548" i="17"/>
  <c r="AG549" i="17"/>
  <c r="AG550" i="17"/>
  <c r="AG551" i="17"/>
  <c r="AG552" i="17"/>
  <c r="AG553" i="17"/>
  <c r="AG554" i="17"/>
  <c r="AG555" i="17"/>
  <c r="AG556" i="17"/>
  <c r="AG557" i="17"/>
  <c r="AG558" i="17"/>
  <c r="AG559" i="17"/>
  <c r="AG560" i="17"/>
  <c r="AG561" i="17"/>
  <c r="AG562" i="17"/>
  <c r="AG563" i="17"/>
  <c r="AG564" i="17"/>
  <c r="AG565" i="17"/>
  <c r="AG566" i="17"/>
  <c r="AG567" i="17"/>
  <c r="AG568" i="17"/>
  <c r="AG569" i="17"/>
  <c r="AG570" i="17"/>
  <c r="AG571" i="17"/>
  <c r="AG572" i="17"/>
  <c r="AG573" i="17"/>
  <c r="AG574" i="17"/>
  <c r="AG575" i="17"/>
  <c r="AG576" i="17"/>
  <c r="AG577" i="17"/>
  <c r="AG578" i="17"/>
  <c r="AG579" i="17"/>
  <c r="AG580" i="17"/>
  <c r="AG581" i="17"/>
  <c r="AG582" i="17"/>
  <c r="AG583" i="17"/>
  <c r="AG584" i="17"/>
  <c r="AG585" i="17"/>
  <c r="AG586" i="17"/>
  <c r="AG587" i="17"/>
  <c r="AG588" i="17"/>
  <c r="AG589" i="17"/>
  <c r="AG590" i="17"/>
  <c r="AG591" i="17"/>
  <c r="AG592" i="17"/>
  <c r="AG593" i="17"/>
  <c r="AG594" i="17"/>
  <c r="AG595" i="17"/>
  <c r="AG596" i="17"/>
  <c r="AG597" i="17"/>
  <c r="AG598" i="17"/>
  <c r="AG599" i="17"/>
  <c r="AG600" i="17"/>
  <c r="AG601" i="17"/>
  <c r="AG602" i="17"/>
  <c r="AG603" i="17"/>
  <c r="AG604" i="17"/>
  <c r="AG605" i="17"/>
  <c r="AG606" i="17"/>
  <c r="AG607" i="17"/>
  <c r="AG608" i="17"/>
  <c r="AG609" i="17"/>
  <c r="AG610" i="17"/>
  <c r="AG611" i="17"/>
  <c r="AG612" i="17"/>
  <c r="AG613" i="17"/>
  <c r="AG614" i="17"/>
  <c r="AG615" i="17"/>
  <c r="AG616" i="17"/>
  <c r="AG617" i="17"/>
  <c r="AG618" i="17"/>
  <c r="AG619" i="17"/>
  <c r="AG620" i="17"/>
  <c r="AG621" i="17"/>
  <c r="AG622" i="17"/>
  <c r="AG623" i="17"/>
  <c r="AG624" i="17"/>
  <c r="AG625" i="17"/>
  <c r="AG626" i="17"/>
  <c r="AG627" i="17"/>
  <c r="AG628" i="17"/>
  <c r="AG629" i="17"/>
  <c r="AG630" i="17"/>
  <c r="AG631" i="17"/>
  <c r="AG632" i="17"/>
  <c r="AG633" i="17"/>
  <c r="AG634" i="17"/>
  <c r="AG635" i="17"/>
  <c r="AG636" i="17"/>
  <c r="AG637" i="17"/>
  <c r="AG638" i="17"/>
  <c r="AG639" i="17"/>
  <c r="AG640" i="17"/>
  <c r="AG641" i="17"/>
  <c r="AG642" i="17"/>
  <c r="AG643" i="17"/>
  <c r="AG644" i="17"/>
  <c r="AG645" i="17"/>
  <c r="AG646" i="17"/>
  <c r="AG647" i="17"/>
  <c r="AG648" i="17"/>
  <c r="AG649" i="17"/>
  <c r="AG650" i="17"/>
  <c r="AG651" i="17"/>
  <c r="AG652" i="17"/>
  <c r="AG653" i="17"/>
  <c r="AG654" i="17"/>
  <c r="AG655" i="17"/>
  <c r="AG656" i="17"/>
  <c r="AG657" i="17"/>
  <c r="AG658" i="17"/>
  <c r="AG659" i="17"/>
  <c r="AG660" i="17"/>
  <c r="AG661" i="17"/>
  <c r="AG662" i="17"/>
  <c r="AG663" i="17"/>
  <c r="AG664" i="17"/>
  <c r="AG665" i="17"/>
  <c r="AG666" i="17"/>
  <c r="AG667" i="17"/>
  <c r="AG668" i="17"/>
  <c r="AG669" i="17"/>
  <c r="AG670" i="17"/>
  <c r="AG671" i="17"/>
  <c r="AG672" i="17"/>
  <c r="AG673" i="17"/>
  <c r="AG674" i="17"/>
  <c r="AG675" i="17"/>
  <c r="AG676" i="17"/>
  <c r="AG677" i="17"/>
  <c r="AG678" i="17"/>
  <c r="AG679" i="17"/>
  <c r="AG680" i="17"/>
  <c r="AG681" i="17"/>
  <c r="AG682" i="17"/>
  <c r="AG683" i="17"/>
  <c r="AG684" i="17"/>
  <c r="AG685" i="17"/>
  <c r="AG686" i="17"/>
  <c r="AG687" i="17"/>
  <c r="AG688" i="17"/>
  <c r="AG689" i="17"/>
  <c r="AG690" i="17"/>
  <c r="AG691" i="17"/>
  <c r="AG692" i="17"/>
  <c r="AG693" i="17"/>
  <c r="AG694" i="17"/>
  <c r="AG695" i="17"/>
  <c r="AG696" i="17"/>
  <c r="AG697" i="17"/>
  <c r="AG698" i="17"/>
  <c r="AG699" i="17"/>
  <c r="AG700" i="17"/>
  <c r="AG701" i="17"/>
  <c r="AK2" i="17"/>
  <c r="AJ2" i="17"/>
  <c r="AI2" i="17"/>
  <c r="AG2" i="17"/>
  <c r="AH2" i="17"/>
  <c r="AF3" i="17"/>
  <c r="AF4" i="17"/>
  <c r="AF5" i="17"/>
  <c r="AF6" i="17"/>
  <c r="AF7" i="17"/>
  <c r="AF8" i="17"/>
  <c r="AF9" i="17"/>
  <c r="AF10" i="17"/>
  <c r="AF11" i="17"/>
  <c r="AF12" i="17"/>
  <c r="AF13" i="17"/>
  <c r="AF14" i="17"/>
  <c r="AF15" i="17"/>
  <c r="AF16" i="17"/>
  <c r="AF17" i="17"/>
  <c r="AF18" i="17"/>
  <c r="AF19" i="17"/>
  <c r="AF20" i="17"/>
  <c r="AF21" i="17"/>
  <c r="AF22" i="17"/>
  <c r="AF23" i="17"/>
  <c r="AF24" i="17"/>
  <c r="AF25" i="17"/>
  <c r="AF26" i="17"/>
  <c r="AF27" i="17"/>
  <c r="AF28" i="17"/>
  <c r="AF29" i="17"/>
  <c r="AF30" i="17"/>
  <c r="AF31" i="17"/>
  <c r="AF32" i="17"/>
  <c r="AF33" i="17"/>
  <c r="AF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70" i="17"/>
  <c r="AF71" i="17"/>
  <c r="AF72" i="17"/>
  <c r="AF73" i="17"/>
  <c r="AF74" i="17"/>
  <c r="AF75" i="17"/>
  <c r="AF76" i="17"/>
  <c r="AF77" i="17"/>
  <c r="AF78" i="17"/>
  <c r="AF79" i="17"/>
  <c r="AF80" i="17"/>
  <c r="AF81" i="17"/>
  <c r="AF82" i="17"/>
  <c r="AF83" i="17"/>
  <c r="AF84" i="17"/>
  <c r="AF85" i="17"/>
  <c r="AF86" i="17"/>
  <c r="AF87" i="17"/>
  <c r="AF88" i="17"/>
  <c r="AF89" i="17"/>
  <c r="AF90" i="17"/>
  <c r="AF91" i="17"/>
  <c r="AF92" i="17"/>
  <c r="AF93" i="17"/>
  <c r="AF94" i="17"/>
  <c r="AF95" i="17"/>
  <c r="AF96" i="17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F110" i="17"/>
  <c r="AF111" i="17"/>
  <c r="AF112" i="17"/>
  <c r="AF113" i="17"/>
  <c r="AF114" i="17"/>
  <c r="AF115" i="17"/>
  <c r="AF116" i="17"/>
  <c r="AF117" i="17"/>
  <c r="AF118" i="17"/>
  <c r="AF119" i="17"/>
  <c r="AF120" i="17"/>
  <c r="AF121" i="17"/>
  <c r="AF122" i="17"/>
  <c r="AF123" i="17"/>
  <c r="AF124" i="17"/>
  <c r="AF125" i="17"/>
  <c r="AF126" i="17"/>
  <c r="AF127" i="17"/>
  <c r="AF128" i="17"/>
  <c r="AF129" i="17"/>
  <c r="AF130" i="17"/>
  <c r="AF131" i="17"/>
  <c r="AF132" i="17"/>
  <c r="AF133" i="17"/>
  <c r="AF134" i="17"/>
  <c r="AF135" i="17"/>
  <c r="AF136" i="17"/>
  <c r="AF137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152" i="17"/>
  <c r="AF153" i="17"/>
  <c r="AF154" i="17"/>
  <c r="AF155" i="17"/>
  <c r="AF156" i="17"/>
  <c r="AF157" i="17"/>
  <c r="AF158" i="17"/>
  <c r="AF159" i="17"/>
  <c r="AF160" i="17"/>
  <c r="AF161" i="17"/>
  <c r="AF162" i="17"/>
  <c r="AF163" i="17"/>
  <c r="AF164" i="17"/>
  <c r="AF165" i="17"/>
  <c r="AF166" i="17"/>
  <c r="AF167" i="17"/>
  <c r="AF168" i="17"/>
  <c r="AF169" i="17"/>
  <c r="AF170" i="17"/>
  <c r="AF171" i="17"/>
  <c r="AF172" i="17"/>
  <c r="AF173" i="17"/>
  <c r="AF174" i="17"/>
  <c r="AF175" i="17"/>
  <c r="AF176" i="17"/>
  <c r="AF177" i="17"/>
  <c r="AF178" i="17"/>
  <c r="AF179" i="17"/>
  <c r="AF180" i="17"/>
  <c r="AF181" i="17"/>
  <c r="AF182" i="17"/>
  <c r="AF183" i="17"/>
  <c r="AF184" i="17"/>
  <c r="AF185" i="17"/>
  <c r="AF186" i="17"/>
  <c r="AF187" i="17"/>
  <c r="AF188" i="17"/>
  <c r="AF189" i="17"/>
  <c r="AF190" i="17"/>
  <c r="AF191" i="17"/>
  <c r="AF192" i="17"/>
  <c r="AF193" i="17"/>
  <c r="AF194" i="17"/>
  <c r="AF195" i="17"/>
  <c r="AF196" i="17"/>
  <c r="AF197" i="17"/>
  <c r="AF198" i="17"/>
  <c r="AF199" i="17"/>
  <c r="AF200" i="17"/>
  <c r="AF201" i="17"/>
  <c r="AF202" i="17"/>
  <c r="AF203" i="17"/>
  <c r="AF204" i="17"/>
  <c r="AF205" i="17"/>
  <c r="AF206" i="17"/>
  <c r="AF207" i="17"/>
  <c r="AF208" i="17"/>
  <c r="AF209" i="17"/>
  <c r="AF210" i="17"/>
  <c r="AF211" i="17"/>
  <c r="AF212" i="17"/>
  <c r="AF213" i="17"/>
  <c r="AF214" i="17"/>
  <c r="AF215" i="17"/>
  <c r="AF216" i="17"/>
  <c r="AF217" i="17"/>
  <c r="AF218" i="17"/>
  <c r="AF219" i="17"/>
  <c r="AF220" i="17"/>
  <c r="AF221" i="17"/>
  <c r="AF222" i="17"/>
  <c r="AF223" i="17"/>
  <c r="AF224" i="17"/>
  <c r="AF225" i="17"/>
  <c r="AF226" i="17"/>
  <c r="AF227" i="17"/>
  <c r="AF228" i="17"/>
  <c r="AF229" i="17"/>
  <c r="AF230" i="17"/>
  <c r="AF231" i="17"/>
  <c r="AF232" i="17"/>
  <c r="AF233" i="17"/>
  <c r="AF234" i="17"/>
  <c r="AF235" i="17"/>
  <c r="AF236" i="17"/>
  <c r="AF237" i="17"/>
  <c r="AF238" i="17"/>
  <c r="AF239" i="17"/>
  <c r="AF240" i="17"/>
  <c r="AF241" i="17"/>
  <c r="AF242" i="17"/>
  <c r="AF243" i="17"/>
  <c r="AF244" i="17"/>
  <c r="AF245" i="17"/>
  <c r="AF246" i="17"/>
  <c r="AF247" i="17"/>
  <c r="AF248" i="17"/>
  <c r="AF249" i="17"/>
  <c r="AF250" i="17"/>
  <c r="AF251" i="17"/>
  <c r="AF252" i="17"/>
  <c r="AF253" i="17"/>
  <c r="AF254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F273" i="17"/>
  <c r="AF274" i="17"/>
  <c r="AF275" i="17"/>
  <c r="AF276" i="17"/>
  <c r="AF277" i="17"/>
  <c r="AF278" i="17"/>
  <c r="AF279" i="17"/>
  <c r="AF280" i="17"/>
  <c r="AF281" i="17"/>
  <c r="AF282" i="17"/>
  <c r="AF283" i="17"/>
  <c r="AF284" i="17"/>
  <c r="AF285" i="17"/>
  <c r="AF286" i="17"/>
  <c r="AF287" i="17"/>
  <c r="AF288" i="17"/>
  <c r="AF289" i="17"/>
  <c r="AF290" i="17"/>
  <c r="AF291" i="17"/>
  <c r="AF292" i="17"/>
  <c r="AF293" i="17"/>
  <c r="AF294" i="17"/>
  <c r="AF295" i="17"/>
  <c r="AF296" i="17"/>
  <c r="AF297" i="17"/>
  <c r="AF298" i="17"/>
  <c r="AF299" i="17"/>
  <c r="AF300" i="17"/>
  <c r="AF301" i="17"/>
  <c r="AF302" i="17"/>
  <c r="AF303" i="17"/>
  <c r="AF304" i="17"/>
  <c r="AF305" i="17"/>
  <c r="AF306" i="17"/>
  <c r="AF307" i="17"/>
  <c r="AF308" i="17"/>
  <c r="AF309" i="17"/>
  <c r="AF310" i="17"/>
  <c r="AF311" i="17"/>
  <c r="AF312" i="17"/>
  <c r="AF313" i="17"/>
  <c r="AF314" i="17"/>
  <c r="AF315" i="17"/>
  <c r="AF316" i="17"/>
  <c r="AF317" i="17"/>
  <c r="AF318" i="17"/>
  <c r="AF319" i="17"/>
  <c r="AF320" i="17"/>
  <c r="AF321" i="17"/>
  <c r="AF322" i="17"/>
  <c r="AF323" i="17"/>
  <c r="AF324" i="17"/>
  <c r="AF325" i="17"/>
  <c r="AF326" i="17"/>
  <c r="AF327" i="17"/>
  <c r="AF328" i="17"/>
  <c r="AF329" i="17"/>
  <c r="AF330" i="17"/>
  <c r="AF331" i="17"/>
  <c r="AF332" i="17"/>
  <c r="AF333" i="17"/>
  <c r="AF334" i="17"/>
  <c r="AF335" i="17"/>
  <c r="AF336" i="17"/>
  <c r="AF337" i="17"/>
  <c r="AF338" i="17"/>
  <c r="AF339" i="17"/>
  <c r="AF340" i="17"/>
  <c r="AF341" i="17"/>
  <c r="AF342" i="17"/>
  <c r="AF343" i="17"/>
  <c r="AF344" i="17"/>
  <c r="AF345" i="17"/>
  <c r="AF346" i="17"/>
  <c r="AF347" i="17"/>
  <c r="AF348" i="17"/>
  <c r="AF349" i="17"/>
  <c r="AF350" i="17"/>
  <c r="AF351" i="17"/>
  <c r="AF352" i="17"/>
  <c r="AF353" i="17"/>
  <c r="AF354" i="17"/>
  <c r="AF355" i="17"/>
  <c r="AF356" i="17"/>
  <c r="AF357" i="17"/>
  <c r="AF358" i="17"/>
  <c r="AF359" i="17"/>
  <c r="AF360" i="17"/>
  <c r="AF361" i="17"/>
  <c r="AF362" i="17"/>
  <c r="AF363" i="17"/>
  <c r="AF364" i="17"/>
  <c r="AF365" i="17"/>
  <c r="AF366" i="17"/>
  <c r="AF367" i="17"/>
  <c r="AF368" i="17"/>
  <c r="AF369" i="17"/>
  <c r="AF370" i="17"/>
  <c r="AF371" i="17"/>
  <c r="AF372" i="17"/>
  <c r="AF373" i="17"/>
  <c r="AF374" i="17"/>
  <c r="AF375" i="17"/>
  <c r="AF376" i="17"/>
  <c r="AF377" i="17"/>
  <c r="AF378" i="17"/>
  <c r="AF379" i="17"/>
  <c r="AF380" i="17"/>
  <c r="AF381" i="17"/>
  <c r="AF382" i="17"/>
  <c r="AF383" i="17"/>
  <c r="AF384" i="17"/>
  <c r="AF385" i="17"/>
  <c r="AF386" i="17"/>
  <c r="AF387" i="17"/>
  <c r="AF388" i="17"/>
  <c r="AF389" i="17"/>
  <c r="AF390" i="17"/>
  <c r="AF391" i="17"/>
  <c r="AF392" i="17"/>
  <c r="AF393" i="17"/>
  <c r="AF394" i="17"/>
  <c r="AF395" i="17"/>
  <c r="AF396" i="17"/>
  <c r="AF397" i="17"/>
  <c r="AF398" i="17"/>
  <c r="AF399" i="17"/>
  <c r="AF400" i="17"/>
  <c r="AF401" i="17"/>
  <c r="AF402" i="17"/>
  <c r="AF403" i="17"/>
  <c r="AF404" i="17"/>
  <c r="AF405" i="17"/>
  <c r="AF406" i="17"/>
  <c r="AF407" i="17"/>
  <c r="AF408" i="17"/>
  <c r="AF409" i="17"/>
  <c r="AF410" i="17"/>
  <c r="AF411" i="17"/>
  <c r="AF412" i="17"/>
  <c r="AF413" i="17"/>
  <c r="AF414" i="17"/>
  <c r="AF415" i="17"/>
  <c r="AF416" i="17"/>
  <c r="AF417" i="17"/>
  <c r="AF418" i="17"/>
  <c r="AF419" i="17"/>
  <c r="AF420" i="17"/>
  <c r="AF421" i="17"/>
  <c r="AF422" i="17"/>
  <c r="AF423" i="17"/>
  <c r="AF424" i="17"/>
  <c r="AF425" i="17"/>
  <c r="AF426" i="17"/>
  <c r="AF427" i="17"/>
  <c r="AF428" i="17"/>
  <c r="AF429" i="17"/>
  <c r="AF430" i="17"/>
  <c r="AF431" i="17"/>
  <c r="AF432" i="17"/>
  <c r="AF433" i="17"/>
  <c r="AF434" i="17"/>
  <c r="AF435" i="17"/>
  <c r="AF436" i="17"/>
  <c r="AF437" i="17"/>
  <c r="AF438" i="17"/>
  <c r="AF439" i="17"/>
  <c r="AF440" i="17"/>
  <c r="AF441" i="17"/>
  <c r="AF442" i="17"/>
  <c r="AF443" i="17"/>
  <c r="AF444" i="17"/>
  <c r="AF445" i="17"/>
  <c r="AF446" i="17"/>
  <c r="AF447" i="17"/>
  <c r="AF448" i="17"/>
  <c r="AF449" i="17"/>
  <c r="AF450" i="17"/>
  <c r="AF451" i="17"/>
  <c r="AF452" i="17"/>
  <c r="AF453" i="17"/>
  <c r="AF454" i="17"/>
  <c r="AF455" i="17"/>
  <c r="AF456" i="17"/>
  <c r="AF457" i="17"/>
  <c r="AF458" i="17"/>
  <c r="AF459" i="17"/>
  <c r="AF460" i="17"/>
  <c r="AF461" i="17"/>
  <c r="AF462" i="17"/>
  <c r="AF463" i="17"/>
  <c r="AF464" i="17"/>
  <c r="AF465" i="17"/>
  <c r="AF466" i="17"/>
  <c r="AF467" i="17"/>
  <c r="AF468" i="17"/>
  <c r="AF469" i="17"/>
  <c r="AF470" i="17"/>
  <c r="AF471" i="17"/>
  <c r="AF472" i="17"/>
  <c r="AF473" i="17"/>
  <c r="AF474" i="17"/>
  <c r="AF475" i="17"/>
  <c r="AF476" i="17"/>
  <c r="AF477" i="17"/>
  <c r="AF478" i="17"/>
  <c r="AF479" i="17"/>
  <c r="AF480" i="17"/>
  <c r="AF481" i="17"/>
  <c r="AF482" i="17"/>
  <c r="AF483" i="17"/>
  <c r="AF484" i="17"/>
  <c r="AF485" i="17"/>
  <c r="AF486" i="17"/>
  <c r="AF487" i="17"/>
  <c r="AF488" i="17"/>
  <c r="AF489" i="17"/>
  <c r="AF490" i="17"/>
  <c r="AF491" i="17"/>
  <c r="AF492" i="17"/>
  <c r="AF493" i="17"/>
  <c r="AF494" i="17"/>
  <c r="AF495" i="17"/>
  <c r="AF496" i="17"/>
  <c r="AF497" i="17"/>
  <c r="AF498" i="17"/>
  <c r="AF499" i="17"/>
  <c r="AF500" i="17"/>
  <c r="AF501" i="17"/>
  <c r="AF502" i="17"/>
  <c r="AF503" i="17"/>
  <c r="AF504" i="17"/>
  <c r="AF505" i="17"/>
  <c r="AF506" i="17"/>
  <c r="AF507" i="17"/>
  <c r="AF508" i="17"/>
  <c r="AF509" i="17"/>
  <c r="AF510" i="17"/>
  <c r="AF511" i="17"/>
  <c r="AF512" i="17"/>
  <c r="AF513" i="17"/>
  <c r="AF514" i="17"/>
  <c r="AF515" i="17"/>
  <c r="AF516" i="17"/>
  <c r="AF517" i="17"/>
  <c r="AF518" i="17"/>
  <c r="AF519" i="17"/>
  <c r="AF520" i="17"/>
  <c r="AF521" i="17"/>
  <c r="AF522" i="17"/>
  <c r="AF523" i="17"/>
  <c r="AF524" i="17"/>
  <c r="AF525" i="17"/>
  <c r="AF526" i="17"/>
  <c r="AF527" i="17"/>
  <c r="AF528" i="17"/>
  <c r="AF529" i="17"/>
  <c r="AF530" i="17"/>
  <c r="AF531" i="17"/>
  <c r="AF532" i="17"/>
  <c r="AF533" i="17"/>
  <c r="AF534" i="17"/>
  <c r="AF535" i="17"/>
  <c r="AF536" i="17"/>
  <c r="AF537" i="17"/>
  <c r="AF538" i="17"/>
  <c r="AF539" i="17"/>
  <c r="AF540" i="17"/>
  <c r="AF541" i="17"/>
  <c r="AF542" i="17"/>
  <c r="AF543" i="17"/>
  <c r="AF544" i="17"/>
  <c r="AF545" i="17"/>
  <c r="AF546" i="17"/>
  <c r="AF547" i="17"/>
  <c r="AF548" i="17"/>
  <c r="AF549" i="17"/>
  <c r="AF550" i="17"/>
  <c r="AF551" i="17"/>
  <c r="AF552" i="17"/>
  <c r="AF553" i="17"/>
  <c r="AF554" i="17"/>
  <c r="AF555" i="17"/>
  <c r="AF556" i="17"/>
  <c r="AF557" i="17"/>
  <c r="AF558" i="17"/>
  <c r="AF559" i="17"/>
  <c r="AF560" i="17"/>
  <c r="AF561" i="17"/>
  <c r="AF562" i="17"/>
  <c r="AF563" i="17"/>
  <c r="AF564" i="17"/>
  <c r="AF565" i="17"/>
  <c r="AF566" i="17"/>
  <c r="AF567" i="17"/>
  <c r="AF568" i="17"/>
  <c r="AF569" i="17"/>
  <c r="AF570" i="17"/>
  <c r="AF571" i="17"/>
  <c r="AF572" i="17"/>
  <c r="AF573" i="17"/>
  <c r="AF574" i="17"/>
  <c r="AF575" i="17"/>
  <c r="AF576" i="17"/>
  <c r="AF577" i="17"/>
  <c r="AF578" i="17"/>
  <c r="AF579" i="17"/>
  <c r="AF580" i="17"/>
  <c r="AF581" i="17"/>
  <c r="AF582" i="17"/>
  <c r="AF583" i="17"/>
  <c r="AF584" i="17"/>
  <c r="AF585" i="17"/>
  <c r="AF586" i="17"/>
  <c r="AF587" i="17"/>
  <c r="AF588" i="17"/>
  <c r="AF589" i="17"/>
  <c r="AF590" i="17"/>
  <c r="AF591" i="17"/>
  <c r="AF592" i="17"/>
  <c r="AF593" i="17"/>
  <c r="AF594" i="17"/>
  <c r="AF595" i="17"/>
  <c r="AF596" i="17"/>
  <c r="AF597" i="17"/>
  <c r="AF598" i="17"/>
  <c r="AF599" i="17"/>
  <c r="AF600" i="17"/>
  <c r="AF601" i="17"/>
  <c r="AF602" i="17"/>
  <c r="AF603" i="17"/>
  <c r="AF604" i="17"/>
  <c r="AF605" i="17"/>
  <c r="AF606" i="17"/>
  <c r="AF607" i="17"/>
  <c r="AF608" i="17"/>
  <c r="AF609" i="17"/>
  <c r="AF610" i="17"/>
  <c r="AF611" i="17"/>
  <c r="AF612" i="17"/>
  <c r="AF613" i="17"/>
  <c r="AF614" i="17"/>
  <c r="AF615" i="17"/>
  <c r="AF616" i="17"/>
  <c r="AF617" i="17"/>
  <c r="AF618" i="17"/>
  <c r="AF619" i="17"/>
  <c r="AF620" i="17"/>
  <c r="AF621" i="17"/>
  <c r="AF622" i="17"/>
  <c r="AF623" i="17"/>
  <c r="AF624" i="17"/>
  <c r="AF625" i="17"/>
  <c r="AF626" i="17"/>
  <c r="AF627" i="17"/>
  <c r="AF628" i="17"/>
  <c r="AF629" i="17"/>
  <c r="AF630" i="17"/>
  <c r="AF631" i="17"/>
  <c r="AF632" i="17"/>
  <c r="AF633" i="17"/>
  <c r="AF634" i="17"/>
  <c r="AF635" i="17"/>
  <c r="AF636" i="17"/>
  <c r="AF637" i="17"/>
  <c r="AF638" i="17"/>
  <c r="AF639" i="17"/>
  <c r="AF640" i="17"/>
  <c r="AF641" i="17"/>
  <c r="AF642" i="17"/>
  <c r="AF643" i="17"/>
  <c r="AF644" i="17"/>
  <c r="AF645" i="17"/>
  <c r="AF646" i="17"/>
  <c r="AF647" i="17"/>
  <c r="AF648" i="17"/>
  <c r="AF649" i="17"/>
  <c r="AF650" i="17"/>
  <c r="AF651" i="17"/>
  <c r="AF652" i="17"/>
  <c r="AF653" i="17"/>
  <c r="AF654" i="17"/>
  <c r="AF655" i="17"/>
  <c r="AF656" i="17"/>
  <c r="AF657" i="17"/>
  <c r="AF658" i="17"/>
  <c r="AF659" i="17"/>
  <c r="AF660" i="17"/>
  <c r="AF661" i="17"/>
  <c r="AF662" i="17"/>
  <c r="AF663" i="17"/>
  <c r="AF664" i="17"/>
  <c r="AF665" i="17"/>
  <c r="AF666" i="17"/>
  <c r="AF667" i="17"/>
  <c r="AF668" i="17"/>
  <c r="AF669" i="17"/>
  <c r="AF670" i="17"/>
  <c r="AF671" i="17"/>
  <c r="AF672" i="17"/>
  <c r="AF673" i="17"/>
  <c r="AF674" i="17"/>
  <c r="AF675" i="17"/>
  <c r="AF676" i="17"/>
  <c r="AF677" i="17"/>
  <c r="AF678" i="17"/>
  <c r="AF679" i="17"/>
  <c r="AF680" i="17"/>
  <c r="AF681" i="17"/>
  <c r="AF682" i="17"/>
  <c r="AF683" i="17"/>
  <c r="AF684" i="17"/>
  <c r="AF685" i="17"/>
  <c r="AF686" i="17"/>
  <c r="AF687" i="17"/>
  <c r="AF688" i="17"/>
  <c r="AF689" i="17"/>
  <c r="AF690" i="17"/>
  <c r="AF691" i="17"/>
  <c r="AF692" i="17"/>
  <c r="AF693" i="17"/>
  <c r="AF694" i="17"/>
  <c r="AF695" i="17"/>
  <c r="AF696" i="17"/>
  <c r="AF697" i="17"/>
  <c r="AF698" i="17"/>
  <c r="AF699" i="17"/>
  <c r="AF700" i="17"/>
  <c r="AF701" i="17"/>
  <c r="AF2" i="17"/>
  <c r="AE3" i="17"/>
  <c r="AE4" i="17"/>
  <c r="AE5" i="17"/>
  <c r="AE6" i="17"/>
  <c r="AE7" i="17"/>
  <c r="AE8" i="17"/>
  <c r="AE9" i="17"/>
  <c r="AE10" i="17"/>
  <c r="AE11" i="17"/>
  <c r="AE12" i="17"/>
  <c r="AE13" i="17"/>
  <c r="AE14" i="17"/>
  <c r="AE15" i="17"/>
  <c r="AE16" i="17"/>
  <c r="AE17" i="17"/>
  <c r="AE18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48" i="17"/>
  <c r="AE49" i="17"/>
  <c r="AE50" i="17"/>
  <c r="AE51" i="17"/>
  <c r="AE52" i="17"/>
  <c r="AE53" i="17"/>
  <c r="AE54" i="17"/>
  <c r="AE55" i="17"/>
  <c r="AE56" i="17"/>
  <c r="AE57" i="17"/>
  <c r="AE58" i="17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7" i="17"/>
  <c r="AE78" i="17"/>
  <c r="AE79" i="17"/>
  <c r="AE80" i="17"/>
  <c r="AE81" i="17"/>
  <c r="AE82" i="17"/>
  <c r="AE83" i="17"/>
  <c r="AE84" i="17"/>
  <c r="AE85" i="17"/>
  <c r="AE86" i="17"/>
  <c r="AE87" i="17"/>
  <c r="AE88" i="17"/>
  <c r="AE89" i="17"/>
  <c r="AE90" i="17"/>
  <c r="AE91" i="17"/>
  <c r="AE92" i="17"/>
  <c r="AE93" i="17"/>
  <c r="AE94" i="17"/>
  <c r="AE95" i="17"/>
  <c r="AE96" i="17"/>
  <c r="AE97" i="17"/>
  <c r="AE98" i="17"/>
  <c r="AE99" i="17"/>
  <c r="AE100" i="17"/>
  <c r="AE101" i="17"/>
  <c r="AE102" i="17"/>
  <c r="AE103" i="17"/>
  <c r="AE104" i="17"/>
  <c r="AE105" i="17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7" i="17"/>
  <c r="AE118" i="17"/>
  <c r="AE119" i="17"/>
  <c r="AE120" i="17"/>
  <c r="AE121" i="17"/>
  <c r="AE122" i="17"/>
  <c r="AE123" i="17"/>
  <c r="AE124" i="17"/>
  <c r="AE125" i="17"/>
  <c r="AE126" i="17"/>
  <c r="AE127" i="17"/>
  <c r="AE128" i="17"/>
  <c r="AE129" i="17"/>
  <c r="AE130" i="17"/>
  <c r="AE131" i="17"/>
  <c r="AE132" i="17"/>
  <c r="AE133" i="17"/>
  <c r="AE134" i="17"/>
  <c r="AE135" i="17"/>
  <c r="AE136" i="17"/>
  <c r="AE137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2" i="17"/>
  <c r="AE163" i="17"/>
  <c r="AE164" i="17"/>
  <c r="AE165" i="17"/>
  <c r="AE166" i="17"/>
  <c r="AE167" i="17"/>
  <c r="AE168" i="17"/>
  <c r="AE169" i="17"/>
  <c r="AE170" i="17"/>
  <c r="AE171" i="17"/>
  <c r="AE172" i="17"/>
  <c r="AE173" i="17"/>
  <c r="AE174" i="17"/>
  <c r="AE175" i="17"/>
  <c r="AE176" i="17"/>
  <c r="AE177" i="17"/>
  <c r="AE178" i="17"/>
  <c r="AE179" i="17"/>
  <c r="AE180" i="17"/>
  <c r="AE181" i="17"/>
  <c r="AE182" i="17"/>
  <c r="AE183" i="17"/>
  <c r="AE184" i="17"/>
  <c r="AE185" i="17"/>
  <c r="AE186" i="17"/>
  <c r="AE187" i="17"/>
  <c r="AE188" i="17"/>
  <c r="AE189" i="17"/>
  <c r="AE190" i="17"/>
  <c r="AE191" i="17"/>
  <c r="AE192" i="17"/>
  <c r="AE193" i="17"/>
  <c r="AE194" i="17"/>
  <c r="AE195" i="17"/>
  <c r="AE196" i="17"/>
  <c r="AE197" i="17"/>
  <c r="AE198" i="17"/>
  <c r="AE199" i="17"/>
  <c r="AE200" i="17"/>
  <c r="AE201" i="17"/>
  <c r="AE202" i="17"/>
  <c r="AE203" i="17"/>
  <c r="AE204" i="17"/>
  <c r="AE205" i="17"/>
  <c r="AE206" i="17"/>
  <c r="AE207" i="17"/>
  <c r="AE208" i="17"/>
  <c r="AE209" i="17"/>
  <c r="AE210" i="17"/>
  <c r="AE211" i="17"/>
  <c r="AE212" i="17"/>
  <c r="AE213" i="17"/>
  <c r="AE214" i="17"/>
  <c r="AE215" i="17"/>
  <c r="AE216" i="17"/>
  <c r="AE217" i="17"/>
  <c r="AE218" i="17"/>
  <c r="AE219" i="17"/>
  <c r="AE220" i="17"/>
  <c r="AE221" i="17"/>
  <c r="AE222" i="17"/>
  <c r="AE223" i="17"/>
  <c r="AE224" i="17"/>
  <c r="AE225" i="17"/>
  <c r="AE226" i="17"/>
  <c r="AE227" i="17"/>
  <c r="AE228" i="17"/>
  <c r="AE229" i="17"/>
  <c r="AE230" i="17"/>
  <c r="AE231" i="17"/>
  <c r="AE232" i="17"/>
  <c r="AE233" i="17"/>
  <c r="AE234" i="17"/>
  <c r="AE235" i="17"/>
  <c r="AE236" i="17"/>
  <c r="AE237" i="17"/>
  <c r="AE238" i="17"/>
  <c r="AE239" i="17"/>
  <c r="AE240" i="17"/>
  <c r="AE241" i="17"/>
  <c r="AE242" i="17"/>
  <c r="AE243" i="17"/>
  <c r="AE244" i="17"/>
  <c r="AE245" i="17"/>
  <c r="AE246" i="17"/>
  <c r="AE247" i="17"/>
  <c r="AE248" i="17"/>
  <c r="AE249" i="17"/>
  <c r="AE250" i="17"/>
  <c r="AE251" i="17"/>
  <c r="AE252" i="17"/>
  <c r="AE253" i="17"/>
  <c r="AE254" i="17"/>
  <c r="AE255" i="17"/>
  <c r="AE256" i="17"/>
  <c r="AE257" i="17"/>
  <c r="AE258" i="17"/>
  <c r="AE259" i="17"/>
  <c r="AE260" i="17"/>
  <c r="AE261" i="17"/>
  <c r="AE262" i="17"/>
  <c r="AE263" i="17"/>
  <c r="AE264" i="17"/>
  <c r="AE265" i="17"/>
  <c r="AE266" i="17"/>
  <c r="AE267" i="17"/>
  <c r="AE268" i="17"/>
  <c r="AE269" i="17"/>
  <c r="AE270" i="17"/>
  <c r="AE271" i="17"/>
  <c r="AE272" i="17"/>
  <c r="AE273" i="17"/>
  <c r="AE274" i="17"/>
  <c r="AE275" i="17"/>
  <c r="AE276" i="17"/>
  <c r="AE277" i="17"/>
  <c r="AE278" i="17"/>
  <c r="AE279" i="17"/>
  <c r="AE280" i="17"/>
  <c r="AE281" i="17"/>
  <c r="AE282" i="17"/>
  <c r="AE283" i="17"/>
  <c r="AE284" i="17"/>
  <c r="AE285" i="17"/>
  <c r="AE286" i="17"/>
  <c r="AE287" i="17"/>
  <c r="AE288" i="17"/>
  <c r="AE289" i="17"/>
  <c r="AE290" i="17"/>
  <c r="AE291" i="17"/>
  <c r="AE292" i="17"/>
  <c r="AE293" i="17"/>
  <c r="AE294" i="17"/>
  <c r="AE295" i="17"/>
  <c r="AE296" i="17"/>
  <c r="AE297" i="17"/>
  <c r="AE298" i="17"/>
  <c r="AE299" i="17"/>
  <c r="AE300" i="17"/>
  <c r="AE301" i="17"/>
  <c r="AE302" i="17"/>
  <c r="AE303" i="17"/>
  <c r="AE304" i="17"/>
  <c r="AE305" i="17"/>
  <c r="AE306" i="17"/>
  <c r="AE307" i="17"/>
  <c r="AE308" i="17"/>
  <c r="AE309" i="17"/>
  <c r="AE310" i="17"/>
  <c r="AE311" i="17"/>
  <c r="AE312" i="17"/>
  <c r="AE313" i="17"/>
  <c r="AE314" i="17"/>
  <c r="AE315" i="17"/>
  <c r="AE316" i="17"/>
  <c r="AE317" i="17"/>
  <c r="AE318" i="17"/>
  <c r="AE319" i="17"/>
  <c r="AE320" i="17"/>
  <c r="AE321" i="17"/>
  <c r="AE322" i="17"/>
  <c r="AE323" i="17"/>
  <c r="AE324" i="17"/>
  <c r="AE325" i="17"/>
  <c r="AE326" i="17"/>
  <c r="AE327" i="17"/>
  <c r="AE328" i="17"/>
  <c r="AE329" i="17"/>
  <c r="AE330" i="17"/>
  <c r="AE331" i="17"/>
  <c r="AE332" i="17"/>
  <c r="AE333" i="17"/>
  <c r="AE334" i="17"/>
  <c r="AE335" i="17"/>
  <c r="AE336" i="17"/>
  <c r="AE337" i="17"/>
  <c r="AE338" i="17"/>
  <c r="AE339" i="17"/>
  <c r="AE340" i="17"/>
  <c r="AE341" i="17"/>
  <c r="AE342" i="17"/>
  <c r="AE343" i="17"/>
  <c r="AE344" i="17"/>
  <c r="AE345" i="17"/>
  <c r="AE346" i="17"/>
  <c r="AE347" i="17"/>
  <c r="AE348" i="17"/>
  <c r="AE349" i="17"/>
  <c r="AE350" i="17"/>
  <c r="AE351" i="17"/>
  <c r="AE352" i="17"/>
  <c r="AE353" i="17"/>
  <c r="AE354" i="17"/>
  <c r="AE355" i="17"/>
  <c r="AE356" i="17"/>
  <c r="AE357" i="17"/>
  <c r="AE358" i="17"/>
  <c r="AE359" i="17"/>
  <c r="AE360" i="17"/>
  <c r="AE361" i="17"/>
  <c r="AE362" i="17"/>
  <c r="AE363" i="17"/>
  <c r="AE364" i="17"/>
  <c r="AE365" i="17"/>
  <c r="AE366" i="17"/>
  <c r="AE367" i="17"/>
  <c r="AE368" i="17"/>
  <c r="AE369" i="17"/>
  <c r="AE370" i="17"/>
  <c r="AE371" i="17"/>
  <c r="AE372" i="17"/>
  <c r="AE373" i="17"/>
  <c r="AE374" i="17"/>
  <c r="AE375" i="17"/>
  <c r="AE376" i="17"/>
  <c r="AE377" i="17"/>
  <c r="AE378" i="17"/>
  <c r="AE379" i="17"/>
  <c r="AE380" i="17"/>
  <c r="AE381" i="17"/>
  <c r="AE382" i="17"/>
  <c r="AE383" i="17"/>
  <c r="AE384" i="17"/>
  <c r="AE385" i="17"/>
  <c r="AE386" i="17"/>
  <c r="AE387" i="17"/>
  <c r="AE388" i="17"/>
  <c r="AE389" i="17"/>
  <c r="AE390" i="17"/>
  <c r="AE391" i="17"/>
  <c r="AE392" i="17"/>
  <c r="AE393" i="17"/>
  <c r="AE394" i="17"/>
  <c r="AE395" i="17"/>
  <c r="AE396" i="17"/>
  <c r="AE397" i="17"/>
  <c r="AE398" i="17"/>
  <c r="AE399" i="17"/>
  <c r="AE400" i="17"/>
  <c r="AE401" i="17"/>
  <c r="AE402" i="17"/>
  <c r="AE403" i="17"/>
  <c r="AE404" i="17"/>
  <c r="AE405" i="17"/>
  <c r="AE406" i="17"/>
  <c r="AE407" i="17"/>
  <c r="AE408" i="17"/>
  <c r="AE409" i="17"/>
  <c r="AE410" i="17"/>
  <c r="AE411" i="17"/>
  <c r="AE412" i="17"/>
  <c r="AE413" i="17"/>
  <c r="AE414" i="17"/>
  <c r="AE415" i="17"/>
  <c r="AE416" i="17"/>
  <c r="AE417" i="17"/>
  <c r="AE418" i="17"/>
  <c r="AE419" i="17"/>
  <c r="AE420" i="17"/>
  <c r="AE421" i="17"/>
  <c r="AE422" i="17"/>
  <c r="AE423" i="17"/>
  <c r="AE424" i="17"/>
  <c r="AE425" i="17"/>
  <c r="AE426" i="17"/>
  <c r="AE427" i="17"/>
  <c r="AE428" i="17"/>
  <c r="AE429" i="17"/>
  <c r="AE430" i="17"/>
  <c r="AE431" i="17"/>
  <c r="AE432" i="17"/>
  <c r="AE433" i="17"/>
  <c r="AE434" i="17"/>
  <c r="AE435" i="17"/>
  <c r="AE436" i="17"/>
  <c r="AE437" i="17"/>
  <c r="AE438" i="17"/>
  <c r="AE439" i="17"/>
  <c r="AE440" i="17"/>
  <c r="AE441" i="17"/>
  <c r="AE442" i="17"/>
  <c r="AE443" i="17"/>
  <c r="AE444" i="17"/>
  <c r="AE445" i="17"/>
  <c r="AE446" i="17"/>
  <c r="AE447" i="17"/>
  <c r="AE448" i="17"/>
  <c r="AE449" i="17"/>
  <c r="AE450" i="17"/>
  <c r="AE451" i="17"/>
  <c r="AE452" i="17"/>
  <c r="AE453" i="17"/>
  <c r="AE454" i="17"/>
  <c r="AE455" i="17"/>
  <c r="AE456" i="17"/>
  <c r="AE457" i="17"/>
  <c r="AE458" i="17"/>
  <c r="AE459" i="17"/>
  <c r="AE460" i="17"/>
  <c r="AE461" i="17"/>
  <c r="AE462" i="17"/>
  <c r="AE463" i="17"/>
  <c r="AE464" i="17"/>
  <c r="AE465" i="17"/>
  <c r="AE466" i="17"/>
  <c r="AE467" i="17"/>
  <c r="AE468" i="17"/>
  <c r="AE469" i="17"/>
  <c r="AE470" i="17"/>
  <c r="AE471" i="17"/>
  <c r="AE472" i="17"/>
  <c r="AE473" i="17"/>
  <c r="AE474" i="17"/>
  <c r="AE475" i="17"/>
  <c r="AE476" i="17"/>
  <c r="AE477" i="17"/>
  <c r="AE478" i="17"/>
  <c r="AE479" i="17"/>
  <c r="AE480" i="17"/>
  <c r="AE481" i="17"/>
  <c r="AE482" i="17"/>
  <c r="AE483" i="17"/>
  <c r="AE484" i="17"/>
  <c r="AE485" i="17"/>
  <c r="AE486" i="17"/>
  <c r="AE487" i="17"/>
  <c r="AE488" i="17"/>
  <c r="AE489" i="17"/>
  <c r="AE490" i="17"/>
  <c r="AE491" i="17"/>
  <c r="AE492" i="17"/>
  <c r="AE493" i="17"/>
  <c r="AE494" i="17"/>
  <c r="AE495" i="17"/>
  <c r="AE496" i="17"/>
  <c r="AE497" i="17"/>
  <c r="AE498" i="17"/>
  <c r="AE499" i="17"/>
  <c r="AE500" i="17"/>
  <c r="AE501" i="17"/>
  <c r="AE502" i="17"/>
  <c r="AE503" i="17"/>
  <c r="AE504" i="17"/>
  <c r="AE505" i="17"/>
  <c r="AE506" i="17"/>
  <c r="AE507" i="17"/>
  <c r="AE508" i="17"/>
  <c r="AE509" i="17"/>
  <c r="AE510" i="17"/>
  <c r="AE511" i="17"/>
  <c r="AE512" i="17"/>
  <c r="AE513" i="17"/>
  <c r="AE514" i="17"/>
  <c r="AE515" i="17"/>
  <c r="AE516" i="17"/>
  <c r="AE517" i="17"/>
  <c r="AE518" i="17"/>
  <c r="AE519" i="17"/>
  <c r="AE520" i="17"/>
  <c r="AE521" i="17"/>
  <c r="AE522" i="17"/>
  <c r="AE523" i="17"/>
  <c r="AE524" i="17"/>
  <c r="AE525" i="17"/>
  <c r="AE526" i="17"/>
  <c r="AE527" i="17"/>
  <c r="AE528" i="17"/>
  <c r="AE529" i="17"/>
  <c r="AE530" i="17"/>
  <c r="AE531" i="17"/>
  <c r="AE532" i="17"/>
  <c r="AE533" i="17"/>
  <c r="AE534" i="17"/>
  <c r="AE535" i="17"/>
  <c r="AE536" i="17"/>
  <c r="AE537" i="17"/>
  <c r="AE538" i="17"/>
  <c r="AE539" i="17"/>
  <c r="AE540" i="17"/>
  <c r="AE541" i="17"/>
  <c r="AE542" i="17"/>
  <c r="AE543" i="17"/>
  <c r="AE544" i="17"/>
  <c r="AE545" i="17"/>
  <c r="AE546" i="17"/>
  <c r="AE547" i="17"/>
  <c r="AE548" i="17"/>
  <c r="AE549" i="17"/>
  <c r="AE550" i="17"/>
  <c r="AE551" i="17"/>
  <c r="AE552" i="17"/>
  <c r="AE553" i="17"/>
  <c r="AE554" i="17"/>
  <c r="AE555" i="17"/>
  <c r="AE556" i="17"/>
  <c r="AE557" i="17"/>
  <c r="AE558" i="17"/>
  <c r="AE559" i="17"/>
  <c r="AE560" i="17"/>
  <c r="AE561" i="17"/>
  <c r="AE562" i="17"/>
  <c r="AE563" i="17"/>
  <c r="AE564" i="17"/>
  <c r="AE565" i="17"/>
  <c r="AE566" i="17"/>
  <c r="AE567" i="17"/>
  <c r="AE568" i="17"/>
  <c r="AE569" i="17"/>
  <c r="AE570" i="17"/>
  <c r="AE571" i="17"/>
  <c r="AE572" i="17"/>
  <c r="AE573" i="17"/>
  <c r="AE574" i="17"/>
  <c r="AE575" i="17"/>
  <c r="AE576" i="17"/>
  <c r="AE577" i="17"/>
  <c r="AE578" i="17"/>
  <c r="AE579" i="17"/>
  <c r="AE580" i="17"/>
  <c r="AE581" i="17"/>
  <c r="AE582" i="17"/>
  <c r="AE583" i="17"/>
  <c r="AE584" i="17"/>
  <c r="AE585" i="17"/>
  <c r="AE586" i="17"/>
  <c r="AE587" i="17"/>
  <c r="AE588" i="17"/>
  <c r="AE589" i="17"/>
  <c r="AE590" i="17"/>
  <c r="AE591" i="17"/>
  <c r="AE592" i="17"/>
  <c r="AE593" i="17"/>
  <c r="AE594" i="17"/>
  <c r="AE595" i="17"/>
  <c r="AE596" i="17"/>
  <c r="AE597" i="17"/>
  <c r="AE598" i="17"/>
  <c r="AE599" i="17"/>
  <c r="AE600" i="17"/>
  <c r="AE601" i="17"/>
  <c r="AE602" i="17"/>
  <c r="AE603" i="17"/>
  <c r="AE604" i="17"/>
  <c r="AE605" i="17"/>
  <c r="AE606" i="17"/>
  <c r="AE607" i="17"/>
  <c r="AE608" i="17"/>
  <c r="AE609" i="17"/>
  <c r="AE610" i="17"/>
  <c r="AE611" i="17"/>
  <c r="AE612" i="17"/>
  <c r="AE613" i="17"/>
  <c r="AE614" i="17"/>
  <c r="AE615" i="17"/>
  <c r="AE616" i="17"/>
  <c r="AE617" i="17"/>
  <c r="AE618" i="17"/>
  <c r="AE619" i="17"/>
  <c r="AE620" i="17"/>
  <c r="AE621" i="17"/>
  <c r="AE622" i="17"/>
  <c r="AE623" i="17"/>
  <c r="AE624" i="17"/>
  <c r="AE625" i="17"/>
  <c r="AE626" i="17"/>
  <c r="AE627" i="17"/>
  <c r="AE628" i="17"/>
  <c r="AE629" i="17"/>
  <c r="AE630" i="17"/>
  <c r="AE631" i="17"/>
  <c r="AE632" i="17"/>
  <c r="AE633" i="17"/>
  <c r="AE634" i="17"/>
  <c r="AE635" i="17"/>
  <c r="AE636" i="17"/>
  <c r="AE637" i="17"/>
  <c r="AE638" i="17"/>
  <c r="AE639" i="17"/>
  <c r="AE640" i="17"/>
  <c r="AE641" i="17"/>
  <c r="AE642" i="17"/>
  <c r="AE643" i="17"/>
  <c r="AE644" i="17"/>
  <c r="AE645" i="17"/>
  <c r="AE646" i="17"/>
  <c r="AE647" i="17"/>
  <c r="AE648" i="17"/>
  <c r="AE649" i="17"/>
  <c r="AE650" i="17"/>
  <c r="AE651" i="17"/>
  <c r="AE652" i="17"/>
  <c r="AE653" i="17"/>
  <c r="AE654" i="17"/>
  <c r="AE655" i="17"/>
  <c r="AE656" i="17"/>
  <c r="AE657" i="17"/>
  <c r="AE658" i="17"/>
  <c r="AE659" i="17"/>
  <c r="AE660" i="17"/>
  <c r="AE661" i="17"/>
  <c r="AE662" i="17"/>
  <c r="AE663" i="17"/>
  <c r="AE664" i="17"/>
  <c r="AE665" i="17"/>
  <c r="AE666" i="17"/>
  <c r="AE667" i="17"/>
  <c r="AE668" i="17"/>
  <c r="AE669" i="17"/>
  <c r="AE670" i="17"/>
  <c r="AE671" i="17"/>
  <c r="AE672" i="17"/>
  <c r="AE673" i="17"/>
  <c r="AE674" i="17"/>
  <c r="AE675" i="17"/>
  <c r="AE676" i="17"/>
  <c r="AE677" i="17"/>
  <c r="AE678" i="17"/>
  <c r="AE679" i="17"/>
  <c r="AE680" i="17"/>
  <c r="AE681" i="17"/>
  <c r="AE682" i="17"/>
  <c r="AE683" i="17"/>
  <c r="AE684" i="17"/>
  <c r="AE685" i="17"/>
  <c r="AE686" i="17"/>
  <c r="AE687" i="17"/>
  <c r="AE688" i="17"/>
  <c r="AE689" i="17"/>
  <c r="AE690" i="17"/>
  <c r="AE691" i="17"/>
  <c r="AE692" i="17"/>
  <c r="AE693" i="17"/>
  <c r="AE694" i="17"/>
  <c r="AE695" i="17"/>
  <c r="AE696" i="17"/>
  <c r="AE697" i="17"/>
  <c r="AE698" i="17"/>
  <c r="AE699" i="17"/>
  <c r="AE700" i="17"/>
  <c r="AE701" i="17"/>
  <c r="AE2" i="17"/>
  <c r="AD3" i="17"/>
  <c r="AD4" i="17"/>
  <c r="AD5" i="17"/>
  <c r="AD6" i="17"/>
  <c r="AD7" i="17"/>
  <c r="AD8" i="17"/>
  <c r="AD9" i="17"/>
  <c r="AD10" i="17"/>
  <c r="AD11" i="17"/>
  <c r="AD12" i="17"/>
  <c r="AD13" i="17"/>
  <c r="AD14" i="17"/>
  <c r="AD15" i="17"/>
  <c r="AD16" i="17"/>
  <c r="AD17" i="17"/>
  <c r="AD18" i="17"/>
  <c r="AD19" i="17"/>
  <c r="AD20" i="17"/>
  <c r="AD21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D35" i="17"/>
  <c r="AD36" i="17"/>
  <c r="AD37" i="17"/>
  <c r="AD38" i="17"/>
  <c r="AD39" i="17"/>
  <c r="AD40" i="17"/>
  <c r="AD41" i="17"/>
  <c r="AD42" i="17"/>
  <c r="AD43" i="17"/>
  <c r="AD44" i="17"/>
  <c r="AD45" i="17"/>
  <c r="AD46" i="17"/>
  <c r="AD47" i="17"/>
  <c r="AD48" i="17"/>
  <c r="AD49" i="17"/>
  <c r="AD50" i="17"/>
  <c r="AD51" i="17"/>
  <c r="AD52" i="17"/>
  <c r="AD53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D70" i="17"/>
  <c r="AD71" i="17"/>
  <c r="AD72" i="17"/>
  <c r="AD73" i="17"/>
  <c r="AD74" i="17"/>
  <c r="AD75" i="17"/>
  <c r="AD76" i="17"/>
  <c r="AD77" i="17"/>
  <c r="AD78" i="17"/>
  <c r="AD79" i="17"/>
  <c r="AD80" i="17"/>
  <c r="AD81" i="17"/>
  <c r="AD82" i="17"/>
  <c r="AD83" i="17"/>
  <c r="AD84" i="17"/>
  <c r="AD85" i="17"/>
  <c r="AD86" i="17"/>
  <c r="AD87" i="17"/>
  <c r="AD88" i="17"/>
  <c r="AD89" i="17"/>
  <c r="AD90" i="17"/>
  <c r="AD91" i="17"/>
  <c r="AD92" i="17"/>
  <c r="AD93" i="17"/>
  <c r="AD94" i="17"/>
  <c r="AD95" i="17"/>
  <c r="AD96" i="17"/>
  <c r="AD97" i="17"/>
  <c r="AD98" i="17"/>
  <c r="AD99" i="17"/>
  <c r="AD100" i="17"/>
  <c r="AD101" i="17"/>
  <c r="AD102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D152" i="17"/>
  <c r="AD153" i="17"/>
  <c r="AD154" i="17"/>
  <c r="AD155" i="17"/>
  <c r="AD156" i="17"/>
  <c r="AD157" i="17"/>
  <c r="AD158" i="17"/>
  <c r="AD159" i="17"/>
  <c r="AD160" i="17"/>
  <c r="AD161" i="17"/>
  <c r="AD162" i="17"/>
  <c r="AD163" i="17"/>
  <c r="AD164" i="17"/>
  <c r="AD165" i="17"/>
  <c r="AD166" i="17"/>
  <c r="AD167" i="17"/>
  <c r="AD168" i="17"/>
  <c r="AD169" i="17"/>
  <c r="AD170" i="17"/>
  <c r="AD171" i="17"/>
  <c r="AD172" i="17"/>
  <c r="AD173" i="17"/>
  <c r="AD174" i="17"/>
  <c r="AD175" i="17"/>
  <c r="AD176" i="17"/>
  <c r="AD177" i="17"/>
  <c r="AD178" i="17"/>
  <c r="AD179" i="17"/>
  <c r="AD180" i="17"/>
  <c r="AD181" i="17"/>
  <c r="AD182" i="17"/>
  <c r="AD183" i="17"/>
  <c r="AD184" i="17"/>
  <c r="AD185" i="17"/>
  <c r="AD186" i="17"/>
  <c r="AD187" i="17"/>
  <c r="AD188" i="17"/>
  <c r="AD189" i="17"/>
  <c r="AD190" i="17"/>
  <c r="AD191" i="17"/>
  <c r="AD192" i="17"/>
  <c r="AD193" i="17"/>
  <c r="AD194" i="17"/>
  <c r="AD195" i="17"/>
  <c r="AD196" i="17"/>
  <c r="AD197" i="17"/>
  <c r="AD198" i="17"/>
  <c r="AD199" i="17"/>
  <c r="AD200" i="17"/>
  <c r="AD201" i="17"/>
  <c r="AD202" i="17"/>
  <c r="AD203" i="17"/>
  <c r="AD204" i="17"/>
  <c r="AD205" i="17"/>
  <c r="AD206" i="17"/>
  <c r="AD207" i="17"/>
  <c r="AD208" i="17"/>
  <c r="AD209" i="17"/>
  <c r="AD210" i="17"/>
  <c r="AD211" i="17"/>
  <c r="AD212" i="17"/>
  <c r="AD213" i="17"/>
  <c r="AD214" i="17"/>
  <c r="AD215" i="17"/>
  <c r="AD216" i="17"/>
  <c r="AD217" i="17"/>
  <c r="AD218" i="17"/>
  <c r="AD219" i="17"/>
  <c r="AD220" i="17"/>
  <c r="AD221" i="17"/>
  <c r="AD222" i="17"/>
  <c r="AD223" i="17"/>
  <c r="AD224" i="17"/>
  <c r="AD225" i="17"/>
  <c r="AD226" i="17"/>
  <c r="AD227" i="17"/>
  <c r="AD228" i="17"/>
  <c r="AD229" i="17"/>
  <c r="AD230" i="17"/>
  <c r="AD231" i="17"/>
  <c r="AD232" i="17"/>
  <c r="AD233" i="17"/>
  <c r="AD234" i="17"/>
  <c r="AD235" i="17"/>
  <c r="AD236" i="17"/>
  <c r="AD237" i="17"/>
  <c r="AD238" i="17"/>
  <c r="AD239" i="17"/>
  <c r="AD240" i="17"/>
  <c r="AD241" i="17"/>
  <c r="AD242" i="17"/>
  <c r="AD243" i="17"/>
  <c r="AD244" i="17"/>
  <c r="AD245" i="17"/>
  <c r="AD246" i="17"/>
  <c r="AD247" i="17"/>
  <c r="AD248" i="17"/>
  <c r="AD249" i="17"/>
  <c r="AD250" i="17"/>
  <c r="AD251" i="17"/>
  <c r="AD252" i="17"/>
  <c r="AD253" i="17"/>
  <c r="AD254" i="17"/>
  <c r="AD255" i="17"/>
  <c r="AD256" i="17"/>
  <c r="AD257" i="17"/>
  <c r="AD258" i="17"/>
  <c r="AD259" i="17"/>
  <c r="AD260" i="17"/>
  <c r="AD261" i="17"/>
  <c r="AD262" i="17"/>
  <c r="AD263" i="17"/>
  <c r="AD264" i="17"/>
  <c r="AD265" i="17"/>
  <c r="AD266" i="17"/>
  <c r="AD267" i="17"/>
  <c r="AD268" i="17"/>
  <c r="AD269" i="17"/>
  <c r="AD270" i="17"/>
  <c r="AD271" i="17"/>
  <c r="AD272" i="17"/>
  <c r="AD273" i="17"/>
  <c r="AD274" i="17"/>
  <c r="AD275" i="17"/>
  <c r="AD276" i="17"/>
  <c r="AD277" i="17"/>
  <c r="AD278" i="17"/>
  <c r="AD279" i="17"/>
  <c r="AD280" i="17"/>
  <c r="AD281" i="17"/>
  <c r="AD282" i="17"/>
  <c r="AD283" i="17"/>
  <c r="AD284" i="17"/>
  <c r="AD285" i="17"/>
  <c r="AD286" i="17"/>
  <c r="AD287" i="17"/>
  <c r="AD288" i="17"/>
  <c r="AD289" i="17"/>
  <c r="AD290" i="17"/>
  <c r="AD291" i="17"/>
  <c r="AD292" i="17"/>
  <c r="AD293" i="17"/>
  <c r="AD294" i="17"/>
  <c r="AD295" i="17"/>
  <c r="AD296" i="17"/>
  <c r="AD297" i="17"/>
  <c r="AD298" i="17"/>
  <c r="AD299" i="17"/>
  <c r="AD300" i="17"/>
  <c r="AD301" i="17"/>
  <c r="AD302" i="17"/>
  <c r="AD303" i="17"/>
  <c r="AD304" i="17"/>
  <c r="AD305" i="17"/>
  <c r="AD306" i="17"/>
  <c r="AD307" i="17"/>
  <c r="AD308" i="17"/>
  <c r="AD309" i="17"/>
  <c r="AD310" i="17"/>
  <c r="AD311" i="17"/>
  <c r="AD312" i="17"/>
  <c r="AD313" i="17"/>
  <c r="AD314" i="17"/>
  <c r="AD315" i="17"/>
  <c r="AD316" i="17"/>
  <c r="AD317" i="17"/>
  <c r="AD318" i="17"/>
  <c r="AD319" i="17"/>
  <c r="AD320" i="17"/>
  <c r="AD321" i="17"/>
  <c r="AD322" i="17"/>
  <c r="AD323" i="17"/>
  <c r="AD324" i="17"/>
  <c r="AD325" i="17"/>
  <c r="AD326" i="17"/>
  <c r="AD327" i="17"/>
  <c r="AD328" i="17"/>
  <c r="AD329" i="17"/>
  <c r="AD330" i="17"/>
  <c r="AD331" i="17"/>
  <c r="AD332" i="17"/>
  <c r="AD333" i="17"/>
  <c r="AD334" i="17"/>
  <c r="AD335" i="17"/>
  <c r="AD336" i="17"/>
  <c r="AD337" i="17"/>
  <c r="AD338" i="17"/>
  <c r="AD339" i="17"/>
  <c r="AD340" i="17"/>
  <c r="AD341" i="17"/>
  <c r="AD342" i="17"/>
  <c r="AD343" i="17"/>
  <c r="AD344" i="17"/>
  <c r="AD345" i="17"/>
  <c r="AD346" i="17"/>
  <c r="AD347" i="17"/>
  <c r="AD348" i="17"/>
  <c r="AD349" i="17"/>
  <c r="AD350" i="17"/>
  <c r="AD351" i="17"/>
  <c r="AD352" i="17"/>
  <c r="AD353" i="17"/>
  <c r="AD354" i="17"/>
  <c r="AD355" i="17"/>
  <c r="AD356" i="17"/>
  <c r="AD357" i="17"/>
  <c r="AD358" i="17"/>
  <c r="AD359" i="17"/>
  <c r="AD360" i="17"/>
  <c r="AD361" i="17"/>
  <c r="AD362" i="17"/>
  <c r="AD363" i="17"/>
  <c r="AD364" i="17"/>
  <c r="AD365" i="17"/>
  <c r="AD366" i="17"/>
  <c r="AD367" i="17"/>
  <c r="AD368" i="17"/>
  <c r="AD369" i="17"/>
  <c r="AD370" i="17"/>
  <c r="AD371" i="17"/>
  <c r="AD372" i="17"/>
  <c r="AD373" i="17"/>
  <c r="AD374" i="17"/>
  <c r="AD375" i="17"/>
  <c r="AD376" i="17"/>
  <c r="AD377" i="17"/>
  <c r="AD378" i="17"/>
  <c r="AD379" i="17"/>
  <c r="AD380" i="17"/>
  <c r="AD381" i="17"/>
  <c r="AD382" i="17"/>
  <c r="AD383" i="17"/>
  <c r="AD384" i="17"/>
  <c r="AD385" i="17"/>
  <c r="AD386" i="17"/>
  <c r="AD387" i="17"/>
  <c r="AD388" i="17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AD415" i="17"/>
  <c r="AD416" i="17"/>
  <c r="AD417" i="17"/>
  <c r="AD418" i="17"/>
  <c r="AD419" i="17"/>
  <c r="AD420" i="17"/>
  <c r="AD421" i="17"/>
  <c r="AD422" i="17"/>
  <c r="AD423" i="17"/>
  <c r="AD424" i="17"/>
  <c r="AD425" i="17"/>
  <c r="AD426" i="17"/>
  <c r="AD427" i="17"/>
  <c r="AD428" i="17"/>
  <c r="AD429" i="17"/>
  <c r="AD430" i="17"/>
  <c r="AD431" i="17"/>
  <c r="AD432" i="17"/>
  <c r="AD433" i="17"/>
  <c r="AD434" i="17"/>
  <c r="AD435" i="17"/>
  <c r="AD436" i="17"/>
  <c r="AD437" i="17"/>
  <c r="AD438" i="17"/>
  <c r="AD439" i="17"/>
  <c r="AD440" i="17"/>
  <c r="AD441" i="17"/>
  <c r="AD442" i="17"/>
  <c r="AD443" i="17"/>
  <c r="AD444" i="17"/>
  <c r="AD445" i="17"/>
  <c r="AD446" i="17"/>
  <c r="AD447" i="17"/>
  <c r="AD448" i="17"/>
  <c r="AD449" i="17"/>
  <c r="AD450" i="17"/>
  <c r="AD451" i="17"/>
  <c r="AD452" i="17"/>
  <c r="AD453" i="17"/>
  <c r="AD454" i="17"/>
  <c r="AD455" i="17"/>
  <c r="AD456" i="17"/>
  <c r="AD457" i="17"/>
  <c r="AD458" i="17"/>
  <c r="AD459" i="17"/>
  <c r="AD460" i="17"/>
  <c r="AD461" i="17"/>
  <c r="AD462" i="17"/>
  <c r="AD463" i="17"/>
  <c r="AD464" i="17"/>
  <c r="AD465" i="17"/>
  <c r="AD466" i="17"/>
  <c r="AD467" i="17"/>
  <c r="AD468" i="17"/>
  <c r="AD469" i="17"/>
  <c r="AD470" i="17"/>
  <c r="AD471" i="17"/>
  <c r="AD472" i="17"/>
  <c r="AD473" i="17"/>
  <c r="AD474" i="17"/>
  <c r="AD475" i="17"/>
  <c r="AD476" i="17"/>
  <c r="AD477" i="17"/>
  <c r="AD478" i="17"/>
  <c r="AD479" i="17"/>
  <c r="AD480" i="17"/>
  <c r="AD481" i="17"/>
  <c r="AD482" i="17"/>
  <c r="AD483" i="17"/>
  <c r="AD484" i="17"/>
  <c r="AD485" i="17"/>
  <c r="AD486" i="17"/>
  <c r="AD487" i="17"/>
  <c r="AD488" i="17"/>
  <c r="AD489" i="17"/>
  <c r="AD490" i="17"/>
  <c r="AD491" i="17"/>
  <c r="AD492" i="17"/>
  <c r="AD493" i="17"/>
  <c r="AD494" i="17"/>
  <c r="AD495" i="17"/>
  <c r="AD496" i="17"/>
  <c r="AD497" i="17"/>
  <c r="AD498" i="17"/>
  <c r="AD499" i="17"/>
  <c r="AD500" i="17"/>
  <c r="AD501" i="17"/>
  <c r="AD502" i="17"/>
  <c r="AD503" i="17"/>
  <c r="AD504" i="17"/>
  <c r="AD505" i="17"/>
  <c r="AD506" i="17"/>
  <c r="AD507" i="17"/>
  <c r="AD508" i="17"/>
  <c r="AD509" i="17"/>
  <c r="AD510" i="17"/>
  <c r="AD511" i="17"/>
  <c r="AD512" i="17"/>
  <c r="AD513" i="17"/>
  <c r="AD514" i="17"/>
  <c r="AD515" i="17"/>
  <c r="AD516" i="17"/>
  <c r="AD517" i="17"/>
  <c r="AD518" i="17"/>
  <c r="AD519" i="17"/>
  <c r="AD520" i="17"/>
  <c r="AD521" i="17"/>
  <c r="AD522" i="17"/>
  <c r="AD523" i="17"/>
  <c r="AD524" i="17"/>
  <c r="AD525" i="17"/>
  <c r="AD526" i="17"/>
  <c r="AD527" i="17"/>
  <c r="AD528" i="17"/>
  <c r="AD529" i="17"/>
  <c r="AD530" i="17"/>
  <c r="AD531" i="17"/>
  <c r="AD532" i="17"/>
  <c r="AD533" i="17"/>
  <c r="AD534" i="17"/>
  <c r="AD535" i="17"/>
  <c r="AD536" i="17"/>
  <c r="AD537" i="17"/>
  <c r="AD538" i="17"/>
  <c r="AD539" i="17"/>
  <c r="AD540" i="17"/>
  <c r="AD541" i="17"/>
  <c r="AD542" i="17"/>
  <c r="AD543" i="17"/>
  <c r="AD544" i="17"/>
  <c r="AD545" i="17"/>
  <c r="AD546" i="17"/>
  <c r="AD547" i="17"/>
  <c r="AD548" i="17"/>
  <c r="AD549" i="17"/>
  <c r="AD550" i="17"/>
  <c r="AD551" i="17"/>
  <c r="AD552" i="17"/>
  <c r="AD553" i="17"/>
  <c r="AD554" i="17"/>
  <c r="AD555" i="17"/>
  <c r="AD556" i="17"/>
  <c r="AD557" i="17"/>
  <c r="AD558" i="17"/>
  <c r="AD559" i="17"/>
  <c r="AD560" i="17"/>
  <c r="AD561" i="17"/>
  <c r="AD562" i="17"/>
  <c r="AD563" i="17"/>
  <c r="AD564" i="17"/>
  <c r="AD565" i="17"/>
  <c r="AD566" i="17"/>
  <c r="AD567" i="17"/>
  <c r="AD568" i="17"/>
  <c r="AD569" i="17"/>
  <c r="AD570" i="17"/>
  <c r="AD571" i="17"/>
  <c r="AD572" i="17"/>
  <c r="AD573" i="17"/>
  <c r="AD574" i="17"/>
  <c r="AD575" i="17"/>
  <c r="AD576" i="17"/>
  <c r="AD577" i="17"/>
  <c r="AD578" i="17"/>
  <c r="AD579" i="17"/>
  <c r="AD580" i="17"/>
  <c r="AD581" i="17"/>
  <c r="AD582" i="17"/>
  <c r="AD583" i="17"/>
  <c r="AD584" i="17"/>
  <c r="AD585" i="17"/>
  <c r="AD586" i="17"/>
  <c r="AD587" i="17"/>
  <c r="AD588" i="17"/>
  <c r="AD589" i="17"/>
  <c r="AD590" i="17"/>
  <c r="AD591" i="17"/>
  <c r="AD592" i="17"/>
  <c r="AD593" i="17"/>
  <c r="AD594" i="17"/>
  <c r="AD595" i="17"/>
  <c r="AD596" i="17"/>
  <c r="AD597" i="17"/>
  <c r="AD598" i="17"/>
  <c r="AD599" i="17"/>
  <c r="AD600" i="17"/>
  <c r="AD601" i="17"/>
  <c r="AD602" i="17"/>
  <c r="AD603" i="17"/>
  <c r="AD604" i="17"/>
  <c r="AD605" i="17"/>
  <c r="AD606" i="17"/>
  <c r="AD607" i="17"/>
  <c r="AD608" i="17"/>
  <c r="AD609" i="17"/>
  <c r="AD610" i="17"/>
  <c r="AD611" i="17"/>
  <c r="AD612" i="17"/>
  <c r="AD613" i="17"/>
  <c r="AD614" i="17"/>
  <c r="AD615" i="17"/>
  <c r="AD616" i="17"/>
  <c r="AD617" i="17"/>
  <c r="AD618" i="17"/>
  <c r="AD619" i="17"/>
  <c r="AD620" i="17"/>
  <c r="AD621" i="17"/>
  <c r="AD622" i="17"/>
  <c r="AD623" i="17"/>
  <c r="AD624" i="17"/>
  <c r="AD625" i="17"/>
  <c r="AD626" i="17"/>
  <c r="AD627" i="17"/>
  <c r="AD628" i="17"/>
  <c r="AD629" i="17"/>
  <c r="AD630" i="17"/>
  <c r="AD631" i="17"/>
  <c r="AD632" i="17"/>
  <c r="AD633" i="17"/>
  <c r="AD634" i="17"/>
  <c r="AD635" i="17"/>
  <c r="AD636" i="17"/>
  <c r="AD637" i="17"/>
  <c r="AD638" i="17"/>
  <c r="AD639" i="17"/>
  <c r="AD640" i="17"/>
  <c r="AD641" i="17"/>
  <c r="AD642" i="17"/>
  <c r="AD643" i="17"/>
  <c r="AD644" i="17"/>
  <c r="AD645" i="17"/>
  <c r="AD646" i="17"/>
  <c r="AD647" i="17"/>
  <c r="AD648" i="17"/>
  <c r="AD649" i="17"/>
  <c r="AD650" i="17"/>
  <c r="AD651" i="17"/>
  <c r="AD652" i="17"/>
  <c r="AD653" i="17"/>
  <c r="AD654" i="17"/>
  <c r="AD655" i="17"/>
  <c r="AD656" i="17"/>
  <c r="AD657" i="17"/>
  <c r="AD658" i="17"/>
  <c r="AD659" i="17"/>
  <c r="AD660" i="17"/>
  <c r="AD661" i="17"/>
  <c r="AD662" i="17"/>
  <c r="AD663" i="17"/>
  <c r="AD664" i="17"/>
  <c r="AD665" i="17"/>
  <c r="AD666" i="17"/>
  <c r="AD667" i="17"/>
  <c r="AD668" i="17"/>
  <c r="AD669" i="17"/>
  <c r="AD670" i="17"/>
  <c r="AD671" i="17"/>
  <c r="AD672" i="17"/>
  <c r="AD673" i="17"/>
  <c r="AD674" i="17"/>
  <c r="AD675" i="17"/>
  <c r="AD676" i="17"/>
  <c r="AD677" i="17"/>
  <c r="AD678" i="17"/>
  <c r="AD679" i="17"/>
  <c r="AD680" i="17"/>
  <c r="AD681" i="17"/>
  <c r="AD682" i="17"/>
  <c r="AD683" i="17"/>
  <c r="AD684" i="17"/>
  <c r="AD685" i="17"/>
  <c r="AD686" i="17"/>
  <c r="AD687" i="17"/>
  <c r="AD688" i="17"/>
  <c r="AD689" i="17"/>
  <c r="AD690" i="17"/>
  <c r="AD691" i="17"/>
  <c r="AD692" i="17"/>
  <c r="AD693" i="17"/>
  <c r="AD694" i="17"/>
  <c r="AD695" i="17"/>
  <c r="AD696" i="17"/>
  <c r="AD697" i="17"/>
  <c r="AD698" i="17"/>
  <c r="AD699" i="17"/>
  <c r="AD700" i="17"/>
  <c r="AD701" i="17"/>
  <c r="AD2" i="17"/>
  <c r="AC3" i="17"/>
  <c r="AC4" i="17"/>
  <c r="AC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AC534" i="17"/>
  <c r="AC535" i="17"/>
  <c r="AC536" i="17"/>
  <c r="AC537" i="17"/>
  <c r="AC538" i="17"/>
  <c r="AC539" i="17"/>
  <c r="AC540" i="17"/>
  <c r="AC541" i="17"/>
  <c r="AC542" i="17"/>
  <c r="AC543" i="17"/>
  <c r="AC544" i="17"/>
  <c r="AC545" i="17"/>
  <c r="AC546" i="17"/>
  <c r="AC547" i="17"/>
  <c r="AC548" i="17"/>
  <c r="AC549" i="17"/>
  <c r="AC550" i="17"/>
  <c r="AC551" i="17"/>
  <c r="AC552" i="17"/>
  <c r="AC553" i="17"/>
  <c r="AC554" i="17"/>
  <c r="AC555" i="17"/>
  <c r="AC556" i="17"/>
  <c r="AC557" i="17"/>
  <c r="AC558" i="17"/>
  <c r="AC559" i="17"/>
  <c r="AC560" i="17"/>
  <c r="AC561" i="17"/>
  <c r="AC562" i="17"/>
  <c r="AC563" i="17"/>
  <c r="AC564" i="17"/>
  <c r="AC565" i="17"/>
  <c r="AC566" i="17"/>
  <c r="AC567" i="17"/>
  <c r="AC568" i="17"/>
  <c r="AC569" i="17"/>
  <c r="AC570" i="17"/>
  <c r="AC571" i="17"/>
  <c r="AC572" i="17"/>
  <c r="AC573" i="17"/>
  <c r="AC574" i="17"/>
  <c r="AC575" i="17"/>
  <c r="AC576" i="17"/>
  <c r="AC577" i="17"/>
  <c r="AC578" i="17"/>
  <c r="AC579" i="17"/>
  <c r="AC580" i="17"/>
  <c r="AC581" i="17"/>
  <c r="AC582" i="17"/>
  <c r="AC583" i="17"/>
  <c r="AC584" i="17"/>
  <c r="AC585" i="17"/>
  <c r="AC586" i="17"/>
  <c r="AC587" i="17"/>
  <c r="AC588" i="17"/>
  <c r="AC589" i="17"/>
  <c r="AC590" i="17"/>
  <c r="AC591" i="17"/>
  <c r="AC592" i="17"/>
  <c r="AC593" i="17"/>
  <c r="AC594" i="17"/>
  <c r="AC595" i="17"/>
  <c r="AC596" i="17"/>
  <c r="AC597" i="17"/>
  <c r="AC598" i="17"/>
  <c r="AC599" i="17"/>
  <c r="AC600" i="17"/>
  <c r="AC601" i="17"/>
  <c r="AC602" i="17"/>
  <c r="AC603" i="17"/>
  <c r="AC604" i="17"/>
  <c r="AC605" i="17"/>
  <c r="AC606" i="17"/>
  <c r="AC607" i="17"/>
  <c r="AC608" i="17"/>
  <c r="AC609" i="17"/>
  <c r="AC610" i="17"/>
  <c r="AC611" i="17"/>
  <c r="AC612" i="17"/>
  <c r="AC613" i="17"/>
  <c r="AC614" i="17"/>
  <c r="AC615" i="17"/>
  <c r="AC616" i="17"/>
  <c r="AC617" i="17"/>
  <c r="AC618" i="17"/>
  <c r="AC619" i="17"/>
  <c r="AC620" i="17"/>
  <c r="AC621" i="17"/>
  <c r="AC622" i="17"/>
  <c r="AC623" i="17"/>
  <c r="AC624" i="17"/>
  <c r="AC625" i="17"/>
  <c r="AC626" i="17"/>
  <c r="AC627" i="17"/>
  <c r="AC628" i="17"/>
  <c r="AC629" i="17"/>
  <c r="AC630" i="17"/>
  <c r="AC631" i="17"/>
  <c r="AC632" i="17"/>
  <c r="AC633" i="17"/>
  <c r="AC634" i="17"/>
  <c r="AC635" i="17"/>
  <c r="AC636" i="17"/>
  <c r="AC637" i="17"/>
  <c r="AC638" i="17"/>
  <c r="AC639" i="17"/>
  <c r="AC640" i="17"/>
  <c r="AC641" i="17"/>
  <c r="AC642" i="17"/>
  <c r="AC643" i="17"/>
  <c r="AC644" i="17"/>
  <c r="AC645" i="17"/>
  <c r="AC646" i="17"/>
  <c r="AC647" i="17"/>
  <c r="AC648" i="17"/>
  <c r="AC649" i="17"/>
  <c r="AC650" i="17"/>
  <c r="AC651" i="17"/>
  <c r="AC652" i="17"/>
  <c r="AC653" i="17"/>
  <c r="AC654" i="17"/>
  <c r="AC655" i="17"/>
  <c r="AC656" i="17"/>
  <c r="AC657" i="17"/>
  <c r="AC658" i="17"/>
  <c r="AC659" i="17"/>
  <c r="AC660" i="17"/>
  <c r="AC661" i="17"/>
  <c r="AC662" i="17"/>
  <c r="AC663" i="17"/>
  <c r="AC664" i="17"/>
  <c r="AC665" i="17"/>
  <c r="AC666" i="17"/>
  <c r="AC667" i="17"/>
  <c r="AC668" i="17"/>
  <c r="AC669" i="17"/>
  <c r="AC670" i="17"/>
  <c r="AC671" i="17"/>
  <c r="AC672" i="17"/>
  <c r="AC673" i="17"/>
  <c r="AC674" i="17"/>
  <c r="AC675" i="17"/>
  <c r="AC676" i="17"/>
  <c r="AC677" i="17"/>
  <c r="AC678" i="17"/>
  <c r="AC679" i="17"/>
  <c r="AC680" i="17"/>
  <c r="AC681" i="17"/>
  <c r="AC682" i="17"/>
  <c r="AC683" i="17"/>
  <c r="AC684" i="17"/>
  <c r="AC685" i="17"/>
  <c r="AC686" i="17"/>
  <c r="AC687" i="17"/>
  <c r="AC688" i="17"/>
  <c r="AC689" i="17"/>
  <c r="AC690" i="17"/>
  <c r="AC691" i="17"/>
  <c r="AC692" i="17"/>
  <c r="AC693" i="17"/>
  <c r="AC694" i="17"/>
  <c r="AC695" i="17"/>
  <c r="AC696" i="17"/>
  <c r="AC697" i="17"/>
  <c r="AC698" i="17"/>
  <c r="AC699" i="17"/>
  <c r="AC700" i="17"/>
  <c r="AC701" i="17"/>
  <c r="AC2" i="17"/>
  <c r="AB3" i="17"/>
  <c r="AB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109" i="17"/>
  <c r="AB110" i="17"/>
  <c r="AB111" i="17"/>
  <c r="AB112" i="17"/>
  <c r="AB113" i="17"/>
  <c r="AB114" i="17"/>
  <c r="AB115" i="17"/>
  <c r="AB116" i="17"/>
  <c r="AB117" i="17"/>
  <c r="AB118" i="17"/>
  <c r="AB119" i="17"/>
  <c r="AB120" i="17"/>
  <c r="AB121" i="17"/>
  <c r="AB122" i="17"/>
  <c r="AB123" i="17"/>
  <c r="AB124" i="17"/>
  <c r="AB125" i="17"/>
  <c r="AB126" i="17"/>
  <c r="AB127" i="17"/>
  <c r="AB128" i="17"/>
  <c r="AB129" i="17"/>
  <c r="AB130" i="17"/>
  <c r="AB131" i="17"/>
  <c r="AB132" i="17"/>
  <c r="AB133" i="17"/>
  <c r="AB134" i="17"/>
  <c r="AB135" i="17"/>
  <c r="AB136" i="17"/>
  <c r="AB137" i="17"/>
  <c r="AB138" i="17"/>
  <c r="AB139" i="17"/>
  <c r="AB140" i="17"/>
  <c r="AB141" i="17"/>
  <c r="AB142" i="17"/>
  <c r="AB143" i="17"/>
  <c r="AB144" i="17"/>
  <c r="AB145" i="17"/>
  <c r="AB146" i="17"/>
  <c r="AB147" i="17"/>
  <c r="AB148" i="17"/>
  <c r="AB149" i="17"/>
  <c r="AB150" i="17"/>
  <c r="AB151" i="17"/>
  <c r="AB152" i="17"/>
  <c r="AB153" i="17"/>
  <c r="AB154" i="17"/>
  <c r="AB155" i="17"/>
  <c r="AB156" i="17"/>
  <c r="AB157" i="17"/>
  <c r="AB158" i="17"/>
  <c r="AB159" i="17"/>
  <c r="AB160" i="17"/>
  <c r="AB161" i="17"/>
  <c r="AB162" i="17"/>
  <c r="AB163" i="17"/>
  <c r="AB164" i="17"/>
  <c r="AB165" i="17"/>
  <c r="AB166" i="17"/>
  <c r="AB167" i="17"/>
  <c r="AB168" i="17"/>
  <c r="AB169" i="17"/>
  <c r="AB170" i="17"/>
  <c r="AB171" i="17"/>
  <c r="AB172" i="17"/>
  <c r="AB173" i="17"/>
  <c r="AB174" i="17"/>
  <c r="AB175" i="17"/>
  <c r="AB176" i="17"/>
  <c r="AB177" i="17"/>
  <c r="AB178" i="17"/>
  <c r="AB179" i="17"/>
  <c r="AB180" i="17"/>
  <c r="AB181" i="17"/>
  <c r="AB182" i="17"/>
  <c r="AB183" i="17"/>
  <c r="AB184" i="17"/>
  <c r="AB185" i="17"/>
  <c r="AB186" i="17"/>
  <c r="AB187" i="17"/>
  <c r="AB188" i="17"/>
  <c r="AB189" i="17"/>
  <c r="AB190" i="17"/>
  <c r="AB191" i="17"/>
  <c r="AB192" i="17"/>
  <c r="AB193" i="17"/>
  <c r="AB194" i="17"/>
  <c r="AB195" i="17"/>
  <c r="AB196" i="17"/>
  <c r="AB197" i="17"/>
  <c r="AB198" i="17"/>
  <c r="AB199" i="17"/>
  <c r="AB200" i="17"/>
  <c r="AB201" i="17"/>
  <c r="AB202" i="17"/>
  <c r="AB203" i="17"/>
  <c r="AB204" i="17"/>
  <c r="AB205" i="17"/>
  <c r="AB206" i="17"/>
  <c r="AB207" i="17"/>
  <c r="AB208" i="17"/>
  <c r="AB209" i="17"/>
  <c r="AB210" i="17"/>
  <c r="AB211" i="17"/>
  <c r="AB212" i="17"/>
  <c r="AB213" i="17"/>
  <c r="AB214" i="17"/>
  <c r="AB215" i="17"/>
  <c r="AB216" i="17"/>
  <c r="AB217" i="17"/>
  <c r="AB218" i="17"/>
  <c r="AB219" i="17"/>
  <c r="AB220" i="17"/>
  <c r="AB221" i="17"/>
  <c r="AB222" i="17"/>
  <c r="AB223" i="17"/>
  <c r="AB224" i="17"/>
  <c r="AB225" i="17"/>
  <c r="AB226" i="17"/>
  <c r="AB227" i="17"/>
  <c r="AB228" i="17"/>
  <c r="AB229" i="17"/>
  <c r="AB230" i="17"/>
  <c r="AB231" i="17"/>
  <c r="AB232" i="17"/>
  <c r="AB233" i="17"/>
  <c r="AB234" i="17"/>
  <c r="AB235" i="17"/>
  <c r="AB236" i="17"/>
  <c r="AB237" i="17"/>
  <c r="AB238" i="17"/>
  <c r="AB239" i="17"/>
  <c r="AB240" i="17"/>
  <c r="AB241" i="17"/>
  <c r="AB242" i="17"/>
  <c r="AB243" i="17"/>
  <c r="AB244" i="17"/>
  <c r="AB245" i="17"/>
  <c r="AB246" i="17"/>
  <c r="AB247" i="17"/>
  <c r="AB248" i="17"/>
  <c r="AB249" i="17"/>
  <c r="AB250" i="17"/>
  <c r="AB251" i="17"/>
  <c r="AB252" i="17"/>
  <c r="AB253" i="17"/>
  <c r="AB254" i="17"/>
  <c r="AB255" i="17"/>
  <c r="AB256" i="17"/>
  <c r="AB257" i="17"/>
  <c r="AB258" i="17"/>
  <c r="AB259" i="17"/>
  <c r="AB260" i="17"/>
  <c r="AB261" i="17"/>
  <c r="AB262" i="17"/>
  <c r="AB263" i="17"/>
  <c r="AB264" i="17"/>
  <c r="AB265" i="17"/>
  <c r="AB266" i="17"/>
  <c r="AB267" i="17"/>
  <c r="AB268" i="17"/>
  <c r="AB269" i="17"/>
  <c r="AB270" i="17"/>
  <c r="AB271" i="17"/>
  <c r="AB272" i="17"/>
  <c r="AB273" i="17"/>
  <c r="AB274" i="17"/>
  <c r="AB275" i="17"/>
  <c r="AB276" i="17"/>
  <c r="AB277" i="17"/>
  <c r="AB278" i="17"/>
  <c r="AB279" i="17"/>
  <c r="AB280" i="17"/>
  <c r="AB281" i="17"/>
  <c r="AB282" i="17"/>
  <c r="AB283" i="17"/>
  <c r="AB284" i="17"/>
  <c r="AB285" i="17"/>
  <c r="AB286" i="17"/>
  <c r="AB287" i="17"/>
  <c r="AB288" i="17"/>
  <c r="AB289" i="17"/>
  <c r="AB290" i="17"/>
  <c r="AB291" i="17"/>
  <c r="AB292" i="17"/>
  <c r="AB293" i="17"/>
  <c r="AB294" i="17"/>
  <c r="AB295" i="17"/>
  <c r="AB296" i="17"/>
  <c r="AB297" i="17"/>
  <c r="AB298" i="17"/>
  <c r="AB299" i="17"/>
  <c r="AB300" i="17"/>
  <c r="AB301" i="17"/>
  <c r="AB302" i="17"/>
  <c r="AB303" i="17"/>
  <c r="AB304" i="17"/>
  <c r="AB305" i="17"/>
  <c r="AB306" i="17"/>
  <c r="AB307" i="17"/>
  <c r="AB308" i="17"/>
  <c r="AB309" i="17"/>
  <c r="AB310" i="17"/>
  <c r="AB311" i="17"/>
  <c r="AB312" i="17"/>
  <c r="AB313" i="17"/>
  <c r="AB314" i="17"/>
  <c r="AB315" i="17"/>
  <c r="AB316" i="17"/>
  <c r="AB317" i="17"/>
  <c r="AB318" i="17"/>
  <c r="AB319" i="17"/>
  <c r="AB320" i="17"/>
  <c r="AB321" i="17"/>
  <c r="AB322" i="17"/>
  <c r="AB323" i="17"/>
  <c r="AB324" i="17"/>
  <c r="AB325" i="17"/>
  <c r="AB326" i="17"/>
  <c r="AB327" i="17"/>
  <c r="AB328" i="17"/>
  <c r="AB329" i="17"/>
  <c r="AB330" i="17"/>
  <c r="AB331" i="17"/>
  <c r="AB332" i="17"/>
  <c r="AB333" i="17"/>
  <c r="AB334" i="17"/>
  <c r="AB335" i="17"/>
  <c r="AB336" i="17"/>
  <c r="AB337" i="17"/>
  <c r="AB338" i="17"/>
  <c r="AB339" i="17"/>
  <c r="AB340" i="17"/>
  <c r="AB341" i="17"/>
  <c r="AB342" i="17"/>
  <c r="AB343" i="17"/>
  <c r="AB344" i="17"/>
  <c r="AB345" i="17"/>
  <c r="AB346" i="17"/>
  <c r="AB347" i="17"/>
  <c r="AB348" i="17"/>
  <c r="AB349" i="17"/>
  <c r="AB350" i="17"/>
  <c r="AB351" i="17"/>
  <c r="AB352" i="17"/>
  <c r="AB353" i="17"/>
  <c r="AB354" i="17"/>
  <c r="AB355" i="17"/>
  <c r="AB356" i="17"/>
  <c r="AB357" i="17"/>
  <c r="AB358" i="17"/>
  <c r="AB359" i="17"/>
  <c r="AB360" i="17"/>
  <c r="AB361" i="17"/>
  <c r="AB362" i="17"/>
  <c r="AB363" i="17"/>
  <c r="AB364" i="17"/>
  <c r="AB365" i="17"/>
  <c r="AB366" i="17"/>
  <c r="AB367" i="17"/>
  <c r="AB368" i="17"/>
  <c r="AB369" i="17"/>
  <c r="AB370" i="17"/>
  <c r="AB371" i="17"/>
  <c r="AB372" i="17"/>
  <c r="AB373" i="17"/>
  <c r="AB374" i="17"/>
  <c r="AB375" i="17"/>
  <c r="AB376" i="17"/>
  <c r="AB377" i="17"/>
  <c r="AB378" i="17"/>
  <c r="AB379" i="17"/>
  <c r="AB380" i="17"/>
  <c r="AB381" i="17"/>
  <c r="AB382" i="17"/>
  <c r="AB383" i="17"/>
  <c r="AB384" i="17"/>
  <c r="AB385" i="17"/>
  <c r="AB386" i="17"/>
  <c r="AB387" i="17"/>
  <c r="AB388" i="17"/>
  <c r="AB389" i="17"/>
  <c r="AB390" i="17"/>
  <c r="AB391" i="17"/>
  <c r="AB392" i="17"/>
  <c r="AB393" i="17"/>
  <c r="AB394" i="17"/>
  <c r="AB395" i="17"/>
  <c r="AB396" i="17"/>
  <c r="AB397" i="17"/>
  <c r="AB398" i="17"/>
  <c r="AB399" i="17"/>
  <c r="AB400" i="17"/>
  <c r="AB401" i="17"/>
  <c r="AB402" i="17"/>
  <c r="AB403" i="17"/>
  <c r="AB404" i="17"/>
  <c r="AB405" i="17"/>
  <c r="AB406" i="17"/>
  <c r="AB407" i="17"/>
  <c r="AB408" i="17"/>
  <c r="AB409" i="17"/>
  <c r="AB410" i="17"/>
  <c r="AB411" i="17"/>
  <c r="AB412" i="17"/>
  <c r="AB413" i="17"/>
  <c r="AB414" i="17"/>
  <c r="AB415" i="17"/>
  <c r="AB416" i="17"/>
  <c r="AB417" i="17"/>
  <c r="AB418" i="17"/>
  <c r="AB419" i="17"/>
  <c r="AB420" i="17"/>
  <c r="AB421" i="17"/>
  <c r="AB422" i="17"/>
  <c r="AB423" i="17"/>
  <c r="AB424" i="17"/>
  <c r="AB425" i="17"/>
  <c r="AB426" i="17"/>
  <c r="AB427" i="17"/>
  <c r="AB428" i="17"/>
  <c r="AB429" i="17"/>
  <c r="AB430" i="17"/>
  <c r="AB431" i="17"/>
  <c r="AB432" i="17"/>
  <c r="AB433" i="17"/>
  <c r="AB434" i="17"/>
  <c r="AB435" i="17"/>
  <c r="AB436" i="17"/>
  <c r="AB437" i="17"/>
  <c r="AB438" i="17"/>
  <c r="AB439" i="17"/>
  <c r="AB440" i="17"/>
  <c r="AB441" i="17"/>
  <c r="AB442" i="17"/>
  <c r="AB443" i="17"/>
  <c r="AB444" i="17"/>
  <c r="AB445" i="17"/>
  <c r="AB446" i="17"/>
  <c r="AB447" i="17"/>
  <c r="AB448" i="17"/>
  <c r="AB449" i="17"/>
  <c r="AB450" i="17"/>
  <c r="AB451" i="17"/>
  <c r="AB452" i="17"/>
  <c r="AB453" i="17"/>
  <c r="AB454" i="17"/>
  <c r="AB455" i="17"/>
  <c r="AB456" i="17"/>
  <c r="AB457" i="17"/>
  <c r="AB458" i="17"/>
  <c r="AB459" i="17"/>
  <c r="AB460" i="17"/>
  <c r="AB461" i="17"/>
  <c r="AB462" i="17"/>
  <c r="AB463" i="17"/>
  <c r="AB464" i="17"/>
  <c r="AB465" i="17"/>
  <c r="AB466" i="17"/>
  <c r="AB467" i="17"/>
  <c r="AB468" i="17"/>
  <c r="AB469" i="17"/>
  <c r="AB470" i="17"/>
  <c r="AB471" i="17"/>
  <c r="AB472" i="17"/>
  <c r="AB473" i="17"/>
  <c r="AB474" i="17"/>
  <c r="AB475" i="17"/>
  <c r="AB476" i="17"/>
  <c r="AB477" i="17"/>
  <c r="AB478" i="17"/>
  <c r="AB479" i="17"/>
  <c r="AB480" i="17"/>
  <c r="AB481" i="17"/>
  <c r="AB482" i="17"/>
  <c r="AB483" i="17"/>
  <c r="AB484" i="17"/>
  <c r="AB485" i="17"/>
  <c r="AB486" i="17"/>
  <c r="AB487" i="17"/>
  <c r="AB488" i="17"/>
  <c r="AB489" i="17"/>
  <c r="AB490" i="17"/>
  <c r="AB491" i="17"/>
  <c r="AB492" i="17"/>
  <c r="AB493" i="17"/>
  <c r="AB494" i="17"/>
  <c r="AB495" i="17"/>
  <c r="AB496" i="17"/>
  <c r="AB497" i="17"/>
  <c r="AB498" i="17"/>
  <c r="AB499" i="17"/>
  <c r="AB500" i="17"/>
  <c r="AB501" i="17"/>
  <c r="AB502" i="17"/>
  <c r="AB503" i="17"/>
  <c r="AB504" i="17"/>
  <c r="AB505" i="17"/>
  <c r="AB506" i="17"/>
  <c r="AB507" i="17"/>
  <c r="AB508" i="17"/>
  <c r="AB509" i="17"/>
  <c r="AB510" i="17"/>
  <c r="AB511" i="17"/>
  <c r="AB512" i="17"/>
  <c r="AB513" i="17"/>
  <c r="AB514" i="17"/>
  <c r="AB515" i="17"/>
  <c r="AB516" i="17"/>
  <c r="AB517" i="17"/>
  <c r="AB518" i="17"/>
  <c r="AB519" i="17"/>
  <c r="AB520" i="17"/>
  <c r="AB521" i="17"/>
  <c r="AB522" i="17"/>
  <c r="AB523" i="17"/>
  <c r="AB524" i="17"/>
  <c r="AB525" i="17"/>
  <c r="AB526" i="17"/>
  <c r="AB527" i="17"/>
  <c r="AB528" i="17"/>
  <c r="AB529" i="17"/>
  <c r="AB530" i="17"/>
  <c r="AB531" i="17"/>
  <c r="AB532" i="17"/>
  <c r="AB533" i="17"/>
  <c r="AB534" i="17"/>
  <c r="AB535" i="17"/>
  <c r="AB536" i="17"/>
  <c r="AB537" i="17"/>
  <c r="AB538" i="17"/>
  <c r="AB539" i="17"/>
  <c r="AB540" i="17"/>
  <c r="AB541" i="17"/>
  <c r="AB542" i="17"/>
  <c r="AB543" i="17"/>
  <c r="AB544" i="17"/>
  <c r="AB545" i="17"/>
  <c r="AB546" i="17"/>
  <c r="AB547" i="17"/>
  <c r="AB548" i="17"/>
  <c r="AB549" i="17"/>
  <c r="AB550" i="17"/>
  <c r="AB551" i="17"/>
  <c r="AB552" i="17"/>
  <c r="AB553" i="17"/>
  <c r="AB554" i="17"/>
  <c r="AB555" i="17"/>
  <c r="AB556" i="17"/>
  <c r="AB557" i="17"/>
  <c r="AB558" i="17"/>
  <c r="AB559" i="17"/>
  <c r="AB560" i="17"/>
  <c r="AB561" i="17"/>
  <c r="AB562" i="17"/>
  <c r="AB563" i="17"/>
  <c r="AB564" i="17"/>
  <c r="AB565" i="17"/>
  <c r="AB566" i="17"/>
  <c r="AB567" i="17"/>
  <c r="AB568" i="17"/>
  <c r="AB569" i="17"/>
  <c r="AB570" i="17"/>
  <c r="AB571" i="17"/>
  <c r="AB572" i="17"/>
  <c r="AB573" i="17"/>
  <c r="AB574" i="17"/>
  <c r="AB575" i="17"/>
  <c r="AB576" i="17"/>
  <c r="AB577" i="17"/>
  <c r="AB578" i="17"/>
  <c r="AB579" i="17"/>
  <c r="AB580" i="17"/>
  <c r="AB581" i="17"/>
  <c r="AB582" i="17"/>
  <c r="AB583" i="17"/>
  <c r="AB584" i="17"/>
  <c r="AB585" i="17"/>
  <c r="AB586" i="17"/>
  <c r="AB587" i="17"/>
  <c r="AB588" i="17"/>
  <c r="AB589" i="17"/>
  <c r="AB590" i="17"/>
  <c r="AB591" i="17"/>
  <c r="AB592" i="17"/>
  <c r="AB593" i="17"/>
  <c r="AB594" i="17"/>
  <c r="AB595" i="17"/>
  <c r="AB596" i="17"/>
  <c r="AB597" i="17"/>
  <c r="AB598" i="17"/>
  <c r="AB599" i="17"/>
  <c r="AB600" i="17"/>
  <c r="AB601" i="17"/>
  <c r="AB602" i="17"/>
  <c r="AB603" i="17"/>
  <c r="AB604" i="17"/>
  <c r="AB605" i="17"/>
  <c r="AB606" i="17"/>
  <c r="AB607" i="17"/>
  <c r="AB608" i="17"/>
  <c r="AB609" i="17"/>
  <c r="AB610" i="17"/>
  <c r="AB611" i="17"/>
  <c r="AB612" i="17"/>
  <c r="AB613" i="17"/>
  <c r="AB614" i="17"/>
  <c r="AB615" i="17"/>
  <c r="AB616" i="17"/>
  <c r="AB617" i="17"/>
  <c r="AB618" i="17"/>
  <c r="AB619" i="17"/>
  <c r="AB620" i="17"/>
  <c r="AB621" i="17"/>
  <c r="AB622" i="17"/>
  <c r="AB623" i="17"/>
  <c r="AB624" i="17"/>
  <c r="AB625" i="17"/>
  <c r="AB626" i="17"/>
  <c r="AB627" i="17"/>
  <c r="AB628" i="17"/>
  <c r="AB629" i="17"/>
  <c r="AB630" i="17"/>
  <c r="AB631" i="17"/>
  <c r="AB632" i="17"/>
  <c r="AB633" i="17"/>
  <c r="AB634" i="17"/>
  <c r="AB635" i="17"/>
  <c r="AB636" i="17"/>
  <c r="AB637" i="17"/>
  <c r="AB638" i="17"/>
  <c r="AB639" i="17"/>
  <c r="AB640" i="17"/>
  <c r="AB641" i="17"/>
  <c r="AB642" i="17"/>
  <c r="AB643" i="17"/>
  <c r="AB644" i="17"/>
  <c r="AB645" i="17"/>
  <c r="AB646" i="17"/>
  <c r="AB647" i="17"/>
  <c r="AB648" i="17"/>
  <c r="AB649" i="17"/>
  <c r="AB650" i="17"/>
  <c r="AB651" i="17"/>
  <c r="AB652" i="17"/>
  <c r="AB653" i="17"/>
  <c r="AB654" i="17"/>
  <c r="AB655" i="17"/>
  <c r="AB656" i="17"/>
  <c r="AB657" i="17"/>
  <c r="AB658" i="17"/>
  <c r="AB659" i="17"/>
  <c r="AB660" i="17"/>
  <c r="AB661" i="17"/>
  <c r="AB662" i="17"/>
  <c r="AB663" i="17"/>
  <c r="AB664" i="17"/>
  <c r="AB665" i="17"/>
  <c r="AB666" i="17"/>
  <c r="AB667" i="17"/>
  <c r="AB668" i="17"/>
  <c r="AB669" i="17"/>
  <c r="AB670" i="17"/>
  <c r="AB671" i="17"/>
  <c r="AB672" i="17"/>
  <c r="AB673" i="17"/>
  <c r="AB674" i="17"/>
  <c r="AB675" i="17"/>
  <c r="AB676" i="17"/>
  <c r="AB677" i="17"/>
  <c r="AB678" i="17"/>
  <c r="AB679" i="17"/>
  <c r="AB680" i="17"/>
  <c r="AB681" i="17"/>
  <c r="AB682" i="17"/>
  <c r="AB683" i="17"/>
  <c r="AB684" i="17"/>
  <c r="AB685" i="17"/>
  <c r="AB686" i="17"/>
  <c r="AB687" i="17"/>
  <c r="AB688" i="17"/>
  <c r="AB689" i="17"/>
  <c r="AB690" i="17"/>
  <c r="AB691" i="17"/>
  <c r="AB692" i="17"/>
  <c r="AB693" i="17"/>
  <c r="AB694" i="17"/>
  <c r="AB695" i="17"/>
  <c r="AB696" i="17"/>
  <c r="AB697" i="17"/>
  <c r="AB698" i="17"/>
  <c r="AB699" i="17"/>
  <c r="AB700" i="17"/>
  <c r="AB701" i="17"/>
  <c r="AB2" i="17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2" i="1"/>
  <c r="P245" i="25"/>
  <c r="P244" i="25"/>
  <c r="P243" i="25"/>
  <c r="P242" i="25"/>
  <c r="P241" i="25"/>
  <c r="P240" i="25"/>
  <c r="P239" i="25"/>
  <c r="P238" i="25"/>
  <c r="P237" i="25"/>
  <c r="P236" i="25"/>
  <c r="P235" i="25"/>
  <c r="P234" i="25"/>
  <c r="P233" i="25"/>
  <c r="P232" i="25"/>
  <c r="P231" i="25"/>
  <c r="P230" i="25"/>
  <c r="P229" i="25"/>
  <c r="P228" i="25"/>
  <c r="P227" i="25"/>
  <c r="P226" i="25"/>
  <c r="P225" i="25"/>
  <c r="P224" i="25"/>
  <c r="P223" i="25"/>
  <c r="P222" i="25"/>
  <c r="P221" i="25"/>
  <c r="P220" i="25"/>
  <c r="P219" i="25"/>
  <c r="P218" i="25"/>
  <c r="P217" i="25"/>
  <c r="P216" i="25"/>
  <c r="P215" i="25"/>
  <c r="P214" i="25"/>
  <c r="P213" i="25"/>
  <c r="P212" i="25"/>
  <c r="P211" i="25"/>
  <c r="P210" i="25"/>
  <c r="P209" i="25"/>
  <c r="P208" i="25"/>
  <c r="P207" i="25"/>
  <c r="P206" i="25"/>
  <c r="P205" i="25"/>
  <c r="P204" i="25"/>
  <c r="P203" i="25"/>
  <c r="P202" i="25"/>
  <c r="P201" i="25"/>
  <c r="P200" i="25"/>
  <c r="P199" i="25"/>
  <c r="P198" i="25"/>
  <c r="P197" i="25"/>
  <c r="P196" i="25"/>
  <c r="P195" i="25"/>
  <c r="P194" i="25"/>
  <c r="P193" i="25"/>
  <c r="P192" i="25"/>
  <c r="P191" i="25"/>
  <c r="P190" i="25"/>
  <c r="P189" i="25"/>
  <c r="P188" i="25"/>
  <c r="P187" i="25"/>
  <c r="P186" i="25"/>
  <c r="P185" i="25"/>
  <c r="P184" i="25"/>
  <c r="P183" i="25"/>
  <c r="P182" i="25"/>
  <c r="P181" i="25"/>
  <c r="P180" i="25"/>
  <c r="P179" i="25"/>
  <c r="P178" i="25"/>
  <c r="P177" i="25"/>
  <c r="P176" i="25"/>
  <c r="P175" i="25"/>
  <c r="P174" i="25"/>
  <c r="P173" i="25"/>
  <c r="P172" i="25"/>
  <c r="P171" i="25"/>
  <c r="P170" i="25"/>
  <c r="P169" i="25"/>
  <c r="P168" i="25"/>
  <c r="P167" i="25"/>
  <c r="P166" i="25"/>
  <c r="P165" i="25"/>
  <c r="P164" i="25"/>
  <c r="P163" i="25"/>
  <c r="P162" i="25"/>
  <c r="P161" i="25"/>
  <c r="P160" i="25"/>
  <c r="P159" i="25"/>
  <c r="P158" i="25"/>
  <c r="P157" i="25"/>
  <c r="P156" i="25"/>
  <c r="P155" i="25"/>
  <c r="P154" i="25"/>
  <c r="P153" i="25"/>
  <c r="P152" i="25"/>
  <c r="P151" i="25"/>
  <c r="P150" i="25"/>
  <c r="P149" i="25"/>
  <c r="P148" i="25"/>
  <c r="P147" i="25"/>
  <c r="P146" i="25"/>
  <c r="P145" i="25"/>
  <c r="P144" i="25"/>
  <c r="P143" i="25"/>
  <c r="P142" i="25"/>
  <c r="P141" i="25"/>
  <c r="P140" i="25"/>
  <c r="P139" i="25"/>
  <c r="P138" i="25"/>
  <c r="P137" i="25"/>
  <c r="P136" i="25"/>
  <c r="P135" i="25"/>
  <c r="P134" i="25"/>
  <c r="P133" i="25"/>
  <c r="P132" i="25"/>
  <c r="P131" i="25"/>
  <c r="P130" i="25"/>
  <c r="P129" i="25"/>
  <c r="P128" i="25"/>
  <c r="P127" i="25"/>
  <c r="P126" i="25"/>
  <c r="P125" i="25"/>
  <c r="P124" i="25"/>
  <c r="P123" i="25"/>
  <c r="P122" i="25"/>
  <c r="P121" i="25"/>
  <c r="P120" i="25"/>
  <c r="P119" i="25"/>
  <c r="P118" i="25"/>
  <c r="P117" i="25"/>
  <c r="P116" i="25"/>
  <c r="P115" i="25"/>
  <c r="P114" i="25"/>
  <c r="P113" i="25"/>
  <c r="P112" i="25"/>
  <c r="P111" i="25"/>
  <c r="P110" i="25"/>
  <c r="P109" i="25"/>
  <c r="P108" i="25"/>
  <c r="P107" i="25"/>
  <c r="P106" i="25"/>
  <c r="P105" i="25"/>
  <c r="P104" i="25"/>
  <c r="P103" i="25"/>
  <c r="P102" i="25"/>
  <c r="P101" i="25"/>
  <c r="P100" i="25"/>
  <c r="P99" i="25"/>
  <c r="P98" i="25"/>
  <c r="P97" i="25"/>
  <c r="P96" i="25"/>
  <c r="P95" i="25"/>
  <c r="P94" i="25"/>
  <c r="P93" i="25"/>
  <c r="P92" i="25"/>
  <c r="P91" i="25"/>
  <c r="P90" i="25"/>
  <c r="P89" i="25"/>
  <c r="P88" i="25"/>
  <c r="P87" i="25"/>
  <c r="P86" i="25"/>
  <c r="P85" i="25"/>
  <c r="P84" i="25"/>
  <c r="P83" i="25"/>
  <c r="P82" i="25"/>
  <c r="P81" i="25"/>
  <c r="P80" i="25"/>
  <c r="P79" i="25"/>
  <c r="P78" i="25"/>
  <c r="P77" i="25"/>
  <c r="P76" i="25"/>
  <c r="P75" i="25"/>
  <c r="P74" i="25"/>
  <c r="P73" i="25"/>
  <c r="P72" i="25"/>
  <c r="P71" i="25"/>
  <c r="P70" i="25"/>
  <c r="P69" i="25"/>
  <c r="P68" i="25"/>
  <c r="P67" i="25"/>
  <c r="P66" i="25"/>
  <c r="P65" i="25"/>
  <c r="P64" i="25"/>
  <c r="P63" i="25"/>
  <c r="P62" i="25"/>
  <c r="P61" i="25"/>
  <c r="P60" i="25"/>
  <c r="P59" i="25"/>
  <c r="P58" i="25"/>
  <c r="P57" i="25"/>
  <c r="P56" i="25"/>
  <c r="P55" i="25"/>
  <c r="P54" i="25"/>
  <c r="P53" i="25"/>
  <c r="P52" i="25"/>
  <c r="P51" i="25"/>
  <c r="P50" i="25"/>
  <c r="P49" i="25"/>
  <c r="P48" i="25"/>
  <c r="P47" i="25"/>
  <c r="P46" i="25"/>
  <c r="P45" i="25"/>
  <c r="P44" i="25"/>
  <c r="P43" i="25"/>
  <c r="P42" i="25"/>
  <c r="P41" i="25"/>
  <c r="P40" i="25"/>
  <c r="P39" i="25"/>
  <c r="P38" i="25"/>
  <c r="P37" i="25"/>
  <c r="P36" i="25"/>
  <c r="P35" i="25"/>
  <c r="P34" i="25"/>
  <c r="P33" i="25"/>
  <c r="P32" i="25"/>
  <c r="P31" i="25"/>
  <c r="P30" i="25"/>
  <c r="P29" i="25"/>
  <c r="P28" i="25"/>
  <c r="P27" i="25"/>
  <c r="P26" i="25"/>
  <c r="P25" i="25"/>
  <c r="P24" i="25"/>
  <c r="P23" i="25"/>
  <c r="P22" i="25"/>
  <c r="P21" i="25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P165" i="24"/>
  <c r="P279" i="24"/>
  <c r="P247" i="24"/>
  <c r="P457" i="24"/>
  <c r="P87" i="24"/>
  <c r="P187" i="24"/>
  <c r="P256" i="24"/>
  <c r="P10" i="24"/>
  <c r="P456" i="24"/>
  <c r="P455" i="24"/>
  <c r="P454" i="24"/>
  <c r="P232" i="24"/>
  <c r="P453" i="24"/>
  <c r="P231" i="24"/>
  <c r="P452" i="24"/>
  <c r="P451" i="24"/>
  <c r="P450" i="24"/>
  <c r="P449" i="24"/>
  <c r="P448" i="24"/>
  <c r="P447" i="24"/>
  <c r="P446" i="24"/>
  <c r="P445" i="24"/>
  <c r="P444" i="24"/>
  <c r="P443" i="24"/>
  <c r="P442" i="24"/>
  <c r="P441" i="24"/>
  <c r="P440" i="24"/>
  <c r="P439" i="24"/>
  <c r="P438" i="24"/>
  <c r="P437" i="24"/>
  <c r="P436" i="24"/>
  <c r="P435" i="24"/>
  <c r="P434" i="24"/>
  <c r="P433" i="24"/>
  <c r="P432" i="24"/>
  <c r="P431" i="24"/>
  <c r="P430" i="24"/>
  <c r="P429" i="24"/>
  <c r="P428" i="24"/>
  <c r="P427" i="24"/>
  <c r="P426" i="24"/>
  <c r="P425" i="24"/>
  <c r="P424" i="24"/>
  <c r="P423" i="24"/>
  <c r="P164" i="24"/>
  <c r="P163" i="24"/>
  <c r="P162" i="24"/>
  <c r="P161" i="24"/>
  <c r="P160" i="24"/>
  <c r="P86" i="24"/>
  <c r="P85" i="24"/>
  <c r="P84" i="24"/>
  <c r="P83" i="24"/>
  <c r="AA82" i="24"/>
  <c r="P82" i="24"/>
  <c r="AA81" i="24"/>
  <c r="P81" i="24"/>
  <c r="P80" i="24"/>
  <c r="P79" i="24"/>
  <c r="P78" i="24"/>
  <c r="P77" i="24"/>
  <c r="P76" i="24"/>
  <c r="P75" i="24"/>
  <c r="P74" i="24"/>
  <c r="P196" i="24"/>
  <c r="P73" i="24"/>
  <c r="P159" i="24"/>
  <c r="P255" i="24"/>
  <c r="P254" i="24"/>
  <c r="P158" i="24"/>
  <c r="P230" i="24"/>
  <c r="P422" i="24"/>
  <c r="P72" i="24"/>
  <c r="P157" i="24"/>
  <c r="P278" i="24"/>
  <c r="P186" i="24"/>
  <c r="P286" i="24"/>
  <c r="P156" i="24"/>
  <c r="P71" i="24"/>
  <c r="P421" i="24"/>
  <c r="P420" i="24"/>
  <c r="P155" i="24"/>
  <c r="P154" i="24"/>
  <c r="P419" i="24"/>
  <c r="P418" i="24"/>
  <c r="P417" i="24"/>
  <c r="P70" i="24"/>
  <c r="P185" i="24"/>
  <c r="P229" i="24"/>
  <c r="P285" i="24"/>
  <c r="P184" i="24"/>
  <c r="P153" i="24"/>
  <c r="P228" i="24"/>
  <c r="P416" i="24"/>
  <c r="P415" i="24"/>
  <c r="P414" i="24"/>
  <c r="P152" i="24"/>
  <c r="P151" i="24"/>
  <c r="P413" i="24"/>
  <c r="P412" i="24"/>
  <c r="P411" i="24"/>
  <c r="P150" i="24"/>
  <c r="P410" i="24"/>
  <c r="P409" i="24"/>
  <c r="P408" i="24"/>
  <c r="P227" i="24"/>
  <c r="P407" i="24"/>
  <c r="P406" i="24"/>
  <c r="P183" i="24"/>
  <c r="P182" i="24"/>
  <c r="P69" i="24"/>
  <c r="P405" i="24"/>
  <c r="P404" i="24"/>
  <c r="P173" i="24"/>
  <c r="P226" i="24"/>
  <c r="P225" i="24"/>
  <c r="P246" i="24"/>
  <c r="P149" i="24"/>
  <c r="P148" i="24"/>
  <c r="P147" i="24"/>
  <c r="P9" i="24"/>
  <c r="P403" i="24"/>
  <c r="P248" i="24"/>
  <c r="P402" i="24"/>
  <c r="P146" i="24"/>
  <c r="P145" i="24"/>
  <c r="P144" i="24"/>
  <c r="P401" i="24"/>
  <c r="P253" i="24"/>
  <c r="P245" i="24"/>
  <c r="P400" i="24"/>
  <c r="P68" i="24"/>
  <c r="P399" i="24"/>
  <c r="P398" i="24"/>
  <c r="P67" i="24"/>
  <c r="P397" i="24"/>
  <c r="P396" i="24"/>
  <c r="P66" i="24"/>
  <c r="P395" i="24"/>
  <c r="P65" i="24"/>
  <c r="P394" i="24"/>
  <c r="P393" i="24"/>
  <c r="P392" i="24"/>
  <c r="P391" i="24"/>
  <c r="P390" i="24"/>
  <c r="P389" i="24"/>
  <c r="P388" i="24"/>
  <c r="P387" i="24"/>
  <c r="P386" i="24"/>
  <c r="P385" i="24"/>
  <c r="P384" i="24"/>
  <c r="P64" i="24"/>
  <c r="P383" i="24"/>
  <c r="P63" i="24"/>
  <c r="P382" i="24"/>
  <c r="P381" i="24"/>
  <c r="P380" i="24"/>
  <c r="P143" i="24"/>
  <c r="P142" i="24"/>
  <c r="P379" i="24"/>
  <c r="P16" i="24"/>
  <c r="P252" i="24"/>
  <c r="P141" i="24"/>
  <c r="P8" i="24"/>
  <c r="P378" i="24"/>
  <c r="P377" i="24"/>
  <c r="P376" i="24"/>
  <c r="P277" i="24"/>
  <c r="P62" i="24"/>
  <c r="P181" i="24"/>
  <c r="P180" i="24"/>
  <c r="P375" i="24"/>
  <c r="P374" i="24"/>
  <c r="P373" i="24"/>
  <c r="P224" i="24"/>
  <c r="P372" i="24"/>
  <c r="P371" i="24"/>
  <c r="P223" i="24"/>
  <c r="P370" i="24"/>
  <c r="P222" i="24"/>
  <c r="P284" i="24"/>
  <c r="P283" i="24"/>
  <c r="P61" i="24"/>
  <c r="P369" i="24"/>
  <c r="P282" i="24"/>
  <c r="P281" i="24"/>
  <c r="P140" i="24"/>
  <c r="P221" i="24"/>
  <c r="P220" i="24"/>
  <c r="P368" i="24"/>
  <c r="P367" i="24"/>
  <c r="P366" i="24"/>
  <c r="P365" i="24"/>
  <c r="P364" i="24"/>
  <c r="P363" i="24"/>
  <c r="P362" i="24"/>
  <c r="P361" i="24"/>
  <c r="P360" i="24"/>
  <c r="P359" i="24"/>
  <c r="P358" i="24"/>
  <c r="P357" i="24"/>
  <c r="P356" i="24"/>
  <c r="P355" i="24"/>
  <c r="P172" i="24"/>
  <c r="P21" i="24"/>
  <c r="P244" i="24"/>
  <c r="P276" i="24"/>
  <c r="P139" i="24"/>
  <c r="P60" i="24"/>
  <c r="P59" i="24"/>
  <c r="P58" i="24"/>
  <c r="P57" i="24"/>
  <c r="P56" i="24"/>
  <c r="P195" i="24"/>
  <c r="P55" i="24"/>
  <c r="P138" i="24"/>
  <c r="P137" i="24"/>
  <c r="P136" i="24"/>
  <c r="P135" i="24"/>
  <c r="P243" i="24"/>
  <c r="P171" i="24"/>
  <c r="P54" i="24"/>
  <c r="P170" i="24"/>
  <c r="P134" i="24"/>
  <c r="P133" i="24"/>
  <c r="P53" i="24"/>
  <c r="P219" i="24"/>
  <c r="P132" i="24"/>
  <c r="P52" i="24"/>
  <c r="P51" i="24"/>
  <c r="P169" i="24"/>
  <c r="P131" i="24"/>
  <c r="P50" i="24"/>
  <c r="P218" i="24"/>
  <c r="P217" i="24"/>
  <c r="P216" i="24"/>
  <c r="P194" i="24"/>
  <c r="P275" i="24"/>
  <c r="P215" i="24"/>
  <c r="P354" i="24"/>
  <c r="P353" i="24"/>
  <c r="P352" i="24"/>
  <c r="P351" i="24"/>
  <c r="P350" i="24"/>
  <c r="P130" i="24"/>
  <c r="P193" i="24"/>
  <c r="P349" i="24"/>
  <c r="P348" i="24"/>
  <c r="P347" i="24"/>
  <c r="P346" i="24"/>
  <c r="P168" i="24"/>
  <c r="P129" i="24"/>
  <c r="P214" i="24"/>
  <c r="P274" i="24"/>
  <c r="P128" i="24"/>
  <c r="P7" i="24"/>
  <c r="P127" i="24"/>
  <c r="P345" i="24"/>
  <c r="P49" i="24"/>
  <c r="P126" i="24"/>
  <c r="P125" i="24"/>
  <c r="P124" i="24"/>
  <c r="AA123" i="24"/>
  <c r="P123" i="24"/>
  <c r="P122" i="24"/>
  <c r="P121" i="24"/>
  <c r="P120" i="24"/>
  <c r="P213" i="24"/>
  <c r="P15" i="24"/>
  <c r="P344" i="24"/>
  <c r="P343" i="24"/>
  <c r="P342" i="24"/>
  <c r="P341" i="24"/>
  <c r="P340" i="24"/>
  <c r="P339" i="24"/>
  <c r="P338" i="24"/>
  <c r="P337" i="24"/>
  <c r="P336" i="24"/>
  <c r="P335" i="24"/>
  <c r="P334" i="24"/>
  <c r="P333" i="24"/>
  <c r="P332" i="24"/>
  <c r="P331" i="24"/>
  <c r="P330" i="24"/>
  <c r="P329" i="24"/>
  <c r="P48" i="24"/>
  <c r="P47" i="24"/>
  <c r="P46" i="24"/>
  <c r="P45" i="24"/>
  <c r="P44" i="24"/>
  <c r="P242" i="24"/>
  <c r="P273" i="24"/>
  <c r="P119" i="24"/>
  <c r="P118" i="24"/>
  <c r="P117" i="24"/>
  <c r="P241" i="24"/>
  <c r="P240" i="24"/>
  <c r="P20" i="24"/>
  <c r="P19" i="24"/>
  <c r="P239" i="24"/>
  <c r="P238" i="24"/>
  <c r="P212" i="24"/>
  <c r="P116" i="24"/>
  <c r="P115" i="24"/>
  <c r="P43" i="24"/>
  <c r="P272" i="24"/>
  <c r="P271" i="24"/>
  <c r="P270" i="24"/>
  <c r="P114" i="24"/>
  <c r="P113" i="24"/>
  <c r="P112" i="24"/>
  <c r="P111" i="24"/>
  <c r="P110" i="24"/>
  <c r="P211" i="24"/>
  <c r="P210" i="24"/>
  <c r="P209" i="24"/>
  <c r="P208" i="24"/>
  <c r="P167" i="24"/>
  <c r="P328" i="24"/>
  <c r="P179" i="24"/>
  <c r="P178" i="24"/>
  <c r="P251" i="24"/>
  <c r="P327" i="24"/>
  <c r="P326" i="24"/>
  <c r="P325" i="24"/>
  <c r="P324" i="24"/>
  <c r="P323" i="24"/>
  <c r="P42" i="24"/>
  <c r="P322" i="24"/>
  <c r="P41" i="24"/>
  <c r="P321" i="24"/>
  <c r="P40" i="24"/>
  <c r="P39" i="24"/>
  <c r="P192" i="24"/>
  <c r="P38" i="24"/>
  <c r="P320" i="24"/>
  <c r="P109" i="24"/>
  <c r="P177" i="24"/>
  <c r="P207" i="24"/>
  <c r="P319" i="24"/>
  <c r="P318" i="24"/>
  <c r="P317" i="24"/>
  <c r="P6" i="24"/>
  <c r="P316" i="24"/>
  <c r="P166" i="24"/>
  <c r="P315" i="24"/>
  <c r="P314" i="24"/>
  <c r="P313" i="24"/>
  <c r="P37" i="24"/>
  <c r="P280" i="24"/>
  <c r="P5" i="24"/>
  <c r="P312" i="24"/>
  <c r="P206" i="24"/>
  <c r="P311" i="24"/>
  <c r="P205" i="24"/>
  <c r="P269" i="24"/>
  <c r="P237" i="24"/>
  <c r="P176" i="24"/>
  <c r="P250" i="24"/>
  <c r="P191" i="24"/>
  <c r="P36" i="24"/>
  <c r="P35" i="24"/>
  <c r="P34" i="24"/>
  <c r="P33" i="24"/>
  <c r="P108" i="24"/>
  <c r="P107" i="24"/>
  <c r="P204" i="24"/>
  <c r="P203" i="24"/>
  <c r="P175" i="24"/>
  <c r="P310" i="24"/>
  <c r="P249" i="24"/>
  <c r="P309" i="24"/>
  <c r="P308" i="24"/>
  <c r="P236" i="24"/>
  <c r="P268" i="24"/>
  <c r="P267" i="24"/>
  <c r="P174" i="24"/>
  <c r="P32" i="24"/>
  <c r="P31" i="24"/>
  <c r="P30" i="24"/>
  <c r="P266" i="24"/>
  <c r="P18" i="24"/>
  <c r="P17" i="24"/>
  <c r="P14" i="24"/>
  <c r="P13" i="24"/>
  <c r="P12" i="24"/>
  <c r="P235" i="24"/>
  <c r="P29" i="24"/>
  <c r="P28" i="24"/>
  <c r="P106" i="24"/>
  <c r="P105" i="24"/>
  <c r="P307" i="24"/>
  <c r="P306" i="24"/>
  <c r="P104" i="24"/>
  <c r="P305" i="24"/>
  <c r="P202" i="24"/>
  <c r="P27" i="24"/>
  <c r="P4" i="24"/>
  <c r="P103" i="24"/>
  <c r="P102" i="24"/>
  <c r="P101" i="24"/>
  <c r="P100" i="24"/>
  <c r="P190" i="24"/>
  <c r="P304" i="24"/>
  <c r="P201" i="24"/>
  <c r="P200" i="24"/>
  <c r="P199" i="24"/>
  <c r="P3" i="24"/>
  <c r="P303" i="24"/>
  <c r="P99" i="24"/>
  <c r="P98" i="24"/>
  <c r="P97" i="24"/>
  <c r="P96" i="24"/>
  <c r="P95" i="24"/>
  <c r="P265" i="24"/>
  <c r="P264" i="24"/>
  <c r="P263" i="24"/>
  <c r="P262" i="24"/>
  <c r="P261" i="24"/>
  <c r="P260" i="24"/>
  <c r="P259" i="24"/>
  <c r="P234" i="24"/>
  <c r="P302" i="24"/>
  <c r="P301" i="24"/>
  <c r="P26" i="24"/>
  <c r="P198" i="24"/>
  <c r="P189" i="24"/>
  <c r="P2" i="24"/>
  <c r="P300" i="24"/>
  <c r="P94" i="24"/>
  <c r="P93" i="24"/>
  <c r="P25" i="24"/>
  <c r="P92" i="24"/>
  <c r="P24" i="24"/>
  <c r="P197" i="24"/>
  <c r="P91" i="24"/>
  <c r="P299" i="24"/>
  <c r="P298" i="24"/>
  <c r="P297" i="24"/>
  <c r="P296" i="24"/>
  <c r="P23" i="24"/>
  <c r="P22" i="24"/>
  <c r="P295" i="24"/>
  <c r="P188" i="24"/>
  <c r="P11" i="24"/>
  <c r="P90" i="24"/>
  <c r="P294" i="24"/>
  <c r="P293" i="24"/>
  <c r="P292" i="24"/>
  <c r="P89" i="24"/>
  <c r="P233" i="24"/>
  <c r="P258" i="24"/>
  <c r="P291" i="24"/>
  <c r="P88" i="24"/>
  <c r="P290" i="24"/>
  <c r="P289" i="24"/>
  <c r="P288" i="24"/>
  <c r="P257" i="24"/>
  <c r="P287" i="24"/>
  <c r="T123" i="34" l="1"/>
  <c r="AB123" i="24"/>
  <c r="T82" i="34"/>
  <c r="AB82" i="24"/>
  <c r="T81" i="34"/>
  <c r="AB81" i="24"/>
  <c r="M3" i="17" l="1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2" i="17"/>
  <c r="R642" i="17"/>
  <c r="AK642" i="1" l="1"/>
  <c r="N435" i="1"/>
  <c r="N434" i="1"/>
  <c r="AA190" i="1"/>
  <c r="AA699" i="1"/>
  <c r="AA700" i="1"/>
  <c r="T697" i="1"/>
  <c r="T698" i="1"/>
  <c r="T699" i="1"/>
  <c r="T700" i="1"/>
  <c r="T701" i="1"/>
  <c r="N698" i="1"/>
  <c r="N697" i="1"/>
  <c r="AA697" i="1" s="1"/>
  <c r="N701" i="1"/>
  <c r="AA695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2" i="1"/>
  <c r="N696" i="1"/>
  <c r="AA696" i="1" s="1"/>
  <c r="AA462" i="1"/>
  <c r="AA470" i="1"/>
  <c r="AA482" i="1"/>
  <c r="AA491" i="1"/>
  <c r="AA499" i="1"/>
  <c r="AA537" i="1"/>
  <c r="AA538" i="1"/>
  <c r="AA552" i="1"/>
  <c r="AA553" i="1"/>
  <c r="AA556" i="1"/>
  <c r="AA558" i="1"/>
  <c r="AA599" i="1"/>
  <c r="AA612" i="1"/>
  <c r="AA616" i="1"/>
  <c r="AA621" i="1"/>
  <c r="AA626" i="1"/>
  <c r="AA628" i="1"/>
  <c r="AA629" i="1"/>
  <c r="AA630" i="1"/>
  <c r="AA632" i="1"/>
  <c r="AA633" i="1"/>
  <c r="AA635" i="1"/>
  <c r="AA637" i="1"/>
  <c r="AA641" i="1"/>
  <c r="AA643" i="1"/>
  <c r="AA662" i="1"/>
  <c r="AA668" i="1"/>
  <c r="AA669" i="1"/>
  <c r="AA675" i="1"/>
  <c r="AA678" i="1"/>
  <c r="AA692" i="1"/>
  <c r="AA693" i="1"/>
  <c r="AA698" i="1"/>
  <c r="N694" i="1"/>
  <c r="AA694" i="1" s="1"/>
  <c r="N393" i="1"/>
  <c r="N384" i="1"/>
  <c r="N386" i="1"/>
  <c r="AA386" i="1" s="1"/>
  <c r="N689" i="1"/>
  <c r="N690" i="1"/>
  <c r="AA690" i="1" s="1"/>
  <c r="N691" i="1"/>
  <c r="AA691" i="1" s="1"/>
  <c r="N688" i="1"/>
  <c r="AA688" i="1" s="1"/>
  <c r="N687" i="1"/>
  <c r="AA687" i="1" s="1"/>
  <c r="N686" i="1"/>
  <c r="N685" i="1"/>
  <c r="N684" i="1"/>
  <c r="N683" i="1"/>
  <c r="N682" i="1"/>
  <c r="AA682" i="1" s="1"/>
  <c r="N681" i="1"/>
  <c r="AA681" i="1" s="1"/>
  <c r="N680" i="1"/>
  <c r="N679" i="1"/>
  <c r="AA679" i="1" s="1"/>
  <c r="N677" i="1"/>
  <c r="N676" i="1"/>
  <c r="N666" i="1"/>
  <c r="AA666" i="1" s="1"/>
  <c r="N667" i="1"/>
  <c r="N665" i="1"/>
  <c r="AA665" i="1" s="1"/>
  <c r="N664" i="1"/>
  <c r="AA664" i="1" s="1"/>
  <c r="N663" i="1"/>
  <c r="AA663" i="1" s="1"/>
  <c r="N661" i="1"/>
  <c r="AA661" i="1" s="1"/>
  <c r="N660" i="1"/>
  <c r="N659" i="1"/>
  <c r="N658" i="1"/>
  <c r="AA658" i="1" s="1"/>
  <c r="N657" i="1"/>
  <c r="N674" i="1"/>
  <c r="AA674" i="1" s="1"/>
  <c r="N673" i="1"/>
  <c r="AA673" i="1" s="1"/>
  <c r="N672" i="1"/>
  <c r="AA672" i="1" s="1"/>
  <c r="N671" i="1"/>
  <c r="AA671" i="1" s="1"/>
  <c r="N670" i="1"/>
  <c r="N656" i="1"/>
  <c r="N655" i="1"/>
  <c r="AA655" i="1" s="1"/>
  <c r="N654" i="1"/>
  <c r="N653" i="1"/>
  <c r="AA653" i="1" s="1"/>
  <c r="N652" i="1"/>
  <c r="AA652" i="1" s="1"/>
  <c r="N651" i="1"/>
  <c r="AA651" i="1" s="1"/>
  <c r="N650" i="1"/>
  <c r="AA650" i="1" s="1"/>
  <c r="N649" i="1"/>
  <c r="N648" i="1"/>
  <c r="N647" i="1"/>
  <c r="AA647" i="1" s="1"/>
  <c r="N646" i="1"/>
  <c r="N645" i="1"/>
  <c r="AA645" i="1" s="1"/>
  <c r="N644" i="1"/>
  <c r="AA644" i="1" s="1"/>
  <c r="N642" i="1"/>
  <c r="AA642" i="1" s="1"/>
  <c r="N640" i="1"/>
  <c r="AA640" i="1" s="1"/>
  <c r="N639" i="1"/>
  <c r="N638" i="1"/>
  <c r="N636" i="1"/>
  <c r="AA636" i="1" s="1"/>
  <c r="N634" i="1"/>
  <c r="N631" i="1"/>
  <c r="AA631" i="1" s="1"/>
  <c r="N627" i="1"/>
  <c r="AA627" i="1" s="1"/>
  <c r="N625" i="1"/>
  <c r="AA625" i="1" s="1"/>
  <c r="N624" i="1"/>
  <c r="AA624" i="1" s="1"/>
  <c r="N623" i="1"/>
  <c r="N622" i="1"/>
  <c r="N620" i="1"/>
  <c r="AA620" i="1" s="1"/>
  <c r="N619" i="1"/>
  <c r="N618" i="1"/>
  <c r="AA618" i="1" s="1"/>
  <c r="N617" i="1"/>
  <c r="AA617" i="1" s="1"/>
  <c r="N615" i="1"/>
  <c r="AA615" i="1" s="1"/>
  <c r="N614" i="1"/>
  <c r="AA614" i="1" s="1"/>
  <c r="N613" i="1"/>
  <c r="N593" i="1"/>
  <c r="N592" i="1"/>
  <c r="AA592" i="1" s="1"/>
  <c r="N594" i="1"/>
  <c r="N598" i="1"/>
  <c r="AA598" i="1" s="1"/>
  <c r="N597" i="1"/>
  <c r="AA597" i="1" s="1"/>
  <c r="N596" i="1"/>
  <c r="AA596" i="1" s="1"/>
  <c r="N595" i="1"/>
  <c r="AA595" i="1" s="1"/>
  <c r="N590" i="1"/>
  <c r="N591" i="1"/>
  <c r="N589" i="1"/>
  <c r="N588" i="1"/>
  <c r="N587" i="1"/>
  <c r="AA587" i="1" s="1"/>
  <c r="N586" i="1"/>
  <c r="AA586" i="1" s="1"/>
  <c r="N585" i="1"/>
  <c r="AA585" i="1" s="1"/>
  <c r="N584" i="1"/>
  <c r="AA584" i="1" s="1"/>
  <c r="N583" i="1"/>
  <c r="N582" i="1"/>
  <c r="N581" i="1"/>
  <c r="AA581" i="1" s="1"/>
  <c r="N580" i="1"/>
  <c r="N579" i="1"/>
  <c r="AA579" i="1" s="1"/>
  <c r="N578" i="1"/>
  <c r="AA578" i="1" s="1"/>
  <c r="N577" i="1"/>
  <c r="AA577" i="1" s="1"/>
  <c r="N576" i="1"/>
  <c r="AA576" i="1" s="1"/>
  <c r="N575" i="1"/>
  <c r="N574" i="1"/>
  <c r="N611" i="1"/>
  <c r="AA611" i="1" s="1"/>
  <c r="N605" i="1"/>
  <c r="N603" i="1"/>
  <c r="AA603" i="1" s="1"/>
  <c r="N604" i="1"/>
  <c r="AA604" i="1" s="1"/>
  <c r="N602" i="1"/>
  <c r="AA602" i="1" s="1"/>
  <c r="N601" i="1"/>
  <c r="AA601" i="1" s="1"/>
  <c r="N600" i="1"/>
  <c r="N609" i="1"/>
  <c r="N610" i="1"/>
  <c r="AA610" i="1" s="1"/>
  <c r="N606" i="1"/>
  <c r="N607" i="1"/>
  <c r="N608" i="1"/>
  <c r="AA608" i="1" s="1"/>
  <c r="N573" i="1"/>
  <c r="AA573" i="1" s="1"/>
  <c r="N572" i="1"/>
  <c r="AA572" i="1" s="1"/>
  <c r="N571" i="1"/>
  <c r="N570" i="1"/>
  <c r="N569" i="1"/>
  <c r="AA569" i="1" s="1"/>
  <c r="N568" i="1"/>
  <c r="N567" i="1"/>
  <c r="AA567" i="1" s="1"/>
  <c r="N566" i="1"/>
  <c r="N565" i="1"/>
  <c r="AA565" i="1" s="1"/>
  <c r="N564" i="1"/>
  <c r="AA564" i="1" s="1"/>
  <c r="N563" i="1"/>
  <c r="N562" i="1"/>
  <c r="N561" i="1"/>
  <c r="AA561" i="1" s="1"/>
  <c r="N560" i="1"/>
  <c r="N559" i="1"/>
  <c r="AA559" i="1" s="1"/>
  <c r="N557" i="1"/>
  <c r="AA557" i="1" s="1"/>
  <c r="N555" i="1"/>
  <c r="AA555" i="1" s="1"/>
  <c r="N554" i="1"/>
  <c r="AA554" i="1" s="1"/>
  <c r="S551" i="1"/>
  <c r="AB551" i="1" s="1"/>
  <c r="AC551" i="1" s="1"/>
  <c r="AS551" i="1" s="1"/>
  <c r="N551" i="1"/>
  <c r="N550" i="1"/>
  <c r="N549" i="1"/>
  <c r="N548" i="1"/>
  <c r="N545" i="1"/>
  <c r="AA545" i="1" s="1"/>
  <c r="N546" i="1"/>
  <c r="AA546" i="1" s="1"/>
  <c r="N547" i="1"/>
  <c r="AA547" i="1" s="1"/>
  <c r="N544" i="1"/>
  <c r="N543" i="1"/>
  <c r="N542" i="1"/>
  <c r="AA542" i="1" s="1"/>
  <c r="N541" i="1"/>
  <c r="N540" i="1"/>
  <c r="AA540" i="1" s="1"/>
  <c r="N539" i="1"/>
  <c r="AA539" i="1" s="1"/>
  <c r="N536" i="1"/>
  <c r="AA536" i="1" s="1"/>
  <c r="N535" i="1"/>
  <c r="AA535" i="1" s="1"/>
  <c r="N534" i="1"/>
  <c r="N533" i="1"/>
  <c r="N532" i="1"/>
  <c r="AA532" i="1" s="1"/>
  <c r="L531" i="1"/>
  <c r="N531" i="1" s="1"/>
  <c r="AA531" i="1" s="1"/>
  <c r="L530" i="1"/>
  <c r="N529" i="1"/>
  <c r="AA529" i="1" s="1"/>
  <c r="N528" i="1"/>
  <c r="AA528" i="1" s="1"/>
  <c r="N527" i="1"/>
  <c r="N526" i="1"/>
  <c r="N525" i="1"/>
  <c r="AA525" i="1" s="1"/>
  <c r="N524" i="1"/>
  <c r="N449" i="1"/>
  <c r="AA449" i="1" s="1"/>
  <c r="N456" i="1"/>
  <c r="N455" i="1"/>
  <c r="AA455" i="1" s="1"/>
  <c r="N454" i="1"/>
  <c r="AA454" i="1" s="1"/>
  <c r="N453" i="1"/>
  <c r="AA453" i="1" s="1"/>
  <c r="N452" i="1"/>
  <c r="N451" i="1"/>
  <c r="AA451" i="1" s="1"/>
  <c r="N450" i="1"/>
  <c r="N513" i="1"/>
  <c r="AA513" i="1" s="1"/>
  <c r="N515" i="1"/>
  <c r="AA515" i="1" s="1"/>
  <c r="N514" i="1"/>
  <c r="AA514" i="1" s="1"/>
  <c r="N512" i="1"/>
  <c r="AA512" i="1" s="1"/>
  <c r="N511" i="1"/>
  <c r="AA511" i="1" s="1"/>
  <c r="N510" i="1"/>
  <c r="N509" i="1"/>
  <c r="N508" i="1"/>
  <c r="N507" i="1"/>
  <c r="AA507" i="1" s="1"/>
  <c r="N506" i="1"/>
  <c r="AA506" i="1" s="1"/>
  <c r="N505" i="1"/>
  <c r="AA505" i="1" s="1"/>
  <c r="N500" i="1"/>
  <c r="AA500" i="1" s="1"/>
  <c r="N504" i="1"/>
  <c r="N503" i="1"/>
  <c r="N502" i="1"/>
  <c r="AA502" i="1" s="1"/>
  <c r="N501" i="1"/>
  <c r="N498" i="1"/>
  <c r="AA498" i="1" s="1"/>
  <c r="N497" i="1"/>
  <c r="AA497" i="1" s="1"/>
  <c r="N496" i="1"/>
  <c r="AA496" i="1" s="1"/>
  <c r="N495" i="1"/>
  <c r="N494" i="1"/>
  <c r="AA494" i="1" s="1"/>
  <c r="N493" i="1"/>
  <c r="N492" i="1"/>
  <c r="AA492" i="1" s="1"/>
  <c r="N490" i="1"/>
  <c r="N489" i="1"/>
  <c r="AA489" i="1" s="1"/>
  <c r="N488" i="1"/>
  <c r="AA488" i="1" s="1"/>
  <c r="N487" i="1"/>
  <c r="AA487" i="1" s="1"/>
  <c r="N486" i="1"/>
  <c r="AA486" i="1" s="1"/>
  <c r="N485" i="1"/>
  <c r="AA485" i="1" s="1"/>
  <c r="N484" i="1"/>
  <c r="N483" i="1"/>
  <c r="AA483" i="1" s="1"/>
  <c r="N481" i="1"/>
  <c r="N480" i="1"/>
  <c r="AA480" i="1" s="1"/>
  <c r="N479" i="1"/>
  <c r="AA479" i="1" s="1"/>
  <c r="N478" i="1"/>
  <c r="AA478" i="1" s="1"/>
  <c r="N477" i="1"/>
  <c r="AA477" i="1" s="1"/>
  <c r="N476" i="1"/>
  <c r="AA476" i="1" s="1"/>
  <c r="N475" i="1"/>
  <c r="N474" i="1"/>
  <c r="N473" i="1"/>
  <c r="N472" i="1"/>
  <c r="AA472" i="1" s="1"/>
  <c r="N471" i="1"/>
  <c r="AA471" i="1" s="1"/>
  <c r="N469" i="1"/>
  <c r="AA469" i="1" s="1"/>
  <c r="S468" i="1"/>
  <c r="AB468" i="1" s="1"/>
  <c r="AC468" i="1" s="1"/>
  <c r="AS468" i="1" s="1"/>
  <c r="N468" i="1"/>
  <c r="AA468" i="1" s="1"/>
  <c r="N467" i="1"/>
  <c r="N466" i="1"/>
  <c r="AA466" i="1" s="1"/>
  <c r="N465" i="1"/>
  <c r="N464" i="1"/>
  <c r="AA464" i="1" s="1"/>
  <c r="N463" i="1"/>
  <c r="AA463" i="1" s="1"/>
  <c r="N461" i="1"/>
  <c r="AA461" i="1" s="1"/>
  <c r="N460" i="1"/>
  <c r="AA460" i="1" s="1"/>
  <c r="N458" i="1"/>
  <c r="AA458" i="1" s="1"/>
  <c r="N459" i="1"/>
  <c r="N457" i="1"/>
  <c r="AA457" i="1" s="1"/>
  <c r="N517" i="1"/>
  <c r="N516" i="1"/>
  <c r="AA516" i="1" s="1"/>
  <c r="N521" i="1"/>
  <c r="AA521" i="1" s="1"/>
  <c r="N522" i="1"/>
  <c r="AA522" i="1" s="1"/>
  <c r="N520" i="1"/>
  <c r="AA520" i="1" s="1"/>
  <c r="N519" i="1"/>
  <c r="AA519" i="1" s="1"/>
  <c r="N518" i="1"/>
  <c r="N523" i="1"/>
  <c r="AA523" i="1" s="1"/>
  <c r="N436" i="1"/>
  <c r="N448" i="1"/>
  <c r="AA448" i="1" s="1"/>
  <c r="N447" i="1"/>
  <c r="AA447" i="1" s="1"/>
  <c r="N446" i="1"/>
  <c r="AA446" i="1" s="1"/>
  <c r="N445" i="1"/>
  <c r="AA445" i="1" s="1"/>
  <c r="N444" i="1"/>
  <c r="AA444" i="1" s="1"/>
  <c r="N443" i="1"/>
  <c r="N442" i="1"/>
  <c r="AA442" i="1" s="1"/>
  <c r="N441" i="1"/>
  <c r="N440" i="1"/>
  <c r="AA440" i="1" s="1"/>
  <c r="N439" i="1"/>
  <c r="AA439" i="1" s="1"/>
  <c r="N438" i="1"/>
  <c r="AA438" i="1" s="1"/>
  <c r="N437" i="1"/>
  <c r="N433" i="1"/>
  <c r="AA433" i="1" s="1"/>
  <c r="N432" i="1"/>
  <c r="N431" i="1"/>
  <c r="AA431" i="1" s="1"/>
  <c r="N430" i="1"/>
  <c r="N429" i="1"/>
  <c r="AA429" i="1" s="1"/>
  <c r="N428" i="1"/>
  <c r="AA428" i="1" s="1"/>
  <c r="N427" i="1"/>
  <c r="AA427" i="1" s="1"/>
  <c r="N426" i="1"/>
  <c r="AA426" i="1" s="1"/>
  <c r="N425" i="1"/>
  <c r="AA425" i="1" s="1"/>
  <c r="N424" i="1"/>
  <c r="N423" i="1"/>
  <c r="AA423" i="1" s="1"/>
  <c r="N422" i="1"/>
  <c r="N421" i="1"/>
  <c r="AA421" i="1" s="1"/>
  <c r="N420" i="1"/>
  <c r="AA420" i="1" s="1"/>
  <c r="N419" i="1"/>
  <c r="AA419" i="1" s="1"/>
  <c r="N418" i="1"/>
  <c r="N417" i="1"/>
  <c r="N416" i="1"/>
  <c r="N415" i="1"/>
  <c r="AA415" i="1" s="1"/>
  <c r="N414" i="1"/>
  <c r="N413" i="1"/>
  <c r="AA413" i="1" s="1"/>
  <c r="N412" i="1"/>
  <c r="AA412" i="1" s="1"/>
  <c r="N411" i="1"/>
  <c r="AA411" i="1" s="1"/>
  <c r="N410" i="1"/>
  <c r="N409" i="1"/>
  <c r="AA409" i="1" s="1"/>
  <c r="N408" i="1"/>
  <c r="N407" i="1"/>
  <c r="N406" i="1"/>
  <c r="N405" i="1"/>
  <c r="AA405" i="1" s="1"/>
  <c r="N404" i="1"/>
  <c r="AA404" i="1" s="1"/>
  <c r="N403" i="1"/>
  <c r="AA403" i="1" s="1"/>
  <c r="N402" i="1"/>
  <c r="AA402" i="1" s="1"/>
  <c r="N401" i="1"/>
  <c r="AA401" i="1" s="1"/>
  <c r="N400" i="1"/>
  <c r="N399" i="1"/>
  <c r="AA399" i="1" s="1"/>
  <c r="N397" i="1"/>
  <c r="N396" i="1"/>
  <c r="AA396" i="1" s="1"/>
  <c r="N395" i="1"/>
  <c r="AA395" i="1" s="1"/>
  <c r="N394" i="1"/>
  <c r="AA394" i="1" s="1"/>
  <c r="N392" i="1"/>
  <c r="AA392" i="1" s="1"/>
  <c r="N391" i="1"/>
  <c r="AA391" i="1" s="1"/>
  <c r="N390" i="1"/>
  <c r="N389" i="1"/>
  <c r="AA389" i="1" s="1"/>
  <c r="N388" i="1"/>
  <c r="N387" i="1"/>
  <c r="AA387" i="1" s="1"/>
  <c r="N385" i="1"/>
  <c r="AA385" i="1" s="1"/>
  <c r="N383" i="1"/>
  <c r="AA383" i="1" s="1"/>
  <c r="N382" i="1"/>
  <c r="AA382" i="1" s="1"/>
  <c r="N381" i="1"/>
  <c r="AA381" i="1" s="1"/>
  <c r="N380" i="1"/>
  <c r="N379" i="1"/>
  <c r="N377" i="1"/>
  <c r="N376" i="1"/>
  <c r="AA376" i="1" s="1"/>
  <c r="N375" i="1"/>
  <c r="AA375" i="1" s="1"/>
  <c r="N374" i="1"/>
  <c r="N373" i="1"/>
  <c r="AA373" i="1" s="1"/>
  <c r="N372" i="1"/>
  <c r="AA372" i="1" s="1"/>
  <c r="N370" i="1"/>
  <c r="N369" i="1"/>
  <c r="AA369" i="1" s="1"/>
  <c r="N368" i="1"/>
  <c r="N367" i="1"/>
  <c r="AA367" i="1" s="1"/>
  <c r="N366" i="1"/>
  <c r="AA366" i="1" s="1"/>
  <c r="N364" i="1"/>
  <c r="AA364" i="1" s="1"/>
  <c r="N363" i="1"/>
  <c r="AA363" i="1" s="1"/>
  <c r="N362" i="1"/>
  <c r="AA362" i="1" s="1"/>
  <c r="N361" i="1"/>
  <c r="N360" i="1"/>
  <c r="AA360" i="1" s="1"/>
  <c r="N359" i="1"/>
  <c r="N358" i="1"/>
  <c r="AA358" i="1" s="1"/>
  <c r="N357" i="1"/>
  <c r="N356" i="1"/>
  <c r="AA356" i="1" s="1"/>
  <c r="N355" i="1"/>
  <c r="AA355" i="1" s="1"/>
  <c r="N354" i="1"/>
  <c r="AA354" i="1" s="1"/>
  <c r="N353" i="1"/>
  <c r="N352" i="1"/>
  <c r="AA352" i="1" s="1"/>
  <c r="N351" i="1"/>
  <c r="N350" i="1"/>
  <c r="AA350" i="1" s="1"/>
  <c r="N349" i="1"/>
  <c r="N348" i="1"/>
  <c r="N347" i="1"/>
  <c r="AA347" i="1" s="1"/>
  <c r="N346" i="1"/>
  <c r="AA346" i="1" s="1"/>
  <c r="N345" i="1"/>
  <c r="N344" i="1"/>
  <c r="AA344" i="1" s="1"/>
  <c r="N343" i="1"/>
  <c r="N342" i="1"/>
  <c r="AA342" i="1" s="1"/>
  <c r="N341" i="1"/>
  <c r="N340" i="1"/>
  <c r="AA340" i="1" s="1"/>
  <c r="N338" i="1"/>
  <c r="AA338" i="1" s="1"/>
  <c r="N337" i="1"/>
  <c r="AA337" i="1" s="1"/>
  <c r="N336" i="1"/>
  <c r="N334" i="1"/>
  <c r="AA334" i="1" s="1"/>
  <c r="N333" i="1"/>
  <c r="N332" i="1"/>
  <c r="N331" i="1"/>
  <c r="AA331" i="1" s="1"/>
  <c r="N330" i="1"/>
  <c r="AA330" i="1" s="1"/>
  <c r="N329" i="1"/>
  <c r="N328" i="1"/>
  <c r="AA328" i="1" s="1"/>
  <c r="N327" i="1"/>
  <c r="N326" i="1"/>
  <c r="AA326" i="1" s="1"/>
  <c r="N325" i="1"/>
  <c r="N324" i="1"/>
  <c r="N323" i="1"/>
  <c r="AA323" i="1" s="1"/>
  <c r="N322" i="1"/>
  <c r="AA322" i="1" s="1"/>
  <c r="N321" i="1"/>
  <c r="AA321" i="1" s="1"/>
  <c r="N320" i="1"/>
  <c r="N319" i="1"/>
  <c r="N317" i="1"/>
  <c r="AA317" i="1" s="1"/>
  <c r="N316" i="1"/>
  <c r="N315" i="1"/>
  <c r="AA315" i="1" s="1"/>
  <c r="N314" i="1"/>
  <c r="AA314" i="1" s="1"/>
  <c r="N312" i="1"/>
  <c r="AA312" i="1" s="1"/>
  <c r="N311" i="1"/>
  <c r="N310" i="1"/>
  <c r="AA310" i="1" s="1"/>
  <c r="N309" i="1"/>
  <c r="N308" i="1"/>
  <c r="AA308" i="1" s="1"/>
  <c r="N307" i="1"/>
  <c r="N306" i="1"/>
  <c r="AA306" i="1" s="1"/>
  <c r="N304" i="1"/>
  <c r="AA304" i="1" s="1"/>
  <c r="N303" i="1"/>
  <c r="AA303" i="1" s="1"/>
  <c r="N302" i="1"/>
  <c r="AA302" i="1" s="1"/>
  <c r="N301" i="1"/>
  <c r="AA301" i="1" s="1"/>
  <c r="N300" i="1"/>
  <c r="N299" i="1"/>
  <c r="AA299" i="1" s="1"/>
  <c r="N298" i="1"/>
  <c r="N297" i="1"/>
  <c r="AA297" i="1" s="1"/>
  <c r="N295" i="1"/>
  <c r="N294" i="1"/>
  <c r="N293" i="1"/>
  <c r="AA293" i="1" s="1"/>
  <c r="N292" i="1"/>
  <c r="AA292" i="1" s="1"/>
  <c r="N291" i="1"/>
  <c r="N290" i="1"/>
  <c r="N289" i="1"/>
  <c r="N288" i="1"/>
  <c r="AA288" i="1" s="1"/>
  <c r="N287" i="1"/>
  <c r="AA287" i="1" s="1"/>
  <c r="N286" i="1"/>
  <c r="N285" i="1"/>
  <c r="AA285" i="1" s="1"/>
  <c r="N284" i="1"/>
  <c r="AA284" i="1" s="1"/>
  <c r="N283" i="1"/>
  <c r="L282" i="1"/>
  <c r="N281" i="1"/>
  <c r="N280" i="1"/>
  <c r="AA280" i="1" s="1"/>
  <c r="N279" i="1"/>
  <c r="AA279" i="1" s="1"/>
  <c r="N276" i="1"/>
  <c r="AA276" i="1" s="1"/>
  <c r="N275" i="1"/>
  <c r="AA275" i="1" s="1"/>
  <c r="N274" i="1"/>
  <c r="AA274" i="1" s="1"/>
  <c r="N273" i="1"/>
  <c r="N272" i="1"/>
  <c r="AA272" i="1" s="1"/>
  <c r="N270" i="1"/>
  <c r="N269" i="1"/>
  <c r="AA269" i="1" s="1"/>
  <c r="N268" i="1"/>
  <c r="AA268" i="1" s="1"/>
  <c r="N266" i="1"/>
  <c r="AA266" i="1" s="1"/>
  <c r="N265" i="1"/>
  <c r="N264" i="1"/>
  <c r="N263" i="1"/>
  <c r="N262" i="1"/>
  <c r="AA262" i="1" s="1"/>
  <c r="N261" i="1"/>
  <c r="N260" i="1"/>
  <c r="AA260" i="1" s="1"/>
  <c r="N259" i="1"/>
  <c r="AA259" i="1" s="1"/>
  <c r="N258" i="1"/>
  <c r="N256" i="1"/>
  <c r="AA256" i="1" s="1"/>
  <c r="N255" i="1"/>
  <c r="AA255" i="1" s="1"/>
  <c r="N254" i="1"/>
  <c r="N253" i="1"/>
  <c r="AA253" i="1" s="1"/>
  <c r="N252" i="1"/>
  <c r="N250" i="1"/>
  <c r="AA250" i="1" s="1"/>
  <c r="N249" i="1"/>
  <c r="N248" i="1"/>
  <c r="AA248" i="1" s="1"/>
  <c r="N247" i="1"/>
  <c r="N246" i="1"/>
  <c r="AA246" i="1" s="1"/>
  <c r="N245" i="1"/>
  <c r="N244" i="1"/>
  <c r="AA244" i="1" s="1"/>
  <c r="N242" i="1"/>
  <c r="N241" i="1"/>
  <c r="AA241" i="1" s="1"/>
  <c r="N240" i="1"/>
  <c r="N239" i="1"/>
  <c r="AA239" i="1" s="1"/>
  <c r="N238" i="1"/>
  <c r="N237" i="1"/>
  <c r="AA237" i="1" s="1"/>
  <c r="N236" i="1"/>
  <c r="AA236" i="1" s="1"/>
  <c r="N235" i="1"/>
  <c r="AA235" i="1" s="1"/>
  <c r="N234" i="1"/>
  <c r="N233" i="1"/>
  <c r="AA233" i="1" s="1"/>
  <c r="N232" i="1"/>
  <c r="AA232" i="1" s="1"/>
  <c r="N231" i="1"/>
  <c r="AA231" i="1" s="1"/>
  <c r="N230" i="1"/>
  <c r="N229" i="1"/>
  <c r="AA229" i="1" s="1"/>
  <c r="N228" i="1"/>
  <c r="AA228" i="1" s="1"/>
  <c r="N227" i="1"/>
  <c r="AA227" i="1" s="1"/>
  <c r="N225" i="1"/>
  <c r="AA225" i="1" s="1"/>
  <c r="N224" i="1"/>
  <c r="AA224" i="1" s="1"/>
  <c r="N223" i="1"/>
  <c r="AA223" i="1" s="1"/>
  <c r="N222" i="1"/>
  <c r="AA222" i="1" s="1"/>
  <c r="N221" i="1"/>
  <c r="AA221" i="1" s="1"/>
  <c r="N217" i="1"/>
  <c r="N215" i="1"/>
  <c r="N213" i="1"/>
  <c r="AA213" i="1" s="1"/>
  <c r="N212" i="1"/>
  <c r="N211" i="1"/>
  <c r="N210" i="1"/>
  <c r="N208" i="1"/>
  <c r="N207" i="1"/>
  <c r="N206" i="1"/>
  <c r="N202" i="1"/>
  <c r="N200" i="1"/>
  <c r="N196" i="1"/>
  <c r="N195" i="1"/>
  <c r="N194" i="1"/>
  <c r="N192" i="1"/>
  <c r="N191" i="1"/>
  <c r="N189" i="1"/>
  <c r="AA189" i="1" s="1"/>
  <c r="N188" i="1"/>
  <c r="AA188" i="1" s="1"/>
  <c r="N187" i="1"/>
  <c r="AA187" i="1" s="1"/>
  <c r="N186" i="1"/>
  <c r="N185" i="1"/>
  <c r="AA185" i="1" s="1"/>
  <c r="N184" i="1"/>
  <c r="AA184" i="1" s="1"/>
  <c r="N183" i="1"/>
  <c r="AA183" i="1" s="1"/>
  <c r="N182" i="1"/>
  <c r="N181" i="1"/>
  <c r="AA181" i="1" s="1"/>
  <c r="N180" i="1"/>
  <c r="AA180" i="1" s="1"/>
  <c r="N179" i="1"/>
  <c r="AA179" i="1" s="1"/>
  <c r="N178" i="1"/>
  <c r="N177" i="1"/>
  <c r="AA177" i="1" s="1"/>
  <c r="N176" i="1"/>
  <c r="AA176" i="1" s="1"/>
  <c r="N175" i="1"/>
  <c r="AA175" i="1" s="1"/>
  <c r="N174" i="1"/>
  <c r="N173" i="1"/>
  <c r="AA173" i="1" s="1"/>
  <c r="N171" i="1"/>
  <c r="AA171" i="1" s="1"/>
  <c r="N169" i="1"/>
  <c r="N167" i="1"/>
  <c r="AA167" i="1" s="1"/>
  <c r="N166" i="1"/>
  <c r="AA166" i="1" s="1"/>
  <c r="N163" i="1"/>
  <c r="AA163" i="1" s="1"/>
  <c r="N162" i="1"/>
  <c r="AA162" i="1" s="1"/>
  <c r="N161" i="1"/>
  <c r="AA161" i="1" s="1"/>
  <c r="N160" i="1"/>
  <c r="AA160" i="1" s="1"/>
  <c r="N159" i="1"/>
  <c r="AA159" i="1" s="1"/>
  <c r="N158" i="1"/>
  <c r="AA158" i="1" s="1"/>
  <c r="N157" i="1"/>
  <c r="N156" i="1"/>
  <c r="AA156" i="1" s="1"/>
  <c r="S155" i="1"/>
  <c r="AB155" i="1" s="1"/>
  <c r="N155" i="1"/>
  <c r="N154" i="1"/>
  <c r="N153" i="1"/>
  <c r="AA153" i="1" s="1"/>
  <c r="AA398" i="1"/>
  <c r="AA378" i="1"/>
  <c r="AA371" i="1"/>
  <c r="AA365" i="1"/>
  <c r="AA339" i="1"/>
  <c r="AA335" i="1"/>
  <c r="AA318" i="1"/>
  <c r="AA313" i="1"/>
  <c r="AA305" i="1"/>
  <c r="AA296" i="1"/>
  <c r="AA278" i="1"/>
  <c r="AA277" i="1"/>
  <c r="AA271" i="1"/>
  <c r="AA267" i="1"/>
  <c r="AA257" i="1"/>
  <c r="AA251" i="1"/>
  <c r="AA243" i="1"/>
  <c r="AA170" i="1"/>
  <c r="AA152" i="1"/>
  <c r="N226" i="1"/>
  <c r="N220" i="1"/>
  <c r="N219" i="1"/>
  <c r="N218" i="1"/>
  <c r="N216" i="1"/>
  <c r="N214" i="1"/>
  <c r="N209" i="1"/>
  <c r="N205" i="1"/>
  <c r="AA205" i="1" s="1"/>
  <c r="N204" i="1"/>
  <c r="N203" i="1"/>
  <c r="N201" i="1"/>
  <c r="N199" i="1"/>
  <c r="N198" i="1"/>
  <c r="N197" i="1"/>
  <c r="AA197" i="1" s="1"/>
  <c r="N193" i="1"/>
  <c r="N168" i="1"/>
  <c r="N165" i="1"/>
  <c r="AA165" i="1" s="1"/>
  <c r="N164" i="1"/>
  <c r="N84" i="1"/>
  <c r="AA84" i="1" s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2" i="1"/>
  <c r="AA348" i="1"/>
  <c r="AA379" i="1"/>
  <c r="AA309" i="1"/>
  <c r="AA336" i="1"/>
  <c r="AA424" i="1"/>
  <c r="AA316" i="1"/>
  <c r="AA351" i="1"/>
  <c r="AA400" i="1"/>
  <c r="AA416" i="1"/>
  <c r="AA300" i="1"/>
  <c r="AA290" i="1"/>
  <c r="AA186" i="1"/>
  <c r="AA408" i="1"/>
  <c r="AA270" i="1"/>
  <c r="AA432" i="1"/>
  <c r="AA298" i="1"/>
  <c r="AA261" i="1"/>
  <c r="AA242" i="1"/>
  <c r="AA359" i="1"/>
  <c r="AA343" i="1"/>
  <c r="AA443" i="1"/>
  <c r="AA417" i="1"/>
  <c r="AA407" i="1"/>
  <c r="AA370" i="1"/>
  <c r="AA377" i="1"/>
  <c r="AA397" i="1"/>
  <c r="AA393" i="1"/>
  <c r="AA249" i="1"/>
  <c r="AA289" i="1"/>
  <c r="AA245" i="1"/>
  <c r="AA178" i="1"/>
  <c r="AA388" i="1"/>
  <c r="AA325" i="1"/>
  <c r="AA169" i="1"/>
  <c r="AA238" i="1"/>
  <c r="AA182" i="1"/>
  <c r="AA422" i="1"/>
  <c r="AA230" i="1"/>
  <c r="AA329" i="1"/>
  <c r="AA254" i="1"/>
  <c r="AA265" i="1"/>
  <c r="AA234" i="1"/>
  <c r="AA281" i="1"/>
  <c r="AA333" i="1"/>
  <c r="AA258" i="1"/>
  <c r="AA414" i="1"/>
  <c r="AA295" i="1"/>
  <c r="AA368" i="1"/>
  <c r="AA390" i="1"/>
  <c r="AA361" i="1"/>
  <c r="AA327" i="1"/>
  <c r="AA240" i="1"/>
  <c r="AA430" i="1"/>
  <c r="AA291" i="1"/>
  <c r="AA263" i="1"/>
  <c r="AA157" i="1"/>
  <c r="AA380" i="1"/>
  <c r="AA319" i="1"/>
  <c r="AA283" i="1"/>
  <c r="AA307" i="1"/>
  <c r="AA311" i="1"/>
  <c r="AA252" i="1"/>
  <c r="AA680" i="1"/>
  <c r="AA684" i="1"/>
  <c r="AA648" i="1"/>
  <c r="AA656" i="1"/>
  <c r="AA659" i="1"/>
  <c r="AA676" i="1"/>
  <c r="AA685" i="1"/>
  <c r="AA649" i="1"/>
  <c r="AA670" i="1"/>
  <c r="AA660" i="1"/>
  <c r="AA677" i="1"/>
  <c r="AA686" i="1"/>
  <c r="AA646" i="1"/>
  <c r="AA654" i="1"/>
  <c r="AA657" i="1"/>
  <c r="AA667" i="1"/>
  <c r="AA683" i="1"/>
  <c r="AA689" i="1"/>
  <c r="AA517" i="1"/>
  <c r="AA504" i="1"/>
  <c r="AA526" i="1"/>
  <c r="AA533" i="1"/>
  <c r="AA543" i="1"/>
  <c r="AA562" i="1"/>
  <c r="AA566" i="1"/>
  <c r="AA570" i="1"/>
  <c r="AA589" i="1"/>
  <c r="AA619" i="1"/>
  <c r="AA634" i="1"/>
  <c r="AA518" i="1"/>
  <c r="AA465" i="1"/>
  <c r="AA473" i="1"/>
  <c r="AA481" i="1"/>
  <c r="AA490" i="1"/>
  <c r="AA495" i="1"/>
  <c r="AA501" i="1"/>
  <c r="AA508" i="1"/>
  <c r="AA450" i="1"/>
  <c r="AA456" i="1"/>
  <c r="AA527" i="1"/>
  <c r="AA534" i="1"/>
  <c r="AA544" i="1"/>
  <c r="AA551" i="1"/>
  <c r="AA563" i="1"/>
  <c r="AA571" i="1"/>
  <c r="AA609" i="1"/>
  <c r="AA574" i="1"/>
  <c r="AA582" i="1"/>
  <c r="AA591" i="1"/>
  <c r="AA593" i="1"/>
  <c r="AA459" i="1"/>
  <c r="AA474" i="1"/>
  <c r="AA509" i="1"/>
  <c r="AA524" i="1"/>
  <c r="AA541" i="1"/>
  <c r="AA549" i="1"/>
  <c r="AA560" i="1"/>
  <c r="AA568" i="1"/>
  <c r="AA600" i="1"/>
  <c r="AA575" i="1"/>
  <c r="AA583" i="1"/>
  <c r="AA590" i="1"/>
  <c r="AA613" i="1"/>
  <c r="AA622" i="1"/>
  <c r="AA638" i="1"/>
  <c r="AA467" i="1"/>
  <c r="AA475" i="1"/>
  <c r="AA484" i="1"/>
  <c r="AA493" i="1"/>
  <c r="AA503" i="1"/>
  <c r="AA510" i="1"/>
  <c r="AA452" i="1"/>
  <c r="AA550" i="1"/>
  <c r="AA606" i="1"/>
  <c r="AA605" i="1"/>
  <c r="AA580" i="1"/>
  <c r="AA588" i="1"/>
  <c r="AA594" i="1"/>
  <c r="AA623" i="1"/>
  <c r="AA639" i="1"/>
  <c r="AA155" i="1" l="1"/>
  <c r="AC155" i="1"/>
  <c r="AS155" i="1" s="1"/>
  <c r="AB709" i="1"/>
  <c r="AB707" i="1"/>
  <c r="AB708" i="1"/>
  <c r="AB704" i="1"/>
  <c r="N530" i="1"/>
  <c r="AA530" i="1" s="1"/>
  <c r="M530" i="1"/>
  <c r="AB530" i="1"/>
  <c r="AC530" i="1" s="1"/>
  <c r="AS530" i="1" s="1"/>
  <c r="M531" i="1"/>
  <c r="AB531" i="1"/>
  <c r="AC531" i="1" s="1"/>
  <c r="AS531" i="1" s="1"/>
  <c r="N282" i="1"/>
  <c r="AA282" i="1" s="1"/>
  <c r="M282" i="1"/>
  <c r="AB282" i="1"/>
  <c r="AC282" i="1" s="1"/>
  <c r="AS282" i="1" s="1"/>
  <c r="AA374" i="1"/>
  <c r="AA247" i="1"/>
  <c r="AA264" i="1"/>
  <c r="AA332" i="1"/>
  <c r="AA349" i="1"/>
  <c r="AA436" i="1"/>
  <c r="AA548" i="1"/>
  <c r="AA154" i="1"/>
  <c r="AA174" i="1"/>
  <c r="AA345" i="1"/>
  <c r="AA410" i="1"/>
  <c r="AA607" i="1"/>
  <c r="AA168" i="1"/>
  <c r="AA204" i="1"/>
  <c r="AA226" i="1"/>
  <c r="AA192" i="1"/>
  <c r="AA208" i="1"/>
  <c r="AA294" i="1"/>
  <c r="AA286" i="1"/>
  <c r="AA273" i="1"/>
  <c r="AA324" i="1"/>
  <c r="AA341" i="1"/>
  <c r="AA357" i="1"/>
  <c r="AA406" i="1"/>
  <c r="AA441" i="1"/>
  <c r="AA701" i="1"/>
  <c r="AA320" i="1"/>
  <c r="AA353" i="1"/>
  <c r="AA418" i="1"/>
  <c r="AA437" i="1"/>
  <c r="AA164" i="1"/>
  <c r="AA220" i="1"/>
  <c r="AA212" i="1"/>
  <c r="AA196" i="1"/>
  <c r="AA219" i="1"/>
  <c r="AA211" i="1"/>
  <c r="AA203" i="1"/>
  <c r="AA195" i="1"/>
  <c r="AA218" i="1"/>
  <c r="AA210" i="1"/>
  <c r="AA202" i="1"/>
  <c r="AA194" i="1"/>
  <c r="AA217" i="1"/>
  <c r="AA209" i="1"/>
  <c r="AA201" i="1"/>
  <c r="AA193" i="1"/>
  <c r="AA216" i="1"/>
  <c r="AA200" i="1"/>
  <c r="AA215" i="1"/>
  <c r="AA207" i="1"/>
  <c r="AA199" i="1"/>
  <c r="AA191" i="1"/>
  <c r="AA214" i="1"/>
  <c r="AA206" i="1"/>
  <c r="AA198" i="1"/>
  <c r="AB705" i="1" l="1"/>
  <c r="AB706" i="1"/>
  <c r="AB710" i="1"/>
  <c r="AB703" i="1"/>
</calcChain>
</file>

<file path=xl/comments1.xml><?xml version="1.0" encoding="utf-8"?>
<comments xmlns="http://schemas.openxmlformats.org/spreadsheetml/2006/main">
  <authors>
    <author>tc={3A77F43B-E94E-4B4B-A744-683775533844}</author>
    <author>tc={4DC35A58-0CF8-4EA6-AEC5-EADB858EE52A}</author>
    <author>tc={2CFAAFC6-5C28-4602-8A76-11A75CB28D3B}</author>
    <author>tc={9756E7CB-DA21-4788-ADB5-8B9798BC0F76}</author>
    <author>tc={F33260D9-5A67-40D8-93F9-9CF10141FA9E}</author>
    <author>tc={5A803148-F259-48F4-A87F-F4185F64945A}</author>
    <author>tc={FE13C512-E7C9-49DC-BB7C-BE3595A2A4FB}</author>
    <author>tc={86E22B8B-28D9-40A0-A404-8973F8D26BA4}</author>
  </authors>
  <commentList>
    <comment ref="AD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  <comment ref="C21" authorId="1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Where did you find that they were bankrupt?
Reply:
    Filed for chapter 11, but i think they got through it. However, they filed in 2010, so i think PE-firms lost their stakes, but will check this in bloom.
</t>
        </r>
      </text>
    </comment>
    <comment ref="C22" authorId="2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Did they really exit this deal?
Reply:
    A google search shows that summit partners has the status for the deal: IPO 2010, aquired by Tiptree financials 2014. 
So, we need to include the 2014 deal as well, so we need to know which stake they had after the IPO.
</t>
        </r>
      </text>
    </comment>
    <comment ref="N87" authorId="3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https://www.ft.com/content/1584face-e653-11de-bcbe-00144feab49ahttps://www.ft.com/content/1584face-e653-11de-bcbe-00144feab49a
</t>
        </r>
      </text>
    </comment>
    <comment ref="C89" authorId="4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bloomberg reports net debt of 707.64 million. There is nothing to find about debt in zephyr only that there is a party for new bank facilities. 
</t>
        </r>
      </text>
    </comment>
    <comment ref="C304" authorId="5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transaction, two transactions are displayed one says that the company was initially bought by them, then somehow they bought a minority stake and then they sold that minority stake the next day.
</t>
        </r>
      </text>
    </comment>
    <comment ref="C360" authorId="6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acquisition transactions. You see a full acquisition at the beginning and later it buys 63 percent.
</t>
        </r>
      </text>
    </comment>
    <comment ref="C440" authorId="7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only one transaction displayed, the company had already a stake in the target before
</t>
        </r>
      </text>
    </comment>
  </commentList>
</comments>
</file>

<file path=xl/comments2.xml><?xml version="1.0" encoding="utf-8"?>
<comments xmlns="http://schemas.openxmlformats.org/spreadsheetml/2006/main">
  <authors>
    <author>tc={3A77F43B-E94E-4B4B-A744-683775533844}</author>
    <author>tc={812819AC-E65D-F040-A81D-9E29F80D1C67}</author>
    <author>tc={D4E3EB1E-98AB-499C-953D-D7C8DC355E48}</author>
  </authors>
  <commentList>
    <comment ref="V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  <comment ref="W1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U = 1
D = 2
C = 3
B = 4
A = 5</t>
        </r>
      </text>
    </comment>
    <comment ref="W10" authorId="2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the australian parent as a proxy.
</t>
        </r>
      </text>
    </comment>
  </commentList>
</comments>
</file>

<file path=xl/comments3.xml><?xml version="1.0" encoding="utf-8"?>
<comments xmlns="http://schemas.openxmlformats.org/spreadsheetml/2006/main">
  <authors>
    <author>tc={F33260D9-5A67-40D8-93F9-9CF10141FA9E}</author>
    <author>tc={5A803148-F259-48F4-A87F-F4185F64945A}</author>
    <author>tc={FE13C512-E7C9-49DC-BB7C-BE3595A2A4FB}</author>
  </authors>
  <commentList>
    <comment ref="A29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bloomberg reports net debt of 707.64 million. There is nothing to find about debt in zephyr only that there is a party for new bank facilities. 
</t>
        </r>
      </text>
    </comment>
    <comment ref="A180" authorId="1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transaction, two transactions are displayed one says that the company was initially bought by them, then somehow they bought a minority stake and then they sold that minority stake the next day.
</t>
        </r>
      </text>
    </comment>
    <comment ref="A227" authorId="2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acquisition transactions. You see a full acquisition at the beginning and later it buys 63 percent.
</t>
        </r>
      </text>
    </comment>
  </commentList>
</comments>
</file>

<file path=xl/comments4.xml><?xml version="1.0" encoding="utf-8"?>
<comments xmlns="http://schemas.openxmlformats.org/spreadsheetml/2006/main">
  <authors>
    <author>tc={3A77F43B-E94E-4B4B-A744-683775533844}</author>
  </authors>
  <commentList>
    <comment ref="P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</commentList>
</comments>
</file>

<file path=xl/comments5.xml><?xml version="1.0" encoding="utf-8"?>
<comments xmlns="http://schemas.openxmlformats.org/spreadsheetml/2006/main">
  <authors>
    <author>tc={3A77F43B-E94E-4B4B-A744-683775533844}</author>
    <author>tc={812819AC-E65D-F040-A81D-9E29F80D1C67}</author>
    <author>tc={D4E3EB1E-98AB-499C-953D-D7C8DC355E48}</author>
  </authors>
  <commentList>
    <comment ref="V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  <comment ref="X1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U = 1
D = 2
C = 3
B = 4
A = 5</t>
        </r>
      </text>
    </comment>
    <comment ref="X290" authorId="2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the australian parent as a proxy.
</t>
        </r>
      </text>
    </comment>
  </commentList>
</comments>
</file>

<file path=xl/comments6.xml><?xml version="1.0" encoding="utf-8"?>
<comments xmlns="http://schemas.openxmlformats.org/spreadsheetml/2006/main">
  <authors>
    <author>tc={3A77F43B-E94E-4B4B-A744-683775533844}</author>
    <author>tc={812819AC-E65D-F040-A81D-9E29F80D1C67}</author>
  </authors>
  <commentList>
    <comment ref="V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  <comment ref="X1" authorId="1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U = 1
D = 2
C = 3
B = 4
A = 5</t>
        </r>
      </text>
    </comment>
  </commentList>
</comments>
</file>

<file path=xl/comments7.xml><?xml version="1.0" encoding="utf-8"?>
<comments xmlns="http://schemas.openxmlformats.org/spreadsheetml/2006/main">
  <authors>
    <author>tc={3A77F43B-E94E-4B4B-A744-683775533844}</author>
    <author>tc={86E22B8B-28D9-40A0-A404-8973F8D26BA4}</author>
    <author>tc={5A803148-F259-48F4-A87F-F4185F64945A}</author>
    <author>tc={F33260D9-5A67-40D8-93F9-9CF10141FA9E}</author>
    <author>tc={9756E7CB-DA21-4788-ADB5-8B9798BC0F76}</author>
    <author>tc={FE13C512-E7C9-49DC-BB7C-BE3595A2A4FB}</author>
  </authors>
  <commentList>
    <comment ref="W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  <comment ref="B80" authorId="1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only one transaction displayed, the company had already a stake in the target before
</t>
        </r>
      </text>
    </comment>
    <comment ref="B259" authorId="2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transaction, two transactions are displayed one says that the company was initially bought by them, then somehow they bought a minority stake and then they sold that minority stake the next day.
</t>
        </r>
      </text>
    </comment>
    <comment ref="B313" authorId="3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bloomberg reports net debt of 707.64 million. There is nothing to find about debt in zephyr only that there is a party for new bank facilities. 
</t>
        </r>
      </text>
    </comment>
    <comment ref="I338" authorId="4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https://www.ft.com/content/1584face-e653-11de-bcbe-00144feab49ahttps://www.ft.com/content/1584face-e653-11de-bcbe-00144feab49a
</t>
        </r>
      </text>
    </comment>
    <comment ref="B408" authorId="5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weird acquisition transactions. You see a full acquisition at the beginning and later it buys 63 percent.
</t>
        </r>
      </text>
    </comment>
  </commentList>
</comments>
</file>

<file path=xl/comments8.xml><?xml version="1.0" encoding="utf-8"?>
<comments xmlns="http://schemas.openxmlformats.org/spreadsheetml/2006/main">
  <authors>
    <author>tc={3A77F43B-E94E-4B4B-A744-683775533844}</author>
  </authors>
  <commentList>
    <comment ref="U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We measure this factor by looking if they invest at least in five different sectors. Or whether there is a disproportianete high concentration in one specific sector. Thereby, at least by double the size of the second largest one to be accounted as non-generalist.
</t>
        </r>
      </text>
    </comment>
  </commentList>
</comments>
</file>

<file path=xl/sharedStrings.xml><?xml version="1.0" encoding="utf-8"?>
<sst xmlns="http://schemas.openxmlformats.org/spreadsheetml/2006/main" count="13725" uniqueCount="1398">
  <si>
    <t>Country</t>
  </si>
  <si>
    <t>Norway</t>
  </si>
  <si>
    <t>Germany</t>
  </si>
  <si>
    <t>Denmark</t>
  </si>
  <si>
    <t>Sweden</t>
  </si>
  <si>
    <t>Netherlands</t>
  </si>
  <si>
    <t>Belgium</t>
  </si>
  <si>
    <t>Luxembourg</t>
  </si>
  <si>
    <t>Deal Type</t>
  </si>
  <si>
    <t>Investment Announced Date</t>
  </si>
  <si>
    <t>Target Name</t>
  </si>
  <si>
    <t>Target Country</t>
  </si>
  <si>
    <t>Acquirer Name</t>
  </si>
  <si>
    <t>acquirer' country</t>
  </si>
  <si>
    <t>foreign/domestic</t>
  </si>
  <si>
    <t>Payment Type</t>
  </si>
  <si>
    <t>industry/sector</t>
  </si>
  <si>
    <t>transaction value</t>
  </si>
  <si>
    <t>equity</t>
  </si>
  <si>
    <t>net debt debt value</t>
  </si>
  <si>
    <t>exit date</t>
  </si>
  <si>
    <t>exit method</t>
  </si>
  <si>
    <t> exit-transaction value </t>
  </si>
  <si>
    <t>Holding Period</t>
  </si>
  <si>
    <t>Distance</t>
  </si>
  <si>
    <t>firm Founded</t>
  </si>
  <si>
    <t>Firm age w/acquired</t>
  </si>
  <si>
    <t>trust among nations</t>
  </si>
  <si>
    <t>absolute return</t>
  </si>
  <si>
    <t>relative return</t>
  </si>
  <si>
    <t>log return</t>
  </si>
  <si>
    <t>generalist</t>
  </si>
  <si>
    <t>Independence score</t>
  </si>
  <si>
    <t>country divers.</t>
  </si>
  <si>
    <t>cultural distance</t>
  </si>
  <si>
    <t>business freedom</t>
  </si>
  <si>
    <t>taxation burden</t>
  </si>
  <si>
    <t>size of government</t>
  </si>
  <si>
    <t>S&amp;P return</t>
  </si>
  <si>
    <t>fund year</t>
  </si>
  <si>
    <t>fund age</t>
  </si>
  <si>
    <t>investment freedom</t>
  </si>
  <si>
    <t>Financial Freedom</t>
  </si>
  <si>
    <t>ACQ 75%</t>
  </si>
  <si>
    <t>GrafTech International Ltd</t>
  </si>
  <si>
    <t>US</t>
  </si>
  <si>
    <t>Blackstone Group LP/The</t>
  </si>
  <si>
    <t>domestic</t>
  </si>
  <si>
    <t>Cash</t>
  </si>
  <si>
    <t>IPO</t>
  </si>
  <si>
    <t xml:space="preserve">26,2 </t>
  </si>
  <si>
    <t>M&amp;A</t>
  </si>
  <si>
    <t>Berry Global Group Inc</t>
  </si>
  <si>
    <t>Aetna Life Insurance Co,First Atlantic Capital Ltd,JP Morgan Partners LLC (Fund: Beacon Group Energy Investment Fund LP)</t>
  </si>
  <si>
    <t>secondary PE buyout</t>
  </si>
  <si>
    <t xml:space="preserve">27,0 </t>
  </si>
  <si>
    <t>Goldman Sachs capital partners</t>
  </si>
  <si>
    <t xml:space="preserve">24,9 </t>
  </si>
  <si>
    <t>Dechra Pharmaceuticals PLC</t>
  </si>
  <si>
    <t>UK</t>
  </si>
  <si>
    <t>Management Group,HgCapital LLP (Fund: MUST 3 LP)</t>
  </si>
  <si>
    <t xml:space="preserve">30,0 </t>
  </si>
  <si>
    <t>Intrum AB</t>
  </si>
  <si>
    <t>IK Investment Partners Ltd</t>
  </si>
  <si>
    <t>foreign</t>
  </si>
  <si>
    <t xml:space="preserve">48,4 </t>
  </si>
  <si>
    <t>William Hill PLC</t>
  </si>
  <si>
    <t>Management Group,Cinven Ltd (Fund: Second Cinven Fund LP),CVC Advisers Ltd (Fund: CVC European Equity Partners II LP)</t>
  </si>
  <si>
    <t>health care</t>
  </si>
  <si>
    <t>Additional offering</t>
  </si>
  <si>
    <t xml:space="preserve">32,2 </t>
  </si>
  <si>
    <t>Concentra Inc</t>
  </si>
  <si>
    <t>Welsh Carson Anderson &amp; Stowe LP (Fund: Welsh Carson Anderson &amp; Stowe VIII LP),Ferrer Freeman &amp; Co LLC (Fund: FFC Partners I LP)</t>
  </si>
  <si>
    <t>Cash and Debt</t>
  </si>
  <si>
    <t>secondary buyout</t>
  </si>
  <si>
    <t xml:space="preserve">27,8 </t>
  </si>
  <si>
    <t>Goals Soccer Centres PLC</t>
  </si>
  <si>
    <t>Dunedin Enterprise Investment Trust PLC,Management Group</t>
  </si>
  <si>
    <t xml:space="preserve">32,9 </t>
  </si>
  <si>
    <t>Liquico O2O Ltd</t>
  </si>
  <si>
    <t>Management Group,Gresham Private Equity Ltd/UK</t>
  </si>
  <si>
    <t>ACQ 83%</t>
  </si>
  <si>
    <t>Grammer AG</t>
  </si>
  <si>
    <t>Permira Holdings LLP</t>
  </si>
  <si>
    <t xml:space="preserve">35,0 </t>
  </si>
  <si>
    <t>Tempur Sealy International Inc</t>
  </si>
  <si>
    <t>TA Associates Management LP (Fund: TA IX LP),TA Associates Management LP (Fund: TA Advent VIII LP),TA Associates Management LP (Fund: TA / Atlantic &amp; Pacific IV LP),FFL Partners LLC (Fund: Friedman Fleischer &amp; Lowe Capital Partners LP)</t>
  </si>
  <si>
    <t>H&amp;T Group PLC</t>
  </si>
  <si>
    <t>Management Group,Rutland Partners LLP (Fund: Rutland Fund LP)</t>
  </si>
  <si>
    <t xml:space="preserve">32,3 </t>
  </si>
  <si>
    <t>KappAhl AB</t>
  </si>
  <si>
    <t>Nordic Capital Svenska AB (Fund: Nordic Capital Fund V LP),Accent Equity Partners AB (Fund: Accent Equity 2003 LP)</t>
  </si>
  <si>
    <t>Undisclosed</t>
  </si>
  <si>
    <t xml:space="preserve">45,7 </t>
  </si>
  <si>
    <t>Pronova BioPharma ASA</t>
  </si>
  <si>
    <t>Herkules Capital AS</t>
  </si>
  <si>
    <t>IPO/secondary buyout</t>
  </si>
  <si>
    <t xml:space="preserve">42,6 </t>
  </si>
  <si>
    <t>Chart Industries Inc</t>
  </si>
  <si>
    <t>First Reserve Corp</t>
  </si>
  <si>
    <t xml:space="preserve">25,9 </t>
  </si>
  <si>
    <t>Apollo Global Management LLC (Fund: Apollo Investment Fund VI LP),Apollo Global Management LLC (Fund: Apollo Investment Fund V LP),Graham Partners Inc (Fund: Graham Partners Investments II LP)</t>
  </si>
  <si>
    <t>Domestic</t>
  </si>
  <si>
    <t xml:space="preserve">26,7 </t>
  </si>
  <si>
    <t>Open Solutions Inc</t>
  </si>
  <si>
    <t>Carlyle Group LP/The (Fund: Carlyle Partners IV LP),Providence Equity Partners Inc (Fund: Providence Equity Partners VI LP)</t>
  </si>
  <si>
    <t>Cash &amp; debt</t>
  </si>
  <si>
    <t>secondary sale</t>
  </si>
  <si>
    <t>Yankee Candle Co Inc/The</t>
  </si>
  <si>
    <t>Madison Dearborn Partners LLC</t>
  </si>
  <si>
    <t>Cash &amp; debt</t>
  </si>
  <si>
    <t>Archipelago Learning Inc</t>
  </si>
  <si>
    <t>Providence Equity Partners Inc</t>
  </si>
  <si>
    <t>IPO/secondary sale</t>
  </si>
  <si>
    <t>MBO</t>
  </si>
  <si>
    <t>Neff Corp</t>
  </si>
  <si>
    <t>Management Group,Norwest Equity Capital LLC (Fund: Norwest Equity Partners VIII LP),Lightyear Capital LLC (Fund: Lightyear Fund II LP),General Electric Pension Trust</t>
  </si>
  <si>
    <t>Bankruptcy</t>
  </si>
  <si>
    <t>ACQ 91.2%</t>
  </si>
  <si>
    <t>Fortegra Financial Corp</t>
  </si>
  <si>
    <t>Summit Partners LP (Fund: Summit Partners Private Equity Fund VII LP),Summit Partners LP (Fund: Summit Subordinated Debt Fund III LP)</t>
  </si>
  <si>
    <t>Goodman Global Inc</t>
  </si>
  <si>
    <t>Hellman &amp; Friedman LLC</t>
  </si>
  <si>
    <t>Techem GmbH</t>
  </si>
  <si>
    <t>Macquarie Infrastructure &amp; Real Assets Europe Ltd</t>
  </si>
  <si>
    <t>Foreign</t>
  </si>
  <si>
    <t xml:space="preserve">34,9 </t>
  </si>
  <si>
    <t>Biffa PLC</t>
  </si>
  <si>
    <t>HBOS PLC,Montagu Private Equity LLP (Fund: Montagu III LP),Global Infrastructure Partners (Fund: Global Infrastructure Partners LP)</t>
  </si>
  <si>
    <t>Just Retirement Holdings Ltd</t>
  </si>
  <si>
    <t xml:space="preserve">31,2 </t>
  </si>
  <si>
    <t>ACQ 70%</t>
  </si>
  <si>
    <t>esure Group PLC</t>
  </si>
  <si>
    <t>Management Group,Epiris Managers LLP (Fund: Electra Partners Club 2007 LP),Penta Capital Partners Ltd (Fund: Penta F&amp;C Co-Investment Fund LP)</t>
  </si>
  <si>
    <t>Internet Brands Inc</t>
  </si>
  <si>
    <t>Hellman &amp; Friedman LLC (Fund: Hellman &amp; Friedman Capital Partners VI LP),JMI Management Inc (Fund: JMI Equity Fund VII LP)</t>
  </si>
  <si>
    <t xml:space="preserve">23,5 </t>
  </si>
  <si>
    <t>CPI International LLC</t>
  </si>
  <si>
    <t>Veritas Capital Fund Management LLC</t>
  </si>
  <si>
    <t>Blue Coat Systems LLC</t>
  </si>
  <si>
    <t>Ontario Teachers' Pension Plan Board,Thoma Bravo LLC (Fund: Thoma Bravo Fund X LP),Neuberger Berman Group LLC (Fund: Neuberger Berman/New Jersey Custom Investment Fund)</t>
  </si>
  <si>
    <t xml:space="preserve">23,9 </t>
  </si>
  <si>
    <t>Deltek Inc</t>
  </si>
  <si>
    <t>Thoma Bravo LLC (Fund: Thoma Bravo Fund X LP),Neuberger Berman Group LLC (Fund: Neuberger Berman/New Jersey Custom Investment Fund)</t>
  </si>
  <si>
    <t xml:space="preserve">24,1 </t>
  </si>
  <si>
    <t>Ancestry.com Inc</t>
  </si>
  <si>
    <t>Deerfield Duff &amp; Phelps LLC</t>
  </si>
  <si>
    <t>Edmond de Rothschild Suisse SA,Banque Pictet &amp; Cie SA,Carlyle Group LP/The (Fund: Carlyle Global Financial Services Partners LP),Edmond de Rothschild Holding SA,Stone Point Capital LLC (Fund: Trident VI LP)</t>
  </si>
  <si>
    <t>Marketo Inc</t>
  </si>
  <si>
    <t>Vista Equity Partners LLC (Fund: Vista Equity Partners Fund V LP),Vista Equity Partners LLC (Fund: Vista Equity Partners Fund VI LP)</t>
  </si>
  <si>
    <t>ista International GmbH</t>
  </si>
  <si>
    <t>CVC Advisers Ltd</t>
  </si>
  <si>
    <t>Secondary PE buyout</t>
  </si>
  <si>
    <t xml:space="preserve">34,6 </t>
  </si>
  <si>
    <t>DT Group A/S</t>
  </si>
  <si>
    <t>Secondary Sale</t>
  </si>
  <si>
    <t xml:space="preserve">45,6 </t>
  </si>
  <si>
    <t>Ista Luxemburg GmbH Sarl</t>
  </si>
  <si>
    <t>Secondary PE buyout</t>
  </si>
  <si>
    <t xml:space="preserve">38,3 </t>
  </si>
  <si>
    <t>1st Credit Ltd</t>
  </si>
  <si>
    <t>Bridgepoint Advisers Ltd</t>
  </si>
  <si>
    <t>Alain Afflelou SA</t>
  </si>
  <si>
    <t>France</t>
  </si>
  <si>
    <t xml:space="preserve">42,5 </t>
  </si>
  <si>
    <t>Medica SA</t>
  </si>
  <si>
    <t xml:space="preserve">42,2 </t>
  </si>
  <si>
    <t>Pets at Home Ltd</t>
  </si>
  <si>
    <t>AlpInvest Partners BV,Bridgepoint Advisers Ltd (Fund: Bridgepoint Europe II LP)</t>
  </si>
  <si>
    <t>Tunstall Group Ltd</t>
  </si>
  <si>
    <t>Bridgepoint Advisers Ltd (Fund: Bridgepoint Europe II LP),Gresham Partners Ltd (Fund: Gresham Private Equity Fund No 1)</t>
  </si>
  <si>
    <t xml:space="preserve">32,7 </t>
  </si>
  <si>
    <t>Engility Corp</t>
  </si>
  <si>
    <t>Management Group,General Atlantic LLC,KKR &amp; Co Inc (Fund: KKR 2006 Fund LP)</t>
  </si>
  <si>
    <t xml:space="preserve">23,0 </t>
  </si>
  <si>
    <t>Toys R US</t>
  </si>
  <si>
    <t>KKR</t>
  </si>
  <si>
    <t>FIS Data Systems Inc</t>
  </si>
  <si>
    <t>Technology</t>
  </si>
  <si>
    <t>Lake Region Medical Inc</t>
  </si>
  <si>
    <t>Great Wolf Resorts Inc</t>
  </si>
  <si>
    <t xml:space="preserve">Apollo Global Management LLC </t>
  </si>
  <si>
    <t>Parallel Petroleum Corp</t>
  </si>
  <si>
    <t>Energy</t>
  </si>
  <si>
    <t>Smart &amp; Final LLC</t>
  </si>
  <si>
    <t>Telemundo Group Inc</t>
  </si>
  <si>
    <t>Communications</t>
  </si>
  <si>
    <t xml:space="preserve">27,4 </t>
  </si>
  <si>
    <t>Alliance Boots Holdings Ltd</t>
  </si>
  <si>
    <t>Investor Group,KKR &amp; Co Inc (Fund: KKR 2006 Fund LP),KKR &amp; Co Inc (Fund: KKR European Fund II LP)</t>
  </si>
  <si>
    <t>Health Care</t>
  </si>
  <si>
    <t xml:space="preserve">33,0 </t>
  </si>
  <si>
    <t>Baxi Group Ltd</t>
  </si>
  <si>
    <t>BC Partners Holdings Ltd</t>
  </si>
  <si>
    <t>MultiPlan Inc</t>
  </si>
  <si>
    <t>Silver Lake Management LLC (Fund: Silver Lake Partners III LP),BC Partners Holdings Ltd (Fund: BC European Capital VIII LP)</t>
  </si>
  <si>
    <t xml:space="preserve">M&amp;A </t>
  </si>
  <si>
    <t>Alloheim Senioren-Residenzen GmbH</t>
  </si>
  <si>
    <t>Carlyle Group LP/The</t>
  </si>
  <si>
    <t xml:space="preserve">36,8 </t>
  </si>
  <si>
    <t>ARINC Inc</t>
  </si>
  <si>
    <t>Carlyle Group LP/The (Fund: Carlyle Partners IV LP),Carlyle Group LP/The (Fund: Carlyle Mezzanine Fund II LP)</t>
  </si>
  <si>
    <t>Axalta Coating Systems Ltd</t>
  </si>
  <si>
    <t>Carlyle Group LP/The (Fund: Carlyle Europe Partners III LP),Carlyle Group LP/The (Fund: Carlyle Partners V LP)</t>
  </si>
  <si>
    <t>Casema NV</t>
  </si>
  <si>
    <t>Carlyle Group LP/The (Fund: Carlyle Europe Venture Partners LP),Carlyle Group LP/The (Fund: Carlyle Partners III LP),Carlyle Group LP/The (Fund: Carlyle Europe Partners LP),Providence Equity Partners Inc (Fund: Providence Equity Partners IV LP),GMT Communications Partners LLP (Fund: GMT Commu...</t>
  </si>
  <si>
    <t>Getty Images Inc</t>
  </si>
  <si>
    <t>Management Group,Carlyle Group LP/The (Fund: Carlyle Partners V LP)</t>
  </si>
  <si>
    <t>Groupe B&amp;B Hotels SAS</t>
  </si>
  <si>
    <t>Carlyle Group LP/The (Fund: Carlyle Europe Partners III LP),Montefiore Investment SAS (Fund: Montefiore Investment II)</t>
  </si>
  <si>
    <t xml:space="preserve">42,1 </t>
  </si>
  <si>
    <t>HT Troplast GmbH</t>
  </si>
  <si>
    <t>Carlyle Group LP/The (Fund: Carlyle Europe Partners II LP),Advent International Corp (Fund: Advent International GPE IV LP)</t>
  </si>
  <si>
    <t xml:space="preserve">33,9 </t>
  </si>
  <si>
    <t>Landmark Aviation FBO Holdings LLC</t>
  </si>
  <si>
    <t xml:space="preserve">24,6 </t>
  </si>
  <si>
    <t>NGN Capital LLC,Carlyle Group LP/The (Fund: Carlyle Partners IV LP),Welsh Carson Anderson &amp; Stowe LP (Fund: Welsh Carson Anderson &amp; Stowe VIII LP),Ferrer Freeman &amp; Co LLC (Fund: FFC Partners III LP)</t>
  </si>
  <si>
    <t>Philosophy Inc</t>
  </si>
  <si>
    <t>Terreal SASU</t>
  </si>
  <si>
    <t>Eurazeo SE,Carlyle Group LP/The (Fund: Carlyle Europe Partners II LP)</t>
  </si>
  <si>
    <t>LBO</t>
  </si>
  <si>
    <t>AlliedBarton Security Services LLC</t>
  </si>
  <si>
    <t xml:space="preserve">25,7 </t>
  </si>
  <si>
    <t>Extended Stay America Inc/Old</t>
  </si>
  <si>
    <t>Blackstone Group LP/The (Fund: Blackstone Capital Partners IV LP),Blackstone Group LP/The (Fund: Blackstone Real Estate Partners IV LP)</t>
  </si>
  <si>
    <t>Houghton Mifflin Harcourt Publishing Co</t>
  </si>
  <si>
    <t>Thomas H Lee Partners LP (Fund: Thomas H Lee V LP),Blackstone Group LP/The (Fund: Blackstone Capital Partners III LP),Bain Capital Private Equity LP (Fund: Bain Capital Fund VII LP)</t>
  </si>
  <si>
    <t>Kloeckner Pentaplast GmbH</t>
  </si>
  <si>
    <t>SULO Group</t>
  </si>
  <si>
    <t>Management Group,Apax Partners LLP (Fund: Apax Europe V LP),Blackstone Group LP/The (Fund: Blackstone Capital Partners IV LP)</t>
  </si>
  <si>
    <t>United Biscuits Holdings Ltd</t>
  </si>
  <si>
    <t>Blackstone Group LP/The (Fund: Blackstone Capital Partners V LP),PAI Partners SAS (Fund: PAI Europe IV LP)</t>
  </si>
  <si>
    <t>Partners in Lighting International NV</t>
  </si>
  <si>
    <t>CVC European Equity Partners II LP</t>
  </si>
  <si>
    <t>cash</t>
  </si>
  <si>
    <t>Industrials</t>
  </si>
  <si>
    <t xml:space="preserve">43,6 </t>
  </si>
  <si>
    <t>CVC European Equity Partners III LP</t>
  </si>
  <si>
    <t xml:space="preserve">37,5 </t>
  </si>
  <si>
    <t>RAET BV</t>
  </si>
  <si>
    <t>CVC European Equity Partners V LP</t>
  </si>
  <si>
    <t xml:space="preserve">35,4 </t>
  </si>
  <si>
    <t>Adisseo France SAS</t>
  </si>
  <si>
    <t xml:space="preserve">42,4 </t>
  </si>
  <si>
    <t>Spirit Retail Bidco Ltd</t>
  </si>
  <si>
    <t>Financials</t>
  </si>
  <si>
    <t xml:space="preserve">31,3 </t>
  </si>
  <si>
    <t>Kwik-Fit Group Ltd</t>
  </si>
  <si>
    <t>Consumer Discretionary</t>
  </si>
  <si>
    <t xml:space="preserve">31,5 </t>
  </si>
  <si>
    <t>Formica Corp</t>
  </si>
  <si>
    <t>CVC European Equity Partners I LP</t>
  </si>
  <si>
    <t>Tampnet AS</t>
  </si>
  <si>
    <t>EQT Infrastructure LP, EQT Infrastructure II LP</t>
  </si>
  <si>
    <t xml:space="preserve">41,5 </t>
  </si>
  <si>
    <t>Securitas Direct AB</t>
  </si>
  <si>
    <t>EQT V LP</t>
  </si>
  <si>
    <t xml:space="preserve">44,0 </t>
  </si>
  <si>
    <t>Gambro AB</t>
  </si>
  <si>
    <t>EQT IV LP</t>
  </si>
  <si>
    <t xml:space="preserve">46,0 </t>
  </si>
  <si>
    <t>Com Hem AB</t>
  </si>
  <si>
    <t>EQT III LP</t>
  </si>
  <si>
    <t xml:space="preserve">45,5 </t>
  </si>
  <si>
    <t>Dometic International AB</t>
  </si>
  <si>
    <t xml:space="preserve">46,8 </t>
  </si>
  <si>
    <t>Findus AB</t>
  </si>
  <si>
    <t>EQT II LP</t>
  </si>
  <si>
    <t>cash &amp; debt</t>
  </si>
  <si>
    <t>Consumer Staples</t>
  </si>
  <si>
    <t xml:space="preserve">48,8 </t>
  </si>
  <si>
    <t>Thule AB</t>
  </si>
  <si>
    <t>TAC AB</t>
  </si>
  <si>
    <t>EQT I LP</t>
  </si>
  <si>
    <t>BSN medical International Holding GmbH &amp; Co KG</t>
  </si>
  <si>
    <t>EQT VI Ltd</t>
  </si>
  <si>
    <t xml:space="preserve">36,4 </t>
  </si>
  <si>
    <t>Springer Nature Three GmbH</t>
  </si>
  <si>
    <t>SAG Holding GmbH</t>
  </si>
  <si>
    <t>Utilities</t>
  </si>
  <si>
    <t>Kabel Baden-Wurttemberg GmbH &amp; Co KG</t>
  </si>
  <si>
    <t>EQT IV LP, EQT V LP</t>
  </si>
  <si>
    <t xml:space="preserve">34,5 </t>
  </si>
  <si>
    <t>Sirona Dental Systems GmbH</t>
  </si>
  <si>
    <t xml:space="preserve">37,0 </t>
  </si>
  <si>
    <t>Cory Riverside Energy Finance Ltd</t>
  </si>
  <si>
    <t>M&amp;A sold later for 90%</t>
  </si>
  <si>
    <t>Continental Sweets Belgium NV</t>
  </si>
  <si>
    <t>Gilde Buyout Fund I LP</t>
  </si>
  <si>
    <t>undisclosed</t>
  </si>
  <si>
    <t xml:space="preserve">44,1 </t>
  </si>
  <si>
    <t>Ad van Geloven BV</t>
  </si>
  <si>
    <t>Gilde</t>
  </si>
  <si>
    <t xml:space="preserve">35,6 </t>
  </si>
  <si>
    <t>M&amp;A </t>
  </si>
  <si>
    <t>Norit NV/Old</t>
  </si>
  <si>
    <t xml:space="preserve">36,9 </t>
  </si>
  <si>
    <t>Enduring Resources LLC</t>
  </si>
  <si>
    <t>EnCap Energy Capital Fund V LP</t>
  </si>
  <si>
    <t>Medicine Bow Energy Corp</t>
  </si>
  <si>
    <t>EnCap Energy Capital Fund IV LP</t>
  </si>
  <si>
    <t xml:space="preserve">24,4 </t>
  </si>
  <si>
    <t>minority stake 15%</t>
  </si>
  <si>
    <t>Plains All American Pipeline LP</t>
  </si>
  <si>
    <t>EnCap Energy Capital Fund III LP</t>
  </si>
  <si>
    <t xml:space="preserve">27,2 </t>
  </si>
  <si>
    <t>Fred Meyer Inc</t>
  </si>
  <si>
    <t>KKR 1980 Fund LP</t>
  </si>
  <si>
    <t>235,8 %</t>
  </si>
  <si>
    <t>Marley Co/The</t>
  </si>
  <si>
    <t>132,5 %</t>
  </si>
  <si>
    <t>KTLA Inc</t>
  </si>
  <si>
    <t>KKR 1982 Fund LP</t>
  </si>
  <si>
    <t xml:space="preserve">26,0 </t>
  </si>
  <si>
    <t>58,9 %</t>
  </si>
  <si>
    <t>Amstar Corp</t>
  </si>
  <si>
    <t>41,5 %</t>
  </si>
  <si>
    <t>Wometco Enterprises Inc</t>
  </si>
  <si>
    <t>Malone &amp; Hyde Inc</t>
  </si>
  <si>
    <t>KKR 1982 Fund LP, KKR 1984 Fund LP</t>
  </si>
  <si>
    <t>54,2 %</t>
  </si>
  <si>
    <t>AutoZone Inc</t>
  </si>
  <si>
    <t>additional offering</t>
  </si>
  <si>
    <t>111,2 %</t>
  </si>
  <si>
    <t>Owens-Illinois Inc</t>
  </si>
  <si>
    <t>KKR 1986 Fund LP</t>
  </si>
  <si>
    <t>Materials</t>
  </si>
  <si>
    <t>98,6 %</t>
  </si>
  <si>
    <t>Alden Press Co/The</t>
  </si>
  <si>
    <t>KKR 1987 Fund LP</t>
  </si>
  <si>
    <t>Merit Behavioral Care Corp</t>
  </si>
  <si>
    <t>KKR 1993 Fund LP</t>
  </si>
  <si>
    <t xml:space="preserve">26,5 </t>
  </si>
  <si>
    <t>Reltec Corp</t>
  </si>
  <si>
    <t>Borden Inc</t>
  </si>
  <si>
    <t>stock</t>
  </si>
  <si>
    <t>Bruno's Inc/Old</t>
  </si>
  <si>
    <t>cash or stock</t>
  </si>
  <si>
    <t>bankruptcy</t>
  </si>
  <si>
    <t>Newsquest Media Ltd</t>
  </si>
  <si>
    <t xml:space="preserve">29,3 </t>
  </si>
  <si>
    <t>Amphenol Corp</t>
  </si>
  <si>
    <t>KKR 1996 Fund LP, KKR 1993 Fund LP</t>
  </si>
  <si>
    <t>ACT III Theatres Inc</t>
  </si>
  <si>
    <t>KKR 1996 Fund LP</t>
  </si>
  <si>
    <t>investment 92%</t>
  </si>
  <si>
    <t>World Kitchen Inc/Old</t>
  </si>
  <si>
    <t>investment 90%</t>
  </si>
  <si>
    <t>Alliance HealthCare Services Inc</t>
  </si>
  <si>
    <t>investment</t>
  </si>
  <si>
    <t>Intermedia Communications Inc</t>
  </si>
  <si>
    <t xml:space="preserve">28,2 </t>
  </si>
  <si>
    <t>minority stake</t>
  </si>
  <si>
    <t>Ennovate Networks Inc</t>
  </si>
  <si>
    <t>minority stake 19.9%</t>
  </si>
  <si>
    <t>DPL Inc</t>
  </si>
  <si>
    <t>Energy Future Holdings Corp/Old</t>
  </si>
  <si>
    <t>KKR 2006 Fund LP</t>
  </si>
  <si>
    <t>Dollar General Corp</t>
  </si>
  <si>
    <t>Biomet Inc</t>
  </si>
  <si>
    <t>Eastman Kodak Co</t>
  </si>
  <si>
    <t>Altamont &amp; Camino Real Gathering Systems</t>
  </si>
  <si>
    <t>Big Heart Pet Brands Inc</t>
  </si>
  <si>
    <t>Capsugel Sarl</t>
  </si>
  <si>
    <t>Versatel AG</t>
  </si>
  <si>
    <t xml:space="preserve">35,7 </t>
  </si>
  <si>
    <t>Capital Safety North America Holdings Inc</t>
  </si>
  <si>
    <t>minority stake 50%</t>
  </si>
  <si>
    <t>Fotolia LLC</t>
  </si>
  <si>
    <t>investment stake 52%</t>
  </si>
  <si>
    <t>WMF AG</t>
  </si>
  <si>
    <t>KKR European Fund III LP</t>
  </si>
  <si>
    <t>Avaya GmbH &amp; Co KG</t>
  </si>
  <si>
    <t>KKR European Fund LP</t>
  </si>
  <si>
    <t xml:space="preserve">36,2 </t>
  </si>
  <si>
    <t>MTU Aero Engines AG</t>
  </si>
  <si>
    <t>KKR Millennium Fund LP, KKR European Fund LP</t>
  </si>
  <si>
    <t>Visant Holding Corp</t>
  </si>
  <si>
    <t>KKR Millennium Fund LP</t>
  </si>
  <si>
    <t>investment 78%</t>
  </si>
  <si>
    <t>Bluestem Group Inc</t>
  </si>
  <si>
    <t>Taminco Group BVBA</t>
  </si>
  <si>
    <t>Apollo Investment Fund VII LP</t>
  </si>
  <si>
    <t xml:space="preserve">44,2 </t>
  </si>
  <si>
    <t>Freever SA</t>
  </si>
  <si>
    <t>Apollo Investment Fund V LP</t>
  </si>
  <si>
    <t>Aleris Corp</t>
  </si>
  <si>
    <t>Prestige Cruises International S de RL</t>
  </si>
  <si>
    <t>Apollo Investment Fund VI LP</t>
  </si>
  <si>
    <t>AMC Entertainment Holdings Inc</t>
  </si>
  <si>
    <t>GNC Holdings Inc</t>
  </si>
  <si>
    <t>United Rentals Inc</t>
  </si>
  <si>
    <t>Apollo Investment Fund IV LP</t>
  </si>
  <si>
    <t>Apollo Investment Fund III LP</t>
  </si>
  <si>
    <t>JV</t>
  </si>
  <si>
    <t>NRT LLC</t>
  </si>
  <si>
    <t>Ammeraal Beltech BV</t>
  </si>
  <si>
    <t>Advent International Corp</t>
  </si>
  <si>
    <t>Domestic &amp; General Group Ltd</t>
  </si>
  <si>
    <t>Douglas Holding AG</t>
  </si>
  <si>
    <t>Fat Face Ltd</t>
  </si>
  <si>
    <t>FD International Ltd</t>
  </si>
  <si>
    <t>MEDA Pharma GmbH &amp; Co KG</t>
  </si>
  <si>
    <t xml:space="preserve">34,4 </t>
  </si>
  <si>
    <t>Moeller Group</t>
  </si>
  <si>
    <t>Sportfive Consulting SASU</t>
  </si>
  <si>
    <t>Stokomani SASU</t>
  </si>
  <si>
    <t>Dynal Biotech A/S</t>
  </si>
  <si>
    <t>Nordic Capital Fund IV LP</t>
  </si>
  <si>
    <t>Unifeeder A/S</t>
  </si>
  <si>
    <t>Nordic Capital Fund VIII LP</t>
  </si>
  <si>
    <t xml:space="preserve">45,9 </t>
  </si>
  <si>
    <t>Falck A/S</t>
  </si>
  <si>
    <t>Nordic Capital Fund V LP</t>
  </si>
  <si>
    <t xml:space="preserve">46,4 </t>
  </si>
  <si>
    <t>Nycomed Holding ApS</t>
  </si>
  <si>
    <t>Nordic Capital Fund III LP</t>
  </si>
  <si>
    <t xml:space="preserve">47,9 </t>
  </si>
  <si>
    <t>Luvata Oy</t>
  </si>
  <si>
    <t>Finland</t>
  </si>
  <si>
    <t>Nordic Capital Fund VI LP</t>
  </si>
  <si>
    <t>ACQ 50%</t>
  </si>
  <si>
    <t>Marioff Corp Oy</t>
  </si>
  <si>
    <t xml:space="preserve">43,2 </t>
  </si>
  <si>
    <t>Global Blue Holding BV</t>
  </si>
  <si>
    <t>Equistone Partners Europe Fund III</t>
  </si>
  <si>
    <t xml:space="preserve">45,0 </t>
  </si>
  <si>
    <t>Kermel SAS</t>
  </si>
  <si>
    <t>Holding Medi-Partenaires SAS</t>
  </si>
  <si>
    <t>Equistone Partners Europe Fund II</t>
  </si>
  <si>
    <t xml:space="preserve">42,9 </t>
  </si>
  <si>
    <t>Frans Bonhomme SAS</t>
  </si>
  <si>
    <t>Equistone Partners Europe Fund I</t>
  </si>
  <si>
    <t>EVOCA SpA</t>
  </si>
  <si>
    <t>Italy</t>
  </si>
  <si>
    <t>41,72</t>
  </si>
  <si>
    <t>Max Matthiessen Holding AB</t>
  </si>
  <si>
    <t>Altor Fund III LP</t>
  </si>
  <si>
    <t>Capanyd AB</t>
  </si>
  <si>
    <t>Altor 2003 Fund LP</t>
  </si>
  <si>
    <t>Lindorff AB</t>
  </si>
  <si>
    <t>Ascential Systems Inc</t>
  </si>
  <si>
    <t>3i Group PLC</t>
  </si>
  <si>
    <t>MICROGEN IQA LTD</t>
  </si>
  <si>
    <t>ARKex Ltd</t>
  </si>
  <si>
    <t>Ferd Capital</t>
  </si>
  <si>
    <t>Eolia Renovables de Inversiones SCR SA</t>
  </si>
  <si>
    <t>Spain</t>
  </si>
  <si>
    <t>Oaktree Opportunities Fund X LP</t>
  </si>
  <si>
    <t>energy</t>
  </si>
  <si>
    <t>33,19</t>
  </si>
  <si>
    <t>Chesapeake Plastics Ltd</t>
  </si>
  <si>
    <t>OCM Principal Opportunities Fund IV LP</t>
  </si>
  <si>
    <t>Trilantic Capital Partners III LP</t>
  </si>
  <si>
    <t>40,57</t>
  </si>
  <si>
    <t>Completel Europe NV</t>
  </si>
  <si>
    <t>Third Cinven Fund LP</t>
  </si>
  <si>
    <t>Ziggo Holding BV</t>
  </si>
  <si>
    <t>Fourth Cinven Fund LP</t>
  </si>
  <si>
    <t xml:space="preserve">36,0 </t>
  </si>
  <si>
    <t>CeramTec GmbH</t>
  </si>
  <si>
    <t>Fifth Cinven Fund LP</t>
  </si>
  <si>
    <t>SLV GmbH</t>
  </si>
  <si>
    <t>Sebia SA</t>
  </si>
  <si>
    <t>Eutelsat Communications SA</t>
  </si>
  <si>
    <t>Second Cinven Fund LP</t>
  </si>
  <si>
    <t xml:space="preserve">43,4 </t>
  </si>
  <si>
    <t>Truvo Luxembourg Sarl</t>
  </si>
  <si>
    <t xml:space="preserve">36,5 </t>
  </si>
  <si>
    <t>Medpace Inc</t>
  </si>
  <si>
    <t>Dynacast Inc</t>
  </si>
  <si>
    <t>USP Hospitales SLU</t>
  </si>
  <si>
    <t>36,36</t>
  </si>
  <si>
    <t>ACQ 85%</t>
  </si>
  <si>
    <t>Aviation Business/Avio SpA</t>
  </si>
  <si>
    <t>Candover 2005 LP</t>
  </si>
  <si>
    <t>Get AS</t>
  </si>
  <si>
    <t xml:space="preserve">42,8 </t>
  </si>
  <si>
    <t>Candover 2001 LP</t>
  </si>
  <si>
    <t>Bureau van Dijk Electronic Publishing BV</t>
  </si>
  <si>
    <t xml:space="preserve">34,8 </t>
  </si>
  <si>
    <t>Innovia Films Ltd</t>
  </si>
  <si>
    <t>Secondary sale</t>
  </si>
  <si>
    <t>Vetco Gray Inc</t>
  </si>
  <si>
    <t>Equity Trust Co NV</t>
  </si>
  <si>
    <t>Wellstream Holdings Ltd</t>
  </si>
  <si>
    <t>Ontex IV SA</t>
  </si>
  <si>
    <t xml:space="preserve">43,1 </t>
  </si>
  <si>
    <t>Swissport International AG</t>
  </si>
  <si>
    <t>Switzerland</t>
  </si>
  <si>
    <t>27,63</t>
  </si>
  <si>
    <t>Picard Surgeles SAS</t>
  </si>
  <si>
    <t>Candover 1997 LP</t>
  </si>
  <si>
    <t>Brannigans Bars Ltd</t>
  </si>
  <si>
    <t>Pandrol Ltd</t>
  </si>
  <si>
    <t>Airtechnology Holdings Ltd</t>
  </si>
  <si>
    <t>Clondalkin Group PLC</t>
  </si>
  <si>
    <t>Ireland</t>
  </si>
  <si>
    <t xml:space="preserve">30,9 </t>
  </si>
  <si>
    <t>Earls Court &amp; Olympia Ltd</t>
  </si>
  <si>
    <t>minority stake 19,6%</t>
  </si>
  <si>
    <t>Diamant Boart SA</t>
  </si>
  <si>
    <t xml:space="preserve">43,9 </t>
  </si>
  <si>
    <t>Regional Independent Media Holdings Ltd</t>
  </si>
  <si>
    <t>Eversholt Rail Holdings UK Ltd</t>
  </si>
  <si>
    <t>Candover 1994 LP</t>
  </si>
  <si>
    <t xml:space="preserve">29,5 </t>
  </si>
  <si>
    <t>Anglian Group Ltd</t>
  </si>
  <si>
    <t>Candover 1989 LP</t>
  </si>
  <si>
    <t>Cimpress NV</t>
  </si>
  <si>
    <t>HarbourVest 2004 Direct Fund LP</t>
  </si>
  <si>
    <t>DOC Generici Srl</t>
  </si>
  <si>
    <t>Charterhouse Capital Partners IX LP</t>
  </si>
  <si>
    <t>44,05</t>
  </si>
  <si>
    <t>Armacell International GmbH</t>
  </si>
  <si>
    <t>ERM Group Ltd</t>
  </si>
  <si>
    <t xml:space="preserve">33,2 </t>
  </si>
  <si>
    <t>ACQ 60%</t>
  </si>
  <si>
    <t>Webhelp SAS</t>
  </si>
  <si>
    <t>Charterhouse Capital Partners VIII LP</t>
  </si>
  <si>
    <t xml:space="preserve">43,3 </t>
  </si>
  <si>
    <t xml:space="preserve">36,1 </t>
  </si>
  <si>
    <t>Epolia Developpement SAS</t>
  </si>
  <si>
    <t>Charterhouse Capital Partners VII LP</t>
  </si>
  <si>
    <t>ACQ majority stake</t>
  </si>
  <si>
    <t>Nocibe France SAS</t>
  </si>
  <si>
    <t>Avent Services Ltd</t>
  </si>
  <si>
    <t>TDF SASU</t>
  </si>
  <si>
    <t>Gala Four Ltd</t>
  </si>
  <si>
    <t>cash </t>
  </si>
  <si>
    <t>Cegelec SAS/France</t>
  </si>
  <si>
    <t>CCP VI Auxiliary Fund LP</t>
  </si>
  <si>
    <t>Lucite International Group Holdings Ltd</t>
  </si>
  <si>
    <t>P1 Intermediate Two Ltd</t>
  </si>
  <si>
    <t>Charterhouse Capital Partners VI LP</t>
  </si>
  <si>
    <t>Intertek Group PLC</t>
  </si>
  <si>
    <t>Charterhouse Capital Partners V LP</t>
  </si>
  <si>
    <t>Safety-Kleen Europe Ltd</t>
  </si>
  <si>
    <t>JP Morgan Partners Global Investors LP</t>
  </si>
  <si>
    <t>IMO Car Wash Group Ltd</t>
  </si>
  <si>
    <t>ACQ 53.40%</t>
  </si>
  <si>
    <t>Grupo Corporativo ONO SA</t>
  </si>
  <si>
    <t>35,14</t>
  </si>
  <si>
    <t>minority stake 33%</t>
  </si>
  <si>
    <t>Marazzi Group Srl</t>
  </si>
  <si>
    <t>39,33</t>
  </si>
  <si>
    <t>Teksid Aluminum SpA</t>
  </si>
  <si>
    <t>39,75</t>
  </si>
  <si>
    <t>Gaucho Group Ltd</t>
  </si>
  <si>
    <t>ICG European Fund IV LP</t>
  </si>
  <si>
    <t>Orbiscom Ltd</t>
  </si>
  <si>
    <t>MUST 4 LP</t>
  </si>
  <si>
    <t xml:space="preserve">28,6 </t>
  </si>
  <si>
    <t>HgCapital 7 LP</t>
  </si>
  <si>
    <t xml:space="preserve">38,4 </t>
  </si>
  <si>
    <t>ACQ 61%</t>
  </si>
  <si>
    <t>ATC Group BV</t>
  </si>
  <si>
    <t>HgCapital 6 LP</t>
  </si>
  <si>
    <t>Mondo Minerals BV</t>
  </si>
  <si>
    <t>HgCapital 5 LP</t>
  </si>
  <si>
    <t>Pharma Bio-Research BV</t>
  </si>
  <si>
    <t>QUNDIS GmbH</t>
  </si>
  <si>
    <t>SimonsVoss Technologies AG</t>
  </si>
  <si>
    <t>ACQ 64%</t>
  </si>
  <si>
    <t>Hirschmann Electronics GmbH &amp; Co KG</t>
  </si>
  <si>
    <t>FTE automotive GmbH</t>
  </si>
  <si>
    <t>Aerocrine AB</t>
  </si>
  <si>
    <t>Swedestart Life Science LP</t>
  </si>
  <si>
    <t xml:space="preserve">46,6 </t>
  </si>
  <si>
    <t>EM4 Inc</t>
  </si>
  <si>
    <t>Capman Equity VII LP</t>
  </si>
  <si>
    <t>Ascade AB</t>
  </si>
  <si>
    <t>Capman Equity VII LP, Finnventure Rahasto V, Swedestart Tech LP</t>
  </si>
  <si>
    <t xml:space="preserve">45,2 </t>
  </si>
  <si>
    <t>Avitec AB</t>
  </si>
  <si>
    <t>Fives SA</t>
  </si>
  <si>
    <t>Industri Kapital 2000 Fund LP</t>
  </si>
  <si>
    <t>U.K.</t>
  </si>
  <si>
    <t>DYWIDAG Systems International GmbH/Germany</t>
  </si>
  <si>
    <t>Industri Kapital 2004 Fund LP</t>
  </si>
  <si>
    <t>ACQ 76.62%</t>
  </si>
  <si>
    <t>GARDENA Holding AG</t>
  </si>
  <si>
    <t>Continental Bakeries International BV</t>
  </si>
  <si>
    <t>Industri Kapital 1997 Fund LP</t>
  </si>
  <si>
    <t xml:space="preserve">37,2 </t>
  </si>
  <si>
    <t>Europris AS</t>
  </si>
  <si>
    <t>Orica Norway AS</t>
  </si>
  <si>
    <t xml:space="preserve">41,9 </t>
  </si>
  <si>
    <t>Eltel Networks Corp</t>
  </si>
  <si>
    <t xml:space="preserve">41,8 </t>
  </si>
  <si>
    <t>Enermet Group Ltd</t>
  </si>
  <si>
    <t>Industri Kapital 1994 Fund LP</t>
  </si>
  <si>
    <t xml:space="preserve">44,3 </t>
  </si>
  <si>
    <t>Reef Subsea AS</t>
  </si>
  <si>
    <t>HitecVision Private Equity V LP</t>
  </si>
  <si>
    <t>Revus Energy AS/Norway</t>
  </si>
  <si>
    <t>HitecVision Private Equity III LP</t>
  </si>
  <si>
    <t xml:space="preserve">cash </t>
  </si>
  <si>
    <t xml:space="preserve">41,7 </t>
  </si>
  <si>
    <t>ACQ 70,14%</t>
  </si>
  <si>
    <t>P&amp;I Personal &amp; Informatik AG</t>
  </si>
  <si>
    <t>Carlyle Europe Venture Partners LP</t>
  </si>
  <si>
    <t>U.S.</t>
  </si>
  <si>
    <t>minority stake 26.25%</t>
  </si>
  <si>
    <t>Beru AG</t>
  </si>
  <si>
    <t>Carlyle Europe Partners LP</t>
  </si>
  <si>
    <t>Honsel GmbH &amp; Co KG</t>
  </si>
  <si>
    <t>Carlyle Europe Partners LP, Carlyle Partners II LP</t>
  </si>
  <si>
    <t>Carlyle Europe Partners II LP</t>
  </si>
  <si>
    <t>Frontier Drilling AS</t>
  </si>
  <si>
    <t>Carlyle Venture Partners II LP</t>
  </si>
  <si>
    <t>cash&amp;debt</t>
  </si>
  <si>
    <t>minority stake 37.8%</t>
  </si>
  <si>
    <t>Altice France SA/France</t>
  </si>
  <si>
    <t>Carlyle Europe Partners III LP, Carlyle Europe Partners II LP</t>
  </si>
  <si>
    <t xml:space="preserve">42,3 </t>
  </si>
  <si>
    <t>DS Smith Packaging France SAS</t>
  </si>
  <si>
    <t>CAMECA SAS</t>
  </si>
  <si>
    <t>Egencia Europe SAS</t>
  </si>
  <si>
    <t>Genoyer SAS</t>
  </si>
  <si>
    <t xml:space="preserve">43,5 </t>
  </si>
  <si>
    <t>Nature Delivered Ltd</t>
  </si>
  <si>
    <t>Carlyle Europe Technology Partners II LP</t>
  </si>
  <si>
    <t xml:space="preserve">32,4 </t>
  </si>
  <si>
    <t>Glory Global Solutions International Ltd</t>
  </si>
  <si>
    <t>Carlyle Europe Partners III LP</t>
  </si>
  <si>
    <t>secondar sale</t>
  </si>
  <si>
    <t>NP Aerospace Ltd</t>
  </si>
  <si>
    <t>Carlyle Europe Technology Partners I LP</t>
  </si>
  <si>
    <t>Britax Childcare Holdings Ltd</t>
  </si>
  <si>
    <t>Inmedia Communications Ltd</t>
  </si>
  <si>
    <t>Firth Rixson Ltd</t>
  </si>
  <si>
    <t>Carlyle Partners III LP, Carlyle Europe Partners LP</t>
  </si>
  <si>
    <t>minority stake 37.5%</t>
  </si>
  <si>
    <t>QinetiQ Group PLC</t>
  </si>
  <si>
    <t>Indiana Future Fund I LP</t>
  </si>
  <si>
    <t>Apama UK Ltd</t>
  </si>
  <si>
    <t>Southern Cross Healthcare Group PLC</t>
  </si>
  <si>
    <t>Blackstone Capital Partners IV LP, Blackstone Real Estate Partners IV LP, Blackstone Real Estate Partners International LP</t>
  </si>
  <si>
    <t>Center Parcs UK Group Ltd</t>
  </si>
  <si>
    <t>Blackstone Capital Partners V LP, Blackstone Real Estate Partners International II LP, Blackstone Real Estate Partners V LP</t>
  </si>
  <si>
    <t>GT TMGL Ltd</t>
  </si>
  <si>
    <t>GSO Capital Solutions Fund LP</t>
  </si>
  <si>
    <t>Heptares Therapeutics Ltd</t>
  </si>
  <si>
    <t>Clarus Lifesciences II LP</t>
  </si>
  <si>
    <t>Spirit Group Holdings Ltd</t>
  </si>
  <si>
    <t>Blackstone Capital Partners IV LP</t>
  </si>
  <si>
    <t>Merlin Entertainments PLC</t>
  </si>
  <si>
    <t>LIFFE Holdings Ltd</t>
  </si>
  <si>
    <t>Blackstone Capital Partners III LP</t>
  </si>
  <si>
    <t>TDC A/S</t>
  </si>
  <si>
    <t>Blackstone Capital Partners V LP</t>
  </si>
  <si>
    <t xml:space="preserve">46,5 </t>
  </si>
  <si>
    <t>New Skies Satellites NV</t>
  </si>
  <si>
    <t>Vitus Immobilien Sarl</t>
  </si>
  <si>
    <t>Blackstone Real Estate Partners International LP</t>
  </si>
  <si>
    <t>Jack Wolfskin GmbH &amp; Co KG</t>
  </si>
  <si>
    <t>Blackstone Capital Partners VI LP</t>
  </si>
  <si>
    <t>Celanese GmbH</t>
  </si>
  <si>
    <t>SULO Environmental Technology</t>
  </si>
  <si>
    <t>Gerresheimer Glas AG</t>
  </si>
  <si>
    <t>Alliance Automotive Group SAS</t>
  </si>
  <si>
    <t xml:space="preserve">45,4 </t>
  </si>
  <si>
    <t>AXA Co-investment Fund II LP</t>
  </si>
  <si>
    <t>minority stake 22%</t>
  </si>
  <si>
    <t>Tetra GmbH</t>
  </si>
  <si>
    <t>AXA Early Secondary Fund I LP</t>
  </si>
  <si>
    <t>ADB Safegate BVBA</t>
  </si>
  <si>
    <t>PAI Europe V LP</t>
  </si>
  <si>
    <t xml:space="preserve">45,1 </t>
  </si>
  <si>
    <t>Custom Sensors &amp; Technologies Inc</t>
  </si>
  <si>
    <t>PAI Europe VI LP</t>
  </si>
  <si>
    <t>PAI Europe III LP</t>
  </si>
  <si>
    <t>Phadia AB</t>
  </si>
  <si>
    <t>Triton 1A Fund</t>
  </si>
  <si>
    <t>minority stake 25.1%</t>
  </si>
  <si>
    <t>Strauss Coffee BV</t>
  </si>
  <si>
    <t>TPG Partners V LP</t>
  </si>
  <si>
    <t xml:space="preserve">35,9 </t>
  </si>
  <si>
    <t>minority stake 27.3%</t>
  </si>
  <si>
    <t>Mobilcom AG</t>
  </si>
  <si>
    <t>TPG Partners IV LP</t>
  </si>
  <si>
    <t>minority stake 47.7%</t>
  </si>
  <si>
    <t>AerFi Group Ltd</t>
  </si>
  <si>
    <t>TPG Partners II LP</t>
  </si>
  <si>
    <t xml:space="preserve">30,8 </t>
  </si>
  <si>
    <t>Debenhams PLC</t>
  </si>
  <si>
    <t>TPG Partners IV LP, T3 Partners LP, TPG Partners III LP</t>
  </si>
  <si>
    <t>Cineworld Cinemas Ltd</t>
  </si>
  <si>
    <t>TPG Partners LP</t>
  </si>
  <si>
    <t>Guild Realisations Ltd</t>
  </si>
  <si>
    <t>TPG Partners VI LP</t>
  </si>
  <si>
    <t>Intuwave Ltd</t>
  </si>
  <si>
    <t>TPG Ventures LP</t>
  </si>
  <si>
    <t>Multinational Automated Clearing House SA</t>
  </si>
  <si>
    <t>Warburg Pincus Private Equity VIII LP</t>
  </si>
  <si>
    <t xml:space="preserve">37,8 </t>
  </si>
  <si>
    <t>Kontron AG</t>
  </si>
  <si>
    <t>Warburg Pincus Private Equity X LP</t>
  </si>
  <si>
    <t>Survitec Group Ltd</t>
  </si>
  <si>
    <t>Archimedes Pharma Ltd</t>
  </si>
  <si>
    <t>secondary VC buyout</t>
  </si>
  <si>
    <t>Rebus HR Group</t>
  </si>
  <si>
    <t>Warburg Pincus Equity Partners LP</t>
  </si>
  <si>
    <t>Comcast UK Cable Partners Ltd</t>
  </si>
  <si>
    <t>Warburg Pincus Investors LP</t>
  </si>
  <si>
    <t>Eurand NV</t>
  </si>
  <si>
    <t>Espresso House Sweden AB</t>
  </si>
  <si>
    <t>Herkules Private Equity Fund III LP</t>
  </si>
  <si>
    <t>Flint Group Holdings Sarl</t>
  </si>
  <si>
    <t>ACQ 98,37%</t>
  </si>
  <si>
    <t>C1000 De Aker BV</t>
  </si>
  <si>
    <t>CVC European Equity Partners IV LP</t>
  </si>
  <si>
    <t>Bols Royal Distilleries</t>
  </si>
  <si>
    <t xml:space="preserve">36,3 </t>
  </si>
  <si>
    <t>Trench Electric Holdings BV</t>
  </si>
  <si>
    <t>ACQ 66.67%</t>
  </si>
  <si>
    <t>Materis SAS</t>
  </si>
  <si>
    <t>Avolon Aerospace Leasing Ltd</t>
  </si>
  <si>
    <t>Chevrillon Philippe Industrie SA</t>
  </si>
  <si>
    <t>Malibu Networks</t>
  </si>
  <si>
    <t>Cequel Communications LLC</t>
  </si>
  <si>
    <t>BC European Capital IX LP</t>
  </si>
  <si>
    <t>Spotless Group SAS</t>
  </si>
  <si>
    <t>BC European Capital VIII LP</t>
  </si>
  <si>
    <t>synlab GmbH</t>
  </si>
  <si>
    <t>minority stake 20%</t>
  </si>
  <si>
    <t>Office Depot Inc</t>
  </si>
  <si>
    <t>ACQ 81%</t>
  </si>
  <si>
    <t>BC European Capital VII LP</t>
  </si>
  <si>
    <t>Unitymedia GmbH/Old</t>
  </si>
  <si>
    <t>Grohe AG</t>
  </si>
  <si>
    <t>BC European Capital VI LP</t>
  </si>
  <si>
    <t>C&amp;C Group PLC</t>
  </si>
  <si>
    <t>Elis SA</t>
  </si>
  <si>
    <t xml:space="preserve">43,7 </t>
  </si>
  <si>
    <t>Intelligrated Inc</t>
  </si>
  <si>
    <t>Permira IV LP</t>
  </si>
  <si>
    <t>Genesys Telecommunications Laboratories Inc</t>
  </si>
  <si>
    <t>minority stake 31%</t>
  </si>
  <si>
    <t>Renaissance Learning Inc</t>
  </si>
  <si>
    <t>Freescale Semiconductor Ltd</t>
  </si>
  <si>
    <t>Aearo Technologies LLC</t>
  </si>
  <si>
    <t>Creganna Unlimited Co</t>
  </si>
  <si>
    <t>Pharmaq AS</t>
  </si>
  <si>
    <t xml:space="preserve">39,9 </t>
  </si>
  <si>
    <t>ACQ 95%</t>
  </si>
  <si>
    <t>Mobilcom-Debitel AG</t>
  </si>
  <si>
    <t>Permira Europe III LP</t>
  </si>
  <si>
    <t>Sky Deutschland AG</t>
  </si>
  <si>
    <t>Permira Europe II LP</t>
  </si>
  <si>
    <t>MSH International Service AG</t>
  </si>
  <si>
    <t>Permira Europe I LP</t>
  </si>
  <si>
    <t xml:space="preserve">35,2 </t>
  </si>
  <si>
    <t>ACQ 97.02%</t>
  </si>
  <si>
    <t>Provimi SA</t>
  </si>
  <si>
    <t>Intelsat Investments SA</t>
  </si>
  <si>
    <t>Foncia Groupe SAS</t>
  </si>
  <si>
    <t>Bridgepoint Europe IV LP</t>
  </si>
  <si>
    <t>Permaswage SA</t>
  </si>
  <si>
    <t>Bridgepoint Europe III LP</t>
  </si>
  <si>
    <t>HMY</t>
  </si>
  <si>
    <t>SPC VCOC LP (bridgepoint)</t>
  </si>
  <si>
    <t>Navimo Distribution SASU</t>
  </si>
  <si>
    <t>Bridgepoint Europe I LP</t>
  </si>
  <si>
    <t>Tele Images Productions SASU</t>
  </si>
  <si>
    <t>CABB GmbH</t>
  </si>
  <si>
    <t>Environmental Resources Management Southwest Inc</t>
  </si>
  <si>
    <t>Bambora AB</t>
  </si>
  <si>
    <t>ACQ 57%</t>
  </si>
  <si>
    <t>Phonero AS</t>
  </si>
  <si>
    <t>Norvestor VI LP</t>
  </si>
  <si>
    <t>Paroc Group Oy/old</t>
  </si>
  <si>
    <t>CVC Capital Partners VI LP</t>
  </si>
  <si>
    <t>Powervation Ltd</t>
  </si>
  <si>
    <t>Braemar Energy Ventures III LP</t>
  </si>
  <si>
    <t xml:space="preserve">27,6 </t>
  </si>
  <si>
    <t>Tangerine Confectionery Ltd</t>
  </si>
  <si>
    <t>Autodata Publishing Group Ltd</t>
  </si>
  <si>
    <t>Bowmark Capital Partners V LP</t>
  </si>
  <si>
    <t xml:space="preserve">31,8 </t>
  </si>
  <si>
    <t>Travel Counsellors Ltd</t>
  </si>
  <si>
    <t>Equistone Partners Europe Fund IV LP</t>
  </si>
  <si>
    <t>Whitworths Ltd</t>
  </si>
  <si>
    <t>Mill/The</t>
  </si>
  <si>
    <t>Host Europe Group Ltd</t>
  </si>
  <si>
    <t>Callcredit Information Group Ltd</t>
  </si>
  <si>
    <t>GTCR Fund X LP</t>
  </si>
  <si>
    <t>Premium Credit Ltd</t>
  </si>
  <si>
    <t>Wood Mackenzie Ltd</t>
  </si>
  <si>
    <t>Hellman &amp; Friedman Capital Partners VII LP</t>
  </si>
  <si>
    <t>MetaPack Ltd</t>
  </si>
  <si>
    <t>Index Ventures VI LP</t>
  </si>
  <si>
    <t>Riviera Tours Ltd</t>
  </si>
  <si>
    <t>Phoenix Equity Partners 2010 LP</t>
  </si>
  <si>
    <t>Key Retirement Solutions Ltd</t>
  </si>
  <si>
    <t>Jac Travel Ltd</t>
  </si>
  <si>
    <t>Vitruvian Investment Partnership II LP</t>
  </si>
  <si>
    <t>Par Pharmaceutical Cos Inc</t>
  </si>
  <si>
    <t>TPG Biotechnology Partners IV LP</t>
  </si>
  <si>
    <t>J. Jill Inc</t>
  </si>
  <si>
    <t>TowerBrook Investors IV LP</t>
  </si>
  <si>
    <t>Quorum Business Solutions Inc</t>
  </si>
  <si>
    <t>Silver Lake Partners IV LP</t>
  </si>
  <si>
    <t>Serena Software Inc</t>
  </si>
  <si>
    <t>HGGC Fund II LP</t>
  </si>
  <si>
    <t>CAMP Systems International Inc</t>
  </si>
  <si>
    <t>Crealta Holdings LLC</t>
  </si>
  <si>
    <t>ERT Operating Co</t>
  </si>
  <si>
    <t>Genstar Capital Partners VI LP</t>
  </si>
  <si>
    <t>AssetMark Inc</t>
  </si>
  <si>
    <t>Maplin Electronics Ltd</t>
  </si>
  <si>
    <t>Rutland Fund III LP</t>
  </si>
  <si>
    <t>Consumer Electronics &amp; Appliances Stores</t>
  </si>
  <si>
    <t>Attero BV</t>
  </si>
  <si>
    <t>Waterland Private Equity Fund V LP</t>
  </si>
  <si>
    <t>Minority stake</t>
  </si>
  <si>
    <t>BioMethanol Chemie Nederland BV</t>
  </si>
  <si>
    <t>Waterland Private Equity Fund IV LP</t>
  </si>
  <si>
    <t>Scandlines GmbH</t>
  </si>
  <si>
    <t>Allianz Capital Partners GmbH</t>
  </si>
  <si>
    <t>Selecta Group Sarl</t>
  </si>
  <si>
    <t>26,20</t>
  </si>
  <si>
    <t>Silicon Ranch Corp</t>
  </si>
  <si>
    <t>Partners Group Global Infrastructure 2015 LP</t>
  </si>
  <si>
    <t>seoncdary sale</t>
  </si>
  <si>
    <t>Varsity Brands LLC</t>
  </si>
  <si>
    <t>Partners Group Direct Investments 2012 LP Inc</t>
  </si>
  <si>
    <t>VAT Group AG</t>
  </si>
  <si>
    <t>26,88</t>
  </si>
  <si>
    <t>Cabot Credit Management Ltd</t>
  </si>
  <si>
    <t>Partners Group Global Resources 2009 LP</t>
  </si>
  <si>
    <t>Purple Labs SAS</t>
  </si>
  <si>
    <t>Partners Group Holding AG</t>
  </si>
  <si>
    <t>Myriad Group AG</t>
  </si>
  <si>
    <t>SubmitOrder Inc</t>
  </si>
  <si>
    <t>Evolva Holding SA</t>
  </si>
  <si>
    <t>27,61</t>
  </si>
  <si>
    <t>IsoTis NV</t>
  </si>
  <si>
    <t>Gimv NV</t>
  </si>
  <si>
    <t>AlertMe Ltd</t>
  </si>
  <si>
    <t>Bregal Energy</t>
  </si>
  <si>
    <t>Mirror Controls International BV</t>
  </si>
  <si>
    <t>Bregal Fund II LP/The</t>
  </si>
  <si>
    <t>ACQ 65%</t>
  </si>
  <si>
    <t>QA Ltd</t>
  </si>
  <si>
    <t>EIGL Ltd</t>
  </si>
  <si>
    <t>Bregal Fund LP</t>
  </si>
  <si>
    <t>minority stake 17,2%</t>
  </si>
  <si>
    <t>TBIH Financial Services Group NV</t>
  </si>
  <si>
    <t>G4S Regional Management UK &amp; I Ltd</t>
  </si>
  <si>
    <t>Water Pik Inc</t>
  </si>
  <si>
    <t>MidOcean Partners Fund III LP</t>
  </si>
  <si>
    <t>minority stake </t>
  </si>
  <si>
    <t>Grandpoint Capital Inc</t>
  </si>
  <si>
    <t>Sbarro Licensing Inc</t>
  </si>
  <si>
    <t>MidOcean Partners Fund II LP</t>
  </si>
  <si>
    <t>OneLink Communications</t>
  </si>
  <si>
    <t>Jenny Craig Inc</t>
  </si>
  <si>
    <t>MidOcean Partners LP</t>
  </si>
  <si>
    <t>EX CP Ltd</t>
  </si>
  <si>
    <t xml:space="preserve">32,6 </t>
  </si>
  <si>
    <t>Noveon International Inc</t>
  </si>
  <si>
    <t>Strayer College</t>
  </si>
  <si>
    <t>schools</t>
  </si>
  <si>
    <t>Engineering - Ingegneria Informatica SpA</t>
  </si>
  <si>
    <t>One Equity Partners III LP</t>
  </si>
  <si>
    <t>ACQ 39%</t>
  </si>
  <si>
    <t>Pirelli Tyre SpA</t>
  </si>
  <si>
    <t>One Equity Partners II LP</t>
  </si>
  <si>
    <t>LBC SA</t>
  </si>
  <si>
    <t>Banc One Private Equity Fund LP</t>
  </si>
  <si>
    <t>Optilink AB</t>
  </si>
  <si>
    <t>Morgan Stanley Venture Partners I LP</t>
  </si>
  <si>
    <t>Morgan Stanley Infrastructure Partners LP</t>
  </si>
  <si>
    <t>Standard Bancshares Inc</t>
  </si>
  <si>
    <t>Pantheon Global Co-Investment Opportunities Fund II LP</t>
  </si>
  <si>
    <t>Authoria Inc</t>
  </si>
  <si>
    <t>Pantheon Ventures Private Opportunities Fund LP</t>
  </si>
  <si>
    <t>Exterion Media UK Ltd</t>
  </si>
  <si>
    <t>Platinum Equity Capital Partners III LP</t>
  </si>
  <si>
    <t>Graphic Packaging International Europe UK Holdings Ltd</t>
  </si>
  <si>
    <t>Platinum Equity Capital Partners II LP</t>
  </si>
  <si>
    <t>3B-Fibreglass SPRL</t>
  </si>
  <si>
    <t>Kuehne + Nagel Logistics Langenau GmbH</t>
  </si>
  <si>
    <t>Platinum Equity Capital Partners I LP</t>
  </si>
  <si>
    <t>Euromed SA</t>
  </si>
  <si>
    <t>Riverside Micro-Cap Fund IV LP</t>
  </si>
  <si>
    <t>33,59</t>
  </si>
  <si>
    <t>Cimbria A/S</t>
  </si>
  <si>
    <t>Silverfleet Capital Partners LP</t>
  </si>
  <si>
    <t>Office Retail group</t>
  </si>
  <si>
    <t>Kalle GmbH</t>
  </si>
  <si>
    <t>EDP European Dental Partners Holding GmbH</t>
  </si>
  <si>
    <t>Silverfleet Capital Partners LLP</t>
  </si>
  <si>
    <t>OS Realisations 2009 Ltd</t>
  </si>
  <si>
    <t>RR Donnelley Global Document Solutions Ltd</t>
  </si>
  <si>
    <t>Barracuda Group Ltd</t>
  </si>
  <si>
    <t>Moliflor Loisirs</t>
  </si>
  <si>
    <t>Fired Earth Ltd</t>
  </si>
  <si>
    <t>Orefi</t>
  </si>
  <si>
    <t>2016 GCG Ltd</t>
  </si>
  <si>
    <t>Punch Taverns PMG Ltd</t>
  </si>
  <si>
    <t>Melrose Resources PLC</t>
  </si>
  <si>
    <t>AIG Emerging Europe Infrastructure Fund LP</t>
  </si>
  <si>
    <t xml:space="preserve">ACQ </t>
  </si>
  <si>
    <t>Parabis Group</t>
  </si>
  <si>
    <t>Duke Street Capital VI LP</t>
  </si>
  <si>
    <t>Wagamama Group Ltd</t>
  </si>
  <si>
    <t>UKW Management LLC</t>
  </si>
  <si>
    <t>Payzone UK Ltd</t>
  </si>
  <si>
    <t>Oasis Healthcare Ltd</t>
  </si>
  <si>
    <t>Burton's Foods Ltd</t>
  </si>
  <si>
    <t>Equiniti X2 Solutions Ltd</t>
  </si>
  <si>
    <t>Duke Street Capital V LP</t>
  </si>
  <si>
    <t>Affinity Healthcare Ltd</t>
  </si>
  <si>
    <t>seocndary PE buyout</t>
  </si>
  <si>
    <t>Accantia Health &amp; Beauty Ltd</t>
  </si>
  <si>
    <t>Sporting Index Holdings Ltd</t>
  </si>
  <si>
    <t>Wickes Ltd</t>
  </si>
  <si>
    <t>Duke Street Capital IV LP</t>
  </si>
  <si>
    <t>Marie Brizard Wine &amp; Spirits France SAS</t>
  </si>
  <si>
    <t>Megabowl Ltd</t>
  </si>
  <si>
    <t>Inspired Gaming UK Ltd</t>
  </si>
  <si>
    <t>Duke Street Capital III LP</t>
  </si>
  <si>
    <t>MSSA SASU</t>
  </si>
  <si>
    <t>Duke Street Capital II LP</t>
  </si>
  <si>
    <t>County Hotels Group PLC</t>
  </si>
  <si>
    <t>Byggfakta Scandinavia AB</t>
  </si>
  <si>
    <t>Duke Street Capital LP</t>
  </si>
  <si>
    <t xml:space="preserve">40,0 </t>
  </si>
  <si>
    <t>Catalana de Polimers</t>
  </si>
  <si>
    <t>31,23</t>
  </si>
  <si>
    <t>Glass's Information Services Ltd</t>
  </si>
  <si>
    <t>Anthelio Healthcare Solutions Inc</t>
  </si>
  <si>
    <t>Actis India 3 LP</t>
  </si>
  <si>
    <t>Dematic GmbH</t>
  </si>
  <si>
    <t>AEA Investors Fund IV LP</t>
  </si>
  <si>
    <t>Navilyst Medical Inc</t>
  </si>
  <si>
    <t>Avista Capital Partners LP/Fund</t>
  </si>
  <si>
    <t>BioReliance Corp</t>
  </si>
  <si>
    <t>MedServe Inc</t>
  </si>
  <si>
    <t>Rotation Medical Inc</t>
  </si>
  <si>
    <t>Life Sciences Partners IV</t>
  </si>
  <si>
    <t>Sapiens Steering Brain Stimulation GmbH</t>
  </si>
  <si>
    <t>U3 Pharma GmbH</t>
  </si>
  <si>
    <t>Life Sciences Partners III</t>
  </si>
  <si>
    <t>ACQ 69%</t>
  </si>
  <si>
    <t>Prolexic Technologies Inc</t>
  </si>
  <si>
    <t>Kennet III LP</t>
  </si>
  <si>
    <t xml:space="preserve">minority stake </t>
  </si>
  <si>
    <t>GOVIRAL Ltd</t>
  </si>
  <si>
    <t>Recommind Inc</t>
  </si>
  <si>
    <t>Chipidea Microelectronica SA</t>
  </si>
  <si>
    <t>Portugal</t>
  </si>
  <si>
    <t>Kennet II LP</t>
  </si>
  <si>
    <t>30,8</t>
  </si>
  <si>
    <t>Kapow Technologies Ltd</t>
  </si>
  <si>
    <t>minority stake 38%</t>
  </si>
  <si>
    <t>UBIZEN</t>
  </si>
  <si>
    <t>Aarohi Communications</t>
  </si>
  <si>
    <t>Bain Capital Europe III LP</t>
  </si>
  <si>
    <t>Bavaria Yachtbau GmbH</t>
  </si>
  <si>
    <t>Bain Capital Fund VIII LP</t>
  </si>
  <si>
    <t>Bain Capital Fund VII LP</t>
  </si>
  <si>
    <t>Cargill AS/NO</t>
  </si>
  <si>
    <t>IMCD Group NV</t>
  </si>
  <si>
    <t>SigmaKalon Group BV</t>
  </si>
  <si>
    <t>Allergan WC Ireland Holdings Ltd</t>
  </si>
  <si>
    <t xml:space="preserve">29,4 </t>
  </si>
  <si>
    <t>Bio Products Laboratory Ltd</t>
  </si>
  <si>
    <t>Bain Capital Fund XI LP</t>
  </si>
  <si>
    <t>Brakes Ltd</t>
  </si>
  <si>
    <t>Bain Capital Fund IX LP</t>
  </si>
  <si>
    <t>Novacap SASAU</t>
  </si>
  <si>
    <t>ACQ 92%</t>
  </si>
  <si>
    <t>Cerved Group SpA/Old</t>
  </si>
  <si>
    <t>ACQ 67%</t>
  </si>
  <si>
    <t>TeamSystem SpA</t>
  </si>
  <si>
    <t>Thompson Publishing Holding Co</t>
  </si>
  <si>
    <t>Avery Weigh-Tronix Ltd</t>
  </si>
  <si>
    <t>Berkshire Fund V LP</t>
  </si>
  <si>
    <t>Polypipe Ltd</t>
  </si>
  <si>
    <t>Castle Harlan Partners IV LP</t>
  </si>
  <si>
    <t>Statia Terminals Group NV</t>
  </si>
  <si>
    <t>Castle Harlan Partners II LP</t>
  </si>
  <si>
    <t xml:space="preserve">37,3 </t>
  </si>
  <si>
    <t>Pure Gym Ltd</t>
  </si>
  <si>
    <t>CCMP Capital Investors III LP</t>
  </si>
  <si>
    <t>Edwards Group Ltd</t>
  </si>
  <si>
    <t>CCMP Capital Investors II LP</t>
  </si>
  <si>
    <t>Brake Bros Ltd</t>
  </si>
  <si>
    <t>Vue Entertainment Ltd</t>
  </si>
  <si>
    <t>Clarity Partners LP</t>
  </si>
  <si>
    <t>Admiral Taverns Ltd</t>
  </si>
  <si>
    <t>Cerberus Institutional Partners V LP</t>
  </si>
  <si>
    <t>Focus DIY Group Ltd</t>
  </si>
  <si>
    <t>Cerberus Institutional Partners Series Four LP</t>
  </si>
  <si>
    <t>BauBeCon Asset Management GmbH</t>
  </si>
  <si>
    <t>Cerberus Institutional Partners Series Three LP</t>
  </si>
  <si>
    <t>GSW Immobilien AG</t>
  </si>
  <si>
    <t>Cerberus Institutional Partners Series Three LP, Cerberus Institutional Partners Series Two LP, Cerberus Institutional Partners America LP</t>
  </si>
  <si>
    <t>B&amp;M European Value Retail SA</t>
  </si>
  <si>
    <t>Clayton Dubilier &amp; Rice VIII LP</t>
  </si>
  <si>
    <t>Exova Group Ltd</t>
  </si>
  <si>
    <t>Clayton Dubilier &amp; Rice Fund VII LP</t>
  </si>
  <si>
    <t>Clayton Dubilier &amp; Rice Fund VI LP</t>
  </si>
  <si>
    <t>Mauser Group NV</t>
  </si>
  <si>
    <t>Clayton Dubilier &amp; Rice IX LP</t>
  </si>
  <si>
    <t>Fairchild Dornier GmbH</t>
  </si>
  <si>
    <t>Italtel Spa</t>
  </si>
  <si>
    <t>Fougera Pharmaceuticals Inc</t>
  </si>
  <si>
    <t>DLJ Merchant Banking Partners III LP</t>
  </si>
  <si>
    <t>Nycomed A/S</t>
  </si>
  <si>
    <t>Chicago Bridge &amp; Iron Co NV</t>
  </si>
  <si>
    <t>First Reserve Fund VIII LP</t>
  </si>
  <si>
    <t>ACQ 45%</t>
  </si>
  <si>
    <t>Ansaldo Energia SpA</t>
  </si>
  <si>
    <t>First Reserve Fund XII LP</t>
  </si>
  <si>
    <t>41,91</t>
  </si>
  <si>
    <t>ACQ 74.19%</t>
  </si>
  <si>
    <t>eFront Holding SAS</t>
  </si>
  <si>
    <t>Francisco Partners III LP</t>
  </si>
  <si>
    <t>Ex Libris Group</t>
  </si>
  <si>
    <t>Francisco Partners II LP</t>
  </si>
  <si>
    <t>Intec Telecom Systems Ltd</t>
  </si>
  <si>
    <t>General Atlantic LLC</t>
  </si>
  <si>
    <t>minority stake 13.5%</t>
  </si>
  <si>
    <t>iSOFT Group UK Ltd</t>
  </si>
  <si>
    <t>minority stake 30%</t>
  </si>
  <si>
    <t>Axel Springer Digital Classifieds GmbH</t>
  </si>
  <si>
    <t>Ixos Software AG</t>
  </si>
  <si>
    <t>Orchid Pubs Ltd</t>
  </si>
  <si>
    <t>GI Partners Fund II LP</t>
  </si>
  <si>
    <t>Yates Group Ltd</t>
  </si>
  <si>
    <t>GI Partners I LP</t>
  </si>
  <si>
    <t>Inmac France</t>
  </si>
  <si>
    <t>Gores Capital Partners LP</t>
  </si>
  <si>
    <t>ACQ 49%</t>
  </si>
  <si>
    <t>Unify GmbH &amp; Co KG</t>
  </si>
  <si>
    <t>Gores Capital Partners II LP</t>
  </si>
  <si>
    <t>EuroTaxGlass's Group</t>
  </si>
  <si>
    <t>Hicks Muse Tate &amp; Furst Equity Fund III LP</t>
  </si>
  <si>
    <t>26,36</t>
  </si>
  <si>
    <t>ACQ 79.62%</t>
  </si>
  <si>
    <t>Eurovita Assicurazioni SpA</t>
  </si>
  <si>
    <t>JC Flowers III LP</t>
  </si>
  <si>
    <t>minority stake 25.16%</t>
  </si>
  <si>
    <t>Encore Capital Group Inc</t>
  </si>
  <si>
    <t>JC Flowers II LP</t>
  </si>
  <si>
    <t>Esselte Group Holdings AB</t>
  </si>
  <si>
    <t>JW Childs Equity Partners II LP</t>
  </si>
  <si>
    <t>relayr GmbH</t>
  </si>
  <si>
    <t>Kleiner Perkins Caufield &amp; Byers XVI LLC</t>
  </si>
  <si>
    <t>minority stake 22.08%</t>
  </si>
  <si>
    <t>Baccarat</t>
  </si>
  <si>
    <t>Catterton Partners VI LP</t>
  </si>
  <si>
    <t xml:space="preserve">44,4 </t>
  </si>
  <si>
    <t>Leeds Equity Partners V LP</t>
  </si>
  <si>
    <t>Odfjell Terminals BV</t>
  </si>
  <si>
    <t>Lindsay Goldberg III LP</t>
  </si>
  <si>
    <t>ACQ 94.9%</t>
  </si>
  <si>
    <t>Kloeckner &amp; Co SE</t>
  </si>
  <si>
    <t>Lindsay Goldberg &amp; Bessemer I LP</t>
  </si>
  <si>
    <t>Fadesa Inmobiliaria SA</t>
  </si>
  <si>
    <t>Morgan Stanley Capital Partners IV LP</t>
  </si>
  <si>
    <t>32,84</t>
  </si>
  <si>
    <t>AB Asesores</t>
  </si>
  <si>
    <t>Morgan Stanley Dean Witter Venture Partners IV LP</t>
  </si>
  <si>
    <t>33,08</t>
  </si>
  <si>
    <t>Sony Berlin GmbH</t>
  </si>
  <si>
    <t>Cerruti Holdings</t>
  </si>
  <si>
    <t>MatlinPatterson Global Opportunities II LP</t>
  </si>
  <si>
    <t>Mirror International Holding Sarl</t>
  </si>
  <si>
    <t>Lehman Brothers Merchant Banking II LP</t>
  </si>
  <si>
    <t xml:space="preserve">37,4 </t>
  </si>
  <si>
    <t>MW Brands Holdings SAS</t>
  </si>
  <si>
    <t>ACQ 98.77%</t>
  </si>
  <si>
    <t>Lariviere SAS</t>
  </si>
  <si>
    <t>AXA LBO Fund III LP</t>
  </si>
  <si>
    <t>ACQ 66%</t>
  </si>
  <si>
    <t>Laboratoires Anios SA</t>
  </si>
  <si>
    <t>AXA LBO Fund V LP</t>
  </si>
  <si>
    <t>Tokheim Group SAS</t>
  </si>
  <si>
    <t>AXA Paris Fund II LP</t>
  </si>
  <si>
    <t>ACQ</t>
  </si>
  <si>
    <t>Novacap International SAS</t>
  </si>
  <si>
    <t>AXA Innovation et Croissance</t>
  </si>
  <si>
    <t>Kiloutou SAS</t>
  </si>
  <si>
    <t>SPIE SA</t>
  </si>
  <si>
    <t>PAI Europe IV LP</t>
  </si>
  <si>
    <t>Vivarte SAS</t>
  </si>
  <si>
    <t>ACQ 74%</t>
  </si>
  <si>
    <t>Panzani SAS</t>
  </si>
  <si>
    <t>Antargaz Finagaz SA</t>
  </si>
  <si>
    <t>Gerflor SAS</t>
  </si>
  <si>
    <t>PAI LBO Fund LP</t>
  </si>
  <si>
    <t>Dunkermotoren GmbH</t>
  </si>
  <si>
    <t>Triton Fund III LP</t>
  </si>
  <si>
    <t>ACQ 56,42%</t>
  </si>
  <si>
    <t>Kampa AG</t>
  </si>
  <si>
    <t>Triton Fund II LP</t>
  </si>
  <si>
    <t xml:space="preserve">bankruptcy </t>
  </si>
  <si>
    <t>Romaco Pharmatechnik GmbH</t>
  </si>
  <si>
    <t>DBAG Fund V International GmbH &amp; Co KG</t>
  </si>
  <si>
    <t>germany</t>
  </si>
  <si>
    <t>Coperion Capital GmbH</t>
  </si>
  <si>
    <t>Clyde Bergemann GmbH</t>
  </si>
  <si>
    <t>DBAG Fund IV International GmbH &amp; Co KG</t>
  </si>
  <si>
    <t>ACQ 51%</t>
  </si>
  <si>
    <t>Virgin Active Ltd</t>
  </si>
  <si>
    <t>Britton Group Holdings Ltd</t>
  </si>
  <si>
    <t>Dutton-Forshaw Group Ltd/The</t>
  </si>
  <si>
    <t>Hozelock Group PLC</t>
  </si>
  <si>
    <t>General Healthcare Group Ltd</t>
  </si>
  <si>
    <t>Auto Trader Holding Ltd</t>
  </si>
  <si>
    <t>NDS Group Ltd</t>
  </si>
  <si>
    <t>Saga PLC</t>
  </si>
  <si>
    <t>All3Media International Ltd</t>
  </si>
  <si>
    <t>AA PLC</t>
  </si>
  <si>
    <t>New Look Retail Group Ltd</t>
  </si>
  <si>
    <t>Inmarsat PLC</t>
  </si>
  <si>
    <t>Travelodge Hotels Ltd</t>
  </si>
  <si>
    <t>ACQ 82%</t>
  </si>
  <si>
    <t>HHGL Ltd/United Kingdom</t>
  </si>
  <si>
    <t>Memec Group Holdings Ltd</t>
  </si>
  <si>
    <t>Betts Global Ltd</t>
  </si>
  <si>
    <t>Oasis Dental Care Ltd</t>
  </si>
  <si>
    <t>ACQ 78%</t>
  </si>
  <si>
    <t>Hallmark Hotels Group Ltd</t>
  </si>
  <si>
    <t>Hermes Private Equity Partners III LP</t>
  </si>
  <si>
    <t>Leeds Bradford Airport Ltd</t>
  </si>
  <si>
    <t>Bridgepoint Europe II LP</t>
  </si>
  <si>
    <t>Robinia Care London Ltd</t>
  </si>
  <si>
    <t>Hermes Private Equity Partners I LP</t>
  </si>
  <si>
    <t>Chrysalis Television</t>
  </si>
  <si>
    <t>Molton Brown Ltd</t>
  </si>
  <si>
    <t>Minority stake 18%</t>
  </si>
  <si>
    <t>Western Wines Ltd</t>
  </si>
  <si>
    <t>Rowden Realisations 3 Ltd</t>
  </si>
  <si>
    <t>Alliance Medical Holdings Ltd</t>
  </si>
  <si>
    <t>Alcontrol Group Ltd</t>
  </si>
  <si>
    <t>Faith Shoe Group Ltd</t>
  </si>
  <si>
    <t>Exact Software Nederland BV</t>
  </si>
  <si>
    <t>Apax VIII LP</t>
  </si>
  <si>
    <t>Pelikan Technologies Inc</t>
  </si>
  <si>
    <t>Clarus Lifesciences I LP</t>
  </si>
  <si>
    <t>GDE Systems Inc</t>
  </si>
  <si>
    <t>Carlyle Partners I LP</t>
  </si>
  <si>
    <t>Howmet International Inc</t>
  </si>
  <si>
    <t>Carlyle Partners II LP</t>
  </si>
  <si>
    <t>Kuhlman Electric Corp</t>
  </si>
  <si>
    <t>Entertainment Publications Inc</t>
  </si>
  <si>
    <t>EG&amp;G Technical Services Holdings LLC</t>
  </si>
  <si>
    <t>Empi Inc</t>
  </si>
  <si>
    <t>ACQ 93%</t>
  </si>
  <si>
    <t>Panolam Industries International Inc</t>
  </si>
  <si>
    <t>Carlyle Partners III LP</t>
  </si>
  <si>
    <t>Intelistaf Group Inc</t>
  </si>
  <si>
    <t>Meda Pharmaceuticals Inc</t>
  </si>
  <si>
    <t>Key Plastics LLC</t>
  </si>
  <si>
    <t>Ventaso Inc</t>
  </si>
  <si>
    <t>RBS Global Inc</t>
  </si>
  <si>
    <t>Jazz Semiconductor Inc</t>
  </si>
  <si>
    <t>ACQ 80%</t>
  </si>
  <si>
    <t>Horizon Lines LLC</t>
  </si>
  <si>
    <t>UCI International LLC</t>
  </si>
  <si>
    <t>Hawaiian Telcom Holdco Inc</t>
  </si>
  <si>
    <t>bankrtupcy</t>
  </si>
  <si>
    <t>CCS Medical Holdings Inc</t>
  </si>
  <si>
    <t>Warburg Pincus Private Equity IX LP</t>
  </si>
  <si>
    <t>MP TotalCare Inc</t>
  </si>
  <si>
    <t>minoirty stake</t>
  </si>
  <si>
    <t>AviaHealth Inc</t>
  </si>
  <si>
    <t>Warburg Pincus Ventures International LP</t>
  </si>
  <si>
    <t>WIL Research Laboratories LLC</t>
  </si>
  <si>
    <t>ACQ 31%</t>
  </si>
  <si>
    <t>Commnet Cellular Inc</t>
  </si>
  <si>
    <t>Blackstone Capital Partners II LP</t>
  </si>
  <si>
    <t>American Axle &amp; Manufacturing Inc</t>
  </si>
  <si>
    <t>ZF TRW Automotive Holdings Corp</t>
  </si>
  <si>
    <t>Vanguard Health Systems Inc</t>
  </si>
  <si>
    <t>Freedom Communications Inc</t>
  </si>
  <si>
    <t>Blackstone Capital Partners IV LP, Blackstone Communications Partners I LP</t>
  </si>
  <si>
    <t>SmartStream Technologies Group Ltd</t>
  </si>
  <si>
    <t>TA Atlantic &amp; Pacific V LP</t>
  </si>
  <si>
    <t>Drive Assist UK Ltd</t>
  </si>
  <si>
    <t>TA IX LP</t>
  </si>
  <si>
    <t>GlobeOp Financial Services SA</t>
  </si>
  <si>
    <t>TA IX LP, TA / Atlantic &amp; Pacific IV LP</t>
  </si>
  <si>
    <t>Physiol SA</t>
  </si>
  <si>
    <t>TA XII LP</t>
  </si>
  <si>
    <t xml:space="preserve">44,8 </t>
  </si>
  <si>
    <t>eDreams SL</t>
  </si>
  <si>
    <t>TA X LP</t>
  </si>
  <si>
    <t>35,93</t>
  </si>
  <si>
    <t>minority stake 10%</t>
  </si>
  <si>
    <t>Wind Telecom SpA</t>
  </si>
  <si>
    <t>TA Atlantic &amp; Pacific VI LP</t>
  </si>
  <si>
    <t>Genkyotex SA</t>
  </si>
  <si>
    <t>Wellington Partners IV Life Science Fund</t>
  </si>
  <si>
    <t>BridgeCo Inc</t>
  </si>
  <si>
    <t>Wellington Partners II LP</t>
  </si>
  <si>
    <t xml:space="preserve">foreign </t>
  </si>
  <si>
    <t>Oxford Immunotec Global PLC</t>
  </si>
  <si>
    <t>Wellington Partners III Life Science</t>
  </si>
  <si>
    <t>Xellia Pharmaceuticals AS</t>
  </si>
  <si>
    <t>3i Europartners V</t>
  </si>
  <si>
    <t xml:space="preserve">41,4 </t>
  </si>
  <si>
    <t>GGP Sweden AB</t>
  </si>
  <si>
    <t xml:space="preserve">Bigpoint GmbH_x000D_
</t>
  </si>
  <si>
    <t>TA XI LP</t>
  </si>
  <si>
    <t>Metro-Goldwyn-Mayer Inc</t>
  </si>
  <si>
    <t>Bluekite.com Inc</t>
  </si>
  <si>
    <t>TPG Partners III LP</t>
  </si>
  <si>
    <t>Multicare Cos Inc/The</t>
  </si>
  <si>
    <t>Convergent Communications Inc /CO</t>
  </si>
  <si>
    <t>T3 Partners LP, TPG Partners III LP</t>
  </si>
  <si>
    <t>Aleris International Inc</t>
  </si>
  <si>
    <t>TPG Partners IV LP, TPG Partners V LP</t>
  </si>
  <si>
    <t>Washington Mutual Inc</t>
  </si>
  <si>
    <t>TPG Partners V LP, TPG Partners VI LP</t>
  </si>
  <si>
    <t>minority stake 22.1%</t>
  </si>
  <si>
    <t>Oxford Health Plans LLC</t>
  </si>
  <si>
    <t>Denbury Resources Inc</t>
  </si>
  <si>
    <t>Petco Animal Supplies Inc/Old</t>
  </si>
  <si>
    <t>Seagate Technology PLC</t>
  </si>
  <si>
    <t>ACQ 90%</t>
  </si>
  <si>
    <t>Legerity Holdings Inc</t>
  </si>
  <si>
    <t>SMART Worldwide Holdings Inc</t>
  </si>
  <si>
    <t>T3 Partners II LP, TPG Partners IV LP, TPG Partners III LP</t>
  </si>
  <si>
    <t>Network General Corp</t>
  </si>
  <si>
    <t>Neiman Marcus Group LLC/The</t>
  </si>
  <si>
    <t>TPG Partners IV LP, TPG Partners III LP</t>
  </si>
  <si>
    <t>Texas Genco Holdings Inc</t>
  </si>
  <si>
    <t>Petco Animal Supplies Inc</t>
  </si>
  <si>
    <t>Intergraph Corp</t>
  </si>
  <si>
    <t>David's Bridal Inc</t>
  </si>
  <si>
    <t>Alltel Corp</t>
  </si>
  <si>
    <t>Midwest Air Group Inc</t>
  </si>
  <si>
    <t>Aptalis Pharma LLC</t>
  </si>
  <si>
    <t>Lighthouse Holdings Inc</t>
  </si>
  <si>
    <t>Sabre Corp</t>
  </si>
  <si>
    <t>Vertafore Inc</t>
  </si>
  <si>
    <t>Advent Software Inc</t>
  </si>
  <si>
    <t>Warranty Group Inc/The</t>
  </si>
  <si>
    <t>TPG Partners VI LP, TPG Biotechnology Partners IV LP</t>
  </si>
  <si>
    <t>Allogene Therapeutics Inc</t>
  </si>
  <si>
    <t>TPG Partners VII LP</t>
  </si>
  <si>
    <t>mnority stake</t>
  </si>
  <si>
    <t>Air Cargo Inc</t>
  </si>
  <si>
    <t>Gold Toe Moretz Holdings Corp</t>
  </si>
  <si>
    <t>Pinnacle Foods Inc</t>
  </si>
  <si>
    <t>Weather Group Television LLC</t>
  </si>
  <si>
    <t>AVINTIV Inc</t>
  </si>
  <si>
    <t>Global Tower LLC</t>
  </si>
  <si>
    <t>Blackstone Communications Partners I LP</t>
  </si>
  <si>
    <t>Collins &amp; Aikman Corp</t>
  </si>
  <si>
    <t>Blackstone Capital Partners I LP</t>
  </si>
  <si>
    <t xml:space="preserve">25,4 </t>
  </si>
  <si>
    <t>US Radio Inc</t>
  </si>
  <si>
    <t>Republic Technologies International Inc</t>
  </si>
  <si>
    <t>Prime Succession Inc</t>
  </si>
  <si>
    <t>CommScope Holding Co Inc</t>
  </si>
  <si>
    <t>Carlyle Europe Partners III LP, Carlyle Partners V LP</t>
  </si>
  <si>
    <t>SS&amp;C Technologies Holdings Inc</t>
  </si>
  <si>
    <t>Carlyle Partners IV LP</t>
  </si>
  <si>
    <t>LifeCare Holdings Inc</t>
  </si>
  <si>
    <t>Oriental Trading Co Inc</t>
  </si>
  <si>
    <t>Veyance Technologies Inc</t>
  </si>
  <si>
    <t>Allison Transmission Holdings Inc</t>
  </si>
  <si>
    <t>Lifecore Biomedical Inc</t>
  </si>
  <si>
    <t>Maxis Inc</t>
  </si>
  <si>
    <t>Audio Visual Services Corp</t>
  </si>
  <si>
    <t>Rural/Metro Corp/DE</t>
  </si>
  <si>
    <t>Altus Pharmaceuticals Inc</t>
  </si>
  <si>
    <t>Centennial HealthCare Corp</t>
  </si>
  <si>
    <t>minority stake 25%</t>
  </si>
  <si>
    <t>Schiff Nutrition International Inc</t>
  </si>
  <si>
    <t>TPG Star LP</t>
  </si>
  <si>
    <t>Eze Software Group LLC</t>
  </si>
  <si>
    <t>TPG Growth II LP</t>
  </si>
  <si>
    <t>BNX Systems Corp</t>
  </si>
  <si>
    <t>Carlyle Venture Partners LP</t>
  </si>
  <si>
    <t>CityNet Telecommunications Inc</t>
  </si>
  <si>
    <t>Carlyle Partners III LP, Carlyle Venture Partners II LP</t>
  </si>
  <si>
    <t>Seabulk International Inc</t>
  </si>
  <si>
    <t>Sonitrol Corp</t>
  </si>
  <si>
    <t>Adesso Systems Inc</t>
  </si>
  <si>
    <t>Wall Street Institute International Inc</t>
  </si>
  <si>
    <t>SemGroup LP</t>
  </si>
  <si>
    <t>Carlyle/Riverstone TE Partners III LP</t>
  </si>
  <si>
    <t>ACQ 54.6%</t>
  </si>
  <si>
    <t>Magellan Midstream Partners LP</t>
  </si>
  <si>
    <t>Mariner Energy Inc</t>
  </si>
  <si>
    <t>Communities &amp; sports division/ACTIVE Network Inc</t>
  </si>
  <si>
    <t>Vista Equity Partners Fund IV LP</t>
  </si>
  <si>
    <t>Websense LLC</t>
  </si>
  <si>
    <t>Sunquest Information Systems Inc</t>
  </si>
  <si>
    <t>Vista Equity Partners Fund III LP</t>
  </si>
  <si>
    <t>Captain D's LLC</t>
  </si>
  <si>
    <t>Lone Star Fund IV LP</t>
  </si>
  <si>
    <t>ICE Data Services Inc</t>
  </si>
  <si>
    <t>Silver Lake Partners III LP</t>
  </si>
  <si>
    <t>Gerson Lehrman Group Inc</t>
  </si>
  <si>
    <t>Silver Lake Partners LP</t>
  </si>
  <si>
    <t>Silver Lake Partners II LP</t>
  </si>
  <si>
    <t>Centennial Communications Corp</t>
  </si>
  <si>
    <t>Welsh Carson Anderson &amp; Stowe VIII LP</t>
  </si>
  <si>
    <t>Bausch &amp; Lomb Inc</t>
  </si>
  <si>
    <t>Welsh Carson Anderson &amp; Stowe X LP</t>
  </si>
  <si>
    <t>Return</t>
  </si>
  <si>
    <t>Geo Distance</t>
  </si>
  <si>
    <t>Target age</t>
  </si>
  <si>
    <t>Trust</t>
  </si>
  <si>
    <t>Culture</t>
  </si>
  <si>
    <t>S&amp;P</t>
  </si>
  <si>
    <t>Firm Size</t>
  </si>
  <si>
    <t>Dummy Distance</t>
  </si>
  <si>
    <t>Fts 350</t>
  </si>
  <si>
    <t>Health care</t>
  </si>
  <si>
    <t>Communication</t>
  </si>
  <si>
    <t>Industry</t>
  </si>
  <si>
    <t/>
  </si>
  <si>
    <t>Consumer staples</t>
  </si>
  <si>
    <t>Year of exit</t>
  </si>
  <si>
    <t>Log of firm age</t>
  </si>
  <si>
    <t>log distance</t>
  </si>
  <si>
    <t>Fail/Good</t>
  </si>
  <si>
    <t>log Culture</t>
  </si>
  <si>
    <t>Log Return</t>
  </si>
  <si>
    <t>Log SP</t>
  </si>
  <si>
    <t>log Geo Distance</t>
  </si>
  <si>
    <t>Failure/Not Failure</t>
  </si>
  <si>
    <t>log firm size</t>
  </si>
  <si>
    <t xml:space="preserve">Sweden </t>
  </si>
  <si>
    <t xml:space="preserve">Germany </t>
  </si>
  <si>
    <t>Average</t>
  </si>
  <si>
    <t>Median</t>
  </si>
  <si>
    <t>Min</t>
  </si>
  <si>
    <t>Max</t>
  </si>
  <si>
    <t xml:space="preserve">25th </t>
  </si>
  <si>
    <t>75th</t>
  </si>
  <si>
    <t>50th</t>
  </si>
  <si>
    <t>SD</t>
  </si>
  <si>
    <t>Mean</t>
  </si>
  <si>
    <t>25th</t>
  </si>
  <si>
    <t>Total</t>
  </si>
  <si>
    <t>Deals</t>
  </si>
  <si>
    <t>Percentile</t>
  </si>
  <si>
    <t>log generalist</t>
  </si>
  <si>
    <t>Log country</t>
  </si>
  <si>
    <t>Log Ditance</t>
  </si>
  <si>
    <t>Log culture</t>
  </si>
  <si>
    <t>Log S&amp;P</t>
  </si>
  <si>
    <t>Log Target Age</t>
  </si>
  <si>
    <t>Log Generalist</t>
  </si>
  <si>
    <t>Log Country Div.</t>
  </si>
  <si>
    <t>Log Firm Size</t>
  </si>
  <si>
    <t>Log Distance</t>
  </si>
  <si>
    <t>Log return</t>
  </si>
  <si>
    <t>Log Targ Age</t>
  </si>
  <si>
    <t>Log Culture</t>
  </si>
  <si>
    <t>Log Fund age</t>
  </si>
  <si>
    <t>Log General</t>
  </si>
  <si>
    <t>Log Country Div</t>
  </si>
  <si>
    <t>Log Firmsize</t>
  </si>
  <si>
    <t>Log fund age</t>
  </si>
  <si>
    <t>Log target age</t>
  </si>
  <si>
    <t>CountryDiv</t>
  </si>
  <si>
    <t>Generalist</t>
  </si>
  <si>
    <t>Log Age</t>
  </si>
  <si>
    <t>Foreign/Domestic Dummy</t>
  </si>
  <si>
    <t>Dummy foreign</t>
  </si>
  <si>
    <t>Dummy distance</t>
  </si>
  <si>
    <t>Log firm age</t>
  </si>
  <si>
    <t>Log govsize</t>
  </si>
  <si>
    <t>log tax</t>
  </si>
  <si>
    <t>log fund</t>
  </si>
  <si>
    <t>log business</t>
  </si>
  <si>
    <t>log trust</t>
  </si>
  <si>
    <t>log HP</t>
  </si>
  <si>
    <t>Log HP</t>
  </si>
  <si>
    <t>Log trust</t>
  </si>
  <si>
    <t>Log BF</t>
  </si>
  <si>
    <t>Log tax</t>
  </si>
  <si>
    <t>log gov</t>
  </si>
  <si>
    <t>Log gov</t>
  </si>
  <si>
    <t>Log FirmSize</t>
  </si>
  <si>
    <t>Log size</t>
  </si>
  <si>
    <t>LogHP</t>
  </si>
  <si>
    <t>Log hp</t>
  </si>
  <si>
    <t>log age</t>
  </si>
  <si>
    <t>Log Gov</t>
  </si>
  <si>
    <t>Log sixe</t>
  </si>
  <si>
    <t>log hp</t>
  </si>
  <si>
    <t>Log industry div.</t>
  </si>
  <si>
    <t>Log industry div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</si>
</sst>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kr&quot;\ * #,##0.00_-;\-&quot;kr&quot;\ * #,##0.00_-;_-&quot;kr&quot;\ * &quot;-&quot;??_-;_-@_-"/>
    <numFmt numFmtId="164" formatCode="_(* #,##0.00_);_(* \(#,##0.00\);_(* &quot;-&quot;??_);_(@_)"/>
    <numFmt numFmtId="165" formatCode="d/m/yyyy;@"/>
    <numFmt numFmtId="166" formatCode="#,##0.0000000"/>
    <numFmt numFmtId="167" formatCode="#,##0.000"/>
    <numFmt numFmtId="168" formatCode="0.0"/>
    <numFmt numFmtId="169" formatCode="0.0000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6" fillId="0" borderId="0"/>
    <xf numFmtId="0" fontId="2" fillId="0" borderId="0"/>
    <xf numFmtId="0" fontId="1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89">
    <xf numFmtId="0" fontId="0" fillId="0" borderId="0" xfId="0"/>
    <xf numFmtId="14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/>
    <xf numFmtId="165" fontId="0" fillId="0" borderId="0" xfId="0" applyNumberFormat="1"/>
    <xf numFmtId="0" fontId="0" fillId="4" borderId="0" xfId="0" applyFill="1"/>
    <xf numFmtId="2" fontId="0" fillId="0" borderId="0" xfId="0" applyNumberFormat="1"/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5" fillId="0" borderId="0" xfId="0" applyFont="1"/>
    <xf numFmtId="0" fontId="5" fillId="0" borderId="0" xfId="1" applyFont="1" applyFill="1"/>
    <xf numFmtId="0" fontId="0" fillId="0" borderId="0" xfId="0" applyAlignment="1">
      <alignment horizontal="right"/>
    </xf>
    <xf numFmtId="10" fontId="0" fillId="0" borderId="0" xfId="0" applyNumberFormat="1"/>
    <xf numFmtId="14" fontId="5" fillId="0" borderId="0" xfId="0" applyNumberFormat="1" applyFont="1"/>
    <xf numFmtId="14" fontId="0" fillId="4" borderId="0" xfId="0" applyNumberFormat="1" applyFill="1"/>
    <xf numFmtId="14" fontId="0" fillId="0" borderId="0" xfId="0" applyNumberFormat="1" applyAlignment="1">
      <alignment vertical="center"/>
    </xf>
    <xf numFmtId="14" fontId="5" fillId="0" borderId="0" xfId="1" applyNumberFormat="1" applyFont="1" applyFill="1"/>
    <xf numFmtId="14" fontId="0" fillId="3" borderId="0" xfId="0" applyNumberFormat="1" applyFill="1"/>
    <xf numFmtId="166" fontId="0" fillId="0" borderId="0" xfId="0" applyNumberFormat="1" applyAlignment="1">
      <alignment vertical="center"/>
    </xf>
    <xf numFmtId="164" fontId="4" fillId="0" borderId="0" xfId="0" applyNumberFormat="1" applyFont="1"/>
    <xf numFmtId="164" fontId="0" fillId="0" borderId="0" xfId="0" applyNumberFormat="1"/>
    <xf numFmtId="9" fontId="0" fillId="0" borderId="0" xfId="0" applyNumberFormat="1"/>
    <xf numFmtId="14" fontId="0" fillId="3" borderId="0" xfId="0" applyNumberFormat="1" applyFill="1" applyAlignment="1">
      <alignment vertical="center"/>
    </xf>
    <xf numFmtId="0" fontId="0" fillId="0" borderId="0" xfId="0" applyFill="1"/>
    <xf numFmtId="0" fontId="4" fillId="0" borderId="0" xfId="0" applyFont="1" applyAlignment="1">
      <alignment horizontal="right" vertical="center"/>
    </xf>
    <xf numFmtId="1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Fill="1" applyAlignment="1">
      <alignment vertical="center"/>
    </xf>
    <xf numFmtId="0" fontId="0" fillId="5" borderId="0" xfId="0" applyFill="1"/>
    <xf numFmtId="0" fontId="0" fillId="3" borderId="0" xfId="0" applyFill="1"/>
    <xf numFmtId="0" fontId="0" fillId="3" borderId="3" xfId="0" applyFill="1" applyBorder="1" applyAlignment="1">
      <alignment vertical="center"/>
    </xf>
    <xf numFmtId="0" fontId="0" fillId="0" borderId="0" xfId="0" applyNumberFormat="1"/>
    <xf numFmtId="0" fontId="0" fillId="0" borderId="0" xfId="0" applyAlignment="1"/>
    <xf numFmtId="14" fontId="0" fillId="0" borderId="0" xfId="0" applyNumberFormat="1" applyAlignment="1"/>
    <xf numFmtId="2" fontId="0" fillId="0" borderId="0" xfId="0" applyNumberFormat="1" applyAlignment="1"/>
    <xf numFmtId="164" fontId="0" fillId="0" borderId="0" xfId="0" applyNumberFormat="1" applyAlignment="1"/>
    <xf numFmtId="9" fontId="0" fillId="0" borderId="0" xfId="0" applyNumberFormat="1" applyAlignment="1"/>
    <xf numFmtId="0" fontId="0" fillId="0" borderId="0" xfId="0" applyFont="1" applyFill="1"/>
    <xf numFmtId="0" fontId="0" fillId="3" borderId="0" xfId="0" applyFont="1" applyFill="1"/>
    <xf numFmtId="167" fontId="0" fillId="0" borderId="0" xfId="0" applyNumberFormat="1"/>
    <xf numFmtId="167" fontId="0" fillId="0" borderId="0" xfId="0" applyNumberFormat="1" applyAlignment="1"/>
    <xf numFmtId="168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2" fontId="4" fillId="0" borderId="0" xfId="0" applyNumberFormat="1" applyFont="1"/>
    <xf numFmtId="0" fontId="0" fillId="0" borderId="0" xfId="0" applyNumberFormat="1" applyAlignment="1">
      <alignment horizontal="right" vertical="center" wrapText="1"/>
    </xf>
    <xf numFmtId="0" fontId="0" fillId="0" borderId="0" xfId="0" applyNumberFormat="1" applyAlignment="1"/>
    <xf numFmtId="0" fontId="0" fillId="7" borderId="4" xfId="0" applyFont="1" applyFill="1" applyBorder="1"/>
    <xf numFmtId="0" fontId="0" fillId="7" borderId="1" xfId="0" applyFont="1" applyFill="1" applyBorder="1"/>
    <xf numFmtId="0" fontId="0" fillId="0" borderId="4" xfId="0" applyFont="1" applyBorder="1" applyAlignment="1">
      <alignment vertical="center"/>
    </xf>
    <xf numFmtId="0" fontId="0" fillId="0" borderId="1" xfId="0" applyFont="1" applyBorder="1"/>
    <xf numFmtId="2" fontId="0" fillId="0" borderId="1" xfId="0" applyNumberFormat="1" applyFont="1" applyBorder="1"/>
    <xf numFmtId="9" fontId="0" fillId="0" borderId="1" xfId="0" applyNumberFormat="1" applyFont="1" applyBorder="1"/>
    <xf numFmtId="0" fontId="0" fillId="0" borderId="1" xfId="0" applyNumberFormat="1" applyFont="1" applyBorder="1"/>
    <xf numFmtId="167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0" fontId="0" fillId="7" borderId="4" xfId="0" applyFont="1" applyFill="1" applyBorder="1" applyAlignment="1">
      <alignment vertical="center"/>
    </xf>
    <xf numFmtId="0" fontId="0" fillId="7" borderId="1" xfId="0" applyNumberFormat="1" applyFont="1" applyFill="1" applyBorder="1" applyAlignment="1">
      <alignment horizontal="right"/>
    </xf>
    <xf numFmtId="2" fontId="0" fillId="7" borderId="1" xfId="0" applyNumberFormat="1" applyFont="1" applyFill="1" applyBorder="1"/>
    <xf numFmtId="9" fontId="0" fillId="7" borderId="1" xfId="0" applyNumberFormat="1" applyFont="1" applyFill="1" applyBorder="1"/>
    <xf numFmtId="0" fontId="0" fillId="7" borderId="1" xfId="0" applyNumberFormat="1" applyFont="1" applyFill="1" applyBorder="1"/>
    <xf numFmtId="167" fontId="0" fillId="7" borderId="1" xfId="0" applyNumberFormat="1" applyFont="1" applyFill="1" applyBorder="1"/>
    <xf numFmtId="0" fontId="0" fillId="7" borderId="1" xfId="0" applyFont="1" applyFill="1" applyBorder="1" applyAlignment="1">
      <alignment horizontal="right"/>
    </xf>
    <xf numFmtId="0" fontId="0" fillId="0" borderId="1" xfId="0" applyNumberFormat="1" applyFont="1" applyBorder="1" applyAlignment="1">
      <alignment horizontal="right"/>
    </xf>
    <xf numFmtId="0" fontId="0" fillId="7" borderId="2" xfId="0" applyFont="1" applyFill="1" applyBorder="1"/>
    <xf numFmtId="0" fontId="0" fillId="0" borderId="4" xfId="0" applyFont="1" applyBorder="1"/>
    <xf numFmtId="0" fontId="0" fillId="0" borderId="2" xfId="0" applyFont="1" applyBorder="1"/>
    <xf numFmtId="10" fontId="0" fillId="7" borderId="1" xfId="0" applyNumberFormat="1" applyFont="1" applyFill="1" applyBorder="1" applyAlignment="1">
      <alignment horizontal="right"/>
    </xf>
    <xf numFmtId="10" fontId="0" fillId="0" borderId="1" xfId="0" applyNumberFormat="1" applyFont="1" applyBorder="1" applyAlignment="1">
      <alignment horizontal="right"/>
    </xf>
    <xf numFmtId="2" fontId="0" fillId="7" borderId="1" xfId="0" applyNumberFormat="1" applyFont="1" applyFill="1" applyBorder="1" applyAlignment="1">
      <alignment horizontal="right"/>
    </xf>
    <xf numFmtId="0" fontId="0" fillId="7" borderId="5" xfId="0" applyNumberFormat="1" applyFont="1" applyFill="1" applyBorder="1" applyAlignment="1">
      <alignment horizontal="right"/>
    </xf>
    <xf numFmtId="0" fontId="0" fillId="0" borderId="5" xfId="0" applyNumberFormat="1" applyFont="1" applyBorder="1" applyAlignment="1">
      <alignment horizontal="right"/>
    </xf>
    <xf numFmtId="0" fontId="0" fillId="0" borderId="5" xfId="0" applyFont="1" applyBorder="1" applyAlignment="1"/>
    <xf numFmtId="0" fontId="0" fillId="0" borderId="5" xfId="0" applyNumberFormat="1" applyFont="1" applyBorder="1" applyAlignment="1"/>
    <xf numFmtId="167" fontId="0" fillId="0" borderId="5" xfId="0" applyNumberFormat="1" applyFont="1" applyBorder="1" applyAlignment="1"/>
    <xf numFmtId="0" fontId="0" fillId="7" borderId="5" xfId="0" applyFont="1" applyFill="1" applyBorder="1" applyAlignment="1"/>
    <xf numFmtId="0" fontId="0" fillId="7" borderId="5" xfId="0" applyNumberFormat="1" applyFont="1" applyFill="1" applyBorder="1" applyAlignment="1"/>
    <xf numFmtId="167" fontId="0" fillId="7" borderId="5" xfId="0" applyNumberFormat="1" applyFont="1" applyFill="1" applyBorder="1" applyAlignment="1"/>
    <xf numFmtId="9" fontId="0" fillId="0" borderId="0" xfId="5" applyFont="1"/>
    <xf numFmtId="0" fontId="7" fillId="6" borderId="0" xfId="0" applyFont="1" applyFill="1" applyBorder="1"/>
    <xf numFmtId="9" fontId="0" fillId="0" borderId="0" xfId="5" applyFont="1" applyAlignment="1"/>
    <xf numFmtId="0" fontId="0" fillId="7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3" borderId="1" xfId="0" applyFont="1" applyFill="1" applyBorder="1"/>
    <xf numFmtId="168" fontId="0" fillId="7" borderId="1" xfId="0" applyNumberFormat="1" applyFont="1" applyFill="1" applyBorder="1" applyAlignment="1">
      <alignment horizontal="right"/>
    </xf>
    <xf numFmtId="0" fontId="0" fillId="7" borderId="5" xfId="0" applyFont="1" applyFill="1" applyBorder="1" applyAlignment="1">
      <alignment vertical="center"/>
    </xf>
    <xf numFmtId="0" fontId="0" fillId="0" borderId="5" xfId="0" applyFont="1" applyBorder="1" applyAlignment="1">
      <alignment vertical="center"/>
    </xf>
    <xf numFmtId="1" fontId="0" fillId="0" borderId="0" xfId="0" applyNumberFormat="1" applyAlignment="1">
      <alignment vertical="center"/>
    </xf>
    <xf numFmtId="0" fontId="0" fillId="4" borderId="0" xfId="0" applyFill="1" applyAlignment="1"/>
    <xf numFmtId="0" fontId="0" fillId="0" borderId="0" xfId="0" applyBorder="1"/>
    <xf numFmtId="0" fontId="0" fillId="0" borderId="0" xfId="0" applyBorder="1" applyAlignment="1">
      <alignment vertical="center"/>
    </xf>
    <xf numFmtId="0" fontId="0" fillId="4" borderId="1" xfId="0" applyFont="1" applyFill="1" applyBorder="1" applyAlignment="1"/>
    <xf numFmtId="0" fontId="7" fillId="6" borderId="5" xfId="0" applyFont="1" applyFill="1" applyBorder="1" applyAlignment="1">
      <alignment vertical="center"/>
    </xf>
    <xf numFmtId="0" fontId="5" fillId="2" borderId="5" xfId="1" applyFont="1" applyBorder="1" applyAlignment="1"/>
    <xf numFmtId="0" fontId="0" fillId="4" borderId="5" xfId="0" applyFont="1" applyFill="1" applyBorder="1" applyAlignment="1"/>
    <xf numFmtId="0" fontId="5" fillId="0" borderId="5" xfId="0" applyFont="1" applyBorder="1" applyAlignment="1"/>
    <xf numFmtId="0" fontId="7" fillId="6" borderId="4" xfId="0" applyFont="1" applyFill="1" applyBorder="1"/>
    <xf numFmtId="0" fontId="7" fillId="6" borderId="1" xfId="0" applyFont="1" applyFill="1" applyBorder="1"/>
    <xf numFmtId="0" fontId="7" fillId="6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0" fillId="7" borderId="2" xfId="0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vertical="center" wrapText="1"/>
    </xf>
    <xf numFmtId="0" fontId="7" fillId="6" borderId="2" xfId="0" applyFont="1" applyFill="1" applyBorder="1" applyAlignment="1">
      <alignment vertical="center"/>
    </xf>
    <xf numFmtId="0" fontId="0" fillId="7" borderId="1" xfId="0" applyFont="1" applyFill="1" applyBorder="1" applyAlignment="1"/>
    <xf numFmtId="0" fontId="0" fillId="7" borderId="2" xfId="0" applyFont="1" applyFill="1" applyBorder="1" applyAlignment="1"/>
    <xf numFmtId="0" fontId="0" fillId="0" borderId="1" xfId="0" applyFont="1" applyBorder="1" applyAlignment="1"/>
    <xf numFmtId="0" fontId="0" fillId="0" borderId="2" xfId="0" applyFont="1" applyBorder="1" applyAlignment="1"/>
    <xf numFmtId="0" fontId="5" fillId="7" borderId="1" xfId="1" applyFont="1" applyFill="1" applyBorder="1"/>
    <xf numFmtId="0" fontId="5" fillId="7" borderId="2" xfId="1" applyFont="1" applyFill="1" applyBorder="1"/>
    <xf numFmtId="9" fontId="4" fillId="0" borderId="0" xfId="5" applyFont="1"/>
    <xf numFmtId="2" fontId="7" fillId="6" borderId="1" xfId="0" applyNumberFormat="1" applyFont="1" applyFill="1" applyBorder="1"/>
    <xf numFmtId="164" fontId="7" fillId="6" borderId="1" xfId="0" applyNumberFormat="1" applyFont="1" applyFill="1" applyBorder="1"/>
    <xf numFmtId="0" fontId="5" fillId="0" borderId="4" xfId="1" applyFont="1" applyFill="1" applyBorder="1"/>
    <xf numFmtId="0" fontId="5" fillId="0" borderId="1" xfId="1" applyFont="1" applyFill="1" applyBorder="1"/>
    <xf numFmtId="0" fontId="0" fillId="7" borderId="4" xfId="0" applyFont="1" applyFill="1" applyBorder="1" applyAlignment="1"/>
    <xf numFmtId="2" fontId="0" fillId="7" borderId="1" xfId="0" applyNumberFormat="1" applyFont="1" applyFill="1" applyBorder="1" applyAlignment="1"/>
    <xf numFmtId="0" fontId="0" fillId="7" borderId="1" xfId="0" applyNumberFormat="1" applyFont="1" applyFill="1" applyBorder="1" applyAlignment="1"/>
    <xf numFmtId="167" fontId="0" fillId="7" borderId="1" xfId="0" applyNumberFormat="1" applyFont="1" applyFill="1" applyBorder="1" applyAlignment="1"/>
    <xf numFmtId="2" fontId="0" fillId="0" borderId="1" xfId="0" applyNumberFormat="1" applyFont="1" applyBorder="1" applyAlignment="1">
      <alignment horizontal="right"/>
    </xf>
    <xf numFmtId="0" fontId="0" fillId="7" borderId="4" xfId="0" applyFont="1" applyFill="1" applyBorder="1" applyAlignment="1">
      <alignment vertical="center" wrapText="1"/>
    </xf>
    <xf numFmtId="0" fontId="0" fillId="7" borderId="1" xfId="0" applyFont="1" applyFill="1" applyBorder="1" applyAlignment="1">
      <alignment vertical="center" wrapText="1"/>
    </xf>
    <xf numFmtId="0" fontId="0" fillId="7" borderId="1" xfId="0" applyNumberFormat="1" applyFont="1" applyFill="1" applyBorder="1" applyAlignment="1">
      <alignment horizontal="right" vertical="center" wrapText="1"/>
    </xf>
    <xf numFmtId="0" fontId="0" fillId="0" borderId="4" xfId="0" applyFont="1" applyBorder="1" applyAlignment="1"/>
    <xf numFmtId="2" fontId="0" fillId="0" borderId="1" xfId="0" applyNumberFormat="1" applyFont="1" applyBorder="1" applyAlignment="1"/>
    <xf numFmtId="0" fontId="0" fillId="0" borderId="1" xfId="0" applyNumberFormat="1" applyFont="1" applyBorder="1" applyAlignment="1"/>
    <xf numFmtId="167" fontId="0" fillId="0" borderId="1" xfId="0" applyNumberFormat="1" applyFont="1" applyBorder="1" applyAlignment="1"/>
    <xf numFmtId="9" fontId="0" fillId="7" borderId="1" xfId="5" applyFont="1" applyFill="1" applyBorder="1"/>
    <xf numFmtId="0" fontId="4" fillId="0" borderId="0" xfId="0" applyNumberFormat="1" applyFont="1"/>
    <xf numFmtId="2" fontId="0" fillId="0" borderId="0" xfId="0" applyNumberFormat="1" applyAlignment="1">
      <alignment vertical="center" wrapText="1"/>
    </xf>
    <xf numFmtId="2" fontId="0" fillId="0" borderId="0" xfId="0" applyNumberFormat="1" applyAlignment="1">
      <alignment vertical="center" wrapText="1"/>
    </xf>
    <xf numFmtId="2" fontId="0" fillId="0" borderId="0" xfId="0" applyNumberFormat="1"/>
    <xf numFmtId="2" fontId="0" fillId="0" borderId="0" xfId="0" applyNumberForma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2" fontId="0" fillId="0" borderId="0" xfId="0" applyNumberFormat="1"/>
    <xf numFmtId="0" fontId="7" fillId="6" borderId="1" xfId="0" applyFont="1" applyFill="1" applyBorder="1" applyAlignment="1">
      <alignment horizontal="right" vertical="center"/>
    </xf>
    <xf numFmtId="0" fontId="7" fillId="6" borderId="1" xfId="0" applyFont="1" applyFill="1" applyBorder="1" applyAlignment="1"/>
    <xf numFmtId="14" fontId="0" fillId="7" borderId="1" xfId="0" applyNumberFormat="1" applyFont="1" applyFill="1" applyBorder="1" applyAlignment="1"/>
    <xf numFmtId="14" fontId="0" fillId="7" borderId="1" xfId="0" applyNumberFormat="1" applyFont="1" applyFill="1" applyBorder="1" applyAlignment="1">
      <alignment vertical="center"/>
    </xf>
    <xf numFmtId="166" fontId="0" fillId="7" borderId="1" xfId="0" applyNumberFormat="1" applyFont="1" applyFill="1" applyBorder="1" applyAlignment="1">
      <alignment vertical="center"/>
    </xf>
    <xf numFmtId="14" fontId="0" fillId="0" borderId="1" xfId="0" applyNumberFormat="1" applyFont="1" applyBorder="1" applyAlignment="1"/>
    <xf numFmtId="14" fontId="0" fillId="0" borderId="1" xfId="0" applyNumberFormat="1" applyFont="1" applyBorder="1" applyAlignment="1">
      <alignment vertical="center"/>
    </xf>
    <xf numFmtId="166" fontId="0" fillId="0" borderId="1" xfId="0" applyNumberFormat="1" applyFont="1" applyBorder="1" applyAlignment="1">
      <alignment vertical="center"/>
    </xf>
    <xf numFmtId="14" fontId="0" fillId="3" borderId="1" xfId="0" applyNumberFormat="1" applyFont="1" applyFill="1" applyBorder="1" applyAlignment="1">
      <alignment vertical="center"/>
    </xf>
    <xf numFmtId="14" fontId="0" fillId="3" borderId="1" xfId="0" applyNumberFormat="1" applyFont="1" applyFill="1" applyBorder="1" applyAlignment="1"/>
    <xf numFmtId="14" fontId="0" fillId="4" borderId="1" xfId="0" applyNumberFormat="1" applyFont="1" applyFill="1" applyBorder="1" applyAlignment="1"/>
    <xf numFmtId="9" fontId="0" fillId="7" borderId="1" xfId="0" applyNumberFormat="1" applyFont="1" applyFill="1" applyBorder="1" applyAlignment="1"/>
    <xf numFmtId="9" fontId="0" fillId="0" borderId="1" xfId="0" applyNumberFormat="1" applyFont="1" applyBorder="1" applyAlignment="1"/>
    <xf numFmtId="10" fontId="0" fillId="7" borderId="1" xfId="0" applyNumberFormat="1" applyFont="1" applyFill="1" applyBorder="1" applyAlignment="1"/>
    <xf numFmtId="10" fontId="0" fillId="0" borderId="1" xfId="0" applyNumberFormat="1" applyFont="1" applyBorder="1" applyAlignment="1"/>
    <xf numFmtId="168" fontId="0" fillId="7" borderId="1" xfId="0" applyNumberFormat="1" applyFont="1" applyFill="1" applyBorder="1" applyAlignment="1">
      <alignment horizontal="left"/>
    </xf>
    <xf numFmtId="164" fontId="7" fillId="6" borderId="1" xfId="0" applyNumberFormat="1" applyFont="1" applyFill="1" applyBorder="1" applyAlignment="1"/>
    <xf numFmtId="0" fontId="7" fillId="6" borderId="5" xfId="0" applyFont="1" applyFill="1" applyBorder="1" applyAlignment="1">
      <alignment horizontal="right" vertical="center"/>
    </xf>
    <xf numFmtId="0" fontId="7" fillId="6" borderId="5" xfId="0" applyFont="1" applyFill="1" applyBorder="1" applyAlignment="1"/>
    <xf numFmtId="164" fontId="7" fillId="6" borderId="5" xfId="0" applyNumberFormat="1" applyFont="1" applyFill="1" applyBorder="1" applyAlignment="1"/>
    <xf numFmtId="169" fontId="0" fillId="0" borderId="0" xfId="0" applyNumberFormat="1"/>
    <xf numFmtId="0" fontId="7" fillId="6" borderId="0" xfId="0" applyFont="1" applyFill="1" applyBorder="1" applyAlignment="1">
      <alignment vertical="center"/>
    </xf>
    <xf numFmtId="0" fontId="0" fillId="7" borderId="5" xfId="0" applyNumberFormat="1" applyFont="1" applyFill="1" applyBorder="1" applyAlignment="1">
      <alignment horizontal="right" vertical="center"/>
    </xf>
    <xf numFmtId="0" fontId="7" fillId="6" borderId="0" xfId="0" applyFont="1" applyFill="1" applyBorder="1" applyAlignment="1"/>
    <xf numFmtId="0" fontId="7" fillId="6" borderId="0" xfId="0" applyFont="1" applyFill="1" applyBorder="1" applyAlignment="1">
      <alignment horizontal="right" vertical="center"/>
    </xf>
    <xf numFmtId="0" fontId="0" fillId="0" borderId="0" xfId="0" applyFill="1" applyAlignment="1"/>
    <xf numFmtId="14" fontId="5" fillId="0" borderId="0" xfId="0" applyNumberFormat="1" applyFont="1" applyAlignment="1"/>
    <xf numFmtId="0" fontId="5" fillId="0" borderId="0" xfId="1" applyFont="1" applyFill="1" applyAlignment="1"/>
    <xf numFmtId="14" fontId="0" fillId="4" borderId="0" xfId="0" applyNumberFormat="1" applyFill="1" applyAlignment="1"/>
    <xf numFmtId="165" fontId="0" fillId="0" borderId="0" xfId="0" applyNumberFormat="1" applyAlignment="1"/>
    <xf numFmtId="0" fontId="5" fillId="0" borderId="0" xfId="0" applyFont="1" applyAlignment="1"/>
    <xf numFmtId="0" fontId="6" fillId="0" borderId="0" xfId="2"/>
    <xf numFmtId="0" fontId="4" fillId="0" borderId="0" xfId="0" applyFont="1" applyAlignment="1"/>
    <xf numFmtId="164" fontId="4" fillId="0" borderId="0" xfId="0" applyNumberFormat="1" applyFont="1" applyAlignment="1"/>
    <xf numFmtId="10" fontId="0" fillId="0" borderId="0" xfId="0" applyNumberFormat="1" applyAlignment="1"/>
    <xf numFmtId="0" fontId="0" fillId="0" borderId="0" xfId="0" applyFont="1" applyFill="1" applyAlignment="1"/>
    <xf numFmtId="2" fontId="0" fillId="0" borderId="0" xfId="0" applyNumberFormat="1" applyAlignment="1">
      <alignment vertical="center"/>
    </xf>
    <xf numFmtId="14" fontId="0" fillId="3" borderId="0" xfId="0" applyNumberFormat="1" applyFill="1" applyAlignment="1"/>
    <xf numFmtId="14" fontId="5" fillId="0" borderId="0" xfId="1" applyNumberFormat="1" applyFont="1" applyFill="1" applyAlignment="1"/>
    <xf numFmtId="0" fontId="0" fillId="3" borderId="0" xfId="0" applyFont="1" applyFill="1" applyAlignment="1"/>
    <xf numFmtId="2" fontId="0" fillId="0" borderId="1" xfId="0" applyNumberFormat="1" applyFont="1" applyBorder="1" applyAlignment="1">
      <alignment vertical="center"/>
    </xf>
    <xf numFmtId="0" fontId="0" fillId="0" borderId="1" xfId="0" applyNumberFormat="1" applyFont="1" applyBorder="1" applyAlignment="1">
      <alignment horizontal="right" vertical="center"/>
    </xf>
    <xf numFmtId="0" fontId="0" fillId="7" borderId="0" xfId="0" applyNumberFormat="1" applyFont="1" applyFill="1" applyBorder="1" applyAlignment="1">
      <alignment horizontal="right"/>
    </xf>
    <xf numFmtId="167" fontId="0" fillId="7" borderId="0" xfId="0" applyNumberFormat="1" applyFont="1" applyFill="1" applyBorder="1" applyAlignment="1"/>
    <xf numFmtId="0" fontId="0" fillId="7" borderId="0" xfId="0" applyFont="1" applyFill="1" applyBorder="1"/>
    <xf numFmtId="2" fontId="0" fillId="7" borderId="1" xfId="6" applyNumberFormat="1" applyFont="1" applyFill="1" applyBorder="1"/>
    <xf numFmtId="2" fontId="0" fillId="0" borderId="1" xfId="6" applyNumberFormat="1" applyFont="1" applyBorder="1"/>
    <xf numFmtId="0" fontId="0" fillId="0" borderId="0" xfId="0" applyAlignment="1">
      <alignment horizontal="center"/>
    </xf>
  </cellXfs>
  <cellStyles count="7">
    <cellStyle name="Currency" xfId="6" builtinId="4"/>
    <cellStyle name="Neutral" xfId="1" builtinId="28"/>
    <cellStyle name="Normal" xfId="0" builtinId="0"/>
    <cellStyle name="Normal 2" xfId="2"/>
    <cellStyle name="Normal 3" xfId="3"/>
    <cellStyle name="Normal 4" xfId="4"/>
    <cellStyle name="Percent" xfId="5" builtinId="5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167" formatCode="#,##0.000"/>
    </dxf>
    <dxf>
      <numFmt numFmtId="0" formatCode="General"/>
    </dxf>
    <dxf>
      <numFmt numFmtId="0" formatCode="General"/>
    </dxf>
    <dxf>
      <numFmt numFmtId="2" formatCode="0.00"/>
    </dxf>
    <dxf>
      <numFmt numFmtId="13" formatCode="0\ %"/>
    </dxf>
    <dxf>
      <numFmt numFmtId="2" formatCode="0.00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Van Heesch, Lukas" id="{0BB1659D-55D9-4A69-8960-03536EE39189}" userId="S::s1712720@nbsstd.no::620860c2-e140-4aca-a56d-5c1f48a70782" providerId="AD"/>
  <person displayName="Guest User" id="{3EE0E2E1-E1DA-4606-B02B-3EE3A1758F7B}" userId="S::urn:spo:anon#7e5dbc9c32bbc55a02d1f524462306dc6b97be28a4df6a931511eabd1d793635::" providerId="AD"/>
</personList>
</file>

<file path=xl/tables/table1.xml><?xml version="1.0" encoding="utf-8"?>
<table xmlns="http://schemas.openxmlformats.org/spreadsheetml/2006/main" id="2" name="Table2" displayName="Table2" ref="A1:AC457" totalsRowShown="0" headerRowDxfId="42">
  <autoFilter ref="A1:AC457"/>
  <sortState ref="A2:U701">
    <sortCondition ref="A1:A701"/>
  </sortState>
  <tableColumns count="29">
    <tableColumn id="1" name="Country"/>
    <tableColumn id="2" name="Return"/>
    <tableColumn id="3" name="Log return" dataDxfId="41">
      <calculatedColumnFormula>IF(Table2[[#This Row],[Return]]=-1,-1,LOG(1+Table2[[#This Row],[Return]]))</calculatedColumnFormula>
    </tableColumn>
    <tableColumn id="4" name="Holding Period"/>
    <tableColumn id="5" name="Geo Distance"/>
    <tableColumn id="22" name="Log Ditance" dataDxfId="40">
      <calculatedColumnFormula>IF(Table2[[#This Row],[Geo Distance]]=0,0,LOG(Table2[[#This Row],[Geo Distance]]))</calculatedColumnFormula>
    </tableColumn>
    <tableColumn id="6" name="Target age"/>
    <tableColumn id="25" name="Log Target Age" dataDxfId="39">
      <calculatedColumnFormula>IF(Table2[[#This Row],[Target age]]=0,0,LOG(Table2[[#This Row],[Target age]]))</calculatedColumnFormula>
    </tableColumn>
    <tableColumn id="7" name="Trust" dataDxfId="38"/>
    <tableColumn id="8" name="Culture"/>
    <tableColumn id="23" name="Log culture" dataDxfId="37">
      <calculatedColumnFormula>IF(Table2[[#This Row],[Culture]]=0,0,LOG(Table2[[#This Row],[Culture]]))</calculatedColumnFormula>
    </tableColumn>
    <tableColumn id="9" name="S&amp;P" dataDxfId="36"/>
    <tableColumn id="24" name="Log S&amp;P" dataDxfId="35">
      <calculatedColumnFormula>LOG(1+Table2[[#This Row],[S&amp;P]])</calculatedColumnFormula>
    </tableColumn>
    <tableColumn id="10" name="fund age"/>
    <tableColumn id="29" name="Log fund age" dataDxfId="34">
      <calculatedColumnFormula>IF(Table2[[#This Row],[fund age]]=0,0,LOG(Table2[[#This Row],[fund age]]))</calculatedColumnFormula>
    </tableColumn>
    <tableColumn id="11" name="Dummy Distance">
      <calculatedColumnFormula>IF(E2=0,0,1)</calculatedColumnFormula>
    </tableColumn>
    <tableColumn id="12" name="investment freedom"/>
    <tableColumn id="13" name="Financial Freedom"/>
    <tableColumn id="14" name="business freedom"/>
    <tableColumn id="15" name="taxation burden" dataDxfId="33"/>
    <tableColumn id="16" name="size of government" dataDxfId="32"/>
    <tableColumn id="17" name="generalist"/>
    <tableColumn id="26" name="Log Generalist" dataDxfId="31">
      <calculatedColumnFormula>LOG(Table2[[#This Row],[generalist]])</calculatedColumnFormula>
    </tableColumn>
    <tableColumn id="18" name="Independence score" dataDxfId="30"/>
    <tableColumn id="19" name="country divers."/>
    <tableColumn id="27" name="Log Country Div." dataDxfId="29">
      <calculatedColumnFormula>LOG(Table2[[#This Row],[country divers.]])</calculatedColumnFormula>
    </tableColumn>
    <tableColumn id="20" name="Firm Size"/>
    <tableColumn id="28" name="Log Firm Size" dataDxfId="28">
      <calculatedColumnFormula>LOG(Table2[[#This Row],[Firm Size]])</calculatedColumnFormula>
    </tableColumn>
    <tableColumn id="21" name="Fts 350" dataDxfId="27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1" dT="2019-03-28T12:44:22.44" personId="{0BB1659D-55D9-4A69-8960-03536EE39189}" id="{3A77F43B-E94E-4B4B-A744-683775533844}">
    <text xml:space="preserve">We measure this factor by looking if they invest at least in five different sectors. Or whether there is a disproportianete high concentration in one specific sector. Thereby, at least by double the size of the second largest one to be accounted as non-generalist.
</text>
  </threadedComment>
  <threadedComment ref="AB1" dT="2019-05-11T16:52:08.42" personId="{0BB1659D-55D9-4A69-8960-03536EE39189}" id="{812819AC-E65D-F040-A81D-9E29F80D1C67}">
    <text>U = 1
D = 2
C = 3
B = 4
A = 5</text>
  </threadedComment>
  <threadedComment ref="AB10" dT="2019-03-28T14:03:01.85" personId="{0BB1659D-55D9-4A69-8960-03536EE39189}" id="{D4E3EB1E-98AB-499C-953D-D7C8DC355E48}">
    <text xml:space="preserve">used the australian parent as a proxy.
</text>
  </threadedComment>
  <threadedComment ref="C21" dT="2019-03-25T14:10:38.62" personId="{0BB1659D-55D9-4A69-8960-03536EE39189}" id="{4DC35A58-0CF8-4EA6-AEC5-EADB858EE52A}">
    <text xml:space="preserve">Where did you find that they were bankrupt?
</text>
  </threadedComment>
  <threadedComment ref="C21" dT="2019-03-26T11:38:58.61" personId="{3EE0E2E1-E1DA-4606-B02B-3EE3A1758F7B}" id="{617A62F7-ADC3-4BAF-973C-90B6F5295D9E}" parentId="{4DC35A58-0CF8-4EA6-AEC5-EADB858EE52A}">
    <text xml:space="preserve">Filed for chapter 11, but i think they got through it. However, they filed in 2010, so i think PE-firms lost their stakes, but will check this in bloom.
</text>
  </threadedComment>
  <threadedComment ref="C22" dT="2019-03-25T14:29:54.81" personId="{0BB1659D-55D9-4A69-8960-03536EE39189}" id="{2CFAAFC6-5C28-4602-8A76-11A75CB28D3B}">
    <text xml:space="preserve">Did they really exit this deal?
</text>
  </threadedComment>
  <threadedComment ref="C22" dT="2019-03-26T11:42:43.33" personId="{3EE0E2E1-E1DA-4606-B02B-3EE3A1758F7B}" id="{26F41581-7177-4FB5-AA03-C72835EBE6BC}" parentId="{2CFAAFC6-5C28-4602-8A76-11A75CB28D3B}">
    <text xml:space="preserve">A google search shows that summit partners has the status for the deal: IPO 2010, aquired by Tiptree financials 2014. 
So, we need to include the 2014 deal as well, so we need to know which stake they had after the IPO.
</text>
  </threadedComment>
  <threadedComment ref="K87" dT="2019-03-28T18:12:50.24" personId="{0BB1659D-55D9-4A69-8960-03536EE39189}" id="{9756E7CB-DA21-4788-ADB5-8B9798BC0F76}">
    <text xml:space="preserve">https://www.ft.com/content/1584face-e653-11de-bcbe-00144feab49ahttps://www.ft.com/content/1584face-e653-11de-bcbe-00144feab49a
</text>
  </threadedComment>
  <threadedComment ref="C89" dT="2019-03-26T15:37:32.99" personId="{0BB1659D-55D9-4A69-8960-03536EE39189}" id="{F33260D9-5A67-40D8-93F9-9CF10141FA9E}">
    <text xml:space="preserve">bloomberg reports net debt of 707.64 million. There is nothing to find about debt in zephyr only that there is a party for new bank facilities. 
</text>
  </threadedComment>
  <threadedComment ref="C304" dT="2019-04-12T13:33:37.33" personId="{0BB1659D-55D9-4A69-8960-03536EE39189}" id="{5A803148-F259-48F4-A87F-F4185F64945A}">
    <text xml:space="preserve">weird transaction, two transactions are displayed one says that the company was initially bought by them, then somehow they bought a minority stake and then they sold that minority stake the next day.
</text>
  </threadedComment>
  <threadedComment ref="C360" dT="2019-04-12T17:40:11.11" personId="{0BB1659D-55D9-4A69-8960-03536EE39189}" id="{FE13C512-E7C9-49DC-BB7C-BE3595A2A4FB}">
    <text xml:space="preserve">weird acquisition transactions. You see a full acquisition at the beginning and later it buys 63 percent.
</text>
  </threadedComment>
  <threadedComment ref="C440" dT="2019-04-13T15:36:46.84" personId="{0BB1659D-55D9-4A69-8960-03536EE39189}" id="{86E22B8B-28D9-40A0-A404-8973F8D26BA4}">
    <text xml:space="preserve">only one transaction displayed, the company had already a stake in the target before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710"/>
  <sheetViews>
    <sheetView zoomScale="97" zoomScaleNormal="97" workbookViewId="0">
      <pane ySplit="1" topLeftCell="A2" activePane="bottomLeft" state="frozen"/>
      <selection pane="bottomLeft" activeCell="AS1" sqref="AS1:AS1048576"/>
    </sheetView>
  </sheetViews>
  <sheetFormatPr defaultColWidth="8.81640625" defaultRowHeight="14.5" x14ac:dyDescent="0.35"/>
  <cols>
    <col min="1" max="1" width="5.26953125" bestFit="1" customWidth="1"/>
    <col min="2" max="2" width="12.81640625" customWidth="1"/>
    <col min="3" max="3" width="33.1796875" customWidth="1"/>
    <col min="4" max="4" width="9" bestFit="1" customWidth="1"/>
    <col min="5" max="5" width="29" customWidth="1"/>
    <col min="6" max="6" width="14.81640625" customWidth="1"/>
    <col min="7" max="7" width="9.1796875"/>
    <col min="8" max="8" width="8.81640625" style="137"/>
    <col min="9" max="9" width="11.1796875" bestFit="1" customWidth="1"/>
    <col min="10" max="15" width="23.26953125" customWidth="1"/>
    <col min="16" max="17" width="11.453125" customWidth="1"/>
    <col min="18" max="18" width="11.81640625" bestFit="1" customWidth="1"/>
    <col min="19" max="20" width="18.453125" customWidth="1"/>
    <col min="21" max="22" width="14" customWidth="1"/>
    <col min="23" max="23" width="18.1796875" customWidth="1"/>
    <col min="25" max="25" width="19.81640625" customWidth="1"/>
    <col min="26" max="26" width="19.81640625" style="14" customWidth="1"/>
    <col min="27" max="27" width="15.81640625" customWidth="1"/>
    <col min="28" max="29" width="16.26953125" customWidth="1"/>
    <col min="30" max="31" width="16.453125" customWidth="1"/>
    <col min="32" max="33" width="15.1796875" customWidth="1"/>
    <col min="34" max="35" width="15.81640625" customWidth="1"/>
    <col min="36" max="36" width="14.81640625" customWidth="1"/>
    <col min="37" max="37" width="17" style="23" customWidth="1"/>
    <col min="38" max="40" width="16.81640625" customWidth="1"/>
    <col min="41" max="41" width="15" customWidth="1"/>
    <col min="43" max="43" width="17.26953125" customWidth="1"/>
    <col min="44" max="44" width="15.453125" customWidth="1"/>
  </cols>
  <sheetData>
    <row r="1" spans="1:61" x14ac:dyDescent="0.35">
      <c r="A1" s="5" t="s">
        <v>8</v>
      </c>
      <c r="B1" s="5" t="s">
        <v>9</v>
      </c>
      <c r="C1" s="5" t="s">
        <v>10</v>
      </c>
      <c r="D1" s="5" t="s">
        <v>11</v>
      </c>
      <c r="E1" s="5" t="s">
        <v>12</v>
      </c>
      <c r="F1" s="5" t="s">
        <v>13</v>
      </c>
      <c r="G1" s="5" t="s">
        <v>14</v>
      </c>
      <c r="H1" s="5" t="s">
        <v>1372</v>
      </c>
      <c r="I1" s="5" t="s">
        <v>15</v>
      </c>
      <c r="J1" s="5" t="s">
        <v>16</v>
      </c>
      <c r="K1" s="5" t="s">
        <v>1322</v>
      </c>
      <c r="L1" s="5" t="s">
        <v>17</v>
      </c>
      <c r="M1" s="5" t="s">
        <v>1334</v>
      </c>
      <c r="N1" s="5" t="s">
        <v>18</v>
      </c>
      <c r="O1" s="5" t="s">
        <v>19</v>
      </c>
      <c r="P1" s="5" t="s">
        <v>20</v>
      </c>
      <c r="Q1" s="5" t="s">
        <v>1325</v>
      </c>
      <c r="R1" s="5" t="s">
        <v>21</v>
      </c>
      <c r="S1" s="5" t="s">
        <v>22</v>
      </c>
      <c r="T1" s="5" t="s">
        <v>23</v>
      </c>
      <c r="U1" s="6" t="s">
        <v>24</v>
      </c>
      <c r="V1" s="6" t="s">
        <v>1327</v>
      </c>
      <c r="W1" s="6" t="s">
        <v>25</v>
      </c>
      <c r="X1" s="6" t="s">
        <v>26</v>
      </c>
      <c r="Y1" s="6" t="s">
        <v>1326</v>
      </c>
      <c r="Z1" s="27" t="s">
        <v>27</v>
      </c>
      <c r="AA1" s="5" t="s">
        <v>28</v>
      </c>
      <c r="AB1" s="6" t="s">
        <v>29</v>
      </c>
      <c r="AC1" s="6" t="s">
        <v>30</v>
      </c>
      <c r="AD1" s="6" t="s">
        <v>31</v>
      </c>
      <c r="AE1" s="6" t="s">
        <v>1350</v>
      </c>
      <c r="AF1" s="6" t="s">
        <v>33</v>
      </c>
      <c r="AG1" s="6" t="s">
        <v>1351</v>
      </c>
      <c r="AH1" s="6" t="s">
        <v>34</v>
      </c>
      <c r="AI1" s="6" t="s">
        <v>1329</v>
      </c>
      <c r="AJ1" s="6" t="s">
        <v>35</v>
      </c>
      <c r="AK1" s="22" t="s">
        <v>36</v>
      </c>
      <c r="AL1" s="6" t="s">
        <v>37</v>
      </c>
      <c r="AM1" s="6" t="s">
        <v>38</v>
      </c>
      <c r="AN1" s="6" t="s">
        <v>1331</v>
      </c>
      <c r="AO1" s="6" t="s">
        <v>39</v>
      </c>
      <c r="AP1" s="6" t="s">
        <v>40</v>
      </c>
      <c r="AQ1" s="6" t="s">
        <v>41</v>
      </c>
      <c r="AR1" s="6" t="s">
        <v>42</v>
      </c>
      <c r="AS1" s="6" t="s">
        <v>1328</v>
      </c>
      <c r="AT1" s="6" t="s">
        <v>45</v>
      </c>
      <c r="AU1" s="6" t="s">
        <v>59</v>
      </c>
      <c r="AV1" s="6" t="s">
        <v>1</v>
      </c>
      <c r="AW1" s="6" t="s">
        <v>3</v>
      </c>
      <c r="AX1" s="6" t="s">
        <v>1335</v>
      </c>
      <c r="AY1" s="6" t="s">
        <v>5</v>
      </c>
      <c r="AZ1" s="6" t="s">
        <v>163</v>
      </c>
      <c r="BA1" s="6" t="s">
        <v>6</v>
      </c>
      <c r="BB1" s="6" t="s">
        <v>1336</v>
      </c>
      <c r="BC1" s="6" t="s">
        <v>434</v>
      </c>
      <c r="BD1" s="6" t="s">
        <v>447</v>
      </c>
      <c r="BE1" s="6" t="s">
        <v>7</v>
      </c>
      <c r="BF1" s="6" t="s">
        <v>954</v>
      </c>
      <c r="BG1" s="6" t="s">
        <v>489</v>
      </c>
      <c r="BH1" s="6" t="s">
        <v>497</v>
      </c>
      <c r="BI1" s="6" t="s">
        <v>419</v>
      </c>
    </row>
    <row r="2" spans="1:61" x14ac:dyDescent="0.35">
      <c r="A2" t="s">
        <v>43</v>
      </c>
      <c r="B2" s="1">
        <v>34654</v>
      </c>
      <c r="C2" s="10" t="s">
        <v>44</v>
      </c>
      <c r="D2" s="2" t="s">
        <v>45</v>
      </c>
      <c r="E2" s="2" t="s">
        <v>46</v>
      </c>
      <c r="F2" s="2" t="s">
        <v>45</v>
      </c>
      <c r="G2" s="2" t="s">
        <v>47</v>
      </c>
      <c r="H2" s="139">
        <f>IF(G2="domestic",0,1)</f>
        <v>0</v>
      </c>
      <c r="I2" s="2" t="s">
        <v>48</v>
      </c>
      <c r="J2" s="2" t="s">
        <v>248</v>
      </c>
      <c r="K2" s="2">
        <f>IF(J2="Consumer Discretionary",5,IF(J2="Industrials",1,IF(J2="Energy",3,IF(J2="Health Care",2,IF(J2="Communications",4,IF(J2="Financials",6,IF(J2="Consumer Staples",7,IF(J2="Materials",8,IF(J2="Technology",9,IF(J2="Utilities",10,""))))))))))</f>
        <v>5</v>
      </c>
      <c r="L2" s="2">
        <v>1100000000</v>
      </c>
      <c r="M2" s="2">
        <f>LOG(L2)</f>
        <v>9.0413926851582254</v>
      </c>
      <c r="N2" s="2">
        <v>1100000000</v>
      </c>
      <c r="O2" s="2">
        <v>0</v>
      </c>
      <c r="P2" s="18">
        <v>35465</v>
      </c>
      <c r="Q2" s="89">
        <f>YEAR(P2)</f>
        <v>1997</v>
      </c>
      <c r="R2" s="2" t="s">
        <v>49</v>
      </c>
      <c r="S2" s="2">
        <v>220000000</v>
      </c>
      <c r="T2" s="21">
        <f t="shared" ref="T2:T65" si="0">YEARFRAC(B2,P2,3)</f>
        <v>2.2219178082191782</v>
      </c>
      <c r="U2">
        <v>0</v>
      </c>
      <c r="V2">
        <f>LOG(1+U2)</f>
        <v>0</v>
      </c>
      <c r="W2">
        <v>1886</v>
      </c>
      <c r="X2">
        <v>108</v>
      </c>
      <c r="Y2">
        <f>LOG(1+X2)</f>
        <v>2.0374264979406238</v>
      </c>
      <c r="Z2" s="45">
        <v>2.95</v>
      </c>
      <c r="AA2" s="9">
        <f t="shared" ref="AA2:AA65" si="1">S2-N2</f>
        <v>-880000000</v>
      </c>
      <c r="AB2" s="15">
        <f t="shared" ref="AB2:AB65" si="2">(S2/L2)-1</f>
        <v>-0.8</v>
      </c>
      <c r="AC2" s="34">
        <f>IF(AB2=-1,LOG(0.1),LOG(1+AB2))</f>
        <v>-0.69897000433601886</v>
      </c>
      <c r="AD2">
        <v>2315.9650000000001</v>
      </c>
      <c r="AE2">
        <f>LOG(AD2)</f>
        <v>3.3647319918335836</v>
      </c>
      <c r="AF2">
        <v>3703.9029999999998</v>
      </c>
      <c r="AG2">
        <f>LOG(AF2)</f>
        <v>3.568659604598353</v>
      </c>
      <c r="AH2" s="9">
        <v>0</v>
      </c>
      <c r="AI2" s="9">
        <f>IF(AH2=0,0,LOG(1+AH2))</f>
        <v>0</v>
      </c>
      <c r="AJ2">
        <v>85</v>
      </c>
      <c r="AK2" s="15" t="s">
        <v>50</v>
      </c>
      <c r="AL2" s="42">
        <v>37.8446121410093</v>
      </c>
      <c r="AM2" s="24">
        <v>0.7</v>
      </c>
      <c r="AN2" s="34">
        <f>LOG(1+AM2)</f>
        <v>0.23044892137827391</v>
      </c>
      <c r="AO2">
        <v>1985</v>
      </c>
      <c r="AP2">
        <v>9</v>
      </c>
      <c r="AQ2">
        <v>70</v>
      </c>
      <c r="AR2">
        <v>70</v>
      </c>
      <c r="AS2">
        <f t="shared" ref="AS2:AS65" si="3">IF(AC2=-1,1,0)</f>
        <v>0</v>
      </c>
      <c r="AT2">
        <f>IF($D2="US",1,0)</f>
        <v>1</v>
      </c>
      <c r="AU2">
        <f>IF($D2="UK",1,0)</f>
        <v>0</v>
      </c>
      <c r="AV2">
        <f>IF($D2="Norway",1,0)</f>
        <v>0</v>
      </c>
      <c r="AW2">
        <f>IF($D2="Denmark",1,0)</f>
        <v>0</v>
      </c>
      <c r="AX2">
        <f>IF($D2="Sweden",1,0)</f>
        <v>0</v>
      </c>
      <c r="AY2">
        <f>IF($D2="Netherlands",1,0)</f>
        <v>0</v>
      </c>
      <c r="AZ2">
        <f>IF($D2="France",1,0)</f>
        <v>0</v>
      </c>
      <c r="BA2">
        <f>IF($D2="Belgium",1,0)</f>
        <v>0</v>
      </c>
      <c r="BB2">
        <f>IF($D2="Germany",1,0)</f>
        <v>0</v>
      </c>
      <c r="BC2">
        <f>IF($D2="Italy",1,0)</f>
        <v>0</v>
      </c>
      <c r="BD2">
        <f>IF($D2="Spain",1,0)</f>
        <v>0</v>
      </c>
      <c r="BE2">
        <f>IF($D2="Luxembourg",1,0)</f>
        <v>0</v>
      </c>
      <c r="BF2">
        <f>IF($D2="Portugal",1,0)</f>
        <v>0</v>
      </c>
      <c r="BG2">
        <f>IF($D2="Switzerland",1,0)</f>
        <v>0</v>
      </c>
      <c r="BH2">
        <f>IF($D2="Ireland",1,0)</f>
        <v>0</v>
      </c>
      <c r="BI2">
        <f>IF($D2="Finland",1,0)</f>
        <v>0</v>
      </c>
    </row>
    <row r="3" spans="1:61" x14ac:dyDescent="0.35">
      <c r="A3" t="s">
        <v>51</v>
      </c>
      <c r="B3" s="1">
        <v>35246</v>
      </c>
      <c r="C3" s="2" t="s">
        <v>52</v>
      </c>
      <c r="D3" s="2" t="s">
        <v>45</v>
      </c>
      <c r="E3" s="2" t="s">
        <v>53</v>
      </c>
      <c r="F3" s="2" t="s">
        <v>45</v>
      </c>
      <c r="G3" s="2" t="s">
        <v>47</v>
      </c>
      <c r="H3" s="139">
        <f t="shared" ref="H3:H66" si="4">IF(G3="domestic",0,1)</f>
        <v>0</v>
      </c>
      <c r="I3" s="2" t="s">
        <v>48</v>
      </c>
      <c r="J3" s="2" t="s">
        <v>326</v>
      </c>
      <c r="K3" s="2">
        <f t="shared" ref="K3:K5" si="5">IF(J3="Consumer Discretionary",5,IF(J3="Industrials",1,IF(J3="Energy",3,IF(J3="Health Care",2,IF(J3="Communications",4,IF(J3="Financials",6,IF(J3="Consumer Staples",7,IF(J3="Materials",8,IF(J3="Technology",9,IF(J3="Utilities",10,""))))))))))</f>
        <v>8</v>
      </c>
      <c r="L3" s="2">
        <v>55000000</v>
      </c>
      <c r="M3" s="2">
        <f t="shared" ref="M3:M5" si="6">LOG(L3)</f>
        <v>7.7403626894942441</v>
      </c>
      <c r="N3" s="2">
        <v>55000000</v>
      </c>
      <c r="O3" s="2">
        <v>0</v>
      </c>
      <c r="P3" s="18">
        <v>37529</v>
      </c>
      <c r="Q3" s="89">
        <f t="shared" ref="Q3:Q5" si="7">YEAR(P3)</f>
        <v>2002</v>
      </c>
      <c r="R3" s="2" t="s">
        <v>54</v>
      </c>
      <c r="S3" s="2">
        <v>837500000</v>
      </c>
      <c r="T3" s="21">
        <f t="shared" si="0"/>
        <v>6.2547945205479456</v>
      </c>
      <c r="U3">
        <v>0</v>
      </c>
      <c r="V3">
        <f t="shared" ref="V3:V5" si="8">LOG(1+U3)</f>
        <v>0</v>
      </c>
      <c r="W3">
        <v>1967</v>
      </c>
      <c r="X3">
        <v>29</v>
      </c>
      <c r="Y3">
        <f t="shared" ref="Y3:Y5" si="9">LOG(1+X3)</f>
        <v>1.4771212547196624</v>
      </c>
      <c r="Z3" s="45">
        <v>2.95</v>
      </c>
      <c r="AA3" s="9">
        <f t="shared" si="1"/>
        <v>782500000</v>
      </c>
      <c r="AB3" s="15">
        <f t="shared" si="2"/>
        <v>14.227272727272727</v>
      </c>
      <c r="AC3" s="34">
        <f t="shared" ref="AC3:AC5" si="10">IF(AB3=-1,LOG(0.1),LOG(1+AB3))</f>
        <v>1.182622126214639</v>
      </c>
      <c r="AD3">
        <v>2232.1428599999999</v>
      </c>
      <c r="AE3">
        <f t="shared" ref="AE3:AE66" si="11">LOG(AD3)</f>
        <v>3.3487219865577531</v>
      </c>
      <c r="AF3" s="14">
        <v>5650.5102040816337</v>
      </c>
      <c r="AG3">
        <f t="shared" ref="AG3:AG66" si="12">LOG(AF3)</f>
        <v>3.7520876635386311</v>
      </c>
      <c r="AH3" s="9">
        <v>0</v>
      </c>
      <c r="AI3" s="9">
        <f t="shared" ref="AI3:AI5" si="13">IF(AH3=0,0,LOG(1+AH3))</f>
        <v>0</v>
      </c>
      <c r="AJ3">
        <v>85</v>
      </c>
      <c r="AK3" s="15" t="s">
        <v>55</v>
      </c>
      <c r="AL3" s="42">
        <v>37.123527923893597</v>
      </c>
      <c r="AM3" s="24">
        <v>0.22</v>
      </c>
      <c r="AN3" s="34">
        <f t="shared" ref="AN3:AN5" si="14">LOG(1+AM3)</f>
        <v>8.6359830674748214E-2</v>
      </c>
      <c r="AO3">
        <v>2000</v>
      </c>
      <c r="AP3">
        <v>0</v>
      </c>
      <c r="AQ3">
        <v>70</v>
      </c>
      <c r="AR3">
        <v>70</v>
      </c>
      <c r="AS3">
        <f t="shared" si="3"/>
        <v>0</v>
      </c>
      <c r="AT3">
        <f t="shared" ref="AT3:AT5" si="15">IF($D3="US",1,0)</f>
        <v>1</v>
      </c>
      <c r="AU3">
        <f t="shared" ref="AU3:AU5" si="16">IF($D3="UK",1,0)</f>
        <v>0</v>
      </c>
      <c r="AV3">
        <f t="shared" ref="AV3:AV5" si="17">IF($D3="Norway",1,0)</f>
        <v>0</v>
      </c>
      <c r="AW3">
        <f t="shared" ref="AW3:AW5" si="18">IF($D3="Denmark",1,0)</f>
        <v>0</v>
      </c>
      <c r="AX3">
        <f t="shared" ref="AX3:AX5" si="19">IF($D3="Sweden",1,0)</f>
        <v>0</v>
      </c>
      <c r="AY3">
        <f t="shared" ref="AY3:AY5" si="20">IF($D3="Netherlands",1,0)</f>
        <v>0</v>
      </c>
      <c r="AZ3">
        <f t="shared" ref="AZ3:AZ5" si="21">IF($D3="France",1,0)</f>
        <v>0</v>
      </c>
      <c r="BA3">
        <f t="shared" ref="BA3:BA5" si="22">IF($D3="Belgium",1,0)</f>
        <v>0</v>
      </c>
      <c r="BB3">
        <f t="shared" ref="BB3:BB5" si="23">IF($D3="Germany",1,0)</f>
        <v>0</v>
      </c>
      <c r="BC3">
        <f t="shared" ref="BC3:BC5" si="24">IF($D3="Italy",1,0)</f>
        <v>0</v>
      </c>
      <c r="BD3">
        <f t="shared" ref="BD3:BD5" si="25">IF($D3="Spain",1,0)</f>
        <v>0</v>
      </c>
      <c r="BE3">
        <f t="shared" ref="BE3:BE5" si="26">IF($D3="Luxembourg",1,0)</f>
        <v>0</v>
      </c>
      <c r="BF3">
        <f t="shared" ref="BF3:BF5" si="27">IF($D3="Portugal",1,0)</f>
        <v>0</v>
      </c>
      <c r="BG3">
        <f t="shared" ref="BG3:BG5" si="28">IF($D3="Switzerland",1,0)</f>
        <v>0</v>
      </c>
      <c r="BH3">
        <f t="shared" ref="BH3:BH5" si="29">IF($D3="Ireland",1,0)</f>
        <v>0</v>
      </c>
      <c r="BI3">
        <f t="shared" ref="BI3:BI5" si="30">IF($D3="Finland",1,0)</f>
        <v>0</v>
      </c>
    </row>
    <row r="4" spans="1:61" x14ac:dyDescent="0.35">
      <c r="A4" t="s">
        <v>51</v>
      </c>
      <c r="B4" s="1">
        <v>37404</v>
      </c>
      <c r="C4" s="2" t="s">
        <v>52</v>
      </c>
      <c r="D4" s="2" t="s">
        <v>45</v>
      </c>
      <c r="E4" s="11" t="s">
        <v>56</v>
      </c>
      <c r="F4" s="2" t="s">
        <v>45</v>
      </c>
      <c r="G4" s="2" t="s">
        <v>47</v>
      </c>
      <c r="H4" s="139">
        <f t="shared" si="4"/>
        <v>0</v>
      </c>
      <c r="I4" s="2" t="s">
        <v>48</v>
      </c>
      <c r="J4" s="2" t="s">
        <v>326</v>
      </c>
      <c r="K4" s="2">
        <f t="shared" si="5"/>
        <v>8</v>
      </c>
      <c r="L4" s="2">
        <v>837500000</v>
      </c>
      <c r="M4" s="2">
        <f t="shared" si="6"/>
        <v>8.9229848157088831</v>
      </c>
      <c r="N4" s="2">
        <v>837500000</v>
      </c>
      <c r="O4" s="2">
        <v>0</v>
      </c>
      <c r="P4" s="18">
        <v>37529</v>
      </c>
      <c r="Q4" s="89">
        <f t="shared" si="7"/>
        <v>2002</v>
      </c>
      <c r="R4" s="2" t="s">
        <v>54</v>
      </c>
      <c r="S4" s="2">
        <v>2250000000</v>
      </c>
      <c r="T4" s="21">
        <f t="shared" si="0"/>
        <v>0.34246575342465752</v>
      </c>
      <c r="U4">
        <v>0</v>
      </c>
      <c r="V4">
        <f t="shared" si="8"/>
        <v>0</v>
      </c>
      <c r="W4">
        <v>1967</v>
      </c>
      <c r="X4">
        <v>35</v>
      </c>
      <c r="Y4">
        <f t="shared" si="9"/>
        <v>1.5563025007672873</v>
      </c>
      <c r="Z4" s="45">
        <v>2.95</v>
      </c>
      <c r="AA4" s="9">
        <f t="shared" si="1"/>
        <v>1412500000</v>
      </c>
      <c r="AB4" s="15">
        <f t="shared" si="2"/>
        <v>1.6865671641791047</v>
      </c>
      <c r="AC4" s="34">
        <f t="shared" si="10"/>
        <v>0.42919770240247967</v>
      </c>
      <c r="AD4">
        <v>2346.775510204081</v>
      </c>
      <c r="AE4">
        <f t="shared" si="11"/>
        <v>3.3704715474841587</v>
      </c>
      <c r="AF4">
        <v>4324.8979591836742</v>
      </c>
      <c r="AG4">
        <f t="shared" si="12"/>
        <v>3.6359758652606611</v>
      </c>
      <c r="AH4" s="9">
        <v>0</v>
      </c>
      <c r="AI4" s="9">
        <f t="shared" si="13"/>
        <v>0</v>
      </c>
      <c r="AJ4">
        <v>85</v>
      </c>
      <c r="AK4" s="15" t="s">
        <v>57</v>
      </c>
      <c r="AL4" s="42">
        <v>36.710134890601303</v>
      </c>
      <c r="AM4" s="24">
        <v>-0.24</v>
      </c>
      <c r="AN4" s="34">
        <f t="shared" si="14"/>
        <v>-0.11918640771920865</v>
      </c>
      <c r="AO4">
        <v>1986</v>
      </c>
      <c r="AP4">
        <v>16</v>
      </c>
      <c r="AQ4">
        <v>70</v>
      </c>
      <c r="AR4">
        <v>70</v>
      </c>
      <c r="AS4">
        <f t="shared" si="3"/>
        <v>0</v>
      </c>
      <c r="AT4">
        <f t="shared" si="15"/>
        <v>1</v>
      </c>
      <c r="AU4">
        <f t="shared" si="16"/>
        <v>0</v>
      </c>
      <c r="AV4">
        <f t="shared" si="17"/>
        <v>0</v>
      </c>
      <c r="AW4">
        <f t="shared" si="18"/>
        <v>0</v>
      </c>
      <c r="AX4">
        <f t="shared" si="19"/>
        <v>0</v>
      </c>
      <c r="AY4">
        <f t="shared" si="20"/>
        <v>0</v>
      </c>
      <c r="AZ4">
        <f t="shared" si="21"/>
        <v>0</v>
      </c>
      <c r="BA4">
        <f t="shared" si="22"/>
        <v>0</v>
      </c>
      <c r="BB4">
        <f t="shared" si="23"/>
        <v>0</v>
      </c>
      <c r="BC4">
        <f t="shared" si="24"/>
        <v>0</v>
      </c>
      <c r="BD4">
        <f t="shared" si="25"/>
        <v>0</v>
      </c>
      <c r="BE4">
        <f t="shared" si="26"/>
        <v>0</v>
      </c>
      <c r="BF4">
        <f t="shared" si="27"/>
        <v>0</v>
      </c>
      <c r="BG4">
        <f t="shared" si="28"/>
        <v>0</v>
      </c>
      <c r="BH4">
        <f t="shared" si="29"/>
        <v>0</v>
      </c>
      <c r="BI4">
        <f t="shared" si="30"/>
        <v>0</v>
      </c>
    </row>
    <row r="5" spans="1:61" x14ac:dyDescent="0.35">
      <c r="A5" t="s">
        <v>51</v>
      </c>
      <c r="B5" s="1">
        <v>35607</v>
      </c>
      <c r="C5" s="2" t="s">
        <v>58</v>
      </c>
      <c r="D5" s="2" t="s">
        <v>59</v>
      </c>
      <c r="E5" s="2" t="s">
        <v>60</v>
      </c>
      <c r="F5" s="2" t="s">
        <v>59</v>
      </c>
      <c r="G5" s="2" t="s">
        <v>47</v>
      </c>
      <c r="H5" s="139">
        <f t="shared" si="4"/>
        <v>0</v>
      </c>
      <c r="I5" s="2" t="s">
        <v>48</v>
      </c>
      <c r="J5" s="2" t="s">
        <v>269</v>
      </c>
      <c r="K5" s="2">
        <f t="shared" si="5"/>
        <v>7</v>
      </c>
      <c r="L5" s="2">
        <v>52000000</v>
      </c>
      <c r="M5" s="2">
        <f t="shared" si="6"/>
        <v>7.7160033436347994</v>
      </c>
      <c r="N5" s="2">
        <v>52000000</v>
      </c>
      <c r="O5" s="2">
        <v>0</v>
      </c>
      <c r="P5" s="18">
        <v>38989</v>
      </c>
      <c r="Q5" s="89">
        <f t="shared" si="7"/>
        <v>2006</v>
      </c>
      <c r="R5" s="2" t="s">
        <v>49</v>
      </c>
      <c r="S5" s="2">
        <v>18932000</v>
      </c>
      <c r="T5" s="21">
        <f t="shared" si="0"/>
        <v>9.2657534246575342</v>
      </c>
      <c r="U5">
        <v>0</v>
      </c>
      <c r="V5">
        <f t="shared" si="8"/>
        <v>0</v>
      </c>
      <c r="W5">
        <v>1997</v>
      </c>
      <c r="X5">
        <v>0</v>
      </c>
      <c r="Y5">
        <f t="shared" si="9"/>
        <v>0</v>
      </c>
      <c r="Z5" s="45">
        <v>3.29</v>
      </c>
      <c r="AA5" s="9">
        <f t="shared" si="1"/>
        <v>-33068000</v>
      </c>
      <c r="AB5" s="15">
        <f t="shared" si="2"/>
        <v>-0.63592307692307692</v>
      </c>
      <c r="AC5" s="34">
        <f t="shared" si="10"/>
        <v>-0.43880684783884277</v>
      </c>
      <c r="AD5">
        <v>1932.09461208012</v>
      </c>
      <c r="AE5">
        <f t="shared" si="11"/>
        <v>3.2860283894181141</v>
      </c>
      <c r="AF5">
        <v>8126.3909735520938</v>
      </c>
      <c r="AG5">
        <f t="shared" si="12"/>
        <v>3.9098977130890344</v>
      </c>
      <c r="AH5" s="9">
        <v>0</v>
      </c>
      <c r="AI5" s="9">
        <f t="shared" si="13"/>
        <v>0</v>
      </c>
      <c r="AJ5">
        <v>85</v>
      </c>
      <c r="AK5" s="15" t="s">
        <v>61</v>
      </c>
      <c r="AL5" s="42">
        <v>35.807885111275297</v>
      </c>
      <c r="AM5" s="24">
        <v>0.51</v>
      </c>
      <c r="AN5" s="34">
        <f t="shared" si="14"/>
        <v>0.17897694729316943</v>
      </c>
      <c r="AO5">
        <v>2000</v>
      </c>
      <c r="AP5">
        <v>0</v>
      </c>
      <c r="AQ5">
        <v>70</v>
      </c>
      <c r="AR5">
        <v>70</v>
      </c>
      <c r="AS5">
        <f t="shared" si="3"/>
        <v>0</v>
      </c>
      <c r="AT5">
        <f t="shared" si="15"/>
        <v>0</v>
      </c>
      <c r="AU5">
        <f t="shared" si="16"/>
        <v>1</v>
      </c>
      <c r="AV5">
        <f t="shared" si="17"/>
        <v>0</v>
      </c>
      <c r="AW5">
        <f t="shared" si="18"/>
        <v>0</v>
      </c>
      <c r="AX5">
        <f t="shared" si="19"/>
        <v>0</v>
      </c>
      <c r="AY5">
        <f t="shared" si="20"/>
        <v>0</v>
      </c>
      <c r="AZ5">
        <f t="shared" si="21"/>
        <v>0</v>
      </c>
      <c r="BA5">
        <f t="shared" si="22"/>
        <v>0</v>
      </c>
      <c r="BB5">
        <f t="shared" si="23"/>
        <v>0</v>
      </c>
      <c r="BC5">
        <f t="shared" si="24"/>
        <v>0</v>
      </c>
      <c r="BD5">
        <f t="shared" si="25"/>
        <v>0</v>
      </c>
      <c r="BE5">
        <f t="shared" si="26"/>
        <v>0</v>
      </c>
      <c r="BF5">
        <f t="shared" si="27"/>
        <v>0</v>
      </c>
      <c r="BG5">
        <f t="shared" si="28"/>
        <v>0</v>
      </c>
      <c r="BH5">
        <f t="shared" si="29"/>
        <v>0</v>
      </c>
      <c r="BI5">
        <f t="shared" si="30"/>
        <v>0</v>
      </c>
    </row>
    <row r="6" spans="1:61" x14ac:dyDescent="0.35">
      <c r="A6" t="s">
        <v>51</v>
      </c>
      <c r="B6" s="1">
        <v>35836</v>
      </c>
      <c r="C6" s="2" t="s">
        <v>62</v>
      </c>
      <c r="D6" s="2" t="s">
        <v>4</v>
      </c>
      <c r="E6" s="2" t="s">
        <v>63</v>
      </c>
      <c r="F6" s="2" t="s">
        <v>59</v>
      </c>
      <c r="G6" s="2" t="s">
        <v>64</v>
      </c>
      <c r="H6" s="139">
        <f t="shared" si="4"/>
        <v>1</v>
      </c>
      <c r="I6" s="2" t="s">
        <v>48</v>
      </c>
      <c r="J6" s="2" t="s">
        <v>245</v>
      </c>
      <c r="K6" s="2">
        <f t="shared" ref="K6:K69" si="31">IF(J6="Consumer Discretionary",5,IF(J6="Industrials",1,IF(J6="Energy",3,IF(J6="Health Care",2,IF(J6="Communications",4,IF(J6="Financials",6,IF(J6="Consumer Staples",7,IF(J6="Materials",8,IF(J6="Technology",9,IF(J6="Utilities",10,""))))))))))</f>
        <v>6</v>
      </c>
      <c r="L6" s="2">
        <v>125670000</v>
      </c>
      <c r="M6" s="2">
        <f t="shared" ref="M6:M69" si="32">LOG(L6)</f>
        <v>8.0992316150808819</v>
      </c>
      <c r="N6" s="2">
        <v>125670000</v>
      </c>
      <c r="O6" s="2">
        <v>0</v>
      </c>
      <c r="P6" s="18">
        <v>37443</v>
      </c>
      <c r="Q6" s="89">
        <f t="shared" ref="Q6:Q69" si="33">YEAR(P6)</f>
        <v>2002</v>
      </c>
      <c r="R6" s="2" t="s">
        <v>49</v>
      </c>
      <c r="S6" s="2">
        <v>116410000</v>
      </c>
      <c r="T6" s="21">
        <f t="shared" si="0"/>
        <v>4.4027397260273968</v>
      </c>
      <c r="U6">
        <v>1433.25</v>
      </c>
      <c r="V6">
        <f t="shared" ref="V6:V69" si="34">LOG(1+U6)</f>
        <v>3.1566248585544785</v>
      </c>
      <c r="W6">
        <v>1923</v>
      </c>
      <c r="X6">
        <v>75</v>
      </c>
      <c r="Y6">
        <f t="shared" ref="Y6:Y69" si="35">LOG(1+X6)</f>
        <v>1.8808135922807914</v>
      </c>
      <c r="Z6" s="45">
        <v>3.03</v>
      </c>
      <c r="AA6" s="9">
        <f t="shared" si="1"/>
        <v>-9260000</v>
      </c>
      <c r="AB6" s="15">
        <f t="shared" si="2"/>
        <v>-7.3685048141959086E-2</v>
      </c>
      <c r="AC6" s="34">
        <f t="shared" ref="AC6:AC69" si="36">IF(AB6=-1,LOG(0.1),LOG(1+AB6))</f>
        <v>-3.3241325847105839E-2</v>
      </c>
      <c r="AD6">
        <v>1895.918367346939</v>
      </c>
      <c r="AE6">
        <f t="shared" si="11"/>
        <v>3.277819633965128</v>
      </c>
      <c r="AF6" s="14">
        <v>8519.3877551020414</v>
      </c>
      <c r="AG6">
        <f t="shared" si="12"/>
        <v>3.9304083853612104</v>
      </c>
      <c r="AH6" s="9">
        <v>697</v>
      </c>
      <c r="AI6" s="9">
        <f t="shared" ref="AI6:AI69" si="37">IF(AH6=0,0,LOG(1+AH6))</f>
        <v>2.8438554226231609</v>
      </c>
      <c r="AJ6">
        <v>70</v>
      </c>
      <c r="AK6" s="15" t="s">
        <v>65</v>
      </c>
      <c r="AL6" s="42">
        <v>56.929890049265502</v>
      </c>
      <c r="AM6" s="24">
        <v>-0.03</v>
      </c>
      <c r="AN6" s="34">
        <f t="shared" ref="AN6:AN69" si="38">LOG(1+AM6)</f>
        <v>-1.322826573375516E-2</v>
      </c>
      <c r="AO6">
        <v>1989</v>
      </c>
      <c r="AP6">
        <v>9</v>
      </c>
      <c r="AQ6">
        <v>70</v>
      </c>
      <c r="AR6">
        <v>70</v>
      </c>
      <c r="AS6">
        <f t="shared" si="3"/>
        <v>0</v>
      </c>
      <c r="AT6">
        <f t="shared" ref="AT6:AT69" si="39">IF($D6="US",1,0)</f>
        <v>0</v>
      </c>
      <c r="AU6">
        <f t="shared" ref="AU6:AU69" si="40">IF($D6="UK",1,0)</f>
        <v>0</v>
      </c>
      <c r="AV6">
        <f t="shared" ref="AV6:AV69" si="41">IF($D6="Norway",1,0)</f>
        <v>0</v>
      </c>
      <c r="AW6">
        <f t="shared" ref="AW6:AW69" si="42">IF($D6="Denmark",1,0)</f>
        <v>0</v>
      </c>
      <c r="AX6">
        <f t="shared" ref="AX6:AX69" si="43">IF($D6="Sweden",1,0)</f>
        <v>1</v>
      </c>
      <c r="AY6">
        <f t="shared" ref="AY6:AY69" si="44">IF($D6="Netherlands",1,0)</f>
        <v>0</v>
      </c>
      <c r="AZ6">
        <f t="shared" ref="AZ6:AZ69" si="45">IF($D6="France",1,0)</f>
        <v>0</v>
      </c>
      <c r="BA6">
        <f t="shared" ref="BA6:BA69" si="46">IF($D6="Belgium",1,0)</f>
        <v>0</v>
      </c>
      <c r="BB6">
        <f t="shared" ref="BB6:BB69" si="47">IF($D6="Germany",1,0)</f>
        <v>0</v>
      </c>
      <c r="BC6">
        <f t="shared" ref="BC6:BC69" si="48">IF($D6="Italy",1,0)</f>
        <v>0</v>
      </c>
      <c r="BD6">
        <f t="shared" ref="BD6:BD69" si="49">IF($D6="Spain",1,0)</f>
        <v>0</v>
      </c>
      <c r="BE6">
        <f t="shared" ref="BE6:BE69" si="50">IF($D6="Luxembourg",1,0)</f>
        <v>0</v>
      </c>
      <c r="BF6">
        <f t="shared" ref="BF6:BF69" si="51">IF($D6="Portugal",1,0)</f>
        <v>0</v>
      </c>
      <c r="BG6">
        <f t="shared" ref="BG6:BG69" si="52">IF($D6="Switzerland",1,0)</f>
        <v>0</v>
      </c>
      <c r="BH6">
        <f t="shared" ref="BH6:BH69" si="53">IF($D6="Ireland",1,0)</f>
        <v>0</v>
      </c>
      <c r="BI6">
        <f t="shared" ref="BI6:BI69" si="54">IF($D6="Finland",1,0)</f>
        <v>0</v>
      </c>
    </row>
    <row r="7" spans="1:61" x14ac:dyDescent="0.35">
      <c r="A7" t="s">
        <v>51</v>
      </c>
      <c r="B7" s="1">
        <v>36213</v>
      </c>
      <c r="C7" s="2" t="s">
        <v>66</v>
      </c>
      <c r="D7" s="2" t="s">
        <v>59</v>
      </c>
      <c r="E7" s="2" t="s">
        <v>67</v>
      </c>
      <c r="F7" s="2" t="s">
        <v>59</v>
      </c>
      <c r="G7" s="2" t="s">
        <v>47</v>
      </c>
      <c r="H7" s="139">
        <f t="shared" si="4"/>
        <v>0</v>
      </c>
      <c r="I7" s="2" t="s">
        <v>48</v>
      </c>
      <c r="J7" s="2" t="s">
        <v>68</v>
      </c>
      <c r="K7" s="2">
        <f t="shared" si="31"/>
        <v>2</v>
      </c>
      <c r="L7" s="2">
        <v>825000000</v>
      </c>
      <c r="M7" s="2">
        <f t="shared" si="32"/>
        <v>8.9164539485499255</v>
      </c>
      <c r="N7" s="2">
        <v>825000000</v>
      </c>
      <c r="O7" s="2">
        <v>0</v>
      </c>
      <c r="P7" s="18">
        <v>37778</v>
      </c>
      <c r="Q7" s="89">
        <f t="shared" si="33"/>
        <v>2003</v>
      </c>
      <c r="R7" s="2" t="s">
        <v>69</v>
      </c>
      <c r="S7" s="2">
        <v>490397338</v>
      </c>
      <c r="T7" s="21">
        <f t="shared" si="0"/>
        <v>4.2876712328767121</v>
      </c>
      <c r="U7">
        <v>0</v>
      </c>
      <c r="V7">
        <f t="shared" si="34"/>
        <v>0</v>
      </c>
      <c r="W7">
        <v>1934</v>
      </c>
      <c r="X7">
        <v>65</v>
      </c>
      <c r="Y7">
        <f t="shared" si="35"/>
        <v>1.8195439355418688</v>
      </c>
      <c r="Z7" s="45">
        <v>3.29</v>
      </c>
      <c r="AA7" s="9">
        <f t="shared" si="1"/>
        <v>-334602662</v>
      </c>
      <c r="AB7" s="15">
        <f t="shared" si="2"/>
        <v>-0.40557898424242422</v>
      </c>
      <c r="AC7" s="34">
        <f t="shared" si="36"/>
        <v>-0.22590584449276507</v>
      </c>
      <c r="AD7">
        <v>1519.5854290504496</v>
      </c>
      <c r="AE7">
        <f t="shared" si="11"/>
        <v>3.1817251205543564</v>
      </c>
      <c r="AF7">
        <v>8383.6305441243712</v>
      </c>
      <c r="AG7">
        <f t="shared" si="12"/>
        <v>3.9234321312589846</v>
      </c>
      <c r="AH7" s="9">
        <v>0</v>
      </c>
      <c r="AI7" s="9">
        <f t="shared" si="37"/>
        <v>0</v>
      </c>
      <c r="AJ7">
        <v>85</v>
      </c>
      <c r="AK7" s="15" t="s">
        <v>70</v>
      </c>
      <c r="AL7" s="42">
        <v>35.326012114535303</v>
      </c>
      <c r="AM7" s="24">
        <v>-0.22</v>
      </c>
      <c r="AN7" s="34">
        <f t="shared" si="38"/>
        <v>-0.10790539730951958</v>
      </c>
      <c r="AO7">
        <v>1977</v>
      </c>
      <c r="AP7">
        <v>22</v>
      </c>
      <c r="AQ7">
        <v>70</v>
      </c>
      <c r="AR7">
        <v>70</v>
      </c>
      <c r="AS7">
        <f t="shared" si="3"/>
        <v>0</v>
      </c>
      <c r="AT7">
        <f t="shared" si="39"/>
        <v>0</v>
      </c>
      <c r="AU7">
        <f t="shared" si="40"/>
        <v>1</v>
      </c>
      <c r="AV7">
        <f t="shared" si="41"/>
        <v>0</v>
      </c>
      <c r="AW7">
        <f t="shared" si="42"/>
        <v>0</v>
      </c>
      <c r="AX7">
        <f t="shared" si="43"/>
        <v>0</v>
      </c>
      <c r="AY7">
        <f t="shared" si="44"/>
        <v>0</v>
      </c>
      <c r="AZ7">
        <f t="shared" si="45"/>
        <v>0</v>
      </c>
      <c r="BA7">
        <f t="shared" si="46"/>
        <v>0</v>
      </c>
      <c r="BB7">
        <f t="shared" si="47"/>
        <v>0</v>
      </c>
      <c r="BC7">
        <f t="shared" si="48"/>
        <v>0</v>
      </c>
      <c r="BD7">
        <f t="shared" si="49"/>
        <v>0</v>
      </c>
      <c r="BE7">
        <f t="shared" si="50"/>
        <v>0</v>
      </c>
      <c r="BF7">
        <f t="shared" si="51"/>
        <v>0</v>
      </c>
      <c r="BG7">
        <f t="shared" si="52"/>
        <v>0</v>
      </c>
      <c r="BH7">
        <f t="shared" si="53"/>
        <v>0</v>
      </c>
      <c r="BI7">
        <f t="shared" si="54"/>
        <v>0</v>
      </c>
    </row>
    <row r="8" spans="1:61" x14ac:dyDescent="0.35">
      <c r="A8" t="s">
        <v>51</v>
      </c>
      <c r="B8" s="1">
        <v>36222</v>
      </c>
      <c r="C8" s="2" t="s">
        <v>71</v>
      </c>
      <c r="D8" s="2" t="s">
        <v>45</v>
      </c>
      <c r="E8" s="2" t="s">
        <v>72</v>
      </c>
      <c r="F8" s="2" t="s">
        <v>45</v>
      </c>
      <c r="G8" s="2" t="s">
        <v>47</v>
      </c>
      <c r="H8" s="139">
        <f t="shared" si="4"/>
        <v>0</v>
      </c>
      <c r="I8" s="2" t="s">
        <v>73</v>
      </c>
      <c r="J8" s="2" t="s">
        <v>68</v>
      </c>
      <c r="K8" s="2">
        <f t="shared" si="31"/>
        <v>2</v>
      </c>
      <c r="L8" s="2">
        <v>772000000</v>
      </c>
      <c r="M8" s="2">
        <f t="shared" si="32"/>
        <v>8.8876173003357355</v>
      </c>
      <c r="N8" s="2">
        <v>444000000</v>
      </c>
      <c r="O8" s="2">
        <v>328000000</v>
      </c>
      <c r="P8" s="18">
        <v>40504</v>
      </c>
      <c r="Q8" s="89">
        <f t="shared" si="33"/>
        <v>2010</v>
      </c>
      <c r="R8" s="2" t="s">
        <v>74</v>
      </c>
      <c r="S8" s="2">
        <v>790000000</v>
      </c>
      <c r="T8" s="21">
        <f t="shared" si="0"/>
        <v>11.731506849315069</v>
      </c>
      <c r="U8">
        <v>0</v>
      </c>
      <c r="V8">
        <f t="shared" si="34"/>
        <v>0</v>
      </c>
      <c r="W8">
        <v>1979</v>
      </c>
      <c r="X8">
        <v>20</v>
      </c>
      <c r="Y8">
        <f t="shared" si="35"/>
        <v>1.3222192947339193</v>
      </c>
      <c r="Z8" s="45">
        <v>2.95</v>
      </c>
      <c r="AA8" s="9">
        <f t="shared" si="1"/>
        <v>346000000</v>
      </c>
      <c r="AB8" s="15">
        <f t="shared" si="2"/>
        <v>2.3316062176165886E-2</v>
      </c>
      <c r="AC8" s="34">
        <f t="shared" si="36"/>
        <v>1.0009790954705312E-2</v>
      </c>
      <c r="AD8">
        <v>2443.0081229801726</v>
      </c>
      <c r="AE8">
        <f t="shared" si="11"/>
        <v>3.3879249110011078</v>
      </c>
      <c r="AF8">
        <v>8757.9701283954928</v>
      </c>
      <c r="AG8">
        <f t="shared" si="12"/>
        <v>3.9424034595709814</v>
      </c>
      <c r="AH8" s="9">
        <v>0</v>
      </c>
      <c r="AI8" s="9">
        <f t="shared" si="37"/>
        <v>0</v>
      </c>
      <c r="AJ8">
        <v>85</v>
      </c>
      <c r="AK8" s="15" t="s">
        <v>75</v>
      </c>
      <c r="AL8" s="42">
        <v>34.656907836978597</v>
      </c>
      <c r="AM8" s="24">
        <v>-0.02</v>
      </c>
      <c r="AN8" s="34">
        <f t="shared" si="38"/>
        <v>-8.7739243075051505E-3</v>
      </c>
      <c r="AO8">
        <v>1979</v>
      </c>
      <c r="AP8">
        <v>20</v>
      </c>
      <c r="AQ8">
        <v>70</v>
      </c>
      <c r="AR8">
        <v>70</v>
      </c>
      <c r="AS8">
        <f t="shared" si="3"/>
        <v>0</v>
      </c>
      <c r="AT8">
        <f t="shared" si="39"/>
        <v>1</v>
      </c>
      <c r="AU8">
        <f t="shared" si="40"/>
        <v>0</v>
      </c>
      <c r="AV8">
        <f t="shared" si="41"/>
        <v>0</v>
      </c>
      <c r="AW8">
        <f t="shared" si="42"/>
        <v>0</v>
      </c>
      <c r="AX8">
        <f t="shared" si="43"/>
        <v>0</v>
      </c>
      <c r="AY8">
        <f t="shared" si="44"/>
        <v>0</v>
      </c>
      <c r="AZ8">
        <f t="shared" si="45"/>
        <v>0</v>
      </c>
      <c r="BA8">
        <f t="shared" si="46"/>
        <v>0</v>
      </c>
      <c r="BB8">
        <f t="shared" si="47"/>
        <v>0</v>
      </c>
      <c r="BC8">
        <f t="shared" si="48"/>
        <v>0</v>
      </c>
      <c r="BD8">
        <f t="shared" si="49"/>
        <v>0</v>
      </c>
      <c r="BE8">
        <f t="shared" si="50"/>
        <v>0</v>
      </c>
      <c r="BF8">
        <f t="shared" si="51"/>
        <v>0</v>
      </c>
      <c r="BG8">
        <f t="shared" si="52"/>
        <v>0</v>
      </c>
      <c r="BH8">
        <f t="shared" si="53"/>
        <v>0</v>
      </c>
      <c r="BI8">
        <f t="shared" si="54"/>
        <v>0</v>
      </c>
    </row>
    <row r="9" spans="1:61" x14ac:dyDescent="0.35">
      <c r="A9" t="s">
        <v>51</v>
      </c>
      <c r="B9" s="1">
        <v>36860</v>
      </c>
      <c r="C9" s="2" t="s">
        <v>76</v>
      </c>
      <c r="D9" s="2" t="s">
        <v>59</v>
      </c>
      <c r="E9" s="11" t="s">
        <v>77</v>
      </c>
      <c r="F9" s="2" t="s">
        <v>59</v>
      </c>
      <c r="G9" s="2" t="s">
        <v>47</v>
      </c>
      <c r="H9" s="139">
        <f t="shared" si="4"/>
        <v>0</v>
      </c>
      <c r="I9" s="2" t="s">
        <v>48</v>
      </c>
      <c r="J9" s="2" t="s">
        <v>1320</v>
      </c>
      <c r="K9" s="2">
        <f t="shared" si="31"/>
        <v>2</v>
      </c>
      <c r="L9" s="2">
        <v>19000000</v>
      </c>
      <c r="M9" s="2">
        <f t="shared" si="32"/>
        <v>7.2787536009528289</v>
      </c>
      <c r="N9" s="2">
        <v>19000000</v>
      </c>
      <c r="O9" s="2">
        <v>0</v>
      </c>
      <c r="P9" s="18">
        <v>38180</v>
      </c>
      <c r="Q9" s="89">
        <f t="shared" si="33"/>
        <v>2004</v>
      </c>
      <c r="R9" s="2" t="s">
        <v>49</v>
      </c>
      <c r="S9" s="2">
        <v>13511660</v>
      </c>
      <c r="T9" s="21">
        <f t="shared" si="0"/>
        <v>3.6164383561643834</v>
      </c>
      <c r="U9">
        <v>0</v>
      </c>
      <c r="V9">
        <f t="shared" si="34"/>
        <v>0</v>
      </c>
      <c r="W9">
        <v>1987</v>
      </c>
      <c r="X9">
        <v>13</v>
      </c>
      <c r="Y9">
        <f t="shared" si="35"/>
        <v>1.146128035678238</v>
      </c>
      <c r="Z9" s="45">
        <v>3.29</v>
      </c>
      <c r="AA9" s="9">
        <f t="shared" si="1"/>
        <v>-5488340</v>
      </c>
      <c r="AB9" s="15">
        <f t="shared" si="2"/>
        <v>-0.28886000000000001</v>
      </c>
      <c r="AC9" s="34">
        <f t="shared" si="36"/>
        <v>-0.14804489260047846</v>
      </c>
      <c r="AD9">
        <v>2160.6648199445985</v>
      </c>
      <c r="AE9">
        <f t="shared" si="11"/>
        <v>3.3345874007848226</v>
      </c>
      <c r="AF9">
        <v>9487.5346260387796</v>
      </c>
      <c r="AG9">
        <f t="shared" si="12"/>
        <v>3.9771533739227865</v>
      </c>
      <c r="AH9" s="9">
        <v>0</v>
      </c>
      <c r="AI9" s="9">
        <f t="shared" si="37"/>
        <v>0</v>
      </c>
      <c r="AJ9">
        <v>85</v>
      </c>
      <c r="AK9" s="15" t="s">
        <v>78</v>
      </c>
      <c r="AL9" s="42">
        <v>35.433808146393098</v>
      </c>
      <c r="AM9" s="24">
        <v>-0.15</v>
      </c>
      <c r="AN9" s="34">
        <f t="shared" si="38"/>
        <v>-7.0581074285707285E-2</v>
      </c>
      <c r="AO9">
        <v>1983</v>
      </c>
      <c r="AP9">
        <v>17</v>
      </c>
      <c r="AQ9">
        <v>70</v>
      </c>
      <c r="AR9">
        <v>70</v>
      </c>
      <c r="AS9">
        <f t="shared" si="3"/>
        <v>0</v>
      </c>
      <c r="AT9">
        <f t="shared" si="39"/>
        <v>0</v>
      </c>
      <c r="AU9">
        <f t="shared" si="40"/>
        <v>1</v>
      </c>
      <c r="AV9">
        <f t="shared" si="41"/>
        <v>0</v>
      </c>
      <c r="AW9">
        <f t="shared" si="42"/>
        <v>0</v>
      </c>
      <c r="AX9">
        <f t="shared" si="43"/>
        <v>0</v>
      </c>
      <c r="AY9">
        <f t="shared" si="44"/>
        <v>0</v>
      </c>
      <c r="AZ9">
        <f t="shared" si="45"/>
        <v>0</v>
      </c>
      <c r="BA9">
        <f t="shared" si="46"/>
        <v>0</v>
      </c>
      <c r="BB9">
        <f t="shared" si="47"/>
        <v>0</v>
      </c>
      <c r="BC9">
        <f t="shared" si="48"/>
        <v>0</v>
      </c>
      <c r="BD9">
        <f t="shared" si="49"/>
        <v>0</v>
      </c>
      <c r="BE9">
        <f t="shared" si="50"/>
        <v>0</v>
      </c>
      <c r="BF9">
        <f t="shared" si="51"/>
        <v>0</v>
      </c>
      <c r="BG9">
        <f t="shared" si="52"/>
        <v>0</v>
      </c>
      <c r="BH9">
        <f t="shared" si="53"/>
        <v>0</v>
      </c>
      <c r="BI9">
        <f t="shared" si="54"/>
        <v>0</v>
      </c>
    </row>
    <row r="10" spans="1:61" x14ac:dyDescent="0.35">
      <c r="A10" t="s">
        <v>51</v>
      </c>
      <c r="B10" s="1">
        <v>36890</v>
      </c>
      <c r="C10" s="2" t="s">
        <v>79</v>
      </c>
      <c r="D10" s="2" t="s">
        <v>59</v>
      </c>
      <c r="E10" s="11" t="s">
        <v>80</v>
      </c>
      <c r="F10" s="2" t="s">
        <v>59</v>
      </c>
      <c r="G10" s="2" t="s">
        <v>47</v>
      </c>
      <c r="H10" s="139">
        <f t="shared" si="4"/>
        <v>0</v>
      </c>
      <c r="I10" s="2" t="s">
        <v>48</v>
      </c>
      <c r="J10" s="2" t="s">
        <v>248</v>
      </c>
      <c r="K10" s="2">
        <f t="shared" si="31"/>
        <v>5</v>
      </c>
      <c r="L10" s="2">
        <v>10000000</v>
      </c>
      <c r="M10" s="2">
        <f t="shared" si="32"/>
        <v>7</v>
      </c>
      <c r="N10" s="2">
        <v>10000000</v>
      </c>
      <c r="O10" s="2">
        <v>0</v>
      </c>
      <c r="P10" s="18">
        <v>38167</v>
      </c>
      <c r="Q10" s="89">
        <f t="shared" si="33"/>
        <v>2004</v>
      </c>
      <c r="R10" s="2" t="s">
        <v>49</v>
      </c>
      <c r="S10" s="2">
        <v>43120332</v>
      </c>
      <c r="T10" s="21">
        <f t="shared" si="0"/>
        <v>3.4986301369863013</v>
      </c>
      <c r="U10">
        <v>0</v>
      </c>
      <c r="V10">
        <f t="shared" si="34"/>
        <v>0</v>
      </c>
      <c r="W10">
        <v>2000</v>
      </c>
      <c r="X10">
        <v>0</v>
      </c>
      <c r="Y10">
        <f t="shared" si="35"/>
        <v>0</v>
      </c>
      <c r="Z10" s="45">
        <v>3.29</v>
      </c>
      <c r="AA10" s="9">
        <f t="shared" si="1"/>
        <v>33120332</v>
      </c>
      <c r="AB10" s="15">
        <f t="shared" si="2"/>
        <v>3.3120332000000001</v>
      </c>
      <c r="AC10" s="34">
        <f t="shared" si="36"/>
        <v>0.63468209599159786</v>
      </c>
      <c r="AD10">
        <v>2636.4234056541745</v>
      </c>
      <c r="AE10">
        <f t="shared" si="11"/>
        <v>3.421015158567184</v>
      </c>
      <c r="AF10">
        <v>9500.3287310979595</v>
      </c>
      <c r="AG10">
        <f t="shared" si="12"/>
        <v>3.9777386330395683</v>
      </c>
      <c r="AH10" s="9">
        <v>0</v>
      </c>
      <c r="AI10" s="9">
        <f t="shared" si="37"/>
        <v>0</v>
      </c>
      <c r="AJ10">
        <v>85</v>
      </c>
      <c r="AK10" s="15" t="s">
        <v>78</v>
      </c>
      <c r="AL10" s="42">
        <v>35.433808146393098</v>
      </c>
      <c r="AM10" s="24">
        <v>-0.14000000000000001</v>
      </c>
      <c r="AN10" s="34">
        <f t="shared" si="38"/>
        <v>-6.5501548756432285E-2</v>
      </c>
      <c r="AO10">
        <v>1925</v>
      </c>
      <c r="AP10">
        <v>75</v>
      </c>
      <c r="AQ10">
        <v>70</v>
      </c>
      <c r="AR10">
        <v>70</v>
      </c>
      <c r="AS10">
        <f t="shared" si="3"/>
        <v>0</v>
      </c>
      <c r="AT10">
        <f t="shared" si="39"/>
        <v>0</v>
      </c>
      <c r="AU10">
        <f t="shared" si="40"/>
        <v>1</v>
      </c>
      <c r="AV10">
        <f t="shared" si="41"/>
        <v>0</v>
      </c>
      <c r="AW10">
        <f t="shared" si="42"/>
        <v>0</v>
      </c>
      <c r="AX10">
        <f t="shared" si="43"/>
        <v>0</v>
      </c>
      <c r="AY10">
        <f t="shared" si="44"/>
        <v>0</v>
      </c>
      <c r="AZ10">
        <f t="shared" si="45"/>
        <v>0</v>
      </c>
      <c r="BA10">
        <f t="shared" si="46"/>
        <v>0</v>
      </c>
      <c r="BB10">
        <f t="shared" si="47"/>
        <v>0</v>
      </c>
      <c r="BC10">
        <f t="shared" si="48"/>
        <v>0</v>
      </c>
      <c r="BD10">
        <f t="shared" si="49"/>
        <v>0</v>
      </c>
      <c r="BE10">
        <f t="shared" si="50"/>
        <v>0</v>
      </c>
      <c r="BF10">
        <f t="shared" si="51"/>
        <v>0</v>
      </c>
      <c r="BG10">
        <f t="shared" si="52"/>
        <v>0</v>
      </c>
      <c r="BH10">
        <f t="shared" si="53"/>
        <v>0</v>
      </c>
      <c r="BI10">
        <f t="shared" si="54"/>
        <v>0</v>
      </c>
    </row>
    <row r="11" spans="1:61" x14ac:dyDescent="0.35">
      <c r="A11" t="s">
        <v>81</v>
      </c>
      <c r="B11" s="1">
        <v>37007</v>
      </c>
      <c r="C11" s="2" t="s">
        <v>82</v>
      </c>
      <c r="D11" s="2" t="s">
        <v>2</v>
      </c>
      <c r="E11" s="2" t="s">
        <v>83</v>
      </c>
      <c r="F11" s="2" t="s">
        <v>59</v>
      </c>
      <c r="G11" s="2" t="s">
        <v>64</v>
      </c>
      <c r="H11" s="139">
        <f t="shared" si="4"/>
        <v>1</v>
      </c>
      <c r="I11" s="2" t="s">
        <v>48</v>
      </c>
      <c r="J11" s="2" t="s">
        <v>235</v>
      </c>
      <c r="K11" s="2">
        <f t="shared" si="31"/>
        <v>1</v>
      </c>
      <c r="L11" s="2">
        <v>240650000</v>
      </c>
      <c r="M11" s="2">
        <f t="shared" si="32"/>
        <v>8.3813858660133764</v>
      </c>
      <c r="N11" s="2">
        <v>65420000</v>
      </c>
      <c r="O11" s="2">
        <v>175230000</v>
      </c>
      <c r="P11" s="18">
        <v>38546</v>
      </c>
      <c r="Q11" s="89">
        <f t="shared" si="33"/>
        <v>2005</v>
      </c>
      <c r="R11" s="2" t="s">
        <v>69</v>
      </c>
      <c r="S11" s="2">
        <v>210426000</v>
      </c>
      <c r="T11" s="21">
        <f t="shared" si="0"/>
        <v>4.2164383561643834</v>
      </c>
      <c r="U11">
        <v>917.19</v>
      </c>
      <c r="V11">
        <f t="shared" si="34"/>
        <v>2.9629325585580042</v>
      </c>
      <c r="W11">
        <v>1954</v>
      </c>
      <c r="X11">
        <v>47</v>
      </c>
      <c r="Y11">
        <f t="shared" si="35"/>
        <v>1.6812412373755872</v>
      </c>
      <c r="Z11" s="45">
        <v>2.62</v>
      </c>
      <c r="AA11" s="9">
        <f t="shared" si="1"/>
        <v>145006000</v>
      </c>
      <c r="AB11" s="15">
        <f t="shared" si="2"/>
        <v>-0.1255931851236235</v>
      </c>
      <c r="AC11" s="34">
        <f t="shared" si="36"/>
        <v>-5.8286466278308156E-2</v>
      </c>
      <c r="AD11">
        <v>1861.76</v>
      </c>
      <c r="AE11">
        <f t="shared" si="11"/>
        <v>3.2699236952309465</v>
      </c>
      <c r="AF11">
        <v>4993.92</v>
      </c>
      <c r="AG11">
        <f t="shared" si="12"/>
        <v>3.6984415808994222</v>
      </c>
      <c r="AH11" s="9">
        <v>854.66666666666697</v>
      </c>
      <c r="AI11" s="9">
        <f t="shared" si="37"/>
        <v>2.9323046139517812</v>
      </c>
      <c r="AJ11">
        <v>70</v>
      </c>
      <c r="AK11" s="15" t="s">
        <v>84</v>
      </c>
      <c r="AL11" s="42">
        <v>46.908044131476899</v>
      </c>
      <c r="AM11" s="24">
        <v>-0.01</v>
      </c>
      <c r="AN11" s="34">
        <f t="shared" si="38"/>
        <v>-4.3648054024500883E-3</v>
      </c>
      <c r="AO11">
        <v>1985</v>
      </c>
      <c r="AP11">
        <v>16</v>
      </c>
      <c r="AQ11">
        <v>70</v>
      </c>
      <c r="AR11">
        <v>70</v>
      </c>
      <c r="AS11">
        <f t="shared" si="3"/>
        <v>0</v>
      </c>
      <c r="AT11">
        <f t="shared" si="39"/>
        <v>0</v>
      </c>
      <c r="AU11">
        <f t="shared" si="40"/>
        <v>0</v>
      </c>
      <c r="AV11">
        <f t="shared" si="41"/>
        <v>0</v>
      </c>
      <c r="AW11">
        <f t="shared" si="42"/>
        <v>0</v>
      </c>
      <c r="AX11">
        <f t="shared" si="43"/>
        <v>0</v>
      </c>
      <c r="AY11">
        <f t="shared" si="44"/>
        <v>0</v>
      </c>
      <c r="AZ11">
        <f t="shared" si="45"/>
        <v>0</v>
      </c>
      <c r="BA11">
        <f t="shared" si="46"/>
        <v>0</v>
      </c>
      <c r="BB11">
        <f t="shared" si="47"/>
        <v>1</v>
      </c>
      <c r="BC11">
        <f t="shared" si="48"/>
        <v>0</v>
      </c>
      <c r="BD11">
        <f t="shared" si="49"/>
        <v>0</v>
      </c>
      <c r="BE11">
        <f t="shared" si="50"/>
        <v>0</v>
      </c>
      <c r="BF11">
        <f t="shared" si="51"/>
        <v>0</v>
      </c>
      <c r="BG11">
        <f t="shared" si="52"/>
        <v>0</v>
      </c>
      <c r="BH11">
        <f t="shared" si="53"/>
        <v>0</v>
      </c>
      <c r="BI11">
        <f t="shared" si="54"/>
        <v>0</v>
      </c>
    </row>
    <row r="12" spans="1:61" x14ac:dyDescent="0.35">
      <c r="A12" t="s">
        <v>51</v>
      </c>
      <c r="B12" s="1">
        <v>37540</v>
      </c>
      <c r="C12" s="2" t="s">
        <v>85</v>
      </c>
      <c r="D12" s="2" t="s">
        <v>45</v>
      </c>
      <c r="E12" s="2" t="s">
        <v>86</v>
      </c>
      <c r="F12" s="2" t="s">
        <v>45</v>
      </c>
      <c r="G12" s="2" t="s">
        <v>47</v>
      </c>
      <c r="H12" s="139">
        <f t="shared" si="4"/>
        <v>0</v>
      </c>
      <c r="I12" s="2" t="s">
        <v>73</v>
      </c>
      <c r="J12" s="2" t="s">
        <v>248</v>
      </c>
      <c r="K12" s="2">
        <f t="shared" si="31"/>
        <v>5</v>
      </c>
      <c r="L12" s="2">
        <v>350000000</v>
      </c>
      <c r="M12" s="2">
        <f t="shared" si="32"/>
        <v>8.5440680443502757</v>
      </c>
      <c r="N12" s="2">
        <v>300000000</v>
      </c>
      <c r="O12" s="2">
        <v>50000000</v>
      </c>
      <c r="P12" s="18">
        <v>38308</v>
      </c>
      <c r="Q12" s="89">
        <f t="shared" si="33"/>
        <v>2004</v>
      </c>
      <c r="R12" s="2" t="s">
        <v>69</v>
      </c>
      <c r="S12" s="2">
        <v>448713396</v>
      </c>
      <c r="T12" s="21">
        <f t="shared" si="0"/>
        <v>2.1041095890410957</v>
      </c>
      <c r="U12">
        <v>0</v>
      </c>
      <c r="V12">
        <f t="shared" si="34"/>
        <v>0</v>
      </c>
      <c r="W12">
        <v>1881</v>
      </c>
      <c r="X12">
        <v>121</v>
      </c>
      <c r="Y12">
        <f t="shared" si="35"/>
        <v>2.0863598306747484</v>
      </c>
      <c r="Z12" s="45">
        <v>2.95</v>
      </c>
      <c r="AA12" s="9">
        <f t="shared" si="1"/>
        <v>148713396</v>
      </c>
      <c r="AB12" s="15">
        <f t="shared" si="2"/>
        <v>0.28203827428571437</v>
      </c>
      <c r="AC12" s="34">
        <f t="shared" si="36"/>
        <v>0.10790099091053558</v>
      </c>
      <c r="AD12">
        <v>2446.451</v>
      </c>
      <c r="AE12">
        <f t="shared" si="11"/>
        <v>3.388536521693045</v>
      </c>
      <c r="AF12">
        <v>6578.8239999999996</v>
      </c>
      <c r="AG12">
        <f t="shared" si="12"/>
        <v>3.8181482680887449</v>
      </c>
      <c r="AH12" s="9">
        <v>0</v>
      </c>
      <c r="AI12" s="9">
        <f t="shared" si="37"/>
        <v>0</v>
      </c>
      <c r="AJ12">
        <v>85</v>
      </c>
      <c r="AK12" s="15" t="s">
        <v>57</v>
      </c>
      <c r="AL12" s="42">
        <v>36.710134890601303</v>
      </c>
      <c r="AM12" s="24">
        <v>0.41</v>
      </c>
      <c r="AN12" s="34">
        <f t="shared" si="38"/>
        <v>0.14921911265537988</v>
      </c>
      <c r="AO12">
        <v>1968</v>
      </c>
      <c r="AP12">
        <v>34</v>
      </c>
      <c r="AQ12">
        <v>70</v>
      </c>
      <c r="AR12">
        <v>70</v>
      </c>
      <c r="AS12">
        <f t="shared" si="3"/>
        <v>0</v>
      </c>
      <c r="AT12">
        <f t="shared" si="39"/>
        <v>1</v>
      </c>
      <c r="AU12">
        <f t="shared" si="40"/>
        <v>0</v>
      </c>
      <c r="AV12">
        <f t="shared" si="41"/>
        <v>0</v>
      </c>
      <c r="AW12">
        <f t="shared" si="42"/>
        <v>0</v>
      </c>
      <c r="AX12">
        <f t="shared" si="43"/>
        <v>0</v>
      </c>
      <c r="AY12">
        <f t="shared" si="44"/>
        <v>0</v>
      </c>
      <c r="AZ12">
        <f t="shared" si="45"/>
        <v>0</v>
      </c>
      <c r="BA12">
        <f t="shared" si="46"/>
        <v>0</v>
      </c>
      <c r="BB12">
        <f t="shared" si="47"/>
        <v>0</v>
      </c>
      <c r="BC12">
        <f t="shared" si="48"/>
        <v>0</v>
      </c>
      <c r="BD12">
        <f t="shared" si="49"/>
        <v>0</v>
      </c>
      <c r="BE12">
        <f t="shared" si="50"/>
        <v>0</v>
      </c>
      <c r="BF12">
        <f t="shared" si="51"/>
        <v>0</v>
      </c>
      <c r="BG12">
        <f t="shared" si="52"/>
        <v>0</v>
      </c>
      <c r="BH12">
        <f t="shared" si="53"/>
        <v>0</v>
      </c>
      <c r="BI12">
        <f t="shared" si="54"/>
        <v>0</v>
      </c>
    </row>
    <row r="13" spans="1:61" x14ac:dyDescent="0.35">
      <c r="A13" t="s">
        <v>51</v>
      </c>
      <c r="B13" s="1">
        <v>38260</v>
      </c>
      <c r="C13" s="2" t="s">
        <v>87</v>
      </c>
      <c r="D13" s="2" t="s">
        <v>59</v>
      </c>
      <c r="E13" s="2" t="s">
        <v>88</v>
      </c>
      <c r="F13" s="2" t="s">
        <v>59</v>
      </c>
      <c r="G13" s="2" t="s">
        <v>47</v>
      </c>
      <c r="H13" s="139">
        <f t="shared" si="4"/>
        <v>0</v>
      </c>
      <c r="I13" s="2" t="s">
        <v>48</v>
      </c>
      <c r="J13" s="2" t="s">
        <v>248</v>
      </c>
      <c r="K13" s="2">
        <f t="shared" si="31"/>
        <v>5</v>
      </c>
      <c r="L13" s="2">
        <v>49000000</v>
      </c>
      <c r="M13" s="2">
        <f t="shared" si="32"/>
        <v>7.6901960800285138</v>
      </c>
      <c r="N13" s="2">
        <v>49000000</v>
      </c>
      <c r="O13" s="2">
        <v>0</v>
      </c>
      <c r="P13" s="18">
        <v>38825</v>
      </c>
      <c r="Q13" s="89">
        <f t="shared" si="33"/>
        <v>2006</v>
      </c>
      <c r="R13" s="2" t="s">
        <v>49</v>
      </c>
      <c r="S13" s="2">
        <v>30680586</v>
      </c>
      <c r="T13" s="21">
        <f t="shared" si="0"/>
        <v>1.547945205479452</v>
      </c>
      <c r="U13">
        <v>0</v>
      </c>
      <c r="V13">
        <f t="shared" si="34"/>
        <v>0</v>
      </c>
      <c r="W13">
        <v>1897</v>
      </c>
      <c r="X13">
        <v>107</v>
      </c>
      <c r="Y13">
        <f t="shared" si="35"/>
        <v>2.0334237554869499</v>
      </c>
      <c r="Z13" s="45">
        <v>3.29</v>
      </c>
      <c r="AA13" s="9">
        <f t="shared" si="1"/>
        <v>-18319414</v>
      </c>
      <c r="AB13" s="15">
        <f t="shared" si="2"/>
        <v>-0.37386559183673473</v>
      </c>
      <c r="AC13" s="34">
        <f t="shared" si="36"/>
        <v>-0.20333242963631826</v>
      </c>
      <c r="AD13">
        <v>2908.1632653061233</v>
      </c>
      <c r="AE13">
        <f t="shared" si="11"/>
        <v>3.4636187843160156</v>
      </c>
      <c r="AF13">
        <v>9311.2244897959172</v>
      </c>
      <c r="AG13">
        <f t="shared" si="12"/>
        <v>3.9690067974360175</v>
      </c>
      <c r="AH13" s="9">
        <v>0</v>
      </c>
      <c r="AI13" s="9">
        <f t="shared" si="37"/>
        <v>0</v>
      </c>
      <c r="AJ13">
        <v>85</v>
      </c>
      <c r="AK13" s="15" t="s">
        <v>89</v>
      </c>
      <c r="AL13" s="42">
        <v>40.040400531970803</v>
      </c>
      <c r="AM13" s="24">
        <v>0.17</v>
      </c>
      <c r="AN13" s="34">
        <f t="shared" si="38"/>
        <v>6.8185861746161619E-2</v>
      </c>
      <c r="AO13">
        <v>1986</v>
      </c>
      <c r="AP13">
        <v>18</v>
      </c>
      <c r="AQ13">
        <v>70</v>
      </c>
      <c r="AR13">
        <v>70</v>
      </c>
      <c r="AS13">
        <f t="shared" si="3"/>
        <v>0</v>
      </c>
      <c r="AT13">
        <f t="shared" si="39"/>
        <v>0</v>
      </c>
      <c r="AU13">
        <f t="shared" si="40"/>
        <v>1</v>
      </c>
      <c r="AV13">
        <f t="shared" si="41"/>
        <v>0</v>
      </c>
      <c r="AW13">
        <f t="shared" si="42"/>
        <v>0</v>
      </c>
      <c r="AX13">
        <f t="shared" si="43"/>
        <v>0</v>
      </c>
      <c r="AY13">
        <f t="shared" si="44"/>
        <v>0</v>
      </c>
      <c r="AZ13">
        <f t="shared" si="45"/>
        <v>0</v>
      </c>
      <c r="BA13">
        <f t="shared" si="46"/>
        <v>0</v>
      </c>
      <c r="BB13">
        <f t="shared" si="47"/>
        <v>0</v>
      </c>
      <c r="BC13">
        <f t="shared" si="48"/>
        <v>0</v>
      </c>
      <c r="BD13">
        <f t="shared" si="49"/>
        <v>0</v>
      </c>
      <c r="BE13">
        <f t="shared" si="50"/>
        <v>0</v>
      </c>
      <c r="BF13">
        <f t="shared" si="51"/>
        <v>0</v>
      </c>
      <c r="BG13">
        <f t="shared" si="52"/>
        <v>0</v>
      </c>
      <c r="BH13">
        <f t="shared" si="53"/>
        <v>0</v>
      </c>
      <c r="BI13">
        <f t="shared" si="54"/>
        <v>0</v>
      </c>
    </row>
    <row r="14" spans="1:61" x14ac:dyDescent="0.35">
      <c r="A14" t="s">
        <v>51</v>
      </c>
      <c r="B14" s="1">
        <v>38288</v>
      </c>
      <c r="C14" s="2" t="s">
        <v>90</v>
      </c>
      <c r="D14" s="2" t="s">
        <v>4</v>
      </c>
      <c r="E14" s="2" t="s">
        <v>91</v>
      </c>
      <c r="F14" s="2" t="s">
        <v>4</v>
      </c>
      <c r="G14" s="2" t="s">
        <v>47</v>
      </c>
      <c r="H14" s="139">
        <f t="shared" si="4"/>
        <v>0</v>
      </c>
      <c r="I14" s="2" t="s">
        <v>92</v>
      </c>
      <c r="J14" s="2" t="s">
        <v>269</v>
      </c>
      <c r="K14" s="2">
        <f t="shared" si="31"/>
        <v>7</v>
      </c>
      <c r="L14" s="2">
        <v>274920000</v>
      </c>
      <c r="M14" s="2">
        <f t="shared" si="32"/>
        <v>8.4392063352370226</v>
      </c>
      <c r="N14" s="2">
        <v>274920000</v>
      </c>
      <c r="O14" s="2">
        <v>0</v>
      </c>
      <c r="P14" s="25">
        <v>38770</v>
      </c>
      <c r="Q14" s="89">
        <f t="shared" si="33"/>
        <v>2006</v>
      </c>
      <c r="R14" s="2" t="s">
        <v>49</v>
      </c>
      <c r="S14" s="2">
        <v>207780000</v>
      </c>
      <c r="T14" s="21">
        <f t="shared" si="0"/>
        <v>1.3205479452054794</v>
      </c>
      <c r="U14">
        <v>0</v>
      </c>
      <c r="V14">
        <f t="shared" si="34"/>
        <v>0</v>
      </c>
      <c r="W14">
        <v>1953</v>
      </c>
      <c r="X14">
        <v>51</v>
      </c>
      <c r="Y14">
        <f t="shared" si="35"/>
        <v>1.7160033436347992</v>
      </c>
      <c r="Z14" s="45">
        <v>3.59</v>
      </c>
      <c r="AA14" s="9">
        <f t="shared" si="1"/>
        <v>-67140000</v>
      </c>
      <c r="AB14" s="15">
        <f t="shared" si="2"/>
        <v>-0.24421649934526413</v>
      </c>
      <c r="AC14" s="34">
        <f t="shared" si="36"/>
        <v>-0.12160259330391791</v>
      </c>
      <c r="AD14">
        <v>1630.2786555587475</v>
      </c>
      <c r="AE14">
        <f t="shared" si="11"/>
        <v>3.212261842580872</v>
      </c>
      <c r="AF14">
        <v>8569.3766159149673</v>
      </c>
      <c r="AG14">
        <f t="shared" si="12"/>
        <v>3.9329492300777744</v>
      </c>
      <c r="AH14" s="9">
        <v>0</v>
      </c>
      <c r="AI14" s="9">
        <f t="shared" si="37"/>
        <v>0</v>
      </c>
      <c r="AJ14">
        <v>70</v>
      </c>
      <c r="AK14" s="15" t="s">
        <v>93</v>
      </c>
      <c r="AL14" s="42">
        <v>52.379377176281302</v>
      </c>
      <c r="AM14" s="24">
        <v>0.15</v>
      </c>
      <c r="AN14" s="34">
        <f t="shared" si="38"/>
        <v>6.069784035361165E-2</v>
      </c>
      <c r="AO14">
        <v>1989</v>
      </c>
      <c r="AP14">
        <v>15</v>
      </c>
      <c r="AQ14">
        <v>70</v>
      </c>
      <c r="AR14">
        <v>70</v>
      </c>
      <c r="AS14">
        <f t="shared" si="3"/>
        <v>0</v>
      </c>
      <c r="AT14">
        <f t="shared" si="39"/>
        <v>0</v>
      </c>
      <c r="AU14">
        <f t="shared" si="40"/>
        <v>0</v>
      </c>
      <c r="AV14">
        <f t="shared" si="41"/>
        <v>0</v>
      </c>
      <c r="AW14">
        <f t="shared" si="42"/>
        <v>0</v>
      </c>
      <c r="AX14">
        <f t="shared" si="43"/>
        <v>1</v>
      </c>
      <c r="AY14">
        <f t="shared" si="44"/>
        <v>0</v>
      </c>
      <c r="AZ14">
        <f t="shared" si="45"/>
        <v>0</v>
      </c>
      <c r="BA14">
        <f t="shared" si="46"/>
        <v>0</v>
      </c>
      <c r="BB14">
        <f t="shared" si="47"/>
        <v>0</v>
      </c>
      <c r="BC14">
        <f t="shared" si="48"/>
        <v>0</v>
      </c>
      <c r="BD14">
        <f t="shared" si="49"/>
        <v>0</v>
      </c>
      <c r="BE14">
        <f t="shared" si="50"/>
        <v>0</v>
      </c>
      <c r="BF14">
        <f t="shared" si="51"/>
        <v>0</v>
      </c>
      <c r="BG14">
        <f t="shared" si="52"/>
        <v>0</v>
      </c>
      <c r="BH14">
        <f t="shared" si="53"/>
        <v>0</v>
      </c>
      <c r="BI14">
        <f t="shared" si="54"/>
        <v>0</v>
      </c>
    </row>
    <row r="15" spans="1:61" x14ac:dyDescent="0.35">
      <c r="A15" t="s">
        <v>51</v>
      </c>
      <c r="B15" s="1">
        <v>38457</v>
      </c>
      <c r="C15" s="11" t="s">
        <v>94</v>
      </c>
      <c r="D15" s="2" t="s">
        <v>1</v>
      </c>
      <c r="E15" s="2" t="s">
        <v>95</v>
      </c>
      <c r="F15" s="2" t="s">
        <v>1</v>
      </c>
      <c r="G15" s="2" t="s">
        <v>47</v>
      </c>
      <c r="H15" s="139">
        <f t="shared" si="4"/>
        <v>0</v>
      </c>
      <c r="I15" s="2" t="s">
        <v>92</v>
      </c>
      <c r="J15" s="2" t="s">
        <v>248</v>
      </c>
      <c r="K15" s="2">
        <f t="shared" si="31"/>
        <v>5</v>
      </c>
      <c r="L15" s="2">
        <v>43180000</v>
      </c>
      <c r="M15" s="2">
        <f t="shared" si="32"/>
        <v>7.6352826379982117</v>
      </c>
      <c r="N15" s="2">
        <v>43180000</v>
      </c>
      <c r="O15" s="2">
        <v>0</v>
      </c>
      <c r="P15" s="18">
        <v>41326</v>
      </c>
      <c r="Q15" s="89">
        <f t="shared" si="33"/>
        <v>2013</v>
      </c>
      <c r="R15" s="2" t="s">
        <v>96</v>
      </c>
      <c r="S15" s="2">
        <v>973025000</v>
      </c>
      <c r="T15" s="21">
        <f t="shared" si="0"/>
        <v>7.86027397260274</v>
      </c>
      <c r="U15">
        <v>0</v>
      </c>
      <c r="V15">
        <f t="shared" si="34"/>
        <v>0</v>
      </c>
      <c r="W15">
        <v>1838</v>
      </c>
      <c r="X15">
        <v>167</v>
      </c>
      <c r="Y15">
        <f t="shared" si="35"/>
        <v>2.2253092817258628</v>
      </c>
      <c r="Z15" s="45">
        <v>3.42</v>
      </c>
      <c r="AA15" s="9">
        <f t="shared" si="1"/>
        <v>929845000</v>
      </c>
      <c r="AB15" s="15">
        <f t="shared" si="2"/>
        <v>21.534159333024547</v>
      </c>
      <c r="AC15" s="34">
        <f t="shared" si="36"/>
        <v>1.3528413607722642</v>
      </c>
      <c r="AD15">
        <v>2099.9405116002381</v>
      </c>
      <c r="AE15">
        <f t="shared" si="11"/>
        <v>3.3222069919483515</v>
      </c>
      <c r="AF15">
        <v>9071.9809637120761</v>
      </c>
      <c r="AG15">
        <f t="shared" si="12"/>
        <v>3.9577021302433337</v>
      </c>
      <c r="AH15" s="9">
        <v>0</v>
      </c>
      <c r="AI15" s="9">
        <f t="shared" si="37"/>
        <v>0</v>
      </c>
      <c r="AJ15">
        <v>70</v>
      </c>
      <c r="AK15" s="15" t="s">
        <v>97</v>
      </c>
      <c r="AL15" s="42">
        <v>42.063871143552703</v>
      </c>
      <c r="AM15" s="24">
        <v>0.31</v>
      </c>
      <c r="AN15" s="34">
        <f t="shared" si="38"/>
        <v>0.11727129565576427</v>
      </c>
      <c r="AO15">
        <v>2003</v>
      </c>
      <c r="AP15">
        <v>2</v>
      </c>
      <c r="AQ15">
        <v>70</v>
      </c>
      <c r="AR15">
        <v>50</v>
      </c>
      <c r="AS15">
        <f t="shared" si="3"/>
        <v>0</v>
      </c>
      <c r="AT15">
        <f t="shared" si="39"/>
        <v>0</v>
      </c>
      <c r="AU15">
        <f t="shared" si="40"/>
        <v>0</v>
      </c>
      <c r="AV15">
        <f t="shared" si="41"/>
        <v>1</v>
      </c>
      <c r="AW15">
        <f t="shared" si="42"/>
        <v>0</v>
      </c>
      <c r="AX15">
        <f t="shared" si="43"/>
        <v>0</v>
      </c>
      <c r="AY15">
        <f t="shared" si="44"/>
        <v>0</v>
      </c>
      <c r="AZ15">
        <f t="shared" si="45"/>
        <v>0</v>
      </c>
      <c r="BA15">
        <f t="shared" si="46"/>
        <v>0</v>
      </c>
      <c r="BB15">
        <f t="shared" si="47"/>
        <v>0</v>
      </c>
      <c r="BC15">
        <f t="shared" si="48"/>
        <v>0</v>
      </c>
      <c r="BD15">
        <f t="shared" si="49"/>
        <v>0</v>
      </c>
      <c r="BE15">
        <f t="shared" si="50"/>
        <v>0</v>
      </c>
      <c r="BF15">
        <f t="shared" si="51"/>
        <v>0</v>
      </c>
      <c r="BG15">
        <f t="shared" si="52"/>
        <v>0</v>
      </c>
      <c r="BH15">
        <f t="shared" si="53"/>
        <v>0</v>
      </c>
      <c r="BI15">
        <f t="shared" si="54"/>
        <v>0</v>
      </c>
    </row>
    <row r="16" spans="1:61" x14ac:dyDescent="0.35">
      <c r="A16" t="s">
        <v>51</v>
      </c>
      <c r="B16" s="1">
        <v>38567</v>
      </c>
      <c r="C16" s="2" t="s">
        <v>98</v>
      </c>
      <c r="D16" s="2" t="s">
        <v>45</v>
      </c>
      <c r="E16" s="2" t="s">
        <v>99</v>
      </c>
      <c r="F16" s="2" t="s">
        <v>45</v>
      </c>
      <c r="G16" s="2" t="s">
        <v>47</v>
      </c>
      <c r="H16" s="139">
        <f t="shared" si="4"/>
        <v>0</v>
      </c>
      <c r="I16" s="2" t="s">
        <v>48</v>
      </c>
      <c r="J16" s="2" t="s">
        <v>235</v>
      </c>
      <c r="K16" s="2">
        <f t="shared" si="31"/>
        <v>1</v>
      </c>
      <c r="L16" s="2">
        <v>417060000</v>
      </c>
      <c r="M16" s="2">
        <f t="shared" si="32"/>
        <v>8.6201985388932822</v>
      </c>
      <c r="N16" s="2">
        <v>417060000</v>
      </c>
      <c r="O16" s="2">
        <v>0</v>
      </c>
      <c r="P16" s="18">
        <v>39239</v>
      </c>
      <c r="Q16" s="89">
        <f t="shared" si="33"/>
        <v>2007</v>
      </c>
      <c r="R16" s="2" t="s">
        <v>69</v>
      </c>
      <c r="S16" s="2">
        <v>308200000</v>
      </c>
      <c r="T16" s="21">
        <f t="shared" si="0"/>
        <v>1.8410958904109589</v>
      </c>
      <c r="U16">
        <v>0</v>
      </c>
      <c r="V16">
        <f t="shared" si="34"/>
        <v>0</v>
      </c>
      <c r="W16">
        <v>1992</v>
      </c>
      <c r="X16">
        <v>13</v>
      </c>
      <c r="Y16">
        <f t="shared" si="35"/>
        <v>1.146128035678238</v>
      </c>
      <c r="Z16" s="45">
        <v>2.95</v>
      </c>
      <c r="AA16" s="9">
        <f t="shared" si="1"/>
        <v>-108860000</v>
      </c>
      <c r="AB16" s="15">
        <f t="shared" si="2"/>
        <v>-0.26101759938617941</v>
      </c>
      <c r="AC16" s="34">
        <f t="shared" si="36"/>
        <v>-0.13136590451088112</v>
      </c>
      <c r="AD16">
        <v>4192.5515477649324</v>
      </c>
      <c r="AE16">
        <f t="shared" si="11"/>
        <v>3.6224784109972026</v>
      </c>
      <c r="AF16">
        <v>6098.886461718791</v>
      </c>
      <c r="AG16">
        <f t="shared" si="12"/>
        <v>3.7852505485064163</v>
      </c>
      <c r="AH16" s="9">
        <v>0</v>
      </c>
      <c r="AI16" s="9">
        <f t="shared" si="37"/>
        <v>0</v>
      </c>
      <c r="AJ16">
        <v>85</v>
      </c>
      <c r="AK16" s="15" t="s">
        <v>100</v>
      </c>
      <c r="AL16" s="42">
        <v>36.959146749272797</v>
      </c>
      <c r="AM16" s="24">
        <v>0.22</v>
      </c>
      <c r="AN16" s="34">
        <f t="shared" si="38"/>
        <v>8.6359830674748214E-2</v>
      </c>
      <c r="AO16">
        <v>1984</v>
      </c>
      <c r="AP16">
        <v>21</v>
      </c>
      <c r="AQ16">
        <v>70</v>
      </c>
      <c r="AR16">
        <v>70</v>
      </c>
      <c r="AS16">
        <f t="shared" si="3"/>
        <v>0</v>
      </c>
      <c r="AT16">
        <f t="shared" si="39"/>
        <v>1</v>
      </c>
      <c r="AU16">
        <f t="shared" si="40"/>
        <v>0</v>
      </c>
      <c r="AV16">
        <f t="shared" si="41"/>
        <v>0</v>
      </c>
      <c r="AW16">
        <f t="shared" si="42"/>
        <v>0</v>
      </c>
      <c r="AX16">
        <f t="shared" si="43"/>
        <v>0</v>
      </c>
      <c r="AY16">
        <f t="shared" si="44"/>
        <v>0</v>
      </c>
      <c r="AZ16">
        <f t="shared" si="45"/>
        <v>0</v>
      </c>
      <c r="BA16">
        <f t="shared" si="46"/>
        <v>0</v>
      </c>
      <c r="BB16">
        <f t="shared" si="47"/>
        <v>0</v>
      </c>
      <c r="BC16">
        <f t="shared" si="48"/>
        <v>0</v>
      </c>
      <c r="BD16">
        <f t="shared" si="49"/>
        <v>0</v>
      </c>
      <c r="BE16">
        <f t="shared" si="50"/>
        <v>0</v>
      </c>
      <c r="BF16">
        <f t="shared" si="51"/>
        <v>0</v>
      </c>
      <c r="BG16">
        <f t="shared" si="52"/>
        <v>0</v>
      </c>
      <c r="BH16">
        <f t="shared" si="53"/>
        <v>0</v>
      </c>
      <c r="BI16">
        <f t="shared" si="54"/>
        <v>0</v>
      </c>
    </row>
    <row r="17" spans="1:61" x14ac:dyDescent="0.35">
      <c r="A17" t="s">
        <v>51</v>
      </c>
      <c r="B17" s="1">
        <v>38896</v>
      </c>
      <c r="C17" s="2" t="s">
        <v>52</v>
      </c>
      <c r="D17" s="2" t="s">
        <v>45</v>
      </c>
      <c r="E17" s="2" t="s">
        <v>101</v>
      </c>
      <c r="F17" s="2" t="s">
        <v>45</v>
      </c>
      <c r="G17" s="2" t="s">
        <v>102</v>
      </c>
      <c r="H17" s="139">
        <f t="shared" si="4"/>
        <v>0</v>
      </c>
      <c r="I17" s="2" t="s">
        <v>48</v>
      </c>
      <c r="J17" s="2" t="s">
        <v>326</v>
      </c>
      <c r="K17" s="2">
        <f t="shared" si="31"/>
        <v>8</v>
      </c>
      <c r="L17" s="2">
        <v>2250000000</v>
      </c>
      <c r="M17" s="2">
        <f t="shared" si="32"/>
        <v>9.3521825181113627</v>
      </c>
      <c r="N17" s="2">
        <v>2250000000</v>
      </c>
      <c r="O17" s="2">
        <v>0</v>
      </c>
      <c r="P17" s="18">
        <v>41856</v>
      </c>
      <c r="Q17" s="89">
        <f t="shared" si="33"/>
        <v>2014</v>
      </c>
      <c r="R17" s="2" t="s">
        <v>69</v>
      </c>
      <c r="S17" s="2">
        <v>1501300000</v>
      </c>
      <c r="T17" s="21">
        <f t="shared" si="0"/>
        <v>8.1095890410958908</v>
      </c>
      <c r="U17">
        <v>0</v>
      </c>
      <c r="V17">
        <f t="shared" si="34"/>
        <v>0</v>
      </c>
      <c r="W17">
        <v>1967</v>
      </c>
      <c r="X17">
        <v>39</v>
      </c>
      <c r="Y17">
        <f t="shared" si="35"/>
        <v>1.6020599913279623</v>
      </c>
      <c r="Z17" s="45">
        <v>2.95</v>
      </c>
      <c r="AA17" s="9">
        <f t="shared" si="1"/>
        <v>-748700000</v>
      </c>
      <c r="AB17" s="15">
        <f t="shared" si="2"/>
        <v>-0.33275555555555558</v>
      </c>
      <c r="AC17" s="34">
        <f t="shared" si="36"/>
        <v>-0.17571503351222853</v>
      </c>
      <c r="AD17">
        <v>1518.5350000000001</v>
      </c>
      <c r="AE17">
        <f t="shared" si="11"/>
        <v>3.1814248062191788</v>
      </c>
      <c r="AF17">
        <v>5363.16</v>
      </c>
      <c r="AG17">
        <f t="shared" si="12"/>
        <v>3.7294207535322617</v>
      </c>
      <c r="AH17" s="9">
        <v>0</v>
      </c>
      <c r="AI17" s="9">
        <f t="shared" si="37"/>
        <v>0</v>
      </c>
      <c r="AJ17">
        <v>93.2</v>
      </c>
      <c r="AK17" s="15" t="s">
        <v>103</v>
      </c>
      <c r="AL17" s="42">
        <v>36.669158714517401</v>
      </c>
      <c r="AM17" s="24">
        <v>0.54</v>
      </c>
      <c r="AN17" s="34">
        <f t="shared" si="38"/>
        <v>0.18752072083646307</v>
      </c>
      <c r="AO17">
        <v>1990</v>
      </c>
      <c r="AP17">
        <v>16</v>
      </c>
      <c r="AQ17">
        <v>70</v>
      </c>
      <c r="AR17">
        <v>70</v>
      </c>
      <c r="AS17">
        <f t="shared" si="3"/>
        <v>0</v>
      </c>
      <c r="AT17">
        <f t="shared" si="39"/>
        <v>1</v>
      </c>
      <c r="AU17">
        <f t="shared" si="40"/>
        <v>0</v>
      </c>
      <c r="AV17">
        <f t="shared" si="41"/>
        <v>0</v>
      </c>
      <c r="AW17">
        <f t="shared" si="42"/>
        <v>0</v>
      </c>
      <c r="AX17">
        <f t="shared" si="43"/>
        <v>0</v>
      </c>
      <c r="AY17">
        <f t="shared" si="44"/>
        <v>0</v>
      </c>
      <c r="AZ17">
        <f t="shared" si="45"/>
        <v>0</v>
      </c>
      <c r="BA17">
        <f t="shared" si="46"/>
        <v>0</v>
      </c>
      <c r="BB17">
        <f t="shared" si="47"/>
        <v>0</v>
      </c>
      <c r="BC17">
        <f t="shared" si="48"/>
        <v>0</v>
      </c>
      <c r="BD17">
        <f t="shared" si="49"/>
        <v>0</v>
      </c>
      <c r="BE17">
        <f t="shared" si="50"/>
        <v>0</v>
      </c>
      <c r="BF17">
        <f t="shared" si="51"/>
        <v>0</v>
      </c>
      <c r="BG17">
        <f t="shared" si="52"/>
        <v>0</v>
      </c>
      <c r="BH17">
        <f t="shared" si="53"/>
        <v>0</v>
      </c>
      <c r="BI17">
        <f t="shared" si="54"/>
        <v>0</v>
      </c>
    </row>
    <row r="18" spans="1:61" x14ac:dyDescent="0.35">
      <c r="A18" t="s">
        <v>51</v>
      </c>
      <c r="B18" s="1">
        <v>39006</v>
      </c>
      <c r="C18" s="2" t="s">
        <v>104</v>
      </c>
      <c r="D18" s="2" t="s">
        <v>45</v>
      </c>
      <c r="E18" s="30" t="s">
        <v>105</v>
      </c>
      <c r="F18" s="2" t="s">
        <v>45</v>
      </c>
      <c r="G18" s="2" t="s">
        <v>102</v>
      </c>
      <c r="H18" s="139">
        <f t="shared" si="4"/>
        <v>0</v>
      </c>
      <c r="I18" s="2" t="s">
        <v>106</v>
      </c>
      <c r="J18" s="2" t="s">
        <v>178</v>
      </c>
      <c r="K18" s="2">
        <f t="shared" si="31"/>
        <v>9</v>
      </c>
      <c r="L18" s="2">
        <v>1271390000</v>
      </c>
      <c r="M18" s="2">
        <f t="shared" si="32"/>
        <v>9.1042787912049477</v>
      </c>
      <c r="N18" s="2">
        <v>831060000</v>
      </c>
      <c r="O18" s="2">
        <v>440330000</v>
      </c>
      <c r="P18" s="18">
        <v>41288</v>
      </c>
      <c r="Q18" s="89">
        <f t="shared" si="33"/>
        <v>2013</v>
      </c>
      <c r="R18" s="2" t="s">
        <v>107</v>
      </c>
      <c r="S18" s="2">
        <v>1015000000</v>
      </c>
      <c r="T18" s="21">
        <f t="shared" si="0"/>
        <v>6.2520547945205482</v>
      </c>
      <c r="U18">
        <v>0</v>
      </c>
      <c r="V18">
        <f t="shared" si="34"/>
        <v>0</v>
      </c>
      <c r="W18">
        <v>1992</v>
      </c>
      <c r="X18">
        <v>14</v>
      </c>
      <c r="Y18">
        <f t="shared" si="35"/>
        <v>1.1760912590556813</v>
      </c>
      <c r="Z18" s="45">
        <v>2.95</v>
      </c>
      <c r="AA18" s="9">
        <f t="shared" si="1"/>
        <v>183940000</v>
      </c>
      <c r="AB18" s="15">
        <f t="shared" si="2"/>
        <v>-0.20166117399067163</v>
      </c>
      <c r="AC18" s="34">
        <f t="shared" si="36"/>
        <v>-9.7812748955715761E-2</v>
      </c>
      <c r="AD18" s="34">
        <v>1246.953</v>
      </c>
      <c r="AE18">
        <f t="shared" si="11"/>
        <v>3.0958500844125241</v>
      </c>
      <c r="AF18">
        <v>3219.7179999999998</v>
      </c>
      <c r="AG18">
        <f t="shared" si="12"/>
        <v>3.5078178355445662</v>
      </c>
      <c r="AH18" s="9">
        <v>0</v>
      </c>
      <c r="AI18" s="9">
        <f t="shared" si="37"/>
        <v>0</v>
      </c>
      <c r="AJ18">
        <v>93.2</v>
      </c>
      <c r="AK18" s="15" t="s">
        <v>103</v>
      </c>
      <c r="AL18" s="42">
        <v>36.669158714517401</v>
      </c>
      <c r="AM18" s="24">
        <v>7.0000000000000007E-2</v>
      </c>
      <c r="AN18" s="34">
        <f t="shared" si="38"/>
        <v>2.9383777685209667E-2</v>
      </c>
      <c r="AO18">
        <v>1987</v>
      </c>
      <c r="AP18">
        <v>19</v>
      </c>
      <c r="AQ18">
        <v>70</v>
      </c>
      <c r="AR18">
        <v>70</v>
      </c>
      <c r="AS18">
        <f t="shared" si="3"/>
        <v>0</v>
      </c>
      <c r="AT18">
        <f t="shared" si="39"/>
        <v>1</v>
      </c>
      <c r="AU18">
        <f t="shared" si="40"/>
        <v>0</v>
      </c>
      <c r="AV18">
        <f t="shared" si="41"/>
        <v>0</v>
      </c>
      <c r="AW18">
        <f t="shared" si="42"/>
        <v>0</v>
      </c>
      <c r="AX18">
        <f t="shared" si="43"/>
        <v>0</v>
      </c>
      <c r="AY18">
        <f t="shared" si="44"/>
        <v>0</v>
      </c>
      <c r="AZ18">
        <f t="shared" si="45"/>
        <v>0</v>
      </c>
      <c r="BA18">
        <f t="shared" si="46"/>
        <v>0</v>
      </c>
      <c r="BB18">
        <f t="shared" si="47"/>
        <v>0</v>
      </c>
      <c r="BC18">
        <f t="shared" si="48"/>
        <v>0</v>
      </c>
      <c r="BD18">
        <f t="shared" si="49"/>
        <v>0</v>
      </c>
      <c r="BE18">
        <f t="shared" si="50"/>
        <v>0</v>
      </c>
      <c r="BF18">
        <f t="shared" si="51"/>
        <v>0</v>
      </c>
      <c r="BG18">
        <f t="shared" si="52"/>
        <v>0</v>
      </c>
      <c r="BH18">
        <f t="shared" si="53"/>
        <v>0</v>
      </c>
      <c r="BI18">
        <f t="shared" si="54"/>
        <v>0</v>
      </c>
    </row>
    <row r="19" spans="1:61" x14ac:dyDescent="0.35">
      <c r="A19" t="s">
        <v>51</v>
      </c>
      <c r="B19" s="1">
        <v>39015</v>
      </c>
      <c r="C19" s="2" t="s">
        <v>108</v>
      </c>
      <c r="D19" s="2" t="s">
        <v>45</v>
      </c>
      <c r="E19" s="33" t="s">
        <v>109</v>
      </c>
      <c r="F19" s="2" t="s">
        <v>45</v>
      </c>
      <c r="G19" s="2" t="s">
        <v>102</v>
      </c>
      <c r="H19" s="139">
        <f t="shared" si="4"/>
        <v>0</v>
      </c>
      <c r="I19" s="2" t="s">
        <v>110</v>
      </c>
      <c r="J19" s="2" t="s">
        <v>248</v>
      </c>
      <c r="K19" s="2">
        <f t="shared" si="31"/>
        <v>5</v>
      </c>
      <c r="L19" s="2">
        <v>1640080000</v>
      </c>
      <c r="M19" s="2">
        <f t="shared" si="32"/>
        <v>9.2148650326276833</v>
      </c>
      <c r="N19" s="2">
        <v>1398680000</v>
      </c>
      <c r="O19" s="2">
        <v>241400000</v>
      </c>
      <c r="P19" s="18">
        <v>41550</v>
      </c>
      <c r="Q19" s="89">
        <f t="shared" si="33"/>
        <v>2013</v>
      </c>
      <c r="R19" s="2" t="s">
        <v>107</v>
      </c>
      <c r="S19" s="2">
        <v>1800000000</v>
      </c>
      <c r="T19" s="21">
        <f t="shared" si="0"/>
        <v>6.9452054794520546</v>
      </c>
      <c r="U19">
        <v>0</v>
      </c>
      <c r="V19">
        <f t="shared" si="34"/>
        <v>0</v>
      </c>
      <c r="W19">
        <v>1969</v>
      </c>
      <c r="X19">
        <v>37</v>
      </c>
      <c r="Y19">
        <f t="shared" si="35"/>
        <v>1.5797835966168101</v>
      </c>
      <c r="Z19" s="45">
        <v>2.95</v>
      </c>
      <c r="AA19" s="9">
        <f t="shared" si="1"/>
        <v>401320000</v>
      </c>
      <c r="AB19" s="15">
        <f t="shared" si="2"/>
        <v>9.7507438661528667E-2</v>
      </c>
      <c r="AC19" s="34">
        <f t="shared" si="36"/>
        <v>4.0407472475622833E-2</v>
      </c>
      <c r="AD19">
        <v>1486.1596345068529</v>
      </c>
      <c r="AE19">
        <f t="shared" si="11"/>
        <v>3.172065461283164</v>
      </c>
      <c r="AF19">
        <v>7950.819672131146</v>
      </c>
      <c r="AG19">
        <f t="shared" si="12"/>
        <v>3.9004119035914964</v>
      </c>
      <c r="AH19" s="9">
        <v>0</v>
      </c>
      <c r="AI19" s="9">
        <f t="shared" si="37"/>
        <v>0</v>
      </c>
      <c r="AJ19">
        <v>93.2</v>
      </c>
      <c r="AK19" s="15" t="s">
        <v>103</v>
      </c>
      <c r="AL19" s="42">
        <v>36.669158714517401</v>
      </c>
      <c r="AM19" s="24">
        <v>0.21</v>
      </c>
      <c r="AN19" s="34">
        <f t="shared" si="38"/>
        <v>8.2785370316450071E-2</v>
      </c>
      <c r="AO19">
        <v>1992</v>
      </c>
      <c r="AP19">
        <v>14</v>
      </c>
      <c r="AQ19">
        <v>70</v>
      </c>
      <c r="AR19">
        <v>70</v>
      </c>
      <c r="AS19">
        <f t="shared" si="3"/>
        <v>0</v>
      </c>
      <c r="AT19">
        <f t="shared" si="39"/>
        <v>1</v>
      </c>
      <c r="AU19">
        <f t="shared" si="40"/>
        <v>0</v>
      </c>
      <c r="AV19">
        <f t="shared" si="41"/>
        <v>0</v>
      </c>
      <c r="AW19">
        <f t="shared" si="42"/>
        <v>0</v>
      </c>
      <c r="AX19">
        <f t="shared" si="43"/>
        <v>0</v>
      </c>
      <c r="AY19">
        <f t="shared" si="44"/>
        <v>0</v>
      </c>
      <c r="AZ19">
        <f t="shared" si="45"/>
        <v>0</v>
      </c>
      <c r="BA19">
        <f t="shared" si="46"/>
        <v>0</v>
      </c>
      <c r="BB19">
        <f t="shared" si="47"/>
        <v>0</v>
      </c>
      <c r="BC19">
        <f t="shared" si="48"/>
        <v>0</v>
      </c>
      <c r="BD19">
        <f t="shared" si="49"/>
        <v>0</v>
      </c>
      <c r="BE19">
        <f t="shared" si="50"/>
        <v>0</v>
      </c>
      <c r="BF19">
        <f t="shared" si="51"/>
        <v>0</v>
      </c>
      <c r="BG19">
        <f t="shared" si="52"/>
        <v>0</v>
      </c>
      <c r="BH19">
        <f t="shared" si="53"/>
        <v>0</v>
      </c>
      <c r="BI19">
        <f t="shared" si="54"/>
        <v>0</v>
      </c>
    </row>
    <row r="20" spans="1:61" x14ac:dyDescent="0.35">
      <c r="A20" t="s">
        <v>51</v>
      </c>
      <c r="B20" s="1">
        <v>39113</v>
      </c>
      <c r="C20" s="2" t="s">
        <v>111</v>
      </c>
      <c r="D20" s="2" t="s">
        <v>45</v>
      </c>
      <c r="E20" s="33" t="s">
        <v>112</v>
      </c>
      <c r="F20" s="2" t="s">
        <v>45</v>
      </c>
      <c r="G20" s="2" t="s">
        <v>102</v>
      </c>
      <c r="H20" s="139">
        <f t="shared" si="4"/>
        <v>0</v>
      </c>
      <c r="I20" s="2" t="s">
        <v>48</v>
      </c>
      <c r="J20" s="2" t="s">
        <v>186</v>
      </c>
      <c r="K20" s="2">
        <f t="shared" si="31"/>
        <v>4</v>
      </c>
      <c r="L20" s="2">
        <v>141600000</v>
      </c>
      <c r="M20" s="2">
        <f t="shared" si="32"/>
        <v>8.151063253353751</v>
      </c>
      <c r="N20" s="2">
        <v>109500000</v>
      </c>
      <c r="O20" s="2">
        <v>32100000</v>
      </c>
      <c r="P20" s="18">
        <v>41047</v>
      </c>
      <c r="Q20" s="89">
        <f t="shared" si="33"/>
        <v>2012</v>
      </c>
      <c r="R20" s="2" t="s">
        <v>113</v>
      </c>
      <c r="S20" s="2">
        <v>221500000</v>
      </c>
      <c r="T20" s="21">
        <f t="shared" si="0"/>
        <v>5.2986301369863016</v>
      </c>
      <c r="U20">
        <v>0</v>
      </c>
      <c r="V20">
        <f t="shared" si="34"/>
        <v>0</v>
      </c>
      <c r="W20">
        <v>2000</v>
      </c>
      <c r="X20">
        <v>7</v>
      </c>
      <c r="Y20">
        <f t="shared" si="35"/>
        <v>0.90308998699194354</v>
      </c>
      <c r="Z20" s="45">
        <v>2.95</v>
      </c>
      <c r="AA20" s="9">
        <f t="shared" si="1"/>
        <v>112000000</v>
      </c>
      <c r="AB20" s="15">
        <f t="shared" si="2"/>
        <v>0.56426553672316393</v>
      </c>
      <c r="AC20" s="34">
        <f t="shared" si="36"/>
        <v>0.19431047720533817</v>
      </c>
      <c r="AD20">
        <v>2652.825836216839</v>
      </c>
      <c r="AE20">
        <f t="shared" si="11"/>
        <v>3.4237087385413827</v>
      </c>
      <c r="AF20">
        <v>4960.527482912571</v>
      </c>
      <c r="AG20">
        <f t="shared" si="12"/>
        <v>3.6955278601067114</v>
      </c>
      <c r="AH20" s="9">
        <v>0</v>
      </c>
      <c r="AI20" s="9">
        <f t="shared" si="37"/>
        <v>0</v>
      </c>
      <c r="AJ20">
        <v>91.4</v>
      </c>
      <c r="AK20" s="15" t="s">
        <v>103</v>
      </c>
      <c r="AL20" s="42">
        <v>37.425715444240403</v>
      </c>
      <c r="AM20" s="24">
        <v>-0.1</v>
      </c>
      <c r="AN20" s="34">
        <f t="shared" si="38"/>
        <v>-4.5757490560675115E-2</v>
      </c>
      <c r="AO20">
        <v>1989</v>
      </c>
      <c r="AP20">
        <v>18</v>
      </c>
      <c r="AQ20">
        <v>70</v>
      </c>
      <c r="AR20">
        <v>70</v>
      </c>
      <c r="AS20">
        <f t="shared" si="3"/>
        <v>0</v>
      </c>
      <c r="AT20">
        <f t="shared" si="39"/>
        <v>1</v>
      </c>
      <c r="AU20">
        <f t="shared" si="40"/>
        <v>0</v>
      </c>
      <c r="AV20">
        <f t="shared" si="41"/>
        <v>0</v>
      </c>
      <c r="AW20">
        <f t="shared" si="42"/>
        <v>0</v>
      </c>
      <c r="AX20">
        <f t="shared" si="43"/>
        <v>0</v>
      </c>
      <c r="AY20">
        <f t="shared" si="44"/>
        <v>0</v>
      </c>
      <c r="AZ20">
        <f t="shared" si="45"/>
        <v>0</v>
      </c>
      <c r="BA20">
        <f t="shared" si="46"/>
        <v>0</v>
      </c>
      <c r="BB20">
        <f t="shared" si="47"/>
        <v>0</v>
      </c>
      <c r="BC20">
        <f t="shared" si="48"/>
        <v>0</v>
      </c>
      <c r="BD20">
        <f t="shared" si="49"/>
        <v>0</v>
      </c>
      <c r="BE20">
        <f t="shared" si="50"/>
        <v>0</v>
      </c>
      <c r="BF20">
        <f t="shared" si="51"/>
        <v>0</v>
      </c>
      <c r="BG20">
        <f t="shared" si="52"/>
        <v>0</v>
      </c>
      <c r="BH20">
        <f t="shared" si="53"/>
        <v>0</v>
      </c>
      <c r="BI20">
        <f t="shared" si="54"/>
        <v>0</v>
      </c>
    </row>
    <row r="21" spans="1:61" x14ac:dyDescent="0.35">
      <c r="A21" t="s">
        <v>114</v>
      </c>
      <c r="B21" s="1">
        <v>39174</v>
      </c>
      <c r="C21" s="10" t="s">
        <v>115</v>
      </c>
      <c r="D21" s="2" t="s">
        <v>45</v>
      </c>
      <c r="E21" s="11" t="s">
        <v>116</v>
      </c>
      <c r="F21" s="2" t="s">
        <v>45</v>
      </c>
      <c r="G21" s="2" t="s">
        <v>102</v>
      </c>
      <c r="H21" s="139">
        <f t="shared" si="4"/>
        <v>0</v>
      </c>
      <c r="I21" s="2" t="s">
        <v>48</v>
      </c>
      <c r="J21" s="2" t="s">
        <v>248</v>
      </c>
      <c r="K21" s="2">
        <f t="shared" si="31"/>
        <v>5</v>
      </c>
      <c r="L21" s="2">
        <v>409000000</v>
      </c>
      <c r="M21" s="2">
        <f t="shared" si="32"/>
        <v>8.6117233080073419</v>
      </c>
      <c r="N21" s="2">
        <v>409000000</v>
      </c>
      <c r="O21" s="2">
        <v>0</v>
      </c>
      <c r="P21" s="18">
        <v>40314</v>
      </c>
      <c r="Q21" s="89">
        <f t="shared" si="33"/>
        <v>2010</v>
      </c>
      <c r="R21" s="2" t="s">
        <v>117</v>
      </c>
      <c r="S21" s="2">
        <v>0</v>
      </c>
      <c r="T21" s="21">
        <f t="shared" si="0"/>
        <v>3.1232876712328768</v>
      </c>
      <c r="U21">
        <v>0</v>
      </c>
      <c r="V21">
        <f t="shared" si="34"/>
        <v>0</v>
      </c>
      <c r="W21">
        <v>1989</v>
      </c>
      <c r="X21">
        <v>18</v>
      </c>
      <c r="Y21">
        <f t="shared" si="35"/>
        <v>1.2787536009528289</v>
      </c>
      <c r="Z21" s="45">
        <v>2.95</v>
      </c>
      <c r="AA21" s="9">
        <f t="shared" si="1"/>
        <v>-409000000</v>
      </c>
      <c r="AB21" s="15">
        <f t="shared" si="2"/>
        <v>-1</v>
      </c>
      <c r="AC21" s="34">
        <f t="shared" si="36"/>
        <v>-1</v>
      </c>
      <c r="AD21">
        <v>1663.3600000000004</v>
      </c>
      <c r="AE21">
        <f t="shared" si="11"/>
        <v>3.2209862534849001</v>
      </c>
      <c r="AF21" s="14">
        <v>9531.5199999999986</v>
      </c>
      <c r="AG21">
        <f t="shared" si="12"/>
        <v>3.979162163489756</v>
      </c>
      <c r="AH21" s="9">
        <v>0</v>
      </c>
      <c r="AI21" s="9">
        <f t="shared" si="37"/>
        <v>0</v>
      </c>
      <c r="AJ21">
        <v>91.4</v>
      </c>
      <c r="AK21" s="15" t="s">
        <v>103</v>
      </c>
      <c r="AL21" s="42">
        <v>37.425715444240403</v>
      </c>
      <c r="AM21" s="24">
        <v>-0.2</v>
      </c>
      <c r="AN21" s="34">
        <f t="shared" si="38"/>
        <v>-9.6910013008056392E-2</v>
      </c>
      <c r="AO21">
        <v>1961</v>
      </c>
      <c r="AP21">
        <v>46</v>
      </c>
      <c r="AQ21">
        <v>70</v>
      </c>
      <c r="AR21">
        <v>70</v>
      </c>
      <c r="AS21">
        <f t="shared" si="3"/>
        <v>1</v>
      </c>
      <c r="AT21">
        <f t="shared" si="39"/>
        <v>1</v>
      </c>
      <c r="AU21">
        <f t="shared" si="40"/>
        <v>0</v>
      </c>
      <c r="AV21">
        <f t="shared" si="41"/>
        <v>0</v>
      </c>
      <c r="AW21">
        <f t="shared" si="42"/>
        <v>0</v>
      </c>
      <c r="AX21">
        <f t="shared" si="43"/>
        <v>0</v>
      </c>
      <c r="AY21">
        <f t="shared" si="44"/>
        <v>0</v>
      </c>
      <c r="AZ21">
        <f t="shared" si="45"/>
        <v>0</v>
      </c>
      <c r="BA21">
        <f t="shared" si="46"/>
        <v>0</v>
      </c>
      <c r="BB21">
        <f t="shared" si="47"/>
        <v>0</v>
      </c>
      <c r="BC21">
        <f t="shared" si="48"/>
        <v>0</v>
      </c>
      <c r="BD21">
        <f t="shared" si="49"/>
        <v>0</v>
      </c>
      <c r="BE21">
        <f t="shared" si="50"/>
        <v>0</v>
      </c>
      <c r="BF21">
        <f t="shared" si="51"/>
        <v>0</v>
      </c>
      <c r="BG21">
        <f t="shared" si="52"/>
        <v>0</v>
      </c>
      <c r="BH21">
        <f t="shared" si="53"/>
        <v>0</v>
      </c>
      <c r="BI21">
        <f t="shared" si="54"/>
        <v>0</v>
      </c>
    </row>
    <row r="22" spans="1:61" x14ac:dyDescent="0.35">
      <c r="A22" t="s">
        <v>118</v>
      </c>
      <c r="B22" s="1">
        <v>39263</v>
      </c>
      <c r="C22" s="2" t="s">
        <v>119</v>
      </c>
      <c r="D22" s="2" t="s">
        <v>45</v>
      </c>
      <c r="E22" s="11" t="s">
        <v>120</v>
      </c>
      <c r="F22" s="2" t="s">
        <v>45</v>
      </c>
      <c r="G22" s="2" t="s">
        <v>102</v>
      </c>
      <c r="H22" s="139">
        <f t="shared" si="4"/>
        <v>0</v>
      </c>
      <c r="I22" s="2" t="s">
        <v>48</v>
      </c>
      <c r="J22" s="2" t="s">
        <v>245</v>
      </c>
      <c r="K22" s="2">
        <f t="shared" si="31"/>
        <v>6</v>
      </c>
      <c r="L22" s="2">
        <v>98100000</v>
      </c>
      <c r="M22" s="2">
        <f t="shared" si="32"/>
        <v>7.9916690073799481</v>
      </c>
      <c r="N22" s="2">
        <v>98100000</v>
      </c>
      <c r="O22" s="2">
        <v>0</v>
      </c>
      <c r="P22" s="18">
        <v>40529</v>
      </c>
      <c r="Q22" s="89">
        <f t="shared" si="33"/>
        <v>2010</v>
      </c>
      <c r="R22" s="2" t="s">
        <v>49</v>
      </c>
      <c r="S22" s="2">
        <v>135160019</v>
      </c>
      <c r="T22" s="21">
        <f t="shared" si="0"/>
        <v>3.4684931506849317</v>
      </c>
      <c r="U22">
        <v>0</v>
      </c>
      <c r="V22">
        <f t="shared" si="34"/>
        <v>0</v>
      </c>
      <c r="W22">
        <v>1981</v>
      </c>
      <c r="X22">
        <v>26</v>
      </c>
      <c r="Y22">
        <f t="shared" si="35"/>
        <v>1.4313637641589874</v>
      </c>
      <c r="Z22" s="45">
        <v>2.95</v>
      </c>
      <c r="AA22" s="9">
        <f t="shared" si="1"/>
        <v>37060019</v>
      </c>
      <c r="AB22" s="15">
        <f t="shared" si="2"/>
        <v>0.37777797145769632</v>
      </c>
      <c r="AC22" s="34">
        <f t="shared" si="36"/>
        <v>0.13917923677347679</v>
      </c>
      <c r="AD22">
        <v>2800</v>
      </c>
      <c r="AE22">
        <f t="shared" si="11"/>
        <v>3.4471580313422194</v>
      </c>
      <c r="AF22">
        <v>6800</v>
      </c>
      <c r="AG22">
        <f t="shared" si="12"/>
        <v>3.8325089127062362</v>
      </c>
      <c r="AH22" s="9">
        <v>0</v>
      </c>
      <c r="AI22" s="9">
        <f t="shared" si="37"/>
        <v>0</v>
      </c>
      <c r="AJ22">
        <v>91.4</v>
      </c>
      <c r="AK22" s="15" t="s">
        <v>103</v>
      </c>
      <c r="AL22" s="42">
        <v>37.425715444240403</v>
      </c>
      <c r="AM22" s="24">
        <v>-0.17</v>
      </c>
      <c r="AN22" s="34">
        <f t="shared" si="38"/>
        <v>-8.092190762392612E-2</v>
      </c>
      <c r="AO22">
        <v>1984</v>
      </c>
      <c r="AP22">
        <v>23</v>
      </c>
      <c r="AQ22">
        <v>70</v>
      </c>
      <c r="AR22">
        <v>70</v>
      </c>
      <c r="AS22">
        <f t="shared" si="3"/>
        <v>0</v>
      </c>
      <c r="AT22">
        <f t="shared" si="39"/>
        <v>1</v>
      </c>
      <c r="AU22">
        <f t="shared" si="40"/>
        <v>0</v>
      </c>
      <c r="AV22">
        <f t="shared" si="41"/>
        <v>0</v>
      </c>
      <c r="AW22">
        <f t="shared" si="42"/>
        <v>0</v>
      </c>
      <c r="AX22">
        <f t="shared" si="43"/>
        <v>0</v>
      </c>
      <c r="AY22">
        <f t="shared" si="44"/>
        <v>0</v>
      </c>
      <c r="AZ22">
        <f t="shared" si="45"/>
        <v>0</v>
      </c>
      <c r="BA22">
        <f t="shared" si="46"/>
        <v>0</v>
      </c>
      <c r="BB22">
        <f t="shared" si="47"/>
        <v>0</v>
      </c>
      <c r="BC22">
        <f t="shared" si="48"/>
        <v>0</v>
      </c>
      <c r="BD22">
        <f t="shared" si="49"/>
        <v>0</v>
      </c>
      <c r="BE22">
        <f t="shared" si="50"/>
        <v>0</v>
      </c>
      <c r="BF22">
        <f t="shared" si="51"/>
        <v>0</v>
      </c>
      <c r="BG22">
        <f t="shared" si="52"/>
        <v>0</v>
      </c>
      <c r="BH22">
        <f t="shared" si="53"/>
        <v>0</v>
      </c>
      <c r="BI22">
        <f t="shared" si="54"/>
        <v>0</v>
      </c>
    </row>
    <row r="23" spans="1:61" x14ac:dyDescent="0.35">
      <c r="A23" t="s">
        <v>51</v>
      </c>
      <c r="B23" s="1">
        <v>39377</v>
      </c>
      <c r="C23" s="2" t="s">
        <v>121</v>
      </c>
      <c r="D23" s="2" t="s">
        <v>45</v>
      </c>
      <c r="E23" s="2" t="s">
        <v>122</v>
      </c>
      <c r="F23" s="2" t="s">
        <v>45</v>
      </c>
      <c r="G23" s="2" t="s">
        <v>102</v>
      </c>
      <c r="H23" s="139">
        <f t="shared" si="4"/>
        <v>0</v>
      </c>
      <c r="I23" s="2" t="s">
        <v>48</v>
      </c>
      <c r="J23" s="2" t="s">
        <v>248</v>
      </c>
      <c r="K23" s="2">
        <f t="shared" si="31"/>
        <v>5</v>
      </c>
      <c r="L23" s="2">
        <v>2607640000</v>
      </c>
      <c r="M23" s="2">
        <f t="shared" si="32"/>
        <v>9.4162476342971413</v>
      </c>
      <c r="N23" s="2">
        <v>1811170000</v>
      </c>
      <c r="O23" s="2">
        <v>796470000</v>
      </c>
      <c r="P23" s="18">
        <v>41215</v>
      </c>
      <c r="Q23" s="89">
        <f t="shared" si="33"/>
        <v>2012</v>
      </c>
      <c r="R23" s="2" t="s">
        <v>107</v>
      </c>
      <c r="S23" s="2">
        <v>3700000000</v>
      </c>
      <c r="T23" s="21">
        <f t="shared" si="0"/>
        <v>5.0356164383561648</v>
      </c>
      <c r="U23">
        <v>0</v>
      </c>
      <c r="V23">
        <f t="shared" si="34"/>
        <v>0</v>
      </c>
      <c r="W23">
        <v>1975</v>
      </c>
      <c r="X23">
        <v>32</v>
      </c>
      <c r="Y23">
        <f t="shared" si="35"/>
        <v>1.5185139398778875</v>
      </c>
      <c r="Z23" s="45">
        <v>2.95</v>
      </c>
      <c r="AA23" s="9">
        <f t="shared" si="1"/>
        <v>1888830000</v>
      </c>
      <c r="AB23" s="15">
        <f t="shared" si="2"/>
        <v>0.4189075179089139</v>
      </c>
      <c r="AC23" s="34">
        <f t="shared" si="36"/>
        <v>0.15195408976985428</v>
      </c>
      <c r="AD23">
        <v>2108.7257617728528</v>
      </c>
      <c r="AE23">
        <f t="shared" si="11"/>
        <v>3.3240201037352737</v>
      </c>
      <c r="AF23">
        <v>5865.6509695290861</v>
      </c>
      <c r="AG23">
        <f t="shared" si="12"/>
        <v>3.7683162170970865</v>
      </c>
      <c r="AH23" s="9">
        <v>0</v>
      </c>
      <c r="AI23" s="9">
        <f t="shared" si="37"/>
        <v>0</v>
      </c>
      <c r="AJ23">
        <v>91.4</v>
      </c>
      <c r="AK23" s="15" t="s">
        <v>103</v>
      </c>
      <c r="AL23" s="42">
        <v>37.425715444240403</v>
      </c>
      <c r="AM23" s="24">
        <v>-0.06</v>
      </c>
      <c r="AN23" s="34">
        <f t="shared" si="38"/>
        <v>-2.6872146400301365E-2</v>
      </c>
      <c r="AO23">
        <v>1984</v>
      </c>
      <c r="AP23">
        <v>23</v>
      </c>
      <c r="AQ23">
        <v>70</v>
      </c>
      <c r="AR23">
        <v>70</v>
      </c>
      <c r="AS23">
        <f t="shared" si="3"/>
        <v>0</v>
      </c>
      <c r="AT23">
        <f t="shared" si="39"/>
        <v>1</v>
      </c>
      <c r="AU23">
        <f t="shared" si="40"/>
        <v>0</v>
      </c>
      <c r="AV23">
        <f t="shared" si="41"/>
        <v>0</v>
      </c>
      <c r="AW23">
        <f t="shared" si="42"/>
        <v>0</v>
      </c>
      <c r="AX23">
        <f t="shared" si="43"/>
        <v>0</v>
      </c>
      <c r="AY23">
        <f t="shared" si="44"/>
        <v>0</v>
      </c>
      <c r="AZ23">
        <f t="shared" si="45"/>
        <v>0</v>
      </c>
      <c r="BA23">
        <f t="shared" si="46"/>
        <v>0</v>
      </c>
      <c r="BB23">
        <f t="shared" si="47"/>
        <v>0</v>
      </c>
      <c r="BC23">
        <f t="shared" si="48"/>
        <v>0</v>
      </c>
      <c r="BD23">
        <f t="shared" si="49"/>
        <v>0</v>
      </c>
      <c r="BE23">
        <f t="shared" si="50"/>
        <v>0</v>
      </c>
      <c r="BF23">
        <f t="shared" si="51"/>
        <v>0</v>
      </c>
      <c r="BG23">
        <f t="shared" si="52"/>
        <v>0</v>
      </c>
      <c r="BH23">
        <f t="shared" si="53"/>
        <v>0</v>
      </c>
      <c r="BI23">
        <f t="shared" si="54"/>
        <v>0</v>
      </c>
    </row>
    <row r="24" spans="1:61" x14ac:dyDescent="0.35">
      <c r="A24" t="s">
        <v>51</v>
      </c>
      <c r="B24" s="1">
        <v>39377</v>
      </c>
      <c r="C24" s="2" t="s">
        <v>123</v>
      </c>
      <c r="D24" s="2" t="s">
        <v>2</v>
      </c>
      <c r="E24" s="11" t="s">
        <v>124</v>
      </c>
      <c r="F24" s="2" t="s">
        <v>59</v>
      </c>
      <c r="G24" s="2" t="s">
        <v>125</v>
      </c>
      <c r="H24" s="139">
        <f t="shared" si="4"/>
        <v>1</v>
      </c>
      <c r="I24" s="92" t="s">
        <v>48</v>
      </c>
      <c r="J24" s="2" t="s">
        <v>183</v>
      </c>
      <c r="K24" s="2">
        <f t="shared" si="31"/>
        <v>3</v>
      </c>
      <c r="L24" s="2">
        <v>1490900000</v>
      </c>
      <c r="M24" s="2">
        <f t="shared" si="32"/>
        <v>9.1734485147443152</v>
      </c>
      <c r="N24" s="2">
        <v>1108170000</v>
      </c>
      <c r="O24" s="2">
        <v>382730000</v>
      </c>
      <c r="P24" s="18">
        <v>43245</v>
      </c>
      <c r="Q24" s="89">
        <f t="shared" si="33"/>
        <v>2018</v>
      </c>
      <c r="R24" s="2" t="s">
        <v>74</v>
      </c>
      <c r="S24" s="2">
        <v>4600000000</v>
      </c>
      <c r="T24" s="21">
        <f t="shared" si="0"/>
        <v>10.597260273972603</v>
      </c>
      <c r="U24">
        <v>917.19</v>
      </c>
      <c r="V24">
        <f t="shared" si="34"/>
        <v>2.9629325585580042</v>
      </c>
      <c r="W24">
        <v>1952</v>
      </c>
      <c r="X24">
        <v>55</v>
      </c>
      <c r="Y24">
        <f t="shared" si="35"/>
        <v>1.7481880270062005</v>
      </c>
      <c r="Z24" s="45">
        <v>2.62</v>
      </c>
      <c r="AA24" s="9">
        <f t="shared" si="1"/>
        <v>3491830000</v>
      </c>
      <c r="AB24" s="15">
        <f t="shared" si="2"/>
        <v>2.0853846669796767</v>
      </c>
      <c r="AC24" s="34">
        <f t="shared" si="36"/>
        <v>0.48930931693725965</v>
      </c>
      <c r="AD24">
        <v>2028.1233098972416</v>
      </c>
      <c r="AE24">
        <f t="shared" si="11"/>
        <v>3.3070943565685456</v>
      </c>
      <c r="AF24">
        <v>3910.2217414818824</v>
      </c>
      <c r="AG24">
        <f t="shared" si="12"/>
        <v>3.5922013861353577</v>
      </c>
      <c r="AH24" s="9">
        <v>854.66666666666697</v>
      </c>
      <c r="AI24" s="9">
        <f t="shared" si="37"/>
        <v>2.9323046139517812</v>
      </c>
      <c r="AJ24">
        <v>88.9</v>
      </c>
      <c r="AK24" s="15" t="s">
        <v>126</v>
      </c>
      <c r="AL24" s="42">
        <v>42.817370475444001</v>
      </c>
      <c r="AM24" s="24">
        <v>0.81</v>
      </c>
      <c r="AN24" s="34">
        <f t="shared" si="38"/>
        <v>0.2576785748691845</v>
      </c>
      <c r="AO24">
        <v>1969</v>
      </c>
      <c r="AP24">
        <v>38</v>
      </c>
      <c r="AQ24">
        <v>70</v>
      </c>
      <c r="AR24">
        <v>70</v>
      </c>
      <c r="AS24">
        <f t="shared" si="3"/>
        <v>0</v>
      </c>
      <c r="AT24">
        <f t="shared" si="39"/>
        <v>0</v>
      </c>
      <c r="AU24">
        <f t="shared" si="40"/>
        <v>0</v>
      </c>
      <c r="AV24">
        <f t="shared" si="41"/>
        <v>0</v>
      </c>
      <c r="AW24">
        <f t="shared" si="42"/>
        <v>0</v>
      </c>
      <c r="AX24">
        <f t="shared" si="43"/>
        <v>0</v>
      </c>
      <c r="AY24">
        <f t="shared" si="44"/>
        <v>0</v>
      </c>
      <c r="AZ24">
        <f t="shared" si="45"/>
        <v>0</v>
      </c>
      <c r="BA24">
        <f t="shared" si="46"/>
        <v>0</v>
      </c>
      <c r="BB24">
        <f t="shared" si="47"/>
        <v>1</v>
      </c>
      <c r="BC24">
        <f t="shared" si="48"/>
        <v>0</v>
      </c>
      <c r="BD24">
        <f t="shared" si="49"/>
        <v>0</v>
      </c>
      <c r="BE24">
        <f t="shared" si="50"/>
        <v>0</v>
      </c>
      <c r="BF24">
        <f t="shared" si="51"/>
        <v>0</v>
      </c>
      <c r="BG24">
        <f t="shared" si="52"/>
        <v>0</v>
      </c>
      <c r="BH24">
        <f t="shared" si="53"/>
        <v>0</v>
      </c>
      <c r="BI24">
        <f t="shared" si="54"/>
        <v>0</v>
      </c>
    </row>
    <row r="25" spans="1:61" x14ac:dyDescent="0.35">
      <c r="A25" t="s">
        <v>51</v>
      </c>
      <c r="B25" s="1">
        <v>39486</v>
      </c>
      <c r="C25" s="2" t="s">
        <v>127</v>
      </c>
      <c r="D25" s="2" t="s">
        <v>59</v>
      </c>
      <c r="E25" s="11" t="s">
        <v>128</v>
      </c>
      <c r="F25" s="2" t="s">
        <v>59</v>
      </c>
      <c r="G25" s="2" t="s">
        <v>47</v>
      </c>
      <c r="H25" s="139">
        <f t="shared" si="4"/>
        <v>0</v>
      </c>
      <c r="I25" s="2" t="s">
        <v>48</v>
      </c>
      <c r="J25" s="2" t="s">
        <v>235</v>
      </c>
      <c r="K25" s="2">
        <f t="shared" si="31"/>
        <v>1</v>
      </c>
      <c r="L25" s="2">
        <v>1570750000</v>
      </c>
      <c r="M25" s="2">
        <f t="shared" si="32"/>
        <v>9.1961070683879775</v>
      </c>
      <c r="N25" s="2">
        <v>1224550000</v>
      </c>
      <c r="O25" s="2">
        <v>346200000</v>
      </c>
      <c r="P25" s="18">
        <v>41243</v>
      </c>
      <c r="Q25" s="89">
        <f t="shared" si="33"/>
        <v>2012</v>
      </c>
      <c r="R25" s="2" t="s">
        <v>117</v>
      </c>
      <c r="S25" s="2">
        <v>0</v>
      </c>
      <c r="T25" s="21">
        <f t="shared" si="0"/>
        <v>4.8136986301369866</v>
      </c>
      <c r="U25">
        <v>0</v>
      </c>
      <c r="V25">
        <f t="shared" si="34"/>
        <v>0</v>
      </c>
      <c r="W25">
        <v>1912</v>
      </c>
      <c r="X25">
        <v>96</v>
      </c>
      <c r="Y25">
        <f t="shared" si="35"/>
        <v>1.9867717342662448</v>
      </c>
      <c r="Z25" s="45">
        <v>3.29</v>
      </c>
      <c r="AA25" s="9">
        <f t="shared" si="1"/>
        <v>-1224550000</v>
      </c>
      <c r="AB25" s="15">
        <f t="shared" si="2"/>
        <v>-1</v>
      </c>
      <c r="AC25" s="34">
        <f t="shared" si="36"/>
        <v>-1</v>
      </c>
      <c r="AD25">
        <v>1564.6831074825357</v>
      </c>
      <c r="AE25">
        <f t="shared" si="11"/>
        <v>3.1944263938906516</v>
      </c>
      <c r="AF25">
        <v>8454.6755323625966</v>
      </c>
      <c r="AG25">
        <f t="shared" si="12"/>
        <v>3.9270969452030209</v>
      </c>
      <c r="AH25" s="9">
        <v>0</v>
      </c>
      <c r="AI25" s="9">
        <f t="shared" si="37"/>
        <v>0</v>
      </c>
      <c r="AJ25">
        <v>90.8</v>
      </c>
      <c r="AK25" s="15" t="s">
        <v>89</v>
      </c>
      <c r="AL25" s="42">
        <v>44.4007960521485</v>
      </c>
      <c r="AM25" s="24">
        <v>0.06</v>
      </c>
      <c r="AN25" s="34">
        <f t="shared" si="38"/>
        <v>2.5305865264770262E-2</v>
      </c>
      <c r="AO25">
        <v>1968</v>
      </c>
      <c r="AP25">
        <v>40</v>
      </c>
      <c r="AQ25">
        <v>70</v>
      </c>
      <c r="AR25">
        <v>70</v>
      </c>
      <c r="AS25">
        <f t="shared" si="3"/>
        <v>1</v>
      </c>
      <c r="AT25">
        <f t="shared" si="39"/>
        <v>0</v>
      </c>
      <c r="AU25">
        <f t="shared" si="40"/>
        <v>1</v>
      </c>
      <c r="AV25">
        <f t="shared" si="41"/>
        <v>0</v>
      </c>
      <c r="AW25">
        <f t="shared" si="42"/>
        <v>0</v>
      </c>
      <c r="AX25">
        <f t="shared" si="43"/>
        <v>0</v>
      </c>
      <c r="AY25">
        <f t="shared" si="44"/>
        <v>0</v>
      </c>
      <c r="AZ25">
        <f t="shared" si="45"/>
        <v>0</v>
      </c>
      <c r="BA25">
        <f t="shared" si="46"/>
        <v>0</v>
      </c>
      <c r="BB25">
        <f t="shared" si="47"/>
        <v>0</v>
      </c>
      <c r="BC25">
        <f t="shared" si="48"/>
        <v>0</v>
      </c>
      <c r="BD25">
        <f t="shared" si="49"/>
        <v>0</v>
      </c>
      <c r="BE25">
        <f t="shared" si="50"/>
        <v>0</v>
      </c>
      <c r="BF25">
        <f t="shared" si="51"/>
        <v>0</v>
      </c>
      <c r="BG25">
        <f t="shared" si="52"/>
        <v>0</v>
      </c>
      <c r="BH25">
        <f t="shared" si="53"/>
        <v>0</v>
      </c>
      <c r="BI25">
        <f t="shared" si="54"/>
        <v>0</v>
      </c>
    </row>
    <row r="26" spans="1:61" x14ac:dyDescent="0.35">
      <c r="A26" t="s">
        <v>51</v>
      </c>
      <c r="B26" s="1">
        <v>40076</v>
      </c>
      <c r="C26" s="2" t="s">
        <v>129</v>
      </c>
      <c r="D26" s="2" t="s">
        <v>59</v>
      </c>
      <c r="E26" s="2" t="s">
        <v>83</v>
      </c>
      <c r="F26" s="2" t="s">
        <v>59</v>
      </c>
      <c r="G26" s="2" t="s">
        <v>102</v>
      </c>
      <c r="H26" s="139">
        <f t="shared" si="4"/>
        <v>0</v>
      </c>
      <c r="I26" s="2" t="s">
        <v>48</v>
      </c>
      <c r="J26" s="2" t="s">
        <v>245</v>
      </c>
      <c r="K26" s="2">
        <f t="shared" si="31"/>
        <v>6</v>
      </c>
      <c r="L26" s="2">
        <v>222300000</v>
      </c>
      <c r="M26" s="2">
        <f t="shared" si="32"/>
        <v>8.346939462698991</v>
      </c>
      <c r="N26" s="2">
        <v>225500000</v>
      </c>
      <c r="O26" s="2">
        <v>-3200000</v>
      </c>
      <c r="P26" s="18">
        <v>43238</v>
      </c>
      <c r="Q26" s="89">
        <f t="shared" si="33"/>
        <v>2018</v>
      </c>
      <c r="R26" s="2" t="s">
        <v>69</v>
      </c>
      <c r="S26" s="2">
        <v>482708888</v>
      </c>
      <c r="T26" s="21">
        <f t="shared" si="0"/>
        <v>8.6630136986301363</v>
      </c>
      <c r="U26">
        <v>0</v>
      </c>
      <c r="V26">
        <f t="shared" si="34"/>
        <v>0</v>
      </c>
      <c r="W26">
        <v>2004</v>
      </c>
      <c r="X26">
        <v>5</v>
      </c>
      <c r="Y26">
        <f t="shared" si="35"/>
        <v>0.77815125038364363</v>
      </c>
      <c r="Z26" s="45">
        <v>3.29</v>
      </c>
      <c r="AA26" s="9">
        <f t="shared" si="1"/>
        <v>257208888</v>
      </c>
      <c r="AB26" s="15">
        <f t="shared" si="2"/>
        <v>1.1714299955015743</v>
      </c>
      <c r="AC26" s="34">
        <f t="shared" si="36"/>
        <v>0.33674583275077291</v>
      </c>
      <c r="AD26">
        <v>1861.76</v>
      </c>
      <c r="AE26">
        <f t="shared" si="11"/>
        <v>3.2699236952309465</v>
      </c>
      <c r="AF26">
        <v>4993.92</v>
      </c>
      <c r="AG26">
        <f t="shared" si="12"/>
        <v>3.6984415808994222</v>
      </c>
      <c r="AH26" s="9">
        <v>0</v>
      </c>
      <c r="AI26" s="9">
        <f t="shared" si="37"/>
        <v>0</v>
      </c>
      <c r="AJ26">
        <v>89.8</v>
      </c>
      <c r="AK26" s="15" t="s">
        <v>130</v>
      </c>
      <c r="AL26" s="42">
        <v>47.307367293927399</v>
      </c>
      <c r="AM26" s="24">
        <v>1.54</v>
      </c>
      <c r="AN26" s="34">
        <f t="shared" si="38"/>
        <v>0.40483371661993806</v>
      </c>
      <c r="AO26">
        <v>1985</v>
      </c>
      <c r="AP26">
        <v>24</v>
      </c>
      <c r="AQ26">
        <v>70</v>
      </c>
      <c r="AR26">
        <v>70</v>
      </c>
      <c r="AS26">
        <f t="shared" si="3"/>
        <v>0</v>
      </c>
      <c r="AT26">
        <f t="shared" si="39"/>
        <v>0</v>
      </c>
      <c r="AU26">
        <f t="shared" si="40"/>
        <v>1</v>
      </c>
      <c r="AV26">
        <f t="shared" si="41"/>
        <v>0</v>
      </c>
      <c r="AW26">
        <f t="shared" si="42"/>
        <v>0</v>
      </c>
      <c r="AX26">
        <f t="shared" si="43"/>
        <v>0</v>
      </c>
      <c r="AY26">
        <f t="shared" si="44"/>
        <v>0</v>
      </c>
      <c r="AZ26">
        <f t="shared" si="45"/>
        <v>0</v>
      </c>
      <c r="BA26">
        <f t="shared" si="46"/>
        <v>0</v>
      </c>
      <c r="BB26">
        <f t="shared" si="47"/>
        <v>0</v>
      </c>
      <c r="BC26">
        <f t="shared" si="48"/>
        <v>0</v>
      </c>
      <c r="BD26">
        <f t="shared" si="49"/>
        <v>0</v>
      </c>
      <c r="BE26">
        <f t="shared" si="50"/>
        <v>0</v>
      </c>
      <c r="BF26">
        <f t="shared" si="51"/>
        <v>0</v>
      </c>
      <c r="BG26">
        <f t="shared" si="52"/>
        <v>0</v>
      </c>
      <c r="BH26">
        <f t="shared" si="53"/>
        <v>0</v>
      </c>
      <c r="BI26">
        <f t="shared" si="54"/>
        <v>0</v>
      </c>
    </row>
    <row r="27" spans="1:61" x14ac:dyDescent="0.35">
      <c r="A27" t="s">
        <v>131</v>
      </c>
      <c r="B27" s="1">
        <v>40220</v>
      </c>
      <c r="C27" s="2" t="s">
        <v>132</v>
      </c>
      <c r="D27" s="2" t="s">
        <v>59</v>
      </c>
      <c r="E27" s="11" t="s">
        <v>133</v>
      </c>
      <c r="F27" s="2" t="s">
        <v>59</v>
      </c>
      <c r="G27" s="2" t="s">
        <v>102</v>
      </c>
      <c r="H27" s="139">
        <f t="shared" si="4"/>
        <v>0</v>
      </c>
      <c r="I27" s="2" t="s">
        <v>48</v>
      </c>
      <c r="J27" s="2" t="s">
        <v>245</v>
      </c>
      <c r="K27" s="2">
        <f t="shared" si="31"/>
        <v>6</v>
      </c>
      <c r="L27" s="2">
        <v>185000000</v>
      </c>
      <c r="M27" s="2">
        <f t="shared" si="32"/>
        <v>8.2671717284030137</v>
      </c>
      <c r="N27" s="2">
        <v>185000000</v>
      </c>
      <c r="O27" s="2">
        <v>0</v>
      </c>
      <c r="P27" s="18">
        <v>41355</v>
      </c>
      <c r="Q27" s="89">
        <f t="shared" si="33"/>
        <v>2013</v>
      </c>
      <c r="R27" s="2" t="s">
        <v>49</v>
      </c>
      <c r="S27" s="2">
        <v>446317819</v>
      </c>
      <c r="T27" s="21">
        <f t="shared" si="0"/>
        <v>3.1095890410958904</v>
      </c>
      <c r="U27">
        <v>0</v>
      </c>
      <c r="V27">
        <f t="shared" si="34"/>
        <v>0</v>
      </c>
      <c r="W27">
        <v>2000</v>
      </c>
      <c r="X27">
        <v>10</v>
      </c>
      <c r="Y27">
        <f t="shared" si="35"/>
        <v>1.0413926851582251</v>
      </c>
      <c r="Z27" s="45">
        <v>3.29</v>
      </c>
      <c r="AA27" s="9">
        <f t="shared" si="1"/>
        <v>261317819</v>
      </c>
      <c r="AB27" s="15">
        <f t="shared" si="2"/>
        <v>1.4125287513513514</v>
      </c>
      <c r="AC27" s="34">
        <f t="shared" si="36"/>
        <v>0.38247249775835224</v>
      </c>
      <c r="AD27">
        <v>1539.0581717451521</v>
      </c>
      <c r="AE27">
        <f t="shared" si="11"/>
        <v>3.1872550351599198</v>
      </c>
      <c r="AF27" s="14">
        <v>7713.0193905817187</v>
      </c>
      <c r="AG27">
        <f t="shared" si="12"/>
        <v>3.8872244231830928</v>
      </c>
      <c r="AH27" s="9">
        <v>0</v>
      </c>
      <c r="AI27" s="9">
        <f t="shared" si="37"/>
        <v>0</v>
      </c>
      <c r="AJ27">
        <v>94.9</v>
      </c>
      <c r="AK27" s="15" t="s">
        <v>89</v>
      </c>
      <c r="AL27" s="42">
        <v>47.560703662314701</v>
      </c>
      <c r="AM27" s="24">
        <v>0.44</v>
      </c>
      <c r="AN27" s="34">
        <f t="shared" si="38"/>
        <v>0.15836249209524964</v>
      </c>
      <c r="AO27">
        <v>1999</v>
      </c>
      <c r="AP27">
        <v>11</v>
      </c>
      <c r="AQ27">
        <v>70</v>
      </c>
      <c r="AR27">
        <v>70</v>
      </c>
      <c r="AS27">
        <f t="shared" si="3"/>
        <v>0</v>
      </c>
      <c r="AT27">
        <f t="shared" si="39"/>
        <v>0</v>
      </c>
      <c r="AU27">
        <f t="shared" si="40"/>
        <v>1</v>
      </c>
      <c r="AV27">
        <f t="shared" si="41"/>
        <v>0</v>
      </c>
      <c r="AW27">
        <f t="shared" si="42"/>
        <v>0</v>
      </c>
      <c r="AX27">
        <f t="shared" si="43"/>
        <v>0</v>
      </c>
      <c r="AY27">
        <f t="shared" si="44"/>
        <v>0</v>
      </c>
      <c r="AZ27">
        <f t="shared" si="45"/>
        <v>0</v>
      </c>
      <c r="BA27">
        <f t="shared" si="46"/>
        <v>0</v>
      </c>
      <c r="BB27">
        <f t="shared" si="47"/>
        <v>0</v>
      </c>
      <c r="BC27">
        <f t="shared" si="48"/>
        <v>0</v>
      </c>
      <c r="BD27">
        <f t="shared" si="49"/>
        <v>0</v>
      </c>
      <c r="BE27">
        <f t="shared" si="50"/>
        <v>0</v>
      </c>
      <c r="BF27">
        <f t="shared" si="51"/>
        <v>0</v>
      </c>
      <c r="BG27">
        <f t="shared" si="52"/>
        <v>0</v>
      </c>
      <c r="BH27">
        <f t="shared" si="53"/>
        <v>0</v>
      </c>
      <c r="BI27">
        <f t="shared" si="54"/>
        <v>0</v>
      </c>
    </row>
    <row r="28" spans="1:61" x14ac:dyDescent="0.35">
      <c r="A28" t="s">
        <v>51</v>
      </c>
      <c r="B28" s="1">
        <v>40441</v>
      </c>
      <c r="C28" s="2" t="s">
        <v>134</v>
      </c>
      <c r="D28" s="2" t="s">
        <v>45</v>
      </c>
      <c r="E28" s="2" t="s">
        <v>135</v>
      </c>
      <c r="F28" s="2" t="s">
        <v>45</v>
      </c>
      <c r="G28" s="2" t="s">
        <v>102</v>
      </c>
      <c r="H28" s="139">
        <f t="shared" si="4"/>
        <v>0</v>
      </c>
      <c r="I28" s="2" t="s">
        <v>48</v>
      </c>
      <c r="J28" s="2" t="s">
        <v>178</v>
      </c>
      <c r="K28" s="2">
        <f t="shared" si="31"/>
        <v>9</v>
      </c>
      <c r="L28" s="2">
        <v>537340000</v>
      </c>
      <c r="M28" s="2">
        <f t="shared" si="32"/>
        <v>8.7302491709849903</v>
      </c>
      <c r="N28" s="2">
        <v>596040000</v>
      </c>
      <c r="O28" s="2">
        <v>-58700000</v>
      </c>
      <c r="P28" s="18">
        <v>41793</v>
      </c>
      <c r="Q28" s="89">
        <f t="shared" si="33"/>
        <v>2014</v>
      </c>
      <c r="R28" s="2" t="s">
        <v>54</v>
      </c>
      <c r="S28" s="2">
        <v>1100000000</v>
      </c>
      <c r="T28" s="21">
        <f t="shared" si="0"/>
        <v>3.7041095890410958</v>
      </c>
      <c r="U28">
        <v>0</v>
      </c>
      <c r="V28">
        <f t="shared" si="34"/>
        <v>0</v>
      </c>
      <c r="W28">
        <v>1998</v>
      </c>
      <c r="X28">
        <v>12</v>
      </c>
      <c r="Y28">
        <f t="shared" si="35"/>
        <v>1.1139433523068367</v>
      </c>
      <c r="Z28" s="45">
        <v>2.95</v>
      </c>
      <c r="AA28" s="9">
        <f t="shared" si="1"/>
        <v>503960000</v>
      </c>
      <c r="AB28" s="15">
        <f t="shared" si="2"/>
        <v>1.0471210034614957</v>
      </c>
      <c r="AC28" s="34">
        <f t="shared" si="36"/>
        <v>0.31114351417323516</v>
      </c>
      <c r="AD28">
        <v>2108.7257617728528</v>
      </c>
      <c r="AE28">
        <f t="shared" si="11"/>
        <v>3.3240201037352737</v>
      </c>
      <c r="AF28">
        <v>5865.6509695290861</v>
      </c>
      <c r="AG28">
        <f t="shared" si="12"/>
        <v>3.7683162170970865</v>
      </c>
      <c r="AH28" s="9">
        <v>0</v>
      </c>
      <c r="AI28" s="9">
        <f t="shared" si="37"/>
        <v>0</v>
      </c>
      <c r="AJ28">
        <v>91.3</v>
      </c>
      <c r="AK28" s="15" t="s">
        <v>136</v>
      </c>
      <c r="AL28" s="42">
        <v>43.1672842383418</v>
      </c>
      <c r="AM28" s="24">
        <v>0.68</v>
      </c>
      <c r="AN28" s="34">
        <f t="shared" si="38"/>
        <v>0.2253092817258629</v>
      </c>
      <c r="AO28">
        <v>1984</v>
      </c>
      <c r="AP28">
        <v>26</v>
      </c>
      <c r="AQ28">
        <v>70</v>
      </c>
      <c r="AR28">
        <v>70</v>
      </c>
      <c r="AS28">
        <f t="shared" si="3"/>
        <v>0</v>
      </c>
      <c r="AT28">
        <f t="shared" si="39"/>
        <v>1</v>
      </c>
      <c r="AU28">
        <f t="shared" si="40"/>
        <v>0</v>
      </c>
      <c r="AV28">
        <f t="shared" si="41"/>
        <v>0</v>
      </c>
      <c r="AW28">
        <f t="shared" si="42"/>
        <v>0</v>
      </c>
      <c r="AX28">
        <f t="shared" si="43"/>
        <v>0</v>
      </c>
      <c r="AY28">
        <f t="shared" si="44"/>
        <v>0</v>
      </c>
      <c r="AZ28">
        <f t="shared" si="45"/>
        <v>0</v>
      </c>
      <c r="BA28">
        <f t="shared" si="46"/>
        <v>0</v>
      </c>
      <c r="BB28">
        <f t="shared" si="47"/>
        <v>0</v>
      </c>
      <c r="BC28">
        <f t="shared" si="48"/>
        <v>0</v>
      </c>
      <c r="BD28">
        <f t="shared" si="49"/>
        <v>0</v>
      </c>
      <c r="BE28">
        <f t="shared" si="50"/>
        <v>0</v>
      </c>
      <c r="BF28">
        <f t="shared" si="51"/>
        <v>0</v>
      </c>
      <c r="BG28">
        <f t="shared" si="52"/>
        <v>0</v>
      </c>
      <c r="BH28">
        <f t="shared" si="53"/>
        <v>0</v>
      </c>
      <c r="BI28">
        <f t="shared" si="54"/>
        <v>0</v>
      </c>
    </row>
    <row r="29" spans="1:61" x14ac:dyDescent="0.35">
      <c r="A29" t="s">
        <v>51</v>
      </c>
      <c r="B29" s="1">
        <v>40508</v>
      </c>
      <c r="C29" s="2" t="s">
        <v>137</v>
      </c>
      <c r="D29" s="2" t="s">
        <v>45</v>
      </c>
      <c r="E29" s="11" t="s">
        <v>138</v>
      </c>
      <c r="F29" s="2" t="s">
        <v>45</v>
      </c>
      <c r="G29" s="2" t="s">
        <v>47</v>
      </c>
      <c r="H29" s="139">
        <f t="shared" si="4"/>
        <v>0</v>
      </c>
      <c r="I29" s="2" t="s">
        <v>48</v>
      </c>
      <c r="J29" s="2" t="s">
        <v>186</v>
      </c>
      <c r="K29" s="2">
        <f t="shared" si="31"/>
        <v>4</v>
      </c>
      <c r="L29" s="2">
        <v>517570000</v>
      </c>
      <c r="M29" s="2">
        <f t="shared" si="32"/>
        <v>8.713969095303522</v>
      </c>
      <c r="N29" s="2">
        <v>369820000</v>
      </c>
      <c r="O29" s="2">
        <v>147750000</v>
      </c>
      <c r="P29" s="18">
        <v>42921</v>
      </c>
      <c r="Q29" s="89">
        <f t="shared" si="33"/>
        <v>2017</v>
      </c>
      <c r="R29" s="2" t="s">
        <v>54</v>
      </c>
      <c r="S29" s="2">
        <v>800000000</v>
      </c>
      <c r="T29" s="21">
        <f t="shared" si="0"/>
        <v>6.6109589041095891</v>
      </c>
      <c r="U29">
        <v>0</v>
      </c>
      <c r="V29">
        <f t="shared" si="34"/>
        <v>0</v>
      </c>
      <c r="W29">
        <v>1995</v>
      </c>
      <c r="X29">
        <v>15</v>
      </c>
      <c r="Y29">
        <f t="shared" si="35"/>
        <v>1.2041199826559248</v>
      </c>
      <c r="Z29" s="45">
        <v>2.95</v>
      </c>
      <c r="AA29" s="9">
        <f t="shared" si="1"/>
        <v>430180000</v>
      </c>
      <c r="AB29" s="15">
        <f t="shared" si="2"/>
        <v>0.54568464169097908</v>
      </c>
      <c r="AC29" s="34">
        <f t="shared" si="36"/>
        <v>0.18912089168842117</v>
      </c>
      <c r="AD29">
        <v>2210.8843537414964</v>
      </c>
      <c r="AE29">
        <f t="shared" si="11"/>
        <v>3.3445660262306984</v>
      </c>
      <c r="AF29" s="14">
        <v>9535.1473922902496</v>
      </c>
      <c r="AG29">
        <f t="shared" si="12"/>
        <v>3.9793274106660923</v>
      </c>
      <c r="AH29" s="9">
        <v>0</v>
      </c>
      <c r="AI29" s="9">
        <f t="shared" si="37"/>
        <v>0</v>
      </c>
      <c r="AJ29">
        <v>91.3</v>
      </c>
      <c r="AK29" s="15" t="s">
        <v>136</v>
      </c>
      <c r="AL29" s="42">
        <v>43.1672842383418</v>
      </c>
      <c r="AM29" s="24">
        <v>1.05</v>
      </c>
      <c r="AN29" s="34">
        <f t="shared" si="38"/>
        <v>0.31175386105575426</v>
      </c>
      <c r="AO29">
        <v>1992</v>
      </c>
      <c r="AP29">
        <v>18</v>
      </c>
      <c r="AQ29">
        <v>70</v>
      </c>
      <c r="AR29">
        <v>70</v>
      </c>
      <c r="AS29">
        <f t="shared" si="3"/>
        <v>0</v>
      </c>
      <c r="AT29">
        <f t="shared" si="39"/>
        <v>1</v>
      </c>
      <c r="AU29">
        <f t="shared" si="40"/>
        <v>0</v>
      </c>
      <c r="AV29">
        <f t="shared" si="41"/>
        <v>0</v>
      </c>
      <c r="AW29">
        <f t="shared" si="42"/>
        <v>0</v>
      </c>
      <c r="AX29">
        <f t="shared" si="43"/>
        <v>0</v>
      </c>
      <c r="AY29">
        <f t="shared" si="44"/>
        <v>0</v>
      </c>
      <c r="AZ29">
        <f t="shared" si="45"/>
        <v>0</v>
      </c>
      <c r="BA29">
        <f t="shared" si="46"/>
        <v>0</v>
      </c>
      <c r="BB29">
        <f t="shared" si="47"/>
        <v>0</v>
      </c>
      <c r="BC29">
        <f t="shared" si="48"/>
        <v>0</v>
      </c>
      <c r="BD29">
        <f t="shared" si="49"/>
        <v>0</v>
      </c>
      <c r="BE29">
        <f t="shared" si="50"/>
        <v>0</v>
      </c>
      <c r="BF29">
        <f t="shared" si="51"/>
        <v>0</v>
      </c>
      <c r="BG29">
        <f t="shared" si="52"/>
        <v>0</v>
      </c>
      <c r="BH29">
        <f t="shared" si="53"/>
        <v>0</v>
      </c>
      <c r="BI29">
        <f t="shared" si="54"/>
        <v>0</v>
      </c>
    </row>
    <row r="30" spans="1:61" x14ac:dyDescent="0.35">
      <c r="A30" t="s">
        <v>51</v>
      </c>
      <c r="B30" s="1">
        <v>40886</v>
      </c>
      <c r="C30" s="2" t="s">
        <v>139</v>
      </c>
      <c r="D30" s="2" t="s">
        <v>45</v>
      </c>
      <c r="E30" s="11" t="s">
        <v>140</v>
      </c>
      <c r="F30" s="2" t="s">
        <v>45</v>
      </c>
      <c r="G30" s="2" t="s">
        <v>47</v>
      </c>
      <c r="H30" s="139">
        <f t="shared" si="4"/>
        <v>0</v>
      </c>
      <c r="I30" s="2" t="s">
        <v>48</v>
      </c>
      <c r="J30" s="2" t="s">
        <v>178</v>
      </c>
      <c r="K30" s="2">
        <f t="shared" si="31"/>
        <v>9</v>
      </c>
      <c r="L30" s="2">
        <v>942940000</v>
      </c>
      <c r="M30" s="2">
        <f t="shared" si="32"/>
        <v>8.9744840591234034</v>
      </c>
      <c r="N30" s="2">
        <v>1225750000</v>
      </c>
      <c r="O30" s="2">
        <v>-282810000</v>
      </c>
      <c r="P30" s="18">
        <v>42150</v>
      </c>
      <c r="Q30" s="89">
        <f t="shared" si="33"/>
        <v>2015</v>
      </c>
      <c r="R30" s="2" t="s">
        <v>54</v>
      </c>
      <c r="S30" s="2">
        <v>2400000000</v>
      </c>
      <c r="T30" s="21">
        <f t="shared" si="0"/>
        <v>3.463013698630137</v>
      </c>
      <c r="U30">
        <v>0</v>
      </c>
      <c r="V30">
        <f t="shared" si="34"/>
        <v>0</v>
      </c>
      <c r="W30">
        <v>1996</v>
      </c>
      <c r="X30">
        <v>15</v>
      </c>
      <c r="Y30">
        <f t="shared" si="35"/>
        <v>1.2041199826559248</v>
      </c>
      <c r="Z30" s="45">
        <v>2.95</v>
      </c>
      <c r="AA30" s="9">
        <f t="shared" si="1"/>
        <v>1174250000</v>
      </c>
      <c r="AB30" s="15">
        <f t="shared" si="2"/>
        <v>1.5452308736504974</v>
      </c>
      <c r="AC30" s="34">
        <f t="shared" si="36"/>
        <v>0.40572718258820278</v>
      </c>
      <c r="AD30">
        <v>1392.6493823613905</v>
      </c>
      <c r="AE30">
        <f t="shared" si="11"/>
        <v>3.1438417908875378</v>
      </c>
      <c r="AF30" s="14">
        <v>3625.2154553289279</v>
      </c>
      <c r="AG30">
        <f t="shared" si="12"/>
        <v>3.5593338228462725</v>
      </c>
      <c r="AH30" s="9">
        <v>0</v>
      </c>
      <c r="AI30" s="9">
        <f t="shared" si="37"/>
        <v>0</v>
      </c>
      <c r="AJ30">
        <v>91</v>
      </c>
      <c r="AK30" s="15" t="s">
        <v>141</v>
      </c>
      <c r="AL30" s="42">
        <v>42.048698215007001</v>
      </c>
      <c r="AM30" s="24">
        <v>0.68</v>
      </c>
      <c r="AN30" s="34">
        <f t="shared" si="38"/>
        <v>0.2253092817258629</v>
      </c>
      <c r="AO30">
        <v>1990</v>
      </c>
      <c r="AP30">
        <v>21</v>
      </c>
      <c r="AQ30">
        <v>70</v>
      </c>
      <c r="AR30">
        <v>70</v>
      </c>
      <c r="AS30">
        <f t="shared" si="3"/>
        <v>0</v>
      </c>
      <c r="AT30">
        <f t="shared" si="39"/>
        <v>1</v>
      </c>
      <c r="AU30">
        <f t="shared" si="40"/>
        <v>0</v>
      </c>
      <c r="AV30">
        <f t="shared" si="41"/>
        <v>0</v>
      </c>
      <c r="AW30">
        <f t="shared" si="42"/>
        <v>0</v>
      </c>
      <c r="AX30">
        <f t="shared" si="43"/>
        <v>0</v>
      </c>
      <c r="AY30">
        <f t="shared" si="44"/>
        <v>0</v>
      </c>
      <c r="AZ30">
        <f t="shared" si="45"/>
        <v>0</v>
      </c>
      <c r="BA30">
        <f t="shared" si="46"/>
        <v>0</v>
      </c>
      <c r="BB30">
        <f t="shared" si="47"/>
        <v>0</v>
      </c>
      <c r="BC30">
        <f t="shared" si="48"/>
        <v>0</v>
      </c>
      <c r="BD30">
        <f t="shared" si="49"/>
        <v>0</v>
      </c>
      <c r="BE30">
        <f t="shared" si="50"/>
        <v>0</v>
      </c>
      <c r="BF30">
        <f t="shared" si="51"/>
        <v>0</v>
      </c>
      <c r="BG30">
        <f t="shared" si="52"/>
        <v>0</v>
      </c>
      <c r="BH30">
        <f t="shared" si="53"/>
        <v>0</v>
      </c>
      <c r="BI30">
        <f t="shared" si="54"/>
        <v>0</v>
      </c>
    </row>
    <row r="31" spans="1:61" x14ac:dyDescent="0.35">
      <c r="A31" t="s">
        <v>51</v>
      </c>
      <c r="B31" s="1">
        <v>41148</v>
      </c>
      <c r="C31" s="2" t="s">
        <v>142</v>
      </c>
      <c r="D31" s="2" t="s">
        <v>45</v>
      </c>
      <c r="E31" s="11" t="s">
        <v>143</v>
      </c>
      <c r="F31" s="2" t="s">
        <v>45</v>
      </c>
      <c r="G31" s="2" t="s">
        <v>102</v>
      </c>
      <c r="H31" s="139">
        <f t="shared" si="4"/>
        <v>0</v>
      </c>
      <c r="I31" s="2" t="s">
        <v>48</v>
      </c>
      <c r="J31" s="2" t="s">
        <v>178</v>
      </c>
      <c r="K31" s="2">
        <f t="shared" si="31"/>
        <v>9</v>
      </c>
      <c r="L31" s="2">
        <v>1028500000</v>
      </c>
      <c r="M31" s="2">
        <f t="shared" si="32"/>
        <v>9.0122042960307436</v>
      </c>
      <c r="N31" s="2">
        <v>915960000</v>
      </c>
      <c r="O31" s="2">
        <v>112540000</v>
      </c>
      <c r="P31" s="18">
        <v>42732</v>
      </c>
      <c r="Q31" s="89">
        <f t="shared" si="33"/>
        <v>2016</v>
      </c>
      <c r="R31" s="2" t="s">
        <v>107</v>
      </c>
      <c r="S31" s="2">
        <v>2800000000</v>
      </c>
      <c r="T31" s="21">
        <f t="shared" si="0"/>
        <v>4.3397260273972602</v>
      </c>
      <c r="U31">
        <v>0</v>
      </c>
      <c r="V31">
        <f t="shared" si="34"/>
        <v>0</v>
      </c>
      <c r="W31">
        <v>1983</v>
      </c>
      <c r="X31">
        <v>29</v>
      </c>
      <c r="Y31">
        <f t="shared" si="35"/>
        <v>1.4771212547196624</v>
      </c>
      <c r="Z31" s="45">
        <v>2.95</v>
      </c>
      <c r="AA31" s="9">
        <f t="shared" si="1"/>
        <v>1884040000</v>
      </c>
      <c r="AB31" s="15">
        <f t="shared" si="2"/>
        <v>1.7224112785610113</v>
      </c>
      <c r="AC31" s="34">
        <f t="shared" si="36"/>
        <v>0.43495373531147641</v>
      </c>
      <c r="AD31">
        <v>4989.5876718034151</v>
      </c>
      <c r="AE31">
        <f t="shared" si="11"/>
        <v>3.698064657996265</v>
      </c>
      <c r="AF31" s="14">
        <v>9014.9937526030826</v>
      </c>
      <c r="AG31">
        <f t="shared" si="12"/>
        <v>3.9549654300921482</v>
      </c>
      <c r="AH31" s="9">
        <v>0</v>
      </c>
      <c r="AI31" s="9">
        <f t="shared" si="37"/>
        <v>0</v>
      </c>
      <c r="AJ31">
        <v>91.1</v>
      </c>
      <c r="AK31" s="15" t="s">
        <v>144</v>
      </c>
      <c r="AL31" s="42">
        <v>40.229046020662899</v>
      </c>
      <c r="AM31" s="24">
        <v>0.6</v>
      </c>
      <c r="AN31" s="34">
        <f t="shared" si="38"/>
        <v>0.20411998265592479</v>
      </c>
      <c r="AO31">
        <v>2008</v>
      </c>
      <c r="AP31">
        <v>4</v>
      </c>
      <c r="AQ31">
        <v>70</v>
      </c>
      <c r="AR31">
        <v>70</v>
      </c>
      <c r="AS31">
        <f t="shared" si="3"/>
        <v>0</v>
      </c>
      <c r="AT31">
        <f t="shared" si="39"/>
        <v>1</v>
      </c>
      <c r="AU31">
        <f t="shared" si="40"/>
        <v>0</v>
      </c>
      <c r="AV31">
        <f t="shared" si="41"/>
        <v>0</v>
      </c>
      <c r="AW31">
        <f t="shared" si="42"/>
        <v>0</v>
      </c>
      <c r="AX31">
        <f t="shared" si="43"/>
        <v>0</v>
      </c>
      <c r="AY31">
        <f t="shared" si="44"/>
        <v>0</v>
      </c>
      <c r="AZ31">
        <f t="shared" si="45"/>
        <v>0</v>
      </c>
      <c r="BA31">
        <f t="shared" si="46"/>
        <v>0</v>
      </c>
      <c r="BB31">
        <f t="shared" si="47"/>
        <v>0</v>
      </c>
      <c r="BC31">
        <f t="shared" si="48"/>
        <v>0</v>
      </c>
      <c r="BD31">
        <f t="shared" si="49"/>
        <v>0</v>
      </c>
      <c r="BE31">
        <f t="shared" si="50"/>
        <v>0</v>
      </c>
      <c r="BF31">
        <f t="shared" si="51"/>
        <v>0</v>
      </c>
      <c r="BG31">
        <f t="shared" si="52"/>
        <v>0</v>
      </c>
      <c r="BH31">
        <f t="shared" si="53"/>
        <v>0</v>
      </c>
      <c r="BI31">
        <f t="shared" si="54"/>
        <v>0</v>
      </c>
    </row>
    <row r="32" spans="1:61" x14ac:dyDescent="0.35">
      <c r="A32" t="s">
        <v>51</v>
      </c>
      <c r="B32" s="1">
        <v>41204</v>
      </c>
      <c r="C32" s="2" t="s">
        <v>145</v>
      </c>
      <c r="D32" s="2" t="s">
        <v>45</v>
      </c>
      <c r="E32" s="2" t="s">
        <v>83</v>
      </c>
      <c r="F32" s="2" t="s">
        <v>45</v>
      </c>
      <c r="G32" s="2" t="s">
        <v>102</v>
      </c>
      <c r="H32" s="139">
        <f t="shared" si="4"/>
        <v>0</v>
      </c>
      <c r="I32" s="2" t="s">
        <v>48</v>
      </c>
      <c r="J32" s="2" t="s">
        <v>178</v>
      </c>
      <c r="K32" s="2">
        <f t="shared" si="31"/>
        <v>9</v>
      </c>
      <c r="L32" s="2">
        <v>1441900000</v>
      </c>
      <c r="M32" s="2">
        <f t="shared" si="32"/>
        <v>9.1589351418299181</v>
      </c>
      <c r="N32" s="2">
        <v>1481520000</v>
      </c>
      <c r="O32" s="2">
        <v>-39620000</v>
      </c>
      <c r="P32" s="18">
        <v>42513</v>
      </c>
      <c r="Q32" s="89">
        <f t="shared" si="33"/>
        <v>2016</v>
      </c>
      <c r="R32" s="2" t="s">
        <v>54</v>
      </c>
      <c r="S32" s="2">
        <v>2600000000</v>
      </c>
      <c r="T32" s="21">
        <f t="shared" si="0"/>
        <v>3.5863013698630137</v>
      </c>
      <c r="U32">
        <v>0</v>
      </c>
      <c r="V32">
        <f t="shared" si="34"/>
        <v>0</v>
      </c>
      <c r="W32">
        <v>1983</v>
      </c>
      <c r="X32">
        <v>29</v>
      </c>
      <c r="Y32">
        <f t="shared" si="35"/>
        <v>1.4771212547196624</v>
      </c>
      <c r="Z32" s="45">
        <v>2.95</v>
      </c>
      <c r="AA32" s="9">
        <f t="shared" si="1"/>
        <v>1118480000</v>
      </c>
      <c r="AB32" s="15">
        <f t="shared" si="2"/>
        <v>0.80317636451903729</v>
      </c>
      <c r="AC32" s="34">
        <f t="shared" si="36"/>
        <v>0.25603820614089967</v>
      </c>
      <c r="AD32">
        <v>1861.76</v>
      </c>
      <c r="AE32">
        <f t="shared" si="11"/>
        <v>3.2699236952309465</v>
      </c>
      <c r="AF32">
        <v>4993.92</v>
      </c>
      <c r="AG32">
        <f t="shared" si="12"/>
        <v>3.6984415808994222</v>
      </c>
      <c r="AH32" s="9">
        <v>0</v>
      </c>
      <c r="AI32" s="9">
        <f t="shared" si="37"/>
        <v>0</v>
      </c>
      <c r="AJ32">
        <v>91.1</v>
      </c>
      <c r="AK32" s="15" t="s">
        <v>144</v>
      </c>
      <c r="AL32" s="42">
        <v>40.229046020662899</v>
      </c>
      <c r="AM32" s="24">
        <v>0.43</v>
      </c>
      <c r="AN32" s="34">
        <f t="shared" si="38"/>
        <v>0.1553360374650618</v>
      </c>
      <c r="AO32">
        <v>1985</v>
      </c>
      <c r="AP32">
        <v>27</v>
      </c>
      <c r="AQ32">
        <v>70</v>
      </c>
      <c r="AR32">
        <v>70</v>
      </c>
      <c r="AS32">
        <f t="shared" si="3"/>
        <v>0</v>
      </c>
      <c r="AT32">
        <f t="shared" si="39"/>
        <v>1</v>
      </c>
      <c r="AU32">
        <f t="shared" si="40"/>
        <v>0</v>
      </c>
      <c r="AV32">
        <f t="shared" si="41"/>
        <v>0</v>
      </c>
      <c r="AW32">
        <f t="shared" si="42"/>
        <v>0</v>
      </c>
      <c r="AX32">
        <f t="shared" si="43"/>
        <v>0</v>
      </c>
      <c r="AY32">
        <f t="shared" si="44"/>
        <v>0</v>
      </c>
      <c r="AZ32">
        <f t="shared" si="45"/>
        <v>0</v>
      </c>
      <c r="BA32">
        <f t="shared" si="46"/>
        <v>0</v>
      </c>
      <c r="BB32">
        <f t="shared" si="47"/>
        <v>0</v>
      </c>
      <c r="BC32">
        <f t="shared" si="48"/>
        <v>0</v>
      </c>
      <c r="BD32">
        <f t="shared" si="49"/>
        <v>0</v>
      </c>
      <c r="BE32">
        <f t="shared" si="50"/>
        <v>0</v>
      </c>
      <c r="BF32">
        <f t="shared" si="51"/>
        <v>0</v>
      </c>
      <c r="BG32">
        <f t="shared" si="52"/>
        <v>0</v>
      </c>
      <c r="BH32">
        <f t="shared" si="53"/>
        <v>0</v>
      </c>
      <c r="BI32">
        <f t="shared" si="54"/>
        <v>0</v>
      </c>
    </row>
    <row r="33" spans="1:61" x14ac:dyDescent="0.35">
      <c r="A33" t="s">
        <v>51</v>
      </c>
      <c r="B33" s="1">
        <v>41273</v>
      </c>
      <c r="C33" s="2" t="s">
        <v>146</v>
      </c>
      <c r="D33" s="2" t="s">
        <v>45</v>
      </c>
      <c r="E33" s="11" t="s">
        <v>147</v>
      </c>
      <c r="F33" s="2" t="s">
        <v>45</v>
      </c>
      <c r="G33" s="2" t="s">
        <v>102</v>
      </c>
      <c r="H33" s="139">
        <f t="shared" si="4"/>
        <v>0</v>
      </c>
      <c r="I33" s="2" t="s">
        <v>48</v>
      </c>
      <c r="J33" s="2" t="s">
        <v>245</v>
      </c>
      <c r="K33" s="2">
        <f t="shared" si="31"/>
        <v>6</v>
      </c>
      <c r="L33" s="2">
        <v>628820000</v>
      </c>
      <c r="M33" s="2">
        <f t="shared" si="32"/>
        <v>8.7985263462493961</v>
      </c>
      <c r="N33" s="2">
        <v>658820000</v>
      </c>
      <c r="O33" s="2">
        <v>-30000000</v>
      </c>
      <c r="P33" s="18">
        <v>43147</v>
      </c>
      <c r="Q33" s="89">
        <f t="shared" si="33"/>
        <v>2018</v>
      </c>
      <c r="R33" s="2" t="s">
        <v>54</v>
      </c>
      <c r="S33" s="2">
        <v>1750000000</v>
      </c>
      <c r="T33" s="21">
        <f t="shared" si="0"/>
        <v>5.1342465753424653</v>
      </c>
      <c r="U33">
        <v>0</v>
      </c>
      <c r="V33">
        <f t="shared" si="34"/>
        <v>0</v>
      </c>
      <c r="W33">
        <v>1932</v>
      </c>
      <c r="X33">
        <v>80</v>
      </c>
      <c r="Y33">
        <f t="shared" si="35"/>
        <v>1.9084850188786497</v>
      </c>
      <c r="Z33" s="45">
        <v>2.95</v>
      </c>
      <c r="AA33" s="9">
        <f t="shared" si="1"/>
        <v>1091180000</v>
      </c>
      <c r="AB33" s="15">
        <f t="shared" si="2"/>
        <v>1.7829903629019435</v>
      </c>
      <c r="AC33" s="34">
        <f t="shared" si="36"/>
        <v>0.44451170243689808</v>
      </c>
      <c r="AD33">
        <v>10000</v>
      </c>
      <c r="AE33">
        <f t="shared" si="11"/>
        <v>4</v>
      </c>
      <c r="AF33" s="14">
        <v>10000</v>
      </c>
      <c r="AG33">
        <f t="shared" si="12"/>
        <v>4</v>
      </c>
      <c r="AH33" s="9">
        <v>0</v>
      </c>
      <c r="AI33" s="9">
        <f t="shared" si="37"/>
        <v>0</v>
      </c>
      <c r="AJ33">
        <v>91.1</v>
      </c>
      <c r="AK33" s="15" t="s">
        <v>144</v>
      </c>
      <c r="AL33" s="42">
        <v>40.229046020662899</v>
      </c>
      <c r="AM33" s="24">
        <v>0.95</v>
      </c>
      <c r="AN33" s="34">
        <f t="shared" si="38"/>
        <v>0.29003461136251801</v>
      </c>
      <c r="AO33">
        <v>1987</v>
      </c>
      <c r="AP33">
        <v>25</v>
      </c>
      <c r="AQ33">
        <v>70</v>
      </c>
      <c r="AR33">
        <v>70</v>
      </c>
      <c r="AS33">
        <f t="shared" si="3"/>
        <v>0</v>
      </c>
      <c r="AT33">
        <f t="shared" si="39"/>
        <v>1</v>
      </c>
      <c r="AU33">
        <f t="shared" si="40"/>
        <v>0</v>
      </c>
      <c r="AV33">
        <f t="shared" si="41"/>
        <v>0</v>
      </c>
      <c r="AW33">
        <f t="shared" si="42"/>
        <v>0</v>
      </c>
      <c r="AX33">
        <f t="shared" si="43"/>
        <v>0</v>
      </c>
      <c r="AY33">
        <f t="shared" si="44"/>
        <v>0</v>
      </c>
      <c r="AZ33">
        <f t="shared" si="45"/>
        <v>0</v>
      </c>
      <c r="BA33">
        <f t="shared" si="46"/>
        <v>0</v>
      </c>
      <c r="BB33">
        <f t="shared" si="47"/>
        <v>0</v>
      </c>
      <c r="BC33">
        <f t="shared" si="48"/>
        <v>0</v>
      </c>
      <c r="BD33">
        <f t="shared" si="49"/>
        <v>0</v>
      </c>
      <c r="BE33">
        <f t="shared" si="50"/>
        <v>0</v>
      </c>
      <c r="BF33">
        <f t="shared" si="51"/>
        <v>0</v>
      </c>
      <c r="BG33">
        <f t="shared" si="52"/>
        <v>0</v>
      </c>
      <c r="BH33">
        <f t="shared" si="53"/>
        <v>0</v>
      </c>
      <c r="BI33">
        <f t="shared" si="54"/>
        <v>0</v>
      </c>
    </row>
    <row r="34" spans="1:61" x14ac:dyDescent="0.35">
      <c r="A34" t="s">
        <v>51</v>
      </c>
      <c r="B34" s="1">
        <v>42521</v>
      </c>
      <c r="C34" s="2" t="s">
        <v>148</v>
      </c>
      <c r="D34" s="2" t="s">
        <v>45</v>
      </c>
      <c r="E34" s="2" t="s">
        <v>149</v>
      </c>
      <c r="F34" s="2" t="s">
        <v>45</v>
      </c>
      <c r="G34" s="2" t="s">
        <v>102</v>
      </c>
      <c r="H34" s="139">
        <f t="shared" si="4"/>
        <v>0</v>
      </c>
      <c r="I34" s="2" t="s">
        <v>48</v>
      </c>
      <c r="J34" s="2" t="s">
        <v>186</v>
      </c>
      <c r="K34" s="2">
        <f t="shared" si="31"/>
        <v>4</v>
      </c>
      <c r="L34" s="2">
        <v>1553260000</v>
      </c>
      <c r="M34" s="2">
        <f t="shared" si="32"/>
        <v>9.1912441583133759</v>
      </c>
      <c r="N34" s="2">
        <v>1646010000</v>
      </c>
      <c r="O34" s="2">
        <v>-92750000</v>
      </c>
      <c r="P34" s="18">
        <v>43404</v>
      </c>
      <c r="Q34" s="89">
        <f t="shared" si="33"/>
        <v>2018</v>
      </c>
      <c r="R34" s="2" t="s">
        <v>54</v>
      </c>
      <c r="S34" s="2">
        <v>4750000000</v>
      </c>
      <c r="T34" s="21">
        <f t="shared" si="0"/>
        <v>2.419178082191781</v>
      </c>
      <c r="U34">
        <v>0</v>
      </c>
      <c r="V34">
        <f t="shared" si="34"/>
        <v>0</v>
      </c>
      <c r="W34">
        <v>2006</v>
      </c>
      <c r="X34">
        <v>10</v>
      </c>
      <c r="Y34">
        <f t="shared" si="35"/>
        <v>1.0413926851582251</v>
      </c>
      <c r="Z34" s="45">
        <v>2.95</v>
      </c>
      <c r="AA34" s="9">
        <f t="shared" si="1"/>
        <v>3103990000</v>
      </c>
      <c r="AB34" s="15">
        <f t="shared" si="2"/>
        <v>2.0580842872410288</v>
      </c>
      <c r="AC34" s="34">
        <f t="shared" si="36"/>
        <v>0.48544945131148998</v>
      </c>
      <c r="AD34">
        <v>6514.6683673469379</v>
      </c>
      <c r="AE34">
        <f t="shared" si="11"/>
        <v>3.8138923126200468</v>
      </c>
      <c r="AF34">
        <v>8828.125</v>
      </c>
      <c r="AG34">
        <f t="shared" si="12"/>
        <v>3.9458684738355512</v>
      </c>
      <c r="AH34" s="9">
        <v>0</v>
      </c>
      <c r="AI34" s="9">
        <f t="shared" si="37"/>
        <v>0</v>
      </c>
      <c r="AJ34">
        <v>84.7</v>
      </c>
      <c r="AK34" s="15" t="s">
        <v>100</v>
      </c>
      <c r="AL34" s="42">
        <v>38.207924771594499</v>
      </c>
      <c r="AM34" s="24">
        <v>0.28999999999999998</v>
      </c>
      <c r="AN34" s="34">
        <f t="shared" si="38"/>
        <v>0.11058971029924898</v>
      </c>
      <c r="AO34">
        <v>2000</v>
      </c>
      <c r="AP34">
        <v>16</v>
      </c>
      <c r="AQ34">
        <v>70</v>
      </c>
      <c r="AR34">
        <v>70</v>
      </c>
      <c r="AS34">
        <f t="shared" si="3"/>
        <v>0</v>
      </c>
      <c r="AT34">
        <f t="shared" si="39"/>
        <v>1</v>
      </c>
      <c r="AU34">
        <f t="shared" si="40"/>
        <v>0</v>
      </c>
      <c r="AV34">
        <f t="shared" si="41"/>
        <v>0</v>
      </c>
      <c r="AW34">
        <f t="shared" si="42"/>
        <v>0</v>
      </c>
      <c r="AX34">
        <f t="shared" si="43"/>
        <v>0</v>
      </c>
      <c r="AY34">
        <f t="shared" si="44"/>
        <v>0</v>
      </c>
      <c r="AZ34">
        <f t="shared" si="45"/>
        <v>0</v>
      </c>
      <c r="BA34">
        <f t="shared" si="46"/>
        <v>0</v>
      </c>
      <c r="BB34">
        <f t="shared" si="47"/>
        <v>0</v>
      </c>
      <c r="BC34">
        <f t="shared" si="48"/>
        <v>0</v>
      </c>
      <c r="BD34">
        <f t="shared" si="49"/>
        <v>0</v>
      </c>
      <c r="BE34">
        <f t="shared" si="50"/>
        <v>0</v>
      </c>
      <c r="BF34">
        <f t="shared" si="51"/>
        <v>0</v>
      </c>
      <c r="BG34">
        <f t="shared" si="52"/>
        <v>0</v>
      </c>
      <c r="BH34">
        <f t="shared" si="53"/>
        <v>0</v>
      </c>
      <c r="BI34">
        <f t="shared" si="54"/>
        <v>0</v>
      </c>
    </row>
    <row r="35" spans="1:61" x14ac:dyDescent="0.35">
      <c r="A35" t="s">
        <v>51</v>
      </c>
      <c r="B35" s="1">
        <v>37837</v>
      </c>
      <c r="C35" t="s">
        <v>150</v>
      </c>
      <c r="D35" t="s">
        <v>2</v>
      </c>
      <c r="E35" t="s">
        <v>151</v>
      </c>
      <c r="F35" t="s">
        <v>59</v>
      </c>
      <c r="G35" t="s">
        <v>125</v>
      </c>
      <c r="H35" s="139">
        <f t="shared" si="4"/>
        <v>1</v>
      </c>
      <c r="I35" t="s">
        <v>92</v>
      </c>
      <c r="J35" t="s">
        <v>235</v>
      </c>
      <c r="K35" s="2">
        <f t="shared" si="31"/>
        <v>1</v>
      </c>
      <c r="L35">
        <v>992590000</v>
      </c>
      <c r="M35" s="2">
        <f t="shared" si="32"/>
        <v>8.9967698955170619</v>
      </c>
      <c r="N35">
        <v>992590000</v>
      </c>
      <c r="O35">
        <v>0</v>
      </c>
      <c r="P35" s="1">
        <v>39164</v>
      </c>
      <c r="Q35" s="89">
        <f t="shared" si="33"/>
        <v>2007</v>
      </c>
      <c r="R35" t="s">
        <v>152</v>
      </c>
      <c r="S35">
        <v>3189600000</v>
      </c>
      <c r="T35" s="21">
        <f t="shared" si="0"/>
        <v>3.6356164383561644</v>
      </c>
      <c r="U35">
        <v>917.19</v>
      </c>
      <c r="V35">
        <f t="shared" si="34"/>
        <v>2.9629325585580042</v>
      </c>
      <c r="W35">
        <v>1957</v>
      </c>
      <c r="X35">
        <v>46</v>
      </c>
      <c r="Y35">
        <f t="shared" si="35"/>
        <v>1.6720978579357175</v>
      </c>
      <c r="Z35" s="45">
        <v>2.62</v>
      </c>
      <c r="AA35" s="9">
        <f t="shared" si="1"/>
        <v>2197010000</v>
      </c>
      <c r="AB35" s="15">
        <f t="shared" si="2"/>
        <v>2.2134113783133014</v>
      </c>
      <c r="AC35" s="34">
        <f t="shared" si="36"/>
        <v>0.50696632713727663</v>
      </c>
      <c r="AD35">
        <v>1669.0315000000001</v>
      </c>
      <c r="AE35">
        <f t="shared" si="11"/>
        <v>3.2224645332922388</v>
      </c>
      <c r="AF35">
        <v>5094.7950000000001</v>
      </c>
      <c r="AG35">
        <f t="shared" si="12"/>
        <v>3.707126713924402</v>
      </c>
      <c r="AH35" s="9">
        <v>854.66666666666697</v>
      </c>
      <c r="AI35" s="9">
        <f t="shared" si="37"/>
        <v>2.9323046139517812</v>
      </c>
      <c r="AJ35">
        <v>70</v>
      </c>
      <c r="AK35" s="15" t="s">
        <v>153</v>
      </c>
      <c r="AL35" s="42">
        <v>47.8156192569637</v>
      </c>
      <c r="AM35" s="24">
        <v>0.46</v>
      </c>
      <c r="AN35" s="34">
        <f t="shared" si="38"/>
        <v>0.16435285578443709</v>
      </c>
      <c r="AO35">
        <v>1981</v>
      </c>
      <c r="AP35">
        <v>22</v>
      </c>
      <c r="AQ35">
        <v>70</v>
      </c>
      <c r="AR35">
        <v>70</v>
      </c>
      <c r="AS35">
        <f t="shared" si="3"/>
        <v>0</v>
      </c>
      <c r="AT35">
        <f t="shared" si="39"/>
        <v>0</v>
      </c>
      <c r="AU35">
        <f t="shared" si="40"/>
        <v>0</v>
      </c>
      <c r="AV35">
        <f t="shared" si="41"/>
        <v>0</v>
      </c>
      <c r="AW35">
        <f t="shared" si="42"/>
        <v>0</v>
      </c>
      <c r="AX35">
        <f t="shared" si="43"/>
        <v>0</v>
      </c>
      <c r="AY35">
        <f t="shared" si="44"/>
        <v>0</v>
      </c>
      <c r="AZ35">
        <f t="shared" si="45"/>
        <v>0</v>
      </c>
      <c r="BA35">
        <f t="shared" si="46"/>
        <v>0</v>
      </c>
      <c r="BB35">
        <f t="shared" si="47"/>
        <v>1</v>
      </c>
      <c r="BC35">
        <f t="shared" si="48"/>
        <v>0</v>
      </c>
      <c r="BD35">
        <f t="shared" si="49"/>
        <v>0</v>
      </c>
      <c r="BE35">
        <f t="shared" si="50"/>
        <v>0</v>
      </c>
      <c r="BF35">
        <f t="shared" si="51"/>
        <v>0</v>
      </c>
      <c r="BG35">
        <f t="shared" si="52"/>
        <v>0</v>
      </c>
      <c r="BH35">
        <f t="shared" si="53"/>
        <v>0</v>
      </c>
      <c r="BI35">
        <f t="shared" si="54"/>
        <v>0</v>
      </c>
    </row>
    <row r="36" spans="1:61" x14ac:dyDescent="0.35">
      <c r="A36" t="s">
        <v>51</v>
      </c>
      <c r="B36" s="1">
        <v>37684</v>
      </c>
      <c r="C36" t="s">
        <v>154</v>
      </c>
      <c r="D36" t="s">
        <v>3</v>
      </c>
      <c r="E36" t="s">
        <v>151</v>
      </c>
      <c r="F36" t="s">
        <v>59</v>
      </c>
      <c r="G36" t="s">
        <v>125</v>
      </c>
      <c r="H36" s="139">
        <f t="shared" si="4"/>
        <v>1</v>
      </c>
      <c r="I36" t="s">
        <v>48</v>
      </c>
      <c r="J36" t="s">
        <v>235</v>
      </c>
      <c r="K36" s="2">
        <f t="shared" si="31"/>
        <v>1</v>
      </c>
      <c r="L36">
        <v>847560000</v>
      </c>
      <c r="M36" s="2">
        <f t="shared" si="32"/>
        <v>8.9281704522987919</v>
      </c>
      <c r="N36">
        <v>545290000</v>
      </c>
      <c r="O36">
        <v>302270000</v>
      </c>
      <c r="P36" s="1">
        <v>38922</v>
      </c>
      <c r="Q36" s="89">
        <f t="shared" si="33"/>
        <v>2006</v>
      </c>
      <c r="R36" t="s">
        <v>155</v>
      </c>
      <c r="S36">
        <v>2503460000</v>
      </c>
      <c r="T36" s="21">
        <f t="shared" si="0"/>
        <v>3.3917808219178083</v>
      </c>
      <c r="U36">
        <v>955.95</v>
      </c>
      <c r="V36">
        <f t="shared" si="34"/>
        <v>2.9808892467722719</v>
      </c>
      <c r="W36">
        <v>1896</v>
      </c>
      <c r="X36">
        <v>107</v>
      </c>
      <c r="Y36">
        <f t="shared" si="35"/>
        <v>2.0334237554869499</v>
      </c>
      <c r="Z36" s="45">
        <v>3.13</v>
      </c>
      <c r="AA36" s="9">
        <f t="shared" si="1"/>
        <v>1958170000</v>
      </c>
      <c r="AB36" s="15">
        <f t="shared" si="2"/>
        <v>1.9537259899004202</v>
      </c>
      <c r="AC36" s="34">
        <f t="shared" si="36"/>
        <v>0.47037020438358634</v>
      </c>
      <c r="AD36">
        <v>1669.0315000000001</v>
      </c>
      <c r="AE36">
        <f t="shared" si="11"/>
        <v>3.2224645332922388</v>
      </c>
      <c r="AF36">
        <v>5094.7950000000001</v>
      </c>
      <c r="AG36">
        <f t="shared" si="12"/>
        <v>3.707126713924402</v>
      </c>
      <c r="AH36" s="9">
        <v>541.5</v>
      </c>
      <c r="AI36" s="9">
        <f t="shared" si="37"/>
        <v>2.7343997425205671</v>
      </c>
      <c r="AJ36">
        <v>100</v>
      </c>
      <c r="AK36" s="15" t="s">
        <v>156</v>
      </c>
      <c r="AL36" s="42">
        <v>53.639357132864397</v>
      </c>
      <c r="AM36" s="24">
        <v>0.53</v>
      </c>
      <c r="AN36" s="34">
        <f t="shared" si="38"/>
        <v>0.18469143081759881</v>
      </c>
      <c r="AO36">
        <v>1981</v>
      </c>
      <c r="AP36">
        <v>22</v>
      </c>
      <c r="AQ36">
        <v>85</v>
      </c>
      <c r="AR36">
        <v>70</v>
      </c>
      <c r="AS36">
        <f t="shared" si="3"/>
        <v>0</v>
      </c>
      <c r="AT36">
        <f t="shared" si="39"/>
        <v>0</v>
      </c>
      <c r="AU36">
        <f t="shared" si="40"/>
        <v>0</v>
      </c>
      <c r="AV36">
        <f t="shared" si="41"/>
        <v>0</v>
      </c>
      <c r="AW36">
        <f t="shared" si="42"/>
        <v>1</v>
      </c>
      <c r="AX36">
        <f t="shared" si="43"/>
        <v>0</v>
      </c>
      <c r="AY36">
        <f t="shared" si="44"/>
        <v>0</v>
      </c>
      <c r="AZ36">
        <f t="shared" si="45"/>
        <v>0</v>
      </c>
      <c r="BA36">
        <f t="shared" si="46"/>
        <v>0</v>
      </c>
      <c r="BB36">
        <f t="shared" si="47"/>
        <v>0</v>
      </c>
      <c r="BC36">
        <f t="shared" si="48"/>
        <v>0</v>
      </c>
      <c r="BD36">
        <f t="shared" si="49"/>
        <v>0</v>
      </c>
      <c r="BE36">
        <f t="shared" si="50"/>
        <v>0</v>
      </c>
      <c r="BF36">
        <f t="shared" si="51"/>
        <v>0</v>
      </c>
      <c r="BG36">
        <f t="shared" si="52"/>
        <v>0</v>
      </c>
      <c r="BH36">
        <f t="shared" si="53"/>
        <v>0</v>
      </c>
      <c r="BI36">
        <f t="shared" si="54"/>
        <v>0</v>
      </c>
    </row>
    <row r="37" spans="1:61" x14ac:dyDescent="0.35">
      <c r="A37" t="s">
        <v>51</v>
      </c>
      <c r="B37" s="1">
        <v>41382</v>
      </c>
      <c r="C37" s="26" t="s">
        <v>157</v>
      </c>
      <c r="D37" t="s">
        <v>7</v>
      </c>
      <c r="E37" t="s">
        <v>151</v>
      </c>
      <c r="F37" t="s">
        <v>59</v>
      </c>
      <c r="G37" t="s">
        <v>125</v>
      </c>
      <c r="H37" s="139">
        <f t="shared" si="4"/>
        <v>1</v>
      </c>
      <c r="I37" t="s">
        <v>48</v>
      </c>
      <c r="J37" t="s">
        <v>235</v>
      </c>
      <c r="K37" s="2">
        <f t="shared" si="31"/>
        <v>1</v>
      </c>
      <c r="L37">
        <v>3100000000</v>
      </c>
      <c r="M37" s="2">
        <f t="shared" si="32"/>
        <v>9.4913616938342731</v>
      </c>
      <c r="N37">
        <v>350000000</v>
      </c>
      <c r="O37">
        <v>2750000000</v>
      </c>
      <c r="P37" s="1">
        <v>42943</v>
      </c>
      <c r="Q37" s="89">
        <f t="shared" si="33"/>
        <v>2017</v>
      </c>
      <c r="R37" t="s">
        <v>158</v>
      </c>
      <c r="S37">
        <v>3709000000</v>
      </c>
      <c r="T37" s="21">
        <f t="shared" si="0"/>
        <v>4.2767123287671236</v>
      </c>
      <c r="U37">
        <v>489.17</v>
      </c>
      <c r="V37">
        <f t="shared" si="34"/>
        <v>2.6903467274930635</v>
      </c>
      <c r="W37">
        <v>1973</v>
      </c>
      <c r="X37">
        <v>40</v>
      </c>
      <c r="Y37">
        <f t="shared" si="35"/>
        <v>1.6127838567197355</v>
      </c>
      <c r="Z37" s="45">
        <v>2.59</v>
      </c>
      <c r="AA37" s="9">
        <f t="shared" si="1"/>
        <v>3359000000</v>
      </c>
      <c r="AB37" s="15">
        <f t="shared" si="2"/>
        <v>0.19645161290322588</v>
      </c>
      <c r="AC37" s="34">
        <f t="shared" si="36"/>
        <v>7.789513949433749E-2</v>
      </c>
      <c r="AD37">
        <v>1669.0315000000001</v>
      </c>
      <c r="AE37">
        <f t="shared" si="11"/>
        <v>3.2224645332922388</v>
      </c>
      <c r="AF37">
        <v>5094.7950000000001</v>
      </c>
      <c r="AG37">
        <f t="shared" si="12"/>
        <v>3.707126713924402</v>
      </c>
      <c r="AH37" s="9">
        <v>562.5</v>
      </c>
      <c r="AI37" s="9">
        <f t="shared" si="37"/>
        <v>2.7508939203821252</v>
      </c>
      <c r="AJ37">
        <v>74.8</v>
      </c>
      <c r="AK37" s="15" t="s">
        <v>159</v>
      </c>
      <c r="AL37" s="42">
        <v>43.321936809724697</v>
      </c>
      <c r="AM37" s="24">
        <v>0.61</v>
      </c>
      <c r="AN37" s="34">
        <f t="shared" si="38"/>
        <v>0.20682587603184968</v>
      </c>
      <c r="AO37">
        <v>1981</v>
      </c>
      <c r="AP37">
        <v>32</v>
      </c>
      <c r="AQ37">
        <v>90</v>
      </c>
      <c r="AR37">
        <v>70</v>
      </c>
      <c r="AS37">
        <f t="shared" si="3"/>
        <v>0</v>
      </c>
      <c r="AT37">
        <f t="shared" si="39"/>
        <v>0</v>
      </c>
      <c r="AU37">
        <f t="shared" si="40"/>
        <v>0</v>
      </c>
      <c r="AV37">
        <f t="shared" si="41"/>
        <v>0</v>
      </c>
      <c r="AW37">
        <f t="shared" si="42"/>
        <v>0</v>
      </c>
      <c r="AX37">
        <f t="shared" si="43"/>
        <v>0</v>
      </c>
      <c r="AY37">
        <f t="shared" si="44"/>
        <v>0</v>
      </c>
      <c r="AZ37">
        <f t="shared" si="45"/>
        <v>0</v>
      </c>
      <c r="BA37">
        <f t="shared" si="46"/>
        <v>0</v>
      </c>
      <c r="BB37">
        <f t="shared" si="47"/>
        <v>0</v>
      </c>
      <c r="BC37">
        <f t="shared" si="48"/>
        <v>0</v>
      </c>
      <c r="BD37">
        <f t="shared" si="49"/>
        <v>0</v>
      </c>
      <c r="BE37">
        <f t="shared" si="50"/>
        <v>1</v>
      </c>
      <c r="BF37">
        <f t="shared" si="51"/>
        <v>0</v>
      </c>
      <c r="BG37">
        <f t="shared" si="52"/>
        <v>0</v>
      </c>
      <c r="BH37">
        <f t="shared" si="53"/>
        <v>0</v>
      </c>
      <c r="BI37">
        <f t="shared" si="54"/>
        <v>0</v>
      </c>
    </row>
    <row r="38" spans="1:61" x14ac:dyDescent="0.35">
      <c r="A38" t="s">
        <v>51</v>
      </c>
      <c r="B38" s="1">
        <v>37997</v>
      </c>
      <c r="C38" t="s">
        <v>160</v>
      </c>
      <c r="D38" t="s">
        <v>59</v>
      </c>
      <c r="E38" t="s">
        <v>161</v>
      </c>
      <c r="F38" t="s">
        <v>59</v>
      </c>
      <c r="G38" t="s">
        <v>102</v>
      </c>
      <c r="H38" s="139">
        <f t="shared" si="4"/>
        <v>0</v>
      </c>
      <c r="I38" s="3" t="s">
        <v>48</v>
      </c>
      <c r="J38" t="s">
        <v>245</v>
      </c>
      <c r="K38" s="2">
        <f t="shared" si="31"/>
        <v>6</v>
      </c>
      <c r="L38">
        <v>72000000</v>
      </c>
      <c r="M38" s="2">
        <f t="shared" si="32"/>
        <v>7.8573324964312681</v>
      </c>
      <c r="N38">
        <v>72000000</v>
      </c>
      <c r="O38">
        <v>0</v>
      </c>
      <c r="P38" s="1">
        <v>42654</v>
      </c>
      <c r="Q38" s="89">
        <f t="shared" si="33"/>
        <v>2016</v>
      </c>
      <c r="R38" t="s">
        <v>155</v>
      </c>
      <c r="S38">
        <v>130000000</v>
      </c>
      <c r="T38" s="21">
        <f t="shared" si="0"/>
        <v>12.758904109589041</v>
      </c>
      <c r="U38">
        <v>0</v>
      </c>
      <c r="V38">
        <f t="shared" si="34"/>
        <v>0</v>
      </c>
      <c r="W38">
        <v>1999</v>
      </c>
      <c r="X38">
        <v>5</v>
      </c>
      <c r="Y38">
        <f t="shared" si="35"/>
        <v>0.77815125038364363</v>
      </c>
      <c r="Z38" s="45">
        <v>3.29</v>
      </c>
      <c r="AA38" s="9">
        <f t="shared" si="1"/>
        <v>58000000</v>
      </c>
      <c r="AB38" s="15">
        <f t="shared" si="2"/>
        <v>0.80555555555555558</v>
      </c>
      <c r="AC38" s="34">
        <f t="shared" si="36"/>
        <v>0.25661085587556831</v>
      </c>
      <c r="AD38">
        <v>1801.1079999999999</v>
      </c>
      <c r="AE38">
        <f t="shared" si="11"/>
        <v>3.2555397552391718</v>
      </c>
      <c r="AF38">
        <v>8416.6209999999992</v>
      </c>
      <c r="AG38">
        <f t="shared" si="12"/>
        <v>3.9251377713585649</v>
      </c>
      <c r="AH38" s="9">
        <v>0</v>
      </c>
      <c r="AI38" s="9">
        <f t="shared" si="37"/>
        <v>0</v>
      </c>
      <c r="AJ38">
        <v>85</v>
      </c>
      <c r="AK38" s="15" t="s">
        <v>89</v>
      </c>
      <c r="AL38" s="42">
        <v>40.040400531970803</v>
      </c>
      <c r="AM38" s="24">
        <v>0.9</v>
      </c>
      <c r="AN38" s="34">
        <f t="shared" si="38"/>
        <v>0.27875360095282892</v>
      </c>
      <c r="AO38">
        <v>1984</v>
      </c>
      <c r="AP38">
        <v>20</v>
      </c>
      <c r="AQ38">
        <v>70</v>
      </c>
      <c r="AR38">
        <v>70</v>
      </c>
      <c r="AS38">
        <f t="shared" si="3"/>
        <v>0</v>
      </c>
      <c r="AT38">
        <f t="shared" si="39"/>
        <v>0</v>
      </c>
      <c r="AU38">
        <f t="shared" si="40"/>
        <v>1</v>
      </c>
      <c r="AV38">
        <f t="shared" si="41"/>
        <v>0</v>
      </c>
      <c r="AW38">
        <f t="shared" si="42"/>
        <v>0</v>
      </c>
      <c r="AX38">
        <f t="shared" si="43"/>
        <v>0</v>
      </c>
      <c r="AY38">
        <f t="shared" si="44"/>
        <v>0</v>
      </c>
      <c r="AZ38">
        <f t="shared" si="45"/>
        <v>0</v>
      </c>
      <c r="BA38">
        <f t="shared" si="46"/>
        <v>0</v>
      </c>
      <c r="BB38">
        <f t="shared" si="47"/>
        <v>0</v>
      </c>
      <c r="BC38">
        <f t="shared" si="48"/>
        <v>0</v>
      </c>
      <c r="BD38">
        <f t="shared" si="49"/>
        <v>0</v>
      </c>
      <c r="BE38">
        <f t="shared" si="50"/>
        <v>0</v>
      </c>
      <c r="BF38">
        <f t="shared" si="51"/>
        <v>0</v>
      </c>
      <c r="BG38">
        <f t="shared" si="52"/>
        <v>0</v>
      </c>
      <c r="BH38">
        <f t="shared" si="53"/>
        <v>0</v>
      </c>
      <c r="BI38">
        <f t="shared" si="54"/>
        <v>0</v>
      </c>
    </row>
    <row r="39" spans="1:61" x14ac:dyDescent="0.35">
      <c r="A39" t="s">
        <v>51</v>
      </c>
      <c r="B39" s="1">
        <v>39244</v>
      </c>
      <c r="C39" t="s">
        <v>162</v>
      </c>
      <c r="D39" t="s">
        <v>163</v>
      </c>
      <c r="E39" t="s">
        <v>161</v>
      </c>
      <c r="F39" t="s">
        <v>59</v>
      </c>
      <c r="G39" t="s">
        <v>125</v>
      </c>
      <c r="H39" s="139">
        <f t="shared" si="4"/>
        <v>1</v>
      </c>
      <c r="I39" s="3" t="s">
        <v>48</v>
      </c>
      <c r="J39" t="s">
        <v>269</v>
      </c>
      <c r="K39" s="2">
        <f t="shared" si="31"/>
        <v>7</v>
      </c>
      <c r="L39">
        <v>464450000</v>
      </c>
      <c r="M39" s="2">
        <f t="shared" si="32"/>
        <v>8.6669389672147119</v>
      </c>
      <c r="N39">
        <v>418140000</v>
      </c>
      <c r="O39">
        <v>46310000</v>
      </c>
      <c r="P39" s="1">
        <v>41121</v>
      </c>
      <c r="Q39" s="89">
        <f t="shared" si="33"/>
        <v>2012</v>
      </c>
      <c r="R39" t="s">
        <v>152</v>
      </c>
      <c r="S39">
        <v>800000000</v>
      </c>
      <c r="T39" s="21">
        <f t="shared" si="0"/>
        <v>5.1424657534246574</v>
      </c>
      <c r="U39">
        <v>342.74</v>
      </c>
      <c r="V39">
        <f t="shared" si="34"/>
        <v>2.5362300726332561</v>
      </c>
      <c r="W39">
        <v>1972</v>
      </c>
      <c r="X39">
        <v>35</v>
      </c>
      <c r="Y39">
        <f t="shared" si="35"/>
        <v>1.5563025007672873</v>
      </c>
      <c r="Z39" s="45">
        <v>2.3199999999999998</v>
      </c>
      <c r="AA39" s="9">
        <f t="shared" si="1"/>
        <v>381860000</v>
      </c>
      <c r="AB39" s="15">
        <f t="shared" si="2"/>
        <v>0.72246743460006457</v>
      </c>
      <c r="AC39" s="34">
        <f t="shared" si="36"/>
        <v>0.23615101977723243</v>
      </c>
      <c r="AD39">
        <v>1801.1079999999999</v>
      </c>
      <c r="AE39">
        <f t="shared" si="11"/>
        <v>3.2555397552391718</v>
      </c>
      <c r="AF39">
        <v>8416.6209999999992</v>
      </c>
      <c r="AG39">
        <f t="shared" si="12"/>
        <v>3.9251377713585649</v>
      </c>
      <c r="AH39" s="9">
        <v>569.16666666666697</v>
      </c>
      <c r="AI39" s="9">
        <f t="shared" si="37"/>
        <v>2.756001823801419</v>
      </c>
      <c r="AJ39">
        <v>87.2</v>
      </c>
      <c r="AK39" s="15" t="s">
        <v>164</v>
      </c>
      <c r="AL39" s="42">
        <v>52.565521078007201</v>
      </c>
      <c r="AM39" s="24">
        <v>-0.09</v>
      </c>
      <c r="AN39" s="34">
        <f t="shared" si="38"/>
        <v>-4.0958607678906384E-2</v>
      </c>
      <c r="AO39">
        <v>1984</v>
      </c>
      <c r="AP39">
        <v>23</v>
      </c>
      <c r="AQ39">
        <v>85</v>
      </c>
      <c r="AR39">
        <v>80</v>
      </c>
      <c r="AS39">
        <f t="shared" si="3"/>
        <v>0</v>
      </c>
      <c r="AT39">
        <f t="shared" si="39"/>
        <v>0</v>
      </c>
      <c r="AU39">
        <f t="shared" si="40"/>
        <v>0</v>
      </c>
      <c r="AV39">
        <f t="shared" si="41"/>
        <v>0</v>
      </c>
      <c r="AW39">
        <f t="shared" si="42"/>
        <v>0</v>
      </c>
      <c r="AX39">
        <f t="shared" si="43"/>
        <v>0</v>
      </c>
      <c r="AY39">
        <f t="shared" si="44"/>
        <v>0</v>
      </c>
      <c r="AZ39">
        <f t="shared" si="45"/>
        <v>1</v>
      </c>
      <c r="BA39">
        <f t="shared" si="46"/>
        <v>0</v>
      </c>
      <c r="BB39">
        <f t="shared" si="47"/>
        <v>0</v>
      </c>
      <c r="BC39">
        <f t="shared" si="48"/>
        <v>0</v>
      </c>
      <c r="BD39">
        <f t="shared" si="49"/>
        <v>0</v>
      </c>
      <c r="BE39">
        <f t="shared" si="50"/>
        <v>0</v>
      </c>
      <c r="BF39">
        <f t="shared" si="51"/>
        <v>0</v>
      </c>
      <c r="BG39">
        <f t="shared" si="52"/>
        <v>0</v>
      </c>
      <c r="BH39">
        <f t="shared" si="53"/>
        <v>0</v>
      </c>
      <c r="BI39">
        <f t="shared" si="54"/>
        <v>0</v>
      </c>
    </row>
    <row r="40" spans="1:61" x14ac:dyDescent="0.35">
      <c r="A40" t="s">
        <v>51</v>
      </c>
      <c r="B40" s="1">
        <v>37917</v>
      </c>
      <c r="C40" t="s">
        <v>165</v>
      </c>
      <c r="D40" t="s">
        <v>163</v>
      </c>
      <c r="E40" t="s">
        <v>161</v>
      </c>
      <c r="F40" t="s">
        <v>59</v>
      </c>
      <c r="G40" t="s">
        <v>125</v>
      </c>
      <c r="H40" s="139">
        <f t="shared" si="4"/>
        <v>1</v>
      </c>
      <c r="I40" s="3" t="s">
        <v>48</v>
      </c>
      <c r="J40" t="s">
        <v>269</v>
      </c>
      <c r="K40" s="2">
        <f t="shared" si="31"/>
        <v>7</v>
      </c>
      <c r="L40">
        <v>330000000</v>
      </c>
      <c r="M40" s="2">
        <f t="shared" si="32"/>
        <v>8.518513939877888</v>
      </c>
      <c r="N40">
        <v>330000000</v>
      </c>
      <c r="O40">
        <v>0</v>
      </c>
      <c r="P40" s="1">
        <v>38814</v>
      </c>
      <c r="Q40" s="89">
        <f t="shared" si="33"/>
        <v>2006</v>
      </c>
      <c r="R40" t="s">
        <v>155</v>
      </c>
      <c r="S40">
        <v>750000000</v>
      </c>
      <c r="T40" s="21">
        <f t="shared" si="0"/>
        <v>2.4575342465753423</v>
      </c>
      <c r="U40">
        <v>342.74</v>
      </c>
      <c r="V40">
        <f t="shared" si="34"/>
        <v>2.5362300726332561</v>
      </c>
      <c r="W40">
        <v>1968</v>
      </c>
      <c r="X40">
        <v>35</v>
      </c>
      <c r="Y40">
        <f t="shared" si="35"/>
        <v>1.5563025007672873</v>
      </c>
      <c r="Z40" s="45">
        <v>2.3199999999999998</v>
      </c>
      <c r="AA40" s="9">
        <f t="shared" si="1"/>
        <v>420000000</v>
      </c>
      <c r="AB40" s="15">
        <f t="shared" si="2"/>
        <v>1.2727272727272729</v>
      </c>
      <c r="AC40" s="34">
        <f t="shared" si="36"/>
        <v>0.35654732351381263</v>
      </c>
      <c r="AD40">
        <v>1801.1079999999999</v>
      </c>
      <c r="AE40">
        <f t="shared" si="11"/>
        <v>3.2555397552391718</v>
      </c>
      <c r="AF40">
        <v>8416.6209999999992</v>
      </c>
      <c r="AG40">
        <f t="shared" si="12"/>
        <v>3.9251377713585649</v>
      </c>
      <c r="AH40" s="9">
        <v>569.16666666666697</v>
      </c>
      <c r="AI40" s="9">
        <f t="shared" si="37"/>
        <v>2.756001823801419</v>
      </c>
      <c r="AJ40">
        <v>70</v>
      </c>
      <c r="AK40" s="15" t="s">
        <v>166</v>
      </c>
      <c r="AL40" s="42">
        <v>53.270504198897903</v>
      </c>
      <c r="AM40" s="24">
        <v>0.25</v>
      </c>
      <c r="AN40" s="34">
        <f t="shared" si="38"/>
        <v>9.691001300805642E-2</v>
      </c>
      <c r="AO40">
        <v>1984</v>
      </c>
      <c r="AP40">
        <v>19</v>
      </c>
      <c r="AQ40">
        <v>85</v>
      </c>
      <c r="AR40">
        <v>80</v>
      </c>
      <c r="AS40">
        <f t="shared" si="3"/>
        <v>0</v>
      </c>
      <c r="AT40">
        <f t="shared" si="39"/>
        <v>0</v>
      </c>
      <c r="AU40">
        <f t="shared" si="40"/>
        <v>0</v>
      </c>
      <c r="AV40">
        <f t="shared" si="41"/>
        <v>0</v>
      </c>
      <c r="AW40">
        <f t="shared" si="42"/>
        <v>0</v>
      </c>
      <c r="AX40">
        <f t="shared" si="43"/>
        <v>0</v>
      </c>
      <c r="AY40">
        <f t="shared" si="44"/>
        <v>0</v>
      </c>
      <c r="AZ40">
        <f t="shared" si="45"/>
        <v>1</v>
      </c>
      <c r="BA40">
        <f t="shared" si="46"/>
        <v>0</v>
      </c>
      <c r="BB40">
        <f t="shared" si="47"/>
        <v>0</v>
      </c>
      <c r="BC40">
        <f t="shared" si="48"/>
        <v>0</v>
      </c>
      <c r="BD40">
        <f t="shared" si="49"/>
        <v>0</v>
      </c>
      <c r="BE40">
        <f t="shared" si="50"/>
        <v>0</v>
      </c>
      <c r="BF40">
        <f t="shared" si="51"/>
        <v>0</v>
      </c>
      <c r="BG40">
        <f t="shared" si="52"/>
        <v>0</v>
      </c>
      <c r="BH40">
        <f t="shared" si="53"/>
        <v>0</v>
      </c>
      <c r="BI40">
        <f t="shared" si="54"/>
        <v>0</v>
      </c>
    </row>
    <row r="41" spans="1:61" x14ac:dyDescent="0.35">
      <c r="A41" t="s">
        <v>51</v>
      </c>
      <c r="B41" s="1">
        <v>38188</v>
      </c>
      <c r="C41" t="s">
        <v>167</v>
      </c>
      <c r="D41" t="s">
        <v>59</v>
      </c>
      <c r="E41" t="s">
        <v>168</v>
      </c>
      <c r="F41" t="s">
        <v>59</v>
      </c>
      <c r="G41" t="s">
        <v>102</v>
      </c>
      <c r="H41" s="139">
        <f t="shared" si="4"/>
        <v>0</v>
      </c>
      <c r="I41" s="3" t="s">
        <v>48</v>
      </c>
      <c r="J41" t="s">
        <v>248</v>
      </c>
      <c r="K41" s="2">
        <f t="shared" si="31"/>
        <v>5</v>
      </c>
      <c r="L41">
        <v>230000000</v>
      </c>
      <c r="M41" s="2">
        <f t="shared" si="32"/>
        <v>8.3617278360175931</v>
      </c>
      <c r="N41">
        <v>230000000</v>
      </c>
      <c r="O41">
        <v>0</v>
      </c>
      <c r="P41" s="1">
        <v>40205</v>
      </c>
      <c r="Q41" s="89">
        <f t="shared" si="33"/>
        <v>2010</v>
      </c>
      <c r="R41" t="s">
        <v>152</v>
      </c>
      <c r="S41">
        <v>955000000</v>
      </c>
      <c r="T41" s="21">
        <f t="shared" si="0"/>
        <v>5.5260273972602736</v>
      </c>
      <c r="U41">
        <v>0</v>
      </c>
      <c r="V41">
        <f t="shared" si="34"/>
        <v>0</v>
      </c>
      <c r="W41">
        <v>1991</v>
      </c>
      <c r="X41">
        <v>13</v>
      </c>
      <c r="Y41">
        <f t="shared" si="35"/>
        <v>1.146128035678238</v>
      </c>
      <c r="Z41" s="45">
        <v>3.29</v>
      </c>
      <c r="AA41" s="9">
        <f t="shared" si="1"/>
        <v>725000000</v>
      </c>
      <c r="AB41" s="15">
        <f t="shared" si="2"/>
        <v>3.1521739130434785</v>
      </c>
      <c r="AC41" s="34">
        <f t="shared" si="36"/>
        <v>0.61827553556615344</v>
      </c>
      <c r="AD41">
        <v>1801.1079999999999</v>
      </c>
      <c r="AE41">
        <f t="shared" si="11"/>
        <v>3.2555397552391718</v>
      </c>
      <c r="AF41">
        <v>8416.6209999999992</v>
      </c>
      <c r="AG41">
        <f t="shared" si="12"/>
        <v>3.9251377713585649</v>
      </c>
      <c r="AH41" s="9">
        <v>0</v>
      </c>
      <c r="AI41" s="9">
        <f t="shared" si="37"/>
        <v>0</v>
      </c>
      <c r="AJ41">
        <v>85</v>
      </c>
      <c r="AK41" s="15" t="s">
        <v>89</v>
      </c>
      <c r="AL41" s="42">
        <v>40.040400531970803</v>
      </c>
      <c r="AM41" s="24">
        <v>-0.01</v>
      </c>
      <c r="AN41" s="34">
        <f t="shared" si="38"/>
        <v>-4.3648054024500883E-3</v>
      </c>
      <c r="AO41">
        <v>1984</v>
      </c>
      <c r="AP41">
        <v>20</v>
      </c>
      <c r="AQ41">
        <v>70</v>
      </c>
      <c r="AR41">
        <v>70</v>
      </c>
      <c r="AS41">
        <f t="shared" si="3"/>
        <v>0</v>
      </c>
      <c r="AT41">
        <f t="shared" si="39"/>
        <v>0</v>
      </c>
      <c r="AU41">
        <f t="shared" si="40"/>
        <v>1</v>
      </c>
      <c r="AV41">
        <f t="shared" si="41"/>
        <v>0</v>
      </c>
      <c r="AW41">
        <f t="shared" si="42"/>
        <v>0</v>
      </c>
      <c r="AX41">
        <f t="shared" si="43"/>
        <v>0</v>
      </c>
      <c r="AY41">
        <f t="shared" si="44"/>
        <v>0</v>
      </c>
      <c r="AZ41">
        <f t="shared" si="45"/>
        <v>0</v>
      </c>
      <c r="BA41">
        <f t="shared" si="46"/>
        <v>0</v>
      </c>
      <c r="BB41">
        <f t="shared" si="47"/>
        <v>0</v>
      </c>
      <c r="BC41">
        <f t="shared" si="48"/>
        <v>0</v>
      </c>
      <c r="BD41">
        <f t="shared" si="49"/>
        <v>0</v>
      </c>
      <c r="BE41">
        <f t="shared" si="50"/>
        <v>0</v>
      </c>
      <c r="BF41">
        <f t="shared" si="51"/>
        <v>0</v>
      </c>
      <c r="BG41">
        <f t="shared" si="52"/>
        <v>0</v>
      </c>
      <c r="BH41">
        <f t="shared" si="53"/>
        <v>0</v>
      </c>
      <c r="BI41">
        <f t="shared" si="54"/>
        <v>0</v>
      </c>
    </row>
    <row r="42" spans="1:61" x14ac:dyDescent="0.35">
      <c r="A42" t="s">
        <v>51</v>
      </c>
      <c r="B42" s="1">
        <v>38517</v>
      </c>
      <c r="C42" t="s">
        <v>169</v>
      </c>
      <c r="D42" t="s">
        <v>59</v>
      </c>
      <c r="E42" t="s">
        <v>170</v>
      </c>
      <c r="F42" t="s">
        <v>59</v>
      </c>
      <c r="G42" t="s">
        <v>102</v>
      </c>
      <c r="H42" s="139">
        <f t="shared" si="4"/>
        <v>0</v>
      </c>
      <c r="I42" s="3" t="s">
        <v>48</v>
      </c>
      <c r="J42" t="s">
        <v>235</v>
      </c>
      <c r="K42" s="2">
        <f t="shared" si="31"/>
        <v>1</v>
      </c>
      <c r="L42">
        <v>225000000</v>
      </c>
      <c r="M42" s="2">
        <f t="shared" si="32"/>
        <v>8.3521825181113627</v>
      </c>
      <c r="N42">
        <v>225000000</v>
      </c>
      <c r="O42">
        <v>0</v>
      </c>
      <c r="P42" s="1">
        <v>39571</v>
      </c>
      <c r="Q42" s="89">
        <f t="shared" si="33"/>
        <v>2008</v>
      </c>
      <c r="R42" t="s">
        <v>152</v>
      </c>
      <c r="S42">
        <v>514000000</v>
      </c>
      <c r="T42" s="21">
        <f t="shared" si="0"/>
        <v>2.8876712328767122</v>
      </c>
      <c r="U42">
        <v>0</v>
      </c>
      <c r="V42">
        <f t="shared" si="34"/>
        <v>0</v>
      </c>
      <c r="W42">
        <v>1957</v>
      </c>
      <c r="X42">
        <v>48</v>
      </c>
      <c r="Y42">
        <f t="shared" si="35"/>
        <v>1.6901960800285136</v>
      </c>
      <c r="Z42" s="45">
        <v>3.29</v>
      </c>
      <c r="AA42" s="9">
        <f t="shared" si="1"/>
        <v>289000000</v>
      </c>
      <c r="AB42" s="15">
        <f t="shared" si="2"/>
        <v>1.2844444444444445</v>
      </c>
      <c r="AC42" s="34">
        <f t="shared" si="36"/>
        <v>0.35878060088391328</v>
      </c>
      <c r="AD42">
        <v>1801.1079999999999</v>
      </c>
      <c r="AE42">
        <f t="shared" si="11"/>
        <v>3.2555397552391718</v>
      </c>
      <c r="AF42">
        <v>8416.6209999999992</v>
      </c>
      <c r="AG42">
        <f t="shared" si="12"/>
        <v>3.9251377713585649</v>
      </c>
      <c r="AH42" s="9">
        <v>0</v>
      </c>
      <c r="AI42" s="9">
        <f t="shared" si="37"/>
        <v>0</v>
      </c>
      <c r="AJ42">
        <v>85</v>
      </c>
      <c r="AK42" s="15" t="s">
        <v>171</v>
      </c>
      <c r="AL42" s="42">
        <v>41.286751495766303</v>
      </c>
      <c r="AM42" s="24">
        <v>0.17</v>
      </c>
      <c r="AN42" s="34">
        <f t="shared" si="38"/>
        <v>6.8185861746161619E-2</v>
      </c>
      <c r="AO42">
        <v>1984</v>
      </c>
      <c r="AP42">
        <v>21</v>
      </c>
      <c r="AQ42">
        <v>70</v>
      </c>
      <c r="AR42">
        <v>70</v>
      </c>
      <c r="AS42">
        <f t="shared" si="3"/>
        <v>0</v>
      </c>
      <c r="AT42">
        <f t="shared" si="39"/>
        <v>0</v>
      </c>
      <c r="AU42">
        <f t="shared" si="40"/>
        <v>1</v>
      </c>
      <c r="AV42">
        <f t="shared" si="41"/>
        <v>0</v>
      </c>
      <c r="AW42">
        <f t="shared" si="42"/>
        <v>0</v>
      </c>
      <c r="AX42">
        <f t="shared" si="43"/>
        <v>0</v>
      </c>
      <c r="AY42">
        <f t="shared" si="44"/>
        <v>0</v>
      </c>
      <c r="AZ42">
        <f t="shared" si="45"/>
        <v>0</v>
      </c>
      <c r="BA42">
        <f t="shared" si="46"/>
        <v>0</v>
      </c>
      <c r="BB42">
        <f t="shared" si="47"/>
        <v>0</v>
      </c>
      <c r="BC42">
        <f t="shared" si="48"/>
        <v>0</v>
      </c>
      <c r="BD42">
        <f t="shared" si="49"/>
        <v>0</v>
      </c>
      <c r="BE42">
        <f t="shared" si="50"/>
        <v>0</v>
      </c>
      <c r="BF42">
        <f t="shared" si="51"/>
        <v>0</v>
      </c>
      <c r="BG42">
        <f t="shared" si="52"/>
        <v>0</v>
      </c>
      <c r="BH42">
        <f t="shared" si="53"/>
        <v>0</v>
      </c>
      <c r="BI42">
        <f t="shared" si="54"/>
        <v>0</v>
      </c>
    </row>
    <row r="43" spans="1:61" x14ac:dyDescent="0.35">
      <c r="A43" t="s">
        <v>51</v>
      </c>
      <c r="B43" s="1">
        <v>40036</v>
      </c>
      <c r="C43" t="s">
        <v>172</v>
      </c>
      <c r="D43" t="s">
        <v>45</v>
      </c>
      <c r="E43" t="s">
        <v>173</v>
      </c>
      <c r="F43" t="s">
        <v>45</v>
      </c>
      <c r="G43" t="s">
        <v>47</v>
      </c>
      <c r="H43" s="139">
        <f t="shared" si="4"/>
        <v>0</v>
      </c>
      <c r="I43" s="3" t="s">
        <v>48</v>
      </c>
      <c r="J43" t="s">
        <v>235</v>
      </c>
      <c r="K43" s="2">
        <f t="shared" si="31"/>
        <v>1</v>
      </c>
      <c r="L43">
        <v>1650000000</v>
      </c>
      <c r="M43" s="2">
        <f t="shared" si="32"/>
        <v>9.2174839442139067</v>
      </c>
      <c r="N43">
        <v>1650000000</v>
      </c>
      <c r="O43">
        <v>0</v>
      </c>
      <c r="P43" s="1">
        <v>41940</v>
      </c>
      <c r="Q43" s="89">
        <f t="shared" si="33"/>
        <v>2014</v>
      </c>
      <c r="R43" t="s">
        <v>155</v>
      </c>
      <c r="S43">
        <v>2907980000</v>
      </c>
      <c r="T43" s="21">
        <f t="shared" si="0"/>
        <v>5.2164383561643834</v>
      </c>
      <c r="U43">
        <v>0</v>
      </c>
      <c r="V43">
        <f t="shared" si="34"/>
        <v>0</v>
      </c>
      <c r="W43">
        <v>1966</v>
      </c>
      <c r="X43">
        <v>43</v>
      </c>
      <c r="Y43">
        <f t="shared" si="35"/>
        <v>1.6434526764861874</v>
      </c>
      <c r="Z43" s="45">
        <v>2.95</v>
      </c>
      <c r="AA43" s="9">
        <f t="shared" si="1"/>
        <v>1257980000</v>
      </c>
      <c r="AB43" s="15">
        <f t="shared" si="2"/>
        <v>0.76241212121212132</v>
      </c>
      <c r="AC43" s="34">
        <f t="shared" si="36"/>
        <v>0.24610747106817404</v>
      </c>
      <c r="AD43">
        <v>1171.498</v>
      </c>
      <c r="AE43">
        <f t="shared" si="11"/>
        <v>3.0687415514991745</v>
      </c>
      <c r="AF43">
        <v>3386.1060000000002</v>
      </c>
      <c r="AG43">
        <f t="shared" si="12"/>
        <v>3.5297005493117593</v>
      </c>
      <c r="AH43" s="9">
        <v>0</v>
      </c>
      <c r="AI43" s="9">
        <f t="shared" si="37"/>
        <v>0</v>
      </c>
      <c r="AJ43">
        <v>91.9</v>
      </c>
      <c r="AK43" s="15" t="s">
        <v>174</v>
      </c>
      <c r="AL43" s="42">
        <v>43.262530407091703</v>
      </c>
      <c r="AM43" s="24">
        <v>1</v>
      </c>
      <c r="AN43" s="34">
        <f t="shared" si="38"/>
        <v>0.3010299956639812</v>
      </c>
      <c r="AO43">
        <v>1976</v>
      </c>
      <c r="AP43">
        <v>33</v>
      </c>
      <c r="AQ43">
        <v>70</v>
      </c>
      <c r="AR43">
        <v>70</v>
      </c>
      <c r="AS43">
        <f t="shared" si="3"/>
        <v>0</v>
      </c>
      <c r="AT43">
        <f t="shared" si="39"/>
        <v>1</v>
      </c>
      <c r="AU43">
        <f t="shared" si="40"/>
        <v>0</v>
      </c>
      <c r="AV43">
        <f t="shared" si="41"/>
        <v>0</v>
      </c>
      <c r="AW43">
        <f t="shared" si="42"/>
        <v>0</v>
      </c>
      <c r="AX43">
        <f t="shared" si="43"/>
        <v>0</v>
      </c>
      <c r="AY43">
        <f t="shared" si="44"/>
        <v>0</v>
      </c>
      <c r="AZ43">
        <f t="shared" si="45"/>
        <v>0</v>
      </c>
      <c r="BA43">
        <f t="shared" si="46"/>
        <v>0</v>
      </c>
      <c r="BB43">
        <f t="shared" si="47"/>
        <v>0</v>
      </c>
      <c r="BC43">
        <f t="shared" si="48"/>
        <v>0</v>
      </c>
      <c r="BD43">
        <f t="shared" si="49"/>
        <v>0</v>
      </c>
      <c r="BE43">
        <f t="shared" si="50"/>
        <v>0</v>
      </c>
      <c r="BF43">
        <f t="shared" si="51"/>
        <v>0</v>
      </c>
      <c r="BG43">
        <f t="shared" si="52"/>
        <v>0</v>
      </c>
      <c r="BH43">
        <f t="shared" si="53"/>
        <v>0</v>
      </c>
      <c r="BI43">
        <f t="shared" si="54"/>
        <v>0</v>
      </c>
    </row>
    <row r="44" spans="1:61" x14ac:dyDescent="0.35">
      <c r="A44" t="s">
        <v>51</v>
      </c>
      <c r="B44" s="1">
        <v>38428</v>
      </c>
      <c r="C44" t="s">
        <v>175</v>
      </c>
      <c r="D44" t="s">
        <v>45</v>
      </c>
      <c r="E44" t="s">
        <v>176</v>
      </c>
      <c r="F44" t="s">
        <v>45</v>
      </c>
      <c r="G44" t="s">
        <v>47</v>
      </c>
      <c r="H44" s="139">
        <f t="shared" si="4"/>
        <v>0</v>
      </c>
      <c r="I44" s="3" t="s">
        <v>48</v>
      </c>
      <c r="J44" t="s">
        <v>248</v>
      </c>
      <c r="K44" s="2">
        <f t="shared" si="31"/>
        <v>5</v>
      </c>
      <c r="L44">
        <v>7544390000</v>
      </c>
      <c r="M44" s="2">
        <f t="shared" si="32"/>
        <v>9.8776241307459784</v>
      </c>
      <c r="N44">
        <v>5967390000</v>
      </c>
      <c r="O44">
        <v>1577000000</v>
      </c>
      <c r="P44" s="1">
        <v>42997</v>
      </c>
      <c r="Q44" s="89">
        <f t="shared" si="33"/>
        <v>2017</v>
      </c>
      <c r="R44" t="s">
        <v>117</v>
      </c>
      <c r="S44">
        <v>0</v>
      </c>
      <c r="T44" s="21">
        <f t="shared" si="0"/>
        <v>12.517808219178082</v>
      </c>
      <c r="U44">
        <v>0</v>
      </c>
      <c r="V44">
        <f t="shared" si="34"/>
        <v>0</v>
      </c>
      <c r="W44">
        <v>1957</v>
      </c>
      <c r="X44">
        <v>48</v>
      </c>
      <c r="Y44">
        <f t="shared" si="35"/>
        <v>1.6901960800285136</v>
      </c>
      <c r="Z44" s="45">
        <v>2.95</v>
      </c>
      <c r="AA44" s="9">
        <f t="shared" si="1"/>
        <v>-5967390000</v>
      </c>
      <c r="AB44" s="15">
        <f t="shared" si="2"/>
        <v>-1</v>
      </c>
      <c r="AC44" s="34">
        <f t="shared" si="36"/>
        <v>-1</v>
      </c>
      <c r="AD44">
        <v>1171.498</v>
      </c>
      <c r="AE44">
        <f t="shared" si="11"/>
        <v>3.0687415514991745</v>
      </c>
      <c r="AF44">
        <v>3386.1060000000002</v>
      </c>
      <c r="AG44">
        <f t="shared" si="12"/>
        <v>3.5297005493117593</v>
      </c>
      <c r="AH44" s="9">
        <v>0</v>
      </c>
      <c r="AI44" s="9">
        <f t="shared" si="37"/>
        <v>0</v>
      </c>
      <c r="AJ44">
        <v>85</v>
      </c>
      <c r="AK44" s="15" t="s">
        <v>100</v>
      </c>
      <c r="AL44" s="42">
        <v>36.959146749272797</v>
      </c>
      <c r="AM44" s="24">
        <v>1.1100000000000001</v>
      </c>
      <c r="AN44" s="34">
        <f t="shared" si="38"/>
        <v>0.32428245529769273</v>
      </c>
      <c r="AO44">
        <v>1976</v>
      </c>
      <c r="AP44">
        <v>29</v>
      </c>
      <c r="AQ44">
        <v>70</v>
      </c>
      <c r="AR44">
        <v>70</v>
      </c>
      <c r="AS44">
        <f t="shared" si="3"/>
        <v>1</v>
      </c>
      <c r="AT44">
        <f t="shared" si="39"/>
        <v>1</v>
      </c>
      <c r="AU44">
        <f t="shared" si="40"/>
        <v>0</v>
      </c>
      <c r="AV44">
        <f t="shared" si="41"/>
        <v>0</v>
      </c>
      <c r="AW44">
        <f t="shared" si="42"/>
        <v>0</v>
      </c>
      <c r="AX44">
        <f t="shared" si="43"/>
        <v>0</v>
      </c>
      <c r="AY44">
        <f t="shared" si="44"/>
        <v>0</v>
      </c>
      <c r="AZ44">
        <f t="shared" si="45"/>
        <v>0</v>
      </c>
      <c r="BA44">
        <f t="shared" si="46"/>
        <v>0</v>
      </c>
      <c r="BB44">
        <f t="shared" si="47"/>
        <v>0</v>
      </c>
      <c r="BC44">
        <f t="shared" si="48"/>
        <v>0</v>
      </c>
      <c r="BD44">
        <f t="shared" si="49"/>
        <v>0</v>
      </c>
      <c r="BE44">
        <f t="shared" si="50"/>
        <v>0</v>
      </c>
      <c r="BF44">
        <f t="shared" si="51"/>
        <v>0</v>
      </c>
      <c r="BG44">
        <f t="shared" si="52"/>
        <v>0</v>
      </c>
      <c r="BH44">
        <f t="shared" si="53"/>
        <v>0</v>
      </c>
      <c r="BI44">
        <f t="shared" si="54"/>
        <v>0</v>
      </c>
    </row>
    <row r="45" spans="1:61" x14ac:dyDescent="0.35">
      <c r="A45" t="s">
        <v>51</v>
      </c>
      <c r="B45" s="1">
        <v>38439</v>
      </c>
      <c r="C45" t="s">
        <v>177</v>
      </c>
      <c r="D45" t="s">
        <v>45</v>
      </c>
      <c r="E45" t="s">
        <v>176</v>
      </c>
      <c r="F45" t="s">
        <v>45</v>
      </c>
      <c r="G45" t="s">
        <v>47</v>
      </c>
      <c r="H45" s="139">
        <f t="shared" si="4"/>
        <v>0</v>
      </c>
      <c r="I45" s="3" t="s">
        <v>48</v>
      </c>
      <c r="J45" t="s">
        <v>178</v>
      </c>
      <c r="K45" s="2">
        <f t="shared" si="31"/>
        <v>9</v>
      </c>
      <c r="L45">
        <v>10591520000</v>
      </c>
      <c r="M45" s="2">
        <f t="shared" si="32"/>
        <v>10.024958290630849</v>
      </c>
      <c r="N45">
        <v>10712090000</v>
      </c>
      <c r="O45">
        <v>-120570000</v>
      </c>
      <c r="P45" s="1">
        <v>42346</v>
      </c>
      <c r="Q45" s="89">
        <f t="shared" si="33"/>
        <v>2015</v>
      </c>
      <c r="R45" t="s">
        <v>155</v>
      </c>
      <c r="S45">
        <v>9100000000</v>
      </c>
      <c r="T45" s="21">
        <f t="shared" si="0"/>
        <v>10.704109589041096</v>
      </c>
      <c r="U45">
        <v>0</v>
      </c>
      <c r="V45">
        <f t="shared" si="34"/>
        <v>0</v>
      </c>
      <c r="W45">
        <v>1968</v>
      </c>
      <c r="X45">
        <v>37</v>
      </c>
      <c r="Y45">
        <f t="shared" si="35"/>
        <v>1.5797835966168101</v>
      </c>
      <c r="Z45" s="45">
        <v>2.95</v>
      </c>
      <c r="AA45" s="9">
        <f t="shared" si="1"/>
        <v>-1612090000</v>
      </c>
      <c r="AB45" s="15">
        <f t="shared" si="2"/>
        <v>-0.14082209163557258</v>
      </c>
      <c r="AC45" s="34">
        <f t="shared" si="36"/>
        <v>-6.5916898309755723E-2</v>
      </c>
      <c r="AD45">
        <v>1171.498</v>
      </c>
      <c r="AE45">
        <f t="shared" si="11"/>
        <v>3.0687415514991745</v>
      </c>
      <c r="AF45">
        <v>3386.1060000000002</v>
      </c>
      <c r="AG45">
        <f t="shared" si="12"/>
        <v>3.5297005493117593</v>
      </c>
      <c r="AH45" s="9">
        <v>0</v>
      </c>
      <c r="AI45" s="9">
        <f t="shared" si="37"/>
        <v>0</v>
      </c>
      <c r="AJ45">
        <v>85</v>
      </c>
      <c r="AK45" s="15" t="s">
        <v>100</v>
      </c>
      <c r="AL45" s="42">
        <v>36.959146749272797</v>
      </c>
      <c r="AM45" s="24">
        <v>0.76</v>
      </c>
      <c r="AN45" s="34">
        <f t="shared" si="38"/>
        <v>0.24551266781414982</v>
      </c>
      <c r="AO45">
        <v>1976</v>
      </c>
      <c r="AP45">
        <v>29</v>
      </c>
      <c r="AQ45">
        <v>70</v>
      </c>
      <c r="AR45">
        <v>70</v>
      </c>
      <c r="AS45">
        <f t="shared" si="3"/>
        <v>0</v>
      </c>
      <c r="AT45">
        <f t="shared" si="39"/>
        <v>1</v>
      </c>
      <c r="AU45">
        <f t="shared" si="40"/>
        <v>0</v>
      </c>
      <c r="AV45">
        <f t="shared" si="41"/>
        <v>0</v>
      </c>
      <c r="AW45">
        <f t="shared" si="42"/>
        <v>0</v>
      </c>
      <c r="AX45">
        <f t="shared" si="43"/>
        <v>0</v>
      </c>
      <c r="AY45">
        <f t="shared" si="44"/>
        <v>0</v>
      </c>
      <c r="AZ45">
        <f t="shared" si="45"/>
        <v>0</v>
      </c>
      <c r="BA45">
        <f t="shared" si="46"/>
        <v>0</v>
      </c>
      <c r="BB45">
        <f t="shared" si="47"/>
        <v>0</v>
      </c>
      <c r="BC45">
        <f t="shared" si="48"/>
        <v>0</v>
      </c>
      <c r="BD45">
        <f t="shared" si="49"/>
        <v>0</v>
      </c>
      <c r="BE45">
        <f t="shared" si="50"/>
        <v>0</v>
      </c>
      <c r="BF45">
        <f t="shared" si="51"/>
        <v>0</v>
      </c>
      <c r="BG45">
        <f t="shared" si="52"/>
        <v>0</v>
      </c>
      <c r="BH45">
        <f t="shared" si="53"/>
        <v>0</v>
      </c>
      <c r="BI45">
        <f t="shared" si="54"/>
        <v>0</v>
      </c>
    </row>
    <row r="46" spans="1:61" x14ac:dyDescent="0.35">
      <c r="A46" t="s">
        <v>51</v>
      </c>
      <c r="B46" s="1">
        <v>38635</v>
      </c>
      <c r="C46" t="s">
        <v>179</v>
      </c>
      <c r="D46" t="s">
        <v>45</v>
      </c>
      <c r="E46" t="s">
        <v>176</v>
      </c>
      <c r="F46" t="s">
        <v>45</v>
      </c>
      <c r="G46" t="s">
        <v>47</v>
      </c>
      <c r="H46" s="139">
        <f t="shared" si="4"/>
        <v>0</v>
      </c>
      <c r="I46" s="3" t="s">
        <v>48</v>
      </c>
      <c r="J46" t="s">
        <v>269</v>
      </c>
      <c r="K46" s="2">
        <f t="shared" si="31"/>
        <v>7</v>
      </c>
      <c r="L46">
        <v>1270000000</v>
      </c>
      <c r="M46" s="2">
        <f t="shared" si="32"/>
        <v>9.1038037209559572</v>
      </c>
      <c r="N46">
        <v>1270000000</v>
      </c>
      <c r="O46">
        <v>0</v>
      </c>
      <c r="P46" s="1">
        <v>42243</v>
      </c>
      <c r="Q46" s="89">
        <f t="shared" si="33"/>
        <v>2015</v>
      </c>
      <c r="R46" t="s">
        <v>155</v>
      </c>
      <c r="S46">
        <v>1744040000</v>
      </c>
      <c r="T46" s="21">
        <f t="shared" si="0"/>
        <v>9.8849315068493144</v>
      </c>
      <c r="U46">
        <v>0</v>
      </c>
      <c r="V46">
        <f t="shared" si="34"/>
        <v>0</v>
      </c>
      <c r="W46">
        <v>1992</v>
      </c>
      <c r="X46">
        <v>13</v>
      </c>
      <c r="Y46">
        <f t="shared" si="35"/>
        <v>1.146128035678238</v>
      </c>
      <c r="Z46" s="45">
        <v>2.95</v>
      </c>
      <c r="AA46" s="9">
        <f t="shared" si="1"/>
        <v>474040000</v>
      </c>
      <c r="AB46" s="15">
        <f t="shared" si="2"/>
        <v>0.37325984251968514</v>
      </c>
      <c r="AC46" s="34">
        <f t="shared" si="36"/>
        <v>0.13775272040897549</v>
      </c>
      <c r="AD46">
        <v>1171.498</v>
      </c>
      <c r="AE46">
        <f t="shared" si="11"/>
        <v>3.0687415514991745</v>
      </c>
      <c r="AF46">
        <v>3386.1060000000002</v>
      </c>
      <c r="AG46">
        <f t="shared" si="12"/>
        <v>3.5297005493117593</v>
      </c>
      <c r="AH46" s="9">
        <v>0</v>
      </c>
      <c r="AI46" s="9">
        <f t="shared" si="37"/>
        <v>0</v>
      </c>
      <c r="AJ46">
        <v>85</v>
      </c>
      <c r="AK46" s="15" t="s">
        <v>100</v>
      </c>
      <c r="AL46" s="42">
        <v>36.959146749272797</v>
      </c>
      <c r="AM46" s="24">
        <v>0.67</v>
      </c>
      <c r="AN46" s="34">
        <f t="shared" si="38"/>
        <v>0.22271647114758325</v>
      </c>
      <c r="AO46">
        <v>1976</v>
      </c>
      <c r="AP46">
        <v>29</v>
      </c>
      <c r="AQ46">
        <v>70</v>
      </c>
      <c r="AR46">
        <v>70</v>
      </c>
      <c r="AS46">
        <f t="shared" si="3"/>
        <v>0</v>
      </c>
      <c r="AT46">
        <f t="shared" si="39"/>
        <v>1</v>
      </c>
      <c r="AU46">
        <f t="shared" si="40"/>
        <v>0</v>
      </c>
      <c r="AV46">
        <f t="shared" si="41"/>
        <v>0</v>
      </c>
      <c r="AW46">
        <f t="shared" si="42"/>
        <v>0</v>
      </c>
      <c r="AX46">
        <f t="shared" si="43"/>
        <v>0</v>
      </c>
      <c r="AY46">
        <f t="shared" si="44"/>
        <v>0</v>
      </c>
      <c r="AZ46">
        <f t="shared" si="45"/>
        <v>0</v>
      </c>
      <c r="BA46">
        <f t="shared" si="46"/>
        <v>0</v>
      </c>
      <c r="BB46">
        <f t="shared" si="47"/>
        <v>0</v>
      </c>
      <c r="BC46">
        <f t="shared" si="48"/>
        <v>0</v>
      </c>
      <c r="BD46">
        <f t="shared" si="49"/>
        <v>0</v>
      </c>
      <c r="BE46">
        <f t="shared" si="50"/>
        <v>0</v>
      </c>
      <c r="BF46">
        <f t="shared" si="51"/>
        <v>0</v>
      </c>
      <c r="BG46">
        <f t="shared" si="52"/>
        <v>0</v>
      </c>
      <c r="BH46">
        <f t="shared" si="53"/>
        <v>0</v>
      </c>
      <c r="BI46">
        <f t="shared" si="54"/>
        <v>0</v>
      </c>
    </row>
    <row r="47" spans="1:61" x14ac:dyDescent="0.35">
      <c r="A47" t="s">
        <v>51</v>
      </c>
      <c r="B47" s="1">
        <v>37328</v>
      </c>
      <c r="C47" t="s">
        <v>180</v>
      </c>
      <c r="D47" t="s">
        <v>45</v>
      </c>
      <c r="E47" t="s">
        <v>181</v>
      </c>
      <c r="F47" t="s">
        <v>45</v>
      </c>
      <c r="G47" t="s">
        <v>47</v>
      </c>
      <c r="H47" s="139">
        <f t="shared" si="4"/>
        <v>0</v>
      </c>
      <c r="I47" s="3" t="s">
        <v>48</v>
      </c>
      <c r="J47" t="s">
        <v>248</v>
      </c>
      <c r="K47" s="2">
        <f t="shared" si="31"/>
        <v>5</v>
      </c>
      <c r="L47">
        <v>743830000</v>
      </c>
      <c r="M47" s="2">
        <f t="shared" si="32"/>
        <v>8.8714736902527402</v>
      </c>
      <c r="N47">
        <v>262420000</v>
      </c>
      <c r="O47">
        <v>481410000</v>
      </c>
      <c r="P47" s="1">
        <v>42087</v>
      </c>
      <c r="Q47" s="89">
        <f t="shared" si="33"/>
        <v>2015</v>
      </c>
      <c r="R47" t="s">
        <v>152</v>
      </c>
      <c r="S47">
        <v>1350000000</v>
      </c>
      <c r="T47" s="21">
        <f t="shared" si="0"/>
        <v>13.038356164383561</v>
      </c>
      <c r="U47">
        <v>0</v>
      </c>
      <c r="V47">
        <f t="shared" si="34"/>
        <v>0</v>
      </c>
      <c r="W47">
        <v>1997</v>
      </c>
      <c r="X47">
        <v>5</v>
      </c>
      <c r="Y47">
        <f t="shared" si="35"/>
        <v>0.77815125038364363</v>
      </c>
      <c r="Z47" s="45">
        <v>2.95</v>
      </c>
      <c r="AA47" s="9">
        <f t="shared" si="1"/>
        <v>1087580000</v>
      </c>
      <c r="AB47" s="15">
        <f t="shared" si="2"/>
        <v>0.81493083096944186</v>
      </c>
      <c r="AC47" s="34">
        <f t="shared" si="36"/>
        <v>0.25886007824226553</v>
      </c>
      <c r="AD47">
        <v>1518.5350000000001</v>
      </c>
      <c r="AE47">
        <f t="shared" si="11"/>
        <v>3.1814248062191788</v>
      </c>
      <c r="AF47">
        <v>5363.16</v>
      </c>
      <c r="AG47">
        <f t="shared" si="12"/>
        <v>3.7294207535322617</v>
      </c>
      <c r="AH47" s="9">
        <v>0</v>
      </c>
      <c r="AI47" s="9">
        <f t="shared" si="37"/>
        <v>0</v>
      </c>
      <c r="AJ47">
        <v>85</v>
      </c>
      <c r="AK47" s="15" t="s">
        <v>57</v>
      </c>
      <c r="AL47" s="42">
        <v>36.710134890601303</v>
      </c>
      <c r="AM47" s="24">
        <v>0.81</v>
      </c>
      <c r="AN47" s="34">
        <f t="shared" si="38"/>
        <v>0.2576785748691845</v>
      </c>
      <c r="AO47">
        <v>1990</v>
      </c>
      <c r="AP47">
        <v>12</v>
      </c>
      <c r="AQ47">
        <v>70</v>
      </c>
      <c r="AR47">
        <v>70</v>
      </c>
      <c r="AS47">
        <f t="shared" si="3"/>
        <v>0</v>
      </c>
      <c r="AT47">
        <f t="shared" si="39"/>
        <v>1</v>
      </c>
      <c r="AU47">
        <f t="shared" si="40"/>
        <v>0</v>
      </c>
      <c r="AV47">
        <f t="shared" si="41"/>
        <v>0</v>
      </c>
      <c r="AW47">
        <f t="shared" si="42"/>
        <v>0</v>
      </c>
      <c r="AX47">
        <f t="shared" si="43"/>
        <v>0</v>
      </c>
      <c r="AY47">
        <f t="shared" si="44"/>
        <v>0</v>
      </c>
      <c r="AZ47">
        <f t="shared" si="45"/>
        <v>0</v>
      </c>
      <c r="BA47">
        <f t="shared" si="46"/>
        <v>0</v>
      </c>
      <c r="BB47">
        <f t="shared" si="47"/>
        <v>0</v>
      </c>
      <c r="BC47">
        <f t="shared" si="48"/>
        <v>0</v>
      </c>
      <c r="BD47">
        <f t="shared" si="49"/>
        <v>0</v>
      </c>
      <c r="BE47">
        <f t="shared" si="50"/>
        <v>0</v>
      </c>
      <c r="BF47">
        <f t="shared" si="51"/>
        <v>0</v>
      </c>
      <c r="BG47">
        <f t="shared" si="52"/>
        <v>0</v>
      </c>
      <c r="BH47">
        <f t="shared" si="53"/>
        <v>0</v>
      </c>
      <c r="BI47">
        <f t="shared" si="54"/>
        <v>0</v>
      </c>
    </row>
    <row r="48" spans="1:61" x14ac:dyDescent="0.35">
      <c r="A48" t="s">
        <v>51</v>
      </c>
      <c r="B48" s="1">
        <v>40071</v>
      </c>
      <c r="C48" t="s">
        <v>182</v>
      </c>
      <c r="D48" t="s">
        <v>45</v>
      </c>
      <c r="E48" t="s">
        <v>181</v>
      </c>
      <c r="F48" t="s">
        <v>45</v>
      </c>
      <c r="G48" t="s">
        <v>47</v>
      </c>
      <c r="H48" s="139">
        <f t="shared" si="4"/>
        <v>0</v>
      </c>
      <c r="I48" s="3" t="s">
        <v>48</v>
      </c>
      <c r="J48" t="s">
        <v>183</v>
      </c>
      <c r="K48" s="2">
        <f t="shared" si="31"/>
        <v>3</v>
      </c>
      <c r="L48">
        <v>468580000</v>
      </c>
      <c r="M48" s="2">
        <f t="shared" si="32"/>
        <v>8.6707837480360155</v>
      </c>
      <c r="N48">
        <v>131190000</v>
      </c>
      <c r="O48">
        <v>337390000</v>
      </c>
      <c r="P48" s="1">
        <v>40877</v>
      </c>
      <c r="Q48" s="89">
        <f t="shared" si="33"/>
        <v>2011</v>
      </c>
      <c r="R48" t="s">
        <v>155</v>
      </c>
      <c r="S48">
        <v>771500000</v>
      </c>
      <c r="T48" s="21">
        <f t="shared" si="0"/>
        <v>2.2082191780821918</v>
      </c>
      <c r="U48">
        <v>0</v>
      </c>
      <c r="V48">
        <f t="shared" si="34"/>
        <v>0</v>
      </c>
      <c r="W48">
        <v>1979</v>
      </c>
      <c r="X48">
        <v>30</v>
      </c>
      <c r="Y48">
        <f t="shared" si="35"/>
        <v>1.4913616938342726</v>
      </c>
      <c r="Z48" s="45">
        <v>2.95</v>
      </c>
      <c r="AA48" s="9">
        <f t="shared" si="1"/>
        <v>640310000</v>
      </c>
      <c r="AB48" s="15">
        <f t="shared" si="2"/>
        <v>0.64646378419906947</v>
      </c>
      <c r="AC48" s="34">
        <f t="shared" si="36"/>
        <v>0.21655218236315188</v>
      </c>
      <c r="AD48">
        <v>1518.5350000000001</v>
      </c>
      <c r="AE48">
        <f t="shared" si="11"/>
        <v>3.1814248062191788</v>
      </c>
      <c r="AF48">
        <v>5363.16</v>
      </c>
      <c r="AG48">
        <f t="shared" si="12"/>
        <v>3.7294207535322617</v>
      </c>
      <c r="AH48" s="9">
        <v>0</v>
      </c>
      <c r="AI48" s="9">
        <f t="shared" si="37"/>
        <v>0</v>
      </c>
      <c r="AJ48">
        <v>91.9</v>
      </c>
      <c r="AK48" s="15" t="s">
        <v>174</v>
      </c>
      <c r="AL48" s="42">
        <v>43.262530407091703</v>
      </c>
      <c r="AM48" s="24">
        <v>0.18</v>
      </c>
      <c r="AN48" s="34">
        <f t="shared" si="38"/>
        <v>7.1882007306125359E-2</v>
      </c>
      <c r="AO48">
        <v>1990</v>
      </c>
      <c r="AP48">
        <v>19</v>
      </c>
      <c r="AQ48">
        <v>70</v>
      </c>
      <c r="AR48">
        <v>70</v>
      </c>
      <c r="AS48">
        <f t="shared" si="3"/>
        <v>0</v>
      </c>
      <c r="AT48">
        <f t="shared" si="39"/>
        <v>1</v>
      </c>
      <c r="AU48">
        <f t="shared" si="40"/>
        <v>0</v>
      </c>
      <c r="AV48">
        <f t="shared" si="41"/>
        <v>0</v>
      </c>
      <c r="AW48">
        <f t="shared" si="42"/>
        <v>0</v>
      </c>
      <c r="AX48">
        <f t="shared" si="43"/>
        <v>0</v>
      </c>
      <c r="AY48">
        <f t="shared" si="44"/>
        <v>0</v>
      </c>
      <c r="AZ48">
        <f t="shared" si="45"/>
        <v>0</v>
      </c>
      <c r="BA48">
        <f t="shared" si="46"/>
        <v>0</v>
      </c>
      <c r="BB48">
        <f t="shared" si="47"/>
        <v>0</v>
      </c>
      <c r="BC48">
        <f t="shared" si="48"/>
        <v>0</v>
      </c>
      <c r="BD48">
        <f t="shared" si="49"/>
        <v>0</v>
      </c>
      <c r="BE48">
        <f t="shared" si="50"/>
        <v>0</v>
      </c>
      <c r="BF48">
        <f t="shared" si="51"/>
        <v>0</v>
      </c>
      <c r="BG48">
        <f t="shared" si="52"/>
        <v>0</v>
      </c>
      <c r="BH48">
        <f t="shared" si="53"/>
        <v>0</v>
      </c>
      <c r="BI48">
        <f t="shared" si="54"/>
        <v>0</v>
      </c>
    </row>
    <row r="49" spans="1:61" x14ac:dyDescent="0.35">
      <c r="A49" t="s">
        <v>51</v>
      </c>
      <c r="B49" s="1">
        <v>39133</v>
      </c>
      <c r="C49" t="s">
        <v>184</v>
      </c>
      <c r="D49" t="s">
        <v>45</v>
      </c>
      <c r="E49" t="s">
        <v>181</v>
      </c>
      <c r="F49" t="s">
        <v>45</v>
      </c>
      <c r="G49" t="s">
        <v>47</v>
      </c>
      <c r="H49" s="139">
        <f t="shared" si="4"/>
        <v>0</v>
      </c>
      <c r="I49" s="3" t="s">
        <v>48</v>
      </c>
      <c r="J49" t="s">
        <v>248</v>
      </c>
      <c r="K49" s="2">
        <f t="shared" si="31"/>
        <v>5</v>
      </c>
      <c r="L49">
        <v>815690000</v>
      </c>
      <c r="M49" s="2">
        <f t="shared" si="32"/>
        <v>8.9115251380808047</v>
      </c>
      <c r="N49">
        <v>728360000</v>
      </c>
      <c r="O49">
        <v>87330000</v>
      </c>
      <c r="P49" s="1">
        <v>41223</v>
      </c>
      <c r="Q49" s="89">
        <f t="shared" si="33"/>
        <v>2012</v>
      </c>
      <c r="R49" t="s">
        <v>152</v>
      </c>
      <c r="S49">
        <v>975000000</v>
      </c>
      <c r="T49" s="21">
        <f t="shared" si="0"/>
        <v>5.7260273972602738</v>
      </c>
      <c r="U49">
        <v>0</v>
      </c>
      <c r="V49">
        <f t="shared" si="34"/>
        <v>0</v>
      </c>
      <c r="W49">
        <v>1871</v>
      </c>
      <c r="X49">
        <v>136</v>
      </c>
      <c r="Y49">
        <f t="shared" si="35"/>
        <v>2.1367205671564067</v>
      </c>
      <c r="Z49" s="45">
        <v>2.95</v>
      </c>
      <c r="AA49" s="9">
        <f t="shared" si="1"/>
        <v>246640000</v>
      </c>
      <c r="AB49" s="15">
        <f t="shared" si="2"/>
        <v>0.19530704066495841</v>
      </c>
      <c r="AC49" s="34">
        <f t="shared" si="36"/>
        <v>7.7479477617732218E-2</v>
      </c>
      <c r="AD49">
        <v>1518.5350000000001</v>
      </c>
      <c r="AE49">
        <f t="shared" si="11"/>
        <v>3.1814248062191788</v>
      </c>
      <c r="AF49">
        <v>5363.16</v>
      </c>
      <c r="AG49">
        <f t="shared" si="12"/>
        <v>3.7294207535322617</v>
      </c>
      <c r="AH49" s="9">
        <v>0</v>
      </c>
      <c r="AI49" s="9">
        <f t="shared" si="37"/>
        <v>0</v>
      </c>
      <c r="AJ49">
        <v>91.4</v>
      </c>
      <c r="AK49" s="15" t="s">
        <v>103</v>
      </c>
      <c r="AL49" s="42">
        <v>37.425715444240403</v>
      </c>
      <c r="AM49" s="24">
        <v>-0.05</v>
      </c>
      <c r="AN49" s="34">
        <f t="shared" si="38"/>
        <v>-2.2276394711152253E-2</v>
      </c>
      <c r="AO49">
        <v>1990</v>
      </c>
      <c r="AP49">
        <v>17</v>
      </c>
      <c r="AQ49">
        <v>70</v>
      </c>
      <c r="AR49">
        <v>70</v>
      </c>
      <c r="AS49">
        <f t="shared" si="3"/>
        <v>0</v>
      </c>
      <c r="AT49">
        <f t="shared" si="39"/>
        <v>1</v>
      </c>
      <c r="AU49">
        <f t="shared" si="40"/>
        <v>0</v>
      </c>
      <c r="AV49">
        <f t="shared" si="41"/>
        <v>0</v>
      </c>
      <c r="AW49">
        <f t="shared" si="42"/>
        <v>0</v>
      </c>
      <c r="AX49">
        <f t="shared" si="43"/>
        <v>0</v>
      </c>
      <c r="AY49">
        <f t="shared" si="44"/>
        <v>0</v>
      </c>
      <c r="AZ49">
        <f t="shared" si="45"/>
        <v>0</v>
      </c>
      <c r="BA49">
        <f t="shared" si="46"/>
        <v>0</v>
      </c>
      <c r="BB49">
        <f t="shared" si="47"/>
        <v>0</v>
      </c>
      <c r="BC49">
        <f t="shared" si="48"/>
        <v>0</v>
      </c>
      <c r="BD49">
        <f t="shared" si="49"/>
        <v>0</v>
      </c>
      <c r="BE49">
        <f t="shared" si="50"/>
        <v>0</v>
      </c>
      <c r="BF49">
        <f t="shared" si="51"/>
        <v>0</v>
      </c>
      <c r="BG49">
        <f t="shared" si="52"/>
        <v>0</v>
      </c>
      <c r="BH49">
        <f t="shared" si="53"/>
        <v>0</v>
      </c>
      <c r="BI49">
        <f t="shared" si="54"/>
        <v>0</v>
      </c>
    </row>
    <row r="50" spans="1:61" x14ac:dyDescent="0.35">
      <c r="A50" t="s">
        <v>51</v>
      </c>
      <c r="B50" s="1">
        <v>35758</v>
      </c>
      <c r="C50" t="s">
        <v>185</v>
      </c>
      <c r="D50" t="s">
        <v>45</v>
      </c>
      <c r="E50" t="s">
        <v>181</v>
      </c>
      <c r="F50" t="s">
        <v>45</v>
      </c>
      <c r="G50" t="s">
        <v>47</v>
      </c>
      <c r="H50" s="139">
        <f t="shared" si="4"/>
        <v>0</v>
      </c>
      <c r="I50" s="3" t="s">
        <v>48</v>
      </c>
      <c r="J50" t="s">
        <v>186</v>
      </c>
      <c r="K50" s="2">
        <f t="shared" si="31"/>
        <v>4</v>
      </c>
      <c r="L50">
        <v>191690000</v>
      </c>
      <c r="M50" s="2">
        <f t="shared" si="32"/>
        <v>8.2825994573845971</v>
      </c>
      <c r="N50">
        <v>0</v>
      </c>
      <c r="O50">
        <v>191690000</v>
      </c>
      <c r="P50" s="1">
        <v>37205</v>
      </c>
      <c r="Q50" s="89">
        <f t="shared" si="33"/>
        <v>2001</v>
      </c>
      <c r="R50" t="s">
        <v>155</v>
      </c>
      <c r="S50">
        <v>2680000000</v>
      </c>
      <c r="T50" s="21">
        <f t="shared" si="0"/>
        <v>3.9643835616438357</v>
      </c>
      <c r="U50">
        <v>0</v>
      </c>
      <c r="V50">
        <f t="shared" si="34"/>
        <v>0</v>
      </c>
      <c r="W50">
        <v>1954</v>
      </c>
      <c r="X50">
        <v>43</v>
      </c>
      <c r="Y50">
        <f t="shared" si="35"/>
        <v>1.6434526764861874</v>
      </c>
      <c r="Z50" s="45">
        <v>2.95</v>
      </c>
      <c r="AA50" s="9">
        <f t="shared" si="1"/>
        <v>2680000000</v>
      </c>
      <c r="AB50" s="15">
        <f t="shared" si="2"/>
        <v>12.980906672231207</v>
      </c>
      <c r="AC50" s="34">
        <f t="shared" si="36"/>
        <v>1.1455353366441925</v>
      </c>
      <c r="AD50">
        <v>1518.5350000000001</v>
      </c>
      <c r="AE50">
        <f t="shared" si="11"/>
        <v>3.1814248062191788</v>
      </c>
      <c r="AF50">
        <v>5363.16</v>
      </c>
      <c r="AG50">
        <f t="shared" si="12"/>
        <v>3.7294207535322617</v>
      </c>
      <c r="AH50" s="9">
        <v>0</v>
      </c>
      <c r="AI50" s="9">
        <f t="shared" si="37"/>
        <v>0</v>
      </c>
      <c r="AJ50">
        <v>85</v>
      </c>
      <c r="AK50" s="15" t="s">
        <v>187</v>
      </c>
      <c r="AL50" s="42">
        <v>35.968444143503902</v>
      </c>
      <c r="AM50" s="24">
        <v>0.18</v>
      </c>
      <c r="AN50" s="34">
        <f t="shared" si="38"/>
        <v>7.1882007306125359E-2</v>
      </c>
      <c r="AO50">
        <v>1990</v>
      </c>
      <c r="AP50">
        <v>7</v>
      </c>
      <c r="AQ50">
        <v>70</v>
      </c>
      <c r="AR50">
        <v>70</v>
      </c>
      <c r="AS50">
        <f t="shared" si="3"/>
        <v>0</v>
      </c>
      <c r="AT50">
        <f t="shared" si="39"/>
        <v>1</v>
      </c>
      <c r="AU50">
        <f t="shared" si="40"/>
        <v>0</v>
      </c>
      <c r="AV50">
        <f t="shared" si="41"/>
        <v>0</v>
      </c>
      <c r="AW50">
        <f t="shared" si="42"/>
        <v>0</v>
      </c>
      <c r="AX50">
        <f t="shared" si="43"/>
        <v>0</v>
      </c>
      <c r="AY50">
        <f t="shared" si="44"/>
        <v>0</v>
      </c>
      <c r="AZ50">
        <f t="shared" si="45"/>
        <v>0</v>
      </c>
      <c r="BA50">
        <f t="shared" si="46"/>
        <v>0</v>
      </c>
      <c r="BB50">
        <f t="shared" si="47"/>
        <v>0</v>
      </c>
      <c r="BC50">
        <f t="shared" si="48"/>
        <v>0</v>
      </c>
      <c r="BD50">
        <f t="shared" si="49"/>
        <v>0</v>
      </c>
      <c r="BE50">
        <f t="shared" si="50"/>
        <v>0</v>
      </c>
      <c r="BF50">
        <f t="shared" si="51"/>
        <v>0</v>
      </c>
      <c r="BG50">
        <f t="shared" si="52"/>
        <v>0</v>
      </c>
      <c r="BH50">
        <f t="shared" si="53"/>
        <v>0</v>
      </c>
      <c r="BI50">
        <f t="shared" si="54"/>
        <v>0</v>
      </c>
    </row>
    <row r="51" spans="1:61" ht="12.75" customHeight="1" x14ac:dyDescent="0.35">
      <c r="A51" t="s">
        <v>51</v>
      </c>
      <c r="B51" s="1">
        <v>39328</v>
      </c>
      <c r="C51" s="4" t="s">
        <v>188</v>
      </c>
      <c r="D51" s="4" t="s">
        <v>59</v>
      </c>
      <c r="E51" s="4" t="s">
        <v>189</v>
      </c>
      <c r="F51" s="4" t="s">
        <v>45</v>
      </c>
      <c r="G51" s="4" t="s">
        <v>64</v>
      </c>
      <c r="H51" s="139">
        <f t="shared" si="4"/>
        <v>1</v>
      </c>
      <c r="I51" s="4" t="s">
        <v>48</v>
      </c>
      <c r="J51" s="4" t="s">
        <v>190</v>
      </c>
      <c r="K51" s="2">
        <f t="shared" si="31"/>
        <v>2</v>
      </c>
      <c r="L51" s="4">
        <v>12081450000</v>
      </c>
      <c r="M51" s="2">
        <f t="shared" si="32"/>
        <v>10.082119060875158</v>
      </c>
      <c r="N51" s="4">
        <v>11020450000</v>
      </c>
      <c r="O51" s="4">
        <v>1061000000</v>
      </c>
      <c r="P51" s="1">
        <v>42558</v>
      </c>
      <c r="Q51" s="89">
        <f t="shared" si="33"/>
        <v>2016</v>
      </c>
      <c r="R51" t="s">
        <v>155</v>
      </c>
      <c r="S51">
        <v>14481100000</v>
      </c>
      <c r="T51" s="21">
        <f t="shared" si="0"/>
        <v>8.8493150684931514</v>
      </c>
      <c r="U51">
        <v>5897.96</v>
      </c>
      <c r="V51">
        <f t="shared" si="34"/>
        <v>3.7707754512906644</v>
      </c>
      <c r="W51" s="4">
        <v>2006</v>
      </c>
      <c r="X51" s="4">
        <v>1</v>
      </c>
      <c r="Y51">
        <f t="shared" si="35"/>
        <v>0.3010299956639812</v>
      </c>
      <c r="Z51" s="47">
        <v>2.3199999999999998</v>
      </c>
      <c r="AA51" s="9">
        <f t="shared" si="1"/>
        <v>3460650000</v>
      </c>
      <c r="AB51" s="15">
        <f t="shared" si="2"/>
        <v>0.19862268188007226</v>
      </c>
      <c r="AC51" s="34">
        <f t="shared" si="36"/>
        <v>7.8682491717007891E-2</v>
      </c>
      <c r="AD51">
        <v>1171.498</v>
      </c>
      <c r="AE51">
        <f t="shared" si="11"/>
        <v>3.0687415514991745</v>
      </c>
      <c r="AF51">
        <v>3386.1060000000002</v>
      </c>
      <c r="AG51">
        <f t="shared" si="12"/>
        <v>3.5297005493117593</v>
      </c>
      <c r="AH51" s="9">
        <v>132</v>
      </c>
      <c r="AI51" s="9">
        <f t="shared" si="37"/>
        <v>2.1238516409670858</v>
      </c>
      <c r="AJ51">
        <v>91.2</v>
      </c>
      <c r="AK51" s="15" t="s">
        <v>191</v>
      </c>
      <c r="AL51" s="42">
        <v>40.902544500539101</v>
      </c>
      <c r="AM51" s="24">
        <v>0.42</v>
      </c>
      <c r="AN51" s="34">
        <f t="shared" si="38"/>
        <v>0.15228834438305647</v>
      </c>
      <c r="AO51">
        <v>1976</v>
      </c>
      <c r="AP51">
        <v>31</v>
      </c>
      <c r="AQ51">
        <v>70</v>
      </c>
      <c r="AR51">
        <v>70</v>
      </c>
      <c r="AS51">
        <f t="shared" si="3"/>
        <v>0</v>
      </c>
      <c r="AT51">
        <f t="shared" si="39"/>
        <v>0</v>
      </c>
      <c r="AU51">
        <f t="shared" si="40"/>
        <v>1</v>
      </c>
      <c r="AV51">
        <f t="shared" si="41"/>
        <v>0</v>
      </c>
      <c r="AW51">
        <f t="shared" si="42"/>
        <v>0</v>
      </c>
      <c r="AX51">
        <f t="shared" si="43"/>
        <v>0</v>
      </c>
      <c r="AY51">
        <f t="shared" si="44"/>
        <v>0</v>
      </c>
      <c r="AZ51">
        <f t="shared" si="45"/>
        <v>0</v>
      </c>
      <c r="BA51">
        <f t="shared" si="46"/>
        <v>0</v>
      </c>
      <c r="BB51">
        <f t="shared" si="47"/>
        <v>0</v>
      </c>
      <c r="BC51">
        <f t="shared" si="48"/>
        <v>0</v>
      </c>
      <c r="BD51">
        <f t="shared" si="49"/>
        <v>0</v>
      </c>
      <c r="BE51">
        <f t="shared" si="50"/>
        <v>0</v>
      </c>
      <c r="BF51">
        <f t="shared" si="51"/>
        <v>0</v>
      </c>
      <c r="BG51">
        <f t="shared" si="52"/>
        <v>0</v>
      </c>
      <c r="BH51">
        <f t="shared" si="53"/>
        <v>0</v>
      </c>
      <c r="BI51">
        <f t="shared" si="54"/>
        <v>0</v>
      </c>
    </row>
    <row r="52" spans="1:61" x14ac:dyDescent="0.35">
      <c r="A52" t="s">
        <v>51</v>
      </c>
      <c r="B52" s="1">
        <v>38014</v>
      </c>
      <c r="C52" t="s">
        <v>192</v>
      </c>
      <c r="D52" t="s">
        <v>59</v>
      </c>
      <c r="E52" t="s">
        <v>193</v>
      </c>
      <c r="F52" t="s">
        <v>59</v>
      </c>
      <c r="G52" t="s">
        <v>47</v>
      </c>
      <c r="H52" s="139">
        <f t="shared" si="4"/>
        <v>0</v>
      </c>
      <c r="I52" s="4" t="s">
        <v>48</v>
      </c>
      <c r="J52" t="s">
        <v>235</v>
      </c>
      <c r="K52" s="2">
        <f t="shared" si="31"/>
        <v>1</v>
      </c>
      <c r="L52">
        <v>662500000</v>
      </c>
      <c r="M52" s="2">
        <f t="shared" si="32"/>
        <v>8.8211858826088463</v>
      </c>
      <c r="N52">
        <v>662500000</v>
      </c>
      <c r="O52">
        <v>0</v>
      </c>
      <c r="P52" s="1">
        <v>40153</v>
      </c>
      <c r="Q52" s="89">
        <f t="shared" si="33"/>
        <v>2009</v>
      </c>
      <c r="R52" t="s">
        <v>155</v>
      </c>
      <c r="S52">
        <v>1700000000</v>
      </c>
      <c r="T52" s="21">
        <f t="shared" si="0"/>
        <v>5.86027397260274</v>
      </c>
      <c r="U52">
        <v>0</v>
      </c>
      <c r="V52">
        <f t="shared" si="34"/>
        <v>0</v>
      </c>
      <c r="W52">
        <v>1866</v>
      </c>
      <c r="X52">
        <v>138</v>
      </c>
      <c r="Y52">
        <f t="shared" si="35"/>
        <v>2.143014800254095</v>
      </c>
      <c r="Z52" s="45">
        <v>3.29</v>
      </c>
      <c r="AA52" s="9">
        <f t="shared" si="1"/>
        <v>1037500000</v>
      </c>
      <c r="AB52" s="15">
        <f t="shared" si="2"/>
        <v>1.5660377358490565</v>
      </c>
      <c r="AC52" s="34">
        <f t="shared" si="36"/>
        <v>0.40926303876942843</v>
      </c>
      <c r="AD52">
        <v>1655.11</v>
      </c>
      <c r="AE52">
        <f t="shared" si="11"/>
        <v>3.2188268626467691</v>
      </c>
      <c r="AF52">
        <v>5715.55</v>
      </c>
      <c r="AG52">
        <f t="shared" si="12"/>
        <v>3.7570580283396975</v>
      </c>
      <c r="AH52" s="9">
        <v>0</v>
      </c>
      <c r="AI52" s="9">
        <f t="shared" si="37"/>
        <v>0</v>
      </c>
      <c r="AJ52">
        <v>85</v>
      </c>
      <c r="AK52" s="15" t="s">
        <v>89</v>
      </c>
      <c r="AL52" s="42">
        <v>40.040400531970803</v>
      </c>
      <c r="AM52" s="24">
        <v>-0.02</v>
      </c>
      <c r="AN52" s="34">
        <f t="shared" si="38"/>
        <v>-8.7739243075051505E-3</v>
      </c>
      <c r="AO52">
        <v>1986</v>
      </c>
      <c r="AP52">
        <v>18</v>
      </c>
      <c r="AQ52">
        <v>70</v>
      </c>
      <c r="AR52">
        <v>70</v>
      </c>
      <c r="AS52">
        <f t="shared" si="3"/>
        <v>0</v>
      </c>
      <c r="AT52">
        <f t="shared" si="39"/>
        <v>0</v>
      </c>
      <c r="AU52">
        <f t="shared" si="40"/>
        <v>1</v>
      </c>
      <c r="AV52">
        <f t="shared" si="41"/>
        <v>0</v>
      </c>
      <c r="AW52">
        <f t="shared" si="42"/>
        <v>0</v>
      </c>
      <c r="AX52">
        <f t="shared" si="43"/>
        <v>0</v>
      </c>
      <c r="AY52">
        <f t="shared" si="44"/>
        <v>0</v>
      </c>
      <c r="AZ52">
        <f t="shared" si="45"/>
        <v>0</v>
      </c>
      <c r="BA52">
        <f t="shared" si="46"/>
        <v>0</v>
      </c>
      <c r="BB52">
        <f t="shared" si="47"/>
        <v>0</v>
      </c>
      <c r="BC52">
        <f t="shared" si="48"/>
        <v>0</v>
      </c>
      <c r="BD52">
        <f t="shared" si="49"/>
        <v>0</v>
      </c>
      <c r="BE52">
        <f t="shared" si="50"/>
        <v>0</v>
      </c>
      <c r="BF52">
        <f t="shared" si="51"/>
        <v>0</v>
      </c>
      <c r="BG52">
        <f t="shared" si="52"/>
        <v>0</v>
      </c>
      <c r="BH52">
        <f t="shared" si="53"/>
        <v>0</v>
      </c>
      <c r="BI52">
        <f t="shared" si="54"/>
        <v>0</v>
      </c>
    </row>
    <row r="53" spans="1:61" x14ac:dyDescent="0.35">
      <c r="A53" t="s">
        <v>51</v>
      </c>
      <c r="B53" s="1">
        <v>40428</v>
      </c>
      <c r="C53" t="s">
        <v>194</v>
      </c>
      <c r="D53" t="s">
        <v>45</v>
      </c>
      <c r="E53" t="s">
        <v>195</v>
      </c>
      <c r="F53" t="s">
        <v>59</v>
      </c>
      <c r="G53" s="4" t="s">
        <v>64</v>
      </c>
      <c r="H53" s="139">
        <f t="shared" si="4"/>
        <v>1</v>
      </c>
      <c r="I53" s="4" t="s">
        <v>48</v>
      </c>
      <c r="J53" t="s">
        <v>269</v>
      </c>
      <c r="K53" s="2">
        <f t="shared" si="31"/>
        <v>7</v>
      </c>
      <c r="L53">
        <v>3100000000</v>
      </c>
      <c r="M53" s="2">
        <f t="shared" si="32"/>
        <v>9.4913616938342731</v>
      </c>
      <c r="N53">
        <v>3100000000</v>
      </c>
      <c r="O53">
        <v>0</v>
      </c>
      <c r="P53" s="1">
        <v>41687</v>
      </c>
      <c r="Q53" s="89">
        <f t="shared" si="33"/>
        <v>2014</v>
      </c>
      <c r="R53" t="s">
        <v>152</v>
      </c>
      <c r="S53">
        <v>4400000000</v>
      </c>
      <c r="T53" s="21">
        <f t="shared" si="0"/>
        <v>3.4493150684931506</v>
      </c>
      <c r="U53">
        <v>5897.96</v>
      </c>
      <c r="V53">
        <f t="shared" si="34"/>
        <v>3.7707754512906644</v>
      </c>
      <c r="W53">
        <v>1980</v>
      </c>
      <c r="X53">
        <v>30</v>
      </c>
      <c r="Y53">
        <f t="shared" si="35"/>
        <v>1.4913616938342726</v>
      </c>
      <c r="Z53" s="45">
        <v>2.3199999999999998</v>
      </c>
      <c r="AA53" s="9">
        <f t="shared" si="1"/>
        <v>1300000000</v>
      </c>
      <c r="AB53" s="15">
        <f t="shared" si="2"/>
        <v>0.41935483870967749</v>
      </c>
      <c r="AC53" s="34">
        <f t="shared" si="36"/>
        <v>0.15209098265191479</v>
      </c>
      <c r="AD53" s="41">
        <v>3287.5740000000001</v>
      </c>
      <c r="AE53">
        <f t="shared" si="11"/>
        <v>3.5168755371419098</v>
      </c>
      <c r="AF53" s="14">
        <v>6440.2359999999999</v>
      </c>
      <c r="AG53">
        <f t="shared" si="12"/>
        <v>3.8089017822076054</v>
      </c>
      <c r="AH53" s="9">
        <v>132</v>
      </c>
      <c r="AI53" s="9">
        <f t="shared" si="37"/>
        <v>2.1238516409670858</v>
      </c>
      <c r="AJ53">
        <v>91.3</v>
      </c>
      <c r="AK53" s="15" t="s">
        <v>136</v>
      </c>
      <c r="AL53" s="42">
        <v>43.1672842383418</v>
      </c>
      <c r="AM53" s="24">
        <v>0.68</v>
      </c>
      <c r="AN53" s="34">
        <f t="shared" si="38"/>
        <v>0.2253092817258629</v>
      </c>
      <c r="AO53">
        <v>1986</v>
      </c>
      <c r="AP53">
        <v>24</v>
      </c>
      <c r="AQ53">
        <v>70</v>
      </c>
      <c r="AR53">
        <v>70</v>
      </c>
      <c r="AS53">
        <f t="shared" si="3"/>
        <v>0</v>
      </c>
      <c r="AT53">
        <f t="shared" si="39"/>
        <v>1</v>
      </c>
      <c r="AU53">
        <f t="shared" si="40"/>
        <v>0</v>
      </c>
      <c r="AV53">
        <f t="shared" si="41"/>
        <v>0</v>
      </c>
      <c r="AW53">
        <f t="shared" si="42"/>
        <v>0</v>
      </c>
      <c r="AX53">
        <f t="shared" si="43"/>
        <v>0</v>
      </c>
      <c r="AY53">
        <f t="shared" si="44"/>
        <v>0</v>
      </c>
      <c r="AZ53">
        <f t="shared" si="45"/>
        <v>0</v>
      </c>
      <c r="BA53">
        <f t="shared" si="46"/>
        <v>0</v>
      </c>
      <c r="BB53">
        <f t="shared" si="47"/>
        <v>0</v>
      </c>
      <c r="BC53">
        <f t="shared" si="48"/>
        <v>0</v>
      </c>
      <c r="BD53">
        <f t="shared" si="49"/>
        <v>0</v>
      </c>
      <c r="BE53">
        <f t="shared" si="50"/>
        <v>0</v>
      </c>
      <c r="BF53">
        <f t="shared" si="51"/>
        <v>0</v>
      </c>
      <c r="BG53">
        <f t="shared" si="52"/>
        <v>0</v>
      </c>
      <c r="BH53">
        <f t="shared" si="53"/>
        <v>0</v>
      </c>
      <c r="BI53">
        <f t="shared" si="54"/>
        <v>0</v>
      </c>
    </row>
    <row r="54" spans="1:61" x14ac:dyDescent="0.35">
      <c r="A54" t="s">
        <v>196</v>
      </c>
      <c r="B54" s="1">
        <v>41501</v>
      </c>
      <c r="C54" t="s">
        <v>197</v>
      </c>
      <c r="D54" t="s">
        <v>2</v>
      </c>
      <c r="E54" t="s">
        <v>198</v>
      </c>
      <c r="F54" t="s">
        <v>45</v>
      </c>
      <c r="G54" s="4" t="s">
        <v>64</v>
      </c>
      <c r="H54" s="139">
        <f t="shared" si="4"/>
        <v>1</v>
      </c>
      <c r="I54" s="4" t="s">
        <v>48</v>
      </c>
      <c r="J54" t="s">
        <v>269</v>
      </c>
      <c r="K54" s="2">
        <f t="shared" si="31"/>
        <v>7</v>
      </c>
      <c r="L54">
        <v>180000000</v>
      </c>
      <c r="M54" s="2">
        <f t="shared" si="32"/>
        <v>8.2552725051033065</v>
      </c>
      <c r="N54">
        <v>180000000</v>
      </c>
      <c r="O54">
        <v>0</v>
      </c>
      <c r="P54" s="1">
        <v>43103</v>
      </c>
      <c r="Q54" s="89">
        <f t="shared" si="33"/>
        <v>2018</v>
      </c>
      <c r="R54" t="s">
        <v>54</v>
      </c>
      <c r="S54">
        <v>1100000000</v>
      </c>
      <c r="T54" s="21">
        <f t="shared" si="0"/>
        <v>4.3890410958904109</v>
      </c>
      <c r="U54">
        <v>6815.73</v>
      </c>
      <c r="V54">
        <f t="shared" si="34"/>
        <v>3.8335760926148099</v>
      </c>
      <c r="W54">
        <v>1973</v>
      </c>
      <c r="X54">
        <v>40</v>
      </c>
      <c r="Y54">
        <f t="shared" si="35"/>
        <v>1.6127838567197355</v>
      </c>
      <c r="Z54" s="45">
        <v>2.85</v>
      </c>
      <c r="AA54" s="9">
        <f t="shared" si="1"/>
        <v>920000000</v>
      </c>
      <c r="AB54" s="15">
        <f t="shared" si="2"/>
        <v>5.1111111111111107</v>
      </c>
      <c r="AC54" s="34">
        <f t="shared" si="36"/>
        <v>0.7861201800549189</v>
      </c>
      <c r="AD54" s="34">
        <v>1246.953</v>
      </c>
      <c r="AE54">
        <f t="shared" si="11"/>
        <v>3.0958500844125241</v>
      </c>
      <c r="AF54">
        <v>3219.7179999999998</v>
      </c>
      <c r="AG54">
        <f t="shared" si="12"/>
        <v>3.5078178355445662</v>
      </c>
      <c r="AH54" s="9">
        <v>819</v>
      </c>
      <c r="AI54" s="9">
        <f t="shared" si="37"/>
        <v>2.9138138523837167</v>
      </c>
      <c r="AJ54">
        <v>92.1</v>
      </c>
      <c r="AK54" s="15" t="s">
        <v>199</v>
      </c>
      <c r="AL54" s="42">
        <v>44.688349184782602</v>
      </c>
      <c r="AM54" s="24">
        <v>0.63</v>
      </c>
      <c r="AN54" s="34">
        <f t="shared" si="38"/>
        <v>0.21218760440395779</v>
      </c>
      <c r="AO54">
        <v>1987</v>
      </c>
      <c r="AP54">
        <v>26</v>
      </c>
      <c r="AQ54">
        <v>70</v>
      </c>
      <c r="AR54">
        <v>70</v>
      </c>
      <c r="AS54">
        <f t="shared" si="3"/>
        <v>0</v>
      </c>
      <c r="AT54">
        <f t="shared" si="39"/>
        <v>0</v>
      </c>
      <c r="AU54">
        <f t="shared" si="40"/>
        <v>0</v>
      </c>
      <c r="AV54">
        <f t="shared" si="41"/>
        <v>0</v>
      </c>
      <c r="AW54">
        <f t="shared" si="42"/>
        <v>0</v>
      </c>
      <c r="AX54">
        <f t="shared" si="43"/>
        <v>0</v>
      </c>
      <c r="AY54">
        <f t="shared" si="44"/>
        <v>0</v>
      </c>
      <c r="AZ54">
        <f t="shared" si="45"/>
        <v>0</v>
      </c>
      <c r="BA54">
        <f t="shared" si="46"/>
        <v>0</v>
      </c>
      <c r="BB54">
        <f t="shared" si="47"/>
        <v>1</v>
      </c>
      <c r="BC54">
        <f t="shared" si="48"/>
        <v>0</v>
      </c>
      <c r="BD54">
        <f t="shared" si="49"/>
        <v>0</v>
      </c>
      <c r="BE54">
        <f t="shared" si="50"/>
        <v>0</v>
      </c>
      <c r="BF54">
        <f t="shared" si="51"/>
        <v>0</v>
      </c>
      <c r="BG54">
        <f t="shared" si="52"/>
        <v>0</v>
      </c>
      <c r="BH54">
        <f t="shared" si="53"/>
        <v>0</v>
      </c>
      <c r="BI54">
        <f t="shared" si="54"/>
        <v>0</v>
      </c>
    </row>
    <row r="55" spans="1:61" x14ac:dyDescent="0.35">
      <c r="A55" t="s">
        <v>196</v>
      </c>
      <c r="B55" s="1">
        <v>39209</v>
      </c>
      <c r="C55" t="s">
        <v>200</v>
      </c>
      <c r="D55" t="s">
        <v>45</v>
      </c>
      <c r="E55" t="s">
        <v>201</v>
      </c>
      <c r="F55" t="s">
        <v>45</v>
      </c>
      <c r="G55" s="4" t="s">
        <v>47</v>
      </c>
      <c r="H55" s="139">
        <f t="shared" si="4"/>
        <v>0</v>
      </c>
      <c r="I55" s="4" t="s">
        <v>48</v>
      </c>
      <c r="J55" t="s">
        <v>186</v>
      </c>
      <c r="K55" s="2">
        <f t="shared" si="31"/>
        <v>4</v>
      </c>
      <c r="L55">
        <v>632000000</v>
      </c>
      <c r="M55" s="2">
        <f t="shared" si="32"/>
        <v>8.8007170782823856</v>
      </c>
      <c r="N55">
        <v>632000000</v>
      </c>
      <c r="O55">
        <v>0</v>
      </c>
      <c r="P55" s="1">
        <v>41586</v>
      </c>
      <c r="Q55" s="89">
        <f t="shared" si="33"/>
        <v>2013</v>
      </c>
      <c r="R55" t="s">
        <v>155</v>
      </c>
      <c r="S55">
        <v>1400000000</v>
      </c>
      <c r="T55" s="21">
        <f t="shared" si="0"/>
        <v>6.5123287671232877</v>
      </c>
      <c r="U55">
        <v>0</v>
      </c>
      <c r="V55">
        <f t="shared" si="34"/>
        <v>0</v>
      </c>
      <c r="W55">
        <v>1929</v>
      </c>
      <c r="X55">
        <v>78</v>
      </c>
      <c r="Y55">
        <f t="shared" si="35"/>
        <v>1.8976270912904414</v>
      </c>
      <c r="Z55" s="45">
        <v>2.95</v>
      </c>
      <c r="AA55" s="9">
        <f t="shared" si="1"/>
        <v>768000000</v>
      </c>
      <c r="AB55" s="15">
        <f t="shared" si="2"/>
        <v>1.2151898734177213</v>
      </c>
      <c r="AC55" s="34">
        <f t="shared" si="36"/>
        <v>0.34541095739585298</v>
      </c>
      <c r="AD55">
        <v>1246.953</v>
      </c>
      <c r="AE55">
        <f t="shared" si="11"/>
        <v>3.0958500844125241</v>
      </c>
      <c r="AF55">
        <v>3219.7179999999998</v>
      </c>
      <c r="AG55">
        <f t="shared" si="12"/>
        <v>3.5078178355445662</v>
      </c>
      <c r="AH55" s="9">
        <v>0</v>
      </c>
      <c r="AI55" s="9">
        <f t="shared" si="37"/>
        <v>0</v>
      </c>
      <c r="AJ55">
        <v>91.4</v>
      </c>
      <c r="AK55" s="15" t="s">
        <v>103</v>
      </c>
      <c r="AL55" s="42">
        <v>37.425715444240403</v>
      </c>
      <c r="AM55" s="24">
        <v>0.17</v>
      </c>
      <c r="AN55" s="34">
        <f t="shared" si="38"/>
        <v>6.8185861746161619E-2</v>
      </c>
      <c r="AO55">
        <v>1987</v>
      </c>
      <c r="AP55">
        <v>20</v>
      </c>
      <c r="AQ55">
        <v>70</v>
      </c>
      <c r="AR55">
        <v>70</v>
      </c>
      <c r="AS55">
        <f t="shared" si="3"/>
        <v>0</v>
      </c>
      <c r="AT55">
        <f t="shared" si="39"/>
        <v>1</v>
      </c>
      <c r="AU55">
        <f t="shared" si="40"/>
        <v>0</v>
      </c>
      <c r="AV55">
        <f t="shared" si="41"/>
        <v>0</v>
      </c>
      <c r="AW55">
        <f t="shared" si="42"/>
        <v>0</v>
      </c>
      <c r="AX55">
        <f t="shared" si="43"/>
        <v>0</v>
      </c>
      <c r="AY55">
        <f t="shared" si="44"/>
        <v>0</v>
      </c>
      <c r="AZ55">
        <f t="shared" si="45"/>
        <v>0</v>
      </c>
      <c r="BA55">
        <f t="shared" si="46"/>
        <v>0</v>
      </c>
      <c r="BB55">
        <f t="shared" si="47"/>
        <v>0</v>
      </c>
      <c r="BC55">
        <f t="shared" si="48"/>
        <v>0</v>
      </c>
      <c r="BD55">
        <f t="shared" si="49"/>
        <v>0</v>
      </c>
      <c r="BE55">
        <f t="shared" si="50"/>
        <v>0</v>
      </c>
      <c r="BF55">
        <f t="shared" si="51"/>
        <v>0</v>
      </c>
      <c r="BG55">
        <f t="shared" si="52"/>
        <v>0</v>
      </c>
      <c r="BH55">
        <f t="shared" si="53"/>
        <v>0</v>
      </c>
      <c r="BI55">
        <f t="shared" si="54"/>
        <v>0</v>
      </c>
    </row>
    <row r="56" spans="1:61" x14ac:dyDescent="0.35">
      <c r="A56" t="s">
        <v>196</v>
      </c>
      <c r="B56" s="1">
        <v>41151</v>
      </c>
      <c r="C56" t="s">
        <v>202</v>
      </c>
      <c r="D56" t="s">
        <v>45</v>
      </c>
      <c r="E56" t="s">
        <v>203</v>
      </c>
      <c r="F56" t="s">
        <v>45</v>
      </c>
      <c r="G56" s="4" t="s">
        <v>47</v>
      </c>
      <c r="H56" s="139">
        <f t="shared" si="4"/>
        <v>0</v>
      </c>
      <c r="I56" s="4" t="s">
        <v>48</v>
      </c>
      <c r="J56" t="s">
        <v>326</v>
      </c>
      <c r="K56" s="2">
        <f t="shared" si="31"/>
        <v>8</v>
      </c>
      <c r="L56">
        <v>4900000000</v>
      </c>
      <c r="M56" s="2">
        <f t="shared" si="32"/>
        <v>9.6901960800285138</v>
      </c>
      <c r="N56">
        <v>4900000000</v>
      </c>
      <c r="O56">
        <v>0</v>
      </c>
      <c r="P56" s="1">
        <v>42189</v>
      </c>
      <c r="Q56" s="89">
        <f t="shared" si="33"/>
        <v>2015</v>
      </c>
      <c r="R56" t="s">
        <v>155</v>
      </c>
      <c r="S56">
        <v>560000000</v>
      </c>
      <c r="T56" s="21">
        <f t="shared" si="0"/>
        <v>2.8438356164383563</v>
      </c>
      <c r="U56">
        <v>0</v>
      </c>
      <c r="V56">
        <f t="shared" si="34"/>
        <v>0</v>
      </c>
      <c r="W56">
        <v>1866</v>
      </c>
      <c r="X56">
        <v>146</v>
      </c>
      <c r="Y56">
        <f t="shared" si="35"/>
        <v>2.167317334748176</v>
      </c>
      <c r="Z56" s="45">
        <v>2.95</v>
      </c>
      <c r="AA56" s="9">
        <f t="shared" si="1"/>
        <v>-4340000000</v>
      </c>
      <c r="AB56" s="15">
        <f t="shared" si="2"/>
        <v>-0.88571428571428568</v>
      </c>
      <c r="AC56" s="34">
        <f t="shared" si="36"/>
        <v>-0.94200805302231305</v>
      </c>
      <c r="AD56">
        <v>1246.953</v>
      </c>
      <c r="AE56">
        <f t="shared" si="11"/>
        <v>3.0958500844125241</v>
      </c>
      <c r="AF56">
        <v>3219.7179999999998</v>
      </c>
      <c r="AG56">
        <f t="shared" si="12"/>
        <v>3.5078178355445662</v>
      </c>
      <c r="AH56" s="9">
        <v>0</v>
      </c>
      <c r="AI56" s="9">
        <f t="shared" si="37"/>
        <v>0</v>
      </c>
      <c r="AJ56">
        <v>91.1</v>
      </c>
      <c r="AK56" s="15" t="s">
        <v>144</v>
      </c>
      <c r="AL56" s="42">
        <v>40.229046020662899</v>
      </c>
      <c r="AM56" s="24">
        <v>0.48</v>
      </c>
      <c r="AN56" s="34">
        <f t="shared" si="38"/>
        <v>0.17026171539495738</v>
      </c>
      <c r="AO56">
        <v>1987</v>
      </c>
      <c r="AP56">
        <v>25</v>
      </c>
      <c r="AQ56">
        <v>70</v>
      </c>
      <c r="AR56">
        <v>70</v>
      </c>
      <c r="AS56">
        <f t="shared" si="3"/>
        <v>0</v>
      </c>
      <c r="AT56">
        <f t="shared" si="39"/>
        <v>1</v>
      </c>
      <c r="AU56">
        <f t="shared" si="40"/>
        <v>0</v>
      </c>
      <c r="AV56">
        <f t="shared" si="41"/>
        <v>0</v>
      </c>
      <c r="AW56">
        <f t="shared" si="42"/>
        <v>0</v>
      </c>
      <c r="AX56">
        <f t="shared" si="43"/>
        <v>0</v>
      </c>
      <c r="AY56">
        <f t="shared" si="44"/>
        <v>0</v>
      </c>
      <c r="AZ56">
        <f t="shared" si="45"/>
        <v>0</v>
      </c>
      <c r="BA56">
        <f t="shared" si="46"/>
        <v>0</v>
      </c>
      <c r="BB56">
        <f t="shared" si="47"/>
        <v>0</v>
      </c>
      <c r="BC56">
        <f t="shared" si="48"/>
        <v>0</v>
      </c>
      <c r="BD56">
        <f t="shared" si="49"/>
        <v>0</v>
      </c>
      <c r="BE56">
        <f t="shared" si="50"/>
        <v>0</v>
      </c>
      <c r="BF56">
        <f t="shared" si="51"/>
        <v>0</v>
      </c>
      <c r="BG56">
        <f t="shared" si="52"/>
        <v>0</v>
      </c>
      <c r="BH56">
        <f t="shared" si="53"/>
        <v>0</v>
      </c>
      <c r="BI56">
        <f t="shared" si="54"/>
        <v>0</v>
      </c>
    </row>
    <row r="57" spans="1:61" x14ac:dyDescent="0.35">
      <c r="A57" t="s">
        <v>51</v>
      </c>
      <c r="B57" s="1">
        <v>37616</v>
      </c>
      <c r="C57" t="s">
        <v>204</v>
      </c>
      <c r="D57" t="s">
        <v>5</v>
      </c>
      <c r="E57" t="s">
        <v>205</v>
      </c>
      <c r="F57" t="s">
        <v>45</v>
      </c>
      <c r="G57" s="4" t="s">
        <v>64</v>
      </c>
      <c r="H57" s="139">
        <f t="shared" si="4"/>
        <v>1</v>
      </c>
      <c r="I57" s="4" t="s">
        <v>48</v>
      </c>
      <c r="J57" t="s">
        <v>186</v>
      </c>
      <c r="K57" s="2">
        <f t="shared" si="31"/>
        <v>4</v>
      </c>
      <c r="L57">
        <v>665000000</v>
      </c>
      <c r="M57" s="2">
        <f t="shared" si="32"/>
        <v>8.8228216453031045</v>
      </c>
      <c r="N57">
        <v>665000000</v>
      </c>
      <c r="O57">
        <v>0</v>
      </c>
      <c r="P57" s="1">
        <v>38916</v>
      </c>
      <c r="Q57" s="89">
        <f t="shared" si="33"/>
        <v>2006</v>
      </c>
      <c r="R57" t="s">
        <v>152</v>
      </c>
      <c r="S57">
        <v>2850000000</v>
      </c>
      <c r="T57" s="21">
        <f t="shared" si="0"/>
        <v>3.5616438356164384</v>
      </c>
      <c r="U57">
        <v>6188.89</v>
      </c>
      <c r="V57">
        <f t="shared" si="34"/>
        <v>3.7916829312790057</v>
      </c>
      <c r="W57">
        <v>1970</v>
      </c>
      <c r="X57">
        <v>32</v>
      </c>
      <c r="Y57">
        <f t="shared" si="35"/>
        <v>1.5185139398778875</v>
      </c>
      <c r="Z57" s="45">
        <v>2.72</v>
      </c>
      <c r="AA57" s="9">
        <f t="shared" si="1"/>
        <v>2185000000</v>
      </c>
      <c r="AB57" s="15">
        <f t="shared" si="2"/>
        <v>3.2857142857142856</v>
      </c>
      <c r="AC57" s="34">
        <f t="shared" si="36"/>
        <v>0.63202321470540557</v>
      </c>
      <c r="AD57">
        <v>1246.953</v>
      </c>
      <c r="AE57">
        <f t="shared" si="11"/>
        <v>3.0958500844125241</v>
      </c>
      <c r="AF57">
        <v>3219.7179999999998</v>
      </c>
      <c r="AG57">
        <f t="shared" si="12"/>
        <v>3.5078178355445662</v>
      </c>
      <c r="AH57" s="9">
        <v>1084.3333333333301</v>
      </c>
      <c r="AI57" s="9">
        <f t="shared" si="37"/>
        <v>3.0355631414974997</v>
      </c>
      <c r="AJ57">
        <v>70</v>
      </c>
      <c r="AK57" s="15" t="s">
        <v>84</v>
      </c>
      <c r="AL57" s="42">
        <v>43.580897040130701</v>
      </c>
      <c r="AM57" s="24">
        <v>0.39</v>
      </c>
      <c r="AN57" s="34">
        <f t="shared" si="38"/>
        <v>0.14301480025409513</v>
      </c>
      <c r="AO57">
        <v>1987</v>
      </c>
      <c r="AP57">
        <v>15</v>
      </c>
      <c r="AQ57">
        <v>95</v>
      </c>
      <c r="AR57">
        <v>80</v>
      </c>
      <c r="AS57">
        <f t="shared" si="3"/>
        <v>0</v>
      </c>
      <c r="AT57">
        <f t="shared" si="39"/>
        <v>0</v>
      </c>
      <c r="AU57">
        <f t="shared" si="40"/>
        <v>0</v>
      </c>
      <c r="AV57">
        <f t="shared" si="41"/>
        <v>0</v>
      </c>
      <c r="AW57">
        <f t="shared" si="42"/>
        <v>0</v>
      </c>
      <c r="AX57">
        <f t="shared" si="43"/>
        <v>0</v>
      </c>
      <c r="AY57">
        <f t="shared" si="44"/>
        <v>1</v>
      </c>
      <c r="AZ57">
        <f t="shared" si="45"/>
        <v>0</v>
      </c>
      <c r="BA57">
        <f t="shared" si="46"/>
        <v>0</v>
      </c>
      <c r="BB57">
        <f t="shared" si="47"/>
        <v>0</v>
      </c>
      <c r="BC57">
        <f t="shared" si="48"/>
        <v>0</v>
      </c>
      <c r="BD57">
        <f t="shared" si="49"/>
        <v>0</v>
      </c>
      <c r="BE57">
        <f t="shared" si="50"/>
        <v>0</v>
      </c>
      <c r="BF57">
        <f t="shared" si="51"/>
        <v>0</v>
      </c>
      <c r="BG57">
        <f t="shared" si="52"/>
        <v>0</v>
      </c>
      <c r="BH57">
        <f t="shared" si="53"/>
        <v>0</v>
      </c>
      <c r="BI57">
        <f t="shared" si="54"/>
        <v>0</v>
      </c>
    </row>
    <row r="58" spans="1:61" x14ac:dyDescent="0.35">
      <c r="A58" t="s">
        <v>51</v>
      </c>
      <c r="B58" s="1">
        <v>41136</v>
      </c>
      <c r="C58" t="s">
        <v>206</v>
      </c>
      <c r="D58" t="s">
        <v>45</v>
      </c>
      <c r="E58" t="s">
        <v>207</v>
      </c>
      <c r="F58" t="s">
        <v>45</v>
      </c>
      <c r="G58" s="4" t="s">
        <v>47</v>
      </c>
      <c r="H58" s="139">
        <f t="shared" si="4"/>
        <v>0</v>
      </c>
      <c r="I58" s="4" t="s">
        <v>48</v>
      </c>
      <c r="J58" t="s">
        <v>186</v>
      </c>
      <c r="K58" s="2">
        <f t="shared" si="31"/>
        <v>4</v>
      </c>
      <c r="L58">
        <v>3300000000</v>
      </c>
      <c r="M58" s="2">
        <f t="shared" si="32"/>
        <v>9.518513939877888</v>
      </c>
      <c r="N58">
        <v>3300000000</v>
      </c>
      <c r="O58">
        <v>0</v>
      </c>
      <c r="P58" s="1">
        <v>43199</v>
      </c>
      <c r="Q58" s="89">
        <f t="shared" si="33"/>
        <v>2018</v>
      </c>
      <c r="R58" t="s">
        <v>155</v>
      </c>
      <c r="S58">
        <v>3000000000</v>
      </c>
      <c r="T58" s="21">
        <f t="shared" si="0"/>
        <v>5.6520547945205477</v>
      </c>
      <c r="U58">
        <v>0</v>
      </c>
      <c r="V58">
        <f t="shared" si="34"/>
        <v>0</v>
      </c>
      <c r="W58">
        <v>1995</v>
      </c>
      <c r="X58">
        <v>17</v>
      </c>
      <c r="Y58">
        <f t="shared" si="35"/>
        <v>1.255272505103306</v>
      </c>
      <c r="Z58" s="45">
        <v>2.95</v>
      </c>
      <c r="AA58" s="9">
        <f t="shared" si="1"/>
        <v>-300000000</v>
      </c>
      <c r="AB58" s="15">
        <f t="shared" si="2"/>
        <v>-9.0909090909090939E-2</v>
      </c>
      <c r="AC58" s="34">
        <f t="shared" si="36"/>
        <v>-4.1392685158225057E-2</v>
      </c>
      <c r="AD58">
        <v>1246.953</v>
      </c>
      <c r="AE58">
        <f t="shared" si="11"/>
        <v>3.0958500844125241</v>
      </c>
      <c r="AF58">
        <v>3219.7179999999998</v>
      </c>
      <c r="AG58">
        <f t="shared" si="12"/>
        <v>3.5078178355445662</v>
      </c>
      <c r="AH58" s="9">
        <v>0</v>
      </c>
      <c r="AI58" s="9">
        <f t="shared" si="37"/>
        <v>0</v>
      </c>
      <c r="AJ58">
        <v>91.1</v>
      </c>
      <c r="AK58" s="15" t="s">
        <v>144</v>
      </c>
      <c r="AL58" s="42">
        <v>40.229046020662899</v>
      </c>
      <c r="AM58" s="24">
        <v>0.86</v>
      </c>
      <c r="AN58" s="34">
        <f t="shared" si="38"/>
        <v>0.26951294421791627</v>
      </c>
      <c r="AO58">
        <v>1987</v>
      </c>
      <c r="AP58">
        <v>25</v>
      </c>
      <c r="AQ58">
        <v>70</v>
      </c>
      <c r="AR58">
        <v>70</v>
      </c>
      <c r="AS58">
        <f t="shared" si="3"/>
        <v>0</v>
      </c>
      <c r="AT58">
        <f t="shared" si="39"/>
        <v>1</v>
      </c>
      <c r="AU58">
        <f t="shared" si="40"/>
        <v>0</v>
      </c>
      <c r="AV58">
        <f t="shared" si="41"/>
        <v>0</v>
      </c>
      <c r="AW58">
        <f t="shared" si="42"/>
        <v>0</v>
      </c>
      <c r="AX58">
        <f t="shared" si="43"/>
        <v>0</v>
      </c>
      <c r="AY58">
        <f t="shared" si="44"/>
        <v>0</v>
      </c>
      <c r="AZ58">
        <f t="shared" si="45"/>
        <v>0</v>
      </c>
      <c r="BA58">
        <f t="shared" si="46"/>
        <v>0</v>
      </c>
      <c r="BB58">
        <f t="shared" si="47"/>
        <v>0</v>
      </c>
      <c r="BC58">
        <f t="shared" si="48"/>
        <v>0</v>
      </c>
      <c r="BD58">
        <f t="shared" si="49"/>
        <v>0</v>
      </c>
      <c r="BE58">
        <f t="shared" si="50"/>
        <v>0</v>
      </c>
      <c r="BF58">
        <f t="shared" si="51"/>
        <v>0</v>
      </c>
      <c r="BG58">
        <f t="shared" si="52"/>
        <v>0</v>
      </c>
      <c r="BH58">
        <f t="shared" si="53"/>
        <v>0</v>
      </c>
      <c r="BI58">
        <f t="shared" si="54"/>
        <v>0</v>
      </c>
    </row>
    <row r="59" spans="1:61" x14ac:dyDescent="0.35">
      <c r="A59" t="s">
        <v>51</v>
      </c>
      <c r="B59" s="1">
        <v>40390</v>
      </c>
      <c r="C59" t="s">
        <v>208</v>
      </c>
      <c r="D59" t="s">
        <v>163</v>
      </c>
      <c r="E59" t="s">
        <v>209</v>
      </c>
      <c r="F59" t="s">
        <v>45</v>
      </c>
      <c r="G59" s="4" t="s">
        <v>64</v>
      </c>
      <c r="H59" s="139">
        <f t="shared" si="4"/>
        <v>1</v>
      </c>
      <c r="I59" s="4" t="s">
        <v>48</v>
      </c>
      <c r="J59" t="s">
        <v>248</v>
      </c>
      <c r="K59" s="2">
        <f t="shared" si="31"/>
        <v>5</v>
      </c>
      <c r="L59">
        <v>485000000</v>
      </c>
      <c r="M59" s="2">
        <f t="shared" si="32"/>
        <v>8.685741738602264</v>
      </c>
      <c r="N59">
        <v>485000000</v>
      </c>
      <c r="O59">
        <v>0</v>
      </c>
      <c r="P59" s="1">
        <v>42353</v>
      </c>
      <c r="Q59" s="89">
        <f t="shared" si="33"/>
        <v>2015</v>
      </c>
      <c r="R59" t="s">
        <v>155</v>
      </c>
      <c r="S59">
        <v>790000000</v>
      </c>
      <c r="T59" s="21">
        <f t="shared" si="0"/>
        <v>5.3780821917808215</v>
      </c>
      <c r="U59">
        <v>6164.6</v>
      </c>
      <c r="V59">
        <f t="shared" si="34"/>
        <v>3.7899753459779522</v>
      </c>
      <c r="W59">
        <v>1990</v>
      </c>
      <c r="X59">
        <v>20</v>
      </c>
      <c r="Y59">
        <f t="shared" si="35"/>
        <v>1.3222192947339193</v>
      </c>
      <c r="Z59" s="45">
        <v>3.18</v>
      </c>
      <c r="AA59" s="9">
        <f t="shared" si="1"/>
        <v>305000000</v>
      </c>
      <c r="AB59" s="15">
        <f t="shared" si="2"/>
        <v>0.62886597938144329</v>
      </c>
      <c r="AC59" s="34">
        <f t="shared" si="36"/>
        <v>0.21188535268817776</v>
      </c>
      <c r="AD59">
        <v>1246.953</v>
      </c>
      <c r="AE59">
        <f t="shared" si="11"/>
        <v>3.0958500844125241</v>
      </c>
      <c r="AF59">
        <v>3219.7179999999998</v>
      </c>
      <c r="AG59">
        <f t="shared" si="12"/>
        <v>3.5078178355445662</v>
      </c>
      <c r="AH59" s="9">
        <v>583.83333333333303</v>
      </c>
      <c r="AI59" s="9">
        <f t="shared" si="37"/>
        <v>2.7670321178317625</v>
      </c>
      <c r="AJ59">
        <v>86.3</v>
      </c>
      <c r="AK59" s="15" t="s">
        <v>210</v>
      </c>
      <c r="AL59" s="42">
        <v>56.8818351627258</v>
      </c>
      <c r="AM59" s="24">
        <v>0.85</v>
      </c>
      <c r="AN59" s="34">
        <f t="shared" si="38"/>
        <v>0.26717172840301384</v>
      </c>
      <c r="AO59">
        <v>1987</v>
      </c>
      <c r="AP59">
        <v>23</v>
      </c>
      <c r="AQ59">
        <v>85</v>
      </c>
      <c r="AR59">
        <v>80</v>
      </c>
      <c r="AS59">
        <f t="shared" si="3"/>
        <v>0</v>
      </c>
      <c r="AT59">
        <f t="shared" si="39"/>
        <v>0</v>
      </c>
      <c r="AU59">
        <f t="shared" si="40"/>
        <v>0</v>
      </c>
      <c r="AV59">
        <f t="shared" si="41"/>
        <v>0</v>
      </c>
      <c r="AW59">
        <f t="shared" si="42"/>
        <v>0</v>
      </c>
      <c r="AX59">
        <f t="shared" si="43"/>
        <v>0</v>
      </c>
      <c r="AY59">
        <f t="shared" si="44"/>
        <v>0</v>
      </c>
      <c r="AZ59">
        <f t="shared" si="45"/>
        <v>1</v>
      </c>
      <c r="BA59">
        <f t="shared" si="46"/>
        <v>0</v>
      </c>
      <c r="BB59">
        <f t="shared" si="47"/>
        <v>0</v>
      </c>
      <c r="BC59">
        <f t="shared" si="48"/>
        <v>0</v>
      </c>
      <c r="BD59">
        <f t="shared" si="49"/>
        <v>0</v>
      </c>
      <c r="BE59">
        <f t="shared" si="50"/>
        <v>0</v>
      </c>
      <c r="BF59">
        <f t="shared" si="51"/>
        <v>0</v>
      </c>
      <c r="BG59">
        <f t="shared" si="52"/>
        <v>0</v>
      </c>
      <c r="BH59">
        <f t="shared" si="53"/>
        <v>0</v>
      </c>
      <c r="BI59">
        <f t="shared" si="54"/>
        <v>0</v>
      </c>
    </row>
    <row r="60" spans="1:61" x14ac:dyDescent="0.35">
      <c r="A60" t="s">
        <v>51</v>
      </c>
      <c r="B60" s="1">
        <v>38342</v>
      </c>
      <c r="C60" t="s">
        <v>211</v>
      </c>
      <c r="D60" t="s">
        <v>2</v>
      </c>
      <c r="E60" t="s">
        <v>212</v>
      </c>
      <c r="F60" t="s">
        <v>45</v>
      </c>
      <c r="G60" s="4" t="s">
        <v>64</v>
      </c>
      <c r="H60" s="139">
        <f t="shared" si="4"/>
        <v>1</v>
      </c>
      <c r="I60" s="4" t="s">
        <v>48</v>
      </c>
      <c r="J60" t="s">
        <v>326</v>
      </c>
      <c r="K60" s="2">
        <f t="shared" si="31"/>
        <v>8</v>
      </c>
      <c r="L60">
        <v>300000000</v>
      </c>
      <c r="M60" s="2">
        <f t="shared" si="32"/>
        <v>8.4771212547196626</v>
      </c>
      <c r="N60">
        <v>300000000</v>
      </c>
      <c r="O60">
        <v>0</v>
      </c>
      <c r="P60" s="1">
        <v>39311</v>
      </c>
      <c r="Q60" s="89">
        <f t="shared" si="33"/>
        <v>2007</v>
      </c>
      <c r="R60" t="s">
        <v>152</v>
      </c>
      <c r="S60">
        <v>708760000</v>
      </c>
      <c r="T60" s="21">
        <f t="shared" si="0"/>
        <v>2.6547945205479451</v>
      </c>
      <c r="U60">
        <v>6815.73</v>
      </c>
      <c r="V60">
        <f t="shared" si="34"/>
        <v>3.8335760926148099</v>
      </c>
      <c r="W60">
        <v>2003</v>
      </c>
      <c r="X60">
        <v>1</v>
      </c>
      <c r="Y60">
        <f t="shared" si="35"/>
        <v>0.3010299956639812</v>
      </c>
      <c r="Z60" s="45">
        <v>2.85</v>
      </c>
      <c r="AA60" s="9">
        <f t="shared" si="1"/>
        <v>408760000</v>
      </c>
      <c r="AB60" s="15">
        <f t="shared" si="2"/>
        <v>1.3625333333333334</v>
      </c>
      <c r="AC60" s="34">
        <f t="shared" si="36"/>
        <v>0.37337794474981029</v>
      </c>
      <c r="AD60">
        <v>1246.953</v>
      </c>
      <c r="AE60">
        <f t="shared" si="11"/>
        <v>3.0958500844125241</v>
      </c>
      <c r="AF60">
        <v>3219.7179999999998</v>
      </c>
      <c r="AG60">
        <f t="shared" si="12"/>
        <v>3.5078178355445662</v>
      </c>
      <c r="AH60" s="9">
        <v>819</v>
      </c>
      <c r="AI60" s="9">
        <f t="shared" si="37"/>
        <v>2.9138138523837167</v>
      </c>
      <c r="AJ60">
        <v>70</v>
      </c>
      <c r="AK60" s="15" t="s">
        <v>213</v>
      </c>
      <c r="AL60" s="42">
        <v>46.312020505412598</v>
      </c>
      <c r="AM60" s="24">
        <v>0.2</v>
      </c>
      <c r="AN60" s="34">
        <f t="shared" si="38"/>
        <v>7.9181246047624818E-2</v>
      </c>
      <c r="AO60">
        <v>1987</v>
      </c>
      <c r="AP60">
        <v>17</v>
      </c>
      <c r="AQ60">
        <v>70</v>
      </c>
      <c r="AR60">
        <v>70</v>
      </c>
      <c r="AS60">
        <f t="shared" si="3"/>
        <v>0</v>
      </c>
      <c r="AT60">
        <f t="shared" si="39"/>
        <v>0</v>
      </c>
      <c r="AU60">
        <f t="shared" si="40"/>
        <v>0</v>
      </c>
      <c r="AV60">
        <f t="shared" si="41"/>
        <v>0</v>
      </c>
      <c r="AW60">
        <f t="shared" si="42"/>
        <v>0</v>
      </c>
      <c r="AX60">
        <f t="shared" si="43"/>
        <v>0</v>
      </c>
      <c r="AY60">
        <f t="shared" si="44"/>
        <v>0</v>
      </c>
      <c r="AZ60">
        <f t="shared" si="45"/>
        <v>0</v>
      </c>
      <c r="BA60">
        <f t="shared" si="46"/>
        <v>0</v>
      </c>
      <c r="BB60">
        <f t="shared" si="47"/>
        <v>1</v>
      </c>
      <c r="BC60">
        <f t="shared" si="48"/>
        <v>0</v>
      </c>
      <c r="BD60">
        <f t="shared" si="49"/>
        <v>0</v>
      </c>
      <c r="BE60">
        <f t="shared" si="50"/>
        <v>0</v>
      </c>
      <c r="BF60">
        <f t="shared" si="51"/>
        <v>0</v>
      </c>
      <c r="BG60">
        <f t="shared" si="52"/>
        <v>0</v>
      </c>
      <c r="BH60">
        <f t="shared" si="53"/>
        <v>0</v>
      </c>
      <c r="BI60">
        <f t="shared" si="54"/>
        <v>0</v>
      </c>
    </row>
    <row r="61" spans="1:61" x14ac:dyDescent="0.35">
      <c r="A61" t="s">
        <v>51</v>
      </c>
      <c r="B61" s="1">
        <v>38244</v>
      </c>
      <c r="C61" t="s">
        <v>214</v>
      </c>
      <c r="D61" t="s">
        <v>45</v>
      </c>
      <c r="E61" t="s">
        <v>198</v>
      </c>
      <c r="F61" t="s">
        <v>45</v>
      </c>
      <c r="G61" s="4" t="s">
        <v>47</v>
      </c>
      <c r="H61" s="139">
        <f t="shared" si="4"/>
        <v>0</v>
      </c>
      <c r="I61" s="4" t="s">
        <v>48</v>
      </c>
      <c r="J61" t="s">
        <v>235</v>
      </c>
      <c r="K61" s="2">
        <f t="shared" si="31"/>
        <v>1</v>
      </c>
      <c r="L61">
        <v>700000000</v>
      </c>
      <c r="M61" s="2">
        <f t="shared" si="32"/>
        <v>8.8450980400142569</v>
      </c>
      <c r="N61">
        <v>700000000</v>
      </c>
      <c r="O61">
        <v>0</v>
      </c>
      <c r="P61" s="20">
        <v>42270</v>
      </c>
      <c r="Q61" s="89">
        <f t="shared" si="33"/>
        <v>2015</v>
      </c>
      <c r="R61" t="s">
        <v>155</v>
      </c>
      <c r="S61">
        <v>2065000000</v>
      </c>
      <c r="T61" s="21">
        <f t="shared" si="0"/>
        <v>11.03013698630137</v>
      </c>
      <c r="U61">
        <v>0</v>
      </c>
      <c r="V61">
        <f t="shared" si="34"/>
        <v>0</v>
      </c>
      <c r="W61">
        <v>2008</v>
      </c>
      <c r="X61">
        <v>0</v>
      </c>
      <c r="Y61">
        <f t="shared" si="35"/>
        <v>0</v>
      </c>
      <c r="Z61" s="45">
        <v>2.95</v>
      </c>
      <c r="AA61" s="9">
        <f t="shared" si="1"/>
        <v>1365000000</v>
      </c>
      <c r="AB61" s="15">
        <f t="shared" si="2"/>
        <v>1.9500000000000002</v>
      </c>
      <c r="AC61" s="34">
        <f t="shared" si="36"/>
        <v>0.46982201597816303</v>
      </c>
      <c r="AD61">
        <v>1246.953</v>
      </c>
      <c r="AE61">
        <f t="shared" si="11"/>
        <v>3.0958500844125241</v>
      </c>
      <c r="AF61">
        <v>3219.7179999999998</v>
      </c>
      <c r="AG61">
        <f t="shared" si="12"/>
        <v>3.5078178355445662</v>
      </c>
      <c r="AH61" s="9">
        <v>0</v>
      </c>
      <c r="AI61" s="9">
        <f t="shared" si="37"/>
        <v>0</v>
      </c>
      <c r="AJ61">
        <v>85</v>
      </c>
      <c r="AK61" s="15" t="s">
        <v>215</v>
      </c>
      <c r="AL61" s="42">
        <v>36.876470987978301</v>
      </c>
      <c r="AM61" s="24">
        <v>0.72</v>
      </c>
      <c r="AN61" s="34">
        <f t="shared" si="38"/>
        <v>0.2355284469075489</v>
      </c>
      <c r="AO61">
        <v>1987</v>
      </c>
      <c r="AP61">
        <v>17</v>
      </c>
      <c r="AQ61">
        <v>70</v>
      </c>
      <c r="AR61">
        <v>70</v>
      </c>
      <c r="AS61">
        <f t="shared" si="3"/>
        <v>0</v>
      </c>
      <c r="AT61">
        <f t="shared" si="39"/>
        <v>1</v>
      </c>
      <c r="AU61">
        <f t="shared" si="40"/>
        <v>0</v>
      </c>
      <c r="AV61">
        <f t="shared" si="41"/>
        <v>0</v>
      </c>
      <c r="AW61">
        <f t="shared" si="42"/>
        <v>0</v>
      </c>
      <c r="AX61">
        <f t="shared" si="43"/>
        <v>0</v>
      </c>
      <c r="AY61">
        <f t="shared" si="44"/>
        <v>0</v>
      </c>
      <c r="AZ61">
        <f t="shared" si="45"/>
        <v>0</v>
      </c>
      <c r="BA61">
        <f t="shared" si="46"/>
        <v>0</v>
      </c>
      <c r="BB61">
        <f t="shared" si="47"/>
        <v>0</v>
      </c>
      <c r="BC61">
        <f t="shared" si="48"/>
        <v>0</v>
      </c>
      <c r="BD61">
        <f t="shared" si="49"/>
        <v>0</v>
      </c>
      <c r="BE61">
        <f t="shared" si="50"/>
        <v>0</v>
      </c>
      <c r="BF61">
        <f t="shared" si="51"/>
        <v>0</v>
      </c>
      <c r="BG61">
        <f t="shared" si="52"/>
        <v>0</v>
      </c>
      <c r="BH61">
        <f t="shared" si="53"/>
        <v>0</v>
      </c>
      <c r="BI61">
        <f t="shared" si="54"/>
        <v>0</v>
      </c>
    </row>
    <row r="62" spans="1:61" x14ac:dyDescent="0.35">
      <c r="A62" t="s">
        <v>51</v>
      </c>
      <c r="B62" s="1">
        <v>38769</v>
      </c>
      <c r="C62" t="s">
        <v>194</v>
      </c>
      <c r="D62" t="s">
        <v>45</v>
      </c>
      <c r="E62" t="s">
        <v>216</v>
      </c>
      <c r="F62" t="s">
        <v>45</v>
      </c>
      <c r="G62" s="4" t="s">
        <v>47</v>
      </c>
      <c r="H62" s="139">
        <f t="shared" si="4"/>
        <v>0</v>
      </c>
      <c r="I62" s="4" t="s">
        <v>48</v>
      </c>
      <c r="J62" t="s">
        <v>269</v>
      </c>
      <c r="K62" s="2">
        <f t="shared" si="31"/>
        <v>7</v>
      </c>
      <c r="L62">
        <v>1000000000</v>
      </c>
      <c r="M62" s="2">
        <f t="shared" si="32"/>
        <v>9</v>
      </c>
      <c r="N62">
        <v>1000000000</v>
      </c>
      <c r="O62">
        <v>0</v>
      </c>
      <c r="P62" s="1">
        <v>40428</v>
      </c>
      <c r="Q62" s="89">
        <f t="shared" si="33"/>
        <v>2010</v>
      </c>
      <c r="R62" t="s">
        <v>152</v>
      </c>
      <c r="S62">
        <v>3100000000</v>
      </c>
      <c r="T62" s="21">
        <f t="shared" si="0"/>
        <v>4.5452054794520551</v>
      </c>
      <c r="U62">
        <v>0</v>
      </c>
      <c r="V62">
        <f t="shared" si="34"/>
        <v>0</v>
      </c>
      <c r="W62">
        <v>1980</v>
      </c>
      <c r="X62">
        <v>26</v>
      </c>
      <c r="Y62">
        <f t="shared" si="35"/>
        <v>1.4313637641589874</v>
      </c>
      <c r="Z62" s="45">
        <v>2.95</v>
      </c>
      <c r="AA62" s="9">
        <f t="shared" si="1"/>
        <v>2100000000</v>
      </c>
      <c r="AB62" s="15">
        <f t="shared" si="2"/>
        <v>2.1</v>
      </c>
      <c r="AC62" s="34">
        <f t="shared" si="36"/>
        <v>0.49136169383427269</v>
      </c>
      <c r="AD62">
        <v>1246.953</v>
      </c>
      <c r="AE62">
        <f t="shared" si="11"/>
        <v>3.0958500844125241</v>
      </c>
      <c r="AF62">
        <v>3219.7179999999998</v>
      </c>
      <c r="AG62">
        <f t="shared" si="12"/>
        <v>3.5078178355445662</v>
      </c>
      <c r="AH62" s="9">
        <v>0</v>
      </c>
      <c r="AI62" s="9">
        <f t="shared" si="37"/>
        <v>0</v>
      </c>
      <c r="AJ62">
        <v>93.2</v>
      </c>
      <c r="AK62" s="15" t="s">
        <v>103</v>
      </c>
      <c r="AL62" s="42">
        <v>36.669158714517401</v>
      </c>
      <c r="AM62" s="24">
        <v>-0.15</v>
      </c>
      <c r="AN62" s="34">
        <f t="shared" si="38"/>
        <v>-7.0581074285707285E-2</v>
      </c>
      <c r="AO62">
        <v>1987</v>
      </c>
      <c r="AP62">
        <v>19</v>
      </c>
      <c r="AQ62">
        <v>70</v>
      </c>
      <c r="AR62">
        <v>70</v>
      </c>
      <c r="AS62">
        <f t="shared" si="3"/>
        <v>0</v>
      </c>
      <c r="AT62">
        <f t="shared" si="39"/>
        <v>1</v>
      </c>
      <c r="AU62">
        <f t="shared" si="40"/>
        <v>0</v>
      </c>
      <c r="AV62">
        <f t="shared" si="41"/>
        <v>0</v>
      </c>
      <c r="AW62">
        <f t="shared" si="42"/>
        <v>0</v>
      </c>
      <c r="AX62">
        <f t="shared" si="43"/>
        <v>0</v>
      </c>
      <c r="AY62">
        <f t="shared" si="44"/>
        <v>0</v>
      </c>
      <c r="AZ62">
        <f t="shared" si="45"/>
        <v>0</v>
      </c>
      <c r="BA62">
        <f t="shared" si="46"/>
        <v>0</v>
      </c>
      <c r="BB62">
        <f t="shared" si="47"/>
        <v>0</v>
      </c>
      <c r="BC62">
        <f t="shared" si="48"/>
        <v>0</v>
      </c>
      <c r="BD62">
        <f t="shared" si="49"/>
        <v>0</v>
      </c>
      <c r="BE62">
        <f t="shared" si="50"/>
        <v>0</v>
      </c>
      <c r="BF62">
        <f t="shared" si="51"/>
        <v>0</v>
      </c>
      <c r="BG62">
        <f t="shared" si="52"/>
        <v>0</v>
      </c>
      <c r="BH62">
        <f t="shared" si="53"/>
        <v>0</v>
      </c>
      <c r="BI62">
        <f t="shared" si="54"/>
        <v>0</v>
      </c>
    </row>
    <row r="63" spans="1:61" x14ac:dyDescent="0.35">
      <c r="A63" t="s">
        <v>51</v>
      </c>
      <c r="B63" s="1">
        <v>39113</v>
      </c>
      <c r="C63" t="s">
        <v>217</v>
      </c>
      <c r="D63" t="s">
        <v>45</v>
      </c>
      <c r="E63" t="s">
        <v>198</v>
      </c>
      <c r="F63" t="s">
        <v>45</v>
      </c>
      <c r="G63" s="4" t="s">
        <v>47</v>
      </c>
      <c r="H63" s="139">
        <f t="shared" si="4"/>
        <v>0</v>
      </c>
      <c r="I63" s="4" t="s">
        <v>48</v>
      </c>
      <c r="J63" t="s">
        <v>269</v>
      </c>
      <c r="K63" s="2">
        <f t="shared" si="31"/>
        <v>7</v>
      </c>
      <c r="L63">
        <v>475000000</v>
      </c>
      <c r="M63" s="2">
        <f t="shared" si="32"/>
        <v>8.6766936096248664</v>
      </c>
      <c r="N63">
        <v>475000000</v>
      </c>
      <c r="O63">
        <v>0</v>
      </c>
      <c r="P63" s="20">
        <v>41237</v>
      </c>
      <c r="Q63" s="89">
        <f t="shared" si="33"/>
        <v>2012</v>
      </c>
      <c r="R63" t="s">
        <v>155</v>
      </c>
      <c r="S63">
        <v>100000000</v>
      </c>
      <c r="T63" s="21">
        <f t="shared" si="0"/>
        <v>5.8191780821917805</v>
      </c>
      <c r="U63">
        <v>0</v>
      </c>
      <c r="V63">
        <f t="shared" si="34"/>
        <v>0</v>
      </c>
      <c r="W63">
        <v>1996</v>
      </c>
      <c r="X63">
        <v>11</v>
      </c>
      <c r="Y63">
        <f t="shared" si="35"/>
        <v>1.0791812460476249</v>
      </c>
      <c r="Z63" s="45">
        <v>2.95</v>
      </c>
      <c r="AA63" s="9">
        <f t="shared" si="1"/>
        <v>-375000000</v>
      </c>
      <c r="AB63" s="15">
        <f t="shared" si="2"/>
        <v>-0.78947368421052633</v>
      </c>
      <c r="AC63" s="34">
        <f t="shared" si="36"/>
        <v>-0.67669360962486658</v>
      </c>
      <c r="AD63">
        <v>1246.953</v>
      </c>
      <c r="AE63">
        <f t="shared" si="11"/>
        <v>3.0958500844125241</v>
      </c>
      <c r="AF63">
        <v>3219.7179999999998</v>
      </c>
      <c r="AG63">
        <f t="shared" si="12"/>
        <v>3.5078178355445662</v>
      </c>
      <c r="AH63" s="9">
        <v>0</v>
      </c>
      <c r="AI63" s="9">
        <f t="shared" si="37"/>
        <v>0</v>
      </c>
      <c r="AJ63">
        <v>91.4</v>
      </c>
      <c r="AK63" s="15" t="s">
        <v>103</v>
      </c>
      <c r="AL63" s="42">
        <v>37.425715444240403</v>
      </c>
      <c r="AM63" s="24">
        <v>-0.02</v>
      </c>
      <c r="AN63" s="34">
        <f t="shared" si="38"/>
        <v>-8.7739243075051505E-3</v>
      </c>
      <c r="AO63">
        <v>1987</v>
      </c>
      <c r="AP63">
        <v>20</v>
      </c>
      <c r="AQ63">
        <v>70</v>
      </c>
      <c r="AR63">
        <v>70</v>
      </c>
      <c r="AS63">
        <f t="shared" si="3"/>
        <v>0</v>
      </c>
      <c r="AT63">
        <f t="shared" si="39"/>
        <v>1</v>
      </c>
      <c r="AU63">
        <f t="shared" si="40"/>
        <v>0</v>
      </c>
      <c r="AV63">
        <f t="shared" si="41"/>
        <v>0</v>
      </c>
      <c r="AW63">
        <f t="shared" si="42"/>
        <v>0</v>
      </c>
      <c r="AX63">
        <f t="shared" si="43"/>
        <v>0</v>
      </c>
      <c r="AY63">
        <f t="shared" si="44"/>
        <v>0</v>
      </c>
      <c r="AZ63">
        <f t="shared" si="45"/>
        <v>0</v>
      </c>
      <c r="BA63">
        <f t="shared" si="46"/>
        <v>0</v>
      </c>
      <c r="BB63">
        <f t="shared" si="47"/>
        <v>0</v>
      </c>
      <c r="BC63">
        <f t="shared" si="48"/>
        <v>0</v>
      </c>
      <c r="BD63">
        <f t="shared" si="49"/>
        <v>0</v>
      </c>
      <c r="BE63">
        <f t="shared" si="50"/>
        <v>0</v>
      </c>
      <c r="BF63">
        <f t="shared" si="51"/>
        <v>0</v>
      </c>
      <c r="BG63">
        <f t="shared" si="52"/>
        <v>0</v>
      </c>
      <c r="BH63">
        <f t="shared" si="53"/>
        <v>0</v>
      </c>
      <c r="BI63">
        <f t="shared" si="54"/>
        <v>0</v>
      </c>
    </row>
    <row r="64" spans="1:61" x14ac:dyDescent="0.35">
      <c r="A64" t="s">
        <v>196</v>
      </c>
      <c r="B64" s="1">
        <v>37661</v>
      </c>
      <c r="C64" t="s">
        <v>218</v>
      </c>
      <c r="D64" t="s">
        <v>163</v>
      </c>
      <c r="E64" t="s">
        <v>219</v>
      </c>
      <c r="F64" t="s">
        <v>45</v>
      </c>
      <c r="G64" s="4" t="s">
        <v>64</v>
      </c>
      <c r="H64" s="139">
        <f t="shared" si="4"/>
        <v>1</v>
      </c>
      <c r="I64" s="4" t="s">
        <v>48</v>
      </c>
      <c r="J64" t="s">
        <v>235</v>
      </c>
      <c r="K64" s="2">
        <f t="shared" si="31"/>
        <v>1</v>
      </c>
      <c r="L64">
        <v>381229100</v>
      </c>
      <c r="M64" s="2">
        <f t="shared" si="32"/>
        <v>8.5811860438211411</v>
      </c>
      <c r="N64">
        <v>381229100</v>
      </c>
      <c r="O64">
        <v>0</v>
      </c>
      <c r="P64" s="20">
        <v>38360</v>
      </c>
      <c r="Q64" s="89">
        <f t="shared" si="33"/>
        <v>2005</v>
      </c>
      <c r="R64" t="s">
        <v>220</v>
      </c>
      <c r="S64">
        <v>860000000</v>
      </c>
      <c r="T64" s="21">
        <f t="shared" si="0"/>
        <v>1.9150684931506849</v>
      </c>
      <c r="U64">
        <v>6164.6</v>
      </c>
      <c r="V64">
        <f t="shared" si="34"/>
        <v>3.7899753459779522</v>
      </c>
      <c r="W64">
        <v>2000</v>
      </c>
      <c r="X64">
        <v>3</v>
      </c>
      <c r="Y64">
        <f t="shared" si="35"/>
        <v>0.6020599913279624</v>
      </c>
      <c r="Z64" s="45">
        <v>3.18</v>
      </c>
      <c r="AA64" s="9">
        <f t="shared" si="1"/>
        <v>478770900</v>
      </c>
      <c r="AB64" s="15">
        <f t="shared" si="2"/>
        <v>1.2558613704987369</v>
      </c>
      <c r="AC64" s="34">
        <f t="shared" si="36"/>
        <v>0.35331240742242576</v>
      </c>
      <c r="AD64">
        <v>1246.953</v>
      </c>
      <c r="AE64">
        <f t="shared" si="11"/>
        <v>3.0958500844125241</v>
      </c>
      <c r="AF64">
        <v>3219.7179999999998</v>
      </c>
      <c r="AG64">
        <f t="shared" si="12"/>
        <v>3.5078178355445662</v>
      </c>
      <c r="AH64" s="9">
        <v>583.83333333333303</v>
      </c>
      <c r="AI64" s="9">
        <f t="shared" si="37"/>
        <v>2.7670321178317625</v>
      </c>
      <c r="AJ64">
        <v>70</v>
      </c>
      <c r="AK64" s="15" t="s">
        <v>166</v>
      </c>
      <c r="AL64" s="42">
        <v>53.270504198897903</v>
      </c>
      <c r="AM64" s="24">
        <v>0.43</v>
      </c>
      <c r="AN64" s="34">
        <f t="shared" si="38"/>
        <v>0.1553360374650618</v>
      </c>
      <c r="AO64">
        <v>1987</v>
      </c>
      <c r="AP64">
        <v>16</v>
      </c>
      <c r="AQ64">
        <v>85</v>
      </c>
      <c r="AR64">
        <v>80</v>
      </c>
      <c r="AS64">
        <f t="shared" si="3"/>
        <v>0</v>
      </c>
      <c r="AT64">
        <f t="shared" si="39"/>
        <v>0</v>
      </c>
      <c r="AU64">
        <f t="shared" si="40"/>
        <v>0</v>
      </c>
      <c r="AV64">
        <f t="shared" si="41"/>
        <v>0</v>
      </c>
      <c r="AW64">
        <f t="shared" si="42"/>
        <v>0</v>
      </c>
      <c r="AX64">
        <f t="shared" si="43"/>
        <v>0</v>
      </c>
      <c r="AY64">
        <f t="shared" si="44"/>
        <v>0</v>
      </c>
      <c r="AZ64">
        <f t="shared" si="45"/>
        <v>1</v>
      </c>
      <c r="BA64">
        <f t="shared" si="46"/>
        <v>0</v>
      </c>
      <c r="BB64">
        <f t="shared" si="47"/>
        <v>0</v>
      </c>
      <c r="BC64">
        <f t="shared" si="48"/>
        <v>0</v>
      </c>
      <c r="BD64">
        <f t="shared" si="49"/>
        <v>0</v>
      </c>
      <c r="BE64">
        <f t="shared" si="50"/>
        <v>0</v>
      </c>
      <c r="BF64">
        <f t="shared" si="51"/>
        <v>0</v>
      </c>
      <c r="BG64">
        <f t="shared" si="52"/>
        <v>0</v>
      </c>
      <c r="BH64">
        <f t="shared" si="53"/>
        <v>0</v>
      </c>
      <c r="BI64">
        <f t="shared" si="54"/>
        <v>0</v>
      </c>
    </row>
    <row r="65" spans="1:61" x14ac:dyDescent="0.35">
      <c r="A65" t="s">
        <v>196</v>
      </c>
      <c r="B65" s="1">
        <v>39654</v>
      </c>
      <c r="C65" t="s">
        <v>221</v>
      </c>
      <c r="D65" t="s">
        <v>45</v>
      </c>
      <c r="E65" t="s">
        <v>46</v>
      </c>
      <c r="F65" t="s">
        <v>45</v>
      </c>
      <c r="G65" s="4" t="s">
        <v>47</v>
      </c>
      <c r="H65" s="139">
        <f t="shared" si="4"/>
        <v>0</v>
      </c>
      <c r="I65" s="4" t="s">
        <v>48</v>
      </c>
      <c r="J65" t="s">
        <v>269</v>
      </c>
      <c r="K65" s="2">
        <f t="shared" si="31"/>
        <v>7</v>
      </c>
      <c r="L65">
        <v>700000000</v>
      </c>
      <c r="M65" s="2">
        <f t="shared" si="32"/>
        <v>8.8450980400142569</v>
      </c>
      <c r="N65">
        <v>700000000</v>
      </c>
      <c r="O65">
        <v>0</v>
      </c>
      <c r="P65" s="1">
        <v>42185</v>
      </c>
      <c r="Q65" s="89">
        <f t="shared" si="33"/>
        <v>2015</v>
      </c>
      <c r="R65" t="s">
        <v>114</v>
      </c>
      <c r="S65">
        <v>1680000000</v>
      </c>
      <c r="T65" s="21">
        <f t="shared" si="0"/>
        <v>6.934246575342466</v>
      </c>
      <c r="U65">
        <v>0</v>
      </c>
      <c r="V65">
        <f t="shared" si="34"/>
        <v>0</v>
      </c>
      <c r="W65">
        <v>1957</v>
      </c>
      <c r="X65">
        <v>51</v>
      </c>
      <c r="Y65">
        <f t="shared" si="35"/>
        <v>1.7160033436347992</v>
      </c>
      <c r="Z65" s="45">
        <v>2.95</v>
      </c>
      <c r="AA65" s="9">
        <f t="shared" si="1"/>
        <v>980000000</v>
      </c>
      <c r="AB65" s="15">
        <f t="shared" si="2"/>
        <v>1.4</v>
      </c>
      <c r="AC65" s="34">
        <f t="shared" si="36"/>
        <v>0.38021124171160603</v>
      </c>
      <c r="AD65">
        <v>2315.9650000000001</v>
      </c>
      <c r="AE65">
        <f t="shared" si="11"/>
        <v>3.3647319918335836</v>
      </c>
      <c r="AF65">
        <v>3703.9029999999998</v>
      </c>
      <c r="AG65">
        <f t="shared" si="12"/>
        <v>3.568659604598353</v>
      </c>
      <c r="AH65" s="9">
        <v>0</v>
      </c>
      <c r="AI65" s="9">
        <f t="shared" si="37"/>
        <v>0</v>
      </c>
      <c r="AJ65">
        <v>92.6</v>
      </c>
      <c r="AK65" s="15" t="s">
        <v>222</v>
      </c>
      <c r="AL65" s="42">
        <v>39.823361151429197</v>
      </c>
      <c r="AM65" s="24">
        <v>0.64</v>
      </c>
      <c r="AN65" s="34">
        <f t="shared" si="38"/>
        <v>0.21484384804769791</v>
      </c>
      <c r="AO65">
        <v>1985</v>
      </c>
      <c r="AP65">
        <v>23</v>
      </c>
      <c r="AQ65">
        <v>70</v>
      </c>
      <c r="AR65">
        <v>70</v>
      </c>
      <c r="AS65">
        <f t="shared" si="3"/>
        <v>0</v>
      </c>
      <c r="AT65">
        <f t="shared" si="39"/>
        <v>1</v>
      </c>
      <c r="AU65">
        <f t="shared" si="40"/>
        <v>0</v>
      </c>
      <c r="AV65">
        <f t="shared" si="41"/>
        <v>0</v>
      </c>
      <c r="AW65">
        <f t="shared" si="42"/>
        <v>0</v>
      </c>
      <c r="AX65">
        <f t="shared" si="43"/>
        <v>0</v>
      </c>
      <c r="AY65">
        <f t="shared" si="44"/>
        <v>0</v>
      </c>
      <c r="AZ65">
        <f t="shared" si="45"/>
        <v>0</v>
      </c>
      <c r="BA65">
        <f t="shared" si="46"/>
        <v>0</v>
      </c>
      <c r="BB65">
        <f t="shared" si="47"/>
        <v>0</v>
      </c>
      <c r="BC65">
        <f t="shared" si="48"/>
        <v>0</v>
      </c>
      <c r="BD65">
        <f t="shared" si="49"/>
        <v>0</v>
      </c>
      <c r="BE65">
        <f t="shared" si="50"/>
        <v>0</v>
      </c>
      <c r="BF65">
        <f t="shared" si="51"/>
        <v>0</v>
      </c>
      <c r="BG65">
        <f t="shared" si="52"/>
        <v>0</v>
      </c>
      <c r="BH65">
        <f t="shared" si="53"/>
        <v>0</v>
      </c>
      <c r="BI65">
        <f t="shared" si="54"/>
        <v>0</v>
      </c>
    </row>
    <row r="66" spans="1:61" x14ac:dyDescent="0.35">
      <c r="A66" t="s">
        <v>196</v>
      </c>
      <c r="B66" s="1">
        <v>38110</v>
      </c>
      <c r="C66" t="s">
        <v>223</v>
      </c>
      <c r="D66" t="s">
        <v>45</v>
      </c>
      <c r="E66" t="s">
        <v>224</v>
      </c>
      <c r="F66" t="s">
        <v>45</v>
      </c>
      <c r="G66" s="4" t="s">
        <v>47</v>
      </c>
      <c r="H66" s="139">
        <f t="shared" si="4"/>
        <v>0</v>
      </c>
      <c r="I66" s="4" t="s">
        <v>48</v>
      </c>
      <c r="J66" t="s">
        <v>248</v>
      </c>
      <c r="K66" s="2">
        <f t="shared" si="31"/>
        <v>5</v>
      </c>
      <c r="L66">
        <v>3113980000</v>
      </c>
      <c r="M66" s="2">
        <f t="shared" si="32"/>
        <v>9.493315818920113</v>
      </c>
      <c r="N66">
        <v>2006460000</v>
      </c>
      <c r="O66">
        <v>1107520000</v>
      </c>
      <c r="P66" s="1">
        <v>39189</v>
      </c>
      <c r="Q66" s="89">
        <f t="shared" si="33"/>
        <v>2007</v>
      </c>
      <c r="R66" t="s">
        <v>155</v>
      </c>
      <c r="S66">
        <v>8000000000</v>
      </c>
      <c r="T66" s="21">
        <f t="shared" ref="T66:T129" si="55">YEARFRAC(B66,P66,3)</f>
        <v>2.956164383561644</v>
      </c>
      <c r="U66">
        <v>0</v>
      </c>
      <c r="V66">
        <f t="shared" si="34"/>
        <v>0</v>
      </c>
      <c r="W66">
        <v>1995</v>
      </c>
      <c r="X66">
        <v>9</v>
      </c>
      <c r="Y66">
        <f t="shared" si="35"/>
        <v>1</v>
      </c>
      <c r="Z66" s="45">
        <v>2.95</v>
      </c>
      <c r="AA66" s="9">
        <f t="shared" ref="AA66:AA129" si="56">S66-N66</f>
        <v>5993540000</v>
      </c>
      <c r="AB66" s="15">
        <f t="shared" ref="AB66:AB129" si="57">(S66/L66)-1</f>
        <v>1.5690595315319946</v>
      </c>
      <c r="AC66" s="34">
        <f t="shared" si="36"/>
        <v>0.40977416807183031</v>
      </c>
      <c r="AD66">
        <v>2315.9650000000001</v>
      </c>
      <c r="AE66">
        <f t="shared" si="11"/>
        <v>3.3647319918335836</v>
      </c>
      <c r="AF66">
        <v>3703.9029999999998</v>
      </c>
      <c r="AG66">
        <f t="shared" si="12"/>
        <v>3.568659604598353</v>
      </c>
      <c r="AH66" s="9">
        <v>0</v>
      </c>
      <c r="AI66" s="9">
        <f t="shared" si="37"/>
        <v>0</v>
      </c>
      <c r="AJ66">
        <v>85</v>
      </c>
      <c r="AK66" s="15" t="s">
        <v>215</v>
      </c>
      <c r="AL66" s="42">
        <v>36.876470987978301</v>
      </c>
      <c r="AM66" s="24">
        <v>0.32</v>
      </c>
      <c r="AN66" s="34">
        <f t="shared" si="38"/>
        <v>0.12057393120584989</v>
      </c>
      <c r="AO66">
        <v>1985</v>
      </c>
      <c r="AP66">
        <v>19</v>
      </c>
      <c r="AQ66">
        <v>70</v>
      </c>
      <c r="AR66">
        <v>70</v>
      </c>
      <c r="AS66">
        <f t="shared" ref="AS66:AS129" si="58">IF(AC66=-1,1,0)</f>
        <v>0</v>
      </c>
      <c r="AT66">
        <f t="shared" si="39"/>
        <v>1</v>
      </c>
      <c r="AU66">
        <f t="shared" si="40"/>
        <v>0</v>
      </c>
      <c r="AV66">
        <f t="shared" si="41"/>
        <v>0</v>
      </c>
      <c r="AW66">
        <f t="shared" si="42"/>
        <v>0</v>
      </c>
      <c r="AX66">
        <f t="shared" si="43"/>
        <v>0</v>
      </c>
      <c r="AY66">
        <f t="shared" si="44"/>
        <v>0</v>
      </c>
      <c r="AZ66">
        <f t="shared" si="45"/>
        <v>0</v>
      </c>
      <c r="BA66">
        <f t="shared" si="46"/>
        <v>0</v>
      </c>
      <c r="BB66">
        <f t="shared" si="47"/>
        <v>0</v>
      </c>
      <c r="BC66">
        <f t="shared" si="48"/>
        <v>0</v>
      </c>
      <c r="BD66">
        <f t="shared" si="49"/>
        <v>0</v>
      </c>
      <c r="BE66">
        <f t="shared" si="50"/>
        <v>0</v>
      </c>
      <c r="BF66">
        <f t="shared" si="51"/>
        <v>0</v>
      </c>
      <c r="BG66">
        <f t="shared" si="52"/>
        <v>0</v>
      </c>
      <c r="BH66">
        <f t="shared" si="53"/>
        <v>0</v>
      </c>
      <c r="BI66">
        <f t="shared" si="54"/>
        <v>0</v>
      </c>
    </row>
    <row r="67" spans="1:61" x14ac:dyDescent="0.35">
      <c r="A67" t="s">
        <v>196</v>
      </c>
      <c r="B67" s="1">
        <v>37448</v>
      </c>
      <c r="C67" t="s">
        <v>225</v>
      </c>
      <c r="D67" t="s">
        <v>45</v>
      </c>
      <c r="E67" s="32" t="s">
        <v>226</v>
      </c>
      <c r="F67" t="s">
        <v>45</v>
      </c>
      <c r="G67" s="4" t="s">
        <v>47</v>
      </c>
      <c r="H67" s="139">
        <f t="shared" ref="H67:H130" si="59">IF(G67="domestic",0,1)</f>
        <v>0</v>
      </c>
      <c r="I67" s="4" t="s">
        <v>48</v>
      </c>
      <c r="J67" t="s">
        <v>186</v>
      </c>
      <c r="K67" s="2">
        <f t="shared" si="31"/>
        <v>4</v>
      </c>
      <c r="L67">
        <v>1700000000</v>
      </c>
      <c r="M67" s="2">
        <f t="shared" si="32"/>
        <v>9.2304489213782741</v>
      </c>
      <c r="N67">
        <v>1700000000</v>
      </c>
      <c r="O67">
        <v>0</v>
      </c>
      <c r="P67" s="1">
        <v>39050</v>
      </c>
      <c r="Q67" s="89">
        <f t="shared" si="33"/>
        <v>2006</v>
      </c>
      <c r="R67" t="s">
        <v>155</v>
      </c>
      <c r="S67">
        <v>3360000000</v>
      </c>
      <c r="T67" s="21">
        <f t="shared" si="55"/>
        <v>4.3890410958904109</v>
      </c>
      <c r="U67">
        <v>0</v>
      </c>
      <c r="V67">
        <f t="shared" si="34"/>
        <v>0</v>
      </c>
      <c r="W67">
        <v>1919</v>
      </c>
      <c r="X67">
        <v>83</v>
      </c>
      <c r="Y67">
        <f t="shared" si="35"/>
        <v>1.9242792860618816</v>
      </c>
      <c r="Z67" s="45">
        <v>2.95</v>
      </c>
      <c r="AA67" s="9">
        <f t="shared" si="56"/>
        <v>1660000000</v>
      </c>
      <c r="AB67" s="15">
        <f t="shared" si="57"/>
        <v>0.9764705882352942</v>
      </c>
      <c r="AC67" s="34">
        <f t="shared" si="36"/>
        <v>0.29589035601157015</v>
      </c>
      <c r="AD67">
        <v>2315.9650000000001</v>
      </c>
      <c r="AE67">
        <f t="shared" ref="AE67:AE130" si="60">LOG(AD67)</f>
        <v>3.3647319918335836</v>
      </c>
      <c r="AF67">
        <v>3703.9029999999998</v>
      </c>
      <c r="AG67">
        <f t="shared" ref="AG67:AG130" si="61">LOG(AF67)</f>
        <v>3.568659604598353</v>
      </c>
      <c r="AH67" s="9">
        <v>0</v>
      </c>
      <c r="AI67" s="9">
        <f t="shared" si="37"/>
        <v>0</v>
      </c>
      <c r="AJ67">
        <v>85</v>
      </c>
      <c r="AK67" s="15" t="s">
        <v>57</v>
      </c>
      <c r="AL67" s="42">
        <v>36.710134890601303</v>
      </c>
      <c r="AM67" s="24">
        <v>0.51</v>
      </c>
      <c r="AN67" s="34">
        <f t="shared" si="38"/>
        <v>0.17897694729316943</v>
      </c>
      <c r="AO67">
        <v>1985</v>
      </c>
      <c r="AP67">
        <v>17</v>
      </c>
      <c r="AQ67">
        <v>70</v>
      </c>
      <c r="AR67">
        <v>70</v>
      </c>
      <c r="AS67">
        <f t="shared" si="58"/>
        <v>0</v>
      </c>
      <c r="AT67">
        <f t="shared" si="39"/>
        <v>1</v>
      </c>
      <c r="AU67">
        <f t="shared" si="40"/>
        <v>0</v>
      </c>
      <c r="AV67">
        <f t="shared" si="41"/>
        <v>0</v>
      </c>
      <c r="AW67">
        <f t="shared" si="42"/>
        <v>0</v>
      </c>
      <c r="AX67">
        <f t="shared" si="43"/>
        <v>0</v>
      </c>
      <c r="AY67">
        <f t="shared" si="44"/>
        <v>0</v>
      </c>
      <c r="AZ67">
        <f t="shared" si="45"/>
        <v>0</v>
      </c>
      <c r="BA67">
        <f t="shared" si="46"/>
        <v>0</v>
      </c>
      <c r="BB67">
        <f t="shared" si="47"/>
        <v>0</v>
      </c>
      <c r="BC67">
        <f t="shared" si="48"/>
        <v>0</v>
      </c>
      <c r="BD67">
        <f t="shared" si="49"/>
        <v>0</v>
      </c>
      <c r="BE67">
        <f t="shared" si="50"/>
        <v>0</v>
      </c>
      <c r="BF67">
        <f t="shared" si="51"/>
        <v>0</v>
      </c>
      <c r="BG67">
        <f t="shared" si="52"/>
        <v>0</v>
      </c>
      <c r="BH67">
        <f t="shared" si="53"/>
        <v>0</v>
      </c>
      <c r="BI67">
        <f t="shared" si="54"/>
        <v>0</v>
      </c>
    </row>
    <row r="68" spans="1:61" x14ac:dyDescent="0.35">
      <c r="A68" t="s">
        <v>51</v>
      </c>
      <c r="B68" s="1">
        <v>39146</v>
      </c>
      <c r="C68" t="s">
        <v>227</v>
      </c>
      <c r="D68" t="s">
        <v>2</v>
      </c>
      <c r="E68" t="s">
        <v>46</v>
      </c>
      <c r="F68" t="s">
        <v>45</v>
      </c>
      <c r="G68" s="4" t="s">
        <v>64</v>
      </c>
      <c r="H68" s="139">
        <f t="shared" si="59"/>
        <v>1</v>
      </c>
      <c r="I68" s="4" t="s">
        <v>48</v>
      </c>
      <c r="J68" t="s">
        <v>235</v>
      </c>
      <c r="K68" s="2">
        <f t="shared" si="31"/>
        <v>1</v>
      </c>
      <c r="L68">
        <v>1300000000</v>
      </c>
      <c r="M68" s="2">
        <f t="shared" si="32"/>
        <v>9.1139433523068369</v>
      </c>
      <c r="N68">
        <v>1300000000</v>
      </c>
      <c r="O68">
        <v>0</v>
      </c>
      <c r="P68" s="1">
        <v>41111</v>
      </c>
      <c r="Q68" s="89">
        <f t="shared" si="33"/>
        <v>2012</v>
      </c>
      <c r="R68" t="s">
        <v>155</v>
      </c>
      <c r="S68">
        <v>231290000</v>
      </c>
      <c r="T68" s="21">
        <f t="shared" si="55"/>
        <v>5.3835616438356162</v>
      </c>
      <c r="U68">
        <v>6815.73</v>
      </c>
      <c r="V68">
        <f t="shared" si="34"/>
        <v>3.8335760926148099</v>
      </c>
      <c r="W68">
        <v>1965</v>
      </c>
      <c r="X68">
        <v>42</v>
      </c>
      <c r="Y68">
        <f t="shared" si="35"/>
        <v>1.6334684555795864</v>
      </c>
      <c r="Z68" s="45">
        <v>2.85</v>
      </c>
      <c r="AA68" s="9">
        <f t="shared" si="56"/>
        <v>-1068710000</v>
      </c>
      <c r="AB68" s="15">
        <f t="shared" si="57"/>
        <v>-0.82208461538461541</v>
      </c>
      <c r="AC68" s="34">
        <f t="shared" si="36"/>
        <v>-0.74978649618430626</v>
      </c>
      <c r="AD68">
        <v>2315.9650000000001</v>
      </c>
      <c r="AE68">
        <f t="shared" si="60"/>
        <v>3.3647319918335836</v>
      </c>
      <c r="AF68">
        <v>3703.9029999999998</v>
      </c>
      <c r="AG68">
        <f t="shared" si="61"/>
        <v>3.568659604598353</v>
      </c>
      <c r="AH68" s="9">
        <v>819</v>
      </c>
      <c r="AI68" s="9">
        <f t="shared" si="37"/>
        <v>2.9138138523837167</v>
      </c>
      <c r="AJ68">
        <v>88.9</v>
      </c>
      <c r="AK68" s="15" t="s">
        <v>126</v>
      </c>
      <c r="AL68" s="42">
        <v>42.817370475444001</v>
      </c>
      <c r="AM68" s="24">
        <v>-0.01</v>
      </c>
      <c r="AN68" s="34">
        <f t="shared" si="38"/>
        <v>-4.3648054024500883E-3</v>
      </c>
      <c r="AO68">
        <v>1985</v>
      </c>
      <c r="AP68">
        <v>22</v>
      </c>
      <c r="AQ68">
        <v>70</v>
      </c>
      <c r="AR68">
        <v>70</v>
      </c>
      <c r="AS68">
        <f t="shared" si="58"/>
        <v>0</v>
      </c>
      <c r="AT68">
        <f t="shared" si="39"/>
        <v>0</v>
      </c>
      <c r="AU68">
        <f t="shared" si="40"/>
        <v>0</v>
      </c>
      <c r="AV68">
        <f t="shared" si="41"/>
        <v>0</v>
      </c>
      <c r="AW68">
        <f t="shared" si="42"/>
        <v>0</v>
      </c>
      <c r="AX68">
        <f t="shared" si="43"/>
        <v>0</v>
      </c>
      <c r="AY68">
        <f t="shared" si="44"/>
        <v>0</v>
      </c>
      <c r="AZ68">
        <f t="shared" si="45"/>
        <v>0</v>
      </c>
      <c r="BA68">
        <f t="shared" si="46"/>
        <v>0</v>
      </c>
      <c r="BB68">
        <f t="shared" si="47"/>
        <v>1</v>
      </c>
      <c r="BC68">
        <f t="shared" si="48"/>
        <v>0</v>
      </c>
      <c r="BD68">
        <f t="shared" si="49"/>
        <v>0</v>
      </c>
      <c r="BE68">
        <f t="shared" si="50"/>
        <v>0</v>
      </c>
      <c r="BF68">
        <f t="shared" si="51"/>
        <v>0</v>
      </c>
      <c r="BG68">
        <f t="shared" si="52"/>
        <v>0</v>
      </c>
      <c r="BH68">
        <f t="shared" si="53"/>
        <v>0</v>
      </c>
      <c r="BI68">
        <f t="shared" si="54"/>
        <v>0</v>
      </c>
    </row>
    <row r="69" spans="1:61" x14ac:dyDescent="0.35">
      <c r="A69" t="s">
        <v>196</v>
      </c>
      <c r="B69" s="1">
        <v>37845</v>
      </c>
      <c r="C69" t="s">
        <v>228</v>
      </c>
      <c r="D69" t="s">
        <v>2</v>
      </c>
      <c r="E69" t="s">
        <v>229</v>
      </c>
      <c r="F69" t="s">
        <v>45</v>
      </c>
      <c r="G69" s="4" t="s">
        <v>64</v>
      </c>
      <c r="H69" s="139">
        <f t="shared" si="59"/>
        <v>1</v>
      </c>
      <c r="I69" s="4" t="s">
        <v>48</v>
      </c>
      <c r="J69" t="s">
        <v>235</v>
      </c>
      <c r="K69" s="2">
        <f t="shared" si="31"/>
        <v>1</v>
      </c>
      <c r="L69">
        <v>500000000</v>
      </c>
      <c r="M69" s="2">
        <f t="shared" si="32"/>
        <v>8.6989700043360187</v>
      </c>
      <c r="N69">
        <v>500000000</v>
      </c>
      <c r="O69">
        <v>0</v>
      </c>
      <c r="P69" s="1">
        <v>39199</v>
      </c>
      <c r="Q69" s="89">
        <f t="shared" si="33"/>
        <v>2007</v>
      </c>
      <c r="R69" t="s">
        <v>155</v>
      </c>
      <c r="S69">
        <v>1450000000</v>
      </c>
      <c r="T69" s="21">
        <f t="shared" si="55"/>
        <v>3.7095890410958905</v>
      </c>
      <c r="U69">
        <v>6815.73</v>
      </c>
      <c r="V69">
        <f t="shared" si="34"/>
        <v>3.8335760926148099</v>
      </c>
      <c r="W69">
        <v>1892</v>
      </c>
      <c r="X69">
        <v>111</v>
      </c>
      <c r="Y69">
        <f t="shared" si="35"/>
        <v>2.0492180226701815</v>
      </c>
      <c r="Z69" s="45">
        <v>2.85</v>
      </c>
      <c r="AA69" s="9">
        <f t="shared" si="56"/>
        <v>950000000</v>
      </c>
      <c r="AB69" s="15">
        <f t="shared" si="57"/>
        <v>1.9</v>
      </c>
      <c r="AC69" s="34">
        <f t="shared" si="36"/>
        <v>0.46239799789895608</v>
      </c>
      <c r="AD69">
        <v>2315.9650000000001</v>
      </c>
      <c r="AE69">
        <f t="shared" si="60"/>
        <v>3.3647319918335836</v>
      </c>
      <c r="AF69">
        <v>3703.9029999999998</v>
      </c>
      <c r="AG69">
        <f t="shared" si="61"/>
        <v>3.568659604598353</v>
      </c>
      <c r="AH69" s="9">
        <v>819</v>
      </c>
      <c r="AI69" s="9">
        <f t="shared" si="37"/>
        <v>2.9138138523837167</v>
      </c>
      <c r="AJ69">
        <v>70</v>
      </c>
      <c r="AK69" s="15" t="s">
        <v>153</v>
      </c>
      <c r="AL69" s="42">
        <v>47.8156192569637</v>
      </c>
      <c r="AM69" s="24">
        <v>0.51</v>
      </c>
      <c r="AN69" s="34">
        <f t="shared" si="38"/>
        <v>0.17897694729316943</v>
      </c>
      <c r="AO69">
        <v>1985</v>
      </c>
      <c r="AP69">
        <v>18</v>
      </c>
      <c r="AQ69">
        <v>70</v>
      </c>
      <c r="AR69">
        <v>70</v>
      </c>
      <c r="AS69">
        <f t="shared" si="58"/>
        <v>0</v>
      </c>
      <c r="AT69">
        <f t="shared" si="39"/>
        <v>0</v>
      </c>
      <c r="AU69">
        <f t="shared" si="40"/>
        <v>0</v>
      </c>
      <c r="AV69">
        <f t="shared" si="41"/>
        <v>0</v>
      </c>
      <c r="AW69">
        <f t="shared" si="42"/>
        <v>0</v>
      </c>
      <c r="AX69">
        <f t="shared" si="43"/>
        <v>0</v>
      </c>
      <c r="AY69">
        <f t="shared" si="44"/>
        <v>0</v>
      </c>
      <c r="AZ69">
        <f t="shared" si="45"/>
        <v>0</v>
      </c>
      <c r="BA69">
        <f t="shared" si="46"/>
        <v>0</v>
      </c>
      <c r="BB69">
        <f t="shared" si="47"/>
        <v>1</v>
      </c>
      <c r="BC69">
        <f t="shared" si="48"/>
        <v>0</v>
      </c>
      <c r="BD69">
        <f t="shared" si="49"/>
        <v>0</v>
      </c>
      <c r="BE69">
        <f t="shared" si="50"/>
        <v>0</v>
      </c>
      <c r="BF69">
        <f t="shared" si="51"/>
        <v>0</v>
      </c>
      <c r="BG69">
        <f t="shared" si="52"/>
        <v>0</v>
      </c>
      <c r="BH69">
        <f t="shared" si="53"/>
        <v>0</v>
      </c>
      <c r="BI69">
        <f t="shared" si="54"/>
        <v>0</v>
      </c>
    </row>
    <row r="70" spans="1:61" x14ac:dyDescent="0.35">
      <c r="A70" t="s">
        <v>196</v>
      </c>
      <c r="B70" s="1">
        <v>39015</v>
      </c>
      <c r="C70" t="s">
        <v>230</v>
      </c>
      <c r="D70" t="s">
        <v>59</v>
      </c>
      <c r="E70" t="s">
        <v>231</v>
      </c>
      <c r="F70" t="s">
        <v>45</v>
      </c>
      <c r="G70" s="4" t="s">
        <v>64</v>
      </c>
      <c r="H70" s="139">
        <f t="shared" si="59"/>
        <v>1</v>
      </c>
      <c r="I70" s="4" t="s">
        <v>48</v>
      </c>
      <c r="J70" t="s">
        <v>269</v>
      </c>
      <c r="K70" s="2">
        <f t="shared" ref="K70:K133" si="62">IF(J70="Consumer Discretionary",5,IF(J70="Industrials",1,IF(J70="Energy",3,IF(J70="Health Care",2,IF(J70="Communications",4,IF(J70="Financials",6,IF(J70="Consumer Staples",7,IF(J70="Materials",8,IF(J70="Technology",9,IF(J70="Utilities",10,""))))))))))</f>
        <v>7</v>
      </c>
      <c r="L70">
        <v>1864800000</v>
      </c>
      <c r="M70" s="2">
        <f t="shared" ref="M70:M133" si="63">LOG(L70)</f>
        <v>9.2706322605125209</v>
      </c>
      <c r="N70">
        <v>1864800000</v>
      </c>
      <c r="O70">
        <v>0</v>
      </c>
      <c r="P70" s="1">
        <v>41709</v>
      </c>
      <c r="Q70" s="89">
        <f t="shared" ref="Q70:Q133" si="64">YEAR(P70)</f>
        <v>2014</v>
      </c>
      <c r="R70" t="s">
        <v>155</v>
      </c>
      <c r="S70">
        <v>3073154000</v>
      </c>
      <c r="T70" s="21">
        <f t="shared" si="55"/>
        <v>7.3808219178082188</v>
      </c>
      <c r="U70">
        <v>5897.96</v>
      </c>
      <c r="V70">
        <f t="shared" ref="V70:V133" si="65">LOG(1+U70)</f>
        <v>3.7707754512906644</v>
      </c>
      <c r="W70">
        <v>1948</v>
      </c>
      <c r="X70">
        <v>58</v>
      </c>
      <c r="Y70">
        <f t="shared" ref="Y70:Y133" si="66">LOG(1+X70)</f>
        <v>1.7708520116421442</v>
      </c>
      <c r="Z70" s="45">
        <v>2.3199999999999998</v>
      </c>
      <c r="AA70" s="9">
        <f t="shared" si="56"/>
        <v>1208354000</v>
      </c>
      <c r="AB70" s="15">
        <f t="shared" si="57"/>
        <v>0.64798048048048051</v>
      </c>
      <c r="AC70" s="34">
        <f t="shared" ref="AC70:AC133" si="67">IF(AB70=-1,LOG(0.1),LOG(1+AB70))</f>
        <v>0.21695206338669118</v>
      </c>
      <c r="AD70">
        <v>2315.9650000000001</v>
      </c>
      <c r="AE70">
        <f t="shared" si="60"/>
        <v>3.3647319918335836</v>
      </c>
      <c r="AF70">
        <v>3703.9029999999998</v>
      </c>
      <c r="AG70">
        <f t="shared" si="61"/>
        <v>3.568659604598353</v>
      </c>
      <c r="AH70" s="9">
        <v>132</v>
      </c>
      <c r="AI70" s="9">
        <f t="shared" ref="AI70:AI133" si="68">IF(AH70=0,0,LOG(1+AH70))</f>
        <v>2.1238516409670858</v>
      </c>
      <c r="AJ70">
        <v>91.5</v>
      </c>
      <c r="AK70" s="15" t="s">
        <v>78</v>
      </c>
      <c r="AL70" s="42">
        <v>40.767390998852598</v>
      </c>
      <c r="AM70" s="24">
        <v>0.35</v>
      </c>
      <c r="AN70" s="34">
        <f t="shared" ref="AN70:AN133" si="69">LOG(1+AM70)</f>
        <v>0.13033376849500614</v>
      </c>
      <c r="AO70">
        <v>1985</v>
      </c>
      <c r="AP70">
        <v>21</v>
      </c>
      <c r="AQ70">
        <v>70</v>
      </c>
      <c r="AR70">
        <v>70</v>
      </c>
      <c r="AS70">
        <f t="shared" si="58"/>
        <v>0</v>
      </c>
      <c r="AT70">
        <f t="shared" ref="AT70:AT133" si="70">IF($D70="US",1,0)</f>
        <v>0</v>
      </c>
      <c r="AU70">
        <f t="shared" ref="AU70:AU133" si="71">IF($D70="UK",1,0)</f>
        <v>1</v>
      </c>
      <c r="AV70">
        <f t="shared" ref="AV70:AV133" si="72">IF($D70="Norway",1,0)</f>
        <v>0</v>
      </c>
      <c r="AW70">
        <f t="shared" ref="AW70:AW133" si="73">IF($D70="Denmark",1,0)</f>
        <v>0</v>
      </c>
      <c r="AX70">
        <f t="shared" ref="AX70:AX133" si="74">IF($D70="Sweden",1,0)</f>
        <v>0</v>
      </c>
      <c r="AY70">
        <f t="shared" ref="AY70:AY133" si="75">IF($D70="Netherlands",1,0)</f>
        <v>0</v>
      </c>
      <c r="AZ70">
        <f t="shared" ref="AZ70:AZ133" si="76">IF($D70="France",1,0)</f>
        <v>0</v>
      </c>
      <c r="BA70">
        <f t="shared" ref="BA70:BA133" si="77">IF($D70="Belgium",1,0)</f>
        <v>0</v>
      </c>
      <c r="BB70">
        <f t="shared" ref="BB70:BB133" si="78">IF($D70="Germany",1,0)</f>
        <v>0</v>
      </c>
      <c r="BC70">
        <f t="shared" ref="BC70:BC133" si="79">IF($D70="Italy",1,0)</f>
        <v>0</v>
      </c>
      <c r="BD70">
        <f t="shared" ref="BD70:BD133" si="80">IF($D70="Spain",1,0)</f>
        <v>0</v>
      </c>
      <c r="BE70">
        <f t="shared" ref="BE70:BE133" si="81">IF($D70="Luxembourg",1,0)</f>
        <v>0</v>
      </c>
      <c r="BF70">
        <f t="shared" ref="BF70:BF133" si="82">IF($D70="Portugal",1,0)</f>
        <v>0</v>
      </c>
      <c r="BG70">
        <f t="shared" ref="BG70:BG133" si="83">IF($D70="Switzerland",1,0)</f>
        <v>0</v>
      </c>
      <c r="BH70">
        <f t="shared" ref="BH70:BH133" si="84">IF($D70="Ireland",1,0)</f>
        <v>0</v>
      </c>
      <c r="BI70">
        <f t="shared" ref="BI70:BI133" si="85">IF($D70="Finland",1,0)</f>
        <v>0</v>
      </c>
    </row>
    <row r="71" spans="1:61" x14ac:dyDescent="0.35">
      <c r="A71" t="s">
        <v>51</v>
      </c>
      <c r="B71" s="1">
        <v>37382</v>
      </c>
      <c r="C71" t="s">
        <v>232</v>
      </c>
      <c r="D71" t="s">
        <v>6</v>
      </c>
      <c r="E71" t="s">
        <v>233</v>
      </c>
      <c r="F71" t="s">
        <v>59</v>
      </c>
      <c r="G71" t="s">
        <v>125</v>
      </c>
      <c r="H71" s="139">
        <f t="shared" si="59"/>
        <v>1</v>
      </c>
      <c r="I71" t="s">
        <v>234</v>
      </c>
      <c r="J71" t="s">
        <v>235</v>
      </c>
      <c r="K71" s="2">
        <f t="shared" si="62"/>
        <v>1</v>
      </c>
      <c r="L71">
        <v>250000000</v>
      </c>
      <c r="M71" s="2">
        <f t="shared" si="63"/>
        <v>8.3979400086720375</v>
      </c>
      <c r="N71">
        <v>250000000</v>
      </c>
      <c r="O71">
        <v>0</v>
      </c>
      <c r="P71" s="1">
        <v>39119</v>
      </c>
      <c r="Q71" s="89">
        <f t="shared" si="64"/>
        <v>2007</v>
      </c>
      <c r="R71" t="s">
        <v>155</v>
      </c>
      <c r="S71">
        <v>590000000</v>
      </c>
      <c r="T71" s="21">
        <f t="shared" si="55"/>
        <v>4.7589041095890412</v>
      </c>
      <c r="U71">
        <v>320.77</v>
      </c>
      <c r="V71">
        <f t="shared" si="65"/>
        <v>2.5075455505094206</v>
      </c>
      <c r="W71">
        <v>1926</v>
      </c>
      <c r="X71">
        <v>76</v>
      </c>
      <c r="Y71">
        <f t="shared" si="66"/>
        <v>1.8864907251724818</v>
      </c>
      <c r="Z71" s="45">
        <v>2.91</v>
      </c>
      <c r="AA71" s="9">
        <f t="shared" si="56"/>
        <v>340000000</v>
      </c>
      <c r="AB71" s="15">
        <f t="shared" si="57"/>
        <v>1.3599999999999999</v>
      </c>
      <c r="AC71" s="34">
        <f t="shared" si="67"/>
        <v>0.37291200297010657</v>
      </c>
      <c r="AD71">
        <v>1669.0315000000001</v>
      </c>
      <c r="AE71">
        <f t="shared" si="60"/>
        <v>3.2224645332922388</v>
      </c>
      <c r="AF71">
        <v>5094.7950000000001</v>
      </c>
      <c r="AG71">
        <f t="shared" si="61"/>
        <v>3.707126713924402</v>
      </c>
      <c r="AH71" s="9">
        <v>447.5</v>
      </c>
      <c r="AI71" s="9">
        <f t="shared" si="68"/>
        <v>2.6517624473801109</v>
      </c>
      <c r="AJ71">
        <v>70</v>
      </c>
      <c r="AK71" s="15" t="s">
        <v>236</v>
      </c>
      <c r="AL71" s="42">
        <v>49.506498643412101</v>
      </c>
      <c r="AM71" s="15">
        <v>0.38</v>
      </c>
      <c r="AN71" s="34">
        <f t="shared" si="69"/>
        <v>0.13987908640123647</v>
      </c>
      <c r="AO71">
        <v>1981</v>
      </c>
      <c r="AP71">
        <v>21</v>
      </c>
      <c r="AQ71">
        <v>90</v>
      </c>
      <c r="AR71">
        <v>70</v>
      </c>
      <c r="AS71">
        <f t="shared" si="58"/>
        <v>0</v>
      </c>
      <c r="AT71">
        <f t="shared" si="70"/>
        <v>0</v>
      </c>
      <c r="AU71">
        <f t="shared" si="71"/>
        <v>0</v>
      </c>
      <c r="AV71">
        <f t="shared" si="72"/>
        <v>0</v>
      </c>
      <c r="AW71">
        <f t="shared" si="73"/>
        <v>0</v>
      </c>
      <c r="AX71">
        <f t="shared" si="74"/>
        <v>0</v>
      </c>
      <c r="AY71">
        <f t="shared" si="75"/>
        <v>0</v>
      </c>
      <c r="AZ71">
        <f t="shared" si="76"/>
        <v>0</v>
      </c>
      <c r="BA71">
        <f t="shared" si="77"/>
        <v>1</v>
      </c>
      <c r="BB71">
        <f t="shared" si="78"/>
        <v>0</v>
      </c>
      <c r="BC71">
        <f t="shared" si="79"/>
        <v>0</v>
      </c>
      <c r="BD71">
        <f t="shared" si="80"/>
        <v>0</v>
      </c>
      <c r="BE71">
        <f t="shared" si="81"/>
        <v>0</v>
      </c>
      <c r="BF71">
        <f t="shared" si="82"/>
        <v>0</v>
      </c>
      <c r="BG71">
        <f t="shared" si="83"/>
        <v>0</v>
      </c>
      <c r="BH71">
        <f t="shared" si="84"/>
        <v>0</v>
      </c>
      <c r="BI71">
        <f t="shared" si="85"/>
        <v>0</v>
      </c>
    </row>
    <row r="72" spans="1:61" x14ac:dyDescent="0.35">
      <c r="A72" s="12" t="s">
        <v>51</v>
      </c>
      <c r="B72" s="16">
        <v>37802</v>
      </c>
      <c r="C72" s="13" t="s">
        <v>157</v>
      </c>
      <c r="D72" s="13" t="s">
        <v>7</v>
      </c>
      <c r="E72" s="13" t="s">
        <v>237</v>
      </c>
      <c r="F72" s="13" t="s">
        <v>59</v>
      </c>
      <c r="G72" s="13" t="s">
        <v>125</v>
      </c>
      <c r="H72" s="139">
        <f t="shared" si="59"/>
        <v>1</v>
      </c>
      <c r="I72" s="13" t="s">
        <v>92</v>
      </c>
      <c r="J72" s="13" t="s">
        <v>235</v>
      </c>
      <c r="K72" s="2">
        <f t="shared" si="62"/>
        <v>1</v>
      </c>
      <c r="L72" s="13">
        <v>930000000</v>
      </c>
      <c r="M72" s="2">
        <f t="shared" si="63"/>
        <v>8.9684829485539357</v>
      </c>
      <c r="N72" s="13">
        <v>930000000</v>
      </c>
      <c r="O72" s="13">
        <v>0</v>
      </c>
      <c r="P72" s="19">
        <v>39233</v>
      </c>
      <c r="Q72" s="89">
        <f t="shared" si="64"/>
        <v>2007</v>
      </c>
      <c r="R72" s="12" t="s">
        <v>152</v>
      </c>
      <c r="S72" s="12">
        <v>2390000000</v>
      </c>
      <c r="T72" s="21">
        <f t="shared" si="55"/>
        <v>3.9205479452054797</v>
      </c>
      <c r="U72">
        <v>489.17</v>
      </c>
      <c r="V72">
        <f t="shared" si="65"/>
        <v>2.6903467274930635</v>
      </c>
      <c r="W72">
        <v>1973</v>
      </c>
      <c r="X72">
        <v>30</v>
      </c>
      <c r="Y72">
        <f t="shared" si="66"/>
        <v>1.4913616938342726</v>
      </c>
      <c r="Z72" s="45">
        <v>2.59</v>
      </c>
      <c r="AA72" s="9">
        <f t="shared" si="56"/>
        <v>1460000000</v>
      </c>
      <c r="AB72" s="15">
        <f t="shared" si="57"/>
        <v>1.5698924731182795</v>
      </c>
      <c r="AC72" s="34">
        <f t="shared" si="67"/>
        <v>0.40991495239420256</v>
      </c>
      <c r="AD72">
        <v>1669.0315000000001</v>
      </c>
      <c r="AE72">
        <f t="shared" si="60"/>
        <v>3.2224645332922388</v>
      </c>
      <c r="AF72">
        <v>5094.7950000000001</v>
      </c>
      <c r="AG72">
        <f t="shared" si="61"/>
        <v>3.707126713924402</v>
      </c>
      <c r="AH72" s="9">
        <v>562.5</v>
      </c>
      <c r="AI72" s="9">
        <f t="shared" si="68"/>
        <v>2.7508939203821252</v>
      </c>
      <c r="AJ72">
        <v>85</v>
      </c>
      <c r="AK72" s="15" t="s">
        <v>238</v>
      </c>
      <c r="AL72" s="42">
        <v>43.5008834269711</v>
      </c>
      <c r="AM72" s="15">
        <v>0.56999999999999995</v>
      </c>
      <c r="AN72" s="34">
        <f t="shared" si="69"/>
        <v>0.19589965240923368</v>
      </c>
      <c r="AO72">
        <v>1981</v>
      </c>
      <c r="AP72">
        <v>22</v>
      </c>
      <c r="AQ72">
        <v>90</v>
      </c>
      <c r="AR72">
        <v>70</v>
      </c>
      <c r="AS72">
        <f t="shared" si="58"/>
        <v>0</v>
      </c>
      <c r="AT72">
        <f t="shared" si="70"/>
        <v>0</v>
      </c>
      <c r="AU72">
        <f t="shared" si="71"/>
        <v>0</v>
      </c>
      <c r="AV72">
        <f t="shared" si="72"/>
        <v>0</v>
      </c>
      <c r="AW72">
        <f t="shared" si="73"/>
        <v>0</v>
      </c>
      <c r="AX72">
        <f t="shared" si="74"/>
        <v>0</v>
      </c>
      <c r="AY72">
        <f t="shared" si="75"/>
        <v>0</v>
      </c>
      <c r="AZ72">
        <f t="shared" si="76"/>
        <v>0</v>
      </c>
      <c r="BA72">
        <f t="shared" si="77"/>
        <v>0</v>
      </c>
      <c r="BB72">
        <f t="shared" si="78"/>
        <v>0</v>
      </c>
      <c r="BC72">
        <f t="shared" si="79"/>
        <v>0</v>
      </c>
      <c r="BD72">
        <f t="shared" si="80"/>
        <v>0</v>
      </c>
      <c r="BE72">
        <f t="shared" si="81"/>
        <v>1</v>
      </c>
      <c r="BF72">
        <f t="shared" si="82"/>
        <v>0</v>
      </c>
      <c r="BG72">
        <f t="shared" si="83"/>
        <v>0</v>
      </c>
      <c r="BH72">
        <f t="shared" si="84"/>
        <v>0</v>
      </c>
      <c r="BI72">
        <f t="shared" si="85"/>
        <v>0</v>
      </c>
    </row>
    <row r="73" spans="1:61" x14ac:dyDescent="0.35">
      <c r="A73" t="s">
        <v>51</v>
      </c>
      <c r="B73" s="1">
        <v>40781</v>
      </c>
      <c r="C73" t="s">
        <v>239</v>
      </c>
      <c r="D73" t="s">
        <v>5</v>
      </c>
      <c r="E73" t="s">
        <v>240</v>
      </c>
      <c r="F73" t="s">
        <v>59</v>
      </c>
      <c r="G73" t="s">
        <v>125</v>
      </c>
      <c r="H73" s="139">
        <f t="shared" si="59"/>
        <v>1</v>
      </c>
      <c r="I73" t="s">
        <v>234</v>
      </c>
      <c r="J73" t="s">
        <v>178</v>
      </c>
      <c r="K73" s="2">
        <f t="shared" si="62"/>
        <v>9</v>
      </c>
      <c r="L73">
        <v>400000000</v>
      </c>
      <c r="M73" s="2">
        <f t="shared" si="63"/>
        <v>8.6020599913279625</v>
      </c>
      <c r="N73">
        <v>400000000</v>
      </c>
      <c r="O73">
        <v>0</v>
      </c>
      <c r="P73" s="1">
        <v>42513</v>
      </c>
      <c r="Q73" s="89">
        <f t="shared" si="64"/>
        <v>2016</v>
      </c>
      <c r="R73" t="s">
        <v>152</v>
      </c>
      <c r="S73">
        <v>180000000</v>
      </c>
      <c r="T73" s="21">
        <f t="shared" si="55"/>
        <v>4.7452054794520544</v>
      </c>
      <c r="U73">
        <v>357.29</v>
      </c>
      <c r="V73">
        <f t="shared" si="65"/>
        <v>2.5542346870234227</v>
      </c>
      <c r="W73">
        <v>1965</v>
      </c>
      <c r="X73">
        <v>46</v>
      </c>
      <c r="Y73">
        <f t="shared" si="66"/>
        <v>1.6720978579357175</v>
      </c>
      <c r="Z73" s="45">
        <v>3.16</v>
      </c>
      <c r="AA73" s="9">
        <f t="shared" si="56"/>
        <v>-220000000</v>
      </c>
      <c r="AB73" s="15">
        <f t="shared" si="57"/>
        <v>-0.55000000000000004</v>
      </c>
      <c r="AC73" s="34">
        <f t="shared" si="67"/>
        <v>-0.34678748622465638</v>
      </c>
      <c r="AD73">
        <v>1669.0315000000001</v>
      </c>
      <c r="AE73">
        <f t="shared" si="60"/>
        <v>3.2224645332922388</v>
      </c>
      <c r="AF73">
        <v>5094.7950000000001</v>
      </c>
      <c r="AG73">
        <f t="shared" si="61"/>
        <v>3.707126713924402</v>
      </c>
      <c r="AH73" s="9">
        <v>971</v>
      </c>
      <c r="AI73" s="9">
        <f t="shared" si="68"/>
        <v>2.9876662649262746</v>
      </c>
      <c r="AJ73">
        <v>81.900000000000006</v>
      </c>
      <c r="AK73" s="15" t="s">
        <v>241</v>
      </c>
      <c r="AL73" s="42">
        <v>46.7926176158091</v>
      </c>
      <c r="AM73" s="15">
        <v>0.74</v>
      </c>
      <c r="AN73" s="34">
        <f t="shared" si="69"/>
        <v>0.24054924828259971</v>
      </c>
      <c r="AO73">
        <v>1981</v>
      </c>
      <c r="AP73">
        <v>30</v>
      </c>
      <c r="AQ73">
        <v>70</v>
      </c>
      <c r="AR73">
        <v>90</v>
      </c>
      <c r="AS73">
        <f t="shared" si="58"/>
        <v>0</v>
      </c>
      <c r="AT73">
        <f t="shared" si="70"/>
        <v>0</v>
      </c>
      <c r="AU73">
        <f t="shared" si="71"/>
        <v>0</v>
      </c>
      <c r="AV73">
        <f t="shared" si="72"/>
        <v>0</v>
      </c>
      <c r="AW73">
        <f t="shared" si="73"/>
        <v>0</v>
      </c>
      <c r="AX73">
        <f t="shared" si="74"/>
        <v>0</v>
      </c>
      <c r="AY73">
        <f t="shared" si="75"/>
        <v>1</v>
      </c>
      <c r="AZ73">
        <f t="shared" si="76"/>
        <v>0</v>
      </c>
      <c r="BA73">
        <f t="shared" si="77"/>
        <v>0</v>
      </c>
      <c r="BB73">
        <f t="shared" si="78"/>
        <v>0</v>
      </c>
      <c r="BC73">
        <f t="shared" si="79"/>
        <v>0</v>
      </c>
      <c r="BD73">
        <f t="shared" si="80"/>
        <v>0</v>
      </c>
      <c r="BE73">
        <f t="shared" si="81"/>
        <v>0</v>
      </c>
      <c r="BF73">
        <f t="shared" si="82"/>
        <v>0</v>
      </c>
      <c r="BG73">
        <f t="shared" si="83"/>
        <v>0</v>
      </c>
      <c r="BH73">
        <f t="shared" si="84"/>
        <v>0</v>
      </c>
      <c r="BI73">
        <f t="shared" si="85"/>
        <v>0</v>
      </c>
    </row>
    <row r="74" spans="1:61" x14ac:dyDescent="0.35">
      <c r="A74" t="s">
        <v>51</v>
      </c>
      <c r="B74" s="1">
        <v>37319</v>
      </c>
      <c r="C74" t="s">
        <v>242</v>
      </c>
      <c r="D74" t="s">
        <v>163</v>
      </c>
      <c r="E74" t="s">
        <v>237</v>
      </c>
      <c r="F74" t="s">
        <v>59</v>
      </c>
      <c r="G74" t="s">
        <v>125</v>
      </c>
      <c r="H74" s="139">
        <f t="shared" si="59"/>
        <v>1</v>
      </c>
      <c r="I74" t="s">
        <v>234</v>
      </c>
      <c r="J74" t="s">
        <v>190</v>
      </c>
      <c r="K74" s="2">
        <f t="shared" si="62"/>
        <v>2</v>
      </c>
      <c r="L74">
        <v>300000000</v>
      </c>
      <c r="M74" s="2">
        <f t="shared" si="63"/>
        <v>8.4771212547196626</v>
      </c>
      <c r="N74">
        <v>300000000</v>
      </c>
      <c r="O74">
        <v>0</v>
      </c>
      <c r="P74" s="1">
        <v>38734</v>
      </c>
      <c r="Q74" s="89">
        <f t="shared" si="64"/>
        <v>2006</v>
      </c>
      <c r="R74" t="s">
        <v>155</v>
      </c>
      <c r="S74">
        <v>400000000</v>
      </c>
      <c r="T74" s="21">
        <f t="shared" si="55"/>
        <v>3.8767123287671232</v>
      </c>
      <c r="U74">
        <v>342.74</v>
      </c>
      <c r="V74">
        <f t="shared" si="65"/>
        <v>2.5362300726332561</v>
      </c>
      <c r="W74">
        <v>1939</v>
      </c>
      <c r="X74">
        <v>63</v>
      </c>
      <c r="Y74">
        <f t="shared" si="66"/>
        <v>1.8061799739838871</v>
      </c>
      <c r="Z74" s="45">
        <v>2.3199999999999998</v>
      </c>
      <c r="AA74" s="9">
        <f t="shared" si="56"/>
        <v>100000000</v>
      </c>
      <c r="AB74" s="15">
        <f t="shared" si="57"/>
        <v>0.33333333333333326</v>
      </c>
      <c r="AC74" s="34">
        <f t="shared" si="67"/>
        <v>0.12493873660829993</v>
      </c>
      <c r="AD74">
        <v>1669.0315000000001</v>
      </c>
      <c r="AE74">
        <f t="shared" si="60"/>
        <v>3.2224645332922388</v>
      </c>
      <c r="AF74">
        <v>5094.7950000000001</v>
      </c>
      <c r="AG74">
        <f t="shared" si="61"/>
        <v>3.707126713924402</v>
      </c>
      <c r="AH74" s="9">
        <v>569.16666666666697</v>
      </c>
      <c r="AI74" s="9">
        <f t="shared" si="68"/>
        <v>2.756001823801419</v>
      </c>
      <c r="AJ74">
        <v>70</v>
      </c>
      <c r="AK74" s="15" t="s">
        <v>243</v>
      </c>
      <c r="AL74" s="42">
        <v>52.795294707427601</v>
      </c>
      <c r="AM74" s="15">
        <v>0.11</v>
      </c>
      <c r="AN74" s="34">
        <f t="shared" si="69"/>
        <v>4.5322978786657475E-2</v>
      </c>
      <c r="AO74">
        <v>1981</v>
      </c>
      <c r="AP74">
        <v>21</v>
      </c>
      <c r="AQ74">
        <v>85</v>
      </c>
      <c r="AR74">
        <v>80</v>
      </c>
      <c r="AS74">
        <f t="shared" si="58"/>
        <v>0</v>
      </c>
      <c r="AT74">
        <f t="shared" si="70"/>
        <v>0</v>
      </c>
      <c r="AU74">
        <f t="shared" si="71"/>
        <v>0</v>
      </c>
      <c r="AV74">
        <f t="shared" si="72"/>
        <v>0</v>
      </c>
      <c r="AW74">
        <f t="shared" si="73"/>
        <v>0</v>
      </c>
      <c r="AX74">
        <f t="shared" si="74"/>
        <v>0</v>
      </c>
      <c r="AY74">
        <f t="shared" si="75"/>
        <v>0</v>
      </c>
      <c r="AZ74">
        <f t="shared" si="76"/>
        <v>1</v>
      </c>
      <c r="BA74">
        <f t="shared" si="77"/>
        <v>0</v>
      </c>
      <c r="BB74">
        <f t="shared" si="78"/>
        <v>0</v>
      </c>
      <c r="BC74">
        <f t="shared" si="79"/>
        <v>0</v>
      </c>
      <c r="BD74">
        <f t="shared" si="80"/>
        <v>0</v>
      </c>
      <c r="BE74">
        <f t="shared" si="81"/>
        <v>0</v>
      </c>
      <c r="BF74">
        <f t="shared" si="82"/>
        <v>0</v>
      </c>
      <c r="BG74">
        <f t="shared" si="83"/>
        <v>0</v>
      </c>
      <c r="BH74">
        <f t="shared" si="84"/>
        <v>0</v>
      </c>
      <c r="BI74">
        <f t="shared" si="85"/>
        <v>0</v>
      </c>
    </row>
    <row r="75" spans="1:61" x14ac:dyDescent="0.35">
      <c r="A75" t="s">
        <v>51</v>
      </c>
      <c r="B75" s="1">
        <v>37691</v>
      </c>
      <c r="C75" t="s">
        <v>244</v>
      </c>
      <c r="D75" t="s">
        <v>59</v>
      </c>
      <c r="E75" t="s">
        <v>237</v>
      </c>
      <c r="F75" t="s">
        <v>59</v>
      </c>
      <c r="G75" t="s">
        <v>102</v>
      </c>
      <c r="H75" s="139">
        <f t="shared" si="59"/>
        <v>0</v>
      </c>
      <c r="I75" t="s">
        <v>234</v>
      </c>
      <c r="J75" t="s">
        <v>245</v>
      </c>
      <c r="K75" s="2">
        <f t="shared" si="62"/>
        <v>6</v>
      </c>
      <c r="L75">
        <v>2510000000</v>
      </c>
      <c r="M75" s="2">
        <f t="shared" si="63"/>
        <v>9.3996737214810384</v>
      </c>
      <c r="N75">
        <v>2510000000</v>
      </c>
      <c r="O75">
        <v>0</v>
      </c>
      <c r="P75" s="1">
        <v>38838</v>
      </c>
      <c r="Q75" s="89">
        <f t="shared" si="64"/>
        <v>2006</v>
      </c>
      <c r="R75" t="s">
        <v>155</v>
      </c>
      <c r="S75">
        <v>2679000000</v>
      </c>
      <c r="T75" s="21">
        <f t="shared" si="55"/>
        <v>3.1424657534246574</v>
      </c>
      <c r="U75">
        <v>0</v>
      </c>
      <c r="V75">
        <f t="shared" si="65"/>
        <v>0</v>
      </c>
      <c r="W75">
        <v>1999</v>
      </c>
      <c r="X75">
        <v>4</v>
      </c>
      <c r="Y75">
        <f t="shared" si="66"/>
        <v>0.69897000433601886</v>
      </c>
      <c r="Z75" s="45">
        <v>3.29</v>
      </c>
      <c r="AA75" s="9">
        <f t="shared" si="56"/>
        <v>169000000</v>
      </c>
      <c r="AB75" s="15">
        <f t="shared" si="57"/>
        <v>6.7330677290836638E-2</v>
      </c>
      <c r="AC75" s="34">
        <f t="shared" si="67"/>
        <v>2.8298992127170717E-2</v>
      </c>
      <c r="AD75">
        <v>1669.0315000000001</v>
      </c>
      <c r="AE75">
        <f t="shared" si="60"/>
        <v>3.2224645332922388</v>
      </c>
      <c r="AF75">
        <v>5094.7950000000001</v>
      </c>
      <c r="AG75">
        <f t="shared" si="61"/>
        <v>3.707126713924402</v>
      </c>
      <c r="AH75" s="9">
        <v>0</v>
      </c>
      <c r="AI75" s="9">
        <f t="shared" si="68"/>
        <v>0</v>
      </c>
      <c r="AJ75">
        <v>85</v>
      </c>
      <c r="AK75" s="15" t="s">
        <v>246</v>
      </c>
      <c r="AL75" s="42">
        <v>38.7850112673514</v>
      </c>
      <c r="AM75" s="15">
        <v>0.63</v>
      </c>
      <c r="AN75" s="34">
        <f t="shared" si="69"/>
        <v>0.21218760440395779</v>
      </c>
      <c r="AO75">
        <v>1981</v>
      </c>
      <c r="AP75">
        <v>22</v>
      </c>
      <c r="AQ75">
        <v>70</v>
      </c>
      <c r="AR75">
        <v>70</v>
      </c>
      <c r="AS75">
        <f t="shared" si="58"/>
        <v>0</v>
      </c>
      <c r="AT75">
        <f t="shared" si="70"/>
        <v>0</v>
      </c>
      <c r="AU75">
        <f t="shared" si="71"/>
        <v>1</v>
      </c>
      <c r="AV75">
        <f t="shared" si="72"/>
        <v>0</v>
      </c>
      <c r="AW75">
        <f t="shared" si="73"/>
        <v>0</v>
      </c>
      <c r="AX75">
        <f t="shared" si="74"/>
        <v>0</v>
      </c>
      <c r="AY75">
        <f t="shared" si="75"/>
        <v>0</v>
      </c>
      <c r="AZ75">
        <f t="shared" si="76"/>
        <v>0</v>
      </c>
      <c r="BA75">
        <f t="shared" si="77"/>
        <v>0</v>
      </c>
      <c r="BB75">
        <f t="shared" si="78"/>
        <v>0</v>
      </c>
      <c r="BC75">
        <f t="shared" si="79"/>
        <v>0</v>
      </c>
      <c r="BD75">
        <f t="shared" si="80"/>
        <v>0</v>
      </c>
      <c r="BE75">
        <f t="shared" si="81"/>
        <v>0</v>
      </c>
      <c r="BF75">
        <f t="shared" si="82"/>
        <v>0</v>
      </c>
      <c r="BG75">
        <f t="shared" si="83"/>
        <v>0</v>
      </c>
      <c r="BH75">
        <f t="shared" si="84"/>
        <v>0</v>
      </c>
      <c r="BI75">
        <f t="shared" si="85"/>
        <v>0</v>
      </c>
    </row>
    <row r="76" spans="1:61" x14ac:dyDescent="0.35">
      <c r="A76" t="s">
        <v>51</v>
      </c>
      <c r="B76" s="1">
        <v>37590</v>
      </c>
      <c r="C76" t="s">
        <v>247</v>
      </c>
      <c r="D76" t="s">
        <v>59</v>
      </c>
      <c r="E76" t="s">
        <v>237</v>
      </c>
      <c r="F76" t="s">
        <v>59</v>
      </c>
      <c r="G76" t="s">
        <v>102</v>
      </c>
      <c r="H76" s="139">
        <f t="shared" si="59"/>
        <v>0</v>
      </c>
      <c r="I76" t="s">
        <v>234</v>
      </c>
      <c r="J76" t="s">
        <v>248</v>
      </c>
      <c r="K76" s="2">
        <f t="shared" si="62"/>
        <v>5</v>
      </c>
      <c r="L76">
        <v>333000000</v>
      </c>
      <c r="M76" s="2">
        <f t="shared" si="63"/>
        <v>8.5224442335063202</v>
      </c>
      <c r="N76">
        <v>333000000</v>
      </c>
      <c r="O76">
        <v>0</v>
      </c>
      <c r="P76" s="1">
        <v>38581</v>
      </c>
      <c r="Q76" s="89">
        <f t="shared" si="64"/>
        <v>2005</v>
      </c>
      <c r="R76" t="s">
        <v>152</v>
      </c>
      <c r="S76">
        <v>800000000</v>
      </c>
      <c r="T76" s="21">
        <f t="shared" si="55"/>
        <v>2.7150684931506848</v>
      </c>
      <c r="U76">
        <v>0</v>
      </c>
      <c r="V76">
        <f t="shared" si="65"/>
        <v>0</v>
      </c>
      <c r="W76">
        <v>1971</v>
      </c>
      <c r="X76">
        <v>31</v>
      </c>
      <c r="Y76">
        <f t="shared" si="66"/>
        <v>1.505149978319906</v>
      </c>
      <c r="Z76" s="45">
        <v>3.29</v>
      </c>
      <c r="AA76" s="9">
        <f t="shared" si="56"/>
        <v>467000000</v>
      </c>
      <c r="AB76" s="15">
        <f t="shared" si="57"/>
        <v>1.4024024024024024</v>
      </c>
      <c r="AC76" s="34">
        <f t="shared" si="67"/>
        <v>0.38064575348562374</v>
      </c>
      <c r="AD76">
        <v>1669.0315000000001</v>
      </c>
      <c r="AE76">
        <f t="shared" si="60"/>
        <v>3.2224645332922388</v>
      </c>
      <c r="AF76">
        <v>5094.7950000000001</v>
      </c>
      <c r="AG76">
        <f t="shared" si="61"/>
        <v>3.707126713924402</v>
      </c>
      <c r="AH76" s="9">
        <v>0</v>
      </c>
      <c r="AI76" s="9">
        <f t="shared" si="68"/>
        <v>0</v>
      </c>
      <c r="AJ76">
        <v>85</v>
      </c>
      <c r="AK76" s="15" t="s">
        <v>249</v>
      </c>
      <c r="AL76" s="42">
        <v>37.589394702761602</v>
      </c>
      <c r="AM76" s="15">
        <v>0.3</v>
      </c>
      <c r="AN76" s="34">
        <f t="shared" si="69"/>
        <v>0.11394335230683679</v>
      </c>
      <c r="AO76">
        <v>1981</v>
      </c>
      <c r="AP76">
        <v>21</v>
      </c>
      <c r="AQ76">
        <v>70</v>
      </c>
      <c r="AR76">
        <v>70</v>
      </c>
      <c r="AS76">
        <f t="shared" si="58"/>
        <v>0</v>
      </c>
      <c r="AT76">
        <f t="shared" si="70"/>
        <v>0</v>
      </c>
      <c r="AU76">
        <f t="shared" si="71"/>
        <v>1</v>
      </c>
      <c r="AV76">
        <f t="shared" si="72"/>
        <v>0</v>
      </c>
      <c r="AW76">
        <f t="shared" si="73"/>
        <v>0</v>
      </c>
      <c r="AX76">
        <f t="shared" si="74"/>
        <v>0</v>
      </c>
      <c r="AY76">
        <f t="shared" si="75"/>
        <v>0</v>
      </c>
      <c r="AZ76">
        <f t="shared" si="76"/>
        <v>0</v>
      </c>
      <c r="BA76">
        <f t="shared" si="77"/>
        <v>0</v>
      </c>
      <c r="BB76">
        <f t="shared" si="78"/>
        <v>0</v>
      </c>
      <c r="BC76">
        <f t="shared" si="79"/>
        <v>0</v>
      </c>
      <c r="BD76">
        <f t="shared" si="80"/>
        <v>0</v>
      </c>
      <c r="BE76">
        <f t="shared" si="81"/>
        <v>0</v>
      </c>
      <c r="BF76">
        <f t="shared" si="82"/>
        <v>0</v>
      </c>
      <c r="BG76">
        <f t="shared" si="83"/>
        <v>0</v>
      </c>
      <c r="BH76">
        <f t="shared" si="84"/>
        <v>0</v>
      </c>
      <c r="BI76">
        <f t="shared" si="85"/>
        <v>0</v>
      </c>
    </row>
    <row r="77" spans="1:61" x14ac:dyDescent="0.35">
      <c r="A77" t="s">
        <v>51</v>
      </c>
      <c r="B77" s="1">
        <v>35871</v>
      </c>
      <c r="C77" t="s">
        <v>250</v>
      </c>
      <c r="D77" t="s">
        <v>45</v>
      </c>
      <c r="E77" t="s">
        <v>251</v>
      </c>
      <c r="F77" t="s">
        <v>59</v>
      </c>
      <c r="G77" t="s">
        <v>102</v>
      </c>
      <c r="H77" s="139">
        <f t="shared" si="59"/>
        <v>0</v>
      </c>
      <c r="I77" t="s">
        <v>234</v>
      </c>
      <c r="J77" t="s">
        <v>248</v>
      </c>
      <c r="K77" s="2">
        <f t="shared" si="62"/>
        <v>5</v>
      </c>
      <c r="L77">
        <v>1060168118</v>
      </c>
      <c r="M77" s="2">
        <f t="shared" si="63"/>
        <v>9.0253747397273578</v>
      </c>
      <c r="N77">
        <v>1060168118</v>
      </c>
      <c r="O77">
        <v>0</v>
      </c>
      <c r="P77" s="1">
        <v>38266</v>
      </c>
      <c r="Q77" s="89">
        <f t="shared" si="64"/>
        <v>2004</v>
      </c>
      <c r="R77" t="s">
        <v>155</v>
      </c>
      <c r="S77">
        <v>175000000</v>
      </c>
      <c r="T77" s="21">
        <f t="shared" si="55"/>
        <v>6.5616438356164384</v>
      </c>
      <c r="U77">
        <v>5897.96</v>
      </c>
      <c r="V77">
        <f t="shared" si="65"/>
        <v>3.7707754512906644</v>
      </c>
      <c r="W77">
        <v>1913</v>
      </c>
      <c r="X77">
        <v>85</v>
      </c>
      <c r="Y77">
        <f t="shared" si="66"/>
        <v>1.9344984512435677</v>
      </c>
      <c r="Z77" s="45">
        <v>2.3199999999999998</v>
      </c>
      <c r="AA77" s="9">
        <f t="shared" si="56"/>
        <v>-885168118</v>
      </c>
      <c r="AB77" s="15">
        <f t="shared" si="57"/>
        <v>-0.83493184049890479</v>
      </c>
      <c r="AC77" s="34">
        <f t="shared" si="67"/>
        <v>-0.78233669104106385</v>
      </c>
      <c r="AD77">
        <v>1669.0315000000001</v>
      </c>
      <c r="AE77">
        <f t="shared" si="60"/>
        <v>3.2224645332922388</v>
      </c>
      <c r="AF77">
        <v>5094.7950000000001</v>
      </c>
      <c r="AG77">
        <f t="shared" si="61"/>
        <v>3.707126713924402</v>
      </c>
      <c r="AH77" s="9">
        <v>132</v>
      </c>
      <c r="AI77" s="9">
        <f t="shared" si="68"/>
        <v>2.1238516409670858</v>
      </c>
      <c r="AJ77">
        <v>85</v>
      </c>
      <c r="AK77" s="15" t="s">
        <v>75</v>
      </c>
      <c r="AL77" s="42">
        <v>35.119429201759203</v>
      </c>
      <c r="AM77" s="24">
        <v>0.06</v>
      </c>
      <c r="AN77" s="34">
        <f t="shared" si="69"/>
        <v>2.5305865264770262E-2</v>
      </c>
      <c r="AO77">
        <v>1981</v>
      </c>
      <c r="AP77">
        <v>17</v>
      </c>
      <c r="AQ77">
        <v>70</v>
      </c>
      <c r="AR77">
        <v>70</v>
      </c>
      <c r="AS77">
        <f t="shared" si="58"/>
        <v>0</v>
      </c>
      <c r="AT77">
        <f t="shared" si="70"/>
        <v>1</v>
      </c>
      <c r="AU77">
        <f t="shared" si="71"/>
        <v>0</v>
      </c>
      <c r="AV77">
        <f t="shared" si="72"/>
        <v>0</v>
      </c>
      <c r="AW77">
        <f t="shared" si="73"/>
        <v>0</v>
      </c>
      <c r="AX77">
        <f t="shared" si="74"/>
        <v>0</v>
      </c>
      <c r="AY77">
        <f t="shared" si="75"/>
        <v>0</v>
      </c>
      <c r="AZ77">
        <f t="shared" si="76"/>
        <v>0</v>
      </c>
      <c r="BA77">
        <f t="shared" si="77"/>
        <v>0</v>
      </c>
      <c r="BB77">
        <f t="shared" si="78"/>
        <v>0</v>
      </c>
      <c r="BC77">
        <f t="shared" si="79"/>
        <v>0</v>
      </c>
      <c r="BD77">
        <f t="shared" si="80"/>
        <v>0</v>
      </c>
      <c r="BE77">
        <f t="shared" si="81"/>
        <v>0</v>
      </c>
      <c r="BF77">
        <f t="shared" si="82"/>
        <v>0</v>
      </c>
      <c r="BG77">
        <f t="shared" si="83"/>
        <v>0</v>
      </c>
      <c r="BH77">
        <f t="shared" si="84"/>
        <v>0</v>
      </c>
      <c r="BI77">
        <f t="shared" si="85"/>
        <v>0</v>
      </c>
    </row>
    <row r="78" spans="1:61" x14ac:dyDescent="0.35">
      <c r="A78" t="s">
        <v>51</v>
      </c>
      <c r="B78" s="1">
        <v>41162</v>
      </c>
      <c r="C78" t="s">
        <v>252</v>
      </c>
      <c r="D78" t="s">
        <v>1</v>
      </c>
      <c r="E78" s="26" t="s">
        <v>253</v>
      </c>
      <c r="F78" t="s">
        <v>4</v>
      </c>
      <c r="G78" t="s">
        <v>125</v>
      </c>
      <c r="H78" s="139">
        <f t="shared" si="59"/>
        <v>1</v>
      </c>
      <c r="I78" t="s">
        <v>234</v>
      </c>
      <c r="J78" t="s">
        <v>186</v>
      </c>
      <c r="K78" s="2">
        <f t="shared" si="62"/>
        <v>4</v>
      </c>
      <c r="L78">
        <v>261450000</v>
      </c>
      <c r="M78" s="2">
        <f t="shared" si="63"/>
        <v>8.4173886461656746</v>
      </c>
      <c r="N78">
        <v>261450000</v>
      </c>
      <c r="O78">
        <v>0</v>
      </c>
      <c r="P78" s="1">
        <v>43308</v>
      </c>
      <c r="Q78" s="89">
        <f t="shared" si="64"/>
        <v>2018</v>
      </c>
      <c r="R78" t="s">
        <v>74</v>
      </c>
      <c r="S78">
        <v>440000000</v>
      </c>
      <c r="T78" s="21">
        <f t="shared" si="55"/>
        <v>5.8794520547945206</v>
      </c>
      <c r="U78">
        <v>416.73</v>
      </c>
      <c r="V78">
        <f t="shared" si="65"/>
        <v>2.6208956659919629</v>
      </c>
      <c r="W78">
        <v>2001</v>
      </c>
      <c r="X78">
        <v>11</v>
      </c>
      <c r="Y78">
        <f t="shared" si="66"/>
        <v>1.0791812460476249</v>
      </c>
      <c r="Z78" s="45">
        <v>3.65</v>
      </c>
      <c r="AA78" s="9">
        <f t="shared" si="56"/>
        <v>178550000</v>
      </c>
      <c r="AB78" s="15">
        <f t="shared" si="57"/>
        <v>0.68292216484987578</v>
      </c>
      <c r="AC78" s="34">
        <f t="shared" si="67"/>
        <v>0.22606403032051303</v>
      </c>
      <c r="AD78">
        <v>1450.8446376578247</v>
      </c>
      <c r="AE78">
        <f t="shared" si="60"/>
        <v>3.1616209089088487</v>
      </c>
      <c r="AF78">
        <v>6306.1358665754287</v>
      </c>
      <c r="AG78">
        <f t="shared" si="61"/>
        <v>3.7997633234477775</v>
      </c>
      <c r="AH78" s="9">
        <v>217.833333333333</v>
      </c>
      <c r="AI78" s="9">
        <f t="shared" si="68"/>
        <v>2.3401134757058348</v>
      </c>
      <c r="AJ78">
        <v>88.4</v>
      </c>
      <c r="AK78" s="15" t="s">
        <v>254</v>
      </c>
      <c r="AL78" s="42">
        <v>42.888893081396603</v>
      </c>
      <c r="AM78" s="24">
        <v>0.97</v>
      </c>
      <c r="AN78" s="34">
        <f t="shared" si="69"/>
        <v>0.2944662261615929</v>
      </c>
      <c r="AO78">
        <v>1994</v>
      </c>
      <c r="AP78">
        <v>18</v>
      </c>
      <c r="AQ78">
        <v>70</v>
      </c>
      <c r="AR78">
        <v>50</v>
      </c>
      <c r="AS78">
        <f t="shared" si="58"/>
        <v>0</v>
      </c>
      <c r="AT78">
        <f t="shared" si="70"/>
        <v>0</v>
      </c>
      <c r="AU78">
        <f t="shared" si="71"/>
        <v>0</v>
      </c>
      <c r="AV78">
        <f t="shared" si="72"/>
        <v>1</v>
      </c>
      <c r="AW78">
        <f t="shared" si="73"/>
        <v>0</v>
      </c>
      <c r="AX78">
        <f t="shared" si="74"/>
        <v>0</v>
      </c>
      <c r="AY78">
        <f t="shared" si="75"/>
        <v>0</v>
      </c>
      <c r="AZ78">
        <f t="shared" si="76"/>
        <v>0</v>
      </c>
      <c r="BA78">
        <f t="shared" si="77"/>
        <v>0</v>
      </c>
      <c r="BB78">
        <f t="shared" si="78"/>
        <v>0</v>
      </c>
      <c r="BC78">
        <f t="shared" si="79"/>
        <v>0</v>
      </c>
      <c r="BD78">
        <f t="shared" si="80"/>
        <v>0</v>
      </c>
      <c r="BE78">
        <f t="shared" si="81"/>
        <v>0</v>
      </c>
      <c r="BF78">
        <f t="shared" si="82"/>
        <v>0</v>
      </c>
      <c r="BG78">
        <f t="shared" si="83"/>
        <v>0</v>
      </c>
      <c r="BH78">
        <f t="shared" si="84"/>
        <v>0</v>
      </c>
      <c r="BI78">
        <f t="shared" si="85"/>
        <v>0</v>
      </c>
    </row>
    <row r="79" spans="1:61" x14ac:dyDescent="0.35">
      <c r="A79" t="s">
        <v>51</v>
      </c>
      <c r="B79" s="1">
        <v>39678</v>
      </c>
      <c r="C79" t="s">
        <v>255</v>
      </c>
      <c r="D79" t="s">
        <v>4</v>
      </c>
      <c r="E79" s="26" t="s">
        <v>256</v>
      </c>
      <c r="F79" t="s">
        <v>4</v>
      </c>
      <c r="G79" t="s">
        <v>125</v>
      </c>
      <c r="H79" s="139">
        <f t="shared" si="59"/>
        <v>1</v>
      </c>
      <c r="I79" t="s">
        <v>234</v>
      </c>
      <c r="J79" t="s">
        <v>235</v>
      </c>
      <c r="K79" s="2">
        <f t="shared" si="62"/>
        <v>1</v>
      </c>
      <c r="L79">
        <v>915710000</v>
      </c>
      <c r="M79" s="2">
        <f t="shared" si="63"/>
        <v>8.9617579569203265</v>
      </c>
      <c r="N79">
        <v>915830000</v>
      </c>
      <c r="O79">
        <v>-120000</v>
      </c>
      <c r="P79" s="1">
        <v>40718</v>
      </c>
      <c r="Q79" s="89">
        <f t="shared" si="64"/>
        <v>2011</v>
      </c>
      <c r="R79" t="s">
        <v>155</v>
      </c>
      <c r="S79">
        <v>2365506000</v>
      </c>
      <c r="T79" s="21">
        <f t="shared" si="55"/>
        <v>2.8493150684931505</v>
      </c>
      <c r="U79">
        <v>0</v>
      </c>
      <c r="V79">
        <f t="shared" si="65"/>
        <v>0</v>
      </c>
      <c r="W79">
        <v>1988</v>
      </c>
      <c r="X79">
        <v>20</v>
      </c>
      <c r="Y79">
        <f t="shared" si="66"/>
        <v>1.3222192947339193</v>
      </c>
      <c r="Z79" s="45">
        <v>3.59</v>
      </c>
      <c r="AA79" s="9">
        <f t="shared" si="56"/>
        <v>1449676000</v>
      </c>
      <c r="AB79" s="15">
        <f t="shared" si="57"/>
        <v>1.5832479715193677</v>
      </c>
      <c r="AC79" s="34">
        <f t="shared" si="67"/>
        <v>0.41216609703415352</v>
      </c>
      <c r="AD79">
        <v>1450.8446376578247</v>
      </c>
      <c r="AE79">
        <f t="shared" si="60"/>
        <v>3.1616209089088487</v>
      </c>
      <c r="AF79">
        <v>6306.1358665754287</v>
      </c>
      <c r="AG79">
        <f t="shared" si="61"/>
        <v>3.7997633234477775</v>
      </c>
      <c r="AH79" s="9">
        <v>0</v>
      </c>
      <c r="AI79" s="9">
        <f t="shared" si="68"/>
        <v>0</v>
      </c>
      <c r="AJ79">
        <v>95.6</v>
      </c>
      <c r="AK79" s="15" t="s">
        <v>257</v>
      </c>
      <c r="AL79" s="42">
        <v>50.007710041127098</v>
      </c>
      <c r="AM79" s="24">
        <v>-0.01</v>
      </c>
      <c r="AN79" s="34">
        <f t="shared" si="69"/>
        <v>-4.3648054024500883E-3</v>
      </c>
      <c r="AO79">
        <v>1994</v>
      </c>
      <c r="AP79">
        <v>14</v>
      </c>
      <c r="AQ79">
        <v>70</v>
      </c>
      <c r="AR79">
        <v>70</v>
      </c>
      <c r="AS79">
        <f t="shared" si="58"/>
        <v>0</v>
      </c>
      <c r="AT79">
        <f t="shared" si="70"/>
        <v>0</v>
      </c>
      <c r="AU79">
        <f t="shared" si="71"/>
        <v>0</v>
      </c>
      <c r="AV79">
        <f t="shared" si="72"/>
        <v>0</v>
      </c>
      <c r="AW79">
        <f t="shared" si="73"/>
        <v>0</v>
      </c>
      <c r="AX79">
        <f t="shared" si="74"/>
        <v>1</v>
      </c>
      <c r="AY79">
        <f t="shared" si="75"/>
        <v>0</v>
      </c>
      <c r="AZ79">
        <f t="shared" si="76"/>
        <v>0</v>
      </c>
      <c r="BA79">
        <f t="shared" si="77"/>
        <v>0</v>
      </c>
      <c r="BB79">
        <f t="shared" si="78"/>
        <v>0</v>
      </c>
      <c r="BC79">
        <f t="shared" si="79"/>
        <v>0</v>
      </c>
      <c r="BD79">
        <f t="shared" si="80"/>
        <v>0</v>
      </c>
      <c r="BE79">
        <f t="shared" si="81"/>
        <v>0</v>
      </c>
      <c r="BF79">
        <f t="shared" si="82"/>
        <v>0</v>
      </c>
      <c r="BG79">
        <f t="shared" si="83"/>
        <v>0</v>
      </c>
      <c r="BH79">
        <f t="shared" si="84"/>
        <v>0</v>
      </c>
      <c r="BI79">
        <f t="shared" si="85"/>
        <v>0</v>
      </c>
    </row>
    <row r="80" spans="1:61" x14ac:dyDescent="0.35">
      <c r="A80" t="s">
        <v>51</v>
      </c>
      <c r="B80" s="1">
        <v>38918</v>
      </c>
      <c r="C80" t="s">
        <v>258</v>
      </c>
      <c r="D80" t="s">
        <v>4</v>
      </c>
      <c r="E80" s="26" t="s">
        <v>259</v>
      </c>
      <c r="F80" t="s">
        <v>4</v>
      </c>
      <c r="G80" t="s">
        <v>102</v>
      </c>
      <c r="H80" s="139">
        <f t="shared" si="59"/>
        <v>0</v>
      </c>
      <c r="I80" t="s">
        <v>234</v>
      </c>
      <c r="J80" t="s">
        <v>190</v>
      </c>
      <c r="K80" s="2">
        <f t="shared" si="62"/>
        <v>2</v>
      </c>
      <c r="L80">
        <v>4191360000</v>
      </c>
      <c r="M80" s="2">
        <f t="shared" si="63"/>
        <v>9.622354964412688</v>
      </c>
      <c r="N80">
        <v>5051570000</v>
      </c>
      <c r="O80">
        <v>-860210000</v>
      </c>
      <c r="P80" s="20">
        <v>41434</v>
      </c>
      <c r="Q80" s="89">
        <f t="shared" si="64"/>
        <v>2013</v>
      </c>
      <c r="R80" t="s">
        <v>155</v>
      </c>
      <c r="S80">
        <v>4019810000</v>
      </c>
      <c r="T80" s="21">
        <f t="shared" si="55"/>
        <v>6.8931506849315065</v>
      </c>
      <c r="U80">
        <v>0</v>
      </c>
      <c r="V80">
        <f t="shared" si="65"/>
        <v>0</v>
      </c>
      <c r="W80">
        <v>1964</v>
      </c>
      <c r="X80">
        <v>42</v>
      </c>
      <c r="Y80">
        <f t="shared" si="66"/>
        <v>1.6334684555795864</v>
      </c>
      <c r="Z80" s="45">
        <v>3.59</v>
      </c>
      <c r="AA80" s="9">
        <f t="shared" si="56"/>
        <v>-1031760000</v>
      </c>
      <c r="AB80" s="15">
        <f t="shared" si="57"/>
        <v>-4.0929435791723923E-2</v>
      </c>
      <c r="AC80" s="34">
        <f t="shared" si="67"/>
        <v>-1.8149438169419448E-2</v>
      </c>
      <c r="AD80">
        <v>1450.8446376578247</v>
      </c>
      <c r="AE80">
        <f t="shared" si="60"/>
        <v>3.1616209089088487</v>
      </c>
      <c r="AF80">
        <v>6306.1358665754287</v>
      </c>
      <c r="AG80">
        <f t="shared" si="61"/>
        <v>3.7997633234477775</v>
      </c>
      <c r="AH80" s="9">
        <v>0</v>
      </c>
      <c r="AI80" s="9">
        <f t="shared" si="68"/>
        <v>0</v>
      </c>
      <c r="AJ80">
        <v>96.1</v>
      </c>
      <c r="AK80" s="15" t="s">
        <v>260</v>
      </c>
      <c r="AL80" s="42">
        <v>50.974560675820896</v>
      </c>
      <c r="AM80" s="24">
        <v>0.32</v>
      </c>
      <c r="AN80" s="34">
        <f t="shared" si="69"/>
        <v>0.12057393120584989</v>
      </c>
      <c r="AO80">
        <v>1994</v>
      </c>
      <c r="AP80">
        <v>12</v>
      </c>
      <c r="AQ80">
        <v>70</v>
      </c>
      <c r="AR80">
        <v>70</v>
      </c>
      <c r="AS80">
        <f t="shared" si="58"/>
        <v>0</v>
      </c>
      <c r="AT80">
        <f t="shared" si="70"/>
        <v>0</v>
      </c>
      <c r="AU80">
        <f t="shared" si="71"/>
        <v>0</v>
      </c>
      <c r="AV80">
        <f t="shared" si="72"/>
        <v>0</v>
      </c>
      <c r="AW80">
        <f t="shared" si="73"/>
        <v>0</v>
      </c>
      <c r="AX80">
        <f t="shared" si="74"/>
        <v>1</v>
      </c>
      <c r="AY80">
        <f t="shared" si="75"/>
        <v>0</v>
      </c>
      <c r="AZ80">
        <f t="shared" si="76"/>
        <v>0</v>
      </c>
      <c r="BA80">
        <f t="shared" si="77"/>
        <v>0</v>
      </c>
      <c r="BB80">
        <f t="shared" si="78"/>
        <v>0</v>
      </c>
      <c r="BC80">
        <f t="shared" si="79"/>
        <v>0</v>
      </c>
      <c r="BD80">
        <f t="shared" si="80"/>
        <v>0</v>
      </c>
      <c r="BE80">
        <f t="shared" si="81"/>
        <v>0</v>
      </c>
      <c r="BF80">
        <f t="shared" si="82"/>
        <v>0</v>
      </c>
      <c r="BG80">
        <f t="shared" si="83"/>
        <v>0</v>
      </c>
      <c r="BH80">
        <f t="shared" si="84"/>
        <v>0</v>
      </c>
      <c r="BI80">
        <f t="shared" si="85"/>
        <v>0</v>
      </c>
    </row>
    <row r="81" spans="1:61" x14ac:dyDescent="0.35">
      <c r="A81" t="s">
        <v>51</v>
      </c>
      <c r="B81" s="1">
        <v>37747</v>
      </c>
      <c r="C81" s="26" t="s">
        <v>261</v>
      </c>
      <c r="D81" t="s">
        <v>4</v>
      </c>
      <c r="E81" s="26" t="s">
        <v>262</v>
      </c>
      <c r="F81" t="s">
        <v>4</v>
      </c>
      <c r="G81" t="s">
        <v>102</v>
      </c>
      <c r="H81" s="139">
        <f t="shared" si="59"/>
        <v>0</v>
      </c>
      <c r="I81" t="s">
        <v>234</v>
      </c>
      <c r="J81" t="s">
        <v>186</v>
      </c>
      <c r="K81" s="2">
        <f t="shared" si="62"/>
        <v>4</v>
      </c>
      <c r="L81">
        <v>235637477</v>
      </c>
      <c r="M81" s="2">
        <f t="shared" si="63"/>
        <v>8.3722443640434001</v>
      </c>
      <c r="N81">
        <v>235637477</v>
      </c>
      <c r="O81">
        <v>0</v>
      </c>
      <c r="P81" s="1">
        <v>38744</v>
      </c>
      <c r="Q81" s="89">
        <f t="shared" si="64"/>
        <v>2006</v>
      </c>
      <c r="R81" t="s">
        <v>152</v>
      </c>
      <c r="S81">
        <v>1078966000</v>
      </c>
      <c r="T81" s="21">
        <f t="shared" si="55"/>
        <v>2.7315068493150685</v>
      </c>
      <c r="U81">
        <v>0</v>
      </c>
      <c r="V81">
        <f t="shared" si="65"/>
        <v>0</v>
      </c>
      <c r="W81">
        <v>1983</v>
      </c>
      <c r="X81">
        <v>20</v>
      </c>
      <c r="Y81">
        <f t="shared" si="66"/>
        <v>1.3222192947339193</v>
      </c>
      <c r="Z81" s="45">
        <v>3.59</v>
      </c>
      <c r="AA81" s="9">
        <f t="shared" si="56"/>
        <v>843328523</v>
      </c>
      <c r="AB81" s="15">
        <f t="shared" si="57"/>
        <v>3.5789235809887749</v>
      </c>
      <c r="AC81" s="34">
        <f t="shared" si="67"/>
        <v>0.66076339551899865</v>
      </c>
      <c r="AD81">
        <v>1450.8446376578247</v>
      </c>
      <c r="AE81">
        <f t="shared" si="60"/>
        <v>3.1616209089088487</v>
      </c>
      <c r="AF81">
        <v>6306.1358665754287</v>
      </c>
      <c r="AG81">
        <f t="shared" si="61"/>
        <v>3.7997633234477775</v>
      </c>
      <c r="AH81" s="9">
        <v>0</v>
      </c>
      <c r="AI81" s="9">
        <f t="shared" si="68"/>
        <v>0</v>
      </c>
      <c r="AJ81">
        <v>70</v>
      </c>
      <c r="AK81" s="15" t="s">
        <v>263</v>
      </c>
      <c r="AL81" s="42">
        <v>53.974932698910798</v>
      </c>
      <c r="AM81" s="24">
        <v>0.37</v>
      </c>
      <c r="AN81" s="34">
        <f t="shared" si="69"/>
        <v>0.13672056715640679</v>
      </c>
      <c r="AO81">
        <v>1994</v>
      </c>
      <c r="AP81">
        <v>9</v>
      </c>
      <c r="AQ81">
        <v>70</v>
      </c>
      <c r="AR81">
        <v>70</v>
      </c>
      <c r="AS81">
        <f t="shared" si="58"/>
        <v>0</v>
      </c>
      <c r="AT81">
        <f t="shared" si="70"/>
        <v>0</v>
      </c>
      <c r="AU81">
        <f t="shared" si="71"/>
        <v>0</v>
      </c>
      <c r="AV81">
        <f t="shared" si="72"/>
        <v>0</v>
      </c>
      <c r="AW81">
        <f t="shared" si="73"/>
        <v>0</v>
      </c>
      <c r="AX81">
        <f t="shared" si="74"/>
        <v>1</v>
      </c>
      <c r="AY81">
        <f t="shared" si="75"/>
        <v>0</v>
      </c>
      <c r="AZ81">
        <f t="shared" si="76"/>
        <v>0</v>
      </c>
      <c r="BA81">
        <f t="shared" si="77"/>
        <v>0</v>
      </c>
      <c r="BB81">
        <f t="shared" si="78"/>
        <v>0</v>
      </c>
      <c r="BC81">
        <f t="shared" si="79"/>
        <v>0</v>
      </c>
      <c r="BD81">
        <f t="shared" si="80"/>
        <v>0</v>
      </c>
      <c r="BE81">
        <f t="shared" si="81"/>
        <v>0</v>
      </c>
      <c r="BF81">
        <f t="shared" si="82"/>
        <v>0</v>
      </c>
      <c r="BG81">
        <f t="shared" si="83"/>
        <v>0</v>
      </c>
      <c r="BH81">
        <f t="shared" si="84"/>
        <v>0</v>
      </c>
      <c r="BI81">
        <f t="shared" si="85"/>
        <v>0</v>
      </c>
    </row>
    <row r="82" spans="1:61" x14ac:dyDescent="0.35">
      <c r="A82" t="s">
        <v>196</v>
      </c>
      <c r="B82" s="1">
        <v>36899</v>
      </c>
      <c r="C82" t="s">
        <v>264</v>
      </c>
      <c r="D82" t="s">
        <v>4</v>
      </c>
      <c r="E82" s="26" t="s">
        <v>262</v>
      </c>
      <c r="F82" t="s">
        <v>4</v>
      </c>
      <c r="G82" t="s">
        <v>102</v>
      </c>
      <c r="H82" s="139">
        <f t="shared" si="59"/>
        <v>0</v>
      </c>
      <c r="I82" t="s">
        <v>234</v>
      </c>
      <c r="J82" t="s">
        <v>248</v>
      </c>
      <c r="K82" s="2">
        <f t="shared" si="62"/>
        <v>5</v>
      </c>
      <c r="L82">
        <v>433280000</v>
      </c>
      <c r="M82" s="2">
        <f t="shared" si="63"/>
        <v>8.6367686426690309</v>
      </c>
      <c r="N82">
        <v>433280000</v>
      </c>
      <c r="O82">
        <v>0</v>
      </c>
      <c r="P82" s="1">
        <v>38389</v>
      </c>
      <c r="Q82" s="89">
        <f t="shared" si="64"/>
        <v>2005</v>
      </c>
      <c r="R82" t="s">
        <v>155</v>
      </c>
      <c r="S82">
        <v>1105784000</v>
      </c>
      <c r="T82" s="21">
        <f t="shared" si="55"/>
        <v>4.0821917808219181</v>
      </c>
      <c r="U82">
        <v>0</v>
      </c>
      <c r="V82">
        <f t="shared" si="65"/>
        <v>0</v>
      </c>
      <c r="W82">
        <v>1919</v>
      </c>
      <c r="X82">
        <v>82</v>
      </c>
      <c r="Y82">
        <f t="shared" si="66"/>
        <v>1.919078092376074</v>
      </c>
      <c r="Z82" s="45">
        <v>3.59</v>
      </c>
      <c r="AA82" s="9">
        <f t="shared" si="56"/>
        <v>672504000</v>
      </c>
      <c r="AB82" s="15">
        <f t="shared" si="57"/>
        <v>1.5521233382570161</v>
      </c>
      <c r="AC82" s="34">
        <f t="shared" si="67"/>
        <v>0.40690165901075054</v>
      </c>
      <c r="AD82">
        <v>1450.8446376578247</v>
      </c>
      <c r="AE82">
        <f t="shared" si="60"/>
        <v>3.1616209089088487</v>
      </c>
      <c r="AF82">
        <v>6306.1358665754287</v>
      </c>
      <c r="AG82">
        <f t="shared" si="61"/>
        <v>3.7997633234477775</v>
      </c>
      <c r="AH82" s="9">
        <v>0</v>
      </c>
      <c r="AI82" s="9">
        <f t="shared" si="68"/>
        <v>0</v>
      </c>
      <c r="AJ82">
        <v>70</v>
      </c>
      <c r="AK82" s="15" t="s">
        <v>265</v>
      </c>
      <c r="AL82" s="42">
        <v>52.695054949482603</v>
      </c>
      <c r="AM82" s="24">
        <v>-7.0000000000000007E-2</v>
      </c>
      <c r="AN82" s="34">
        <f t="shared" si="69"/>
        <v>-3.1517051446064911E-2</v>
      </c>
      <c r="AO82">
        <v>1994</v>
      </c>
      <c r="AP82">
        <v>7</v>
      </c>
      <c r="AQ82">
        <v>70</v>
      </c>
      <c r="AR82">
        <v>70</v>
      </c>
      <c r="AS82">
        <f t="shared" si="58"/>
        <v>0</v>
      </c>
      <c r="AT82">
        <f t="shared" si="70"/>
        <v>0</v>
      </c>
      <c r="AU82">
        <f t="shared" si="71"/>
        <v>0</v>
      </c>
      <c r="AV82">
        <f t="shared" si="72"/>
        <v>0</v>
      </c>
      <c r="AW82">
        <f t="shared" si="73"/>
        <v>0</v>
      </c>
      <c r="AX82">
        <f t="shared" si="74"/>
        <v>1</v>
      </c>
      <c r="AY82">
        <f t="shared" si="75"/>
        <v>0</v>
      </c>
      <c r="AZ82">
        <f t="shared" si="76"/>
        <v>0</v>
      </c>
      <c r="BA82">
        <f t="shared" si="77"/>
        <v>0</v>
      </c>
      <c r="BB82">
        <f t="shared" si="78"/>
        <v>0</v>
      </c>
      <c r="BC82">
        <f t="shared" si="79"/>
        <v>0</v>
      </c>
      <c r="BD82">
        <f t="shared" si="80"/>
        <v>0</v>
      </c>
      <c r="BE82">
        <f t="shared" si="81"/>
        <v>0</v>
      </c>
      <c r="BF82">
        <f t="shared" si="82"/>
        <v>0</v>
      </c>
      <c r="BG82">
        <f t="shared" si="83"/>
        <v>0</v>
      </c>
      <c r="BH82">
        <f t="shared" si="84"/>
        <v>0</v>
      </c>
      <c r="BI82">
        <f t="shared" si="85"/>
        <v>0</v>
      </c>
    </row>
    <row r="83" spans="1:61" x14ac:dyDescent="0.35">
      <c r="A83" t="s">
        <v>220</v>
      </c>
      <c r="B83" s="1">
        <v>36382</v>
      </c>
      <c r="C83" t="s">
        <v>266</v>
      </c>
      <c r="D83" t="s">
        <v>4</v>
      </c>
      <c r="E83" s="26" t="s">
        <v>267</v>
      </c>
      <c r="F83" t="s">
        <v>4</v>
      </c>
      <c r="G83" t="s">
        <v>102</v>
      </c>
      <c r="H83" s="139">
        <f t="shared" si="59"/>
        <v>0</v>
      </c>
      <c r="I83" t="s">
        <v>268</v>
      </c>
      <c r="J83" t="s">
        <v>269</v>
      </c>
      <c r="K83" s="2">
        <f t="shared" si="62"/>
        <v>7</v>
      </c>
      <c r="L83">
        <v>600000000</v>
      </c>
      <c r="M83" s="2">
        <f t="shared" si="63"/>
        <v>8.7781512503836439</v>
      </c>
      <c r="N83">
        <v>350000000</v>
      </c>
      <c r="O83">
        <v>250000000</v>
      </c>
      <c r="P83" s="1">
        <v>39082</v>
      </c>
      <c r="Q83" s="89">
        <f t="shared" si="64"/>
        <v>2006</v>
      </c>
      <c r="R83" t="s">
        <v>152</v>
      </c>
      <c r="S83">
        <v>550000000</v>
      </c>
      <c r="T83" s="21">
        <f t="shared" si="55"/>
        <v>7.397260273972603</v>
      </c>
      <c r="U83">
        <v>0</v>
      </c>
      <c r="V83">
        <f t="shared" si="65"/>
        <v>0</v>
      </c>
      <c r="W83">
        <v>1903</v>
      </c>
      <c r="X83">
        <v>96</v>
      </c>
      <c r="Y83">
        <f t="shared" si="66"/>
        <v>1.9867717342662448</v>
      </c>
      <c r="Z83" s="45">
        <v>3.59</v>
      </c>
      <c r="AA83" s="9">
        <f t="shared" si="56"/>
        <v>200000000</v>
      </c>
      <c r="AB83" s="15">
        <f t="shared" si="57"/>
        <v>-8.333333333333337E-2</v>
      </c>
      <c r="AC83" s="34">
        <f t="shared" si="67"/>
        <v>-3.7788560889399803E-2</v>
      </c>
      <c r="AD83">
        <v>1450.8446376578247</v>
      </c>
      <c r="AE83">
        <f t="shared" si="60"/>
        <v>3.1616209089088487</v>
      </c>
      <c r="AF83">
        <v>6306.1358665754287</v>
      </c>
      <c r="AG83">
        <f t="shared" si="61"/>
        <v>3.7997633234477775</v>
      </c>
      <c r="AH83" s="9">
        <v>0</v>
      </c>
      <c r="AI83" s="9">
        <f t="shared" si="68"/>
        <v>0</v>
      </c>
      <c r="AJ83">
        <v>70</v>
      </c>
      <c r="AK83" s="15" t="s">
        <v>270</v>
      </c>
      <c r="AL83" s="42">
        <v>56.244853437044902</v>
      </c>
      <c r="AM83" s="24">
        <v>0.11</v>
      </c>
      <c r="AN83" s="34">
        <f t="shared" si="69"/>
        <v>4.5322978786657475E-2</v>
      </c>
      <c r="AO83">
        <v>1994</v>
      </c>
      <c r="AP83">
        <v>5</v>
      </c>
      <c r="AQ83">
        <v>70</v>
      </c>
      <c r="AR83">
        <v>70</v>
      </c>
      <c r="AS83">
        <f t="shared" si="58"/>
        <v>0</v>
      </c>
      <c r="AT83">
        <f t="shared" si="70"/>
        <v>0</v>
      </c>
      <c r="AU83">
        <f t="shared" si="71"/>
        <v>0</v>
      </c>
      <c r="AV83">
        <f t="shared" si="72"/>
        <v>0</v>
      </c>
      <c r="AW83">
        <f t="shared" si="73"/>
        <v>0</v>
      </c>
      <c r="AX83">
        <f t="shared" si="74"/>
        <v>1</v>
      </c>
      <c r="AY83">
        <f t="shared" si="75"/>
        <v>0</v>
      </c>
      <c r="AZ83">
        <f t="shared" si="76"/>
        <v>0</v>
      </c>
      <c r="BA83">
        <f t="shared" si="77"/>
        <v>0</v>
      </c>
      <c r="BB83">
        <f t="shared" si="78"/>
        <v>0</v>
      </c>
      <c r="BC83">
        <f t="shared" si="79"/>
        <v>0</v>
      </c>
      <c r="BD83">
        <f t="shared" si="80"/>
        <v>0</v>
      </c>
      <c r="BE83">
        <f t="shared" si="81"/>
        <v>0</v>
      </c>
      <c r="BF83">
        <f t="shared" si="82"/>
        <v>0</v>
      </c>
      <c r="BG83">
        <f t="shared" si="83"/>
        <v>0</v>
      </c>
      <c r="BH83">
        <f t="shared" si="84"/>
        <v>0</v>
      </c>
      <c r="BI83">
        <f t="shared" si="85"/>
        <v>0</v>
      </c>
    </row>
    <row r="84" spans="1:61" x14ac:dyDescent="0.35">
      <c r="A84" t="s">
        <v>51</v>
      </c>
      <c r="B84" s="1">
        <v>36280</v>
      </c>
      <c r="C84" t="s">
        <v>271</v>
      </c>
      <c r="D84" t="s">
        <v>4</v>
      </c>
      <c r="E84" s="26" t="s">
        <v>267</v>
      </c>
      <c r="F84" t="s">
        <v>4</v>
      </c>
      <c r="G84" t="s">
        <v>102</v>
      </c>
      <c r="H84" s="139">
        <f t="shared" si="59"/>
        <v>0</v>
      </c>
      <c r="I84" t="s">
        <v>268</v>
      </c>
      <c r="J84" t="s">
        <v>248</v>
      </c>
      <c r="K84" s="2">
        <f t="shared" si="62"/>
        <v>5</v>
      </c>
      <c r="L84">
        <v>216809269</v>
      </c>
      <c r="M84" s="2">
        <f t="shared" si="63"/>
        <v>8.3360778451611068</v>
      </c>
      <c r="N84">
        <f>L84</f>
        <v>216809269</v>
      </c>
      <c r="O84">
        <v>0</v>
      </c>
      <c r="P84" s="1">
        <v>38337</v>
      </c>
      <c r="Q84" s="89">
        <f t="shared" si="64"/>
        <v>2004</v>
      </c>
      <c r="R84" t="s">
        <v>152</v>
      </c>
      <c r="S84">
        <v>465000000</v>
      </c>
      <c r="T84" s="21">
        <f t="shared" si="55"/>
        <v>5.6356164383561644</v>
      </c>
      <c r="U84">
        <v>0</v>
      </c>
      <c r="V84">
        <f t="shared" si="65"/>
        <v>0</v>
      </c>
      <c r="W84">
        <v>1942</v>
      </c>
      <c r="X84">
        <v>57</v>
      </c>
      <c r="Y84">
        <f t="shared" si="66"/>
        <v>1.7634279935629373</v>
      </c>
      <c r="Z84" s="45">
        <v>3.59</v>
      </c>
      <c r="AA84" s="9">
        <f t="shared" si="56"/>
        <v>248190731</v>
      </c>
      <c r="AB84" s="15">
        <f t="shared" si="57"/>
        <v>1.1447422526940025</v>
      </c>
      <c r="AC84" s="34">
        <f t="shared" si="67"/>
        <v>0.33137510772884793</v>
      </c>
      <c r="AD84">
        <v>1450.8446376578247</v>
      </c>
      <c r="AE84">
        <f t="shared" si="60"/>
        <v>3.1616209089088487</v>
      </c>
      <c r="AF84">
        <v>6306.1358665754287</v>
      </c>
      <c r="AG84">
        <f t="shared" si="61"/>
        <v>3.7997633234477775</v>
      </c>
      <c r="AH84" s="9">
        <v>0</v>
      </c>
      <c r="AI84" s="9">
        <f t="shared" si="68"/>
        <v>0</v>
      </c>
      <c r="AJ84">
        <v>70</v>
      </c>
      <c r="AK84" s="15" t="s">
        <v>270</v>
      </c>
      <c r="AL84" s="42">
        <v>56.244853437044902</v>
      </c>
      <c r="AM84" s="24">
        <v>-0.1</v>
      </c>
      <c r="AN84" s="34">
        <f t="shared" si="69"/>
        <v>-4.5757490560675115E-2</v>
      </c>
      <c r="AO84">
        <v>1994</v>
      </c>
      <c r="AP84">
        <v>5</v>
      </c>
      <c r="AQ84">
        <v>70</v>
      </c>
      <c r="AR84">
        <v>70</v>
      </c>
      <c r="AS84">
        <f t="shared" si="58"/>
        <v>0</v>
      </c>
      <c r="AT84">
        <f t="shared" si="70"/>
        <v>0</v>
      </c>
      <c r="AU84">
        <f t="shared" si="71"/>
        <v>0</v>
      </c>
      <c r="AV84">
        <f t="shared" si="72"/>
        <v>0</v>
      </c>
      <c r="AW84">
        <f t="shared" si="73"/>
        <v>0</v>
      </c>
      <c r="AX84">
        <f t="shared" si="74"/>
        <v>1</v>
      </c>
      <c r="AY84">
        <f t="shared" si="75"/>
        <v>0</v>
      </c>
      <c r="AZ84">
        <f t="shared" si="76"/>
        <v>0</v>
      </c>
      <c r="BA84">
        <f t="shared" si="77"/>
        <v>0</v>
      </c>
      <c r="BB84">
        <f t="shared" si="78"/>
        <v>0</v>
      </c>
      <c r="BC84">
        <f t="shared" si="79"/>
        <v>0</v>
      </c>
      <c r="BD84">
        <f t="shared" si="80"/>
        <v>0</v>
      </c>
      <c r="BE84">
        <f t="shared" si="81"/>
        <v>0</v>
      </c>
      <c r="BF84">
        <f t="shared" si="82"/>
        <v>0</v>
      </c>
      <c r="BG84">
        <f t="shared" si="83"/>
        <v>0</v>
      </c>
      <c r="BH84">
        <f t="shared" si="84"/>
        <v>0</v>
      </c>
      <c r="BI84">
        <f t="shared" si="85"/>
        <v>0</v>
      </c>
    </row>
    <row r="85" spans="1:61" x14ac:dyDescent="0.35">
      <c r="A85" t="s">
        <v>51</v>
      </c>
      <c r="B85" s="1">
        <v>35885</v>
      </c>
      <c r="C85" t="s">
        <v>272</v>
      </c>
      <c r="D85" t="s">
        <v>4</v>
      </c>
      <c r="E85" s="26" t="s">
        <v>273</v>
      </c>
      <c r="F85" t="s">
        <v>4</v>
      </c>
      <c r="G85" t="s">
        <v>102</v>
      </c>
      <c r="H85" s="139">
        <f t="shared" si="59"/>
        <v>0</v>
      </c>
      <c r="I85" t="s">
        <v>234</v>
      </c>
      <c r="J85" t="s">
        <v>178</v>
      </c>
      <c r="K85" s="2">
        <f t="shared" si="62"/>
        <v>9</v>
      </c>
      <c r="L85">
        <v>45647180</v>
      </c>
      <c r="M85" s="2">
        <f t="shared" si="63"/>
        <v>7.6594139527735292</v>
      </c>
      <c r="N85">
        <v>45647180</v>
      </c>
      <c r="O85">
        <v>0</v>
      </c>
      <c r="P85" s="1">
        <v>37862</v>
      </c>
      <c r="Q85" s="89">
        <f t="shared" si="64"/>
        <v>2003</v>
      </c>
      <c r="R85" t="s">
        <v>155</v>
      </c>
      <c r="S85">
        <v>422000000</v>
      </c>
      <c r="T85" s="21">
        <f t="shared" si="55"/>
        <v>5.4164383561643836</v>
      </c>
      <c r="U85">
        <v>0</v>
      </c>
      <c r="V85">
        <f t="shared" si="65"/>
        <v>0</v>
      </c>
      <c r="W85">
        <v>1925</v>
      </c>
      <c r="X85">
        <v>73</v>
      </c>
      <c r="Y85">
        <f t="shared" si="66"/>
        <v>1.8692317197309762</v>
      </c>
      <c r="Z85" s="45">
        <v>3.59</v>
      </c>
      <c r="AA85" s="9">
        <f t="shared" si="56"/>
        <v>376352820</v>
      </c>
      <c r="AB85" s="15">
        <f t="shared" si="57"/>
        <v>8.2448208191612267</v>
      </c>
      <c r="AC85" s="34">
        <f t="shared" si="67"/>
        <v>0.96589849818814433</v>
      </c>
      <c r="AD85">
        <v>1450.8446376578247</v>
      </c>
      <c r="AE85">
        <f t="shared" si="60"/>
        <v>3.1616209089088487</v>
      </c>
      <c r="AF85">
        <v>6306.1358665754287</v>
      </c>
      <c r="AG85">
        <f t="shared" si="61"/>
        <v>3.7997633234477775</v>
      </c>
      <c r="AH85" s="9">
        <v>0</v>
      </c>
      <c r="AI85" s="9">
        <f t="shared" si="68"/>
        <v>0</v>
      </c>
      <c r="AJ85">
        <v>70</v>
      </c>
      <c r="AK85" s="15" t="s">
        <v>65</v>
      </c>
      <c r="AL85" s="42">
        <v>56.929890049265502</v>
      </c>
      <c r="AM85" s="24">
        <v>-0.09</v>
      </c>
      <c r="AN85" s="34">
        <f t="shared" si="69"/>
        <v>-4.0958607678906384E-2</v>
      </c>
      <c r="AO85">
        <v>1994</v>
      </c>
      <c r="AP85">
        <v>4</v>
      </c>
      <c r="AQ85">
        <v>70</v>
      </c>
      <c r="AR85">
        <v>70</v>
      </c>
      <c r="AS85">
        <f t="shared" si="58"/>
        <v>0</v>
      </c>
      <c r="AT85">
        <f t="shared" si="70"/>
        <v>0</v>
      </c>
      <c r="AU85">
        <f t="shared" si="71"/>
        <v>0</v>
      </c>
      <c r="AV85">
        <f t="shared" si="72"/>
        <v>0</v>
      </c>
      <c r="AW85">
        <f t="shared" si="73"/>
        <v>0</v>
      </c>
      <c r="AX85">
        <f t="shared" si="74"/>
        <v>1</v>
      </c>
      <c r="AY85">
        <f t="shared" si="75"/>
        <v>0</v>
      </c>
      <c r="AZ85">
        <f t="shared" si="76"/>
        <v>0</v>
      </c>
      <c r="BA85">
        <f t="shared" si="77"/>
        <v>0</v>
      </c>
      <c r="BB85">
        <f t="shared" si="78"/>
        <v>0</v>
      </c>
      <c r="BC85">
        <f t="shared" si="79"/>
        <v>0</v>
      </c>
      <c r="BD85">
        <f t="shared" si="80"/>
        <v>0</v>
      </c>
      <c r="BE85">
        <f t="shared" si="81"/>
        <v>0</v>
      </c>
      <c r="BF85">
        <f t="shared" si="82"/>
        <v>0</v>
      </c>
      <c r="BG85">
        <f t="shared" si="83"/>
        <v>0</v>
      </c>
      <c r="BH85">
        <f t="shared" si="84"/>
        <v>0</v>
      </c>
      <c r="BI85">
        <f t="shared" si="85"/>
        <v>0</v>
      </c>
    </row>
    <row r="86" spans="1:61" x14ac:dyDescent="0.35">
      <c r="A86" t="s">
        <v>51</v>
      </c>
      <c r="B86" s="1">
        <v>41219</v>
      </c>
      <c r="C86" t="s">
        <v>274</v>
      </c>
      <c r="D86" t="s">
        <v>2</v>
      </c>
      <c r="E86" s="26" t="s">
        <v>275</v>
      </c>
      <c r="F86" t="s">
        <v>4</v>
      </c>
      <c r="G86" t="s">
        <v>125</v>
      </c>
      <c r="H86" s="139">
        <f t="shared" si="59"/>
        <v>1</v>
      </c>
      <c r="I86" t="s">
        <v>234</v>
      </c>
      <c r="J86" t="s">
        <v>190</v>
      </c>
      <c r="K86" s="2">
        <f t="shared" si="62"/>
        <v>2</v>
      </c>
      <c r="L86">
        <v>1800000000</v>
      </c>
      <c r="M86" s="2">
        <f t="shared" si="63"/>
        <v>9.2552725051033065</v>
      </c>
      <c r="N86">
        <v>1800000000</v>
      </c>
      <c r="O86">
        <v>0</v>
      </c>
      <c r="P86" s="1">
        <v>42798</v>
      </c>
      <c r="Q86" s="89">
        <f t="shared" si="64"/>
        <v>2017</v>
      </c>
      <c r="R86" t="s">
        <v>155</v>
      </c>
      <c r="S86">
        <v>2740000000</v>
      </c>
      <c r="T86" s="21">
        <f t="shared" si="55"/>
        <v>4.3260273972602743</v>
      </c>
      <c r="U86">
        <v>1314.22</v>
      </c>
      <c r="V86">
        <f t="shared" si="65"/>
        <v>3.1189984043805832</v>
      </c>
      <c r="W86">
        <v>2001</v>
      </c>
      <c r="X86">
        <v>11</v>
      </c>
      <c r="Y86">
        <f t="shared" si="66"/>
        <v>1.0791812460476249</v>
      </c>
      <c r="Z86" s="45">
        <v>3.13</v>
      </c>
      <c r="AA86" s="9">
        <f t="shared" si="56"/>
        <v>940000000</v>
      </c>
      <c r="AB86" s="15">
        <f t="shared" si="57"/>
        <v>0.52222222222222214</v>
      </c>
      <c r="AC86" s="34">
        <f t="shared" si="67"/>
        <v>0.18247805771708187</v>
      </c>
      <c r="AD86">
        <v>1450.8446376578247</v>
      </c>
      <c r="AE86">
        <f t="shared" si="60"/>
        <v>3.1616209089088487</v>
      </c>
      <c r="AF86">
        <v>6306.1358665754287</v>
      </c>
      <c r="AG86">
        <f t="shared" si="61"/>
        <v>3.7997633234477775</v>
      </c>
      <c r="AH86" s="9">
        <v>1177</v>
      </c>
      <c r="AI86" s="9">
        <f t="shared" si="68"/>
        <v>3.0711452904510828</v>
      </c>
      <c r="AJ86">
        <v>90.5</v>
      </c>
      <c r="AK86" s="15" t="s">
        <v>276</v>
      </c>
      <c r="AL86" s="42">
        <v>44.295389122127702</v>
      </c>
      <c r="AM86" s="24">
        <v>0.67</v>
      </c>
      <c r="AN86" s="34">
        <f t="shared" si="69"/>
        <v>0.22271647114758325</v>
      </c>
      <c r="AO86">
        <v>1994</v>
      </c>
      <c r="AP86">
        <v>18</v>
      </c>
      <c r="AQ86">
        <v>70</v>
      </c>
      <c r="AR86">
        <v>70</v>
      </c>
      <c r="AS86">
        <f t="shared" si="58"/>
        <v>0</v>
      </c>
      <c r="AT86">
        <f t="shared" si="70"/>
        <v>0</v>
      </c>
      <c r="AU86">
        <f t="shared" si="71"/>
        <v>0</v>
      </c>
      <c r="AV86">
        <f t="shared" si="72"/>
        <v>0</v>
      </c>
      <c r="AW86">
        <f t="shared" si="73"/>
        <v>0</v>
      </c>
      <c r="AX86">
        <f t="shared" si="74"/>
        <v>0</v>
      </c>
      <c r="AY86">
        <f t="shared" si="75"/>
        <v>0</v>
      </c>
      <c r="AZ86">
        <f t="shared" si="76"/>
        <v>0</v>
      </c>
      <c r="BA86">
        <f t="shared" si="77"/>
        <v>0</v>
      </c>
      <c r="BB86">
        <f t="shared" si="78"/>
        <v>1</v>
      </c>
      <c r="BC86">
        <f t="shared" si="79"/>
        <v>0</v>
      </c>
      <c r="BD86">
        <f t="shared" si="80"/>
        <v>0</v>
      </c>
      <c r="BE86">
        <f t="shared" si="81"/>
        <v>0</v>
      </c>
      <c r="BF86">
        <f t="shared" si="82"/>
        <v>0</v>
      </c>
      <c r="BG86">
        <f t="shared" si="83"/>
        <v>0</v>
      </c>
      <c r="BH86">
        <f t="shared" si="84"/>
        <v>0</v>
      </c>
      <c r="BI86">
        <f t="shared" si="85"/>
        <v>0</v>
      </c>
    </row>
    <row r="87" spans="1:61" x14ac:dyDescent="0.35">
      <c r="A87" t="s">
        <v>51</v>
      </c>
      <c r="B87" s="1">
        <v>40211</v>
      </c>
      <c r="C87" t="s">
        <v>277</v>
      </c>
      <c r="D87" t="s">
        <v>2</v>
      </c>
      <c r="E87" s="26" t="s">
        <v>256</v>
      </c>
      <c r="F87" t="s">
        <v>4</v>
      </c>
      <c r="G87" t="s">
        <v>125</v>
      </c>
      <c r="H87" s="139">
        <f t="shared" si="59"/>
        <v>1</v>
      </c>
      <c r="I87" t="s">
        <v>234</v>
      </c>
      <c r="J87" t="s">
        <v>186</v>
      </c>
      <c r="K87" s="2">
        <f t="shared" si="62"/>
        <v>4</v>
      </c>
      <c r="L87">
        <v>2300000000</v>
      </c>
      <c r="M87" s="2">
        <f t="shared" si="63"/>
        <v>9.3617278360175931</v>
      </c>
      <c r="N87">
        <v>2300000000</v>
      </c>
      <c r="O87">
        <v>0</v>
      </c>
      <c r="P87" s="1">
        <v>41501</v>
      </c>
      <c r="Q87" s="89">
        <f t="shared" si="64"/>
        <v>2013</v>
      </c>
      <c r="R87" t="s">
        <v>155</v>
      </c>
      <c r="S87">
        <v>3330000000</v>
      </c>
      <c r="T87" s="21">
        <f t="shared" si="55"/>
        <v>3.5342465753424657</v>
      </c>
      <c r="U87">
        <v>1314.22</v>
      </c>
      <c r="V87">
        <f t="shared" si="65"/>
        <v>3.1189984043805832</v>
      </c>
      <c r="W87">
        <v>1842</v>
      </c>
      <c r="X87">
        <v>168</v>
      </c>
      <c r="Y87">
        <f t="shared" si="66"/>
        <v>2.2278867046136734</v>
      </c>
      <c r="Z87" s="45">
        <v>3.13</v>
      </c>
      <c r="AA87" s="9">
        <f t="shared" si="56"/>
        <v>1030000000</v>
      </c>
      <c r="AB87" s="15">
        <f t="shared" si="57"/>
        <v>0.44782608695652182</v>
      </c>
      <c r="AC87" s="34">
        <f t="shared" si="67"/>
        <v>0.16071639748872701</v>
      </c>
      <c r="AD87">
        <v>1450.8446376578247</v>
      </c>
      <c r="AE87">
        <f t="shared" si="60"/>
        <v>3.1616209089088487</v>
      </c>
      <c r="AF87">
        <v>6306.1358665754287</v>
      </c>
      <c r="AG87">
        <f t="shared" si="61"/>
        <v>3.7997633234477775</v>
      </c>
      <c r="AH87" s="9">
        <v>1177</v>
      </c>
      <c r="AI87" s="9">
        <f t="shared" si="68"/>
        <v>3.0711452904510828</v>
      </c>
      <c r="AJ87">
        <v>89.6</v>
      </c>
      <c r="AK87" s="15" t="s">
        <v>84</v>
      </c>
      <c r="AL87" s="42">
        <v>47.255451423610303</v>
      </c>
      <c r="AM87" s="24">
        <v>0.51</v>
      </c>
      <c r="AN87" s="34">
        <f t="shared" si="69"/>
        <v>0.17897694729316943</v>
      </c>
      <c r="AO87">
        <v>1994</v>
      </c>
      <c r="AP87">
        <v>16</v>
      </c>
      <c r="AQ87">
        <v>70</v>
      </c>
      <c r="AR87">
        <v>70</v>
      </c>
      <c r="AS87">
        <f t="shared" si="58"/>
        <v>0</v>
      </c>
      <c r="AT87">
        <f t="shared" si="70"/>
        <v>0</v>
      </c>
      <c r="AU87">
        <f t="shared" si="71"/>
        <v>0</v>
      </c>
      <c r="AV87">
        <f t="shared" si="72"/>
        <v>0</v>
      </c>
      <c r="AW87">
        <f t="shared" si="73"/>
        <v>0</v>
      </c>
      <c r="AX87">
        <f t="shared" si="74"/>
        <v>0</v>
      </c>
      <c r="AY87">
        <f t="shared" si="75"/>
        <v>0</v>
      </c>
      <c r="AZ87">
        <f t="shared" si="76"/>
        <v>0</v>
      </c>
      <c r="BA87">
        <f t="shared" si="77"/>
        <v>0</v>
      </c>
      <c r="BB87">
        <f t="shared" si="78"/>
        <v>1</v>
      </c>
      <c r="BC87">
        <f t="shared" si="79"/>
        <v>0</v>
      </c>
      <c r="BD87">
        <f t="shared" si="80"/>
        <v>0</v>
      </c>
      <c r="BE87">
        <f t="shared" si="81"/>
        <v>0</v>
      </c>
      <c r="BF87">
        <f t="shared" si="82"/>
        <v>0</v>
      </c>
      <c r="BG87">
        <f t="shared" si="83"/>
        <v>0</v>
      </c>
      <c r="BH87">
        <f t="shared" si="84"/>
        <v>0</v>
      </c>
      <c r="BI87">
        <f t="shared" si="85"/>
        <v>0</v>
      </c>
    </row>
    <row r="88" spans="1:61" x14ac:dyDescent="0.35">
      <c r="A88" t="s">
        <v>51</v>
      </c>
      <c r="B88" s="1">
        <v>39629</v>
      </c>
      <c r="C88" t="s">
        <v>278</v>
      </c>
      <c r="D88" t="s">
        <v>2</v>
      </c>
      <c r="E88" s="26" t="s">
        <v>256</v>
      </c>
      <c r="F88" t="s">
        <v>4</v>
      </c>
      <c r="G88" t="s">
        <v>125</v>
      </c>
      <c r="H88" s="139">
        <f t="shared" si="59"/>
        <v>1</v>
      </c>
      <c r="I88" t="s">
        <v>234</v>
      </c>
      <c r="J88" t="s">
        <v>279</v>
      </c>
      <c r="K88" s="2">
        <f t="shared" si="62"/>
        <v>10</v>
      </c>
      <c r="L88">
        <v>455879890</v>
      </c>
      <c r="M88" s="2">
        <f t="shared" si="63"/>
        <v>8.658850434810736</v>
      </c>
      <c r="N88">
        <v>455879890</v>
      </c>
      <c r="O88">
        <v>0</v>
      </c>
      <c r="P88" s="1">
        <v>42825</v>
      </c>
      <c r="Q88" s="89">
        <f t="shared" si="64"/>
        <v>2017</v>
      </c>
      <c r="R88" t="s">
        <v>155</v>
      </c>
      <c r="S88">
        <v>850000000</v>
      </c>
      <c r="T88" s="21">
        <f t="shared" si="55"/>
        <v>8.7561643835616429</v>
      </c>
      <c r="U88">
        <v>1314.22</v>
      </c>
      <c r="V88">
        <f t="shared" si="65"/>
        <v>3.1189984043805832</v>
      </c>
      <c r="W88">
        <v>2005</v>
      </c>
      <c r="X88">
        <v>3</v>
      </c>
      <c r="Y88">
        <f t="shared" si="66"/>
        <v>0.6020599913279624</v>
      </c>
      <c r="Z88" s="45">
        <v>3.13</v>
      </c>
      <c r="AA88" s="9">
        <f t="shared" si="56"/>
        <v>394120110</v>
      </c>
      <c r="AB88" s="15">
        <f t="shared" si="57"/>
        <v>0.86452620228543098</v>
      </c>
      <c r="AC88" s="34">
        <f t="shared" si="67"/>
        <v>0.27056849090355672</v>
      </c>
      <c r="AD88">
        <v>1450.8446376578247</v>
      </c>
      <c r="AE88">
        <f t="shared" si="60"/>
        <v>3.1616209089088487</v>
      </c>
      <c r="AF88">
        <v>6306.1358665754287</v>
      </c>
      <c r="AG88">
        <f t="shared" si="61"/>
        <v>3.7997633234477775</v>
      </c>
      <c r="AH88" s="9">
        <v>1177</v>
      </c>
      <c r="AI88" s="9">
        <f t="shared" si="68"/>
        <v>3.0711452904510828</v>
      </c>
      <c r="AJ88">
        <v>89.9</v>
      </c>
      <c r="AK88" s="15" t="s">
        <v>241</v>
      </c>
      <c r="AL88" s="42">
        <v>43.572845019400901</v>
      </c>
      <c r="AM88" s="24">
        <v>0.85</v>
      </c>
      <c r="AN88" s="34">
        <f t="shared" si="69"/>
        <v>0.26717172840301384</v>
      </c>
      <c r="AO88">
        <v>1994</v>
      </c>
      <c r="AP88">
        <v>14</v>
      </c>
      <c r="AQ88">
        <v>70</v>
      </c>
      <c r="AR88">
        <v>70</v>
      </c>
      <c r="AS88">
        <f t="shared" si="58"/>
        <v>0</v>
      </c>
      <c r="AT88">
        <f t="shared" si="70"/>
        <v>0</v>
      </c>
      <c r="AU88">
        <f t="shared" si="71"/>
        <v>0</v>
      </c>
      <c r="AV88">
        <f t="shared" si="72"/>
        <v>0</v>
      </c>
      <c r="AW88">
        <f t="shared" si="73"/>
        <v>0</v>
      </c>
      <c r="AX88">
        <f t="shared" si="74"/>
        <v>0</v>
      </c>
      <c r="AY88">
        <f t="shared" si="75"/>
        <v>0</v>
      </c>
      <c r="AZ88">
        <f t="shared" si="76"/>
        <v>0</v>
      </c>
      <c r="BA88">
        <f t="shared" si="77"/>
        <v>0</v>
      </c>
      <c r="BB88">
        <f t="shared" si="78"/>
        <v>1</v>
      </c>
      <c r="BC88">
        <f t="shared" si="79"/>
        <v>0</v>
      </c>
      <c r="BD88">
        <f t="shared" si="80"/>
        <v>0</v>
      </c>
      <c r="BE88">
        <f t="shared" si="81"/>
        <v>0</v>
      </c>
      <c r="BF88">
        <f t="shared" si="82"/>
        <v>0</v>
      </c>
      <c r="BG88">
        <f t="shared" si="83"/>
        <v>0</v>
      </c>
      <c r="BH88">
        <f t="shared" si="84"/>
        <v>0</v>
      </c>
      <c r="BI88">
        <f t="shared" si="85"/>
        <v>0</v>
      </c>
    </row>
    <row r="89" spans="1:61" x14ac:dyDescent="0.35">
      <c r="A89" t="s">
        <v>51</v>
      </c>
      <c r="B89" s="1">
        <v>38833</v>
      </c>
      <c r="C89" s="8" t="s">
        <v>280</v>
      </c>
      <c r="D89" t="s">
        <v>2</v>
      </c>
      <c r="E89" s="26" t="s">
        <v>281</v>
      </c>
      <c r="F89" t="s">
        <v>4</v>
      </c>
      <c r="G89" t="s">
        <v>125</v>
      </c>
      <c r="H89" s="139">
        <f t="shared" si="59"/>
        <v>1</v>
      </c>
      <c r="I89" t="s">
        <v>268</v>
      </c>
      <c r="J89" t="s">
        <v>186</v>
      </c>
      <c r="K89" s="2">
        <f t="shared" si="62"/>
        <v>4</v>
      </c>
      <c r="L89">
        <v>1300000000</v>
      </c>
      <c r="M89" s="2">
        <f t="shared" si="63"/>
        <v>9.1139433523068369</v>
      </c>
      <c r="N89">
        <v>59236000</v>
      </c>
      <c r="O89">
        <v>1240764000</v>
      </c>
      <c r="P89" s="1">
        <v>40623</v>
      </c>
      <c r="Q89" s="89">
        <f t="shared" si="64"/>
        <v>2011</v>
      </c>
      <c r="R89" t="s">
        <v>155</v>
      </c>
      <c r="S89">
        <v>3160000000</v>
      </c>
      <c r="T89" s="21">
        <f t="shared" si="55"/>
        <v>4.904109589041096</v>
      </c>
      <c r="U89">
        <v>1314.22</v>
      </c>
      <c r="V89">
        <f t="shared" si="65"/>
        <v>3.1189984043805832</v>
      </c>
      <c r="W89">
        <v>2001</v>
      </c>
      <c r="X89">
        <v>5</v>
      </c>
      <c r="Y89">
        <f t="shared" si="66"/>
        <v>0.77815125038364363</v>
      </c>
      <c r="Z89" s="45">
        <v>3.13</v>
      </c>
      <c r="AA89" s="9">
        <f t="shared" si="56"/>
        <v>3100764000</v>
      </c>
      <c r="AB89" s="15">
        <f t="shared" si="57"/>
        <v>1.4307692307692306</v>
      </c>
      <c r="AC89" s="34">
        <f t="shared" si="67"/>
        <v>0.385743730311567</v>
      </c>
      <c r="AD89">
        <v>1450.8446376578247</v>
      </c>
      <c r="AE89">
        <f t="shared" si="60"/>
        <v>3.1616209089088487</v>
      </c>
      <c r="AF89">
        <v>6306.1358665754287</v>
      </c>
      <c r="AG89">
        <f t="shared" si="61"/>
        <v>3.7997633234477775</v>
      </c>
      <c r="AH89" s="9">
        <v>1177</v>
      </c>
      <c r="AI89" s="9">
        <f t="shared" si="68"/>
        <v>3.0711452904510828</v>
      </c>
      <c r="AJ89">
        <v>89.1</v>
      </c>
      <c r="AK89" s="15" t="s">
        <v>282</v>
      </c>
      <c r="AL89" s="42">
        <v>44.696333437793797</v>
      </c>
      <c r="AM89" s="24">
        <v>-0.01</v>
      </c>
      <c r="AN89" s="34">
        <f t="shared" si="69"/>
        <v>-4.3648054024500883E-3</v>
      </c>
      <c r="AO89">
        <v>1994</v>
      </c>
      <c r="AP89">
        <v>12</v>
      </c>
      <c r="AQ89">
        <v>70</v>
      </c>
      <c r="AR89">
        <v>70</v>
      </c>
      <c r="AS89">
        <f t="shared" si="58"/>
        <v>0</v>
      </c>
      <c r="AT89">
        <f t="shared" si="70"/>
        <v>0</v>
      </c>
      <c r="AU89">
        <f t="shared" si="71"/>
        <v>0</v>
      </c>
      <c r="AV89">
        <f t="shared" si="72"/>
        <v>0</v>
      </c>
      <c r="AW89">
        <f t="shared" si="73"/>
        <v>0</v>
      </c>
      <c r="AX89">
        <f t="shared" si="74"/>
        <v>0</v>
      </c>
      <c r="AY89">
        <f t="shared" si="75"/>
        <v>0</v>
      </c>
      <c r="AZ89">
        <f t="shared" si="76"/>
        <v>0</v>
      </c>
      <c r="BA89">
        <f t="shared" si="77"/>
        <v>0</v>
      </c>
      <c r="BB89">
        <f t="shared" si="78"/>
        <v>1</v>
      </c>
      <c r="BC89">
        <f t="shared" si="79"/>
        <v>0</v>
      </c>
      <c r="BD89">
        <f t="shared" si="80"/>
        <v>0</v>
      </c>
      <c r="BE89">
        <f t="shared" si="81"/>
        <v>0</v>
      </c>
      <c r="BF89">
        <f t="shared" si="82"/>
        <v>0</v>
      </c>
      <c r="BG89">
        <f t="shared" si="83"/>
        <v>0</v>
      </c>
      <c r="BH89">
        <f t="shared" si="84"/>
        <v>0</v>
      </c>
      <c r="BI89">
        <f t="shared" si="85"/>
        <v>0</v>
      </c>
    </row>
    <row r="90" spans="1:61" x14ac:dyDescent="0.35">
      <c r="A90" t="s">
        <v>51</v>
      </c>
      <c r="B90" s="1">
        <v>42307</v>
      </c>
      <c r="C90" t="s">
        <v>283</v>
      </c>
      <c r="D90" t="s">
        <v>2</v>
      </c>
      <c r="E90" s="26" t="s">
        <v>262</v>
      </c>
      <c r="F90" t="s">
        <v>4</v>
      </c>
      <c r="G90" t="s">
        <v>125</v>
      </c>
      <c r="H90" s="139">
        <f t="shared" si="59"/>
        <v>1</v>
      </c>
      <c r="I90" t="s">
        <v>234</v>
      </c>
      <c r="J90" t="s">
        <v>190</v>
      </c>
      <c r="K90" s="2">
        <f t="shared" si="62"/>
        <v>2</v>
      </c>
      <c r="L90">
        <v>417500000</v>
      </c>
      <c r="M90" s="2">
        <f t="shared" si="63"/>
        <v>8.6206564798196208</v>
      </c>
      <c r="N90">
        <v>417500000</v>
      </c>
      <c r="O90">
        <v>0</v>
      </c>
      <c r="P90" s="1">
        <v>38388</v>
      </c>
      <c r="Q90" s="89">
        <f t="shared" si="64"/>
        <v>2005</v>
      </c>
      <c r="R90" t="s">
        <v>152</v>
      </c>
      <c r="S90">
        <v>800000000</v>
      </c>
      <c r="T90" s="21">
        <f t="shared" si="55"/>
        <v>10.736986301369862</v>
      </c>
      <c r="U90">
        <v>1314.22</v>
      </c>
      <c r="V90">
        <f t="shared" si="65"/>
        <v>3.1189984043805832</v>
      </c>
      <c r="W90">
        <v>1997</v>
      </c>
      <c r="X90">
        <v>18</v>
      </c>
      <c r="Y90">
        <f t="shared" si="66"/>
        <v>1.2787536009528289</v>
      </c>
      <c r="Z90" s="45">
        <v>3.13</v>
      </c>
      <c r="AA90" s="9">
        <f t="shared" si="56"/>
        <v>382500000</v>
      </c>
      <c r="AB90" s="15">
        <f t="shared" si="57"/>
        <v>0.91616766467065869</v>
      </c>
      <c r="AC90" s="34">
        <f t="shared" si="67"/>
        <v>0.28243350717232268</v>
      </c>
      <c r="AD90">
        <v>1450.8446376578247</v>
      </c>
      <c r="AE90">
        <f t="shared" si="60"/>
        <v>3.1616209089088487</v>
      </c>
      <c r="AF90">
        <v>6306.1358665754287</v>
      </c>
      <c r="AG90">
        <f t="shared" si="61"/>
        <v>3.7997633234477775</v>
      </c>
      <c r="AH90" s="9">
        <v>1177</v>
      </c>
      <c r="AI90" s="9">
        <f t="shared" si="68"/>
        <v>3.0711452904510828</v>
      </c>
      <c r="AJ90">
        <v>88.2</v>
      </c>
      <c r="AK90" s="15" t="s">
        <v>284</v>
      </c>
      <c r="AL90" s="42">
        <v>43.709255262622698</v>
      </c>
      <c r="AM90" s="24">
        <v>-0.42</v>
      </c>
      <c r="AN90" s="34">
        <f t="shared" si="69"/>
        <v>-0.23657200643706267</v>
      </c>
      <c r="AO90">
        <v>1994</v>
      </c>
      <c r="AP90">
        <v>21</v>
      </c>
      <c r="AQ90">
        <v>70</v>
      </c>
      <c r="AR90">
        <v>70</v>
      </c>
      <c r="AS90">
        <f t="shared" si="58"/>
        <v>0</v>
      </c>
      <c r="AT90">
        <f t="shared" si="70"/>
        <v>0</v>
      </c>
      <c r="AU90">
        <f t="shared" si="71"/>
        <v>0</v>
      </c>
      <c r="AV90">
        <f t="shared" si="72"/>
        <v>0</v>
      </c>
      <c r="AW90">
        <f t="shared" si="73"/>
        <v>0</v>
      </c>
      <c r="AX90">
        <f t="shared" si="74"/>
        <v>0</v>
      </c>
      <c r="AY90">
        <f t="shared" si="75"/>
        <v>0</v>
      </c>
      <c r="AZ90">
        <f t="shared" si="76"/>
        <v>0</v>
      </c>
      <c r="BA90">
        <f t="shared" si="77"/>
        <v>0</v>
      </c>
      <c r="BB90">
        <f t="shared" si="78"/>
        <v>1</v>
      </c>
      <c r="BC90">
        <f t="shared" si="79"/>
        <v>0</v>
      </c>
      <c r="BD90">
        <f t="shared" si="80"/>
        <v>0</v>
      </c>
      <c r="BE90">
        <f t="shared" si="81"/>
        <v>0</v>
      </c>
      <c r="BF90">
        <f t="shared" si="82"/>
        <v>0</v>
      </c>
      <c r="BG90">
        <f t="shared" si="83"/>
        <v>0</v>
      </c>
      <c r="BH90">
        <f t="shared" si="84"/>
        <v>0</v>
      </c>
      <c r="BI90">
        <f t="shared" si="85"/>
        <v>0</v>
      </c>
    </row>
    <row r="91" spans="1:61" x14ac:dyDescent="0.35">
      <c r="A91" t="s">
        <v>51</v>
      </c>
      <c r="B91" s="1">
        <v>42091</v>
      </c>
      <c r="C91" t="s">
        <v>285</v>
      </c>
      <c r="D91" t="s">
        <v>59</v>
      </c>
      <c r="E91" s="26" t="s">
        <v>275</v>
      </c>
      <c r="F91" t="s">
        <v>4</v>
      </c>
      <c r="G91" t="s">
        <v>125</v>
      </c>
      <c r="H91" s="139">
        <f t="shared" si="59"/>
        <v>1</v>
      </c>
      <c r="I91" t="s">
        <v>234</v>
      </c>
      <c r="J91" t="s">
        <v>183</v>
      </c>
      <c r="K91" s="2">
        <f t="shared" si="62"/>
        <v>3</v>
      </c>
      <c r="L91">
        <v>850000000</v>
      </c>
      <c r="M91" s="2">
        <f t="shared" si="63"/>
        <v>8.9294189257142929</v>
      </c>
      <c r="N91">
        <v>850000000</v>
      </c>
      <c r="O91">
        <v>0</v>
      </c>
      <c r="P91" s="1">
        <v>43257</v>
      </c>
      <c r="Q91" s="89">
        <f t="shared" si="64"/>
        <v>2018</v>
      </c>
      <c r="R91" t="s">
        <v>152</v>
      </c>
      <c r="S91">
        <v>1500000000</v>
      </c>
      <c r="T91" s="21">
        <f t="shared" si="55"/>
        <v>3.1945205479452055</v>
      </c>
      <c r="U91">
        <v>1433.25</v>
      </c>
      <c r="V91">
        <f t="shared" si="65"/>
        <v>3.1566248585544785</v>
      </c>
      <c r="W91">
        <v>2008</v>
      </c>
      <c r="X91">
        <v>7</v>
      </c>
      <c r="Y91">
        <f t="shared" si="66"/>
        <v>0.90308998699194354</v>
      </c>
      <c r="Z91" s="45">
        <v>3.43</v>
      </c>
      <c r="AA91" s="9">
        <f t="shared" si="56"/>
        <v>650000000</v>
      </c>
      <c r="AB91" s="15">
        <f t="shared" si="57"/>
        <v>0.76470588235294112</v>
      </c>
      <c r="AC91" s="34">
        <f t="shared" si="67"/>
        <v>0.24667233334138849</v>
      </c>
      <c r="AD91">
        <v>1450.8446376578247</v>
      </c>
      <c r="AE91">
        <f t="shared" si="60"/>
        <v>3.1616209089088487</v>
      </c>
      <c r="AF91">
        <v>6306.1358665754287</v>
      </c>
      <c r="AG91">
        <f t="shared" si="61"/>
        <v>3.7997633234477775</v>
      </c>
      <c r="AH91" s="9">
        <v>697</v>
      </c>
      <c r="AI91" s="9">
        <f t="shared" si="68"/>
        <v>2.8438554226231609</v>
      </c>
      <c r="AJ91">
        <v>91.1</v>
      </c>
      <c r="AK91" s="15" t="s">
        <v>70</v>
      </c>
      <c r="AL91" s="42">
        <v>42.1993112284324</v>
      </c>
      <c r="AM91" s="24">
        <v>0.35</v>
      </c>
      <c r="AN91" s="34">
        <f t="shared" si="69"/>
        <v>0.13033376849500614</v>
      </c>
      <c r="AO91">
        <v>1994</v>
      </c>
      <c r="AP91">
        <v>21</v>
      </c>
      <c r="AQ91">
        <v>70</v>
      </c>
      <c r="AR91">
        <v>70</v>
      </c>
      <c r="AS91">
        <f t="shared" si="58"/>
        <v>0</v>
      </c>
      <c r="AT91">
        <f t="shared" si="70"/>
        <v>0</v>
      </c>
      <c r="AU91">
        <f t="shared" si="71"/>
        <v>1</v>
      </c>
      <c r="AV91">
        <f t="shared" si="72"/>
        <v>0</v>
      </c>
      <c r="AW91">
        <f t="shared" si="73"/>
        <v>0</v>
      </c>
      <c r="AX91">
        <f t="shared" si="74"/>
        <v>0</v>
      </c>
      <c r="AY91">
        <f t="shared" si="75"/>
        <v>0</v>
      </c>
      <c r="AZ91">
        <f t="shared" si="76"/>
        <v>0</v>
      </c>
      <c r="BA91">
        <f t="shared" si="77"/>
        <v>0</v>
      </c>
      <c r="BB91">
        <f t="shared" si="78"/>
        <v>0</v>
      </c>
      <c r="BC91">
        <f t="shared" si="79"/>
        <v>0</v>
      </c>
      <c r="BD91">
        <f t="shared" si="80"/>
        <v>0</v>
      </c>
      <c r="BE91">
        <f t="shared" si="81"/>
        <v>0</v>
      </c>
      <c r="BF91">
        <f t="shared" si="82"/>
        <v>0</v>
      </c>
      <c r="BG91">
        <f t="shared" si="83"/>
        <v>0</v>
      </c>
      <c r="BH91">
        <f t="shared" si="84"/>
        <v>0</v>
      </c>
      <c r="BI91">
        <f t="shared" si="85"/>
        <v>0</v>
      </c>
    </row>
    <row r="92" spans="1:61" x14ac:dyDescent="0.35">
      <c r="A92" t="s">
        <v>286</v>
      </c>
      <c r="B92" s="1">
        <v>35920</v>
      </c>
      <c r="C92" t="s">
        <v>287</v>
      </c>
      <c r="D92" t="s">
        <v>6</v>
      </c>
      <c r="E92" s="26" t="s">
        <v>288</v>
      </c>
      <c r="F92" t="s">
        <v>5</v>
      </c>
      <c r="G92" t="s">
        <v>125</v>
      </c>
      <c r="H92" s="139">
        <f t="shared" si="59"/>
        <v>1</v>
      </c>
      <c r="I92" t="s">
        <v>289</v>
      </c>
      <c r="J92" t="s">
        <v>269</v>
      </c>
      <c r="K92" s="2">
        <f t="shared" si="62"/>
        <v>7</v>
      </c>
      <c r="L92">
        <v>130000000</v>
      </c>
      <c r="M92" s="2">
        <f t="shared" si="63"/>
        <v>8.1139433523068369</v>
      </c>
      <c r="N92">
        <v>130000000</v>
      </c>
      <c r="O92">
        <v>0</v>
      </c>
      <c r="P92" s="1">
        <v>36826</v>
      </c>
      <c r="Q92" s="89">
        <f t="shared" si="64"/>
        <v>2000</v>
      </c>
      <c r="R92" t="s">
        <v>155</v>
      </c>
      <c r="S92">
        <v>94680000</v>
      </c>
      <c r="T92" s="21">
        <f t="shared" si="55"/>
        <v>2.4821917808219176</v>
      </c>
      <c r="U92">
        <v>173.83</v>
      </c>
      <c r="V92">
        <f t="shared" si="65"/>
        <v>2.2426159575692655</v>
      </c>
      <c r="W92">
        <v>1985</v>
      </c>
      <c r="X92">
        <v>13</v>
      </c>
      <c r="Y92">
        <f t="shared" si="66"/>
        <v>1.146128035678238</v>
      </c>
      <c r="Z92" s="45">
        <v>3.18</v>
      </c>
      <c r="AA92" s="9">
        <f t="shared" si="56"/>
        <v>-35320000</v>
      </c>
      <c r="AB92" s="15">
        <f t="shared" si="57"/>
        <v>-0.27169230769230768</v>
      </c>
      <c r="AC92" s="34">
        <f t="shared" si="67"/>
        <v>-0.13768510304979162</v>
      </c>
      <c r="AD92">
        <v>2366.2306777645658</v>
      </c>
      <c r="AE92">
        <f t="shared" si="60"/>
        <v>3.3740570806117947</v>
      </c>
      <c r="AF92" s="14">
        <v>9334.126040428062</v>
      </c>
      <c r="AG92">
        <f t="shared" si="61"/>
        <v>3.9700736609473402</v>
      </c>
      <c r="AH92" s="9">
        <v>294.5</v>
      </c>
      <c r="AI92" s="9">
        <f t="shared" si="68"/>
        <v>2.4705574852172743</v>
      </c>
      <c r="AJ92">
        <v>70</v>
      </c>
      <c r="AK92" s="15" t="s">
        <v>290</v>
      </c>
      <c r="AL92" s="42">
        <v>50.560579232511799</v>
      </c>
      <c r="AM92" s="24">
        <v>0.24</v>
      </c>
      <c r="AN92" s="34">
        <f t="shared" si="69"/>
        <v>9.3421685162235063E-2</v>
      </c>
      <c r="AO92">
        <v>1982</v>
      </c>
      <c r="AP92">
        <v>16</v>
      </c>
      <c r="AQ92">
        <v>70</v>
      </c>
      <c r="AR92">
        <v>70</v>
      </c>
      <c r="AS92">
        <f t="shared" si="58"/>
        <v>0</v>
      </c>
      <c r="AT92">
        <f t="shared" si="70"/>
        <v>0</v>
      </c>
      <c r="AU92">
        <f t="shared" si="71"/>
        <v>0</v>
      </c>
      <c r="AV92">
        <f t="shared" si="72"/>
        <v>0</v>
      </c>
      <c r="AW92">
        <f t="shared" si="73"/>
        <v>0</v>
      </c>
      <c r="AX92">
        <f t="shared" si="74"/>
        <v>0</v>
      </c>
      <c r="AY92">
        <f t="shared" si="75"/>
        <v>0</v>
      </c>
      <c r="AZ92">
        <f t="shared" si="76"/>
        <v>0</v>
      </c>
      <c r="BA92">
        <f t="shared" si="77"/>
        <v>1</v>
      </c>
      <c r="BB92">
        <f t="shared" si="78"/>
        <v>0</v>
      </c>
      <c r="BC92">
        <f t="shared" si="79"/>
        <v>0</v>
      </c>
      <c r="BD92">
        <f t="shared" si="80"/>
        <v>0</v>
      </c>
      <c r="BE92">
        <f t="shared" si="81"/>
        <v>0</v>
      </c>
      <c r="BF92">
        <f t="shared" si="82"/>
        <v>0</v>
      </c>
      <c r="BG92">
        <f t="shared" si="83"/>
        <v>0</v>
      </c>
      <c r="BH92">
        <f t="shared" si="84"/>
        <v>0</v>
      </c>
      <c r="BI92">
        <f t="shared" si="85"/>
        <v>0</v>
      </c>
    </row>
    <row r="93" spans="1:61" x14ac:dyDescent="0.35">
      <c r="A93" t="s">
        <v>51</v>
      </c>
      <c r="B93" s="1">
        <v>37165</v>
      </c>
      <c r="C93" t="s">
        <v>291</v>
      </c>
      <c r="D93" t="s">
        <v>5</v>
      </c>
      <c r="E93" s="26" t="s">
        <v>292</v>
      </c>
      <c r="F93" t="s">
        <v>5</v>
      </c>
      <c r="G93" t="s">
        <v>102</v>
      </c>
      <c r="H93" s="139">
        <f t="shared" si="59"/>
        <v>0</v>
      </c>
      <c r="I93" t="s">
        <v>234</v>
      </c>
      <c r="J93" t="s">
        <v>269</v>
      </c>
      <c r="K93" s="2">
        <f t="shared" si="62"/>
        <v>7</v>
      </c>
      <c r="L93">
        <v>40929600</v>
      </c>
      <c r="M93" s="2">
        <f t="shared" si="63"/>
        <v>7.6120375003588876</v>
      </c>
      <c r="N93">
        <v>40929600</v>
      </c>
      <c r="O93">
        <v>0</v>
      </c>
      <c r="P93" s="1">
        <v>42087</v>
      </c>
      <c r="Q93" s="89">
        <f t="shared" si="64"/>
        <v>2015</v>
      </c>
      <c r="R93" t="s">
        <v>155</v>
      </c>
      <c r="S93">
        <v>97000000</v>
      </c>
      <c r="T93" s="21">
        <f t="shared" si="55"/>
        <v>13.484931506849316</v>
      </c>
      <c r="U93">
        <v>0</v>
      </c>
      <c r="V93">
        <f t="shared" si="65"/>
        <v>0</v>
      </c>
      <c r="W93">
        <v>1960</v>
      </c>
      <c r="X93">
        <v>41</v>
      </c>
      <c r="Y93">
        <f t="shared" si="66"/>
        <v>1.6232492903979006</v>
      </c>
      <c r="Z93" s="45">
        <v>3.28</v>
      </c>
      <c r="AA93" s="9">
        <f t="shared" si="56"/>
        <v>56070400</v>
      </c>
      <c r="AB93" s="15">
        <f t="shared" si="57"/>
        <v>1.369922989718932</v>
      </c>
      <c r="AC93" s="34">
        <f t="shared" si="67"/>
        <v>0.37473423390735744</v>
      </c>
      <c r="AD93">
        <v>2366.2306777645658</v>
      </c>
      <c r="AE93">
        <f t="shared" si="60"/>
        <v>3.3740570806117947</v>
      </c>
      <c r="AF93" s="14">
        <v>9334.126040428062</v>
      </c>
      <c r="AG93">
        <f t="shared" si="61"/>
        <v>3.9700736609473402</v>
      </c>
      <c r="AH93" s="9">
        <v>0</v>
      </c>
      <c r="AI93" s="9">
        <f t="shared" si="68"/>
        <v>0</v>
      </c>
      <c r="AJ93">
        <v>70</v>
      </c>
      <c r="AK93" s="15" t="s">
        <v>293</v>
      </c>
      <c r="AL93" s="42">
        <v>42.882578893959298</v>
      </c>
      <c r="AM93" s="24">
        <v>1.01</v>
      </c>
      <c r="AN93" s="34">
        <f t="shared" si="69"/>
        <v>0.30319605742048883</v>
      </c>
      <c r="AO93">
        <v>1982</v>
      </c>
      <c r="AP93">
        <v>19</v>
      </c>
      <c r="AQ93">
        <v>95</v>
      </c>
      <c r="AR93">
        <v>80</v>
      </c>
      <c r="AS93">
        <f t="shared" si="58"/>
        <v>0</v>
      </c>
      <c r="AT93">
        <f t="shared" si="70"/>
        <v>0</v>
      </c>
      <c r="AU93">
        <f t="shared" si="71"/>
        <v>0</v>
      </c>
      <c r="AV93">
        <f t="shared" si="72"/>
        <v>0</v>
      </c>
      <c r="AW93">
        <f t="shared" si="73"/>
        <v>0</v>
      </c>
      <c r="AX93">
        <f t="shared" si="74"/>
        <v>0</v>
      </c>
      <c r="AY93">
        <f t="shared" si="75"/>
        <v>1</v>
      </c>
      <c r="AZ93">
        <f t="shared" si="76"/>
        <v>0</v>
      </c>
      <c r="BA93">
        <f t="shared" si="77"/>
        <v>0</v>
      </c>
      <c r="BB93">
        <f t="shared" si="78"/>
        <v>0</v>
      </c>
      <c r="BC93">
        <f t="shared" si="79"/>
        <v>0</v>
      </c>
      <c r="BD93">
        <f t="shared" si="80"/>
        <v>0</v>
      </c>
      <c r="BE93">
        <f t="shared" si="81"/>
        <v>0</v>
      </c>
      <c r="BF93">
        <f t="shared" si="82"/>
        <v>0</v>
      </c>
      <c r="BG93">
        <f t="shared" si="83"/>
        <v>0</v>
      </c>
      <c r="BH93">
        <f t="shared" si="84"/>
        <v>0</v>
      </c>
      <c r="BI93">
        <f t="shared" si="85"/>
        <v>0</v>
      </c>
    </row>
    <row r="94" spans="1:61" x14ac:dyDescent="0.35">
      <c r="A94" t="s">
        <v>294</v>
      </c>
      <c r="B94" s="1">
        <v>36705</v>
      </c>
      <c r="C94" t="s">
        <v>295</v>
      </c>
      <c r="D94" t="s">
        <v>5</v>
      </c>
      <c r="E94" s="26" t="s">
        <v>292</v>
      </c>
      <c r="F94" t="s">
        <v>5</v>
      </c>
      <c r="G94" t="s">
        <v>102</v>
      </c>
      <c r="H94" s="139">
        <f t="shared" si="59"/>
        <v>0</v>
      </c>
      <c r="I94" t="s">
        <v>234</v>
      </c>
      <c r="J94" t="s">
        <v>235</v>
      </c>
      <c r="K94" s="2">
        <f t="shared" si="62"/>
        <v>1</v>
      </c>
      <c r="L94">
        <v>157000000</v>
      </c>
      <c r="M94" s="2">
        <f t="shared" si="63"/>
        <v>8.1958996524092331</v>
      </c>
      <c r="N94">
        <v>157000000</v>
      </c>
      <c r="O94">
        <v>0</v>
      </c>
      <c r="P94" s="1">
        <v>37074</v>
      </c>
      <c r="Q94" s="89">
        <f t="shared" si="64"/>
        <v>2001</v>
      </c>
      <c r="R94" t="s">
        <v>155</v>
      </c>
      <c r="S94">
        <v>151000000</v>
      </c>
      <c r="T94" s="21">
        <f t="shared" si="55"/>
        <v>1.010958904109589</v>
      </c>
      <c r="U94">
        <v>0</v>
      </c>
      <c r="V94">
        <f t="shared" si="65"/>
        <v>0</v>
      </c>
      <c r="W94">
        <v>1918</v>
      </c>
      <c r="X94">
        <v>82</v>
      </c>
      <c r="Y94">
        <f t="shared" si="66"/>
        <v>1.919078092376074</v>
      </c>
      <c r="Z94" s="45">
        <v>3.28</v>
      </c>
      <c r="AA94" s="9">
        <f t="shared" si="56"/>
        <v>-6000000</v>
      </c>
      <c r="AB94" s="15">
        <f t="shared" si="57"/>
        <v>-3.8216560509554132E-2</v>
      </c>
      <c r="AC94" s="34">
        <f t="shared" si="67"/>
        <v>-1.6922705116064297E-2</v>
      </c>
      <c r="AD94">
        <v>2366.2306777645658</v>
      </c>
      <c r="AE94">
        <f t="shared" si="60"/>
        <v>3.3740570806117947</v>
      </c>
      <c r="AF94" s="14">
        <v>9334.126040428062</v>
      </c>
      <c r="AG94">
        <f t="shared" si="61"/>
        <v>3.9700736609473402</v>
      </c>
      <c r="AH94" s="9">
        <v>0</v>
      </c>
      <c r="AI94" s="9">
        <f t="shared" si="68"/>
        <v>0</v>
      </c>
      <c r="AJ94">
        <v>70</v>
      </c>
      <c r="AK94" s="15" t="s">
        <v>296</v>
      </c>
      <c r="AL94" s="42">
        <v>42.177001683602199</v>
      </c>
      <c r="AM94" s="24">
        <v>-0.15</v>
      </c>
      <c r="AN94" s="34">
        <f t="shared" si="69"/>
        <v>-7.0581074285707285E-2</v>
      </c>
      <c r="AO94">
        <v>1982</v>
      </c>
      <c r="AP94">
        <v>18</v>
      </c>
      <c r="AQ94">
        <v>95</v>
      </c>
      <c r="AR94">
        <v>80</v>
      </c>
      <c r="AS94">
        <f t="shared" si="58"/>
        <v>0</v>
      </c>
      <c r="AT94">
        <f t="shared" si="70"/>
        <v>0</v>
      </c>
      <c r="AU94">
        <f t="shared" si="71"/>
        <v>0</v>
      </c>
      <c r="AV94">
        <f t="shared" si="72"/>
        <v>0</v>
      </c>
      <c r="AW94">
        <f t="shared" si="73"/>
        <v>0</v>
      </c>
      <c r="AX94">
        <f t="shared" si="74"/>
        <v>0</v>
      </c>
      <c r="AY94">
        <f t="shared" si="75"/>
        <v>1</v>
      </c>
      <c r="AZ94">
        <f t="shared" si="76"/>
        <v>0</v>
      </c>
      <c r="BA94">
        <f t="shared" si="77"/>
        <v>0</v>
      </c>
      <c r="BB94">
        <f t="shared" si="78"/>
        <v>0</v>
      </c>
      <c r="BC94">
        <f t="shared" si="79"/>
        <v>0</v>
      </c>
      <c r="BD94">
        <f t="shared" si="80"/>
        <v>0</v>
      </c>
      <c r="BE94">
        <f t="shared" si="81"/>
        <v>0</v>
      </c>
      <c r="BF94">
        <f t="shared" si="82"/>
        <v>0</v>
      </c>
      <c r="BG94">
        <f t="shared" si="83"/>
        <v>0</v>
      </c>
      <c r="BH94">
        <f t="shared" si="84"/>
        <v>0</v>
      </c>
      <c r="BI94">
        <f t="shared" si="85"/>
        <v>0</v>
      </c>
    </row>
    <row r="95" spans="1:61" x14ac:dyDescent="0.35">
      <c r="A95" t="s">
        <v>196</v>
      </c>
      <c r="B95" s="1">
        <v>38455</v>
      </c>
      <c r="C95" t="s">
        <v>295</v>
      </c>
      <c r="D95" t="s">
        <v>5</v>
      </c>
      <c r="E95" s="26" t="s">
        <v>292</v>
      </c>
      <c r="F95" t="s">
        <v>5</v>
      </c>
      <c r="G95" t="s">
        <v>102</v>
      </c>
      <c r="H95" s="139">
        <f t="shared" si="59"/>
        <v>0</v>
      </c>
      <c r="I95" t="s">
        <v>234</v>
      </c>
      <c r="J95" t="s">
        <v>235</v>
      </c>
      <c r="K95" s="2">
        <f t="shared" si="62"/>
        <v>1</v>
      </c>
      <c r="L95">
        <v>152000000</v>
      </c>
      <c r="M95" s="2">
        <f t="shared" si="63"/>
        <v>8.1818435879447726</v>
      </c>
      <c r="N95">
        <v>152000000</v>
      </c>
      <c r="O95">
        <v>0</v>
      </c>
      <c r="P95" s="1">
        <v>39263</v>
      </c>
      <c r="Q95" s="89">
        <f t="shared" si="64"/>
        <v>2007</v>
      </c>
      <c r="R95" t="s">
        <v>155</v>
      </c>
      <c r="S95">
        <v>650000000</v>
      </c>
      <c r="T95" s="21">
        <f t="shared" si="55"/>
        <v>2.2136986301369861</v>
      </c>
      <c r="U95">
        <v>0</v>
      </c>
      <c r="V95">
        <f t="shared" si="65"/>
        <v>0</v>
      </c>
      <c r="W95">
        <v>1918</v>
      </c>
      <c r="X95">
        <v>87</v>
      </c>
      <c r="Y95">
        <f t="shared" si="66"/>
        <v>1.9444826721501687</v>
      </c>
      <c r="Z95" s="45">
        <v>3.28</v>
      </c>
      <c r="AA95" s="9">
        <f t="shared" si="56"/>
        <v>498000000</v>
      </c>
      <c r="AB95" s="15">
        <f t="shared" si="57"/>
        <v>3.2763157894736841</v>
      </c>
      <c r="AC95" s="34">
        <f t="shared" si="67"/>
        <v>0.63106976869808307</v>
      </c>
      <c r="AD95">
        <v>2366.2306777645658</v>
      </c>
      <c r="AE95">
        <f t="shared" si="60"/>
        <v>3.3740570806117947</v>
      </c>
      <c r="AF95" s="14">
        <v>9334.126040428062</v>
      </c>
      <c r="AG95">
        <f t="shared" si="61"/>
        <v>3.9700736609473402</v>
      </c>
      <c r="AH95" s="9">
        <v>0</v>
      </c>
      <c r="AI95" s="9">
        <f t="shared" si="68"/>
        <v>0</v>
      </c>
      <c r="AJ95">
        <v>70</v>
      </c>
      <c r="AK95" s="15" t="s">
        <v>84</v>
      </c>
      <c r="AL95" s="42">
        <v>42.243452783984999</v>
      </c>
      <c r="AM95" s="24">
        <v>0.28000000000000003</v>
      </c>
      <c r="AN95" s="34">
        <f t="shared" si="69"/>
        <v>0.10720996964786837</v>
      </c>
      <c r="AO95">
        <v>1982</v>
      </c>
      <c r="AP95">
        <v>23</v>
      </c>
      <c r="AQ95">
        <v>95</v>
      </c>
      <c r="AR95">
        <v>80</v>
      </c>
      <c r="AS95">
        <f t="shared" si="58"/>
        <v>0</v>
      </c>
      <c r="AT95">
        <f t="shared" si="70"/>
        <v>0</v>
      </c>
      <c r="AU95">
        <f t="shared" si="71"/>
        <v>0</v>
      </c>
      <c r="AV95">
        <f t="shared" si="72"/>
        <v>0</v>
      </c>
      <c r="AW95">
        <f t="shared" si="73"/>
        <v>0</v>
      </c>
      <c r="AX95">
        <f t="shared" si="74"/>
        <v>0</v>
      </c>
      <c r="AY95">
        <f t="shared" si="75"/>
        <v>1</v>
      </c>
      <c r="AZ95">
        <f t="shared" si="76"/>
        <v>0</v>
      </c>
      <c r="BA95">
        <f t="shared" si="77"/>
        <v>0</v>
      </c>
      <c r="BB95">
        <f t="shared" si="78"/>
        <v>0</v>
      </c>
      <c r="BC95">
        <f t="shared" si="79"/>
        <v>0</v>
      </c>
      <c r="BD95">
        <f t="shared" si="80"/>
        <v>0</v>
      </c>
      <c r="BE95">
        <f t="shared" si="81"/>
        <v>0</v>
      </c>
      <c r="BF95">
        <f t="shared" si="82"/>
        <v>0</v>
      </c>
      <c r="BG95">
        <f t="shared" si="83"/>
        <v>0</v>
      </c>
      <c r="BH95">
        <f t="shared" si="84"/>
        <v>0</v>
      </c>
      <c r="BI95">
        <f t="shared" si="85"/>
        <v>0</v>
      </c>
    </row>
    <row r="96" spans="1:61" x14ac:dyDescent="0.35">
      <c r="A96" t="s">
        <v>286</v>
      </c>
      <c r="B96" s="1">
        <v>38352</v>
      </c>
      <c r="C96" t="s">
        <v>297</v>
      </c>
      <c r="D96" t="s">
        <v>45</v>
      </c>
      <c r="E96" s="26" t="s">
        <v>298</v>
      </c>
      <c r="F96" t="s">
        <v>45</v>
      </c>
      <c r="G96" t="s">
        <v>102</v>
      </c>
      <c r="H96" s="139">
        <f t="shared" si="59"/>
        <v>0</v>
      </c>
      <c r="I96" t="s">
        <v>234</v>
      </c>
      <c r="J96" t="s">
        <v>183</v>
      </c>
      <c r="K96" s="2">
        <f t="shared" si="62"/>
        <v>3</v>
      </c>
      <c r="L96">
        <v>130000000</v>
      </c>
      <c r="M96" s="2">
        <f t="shared" si="63"/>
        <v>8.1139433523068369</v>
      </c>
      <c r="N96">
        <v>130000000</v>
      </c>
      <c r="O96">
        <v>0</v>
      </c>
      <c r="P96" s="1">
        <v>40543</v>
      </c>
      <c r="Q96" s="89">
        <f t="shared" si="64"/>
        <v>2010</v>
      </c>
      <c r="R96" t="s">
        <v>155</v>
      </c>
      <c r="S96">
        <v>1925000000</v>
      </c>
      <c r="T96" s="21">
        <f t="shared" si="55"/>
        <v>6.0027397260273974</v>
      </c>
      <c r="U96">
        <v>0</v>
      </c>
      <c r="V96">
        <f t="shared" si="65"/>
        <v>0</v>
      </c>
      <c r="W96">
        <v>2004</v>
      </c>
      <c r="X96">
        <v>0</v>
      </c>
      <c r="Y96">
        <f t="shared" si="66"/>
        <v>0</v>
      </c>
      <c r="Z96" s="45">
        <v>2.95</v>
      </c>
      <c r="AA96" s="9">
        <f t="shared" si="56"/>
        <v>1795000000</v>
      </c>
      <c r="AB96" s="15">
        <f t="shared" si="57"/>
        <v>13.807692307692308</v>
      </c>
      <c r="AC96" s="34">
        <f t="shared" si="67"/>
        <v>1.1704873815376828</v>
      </c>
      <c r="AD96">
        <v>8291.8367346938758</v>
      </c>
      <c r="AE96">
        <f t="shared" si="60"/>
        <v>3.9186507422978978</v>
      </c>
      <c r="AF96">
        <v>9858.1632653061242</v>
      </c>
      <c r="AG96">
        <f t="shared" si="61"/>
        <v>3.9937960064170404</v>
      </c>
      <c r="AH96" s="9">
        <v>0</v>
      </c>
      <c r="AI96" s="9">
        <f t="shared" si="68"/>
        <v>0</v>
      </c>
      <c r="AJ96">
        <v>85</v>
      </c>
      <c r="AK96" s="15" t="s">
        <v>215</v>
      </c>
      <c r="AL96" s="42">
        <v>36.876470987978301</v>
      </c>
      <c r="AM96" s="24">
        <v>0.04</v>
      </c>
      <c r="AN96" s="34">
        <f t="shared" si="69"/>
        <v>1.703333929878037E-2</v>
      </c>
      <c r="AO96">
        <v>1988</v>
      </c>
      <c r="AP96">
        <v>16</v>
      </c>
      <c r="AQ96">
        <v>70</v>
      </c>
      <c r="AR96">
        <v>70</v>
      </c>
      <c r="AS96">
        <f t="shared" si="58"/>
        <v>0</v>
      </c>
      <c r="AT96">
        <f t="shared" si="70"/>
        <v>1</v>
      </c>
      <c r="AU96">
        <f t="shared" si="71"/>
        <v>0</v>
      </c>
      <c r="AV96">
        <f t="shared" si="72"/>
        <v>0</v>
      </c>
      <c r="AW96">
        <f t="shared" si="73"/>
        <v>0</v>
      </c>
      <c r="AX96">
        <f t="shared" si="74"/>
        <v>0</v>
      </c>
      <c r="AY96">
        <f t="shared" si="75"/>
        <v>0</v>
      </c>
      <c r="AZ96">
        <f t="shared" si="76"/>
        <v>0</v>
      </c>
      <c r="BA96">
        <f t="shared" si="77"/>
        <v>0</v>
      </c>
      <c r="BB96">
        <f t="shared" si="78"/>
        <v>0</v>
      </c>
      <c r="BC96">
        <f t="shared" si="79"/>
        <v>0</v>
      </c>
      <c r="BD96">
        <f t="shared" si="80"/>
        <v>0</v>
      </c>
      <c r="BE96">
        <f t="shared" si="81"/>
        <v>0</v>
      </c>
      <c r="BF96">
        <f t="shared" si="82"/>
        <v>0</v>
      </c>
      <c r="BG96">
        <f t="shared" si="83"/>
        <v>0</v>
      </c>
      <c r="BH96">
        <f t="shared" si="84"/>
        <v>0</v>
      </c>
      <c r="BI96">
        <f t="shared" si="85"/>
        <v>0</v>
      </c>
    </row>
    <row r="97" spans="1:61" x14ac:dyDescent="0.35">
      <c r="A97" t="s">
        <v>286</v>
      </c>
      <c r="B97" s="1">
        <v>37967</v>
      </c>
      <c r="C97" t="s">
        <v>299</v>
      </c>
      <c r="D97" t="s">
        <v>45</v>
      </c>
      <c r="E97" s="26" t="s">
        <v>300</v>
      </c>
      <c r="F97" t="s">
        <v>45</v>
      </c>
      <c r="G97" t="s">
        <v>102</v>
      </c>
      <c r="H97" s="139">
        <f t="shared" si="59"/>
        <v>0</v>
      </c>
      <c r="I97" t="s">
        <v>234</v>
      </c>
      <c r="J97" t="s">
        <v>183</v>
      </c>
      <c r="K97" s="2">
        <f t="shared" si="62"/>
        <v>3</v>
      </c>
      <c r="L97">
        <v>120000000</v>
      </c>
      <c r="M97" s="2">
        <f t="shared" si="63"/>
        <v>8.0791812460476251</v>
      </c>
      <c r="N97">
        <v>120000000</v>
      </c>
      <c r="O97">
        <v>0</v>
      </c>
      <c r="P97" s="1">
        <v>38595</v>
      </c>
      <c r="Q97" s="89">
        <f t="shared" si="64"/>
        <v>2005</v>
      </c>
      <c r="R97" t="s">
        <v>155</v>
      </c>
      <c r="S97">
        <v>834000000</v>
      </c>
      <c r="T97" s="21">
        <f t="shared" si="55"/>
        <v>1.7205479452054795</v>
      </c>
      <c r="U97">
        <v>0</v>
      </c>
      <c r="V97">
        <f t="shared" si="65"/>
        <v>0</v>
      </c>
      <c r="W97">
        <v>1868</v>
      </c>
      <c r="X97">
        <v>135</v>
      </c>
      <c r="Y97">
        <f t="shared" si="66"/>
        <v>2.1335389083702174</v>
      </c>
      <c r="Z97" s="45">
        <v>2.95</v>
      </c>
      <c r="AA97" s="9">
        <f t="shared" si="56"/>
        <v>714000000</v>
      </c>
      <c r="AB97" s="15">
        <f t="shared" si="57"/>
        <v>5.95</v>
      </c>
      <c r="AC97" s="34">
        <f t="shared" si="67"/>
        <v>0.84198480459011393</v>
      </c>
      <c r="AD97">
        <v>8291.8367346938758</v>
      </c>
      <c r="AE97">
        <f t="shared" si="60"/>
        <v>3.9186507422978978</v>
      </c>
      <c r="AF97">
        <v>9858.1632653061242</v>
      </c>
      <c r="AG97">
        <f t="shared" si="61"/>
        <v>3.9937960064170404</v>
      </c>
      <c r="AH97" s="9">
        <v>0</v>
      </c>
      <c r="AI97" s="9">
        <f t="shared" si="68"/>
        <v>0</v>
      </c>
      <c r="AJ97">
        <v>85</v>
      </c>
      <c r="AK97" s="15" t="s">
        <v>301</v>
      </c>
      <c r="AL97" s="42">
        <v>37.256914365427299</v>
      </c>
      <c r="AM97" s="24">
        <v>0.14000000000000001</v>
      </c>
      <c r="AN97" s="34">
        <f t="shared" si="69"/>
        <v>5.6904851336472641E-2</v>
      </c>
      <c r="AO97">
        <v>1988</v>
      </c>
      <c r="AP97">
        <v>15</v>
      </c>
      <c r="AQ97">
        <v>70</v>
      </c>
      <c r="AR97">
        <v>70</v>
      </c>
      <c r="AS97">
        <f t="shared" si="58"/>
        <v>0</v>
      </c>
      <c r="AT97">
        <f t="shared" si="70"/>
        <v>1</v>
      </c>
      <c r="AU97">
        <f t="shared" si="71"/>
        <v>0</v>
      </c>
      <c r="AV97">
        <f t="shared" si="72"/>
        <v>0</v>
      </c>
      <c r="AW97">
        <f t="shared" si="73"/>
        <v>0</v>
      </c>
      <c r="AX97">
        <f t="shared" si="74"/>
        <v>0</v>
      </c>
      <c r="AY97">
        <f t="shared" si="75"/>
        <v>0</v>
      </c>
      <c r="AZ97">
        <f t="shared" si="76"/>
        <v>0</v>
      </c>
      <c r="BA97">
        <f t="shared" si="77"/>
        <v>0</v>
      </c>
      <c r="BB97">
        <f t="shared" si="78"/>
        <v>0</v>
      </c>
      <c r="BC97">
        <f t="shared" si="79"/>
        <v>0</v>
      </c>
      <c r="BD97">
        <f t="shared" si="80"/>
        <v>0</v>
      </c>
      <c r="BE97">
        <f t="shared" si="81"/>
        <v>0</v>
      </c>
      <c r="BF97">
        <f t="shared" si="82"/>
        <v>0</v>
      </c>
      <c r="BG97">
        <f t="shared" si="83"/>
        <v>0</v>
      </c>
      <c r="BH97">
        <f t="shared" si="84"/>
        <v>0</v>
      </c>
      <c r="BI97">
        <f t="shared" si="85"/>
        <v>0</v>
      </c>
    </row>
    <row r="98" spans="1:61" x14ac:dyDescent="0.35">
      <c r="A98" t="s">
        <v>302</v>
      </c>
      <c r="B98" s="1">
        <v>37201</v>
      </c>
      <c r="C98" t="s">
        <v>303</v>
      </c>
      <c r="D98" t="s">
        <v>45</v>
      </c>
      <c r="E98" s="26" t="s">
        <v>304</v>
      </c>
      <c r="F98" t="s">
        <v>45</v>
      </c>
      <c r="G98" t="s">
        <v>102</v>
      </c>
      <c r="H98" s="139">
        <f t="shared" si="59"/>
        <v>0</v>
      </c>
      <c r="I98" t="s">
        <v>234</v>
      </c>
      <c r="J98" t="s">
        <v>183</v>
      </c>
      <c r="K98" s="2">
        <f t="shared" si="62"/>
        <v>3</v>
      </c>
      <c r="L98">
        <v>110000000</v>
      </c>
      <c r="M98" s="2">
        <f t="shared" si="63"/>
        <v>8.0413926851582254</v>
      </c>
      <c r="N98">
        <v>110000000</v>
      </c>
      <c r="O98">
        <v>0</v>
      </c>
      <c r="P98" s="1">
        <v>38160</v>
      </c>
      <c r="Q98" s="89">
        <f t="shared" si="64"/>
        <v>2004</v>
      </c>
      <c r="R98" t="s">
        <v>155</v>
      </c>
      <c r="S98">
        <v>122100000</v>
      </c>
      <c r="T98" s="21">
        <f t="shared" si="55"/>
        <v>2.6273972602739728</v>
      </c>
      <c r="U98">
        <v>0</v>
      </c>
      <c r="V98">
        <f t="shared" si="65"/>
        <v>0</v>
      </c>
      <c r="W98">
        <v>1998</v>
      </c>
      <c r="X98">
        <v>3</v>
      </c>
      <c r="Y98">
        <f t="shared" si="66"/>
        <v>0.6020599913279624</v>
      </c>
      <c r="Z98" s="45">
        <v>2.95</v>
      </c>
      <c r="AA98" s="9">
        <f t="shared" si="56"/>
        <v>12100000</v>
      </c>
      <c r="AB98" s="15">
        <f t="shared" si="57"/>
        <v>0.1100000000000001</v>
      </c>
      <c r="AC98" s="34">
        <f t="shared" si="67"/>
        <v>4.5322978786657475E-2</v>
      </c>
      <c r="AD98">
        <v>8291.8367346938758</v>
      </c>
      <c r="AE98">
        <f t="shared" si="60"/>
        <v>3.9186507422978978</v>
      </c>
      <c r="AF98">
        <v>9858.1632653061242</v>
      </c>
      <c r="AG98">
        <f t="shared" si="61"/>
        <v>3.9937960064170404</v>
      </c>
      <c r="AH98" s="9">
        <v>0</v>
      </c>
      <c r="AI98" s="9">
        <f t="shared" si="68"/>
        <v>0</v>
      </c>
      <c r="AJ98">
        <v>85</v>
      </c>
      <c r="AK98" s="15" t="s">
        <v>305</v>
      </c>
      <c r="AL98" s="42">
        <v>35.608384832026097</v>
      </c>
      <c r="AM98" s="24">
        <v>0.01</v>
      </c>
      <c r="AN98" s="34">
        <f t="shared" si="69"/>
        <v>4.3213737826425782E-3</v>
      </c>
      <c r="AO98">
        <v>1988</v>
      </c>
      <c r="AP98">
        <v>13</v>
      </c>
      <c r="AQ98">
        <v>70</v>
      </c>
      <c r="AR98">
        <v>70</v>
      </c>
      <c r="AS98">
        <f t="shared" si="58"/>
        <v>0</v>
      </c>
      <c r="AT98">
        <f t="shared" si="70"/>
        <v>1</v>
      </c>
      <c r="AU98">
        <f t="shared" si="71"/>
        <v>0</v>
      </c>
      <c r="AV98">
        <f t="shared" si="72"/>
        <v>0</v>
      </c>
      <c r="AW98">
        <f t="shared" si="73"/>
        <v>0</v>
      </c>
      <c r="AX98">
        <f t="shared" si="74"/>
        <v>0</v>
      </c>
      <c r="AY98">
        <f t="shared" si="75"/>
        <v>0</v>
      </c>
      <c r="AZ98">
        <f t="shared" si="76"/>
        <v>0</v>
      </c>
      <c r="BA98">
        <f t="shared" si="77"/>
        <v>0</v>
      </c>
      <c r="BB98">
        <f t="shared" si="78"/>
        <v>0</v>
      </c>
      <c r="BC98">
        <f t="shared" si="79"/>
        <v>0</v>
      </c>
      <c r="BD98">
        <f t="shared" si="80"/>
        <v>0</v>
      </c>
      <c r="BE98">
        <f t="shared" si="81"/>
        <v>0</v>
      </c>
      <c r="BF98">
        <f t="shared" si="82"/>
        <v>0</v>
      </c>
      <c r="BG98">
        <f t="shared" si="83"/>
        <v>0</v>
      </c>
      <c r="BH98">
        <f t="shared" si="84"/>
        <v>0</v>
      </c>
      <c r="BI98">
        <f t="shared" si="85"/>
        <v>0</v>
      </c>
    </row>
    <row r="99" spans="1:61" x14ac:dyDescent="0.35">
      <c r="A99" t="s">
        <v>51</v>
      </c>
      <c r="B99" s="1">
        <v>29951</v>
      </c>
      <c r="C99" t="s">
        <v>306</v>
      </c>
      <c r="D99" t="s">
        <v>45</v>
      </c>
      <c r="E99" t="s">
        <v>307</v>
      </c>
      <c r="F99" t="s">
        <v>45</v>
      </c>
      <c r="G99" t="s">
        <v>102</v>
      </c>
      <c r="H99" s="139">
        <f t="shared" si="59"/>
        <v>0</v>
      </c>
      <c r="I99" t="s">
        <v>48</v>
      </c>
      <c r="J99" t="s">
        <v>269</v>
      </c>
      <c r="K99" s="2">
        <f t="shared" si="62"/>
        <v>7</v>
      </c>
      <c r="L99">
        <v>530000000</v>
      </c>
      <c r="M99" s="2">
        <f t="shared" si="63"/>
        <v>8.7242758696007883</v>
      </c>
      <c r="N99">
        <v>530000000</v>
      </c>
      <c r="O99">
        <v>0</v>
      </c>
      <c r="P99" s="1">
        <v>36308</v>
      </c>
      <c r="Q99" s="89">
        <f t="shared" si="64"/>
        <v>1999</v>
      </c>
      <c r="R99" t="s">
        <v>155</v>
      </c>
      <c r="S99">
        <v>12587600000</v>
      </c>
      <c r="T99" s="21">
        <f t="shared" si="55"/>
        <v>17.416438356164385</v>
      </c>
      <c r="U99">
        <v>0</v>
      </c>
      <c r="V99">
        <f t="shared" si="65"/>
        <v>0</v>
      </c>
      <c r="W99">
        <v>1931</v>
      </c>
      <c r="X99">
        <v>50</v>
      </c>
      <c r="Y99">
        <f t="shared" si="66"/>
        <v>1.7075701760979363</v>
      </c>
      <c r="Z99" s="45">
        <v>2.95</v>
      </c>
      <c r="AA99" s="9">
        <f t="shared" si="56"/>
        <v>12057600000</v>
      </c>
      <c r="AB99" s="15">
        <f t="shared" si="57"/>
        <v>22.750188679245284</v>
      </c>
      <c r="AC99" s="34">
        <f t="shared" si="67"/>
        <v>1.3756670641516049</v>
      </c>
      <c r="AD99">
        <v>1171.498</v>
      </c>
      <c r="AE99">
        <f t="shared" si="60"/>
        <v>3.0687415514991745</v>
      </c>
      <c r="AF99">
        <v>3386.1060000000002</v>
      </c>
      <c r="AG99">
        <f t="shared" si="61"/>
        <v>3.5297005493117593</v>
      </c>
      <c r="AH99" s="9">
        <v>0</v>
      </c>
      <c r="AI99" s="9">
        <f t="shared" si="68"/>
        <v>0</v>
      </c>
      <c r="AJ99">
        <v>85</v>
      </c>
      <c r="AK99" s="15" t="s">
        <v>100</v>
      </c>
      <c r="AL99" s="42">
        <v>40.815825693332798</v>
      </c>
      <c r="AM99" s="28" t="s">
        <v>308</v>
      </c>
      <c r="AN99" s="34">
        <f t="shared" si="69"/>
        <v>0.52608069180202999</v>
      </c>
      <c r="AO99">
        <v>1976</v>
      </c>
      <c r="AP99">
        <v>5</v>
      </c>
      <c r="AQ99">
        <v>70</v>
      </c>
      <c r="AR99">
        <v>70</v>
      </c>
      <c r="AS99">
        <f t="shared" si="58"/>
        <v>0</v>
      </c>
      <c r="AT99">
        <f t="shared" si="70"/>
        <v>1</v>
      </c>
      <c r="AU99">
        <f t="shared" si="71"/>
        <v>0</v>
      </c>
      <c r="AV99">
        <f t="shared" si="72"/>
        <v>0</v>
      </c>
      <c r="AW99">
        <f t="shared" si="73"/>
        <v>0</v>
      </c>
      <c r="AX99">
        <f t="shared" si="74"/>
        <v>0</v>
      </c>
      <c r="AY99">
        <f t="shared" si="75"/>
        <v>0</v>
      </c>
      <c r="AZ99">
        <f t="shared" si="76"/>
        <v>0</v>
      </c>
      <c r="BA99">
        <f t="shared" si="77"/>
        <v>0</v>
      </c>
      <c r="BB99">
        <f t="shared" si="78"/>
        <v>0</v>
      </c>
      <c r="BC99">
        <f t="shared" si="79"/>
        <v>0</v>
      </c>
      <c r="BD99">
        <f t="shared" si="80"/>
        <v>0</v>
      </c>
      <c r="BE99">
        <f t="shared" si="81"/>
        <v>0</v>
      </c>
      <c r="BF99">
        <f t="shared" si="82"/>
        <v>0</v>
      </c>
      <c r="BG99">
        <f t="shared" si="83"/>
        <v>0</v>
      </c>
      <c r="BH99">
        <f t="shared" si="84"/>
        <v>0</v>
      </c>
      <c r="BI99">
        <f t="shared" si="85"/>
        <v>0</v>
      </c>
    </row>
    <row r="100" spans="1:61" x14ac:dyDescent="0.35">
      <c r="A100" t="s">
        <v>51</v>
      </c>
      <c r="B100" s="1">
        <v>29951</v>
      </c>
      <c r="C100" t="s">
        <v>309</v>
      </c>
      <c r="D100" t="s">
        <v>45</v>
      </c>
      <c r="E100" t="s">
        <v>307</v>
      </c>
      <c r="F100" t="s">
        <v>45</v>
      </c>
      <c r="G100" t="s">
        <v>102</v>
      </c>
      <c r="H100" s="139">
        <f t="shared" si="59"/>
        <v>0</v>
      </c>
      <c r="I100" t="s">
        <v>48</v>
      </c>
      <c r="J100" t="s">
        <v>235</v>
      </c>
      <c r="K100" s="2">
        <f t="shared" si="62"/>
        <v>1</v>
      </c>
      <c r="L100">
        <v>330000000</v>
      </c>
      <c r="M100" s="2">
        <f t="shared" si="63"/>
        <v>8.518513939877888</v>
      </c>
      <c r="N100">
        <v>330000000</v>
      </c>
      <c r="O100">
        <v>0</v>
      </c>
      <c r="P100" s="1">
        <v>34281</v>
      </c>
      <c r="Q100" s="89">
        <f t="shared" si="64"/>
        <v>1993</v>
      </c>
      <c r="R100" t="s">
        <v>155</v>
      </c>
      <c r="S100">
        <v>340000000</v>
      </c>
      <c r="T100" s="21">
        <f t="shared" si="55"/>
        <v>11.863013698630137</v>
      </c>
      <c r="U100">
        <v>0</v>
      </c>
      <c r="V100">
        <f t="shared" si="65"/>
        <v>0</v>
      </c>
      <c r="W100">
        <v>1922</v>
      </c>
      <c r="X100">
        <v>59</v>
      </c>
      <c r="Y100">
        <f t="shared" si="66"/>
        <v>1.7781512503836436</v>
      </c>
      <c r="Z100" s="45">
        <v>2.95</v>
      </c>
      <c r="AA100" s="9">
        <f t="shared" si="56"/>
        <v>10000000</v>
      </c>
      <c r="AB100" s="15">
        <f t="shared" si="57"/>
        <v>3.0303030303030276E-2</v>
      </c>
      <c r="AC100" s="34">
        <f t="shared" si="67"/>
        <v>1.2964977164367635E-2</v>
      </c>
      <c r="AD100">
        <v>1171.498</v>
      </c>
      <c r="AE100">
        <f t="shared" si="60"/>
        <v>3.0687415514991745</v>
      </c>
      <c r="AF100">
        <v>3386.1060000000002</v>
      </c>
      <c r="AG100">
        <f t="shared" si="61"/>
        <v>3.5297005493117593</v>
      </c>
      <c r="AH100" s="9">
        <v>0</v>
      </c>
      <c r="AI100" s="9">
        <f t="shared" si="68"/>
        <v>0</v>
      </c>
      <c r="AJ100">
        <v>85</v>
      </c>
      <c r="AK100" s="15" t="s">
        <v>100</v>
      </c>
      <c r="AL100" s="42">
        <v>40.815825693332798</v>
      </c>
      <c r="AM100" s="28" t="s">
        <v>310</v>
      </c>
      <c r="AN100" s="34">
        <f t="shared" si="69"/>
        <v>0.36642295722597273</v>
      </c>
      <c r="AO100">
        <v>1976</v>
      </c>
      <c r="AP100">
        <v>5</v>
      </c>
      <c r="AQ100">
        <v>70</v>
      </c>
      <c r="AR100">
        <v>70</v>
      </c>
      <c r="AS100">
        <f t="shared" si="58"/>
        <v>0</v>
      </c>
      <c r="AT100">
        <f t="shared" si="70"/>
        <v>1</v>
      </c>
      <c r="AU100">
        <f t="shared" si="71"/>
        <v>0</v>
      </c>
      <c r="AV100">
        <f t="shared" si="72"/>
        <v>0</v>
      </c>
      <c r="AW100">
        <f t="shared" si="73"/>
        <v>0</v>
      </c>
      <c r="AX100">
        <f t="shared" si="74"/>
        <v>0</v>
      </c>
      <c r="AY100">
        <f t="shared" si="75"/>
        <v>0</v>
      </c>
      <c r="AZ100">
        <f t="shared" si="76"/>
        <v>0</v>
      </c>
      <c r="BA100">
        <f t="shared" si="77"/>
        <v>0</v>
      </c>
      <c r="BB100">
        <f t="shared" si="78"/>
        <v>0</v>
      </c>
      <c r="BC100">
        <f t="shared" si="79"/>
        <v>0</v>
      </c>
      <c r="BD100">
        <f t="shared" si="80"/>
        <v>0</v>
      </c>
      <c r="BE100">
        <f t="shared" si="81"/>
        <v>0</v>
      </c>
      <c r="BF100">
        <f t="shared" si="82"/>
        <v>0</v>
      </c>
      <c r="BG100">
        <f t="shared" si="83"/>
        <v>0</v>
      </c>
      <c r="BH100">
        <f t="shared" si="84"/>
        <v>0</v>
      </c>
      <c r="BI100">
        <f t="shared" si="85"/>
        <v>0</v>
      </c>
    </row>
    <row r="101" spans="1:61" x14ac:dyDescent="0.35">
      <c r="A101" t="s">
        <v>51</v>
      </c>
      <c r="B101" s="1">
        <v>30252</v>
      </c>
      <c r="C101" t="s">
        <v>311</v>
      </c>
      <c r="D101" t="s">
        <v>45</v>
      </c>
      <c r="E101" t="s">
        <v>312</v>
      </c>
      <c r="F101" t="s">
        <v>45</v>
      </c>
      <c r="G101" t="s">
        <v>102</v>
      </c>
      <c r="H101" s="139">
        <f t="shared" si="59"/>
        <v>0</v>
      </c>
      <c r="I101" t="s">
        <v>48</v>
      </c>
      <c r="J101" t="s">
        <v>186</v>
      </c>
      <c r="K101" s="2">
        <f t="shared" si="62"/>
        <v>4</v>
      </c>
      <c r="L101">
        <v>245000000</v>
      </c>
      <c r="M101" s="2">
        <f t="shared" si="63"/>
        <v>8.3891660843645326</v>
      </c>
      <c r="N101">
        <v>245000000</v>
      </c>
      <c r="O101">
        <v>0</v>
      </c>
      <c r="P101" s="1">
        <v>31184</v>
      </c>
      <c r="Q101" s="89">
        <f t="shared" si="64"/>
        <v>1985</v>
      </c>
      <c r="R101" t="s">
        <v>107</v>
      </c>
      <c r="S101">
        <v>510000000</v>
      </c>
      <c r="T101" s="21">
        <f t="shared" si="55"/>
        <v>2.5534246575342467</v>
      </c>
      <c r="U101">
        <v>0</v>
      </c>
      <c r="V101">
        <f t="shared" si="65"/>
        <v>0</v>
      </c>
      <c r="W101">
        <v>1919</v>
      </c>
      <c r="X101">
        <v>63</v>
      </c>
      <c r="Y101">
        <f t="shared" si="66"/>
        <v>1.8061799739838871</v>
      </c>
      <c r="Z101" s="45">
        <v>2.95</v>
      </c>
      <c r="AA101" s="9">
        <f t="shared" si="56"/>
        <v>265000000</v>
      </c>
      <c r="AB101" s="15">
        <f t="shared" si="57"/>
        <v>1.0816326530612246</v>
      </c>
      <c r="AC101" s="34">
        <f t="shared" si="67"/>
        <v>0.31840409173340389</v>
      </c>
      <c r="AD101">
        <v>1171.498</v>
      </c>
      <c r="AE101">
        <f t="shared" si="60"/>
        <v>3.0687415514991745</v>
      </c>
      <c r="AF101">
        <v>3386.1060000000002</v>
      </c>
      <c r="AG101">
        <f t="shared" si="61"/>
        <v>3.5297005493117593</v>
      </c>
      <c r="AH101" s="9">
        <v>0</v>
      </c>
      <c r="AI101" s="9">
        <f t="shared" si="68"/>
        <v>0</v>
      </c>
      <c r="AJ101">
        <v>85</v>
      </c>
      <c r="AK101" s="15" t="s">
        <v>313</v>
      </c>
      <c r="AL101" s="42">
        <v>40.815825693332798</v>
      </c>
      <c r="AM101" s="28" t="s">
        <v>314</v>
      </c>
      <c r="AN101" s="34">
        <f t="shared" si="69"/>
        <v>0.20112389720737955</v>
      </c>
      <c r="AO101">
        <v>1976</v>
      </c>
      <c r="AP101">
        <v>6</v>
      </c>
      <c r="AQ101">
        <v>70</v>
      </c>
      <c r="AR101">
        <v>70</v>
      </c>
      <c r="AS101">
        <f t="shared" si="58"/>
        <v>0</v>
      </c>
      <c r="AT101">
        <f t="shared" si="70"/>
        <v>1</v>
      </c>
      <c r="AU101">
        <f t="shared" si="71"/>
        <v>0</v>
      </c>
      <c r="AV101">
        <f t="shared" si="72"/>
        <v>0</v>
      </c>
      <c r="AW101">
        <f t="shared" si="73"/>
        <v>0</v>
      </c>
      <c r="AX101">
        <f t="shared" si="74"/>
        <v>0</v>
      </c>
      <c r="AY101">
        <f t="shared" si="75"/>
        <v>0</v>
      </c>
      <c r="AZ101">
        <f t="shared" si="76"/>
        <v>0</v>
      </c>
      <c r="BA101">
        <f t="shared" si="77"/>
        <v>0</v>
      </c>
      <c r="BB101">
        <f t="shared" si="78"/>
        <v>0</v>
      </c>
      <c r="BC101">
        <f t="shared" si="79"/>
        <v>0</v>
      </c>
      <c r="BD101">
        <f t="shared" si="80"/>
        <v>0</v>
      </c>
      <c r="BE101">
        <f t="shared" si="81"/>
        <v>0</v>
      </c>
      <c r="BF101">
        <f t="shared" si="82"/>
        <v>0</v>
      </c>
      <c r="BG101">
        <f t="shared" si="83"/>
        <v>0</v>
      </c>
      <c r="BH101">
        <f t="shared" si="84"/>
        <v>0</v>
      </c>
      <c r="BI101">
        <f t="shared" si="85"/>
        <v>0</v>
      </c>
    </row>
    <row r="102" spans="1:61" x14ac:dyDescent="0.35">
      <c r="A102" t="s">
        <v>51</v>
      </c>
      <c r="B102" s="1">
        <v>30896</v>
      </c>
      <c r="C102" t="s">
        <v>315</v>
      </c>
      <c r="D102" t="s">
        <v>45</v>
      </c>
      <c r="E102" t="s">
        <v>312</v>
      </c>
      <c r="F102" t="s">
        <v>45</v>
      </c>
      <c r="G102" t="s">
        <v>102</v>
      </c>
      <c r="H102" s="139">
        <f t="shared" si="59"/>
        <v>0</v>
      </c>
      <c r="I102" t="s">
        <v>48</v>
      </c>
      <c r="J102" t="s">
        <v>248</v>
      </c>
      <c r="K102" s="2">
        <f t="shared" si="62"/>
        <v>5</v>
      </c>
      <c r="L102">
        <v>465000000</v>
      </c>
      <c r="M102" s="2">
        <f t="shared" si="63"/>
        <v>8.6674529528899544</v>
      </c>
      <c r="N102">
        <v>465000000</v>
      </c>
      <c r="O102">
        <v>0</v>
      </c>
      <c r="P102" s="1">
        <v>31671</v>
      </c>
      <c r="Q102" s="89">
        <f t="shared" si="64"/>
        <v>1986</v>
      </c>
      <c r="R102" t="s">
        <v>107</v>
      </c>
      <c r="S102">
        <v>700000000</v>
      </c>
      <c r="T102" s="21">
        <f t="shared" si="55"/>
        <v>2.1232876712328768</v>
      </c>
      <c r="U102">
        <v>0</v>
      </c>
      <c r="V102">
        <f t="shared" si="65"/>
        <v>0</v>
      </c>
      <c r="W102">
        <v>1807</v>
      </c>
      <c r="X102">
        <v>177</v>
      </c>
      <c r="Y102">
        <f t="shared" si="66"/>
        <v>2.2504200023088941</v>
      </c>
      <c r="Z102" s="45">
        <v>2.95</v>
      </c>
      <c r="AA102" s="9">
        <f t="shared" si="56"/>
        <v>235000000</v>
      </c>
      <c r="AB102" s="15">
        <f t="shared" si="57"/>
        <v>0.5053763440860215</v>
      </c>
      <c r="AC102" s="34">
        <f t="shared" si="67"/>
        <v>0.17764508712430291</v>
      </c>
      <c r="AD102">
        <v>1171.498</v>
      </c>
      <c r="AE102">
        <f t="shared" si="60"/>
        <v>3.0687415514991745</v>
      </c>
      <c r="AF102">
        <v>3386.1060000000002</v>
      </c>
      <c r="AG102">
        <f t="shared" si="61"/>
        <v>3.5297005493117593</v>
      </c>
      <c r="AH102" s="9">
        <v>0</v>
      </c>
      <c r="AI102" s="9">
        <f t="shared" si="68"/>
        <v>0</v>
      </c>
      <c r="AJ102">
        <v>85</v>
      </c>
      <c r="AK102" s="15" t="s">
        <v>144</v>
      </c>
      <c r="AL102" s="42">
        <v>36.728532427451597</v>
      </c>
      <c r="AM102" s="28" t="s">
        <v>316</v>
      </c>
      <c r="AN102" s="34">
        <f t="shared" si="69"/>
        <v>0.15075643986030904</v>
      </c>
      <c r="AO102">
        <v>1976</v>
      </c>
      <c r="AP102">
        <v>8</v>
      </c>
      <c r="AQ102">
        <v>70</v>
      </c>
      <c r="AR102">
        <v>70</v>
      </c>
      <c r="AS102">
        <f t="shared" si="58"/>
        <v>0</v>
      </c>
      <c r="AT102">
        <f t="shared" si="70"/>
        <v>1</v>
      </c>
      <c r="AU102">
        <f t="shared" si="71"/>
        <v>0</v>
      </c>
      <c r="AV102">
        <f t="shared" si="72"/>
        <v>0</v>
      </c>
      <c r="AW102">
        <f t="shared" si="73"/>
        <v>0</v>
      </c>
      <c r="AX102">
        <f t="shared" si="74"/>
        <v>0</v>
      </c>
      <c r="AY102">
        <f t="shared" si="75"/>
        <v>0</v>
      </c>
      <c r="AZ102">
        <f t="shared" si="76"/>
        <v>0</v>
      </c>
      <c r="BA102">
        <f t="shared" si="77"/>
        <v>0</v>
      </c>
      <c r="BB102">
        <f t="shared" si="78"/>
        <v>0</v>
      </c>
      <c r="BC102">
        <f t="shared" si="79"/>
        <v>0</v>
      </c>
      <c r="BD102">
        <f t="shared" si="80"/>
        <v>0</v>
      </c>
      <c r="BE102">
        <f t="shared" si="81"/>
        <v>0</v>
      </c>
      <c r="BF102">
        <f t="shared" si="82"/>
        <v>0</v>
      </c>
      <c r="BG102">
        <f t="shared" si="83"/>
        <v>0</v>
      </c>
      <c r="BH102">
        <f t="shared" si="84"/>
        <v>0</v>
      </c>
      <c r="BI102">
        <f t="shared" si="85"/>
        <v>0</v>
      </c>
    </row>
    <row r="103" spans="1:61" x14ac:dyDescent="0.35">
      <c r="A103" t="s">
        <v>51</v>
      </c>
      <c r="B103" s="1">
        <v>31020</v>
      </c>
      <c r="C103" t="s">
        <v>317</v>
      </c>
      <c r="D103" t="s">
        <v>45</v>
      </c>
      <c r="E103" t="s">
        <v>312</v>
      </c>
      <c r="F103" t="s">
        <v>45</v>
      </c>
      <c r="G103" t="s">
        <v>102</v>
      </c>
      <c r="H103" s="139">
        <f t="shared" si="59"/>
        <v>0</v>
      </c>
      <c r="I103" t="s">
        <v>48</v>
      </c>
      <c r="J103" t="s">
        <v>248</v>
      </c>
      <c r="K103" s="2">
        <f t="shared" si="62"/>
        <v>5</v>
      </c>
      <c r="L103">
        <v>1012000000</v>
      </c>
      <c r="M103" s="2">
        <f t="shared" si="63"/>
        <v>9.0051805125037809</v>
      </c>
      <c r="N103">
        <v>842000000</v>
      </c>
      <c r="O103">
        <v>170000000</v>
      </c>
      <c r="P103" s="1">
        <v>31707</v>
      </c>
      <c r="Q103" s="89">
        <f t="shared" si="64"/>
        <v>1986</v>
      </c>
      <c r="R103" t="s">
        <v>107</v>
      </c>
      <c r="S103">
        <v>925000000</v>
      </c>
      <c r="T103" s="21">
        <f t="shared" si="55"/>
        <v>1.8821917808219177</v>
      </c>
      <c r="U103">
        <v>0</v>
      </c>
      <c r="V103">
        <f t="shared" si="65"/>
        <v>0</v>
      </c>
      <c r="W103">
        <v>1925</v>
      </c>
      <c r="X103">
        <v>59</v>
      </c>
      <c r="Y103">
        <f t="shared" si="66"/>
        <v>1.7781512503836436</v>
      </c>
      <c r="Z103" s="45">
        <v>2.95</v>
      </c>
      <c r="AA103" s="9">
        <f t="shared" si="56"/>
        <v>83000000</v>
      </c>
      <c r="AB103" s="15">
        <f t="shared" si="57"/>
        <v>-8.5968379446640264E-2</v>
      </c>
      <c r="AC103" s="34">
        <f t="shared" si="67"/>
        <v>-3.9038779764747678E-2</v>
      </c>
      <c r="AD103">
        <v>1171.498</v>
      </c>
      <c r="AE103">
        <f t="shared" si="60"/>
        <v>3.0687415514991745</v>
      </c>
      <c r="AF103">
        <v>3386.1060000000002</v>
      </c>
      <c r="AG103">
        <f t="shared" si="61"/>
        <v>3.5297005493117593</v>
      </c>
      <c r="AH103" s="9">
        <v>0</v>
      </c>
      <c r="AI103" s="9">
        <f t="shared" si="68"/>
        <v>0</v>
      </c>
      <c r="AJ103">
        <v>85</v>
      </c>
      <c r="AK103" s="15" t="s">
        <v>144</v>
      </c>
      <c r="AL103" s="42">
        <v>36.728532427451597</v>
      </c>
      <c r="AM103" s="28" t="s">
        <v>316</v>
      </c>
      <c r="AN103" s="34">
        <f t="shared" si="69"/>
        <v>0.15075643986030904</v>
      </c>
      <c r="AO103">
        <v>1976</v>
      </c>
      <c r="AP103">
        <v>8</v>
      </c>
      <c r="AQ103">
        <v>70</v>
      </c>
      <c r="AR103">
        <v>70</v>
      </c>
      <c r="AS103">
        <f t="shared" si="58"/>
        <v>0</v>
      </c>
      <c r="AT103">
        <f t="shared" si="70"/>
        <v>1</v>
      </c>
      <c r="AU103">
        <f t="shared" si="71"/>
        <v>0</v>
      </c>
      <c r="AV103">
        <f t="shared" si="72"/>
        <v>0</v>
      </c>
      <c r="AW103">
        <f t="shared" si="73"/>
        <v>0</v>
      </c>
      <c r="AX103">
        <f t="shared" si="74"/>
        <v>0</v>
      </c>
      <c r="AY103">
        <f t="shared" si="75"/>
        <v>0</v>
      </c>
      <c r="AZ103">
        <f t="shared" si="76"/>
        <v>0</v>
      </c>
      <c r="BA103">
        <f t="shared" si="77"/>
        <v>0</v>
      </c>
      <c r="BB103">
        <f t="shared" si="78"/>
        <v>0</v>
      </c>
      <c r="BC103">
        <f t="shared" si="79"/>
        <v>0</v>
      </c>
      <c r="BD103">
        <f t="shared" si="80"/>
        <v>0</v>
      </c>
      <c r="BE103">
        <f t="shared" si="81"/>
        <v>0</v>
      </c>
      <c r="BF103">
        <f t="shared" si="82"/>
        <v>0</v>
      </c>
      <c r="BG103">
        <f t="shared" si="83"/>
        <v>0</v>
      </c>
      <c r="BH103">
        <f t="shared" si="84"/>
        <v>0</v>
      </c>
      <c r="BI103">
        <f t="shared" si="85"/>
        <v>0</v>
      </c>
    </row>
    <row r="104" spans="1:61" x14ac:dyDescent="0.35">
      <c r="A104" t="s">
        <v>51</v>
      </c>
      <c r="B104" s="1">
        <v>31022</v>
      </c>
      <c r="C104" t="s">
        <v>318</v>
      </c>
      <c r="D104" t="s">
        <v>45</v>
      </c>
      <c r="E104" t="s">
        <v>319</v>
      </c>
      <c r="F104" t="s">
        <v>45</v>
      </c>
      <c r="G104" t="s">
        <v>102</v>
      </c>
      <c r="H104" s="139">
        <f t="shared" si="59"/>
        <v>0</v>
      </c>
      <c r="I104" t="s">
        <v>234</v>
      </c>
      <c r="J104" t="s">
        <v>269</v>
      </c>
      <c r="K104" s="2">
        <f t="shared" si="62"/>
        <v>7</v>
      </c>
      <c r="L104">
        <v>580000000</v>
      </c>
      <c r="M104" s="2">
        <f t="shared" si="63"/>
        <v>8.7634279935629369</v>
      </c>
      <c r="N104">
        <v>580000000</v>
      </c>
      <c r="O104">
        <v>0</v>
      </c>
      <c r="P104" s="1">
        <v>32179</v>
      </c>
      <c r="Q104" s="89">
        <f t="shared" si="64"/>
        <v>1988</v>
      </c>
      <c r="R104" t="s">
        <v>107</v>
      </c>
      <c r="S104">
        <v>600000000</v>
      </c>
      <c r="T104" s="21">
        <f t="shared" si="55"/>
        <v>3.1698630136986301</v>
      </c>
      <c r="U104">
        <v>0</v>
      </c>
      <c r="V104">
        <f t="shared" si="65"/>
        <v>0</v>
      </c>
      <c r="W104">
        <v>1907</v>
      </c>
      <c r="X104">
        <v>77</v>
      </c>
      <c r="Y104">
        <f t="shared" si="66"/>
        <v>1.8920946026904804</v>
      </c>
      <c r="Z104" s="45">
        <v>2.95</v>
      </c>
      <c r="AA104" s="9">
        <f t="shared" si="56"/>
        <v>20000000</v>
      </c>
      <c r="AB104" s="15">
        <f t="shared" si="57"/>
        <v>3.4482758620689724E-2</v>
      </c>
      <c r="AC104" s="34">
        <f t="shared" si="67"/>
        <v>1.4723256820706378E-2</v>
      </c>
      <c r="AD104">
        <v>1171.498</v>
      </c>
      <c r="AE104">
        <f t="shared" si="60"/>
        <v>3.0687415514991745</v>
      </c>
      <c r="AF104">
        <v>3386.1060000000002</v>
      </c>
      <c r="AG104">
        <f t="shared" si="61"/>
        <v>3.5297005493117593</v>
      </c>
      <c r="AH104" s="9">
        <v>0</v>
      </c>
      <c r="AI104" s="9">
        <f t="shared" si="68"/>
        <v>0</v>
      </c>
      <c r="AJ104">
        <v>85</v>
      </c>
      <c r="AK104" s="15" t="s">
        <v>144</v>
      </c>
      <c r="AL104" s="42">
        <v>36.728532427451597</v>
      </c>
      <c r="AM104" s="28" t="s">
        <v>320</v>
      </c>
      <c r="AN104" s="34">
        <f t="shared" si="69"/>
        <v>0.18808437371493819</v>
      </c>
      <c r="AO104">
        <v>1976</v>
      </c>
      <c r="AP104">
        <v>8</v>
      </c>
      <c r="AQ104">
        <v>70</v>
      </c>
      <c r="AR104">
        <v>70</v>
      </c>
      <c r="AS104">
        <f t="shared" si="58"/>
        <v>0</v>
      </c>
      <c r="AT104">
        <f t="shared" si="70"/>
        <v>1</v>
      </c>
      <c r="AU104">
        <f t="shared" si="71"/>
        <v>0</v>
      </c>
      <c r="AV104">
        <f t="shared" si="72"/>
        <v>0</v>
      </c>
      <c r="AW104">
        <f t="shared" si="73"/>
        <v>0</v>
      </c>
      <c r="AX104">
        <f t="shared" si="74"/>
        <v>0</v>
      </c>
      <c r="AY104">
        <f t="shared" si="75"/>
        <v>0</v>
      </c>
      <c r="AZ104">
        <f t="shared" si="76"/>
        <v>0</v>
      </c>
      <c r="BA104">
        <f t="shared" si="77"/>
        <v>0</v>
      </c>
      <c r="BB104">
        <f t="shared" si="78"/>
        <v>0</v>
      </c>
      <c r="BC104">
        <f t="shared" si="79"/>
        <v>0</v>
      </c>
      <c r="BD104">
        <f t="shared" si="80"/>
        <v>0</v>
      </c>
      <c r="BE104">
        <f t="shared" si="81"/>
        <v>0</v>
      </c>
      <c r="BF104">
        <f t="shared" si="82"/>
        <v>0</v>
      </c>
      <c r="BG104">
        <f t="shared" si="83"/>
        <v>0</v>
      </c>
      <c r="BH104">
        <f t="shared" si="84"/>
        <v>0</v>
      </c>
      <c r="BI104">
        <f t="shared" si="85"/>
        <v>0</v>
      </c>
    </row>
    <row r="105" spans="1:61" x14ac:dyDescent="0.35">
      <c r="A105" t="s">
        <v>51</v>
      </c>
      <c r="B105" s="1">
        <v>30924</v>
      </c>
      <c r="C105" t="s">
        <v>321</v>
      </c>
      <c r="D105" t="s">
        <v>45</v>
      </c>
      <c r="E105" t="s">
        <v>319</v>
      </c>
      <c r="F105" t="s">
        <v>45</v>
      </c>
      <c r="G105" t="s">
        <v>102</v>
      </c>
      <c r="H105" s="139">
        <f t="shared" si="59"/>
        <v>0</v>
      </c>
      <c r="I105" t="s">
        <v>48</v>
      </c>
      <c r="J105" t="s">
        <v>248</v>
      </c>
      <c r="K105" s="2">
        <f t="shared" si="62"/>
        <v>5</v>
      </c>
      <c r="L105">
        <v>596000000</v>
      </c>
      <c r="M105" s="2">
        <f t="shared" si="63"/>
        <v>8.7752462597402356</v>
      </c>
      <c r="N105">
        <v>596000000</v>
      </c>
      <c r="O105">
        <v>0</v>
      </c>
      <c r="P105" s="1">
        <v>33979</v>
      </c>
      <c r="Q105" s="89">
        <f t="shared" si="64"/>
        <v>1993</v>
      </c>
      <c r="R105" t="s">
        <v>322</v>
      </c>
      <c r="S105">
        <v>269500000</v>
      </c>
      <c r="T105" s="21">
        <f t="shared" si="55"/>
        <v>8.3698630136986303</v>
      </c>
      <c r="U105">
        <v>0</v>
      </c>
      <c r="V105">
        <f t="shared" si="65"/>
        <v>0</v>
      </c>
      <c r="W105">
        <v>1979</v>
      </c>
      <c r="X105">
        <v>5</v>
      </c>
      <c r="Y105">
        <f t="shared" si="66"/>
        <v>0.77815125038364363</v>
      </c>
      <c r="Z105" s="45">
        <v>2.95</v>
      </c>
      <c r="AA105" s="9">
        <f t="shared" si="56"/>
        <v>-326500000</v>
      </c>
      <c r="AB105" s="15">
        <f t="shared" si="57"/>
        <v>-0.54781879194630867</v>
      </c>
      <c r="AC105" s="34">
        <f t="shared" si="67"/>
        <v>-0.34468749021747885</v>
      </c>
      <c r="AD105">
        <v>1171.498</v>
      </c>
      <c r="AE105">
        <f t="shared" si="60"/>
        <v>3.0687415514991745</v>
      </c>
      <c r="AF105">
        <v>3386.1060000000002</v>
      </c>
      <c r="AG105">
        <f t="shared" si="61"/>
        <v>3.5297005493117593</v>
      </c>
      <c r="AH105" s="9">
        <v>0</v>
      </c>
      <c r="AI105" s="9">
        <f t="shared" si="68"/>
        <v>0</v>
      </c>
      <c r="AJ105">
        <v>85</v>
      </c>
      <c r="AK105" s="15" t="s">
        <v>144</v>
      </c>
      <c r="AL105" s="42">
        <v>36.728532427451597</v>
      </c>
      <c r="AM105" s="28" t="s">
        <v>323</v>
      </c>
      <c r="AN105" s="34">
        <f t="shared" si="69"/>
        <v>0.32469391386177465</v>
      </c>
      <c r="AO105">
        <v>1976</v>
      </c>
      <c r="AP105">
        <v>8</v>
      </c>
      <c r="AQ105">
        <v>70</v>
      </c>
      <c r="AR105">
        <v>70</v>
      </c>
      <c r="AS105">
        <f t="shared" si="58"/>
        <v>0</v>
      </c>
      <c r="AT105">
        <f t="shared" si="70"/>
        <v>1</v>
      </c>
      <c r="AU105">
        <f t="shared" si="71"/>
        <v>0</v>
      </c>
      <c r="AV105">
        <f t="shared" si="72"/>
        <v>0</v>
      </c>
      <c r="AW105">
        <f t="shared" si="73"/>
        <v>0</v>
      </c>
      <c r="AX105">
        <f t="shared" si="74"/>
        <v>0</v>
      </c>
      <c r="AY105">
        <f t="shared" si="75"/>
        <v>0</v>
      </c>
      <c r="AZ105">
        <f t="shared" si="76"/>
        <v>0</v>
      </c>
      <c r="BA105">
        <f t="shared" si="77"/>
        <v>0</v>
      </c>
      <c r="BB105">
        <f t="shared" si="78"/>
        <v>0</v>
      </c>
      <c r="BC105">
        <f t="shared" si="79"/>
        <v>0</v>
      </c>
      <c r="BD105">
        <f t="shared" si="80"/>
        <v>0</v>
      </c>
      <c r="BE105">
        <f t="shared" si="81"/>
        <v>0</v>
      </c>
      <c r="BF105">
        <f t="shared" si="82"/>
        <v>0</v>
      </c>
      <c r="BG105">
        <f t="shared" si="83"/>
        <v>0</v>
      </c>
      <c r="BH105">
        <f t="shared" si="84"/>
        <v>0</v>
      </c>
      <c r="BI105">
        <f t="shared" si="85"/>
        <v>0</v>
      </c>
    </row>
    <row r="106" spans="1:61" x14ac:dyDescent="0.35">
      <c r="A106" t="s">
        <v>51</v>
      </c>
      <c r="B106" s="1">
        <v>31728</v>
      </c>
      <c r="C106" t="s">
        <v>324</v>
      </c>
      <c r="D106" t="s">
        <v>45</v>
      </c>
      <c r="E106" t="s">
        <v>325</v>
      </c>
      <c r="F106" t="s">
        <v>45</v>
      </c>
      <c r="G106" t="s">
        <v>102</v>
      </c>
      <c r="H106" s="139">
        <f t="shared" si="59"/>
        <v>0</v>
      </c>
      <c r="I106" t="s">
        <v>234</v>
      </c>
      <c r="J106" t="s">
        <v>326</v>
      </c>
      <c r="K106" s="2">
        <f t="shared" si="62"/>
        <v>8</v>
      </c>
      <c r="L106">
        <v>3600000000</v>
      </c>
      <c r="M106" s="2">
        <f t="shared" si="63"/>
        <v>9.5563025007672877</v>
      </c>
      <c r="N106">
        <v>3600000000</v>
      </c>
      <c r="O106">
        <v>0</v>
      </c>
      <c r="P106" s="1">
        <v>33554</v>
      </c>
      <c r="Q106" s="89">
        <f t="shared" si="64"/>
        <v>1991</v>
      </c>
      <c r="R106" t="s">
        <v>322</v>
      </c>
      <c r="S106">
        <v>528000000</v>
      </c>
      <c r="T106" s="21">
        <f t="shared" si="55"/>
        <v>5.0027397260273974</v>
      </c>
      <c r="U106">
        <v>0</v>
      </c>
      <c r="V106">
        <f t="shared" si="65"/>
        <v>0</v>
      </c>
      <c r="W106">
        <v>1929</v>
      </c>
      <c r="X106">
        <v>57</v>
      </c>
      <c r="Y106">
        <f t="shared" si="66"/>
        <v>1.7634279935629373</v>
      </c>
      <c r="Z106" s="45">
        <v>2.95</v>
      </c>
      <c r="AA106" s="9">
        <f t="shared" si="56"/>
        <v>-3072000000</v>
      </c>
      <c r="AB106" s="15">
        <f t="shared" si="57"/>
        <v>-0.85333333333333328</v>
      </c>
      <c r="AC106" s="34">
        <f t="shared" si="67"/>
        <v>-0.83366857823347484</v>
      </c>
      <c r="AD106">
        <v>1171.498</v>
      </c>
      <c r="AE106">
        <f t="shared" si="60"/>
        <v>3.0687415514991745</v>
      </c>
      <c r="AF106">
        <v>3386.1060000000002</v>
      </c>
      <c r="AG106">
        <f t="shared" si="61"/>
        <v>3.5297005493117593</v>
      </c>
      <c r="AH106" s="9">
        <v>0</v>
      </c>
      <c r="AI106" s="9">
        <f t="shared" si="68"/>
        <v>0</v>
      </c>
      <c r="AJ106">
        <v>85</v>
      </c>
      <c r="AK106" s="15" t="s">
        <v>215</v>
      </c>
      <c r="AL106" s="42">
        <v>37.767307016657</v>
      </c>
      <c r="AM106" s="28" t="s">
        <v>327</v>
      </c>
      <c r="AN106" s="34">
        <f t="shared" si="69"/>
        <v>0.29797924415936239</v>
      </c>
      <c r="AO106">
        <v>1976</v>
      </c>
      <c r="AP106">
        <v>10</v>
      </c>
      <c r="AQ106">
        <v>70</v>
      </c>
      <c r="AR106">
        <v>70</v>
      </c>
      <c r="AS106">
        <f t="shared" si="58"/>
        <v>0</v>
      </c>
      <c r="AT106">
        <f t="shared" si="70"/>
        <v>1</v>
      </c>
      <c r="AU106">
        <f t="shared" si="71"/>
        <v>0</v>
      </c>
      <c r="AV106">
        <f t="shared" si="72"/>
        <v>0</v>
      </c>
      <c r="AW106">
        <f t="shared" si="73"/>
        <v>0</v>
      </c>
      <c r="AX106">
        <f t="shared" si="74"/>
        <v>0</v>
      </c>
      <c r="AY106">
        <f t="shared" si="75"/>
        <v>0</v>
      </c>
      <c r="AZ106">
        <f t="shared" si="76"/>
        <v>0</v>
      </c>
      <c r="BA106">
        <f t="shared" si="77"/>
        <v>0</v>
      </c>
      <c r="BB106">
        <f t="shared" si="78"/>
        <v>0</v>
      </c>
      <c r="BC106">
        <f t="shared" si="79"/>
        <v>0</v>
      </c>
      <c r="BD106">
        <f t="shared" si="80"/>
        <v>0</v>
      </c>
      <c r="BE106">
        <f t="shared" si="81"/>
        <v>0</v>
      </c>
      <c r="BF106">
        <f t="shared" si="82"/>
        <v>0</v>
      </c>
      <c r="BG106">
        <f t="shared" si="83"/>
        <v>0</v>
      </c>
      <c r="BH106">
        <f t="shared" si="84"/>
        <v>0</v>
      </c>
      <c r="BI106">
        <f t="shared" si="85"/>
        <v>0</v>
      </c>
    </row>
    <row r="107" spans="1:61" x14ac:dyDescent="0.35">
      <c r="A107" t="s">
        <v>51</v>
      </c>
      <c r="B107" s="1">
        <v>34026</v>
      </c>
      <c r="C107" t="s">
        <v>328</v>
      </c>
      <c r="D107" t="s">
        <v>45</v>
      </c>
      <c r="E107" t="s">
        <v>329</v>
      </c>
      <c r="F107" t="s">
        <v>45</v>
      </c>
      <c r="G107" t="s">
        <v>102</v>
      </c>
      <c r="H107" s="139">
        <f t="shared" si="59"/>
        <v>0</v>
      </c>
      <c r="I107" t="s">
        <v>234</v>
      </c>
      <c r="J107" t="s">
        <v>248</v>
      </c>
      <c r="K107" s="2">
        <f t="shared" si="62"/>
        <v>5</v>
      </c>
      <c r="L107">
        <v>69040000</v>
      </c>
      <c r="M107" s="2">
        <f t="shared" si="63"/>
        <v>7.8391007827071535</v>
      </c>
      <c r="N107">
        <v>69040000</v>
      </c>
      <c r="O107">
        <v>0</v>
      </c>
      <c r="P107" s="1">
        <v>36474</v>
      </c>
      <c r="Q107" s="89">
        <f t="shared" si="64"/>
        <v>1999</v>
      </c>
      <c r="R107" t="s">
        <v>107</v>
      </c>
      <c r="S107">
        <v>2703480000</v>
      </c>
      <c r="T107" s="21">
        <f t="shared" si="55"/>
        <v>6.7068493150684931</v>
      </c>
      <c r="U107">
        <v>0</v>
      </c>
      <c r="V107">
        <f t="shared" si="65"/>
        <v>0</v>
      </c>
      <c r="W107">
        <v>1834</v>
      </c>
      <c r="X107">
        <v>159</v>
      </c>
      <c r="Y107">
        <f t="shared" si="66"/>
        <v>2.2041199826559246</v>
      </c>
      <c r="Z107" s="45">
        <v>2.95</v>
      </c>
      <c r="AA107" s="9">
        <f t="shared" si="56"/>
        <v>2634440000</v>
      </c>
      <c r="AB107" s="15">
        <f t="shared" si="57"/>
        <v>38.158169177288528</v>
      </c>
      <c r="AC107" s="34">
        <f t="shared" si="67"/>
        <v>1.5928223783612254</v>
      </c>
      <c r="AD107">
        <v>1171.498</v>
      </c>
      <c r="AE107">
        <f t="shared" si="60"/>
        <v>3.0687415514991745</v>
      </c>
      <c r="AF107">
        <v>3386.1060000000002</v>
      </c>
      <c r="AG107">
        <f t="shared" si="61"/>
        <v>3.5297005493117593</v>
      </c>
      <c r="AH107" s="9">
        <v>0</v>
      </c>
      <c r="AI107" s="9">
        <f t="shared" si="68"/>
        <v>0</v>
      </c>
      <c r="AJ107">
        <v>85</v>
      </c>
      <c r="AK107" s="15" t="s">
        <v>100</v>
      </c>
      <c r="AL107" s="42">
        <v>38.808513566771097</v>
      </c>
      <c r="AM107" s="24">
        <v>2.1</v>
      </c>
      <c r="AN107" s="34">
        <f t="shared" si="69"/>
        <v>0.49136169383427269</v>
      </c>
      <c r="AO107">
        <v>1976</v>
      </c>
      <c r="AP107">
        <v>17</v>
      </c>
      <c r="AQ107">
        <v>70</v>
      </c>
      <c r="AR107">
        <v>70</v>
      </c>
      <c r="AS107">
        <f t="shared" si="58"/>
        <v>0</v>
      </c>
      <c r="AT107">
        <f t="shared" si="70"/>
        <v>1</v>
      </c>
      <c r="AU107">
        <f t="shared" si="71"/>
        <v>0</v>
      </c>
      <c r="AV107">
        <f t="shared" si="72"/>
        <v>0</v>
      </c>
      <c r="AW107">
        <f t="shared" si="73"/>
        <v>0</v>
      </c>
      <c r="AX107">
        <f t="shared" si="74"/>
        <v>0</v>
      </c>
      <c r="AY107">
        <f t="shared" si="75"/>
        <v>0</v>
      </c>
      <c r="AZ107">
        <f t="shared" si="76"/>
        <v>0</v>
      </c>
      <c r="BA107">
        <f t="shared" si="77"/>
        <v>0</v>
      </c>
      <c r="BB107">
        <f t="shared" si="78"/>
        <v>0</v>
      </c>
      <c r="BC107">
        <f t="shared" si="79"/>
        <v>0</v>
      </c>
      <c r="BD107">
        <f t="shared" si="80"/>
        <v>0</v>
      </c>
      <c r="BE107">
        <f t="shared" si="81"/>
        <v>0</v>
      </c>
      <c r="BF107">
        <f t="shared" si="82"/>
        <v>0</v>
      </c>
      <c r="BG107">
        <f t="shared" si="83"/>
        <v>0</v>
      </c>
      <c r="BH107">
        <f t="shared" si="84"/>
        <v>0</v>
      </c>
      <c r="BI107">
        <f t="shared" si="85"/>
        <v>0</v>
      </c>
    </row>
    <row r="108" spans="1:61" x14ac:dyDescent="0.35">
      <c r="A108" t="s">
        <v>51</v>
      </c>
      <c r="B108" s="1">
        <v>34952</v>
      </c>
      <c r="C108" t="s">
        <v>330</v>
      </c>
      <c r="D108" t="s">
        <v>45</v>
      </c>
      <c r="E108" t="s">
        <v>331</v>
      </c>
      <c r="F108" t="s">
        <v>45</v>
      </c>
      <c r="G108" t="s">
        <v>102</v>
      </c>
      <c r="H108" s="139">
        <f t="shared" si="59"/>
        <v>0</v>
      </c>
      <c r="I108" t="s">
        <v>234</v>
      </c>
      <c r="J108" t="s">
        <v>248</v>
      </c>
      <c r="K108" s="2">
        <f t="shared" si="62"/>
        <v>5</v>
      </c>
      <c r="L108">
        <v>340000000</v>
      </c>
      <c r="M108" s="2">
        <f t="shared" si="63"/>
        <v>8.5314789170422554</v>
      </c>
      <c r="N108">
        <v>340000000</v>
      </c>
      <c r="O108">
        <v>0</v>
      </c>
      <c r="P108" s="1">
        <v>36131</v>
      </c>
      <c r="Q108" s="89">
        <f t="shared" si="64"/>
        <v>1998</v>
      </c>
      <c r="R108" t="s">
        <v>107</v>
      </c>
      <c r="S108">
        <v>548900000</v>
      </c>
      <c r="T108" s="21">
        <f t="shared" si="55"/>
        <v>3.2301369863013698</v>
      </c>
      <c r="U108">
        <v>0</v>
      </c>
      <c r="V108">
        <f t="shared" si="65"/>
        <v>0</v>
      </c>
      <c r="W108">
        <v>1985</v>
      </c>
      <c r="X108">
        <v>10</v>
      </c>
      <c r="Y108">
        <f t="shared" si="66"/>
        <v>1.0413926851582251</v>
      </c>
      <c r="Z108" s="45">
        <v>2.95</v>
      </c>
      <c r="AA108" s="9">
        <f t="shared" si="56"/>
        <v>208900000</v>
      </c>
      <c r="AB108" s="15">
        <f t="shared" si="57"/>
        <v>0.61441176470588243</v>
      </c>
      <c r="AC108" s="34">
        <f t="shared" si="67"/>
        <v>0.20801431373935986</v>
      </c>
      <c r="AD108">
        <v>1171.498</v>
      </c>
      <c r="AE108">
        <f t="shared" si="60"/>
        <v>3.0687415514991745</v>
      </c>
      <c r="AF108">
        <v>3386.1060000000002</v>
      </c>
      <c r="AG108">
        <f t="shared" si="61"/>
        <v>3.5297005493117593</v>
      </c>
      <c r="AH108" s="9">
        <v>0</v>
      </c>
      <c r="AI108" s="9">
        <f t="shared" si="68"/>
        <v>0</v>
      </c>
      <c r="AJ108">
        <v>85</v>
      </c>
      <c r="AK108" s="15" t="s">
        <v>332</v>
      </c>
      <c r="AL108" s="42">
        <v>37.808596853116498</v>
      </c>
      <c r="AM108" s="24">
        <v>1.05</v>
      </c>
      <c r="AN108" s="34">
        <f t="shared" si="69"/>
        <v>0.31175386105575426</v>
      </c>
      <c r="AO108">
        <v>1976</v>
      </c>
      <c r="AP108">
        <v>19</v>
      </c>
      <c r="AQ108">
        <v>70</v>
      </c>
      <c r="AR108">
        <v>70</v>
      </c>
      <c r="AS108">
        <f t="shared" si="58"/>
        <v>0</v>
      </c>
      <c r="AT108">
        <f t="shared" si="70"/>
        <v>1</v>
      </c>
      <c r="AU108">
        <f t="shared" si="71"/>
        <v>0</v>
      </c>
      <c r="AV108">
        <f t="shared" si="72"/>
        <v>0</v>
      </c>
      <c r="AW108">
        <f t="shared" si="73"/>
        <v>0</v>
      </c>
      <c r="AX108">
        <f t="shared" si="74"/>
        <v>0</v>
      </c>
      <c r="AY108">
        <f t="shared" si="75"/>
        <v>0</v>
      </c>
      <c r="AZ108">
        <f t="shared" si="76"/>
        <v>0</v>
      </c>
      <c r="BA108">
        <f t="shared" si="77"/>
        <v>0</v>
      </c>
      <c r="BB108">
        <f t="shared" si="78"/>
        <v>0</v>
      </c>
      <c r="BC108">
        <f t="shared" si="79"/>
        <v>0</v>
      </c>
      <c r="BD108">
        <f t="shared" si="80"/>
        <v>0</v>
      </c>
      <c r="BE108">
        <f t="shared" si="81"/>
        <v>0</v>
      </c>
      <c r="BF108">
        <f t="shared" si="82"/>
        <v>0</v>
      </c>
      <c r="BG108">
        <f t="shared" si="83"/>
        <v>0</v>
      </c>
      <c r="BH108">
        <f t="shared" si="84"/>
        <v>0</v>
      </c>
      <c r="BI108">
        <f t="shared" si="85"/>
        <v>0</v>
      </c>
    </row>
    <row r="109" spans="1:61" x14ac:dyDescent="0.35">
      <c r="A109" t="s">
        <v>51</v>
      </c>
      <c r="B109" s="1">
        <v>35062</v>
      </c>
      <c r="C109" t="s">
        <v>333</v>
      </c>
      <c r="D109" t="s">
        <v>45</v>
      </c>
      <c r="E109" t="s">
        <v>331</v>
      </c>
      <c r="F109" t="s">
        <v>45</v>
      </c>
      <c r="G109" t="s">
        <v>102</v>
      </c>
      <c r="H109" s="139">
        <f t="shared" si="59"/>
        <v>0</v>
      </c>
      <c r="I109" t="s">
        <v>48</v>
      </c>
      <c r="J109" t="s">
        <v>178</v>
      </c>
      <c r="K109" s="2">
        <f t="shared" si="62"/>
        <v>9</v>
      </c>
      <c r="L109">
        <v>500000000</v>
      </c>
      <c r="M109" s="2">
        <f t="shared" si="63"/>
        <v>8.6989700043360187</v>
      </c>
      <c r="N109">
        <v>500000000</v>
      </c>
      <c r="O109">
        <v>0</v>
      </c>
      <c r="P109" s="1">
        <v>36281</v>
      </c>
      <c r="Q109" s="89">
        <f t="shared" si="64"/>
        <v>1999</v>
      </c>
      <c r="R109" t="s">
        <v>107</v>
      </c>
      <c r="S109">
        <v>1981132000</v>
      </c>
      <c r="T109" s="21">
        <f t="shared" si="55"/>
        <v>3.3397260273972602</v>
      </c>
      <c r="U109">
        <v>0</v>
      </c>
      <c r="V109">
        <f t="shared" si="65"/>
        <v>0</v>
      </c>
      <c r="W109">
        <v>1987</v>
      </c>
      <c r="X109">
        <v>8</v>
      </c>
      <c r="Y109">
        <f t="shared" si="66"/>
        <v>0.95424250943932487</v>
      </c>
      <c r="Z109" s="45">
        <v>2.95</v>
      </c>
      <c r="AA109" s="9">
        <f t="shared" si="56"/>
        <v>1481132000</v>
      </c>
      <c r="AB109" s="15">
        <f t="shared" si="57"/>
        <v>2.9622639999999998</v>
      </c>
      <c r="AC109" s="34">
        <f t="shared" si="67"/>
        <v>0.5979434085885782</v>
      </c>
      <c r="AD109">
        <v>1171.498</v>
      </c>
      <c r="AE109">
        <f t="shared" si="60"/>
        <v>3.0687415514991745</v>
      </c>
      <c r="AF109">
        <v>3386.1060000000002</v>
      </c>
      <c r="AG109">
        <f t="shared" si="61"/>
        <v>3.5297005493117593</v>
      </c>
      <c r="AH109" s="9">
        <v>0</v>
      </c>
      <c r="AI109" s="9">
        <f t="shared" si="68"/>
        <v>0</v>
      </c>
      <c r="AJ109">
        <v>85</v>
      </c>
      <c r="AK109" s="15" t="s">
        <v>332</v>
      </c>
      <c r="AL109" s="42">
        <v>37.808596853116498</v>
      </c>
      <c r="AM109" s="24">
        <v>1.17</v>
      </c>
      <c r="AN109" s="34">
        <f t="shared" si="69"/>
        <v>0.33645973384852951</v>
      </c>
      <c r="AO109">
        <v>1976</v>
      </c>
      <c r="AP109">
        <v>19</v>
      </c>
      <c r="AQ109">
        <v>70</v>
      </c>
      <c r="AR109">
        <v>70</v>
      </c>
      <c r="AS109">
        <f t="shared" si="58"/>
        <v>0</v>
      </c>
      <c r="AT109">
        <f t="shared" si="70"/>
        <v>1</v>
      </c>
      <c r="AU109">
        <f t="shared" si="71"/>
        <v>0</v>
      </c>
      <c r="AV109">
        <f t="shared" si="72"/>
        <v>0</v>
      </c>
      <c r="AW109">
        <f t="shared" si="73"/>
        <v>0</v>
      </c>
      <c r="AX109">
        <f t="shared" si="74"/>
        <v>0</v>
      </c>
      <c r="AY109">
        <f t="shared" si="75"/>
        <v>0</v>
      </c>
      <c r="AZ109">
        <f t="shared" si="76"/>
        <v>0</v>
      </c>
      <c r="BA109">
        <f t="shared" si="77"/>
        <v>0</v>
      </c>
      <c r="BB109">
        <f t="shared" si="78"/>
        <v>0</v>
      </c>
      <c r="BC109">
        <f t="shared" si="79"/>
        <v>0</v>
      </c>
      <c r="BD109">
        <f t="shared" si="80"/>
        <v>0</v>
      </c>
      <c r="BE109">
        <f t="shared" si="81"/>
        <v>0</v>
      </c>
      <c r="BF109">
        <f t="shared" si="82"/>
        <v>0</v>
      </c>
      <c r="BG109">
        <f t="shared" si="83"/>
        <v>0</v>
      </c>
      <c r="BH109">
        <f t="shared" si="84"/>
        <v>0</v>
      </c>
      <c r="BI109">
        <f t="shared" si="85"/>
        <v>0</v>
      </c>
    </row>
    <row r="110" spans="1:61" x14ac:dyDescent="0.35">
      <c r="A110" t="s">
        <v>51</v>
      </c>
      <c r="B110" s="1">
        <v>34772</v>
      </c>
      <c r="C110" t="s">
        <v>334</v>
      </c>
      <c r="D110" t="s">
        <v>45</v>
      </c>
      <c r="E110" t="s">
        <v>331</v>
      </c>
      <c r="F110" t="s">
        <v>45</v>
      </c>
      <c r="G110" t="s">
        <v>102</v>
      </c>
      <c r="H110" s="139">
        <f t="shared" si="59"/>
        <v>0</v>
      </c>
      <c r="I110" t="s">
        <v>335</v>
      </c>
      <c r="J110" t="s">
        <v>269</v>
      </c>
      <c r="K110" s="2">
        <f t="shared" si="62"/>
        <v>7</v>
      </c>
      <c r="L110">
        <v>2100060000</v>
      </c>
      <c r="M110" s="2">
        <f t="shared" si="63"/>
        <v>9.3222317029704289</v>
      </c>
      <c r="N110">
        <v>2100060000</v>
      </c>
      <c r="O110">
        <v>0</v>
      </c>
      <c r="P110" s="1">
        <v>38329</v>
      </c>
      <c r="Q110" s="89">
        <f t="shared" si="64"/>
        <v>2004</v>
      </c>
      <c r="R110" t="s">
        <v>152</v>
      </c>
      <c r="S110">
        <v>1200000000</v>
      </c>
      <c r="T110" s="21">
        <f t="shared" si="55"/>
        <v>9.7452054794520553</v>
      </c>
      <c r="U110">
        <v>0</v>
      </c>
      <c r="V110">
        <f t="shared" si="65"/>
        <v>0</v>
      </c>
      <c r="W110">
        <v>1857</v>
      </c>
      <c r="X110">
        <v>138</v>
      </c>
      <c r="Y110">
        <f t="shared" si="66"/>
        <v>2.143014800254095</v>
      </c>
      <c r="Z110" s="45">
        <v>2.95</v>
      </c>
      <c r="AA110" s="9">
        <f t="shared" si="56"/>
        <v>-900060000</v>
      </c>
      <c r="AB110" s="15">
        <f t="shared" si="57"/>
        <v>-0.42858775463558185</v>
      </c>
      <c r="AC110" s="34">
        <f t="shared" si="67"/>
        <v>-0.24305045692280344</v>
      </c>
      <c r="AD110">
        <v>1171.498</v>
      </c>
      <c r="AE110">
        <f t="shared" si="60"/>
        <v>3.0687415514991745</v>
      </c>
      <c r="AF110">
        <v>3386.1060000000002</v>
      </c>
      <c r="AG110">
        <f t="shared" si="61"/>
        <v>3.5297005493117593</v>
      </c>
      <c r="AH110" s="9">
        <v>0</v>
      </c>
      <c r="AI110" s="9">
        <f t="shared" si="68"/>
        <v>0</v>
      </c>
      <c r="AJ110">
        <v>85</v>
      </c>
      <c r="AK110" s="15" t="s">
        <v>332</v>
      </c>
      <c r="AL110" s="42">
        <v>37.808596853116498</v>
      </c>
      <c r="AM110" s="24">
        <v>1.4</v>
      </c>
      <c r="AN110" s="34">
        <f t="shared" si="69"/>
        <v>0.38021124171160603</v>
      </c>
      <c r="AO110">
        <v>1976</v>
      </c>
      <c r="AP110">
        <v>19</v>
      </c>
      <c r="AQ110">
        <v>70</v>
      </c>
      <c r="AR110">
        <v>70</v>
      </c>
      <c r="AS110">
        <f t="shared" si="58"/>
        <v>0</v>
      </c>
      <c r="AT110">
        <f t="shared" si="70"/>
        <v>1</v>
      </c>
      <c r="AU110">
        <f t="shared" si="71"/>
        <v>0</v>
      </c>
      <c r="AV110">
        <f t="shared" si="72"/>
        <v>0</v>
      </c>
      <c r="AW110">
        <f t="shared" si="73"/>
        <v>0</v>
      </c>
      <c r="AX110">
        <f t="shared" si="74"/>
        <v>0</v>
      </c>
      <c r="AY110">
        <f t="shared" si="75"/>
        <v>0</v>
      </c>
      <c r="AZ110">
        <f t="shared" si="76"/>
        <v>0</v>
      </c>
      <c r="BA110">
        <f t="shared" si="77"/>
        <v>0</v>
      </c>
      <c r="BB110">
        <f t="shared" si="78"/>
        <v>0</v>
      </c>
      <c r="BC110">
        <f t="shared" si="79"/>
        <v>0</v>
      </c>
      <c r="BD110">
        <f t="shared" si="80"/>
        <v>0</v>
      </c>
      <c r="BE110">
        <f t="shared" si="81"/>
        <v>0</v>
      </c>
      <c r="BF110">
        <f t="shared" si="82"/>
        <v>0</v>
      </c>
      <c r="BG110">
        <f t="shared" si="83"/>
        <v>0</v>
      </c>
      <c r="BH110">
        <f t="shared" si="84"/>
        <v>0</v>
      </c>
      <c r="BI110">
        <f t="shared" si="85"/>
        <v>0</v>
      </c>
    </row>
    <row r="111" spans="1:61" x14ac:dyDescent="0.35">
      <c r="A111" t="s">
        <v>51</v>
      </c>
      <c r="B111" s="1">
        <v>34929</v>
      </c>
      <c r="C111" t="s">
        <v>336</v>
      </c>
      <c r="D111" t="s">
        <v>45</v>
      </c>
      <c r="E111" t="s">
        <v>331</v>
      </c>
      <c r="F111" t="s">
        <v>45</v>
      </c>
      <c r="G111" t="s">
        <v>102</v>
      </c>
      <c r="H111" s="139">
        <f t="shared" si="59"/>
        <v>0</v>
      </c>
      <c r="I111" t="s">
        <v>337</v>
      </c>
      <c r="J111" t="s">
        <v>269</v>
      </c>
      <c r="K111" s="2">
        <f t="shared" si="62"/>
        <v>7</v>
      </c>
      <c r="L111">
        <v>1150000000</v>
      </c>
      <c r="M111" s="2">
        <f t="shared" si="63"/>
        <v>9.0606978403536118</v>
      </c>
      <c r="N111">
        <v>1150000000</v>
      </c>
      <c r="O111">
        <v>0</v>
      </c>
      <c r="P111" s="1">
        <v>35828</v>
      </c>
      <c r="Q111" s="89">
        <f t="shared" si="64"/>
        <v>1998</v>
      </c>
      <c r="R111" t="s">
        <v>338</v>
      </c>
      <c r="S111">
        <v>0</v>
      </c>
      <c r="T111" s="21">
        <f t="shared" si="55"/>
        <v>2.463013698630137</v>
      </c>
      <c r="U111">
        <v>0</v>
      </c>
      <c r="V111">
        <f t="shared" si="65"/>
        <v>0</v>
      </c>
      <c r="W111">
        <v>1932</v>
      </c>
      <c r="X111">
        <v>63</v>
      </c>
      <c r="Y111">
        <f t="shared" si="66"/>
        <v>1.8061799739838871</v>
      </c>
      <c r="Z111" s="45">
        <v>2.95</v>
      </c>
      <c r="AA111" s="9">
        <f t="shared" si="56"/>
        <v>-1150000000</v>
      </c>
      <c r="AB111" s="15">
        <f t="shared" si="57"/>
        <v>-1</v>
      </c>
      <c r="AC111" s="34">
        <f t="shared" si="67"/>
        <v>-1</v>
      </c>
      <c r="AD111">
        <v>1171.498</v>
      </c>
      <c r="AE111">
        <f t="shared" si="60"/>
        <v>3.0687415514991745</v>
      </c>
      <c r="AF111">
        <v>3386.1060000000002</v>
      </c>
      <c r="AG111">
        <f t="shared" si="61"/>
        <v>3.5297005493117593</v>
      </c>
      <c r="AH111" s="9">
        <v>0</v>
      </c>
      <c r="AI111" s="9">
        <f t="shared" si="68"/>
        <v>0</v>
      </c>
      <c r="AJ111">
        <v>85</v>
      </c>
      <c r="AK111" s="15" t="s">
        <v>332</v>
      </c>
      <c r="AL111" s="42">
        <v>37.808596853116498</v>
      </c>
      <c r="AM111" s="24">
        <v>0.79</v>
      </c>
      <c r="AN111" s="34">
        <f t="shared" si="69"/>
        <v>0.2528530309798932</v>
      </c>
      <c r="AO111">
        <v>1976</v>
      </c>
      <c r="AP111">
        <v>19</v>
      </c>
      <c r="AQ111">
        <v>70</v>
      </c>
      <c r="AR111">
        <v>70</v>
      </c>
      <c r="AS111">
        <f t="shared" si="58"/>
        <v>1</v>
      </c>
      <c r="AT111">
        <f t="shared" si="70"/>
        <v>1</v>
      </c>
      <c r="AU111">
        <f t="shared" si="71"/>
        <v>0</v>
      </c>
      <c r="AV111">
        <f t="shared" si="72"/>
        <v>0</v>
      </c>
      <c r="AW111">
        <f t="shared" si="73"/>
        <v>0</v>
      </c>
      <c r="AX111">
        <f t="shared" si="74"/>
        <v>0</v>
      </c>
      <c r="AY111">
        <f t="shared" si="75"/>
        <v>0</v>
      </c>
      <c r="AZ111">
        <f t="shared" si="76"/>
        <v>0</v>
      </c>
      <c r="BA111">
        <f t="shared" si="77"/>
        <v>0</v>
      </c>
      <c r="BB111">
        <f t="shared" si="78"/>
        <v>0</v>
      </c>
      <c r="BC111">
        <f t="shared" si="79"/>
        <v>0</v>
      </c>
      <c r="BD111">
        <f t="shared" si="80"/>
        <v>0</v>
      </c>
      <c r="BE111">
        <f t="shared" si="81"/>
        <v>0</v>
      </c>
      <c r="BF111">
        <f t="shared" si="82"/>
        <v>0</v>
      </c>
      <c r="BG111">
        <f t="shared" si="83"/>
        <v>0</v>
      </c>
      <c r="BH111">
        <f t="shared" si="84"/>
        <v>0</v>
      </c>
      <c r="BI111">
        <f t="shared" si="85"/>
        <v>0</v>
      </c>
    </row>
    <row r="112" spans="1:61" x14ac:dyDescent="0.35">
      <c r="A112" t="s">
        <v>51</v>
      </c>
      <c r="B112" s="1">
        <v>35186</v>
      </c>
      <c r="C112" t="s">
        <v>339</v>
      </c>
      <c r="D112" t="s">
        <v>59</v>
      </c>
      <c r="E112" t="s">
        <v>331</v>
      </c>
      <c r="F112" t="s">
        <v>45</v>
      </c>
      <c r="G112" t="s">
        <v>125</v>
      </c>
      <c r="H112" s="139">
        <f t="shared" si="59"/>
        <v>1</v>
      </c>
      <c r="I112" t="s">
        <v>268</v>
      </c>
      <c r="J112" t="s">
        <v>186</v>
      </c>
      <c r="K112" s="2">
        <f t="shared" si="62"/>
        <v>4</v>
      </c>
      <c r="L112">
        <v>305000000</v>
      </c>
      <c r="M112" s="2">
        <f t="shared" si="63"/>
        <v>8.4842998393467859</v>
      </c>
      <c r="N112">
        <v>305000000</v>
      </c>
      <c r="O112">
        <v>0</v>
      </c>
      <c r="P112" s="1">
        <v>35719</v>
      </c>
      <c r="Q112" s="89">
        <f t="shared" si="64"/>
        <v>1997</v>
      </c>
      <c r="R112" t="s">
        <v>322</v>
      </c>
      <c r="S112">
        <v>1500000000</v>
      </c>
      <c r="T112" s="21">
        <f t="shared" si="55"/>
        <v>1.4602739726027398</v>
      </c>
      <c r="U112">
        <v>5897.96</v>
      </c>
      <c r="V112">
        <f t="shared" si="65"/>
        <v>3.7707754512906644</v>
      </c>
      <c r="W112">
        <v>1995</v>
      </c>
      <c r="X112">
        <v>1</v>
      </c>
      <c r="Y112">
        <f t="shared" si="66"/>
        <v>0.3010299956639812</v>
      </c>
      <c r="Z112" s="45">
        <v>2.3199999999999998</v>
      </c>
      <c r="AA112" s="9">
        <f t="shared" si="56"/>
        <v>1195000000</v>
      </c>
      <c r="AB112" s="15">
        <f t="shared" si="57"/>
        <v>3.918032786885246</v>
      </c>
      <c r="AC112" s="34">
        <f t="shared" si="67"/>
        <v>0.69179141970889546</v>
      </c>
      <c r="AD112">
        <v>1171.498</v>
      </c>
      <c r="AE112">
        <f t="shared" si="60"/>
        <v>3.0687415514991745</v>
      </c>
      <c r="AF112">
        <v>3386.1060000000002</v>
      </c>
      <c r="AG112">
        <f t="shared" si="61"/>
        <v>3.5297005493117593</v>
      </c>
      <c r="AH112" s="9">
        <v>132</v>
      </c>
      <c r="AI112" s="9">
        <f t="shared" si="68"/>
        <v>2.1238516409670858</v>
      </c>
      <c r="AJ112">
        <v>85</v>
      </c>
      <c r="AK112" s="15" t="s">
        <v>340</v>
      </c>
      <c r="AL112" s="42">
        <v>36.913126831903199</v>
      </c>
      <c r="AM112" s="24">
        <v>0.46</v>
      </c>
      <c r="AN112" s="34">
        <f t="shared" si="69"/>
        <v>0.16435285578443709</v>
      </c>
      <c r="AO112">
        <v>1976</v>
      </c>
      <c r="AP112">
        <v>20</v>
      </c>
      <c r="AQ112">
        <v>70</v>
      </c>
      <c r="AR112">
        <v>90</v>
      </c>
      <c r="AS112">
        <f t="shared" si="58"/>
        <v>0</v>
      </c>
      <c r="AT112">
        <f t="shared" si="70"/>
        <v>0</v>
      </c>
      <c r="AU112">
        <f t="shared" si="71"/>
        <v>1</v>
      </c>
      <c r="AV112">
        <f t="shared" si="72"/>
        <v>0</v>
      </c>
      <c r="AW112">
        <f t="shared" si="73"/>
        <v>0</v>
      </c>
      <c r="AX112">
        <f t="shared" si="74"/>
        <v>0</v>
      </c>
      <c r="AY112">
        <f t="shared" si="75"/>
        <v>0</v>
      </c>
      <c r="AZ112">
        <f t="shared" si="76"/>
        <v>0</v>
      </c>
      <c r="BA112">
        <f t="shared" si="77"/>
        <v>0</v>
      </c>
      <c r="BB112">
        <f t="shared" si="78"/>
        <v>0</v>
      </c>
      <c r="BC112">
        <f t="shared" si="79"/>
        <v>0</v>
      </c>
      <c r="BD112">
        <f t="shared" si="80"/>
        <v>0</v>
      </c>
      <c r="BE112">
        <f t="shared" si="81"/>
        <v>0</v>
      </c>
      <c r="BF112">
        <f t="shared" si="82"/>
        <v>0</v>
      </c>
      <c r="BG112">
        <f t="shared" si="83"/>
        <v>0</v>
      </c>
      <c r="BH112">
        <f t="shared" si="84"/>
        <v>0</v>
      </c>
      <c r="BI112">
        <f t="shared" si="85"/>
        <v>0</v>
      </c>
    </row>
    <row r="113" spans="1:61" x14ac:dyDescent="0.35">
      <c r="A113" t="s">
        <v>51</v>
      </c>
      <c r="B113" s="1">
        <v>35570</v>
      </c>
      <c r="C113" t="s">
        <v>341</v>
      </c>
      <c r="D113" t="s">
        <v>45</v>
      </c>
      <c r="E113" t="s">
        <v>342</v>
      </c>
      <c r="F113" t="s">
        <v>45</v>
      </c>
      <c r="G113" t="s">
        <v>102</v>
      </c>
      <c r="H113" s="139">
        <f t="shared" si="59"/>
        <v>0</v>
      </c>
      <c r="I113" t="s">
        <v>234</v>
      </c>
      <c r="J113" t="s">
        <v>235</v>
      </c>
      <c r="K113" s="2">
        <f t="shared" si="62"/>
        <v>1</v>
      </c>
      <c r="L113">
        <v>1201720000</v>
      </c>
      <c r="M113" s="2">
        <f t="shared" si="63"/>
        <v>9.079803289113908</v>
      </c>
      <c r="N113">
        <v>1201720000</v>
      </c>
      <c r="O113">
        <v>0</v>
      </c>
      <c r="P113" s="1">
        <v>38239</v>
      </c>
      <c r="Q113" s="89">
        <f t="shared" si="64"/>
        <v>2004</v>
      </c>
      <c r="R113" t="s">
        <v>322</v>
      </c>
      <c r="S113">
        <v>1662100000</v>
      </c>
      <c r="T113" s="21">
        <f t="shared" si="55"/>
        <v>7.3123287671232875</v>
      </c>
      <c r="U113">
        <v>0</v>
      </c>
      <c r="V113">
        <f t="shared" si="65"/>
        <v>0</v>
      </c>
      <c r="W113">
        <v>1932</v>
      </c>
      <c r="X113">
        <v>65</v>
      </c>
      <c r="Y113">
        <f t="shared" si="66"/>
        <v>1.8195439355418688</v>
      </c>
      <c r="Z113" s="45">
        <v>2.95</v>
      </c>
      <c r="AA113" s="9">
        <f t="shared" si="56"/>
        <v>460380000</v>
      </c>
      <c r="AB113" s="15">
        <f t="shared" si="57"/>
        <v>0.38310088872615911</v>
      </c>
      <c r="AC113" s="34">
        <f t="shared" si="67"/>
        <v>0.14085386038334191</v>
      </c>
      <c r="AD113">
        <v>1171.498</v>
      </c>
      <c r="AE113">
        <f t="shared" si="60"/>
        <v>3.0687415514991745</v>
      </c>
      <c r="AF113">
        <v>3386.1060000000002</v>
      </c>
      <c r="AG113">
        <f t="shared" si="61"/>
        <v>3.5297005493117593</v>
      </c>
      <c r="AH113" s="9">
        <v>0</v>
      </c>
      <c r="AI113" s="9">
        <f t="shared" si="68"/>
        <v>0</v>
      </c>
      <c r="AJ113">
        <v>85</v>
      </c>
      <c r="AK113" s="15" t="s">
        <v>187</v>
      </c>
      <c r="AL113" s="42">
        <v>35.968444143503902</v>
      </c>
      <c r="AM113" s="24">
        <v>0.33</v>
      </c>
      <c r="AN113" s="34">
        <f t="shared" si="69"/>
        <v>0.12385164096708581</v>
      </c>
      <c r="AO113">
        <v>1976</v>
      </c>
      <c r="AP113">
        <v>21</v>
      </c>
      <c r="AQ113">
        <v>70</v>
      </c>
      <c r="AR113">
        <v>70</v>
      </c>
      <c r="AS113">
        <f t="shared" si="58"/>
        <v>0</v>
      </c>
      <c r="AT113">
        <f t="shared" si="70"/>
        <v>1</v>
      </c>
      <c r="AU113">
        <f t="shared" si="71"/>
        <v>0</v>
      </c>
      <c r="AV113">
        <f t="shared" si="72"/>
        <v>0</v>
      </c>
      <c r="AW113">
        <f t="shared" si="73"/>
        <v>0</v>
      </c>
      <c r="AX113">
        <f t="shared" si="74"/>
        <v>0</v>
      </c>
      <c r="AY113">
        <f t="shared" si="75"/>
        <v>0</v>
      </c>
      <c r="AZ113">
        <f t="shared" si="76"/>
        <v>0</v>
      </c>
      <c r="BA113">
        <f t="shared" si="77"/>
        <v>0</v>
      </c>
      <c r="BB113">
        <f t="shared" si="78"/>
        <v>0</v>
      </c>
      <c r="BC113">
        <f t="shared" si="79"/>
        <v>0</v>
      </c>
      <c r="BD113">
        <f t="shared" si="80"/>
        <v>0</v>
      </c>
      <c r="BE113">
        <f t="shared" si="81"/>
        <v>0</v>
      </c>
      <c r="BF113">
        <f t="shared" si="82"/>
        <v>0</v>
      </c>
      <c r="BG113">
        <f t="shared" si="83"/>
        <v>0</v>
      </c>
      <c r="BH113">
        <f t="shared" si="84"/>
        <v>0</v>
      </c>
      <c r="BI113">
        <f t="shared" si="85"/>
        <v>0</v>
      </c>
    </row>
    <row r="114" spans="1:61" x14ac:dyDescent="0.35">
      <c r="A114" t="s">
        <v>51</v>
      </c>
      <c r="B114" s="1">
        <v>35562</v>
      </c>
      <c r="C114" t="s">
        <v>343</v>
      </c>
      <c r="D114" t="s">
        <v>45</v>
      </c>
      <c r="E114" t="s">
        <v>344</v>
      </c>
      <c r="F114" t="s">
        <v>45</v>
      </c>
      <c r="G114" t="s">
        <v>102</v>
      </c>
      <c r="H114" s="139">
        <f t="shared" si="59"/>
        <v>0</v>
      </c>
      <c r="I114" t="s">
        <v>268</v>
      </c>
      <c r="J114" t="s">
        <v>248</v>
      </c>
      <c r="K114" s="2">
        <f t="shared" si="62"/>
        <v>5</v>
      </c>
      <c r="L114">
        <v>660000000</v>
      </c>
      <c r="M114" s="2">
        <f t="shared" si="63"/>
        <v>8.8195439355418692</v>
      </c>
      <c r="N114">
        <v>322000000</v>
      </c>
      <c r="O114">
        <v>338000000</v>
      </c>
      <c r="P114" s="1">
        <v>38384</v>
      </c>
      <c r="Q114" s="89">
        <f t="shared" si="64"/>
        <v>2005</v>
      </c>
      <c r="R114" t="s">
        <v>338</v>
      </c>
      <c r="S114">
        <v>0</v>
      </c>
      <c r="T114" s="21">
        <f t="shared" si="55"/>
        <v>7.7315068493150685</v>
      </c>
      <c r="U114">
        <v>0</v>
      </c>
      <c r="V114">
        <f t="shared" si="65"/>
        <v>0</v>
      </c>
      <c r="W114">
        <v>1986</v>
      </c>
      <c r="X114">
        <v>11</v>
      </c>
      <c r="Y114">
        <f t="shared" si="66"/>
        <v>1.0791812460476249</v>
      </c>
      <c r="Z114" s="45">
        <v>2.95</v>
      </c>
      <c r="AA114" s="9">
        <f t="shared" si="56"/>
        <v>-322000000</v>
      </c>
      <c r="AB114" s="15">
        <f t="shared" si="57"/>
        <v>-1</v>
      </c>
      <c r="AC114" s="34">
        <f t="shared" si="67"/>
        <v>-1</v>
      </c>
      <c r="AD114">
        <v>1171.498</v>
      </c>
      <c r="AE114">
        <f t="shared" si="60"/>
        <v>3.0687415514991745</v>
      </c>
      <c r="AF114">
        <v>3386.1060000000002</v>
      </c>
      <c r="AG114">
        <f t="shared" si="61"/>
        <v>3.5297005493117593</v>
      </c>
      <c r="AH114" s="9">
        <v>0</v>
      </c>
      <c r="AI114" s="9">
        <f t="shared" si="68"/>
        <v>0</v>
      </c>
      <c r="AJ114">
        <v>85</v>
      </c>
      <c r="AK114" s="15" t="s">
        <v>187</v>
      </c>
      <c r="AL114" s="42">
        <v>35.968444143503902</v>
      </c>
      <c r="AM114" s="24">
        <v>0.42</v>
      </c>
      <c r="AN114" s="34">
        <f t="shared" si="69"/>
        <v>0.15228834438305647</v>
      </c>
      <c r="AO114">
        <v>1976</v>
      </c>
      <c r="AP114">
        <v>21</v>
      </c>
      <c r="AQ114">
        <v>70</v>
      </c>
      <c r="AR114">
        <v>70</v>
      </c>
      <c r="AS114">
        <f t="shared" si="58"/>
        <v>1</v>
      </c>
      <c r="AT114">
        <f t="shared" si="70"/>
        <v>1</v>
      </c>
      <c r="AU114">
        <f t="shared" si="71"/>
        <v>0</v>
      </c>
      <c r="AV114">
        <f t="shared" si="72"/>
        <v>0</v>
      </c>
      <c r="AW114">
        <f t="shared" si="73"/>
        <v>0</v>
      </c>
      <c r="AX114">
        <f t="shared" si="74"/>
        <v>0</v>
      </c>
      <c r="AY114">
        <f t="shared" si="75"/>
        <v>0</v>
      </c>
      <c r="AZ114">
        <f t="shared" si="76"/>
        <v>0</v>
      </c>
      <c r="BA114">
        <f t="shared" si="77"/>
        <v>0</v>
      </c>
      <c r="BB114">
        <f t="shared" si="78"/>
        <v>0</v>
      </c>
      <c r="BC114">
        <f t="shared" si="79"/>
        <v>0</v>
      </c>
      <c r="BD114">
        <f t="shared" si="80"/>
        <v>0</v>
      </c>
      <c r="BE114">
        <f t="shared" si="81"/>
        <v>0</v>
      </c>
      <c r="BF114">
        <f t="shared" si="82"/>
        <v>0</v>
      </c>
      <c r="BG114">
        <f t="shared" si="83"/>
        <v>0</v>
      </c>
      <c r="BH114">
        <f t="shared" si="84"/>
        <v>0</v>
      </c>
      <c r="BI114">
        <f t="shared" si="85"/>
        <v>0</v>
      </c>
    </row>
    <row r="115" spans="1:61" x14ac:dyDescent="0.35">
      <c r="A115" t="s">
        <v>345</v>
      </c>
      <c r="B115" s="1">
        <v>35799</v>
      </c>
      <c r="C115" t="s">
        <v>346</v>
      </c>
      <c r="D115" t="s">
        <v>45</v>
      </c>
      <c r="E115" t="s">
        <v>344</v>
      </c>
      <c r="F115" t="s">
        <v>45</v>
      </c>
      <c r="G115" t="s">
        <v>102</v>
      </c>
      <c r="H115" s="139">
        <f t="shared" si="59"/>
        <v>0</v>
      </c>
      <c r="I115" t="s">
        <v>268</v>
      </c>
      <c r="J115" t="s">
        <v>248</v>
      </c>
      <c r="K115" s="2">
        <f t="shared" si="62"/>
        <v>5</v>
      </c>
      <c r="L115">
        <v>593000000</v>
      </c>
      <c r="M115" s="2">
        <f t="shared" si="63"/>
        <v>8.7730546933642621</v>
      </c>
      <c r="N115">
        <v>583000000</v>
      </c>
      <c r="O115">
        <v>10000000</v>
      </c>
      <c r="P115" s="1">
        <v>37682</v>
      </c>
      <c r="Q115" s="89">
        <f t="shared" si="64"/>
        <v>2003</v>
      </c>
      <c r="R115" t="s">
        <v>338</v>
      </c>
      <c r="S115">
        <v>0</v>
      </c>
      <c r="T115" s="21">
        <f t="shared" si="55"/>
        <v>5.1589041095890407</v>
      </c>
      <c r="U115">
        <v>0</v>
      </c>
      <c r="V115">
        <f t="shared" si="65"/>
        <v>0</v>
      </c>
      <c r="W115">
        <v>1991</v>
      </c>
      <c r="X115">
        <v>7</v>
      </c>
      <c r="Y115">
        <f t="shared" si="66"/>
        <v>0.90308998699194354</v>
      </c>
      <c r="Z115" s="45">
        <v>2.95</v>
      </c>
      <c r="AA115" s="9">
        <f t="shared" si="56"/>
        <v>-583000000</v>
      </c>
      <c r="AB115" s="15">
        <f t="shared" si="57"/>
        <v>-1</v>
      </c>
      <c r="AC115" s="34">
        <f t="shared" si="67"/>
        <v>-1</v>
      </c>
      <c r="AD115">
        <v>1171.498</v>
      </c>
      <c r="AE115">
        <f t="shared" si="60"/>
        <v>3.0687415514991745</v>
      </c>
      <c r="AF115">
        <v>3386.1060000000002</v>
      </c>
      <c r="AG115">
        <f t="shared" si="61"/>
        <v>3.5297005493117593</v>
      </c>
      <c r="AH115" s="9">
        <v>0</v>
      </c>
      <c r="AI115" s="9">
        <f t="shared" si="68"/>
        <v>0</v>
      </c>
      <c r="AJ115">
        <v>85</v>
      </c>
      <c r="AK115" s="15" t="s">
        <v>75</v>
      </c>
      <c r="AL115" s="42">
        <v>35.119429201759203</v>
      </c>
      <c r="AM115" s="24">
        <v>-0.14000000000000001</v>
      </c>
      <c r="AN115" s="34">
        <f t="shared" si="69"/>
        <v>-6.5501548756432285E-2</v>
      </c>
      <c r="AO115">
        <v>1976</v>
      </c>
      <c r="AP115">
        <v>22</v>
      </c>
      <c r="AQ115">
        <v>70</v>
      </c>
      <c r="AR115">
        <v>70</v>
      </c>
      <c r="AS115">
        <f t="shared" si="58"/>
        <v>1</v>
      </c>
      <c r="AT115">
        <f t="shared" si="70"/>
        <v>1</v>
      </c>
      <c r="AU115">
        <f t="shared" si="71"/>
        <v>0</v>
      </c>
      <c r="AV115">
        <f t="shared" si="72"/>
        <v>0</v>
      </c>
      <c r="AW115">
        <f t="shared" si="73"/>
        <v>0</v>
      </c>
      <c r="AX115">
        <f t="shared" si="74"/>
        <v>0</v>
      </c>
      <c r="AY115">
        <f t="shared" si="75"/>
        <v>0</v>
      </c>
      <c r="AZ115">
        <f t="shared" si="76"/>
        <v>0</v>
      </c>
      <c r="BA115">
        <f t="shared" si="77"/>
        <v>0</v>
      </c>
      <c r="BB115">
        <f t="shared" si="78"/>
        <v>0</v>
      </c>
      <c r="BC115">
        <f t="shared" si="79"/>
        <v>0</v>
      </c>
      <c r="BD115">
        <f t="shared" si="80"/>
        <v>0</v>
      </c>
      <c r="BE115">
        <f t="shared" si="81"/>
        <v>0</v>
      </c>
      <c r="BF115">
        <f t="shared" si="82"/>
        <v>0</v>
      </c>
      <c r="BG115">
        <f t="shared" si="83"/>
        <v>0</v>
      </c>
      <c r="BH115">
        <f t="shared" si="84"/>
        <v>0</v>
      </c>
      <c r="BI115">
        <f t="shared" si="85"/>
        <v>0</v>
      </c>
    </row>
    <row r="116" spans="1:61" x14ac:dyDescent="0.35">
      <c r="A116" t="s">
        <v>347</v>
      </c>
      <c r="B116" s="1">
        <v>36202</v>
      </c>
      <c r="C116" t="s">
        <v>348</v>
      </c>
      <c r="D116" t="s">
        <v>45</v>
      </c>
      <c r="E116" t="s">
        <v>344</v>
      </c>
      <c r="F116" t="s">
        <v>45</v>
      </c>
      <c r="G116" t="s">
        <v>102</v>
      </c>
      <c r="H116" s="139">
        <f t="shared" si="59"/>
        <v>0</v>
      </c>
      <c r="I116" t="s">
        <v>234</v>
      </c>
      <c r="J116" t="s">
        <v>190</v>
      </c>
      <c r="K116" s="2">
        <f t="shared" si="62"/>
        <v>2</v>
      </c>
      <c r="L116">
        <v>842020000</v>
      </c>
      <c r="M116" s="2">
        <f t="shared" si="63"/>
        <v>8.9253224071605537</v>
      </c>
      <c r="N116">
        <v>842020000</v>
      </c>
      <c r="O116">
        <v>0</v>
      </c>
      <c r="P116" s="1">
        <v>39188</v>
      </c>
      <c r="Q116" s="89">
        <f t="shared" si="64"/>
        <v>2007</v>
      </c>
      <c r="R116" t="s">
        <v>107</v>
      </c>
      <c r="S116">
        <v>327900000</v>
      </c>
      <c r="T116" s="21">
        <f t="shared" si="55"/>
        <v>8.1808219178082187</v>
      </c>
      <c r="U116">
        <v>0</v>
      </c>
      <c r="V116">
        <f t="shared" si="65"/>
        <v>0</v>
      </c>
      <c r="W116">
        <v>1983</v>
      </c>
      <c r="X116">
        <v>16</v>
      </c>
      <c r="Y116">
        <f t="shared" si="66"/>
        <v>1.2304489213782739</v>
      </c>
      <c r="Z116" s="45">
        <v>2.95</v>
      </c>
      <c r="AA116" s="9">
        <f t="shared" si="56"/>
        <v>-514120000</v>
      </c>
      <c r="AB116" s="15">
        <f t="shared" si="57"/>
        <v>-0.61057932115626712</v>
      </c>
      <c r="AC116" s="34">
        <f t="shared" si="67"/>
        <v>-0.40958099049118918</v>
      </c>
      <c r="AD116">
        <v>1171.498</v>
      </c>
      <c r="AE116">
        <f t="shared" si="60"/>
        <v>3.0687415514991745</v>
      </c>
      <c r="AF116">
        <v>3386.1060000000002</v>
      </c>
      <c r="AG116">
        <f t="shared" si="61"/>
        <v>3.5297005493117593</v>
      </c>
      <c r="AH116" s="9">
        <v>0</v>
      </c>
      <c r="AI116" s="9">
        <f t="shared" si="68"/>
        <v>0</v>
      </c>
      <c r="AJ116">
        <v>85</v>
      </c>
      <c r="AK116" s="15" t="s">
        <v>75</v>
      </c>
      <c r="AL116" s="42">
        <v>34.656907836978597</v>
      </c>
      <c r="AM116" s="24">
        <v>0.17</v>
      </c>
      <c r="AN116" s="34">
        <f t="shared" si="69"/>
        <v>6.8185861746161619E-2</v>
      </c>
      <c r="AO116">
        <v>1976</v>
      </c>
      <c r="AP116">
        <v>23</v>
      </c>
      <c r="AQ116">
        <v>70</v>
      </c>
      <c r="AR116">
        <v>70</v>
      </c>
      <c r="AS116">
        <f t="shared" si="58"/>
        <v>0</v>
      </c>
      <c r="AT116">
        <f t="shared" si="70"/>
        <v>1</v>
      </c>
      <c r="AU116">
        <f t="shared" si="71"/>
        <v>0</v>
      </c>
      <c r="AV116">
        <f t="shared" si="72"/>
        <v>0</v>
      </c>
      <c r="AW116">
        <f t="shared" si="73"/>
        <v>0</v>
      </c>
      <c r="AX116">
        <f t="shared" si="74"/>
        <v>0</v>
      </c>
      <c r="AY116">
        <f t="shared" si="75"/>
        <v>0</v>
      </c>
      <c r="AZ116">
        <f t="shared" si="76"/>
        <v>0</v>
      </c>
      <c r="BA116">
        <f t="shared" si="77"/>
        <v>0</v>
      </c>
      <c r="BB116">
        <f t="shared" si="78"/>
        <v>0</v>
      </c>
      <c r="BC116">
        <f t="shared" si="79"/>
        <v>0</v>
      </c>
      <c r="BD116">
        <f t="shared" si="80"/>
        <v>0</v>
      </c>
      <c r="BE116">
        <f t="shared" si="81"/>
        <v>0</v>
      </c>
      <c r="BF116">
        <f t="shared" si="82"/>
        <v>0</v>
      </c>
      <c r="BG116">
        <f t="shared" si="83"/>
        <v>0</v>
      </c>
      <c r="BH116">
        <f t="shared" si="84"/>
        <v>0</v>
      </c>
      <c r="BI116">
        <f t="shared" si="85"/>
        <v>0</v>
      </c>
    </row>
    <row r="117" spans="1:61" x14ac:dyDescent="0.35">
      <c r="A117" t="s">
        <v>349</v>
      </c>
      <c r="B117" s="1">
        <v>36574</v>
      </c>
      <c r="C117" t="s">
        <v>350</v>
      </c>
      <c r="D117" t="s">
        <v>45</v>
      </c>
      <c r="E117" t="s">
        <v>344</v>
      </c>
      <c r="F117" t="s">
        <v>45</v>
      </c>
      <c r="G117" t="s">
        <v>102</v>
      </c>
      <c r="H117" s="139">
        <f t="shared" si="59"/>
        <v>0</v>
      </c>
      <c r="I117" t="s">
        <v>234</v>
      </c>
      <c r="J117" t="s">
        <v>186</v>
      </c>
      <c r="K117" s="2">
        <f t="shared" si="62"/>
        <v>4</v>
      </c>
      <c r="L117">
        <v>200000000</v>
      </c>
      <c r="M117" s="2">
        <f t="shared" si="63"/>
        <v>8.3010299956639813</v>
      </c>
      <c r="N117">
        <v>200000000</v>
      </c>
      <c r="O117">
        <v>0</v>
      </c>
      <c r="P117" s="1">
        <v>38352</v>
      </c>
      <c r="Q117" s="89">
        <f t="shared" si="64"/>
        <v>2004</v>
      </c>
      <c r="R117" t="s">
        <v>338</v>
      </c>
      <c r="S117">
        <v>0</v>
      </c>
      <c r="T117" s="21">
        <f t="shared" si="55"/>
        <v>4.8712328767123285</v>
      </c>
      <c r="U117">
        <v>0</v>
      </c>
      <c r="V117">
        <f t="shared" si="65"/>
        <v>0</v>
      </c>
      <c r="W117">
        <v>1987</v>
      </c>
      <c r="X117">
        <v>13</v>
      </c>
      <c r="Y117">
        <f t="shared" si="66"/>
        <v>1.146128035678238</v>
      </c>
      <c r="Z117" s="45">
        <v>2.95</v>
      </c>
      <c r="AA117" s="9">
        <f t="shared" si="56"/>
        <v>-200000000</v>
      </c>
      <c r="AB117" s="15">
        <f t="shared" si="57"/>
        <v>-1</v>
      </c>
      <c r="AC117" s="34">
        <f t="shared" si="67"/>
        <v>-1</v>
      </c>
      <c r="AD117">
        <v>1171.498</v>
      </c>
      <c r="AE117">
        <f t="shared" si="60"/>
        <v>3.0687415514991745</v>
      </c>
      <c r="AF117">
        <v>3386.1060000000002</v>
      </c>
      <c r="AG117">
        <f t="shared" si="61"/>
        <v>3.5297005493117593</v>
      </c>
      <c r="AH117" s="9">
        <v>0</v>
      </c>
      <c r="AI117" s="9">
        <f t="shared" si="68"/>
        <v>0</v>
      </c>
      <c r="AJ117">
        <v>85</v>
      </c>
      <c r="AK117" s="15" t="s">
        <v>351</v>
      </c>
      <c r="AL117" s="42">
        <v>34.298950279384798</v>
      </c>
      <c r="AM117" s="24">
        <v>-0.1</v>
      </c>
      <c r="AN117" s="34">
        <f t="shared" si="69"/>
        <v>-4.5757490560675115E-2</v>
      </c>
      <c r="AO117">
        <v>1976</v>
      </c>
      <c r="AP117">
        <v>24</v>
      </c>
      <c r="AQ117">
        <v>70</v>
      </c>
      <c r="AR117">
        <v>70</v>
      </c>
      <c r="AS117">
        <f t="shared" si="58"/>
        <v>1</v>
      </c>
      <c r="AT117">
        <f t="shared" si="70"/>
        <v>1</v>
      </c>
      <c r="AU117">
        <f t="shared" si="71"/>
        <v>0</v>
      </c>
      <c r="AV117">
        <f t="shared" si="72"/>
        <v>0</v>
      </c>
      <c r="AW117">
        <f t="shared" si="73"/>
        <v>0</v>
      </c>
      <c r="AX117">
        <f t="shared" si="74"/>
        <v>0</v>
      </c>
      <c r="AY117">
        <f t="shared" si="75"/>
        <v>0</v>
      </c>
      <c r="AZ117">
        <f t="shared" si="76"/>
        <v>0</v>
      </c>
      <c r="BA117">
        <f t="shared" si="77"/>
        <v>0</v>
      </c>
      <c r="BB117">
        <f t="shared" si="78"/>
        <v>0</v>
      </c>
      <c r="BC117">
        <f t="shared" si="79"/>
        <v>0</v>
      </c>
      <c r="BD117">
        <f t="shared" si="80"/>
        <v>0</v>
      </c>
      <c r="BE117">
        <f t="shared" si="81"/>
        <v>0</v>
      </c>
      <c r="BF117">
        <f t="shared" si="82"/>
        <v>0</v>
      </c>
      <c r="BG117">
        <f t="shared" si="83"/>
        <v>0</v>
      </c>
      <c r="BH117">
        <f t="shared" si="84"/>
        <v>0</v>
      </c>
      <c r="BI117">
        <f t="shared" si="85"/>
        <v>0</v>
      </c>
    </row>
    <row r="118" spans="1:61" x14ac:dyDescent="0.35">
      <c r="A118" t="s">
        <v>352</v>
      </c>
      <c r="B118" s="1">
        <v>36709</v>
      </c>
      <c r="C118" t="s">
        <v>353</v>
      </c>
      <c r="D118" t="s">
        <v>45</v>
      </c>
      <c r="E118" t="s">
        <v>344</v>
      </c>
      <c r="F118" t="s">
        <v>45</v>
      </c>
      <c r="G118" t="s">
        <v>102</v>
      </c>
      <c r="H118" s="139">
        <f t="shared" si="59"/>
        <v>0</v>
      </c>
      <c r="I118" t="s">
        <v>234</v>
      </c>
      <c r="J118" t="s">
        <v>186</v>
      </c>
      <c r="K118" s="2">
        <f t="shared" si="62"/>
        <v>4</v>
      </c>
      <c r="L118">
        <v>59000000</v>
      </c>
      <c r="M118" s="2">
        <f t="shared" si="63"/>
        <v>7.7708520116421438</v>
      </c>
      <c r="N118">
        <v>59000000</v>
      </c>
      <c r="O118">
        <v>0</v>
      </c>
      <c r="P118" s="1">
        <v>37187</v>
      </c>
      <c r="Q118" s="89">
        <f t="shared" si="64"/>
        <v>2001</v>
      </c>
      <c r="R118" t="s">
        <v>338</v>
      </c>
      <c r="S118">
        <v>0</v>
      </c>
      <c r="T118" s="21">
        <f t="shared" si="55"/>
        <v>1.3095890410958904</v>
      </c>
      <c r="U118">
        <v>0</v>
      </c>
      <c r="V118">
        <f t="shared" si="65"/>
        <v>0</v>
      </c>
      <c r="W118">
        <v>1997</v>
      </c>
      <c r="X118">
        <v>3</v>
      </c>
      <c r="Y118">
        <f t="shared" si="66"/>
        <v>0.6020599913279624</v>
      </c>
      <c r="Z118" s="45">
        <v>2.95</v>
      </c>
      <c r="AA118" s="9">
        <f t="shared" si="56"/>
        <v>-59000000</v>
      </c>
      <c r="AB118" s="15">
        <f t="shared" si="57"/>
        <v>-1</v>
      </c>
      <c r="AC118" s="34">
        <f t="shared" si="67"/>
        <v>-1</v>
      </c>
      <c r="AD118">
        <v>1171.498</v>
      </c>
      <c r="AE118">
        <f t="shared" si="60"/>
        <v>3.0687415514991745</v>
      </c>
      <c r="AF118">
        <v>3386.1060000000002</v>
      </c>
      <c r="AG118">
        <f t="shared" si="61"/>
        <v>3.5297005493117593</v>
      </c>
      <c r="AH118" s="9">
        <v>0</v>
      </c>
      <c r="AI118" s="9">
        <f t="shared" si="68"/>
        <v>0</v>
      </c>
      <c r="AJ118">
        <v>85</v>
      </c>
      <c r="AK118" s="15" t="s">
        <v>351</v>
      </c>
      <c r="AL118" s="42">
        <v>34.298950279384798</v>
      </c>
      <c r="AM118" s="24">
        <v>-0.25</v>
      </c>
      <c r="AN118" s="34">
        <f t="shared" si="69"/>
        <v>-0.12493873660829995</v>
      </c>
      <c r="AO118">
        <v>1976</v>
      </c>
      <c r="AP118">
        <v>24</v>
      </c>
      <c r="AQ118">
        <v>70</v>
      </c>
      <c r="AR118">
        <v>70</v>
      </c>
      <c r="AS118">
        <f t="shared" si="58"/>
        <v>1</v>
      </c>
      <c r="AT118">
        <f t="shared" si="70"/>
        <v>1</v>
      </c>
      <c r="AU118">
        <f t="shared" si="71"/>
        <v>0</v>
      </c>
      <c r="AV118">
        <f t="shared" si="72"/>
        <v>0</v>
      </c>
      <c r="AW118">
        <f t="shared" si="73"/>
        <v>0</v>
      </c>
      <c r="AX118">
        <f t="shared" si="74"/>
        <v>0</v>
      </c>
      <c r="AY118">
        <f t="shared" si="75"/>
        <v>0</v>
      </c>
      <c r="AZ118">
        <f t="shared" si="76"/>
        <v>0</v>
      </c>
      <c r="BA118">
        <f t="shared" si="77"/>
        <v>0</v>
      </c>
      <c r="BB118">
        <f t="shared" si="78"/>
        <v>0</v>
      </c>
      <c r="BC118">
        <f t="shared" si="79"/>
        <v>0</v>
      </c>
      <c r="BD118">
        <f t="shared" si="80"/>
        <v>0</v>
      </c>
      <c r="BE118">
        <f t="shared" si="81"/>
        <v>0</v>
      </c>
      <c r="BF118">
        <f t="shared" si="82"/>
        <v>0</v>
      </c>
      <c r="BG118">
        <f t="shared" si="83"/>
        <v>0</v>
      </c>
      <c r="BH118">
        <f t="shared" si="84"/>
        <v>0</v>
      </c>
      <c r="BI118">
        <f t="shared" si="85"/>
        <v>0</v>
      </c>
    </row>
    <row r="119" spans="1:61" x14ac:dyDescent="0.35">
      <c r="A119" t="s">
        <v>354</v>
      </c>
      <c r="B119" s="1">
        <v>36598</v>
      </c>
      <c r="C119" t="s">
        <v>355</v>
      </c>
      <c r="D119" t="s">
        <v>45</v>
      </c>
      <c r="E119" t="s">
        <v>344</v>
      </c>
      <c r="F119" t="s">
        <v>45</v>
      </c>
      <c r="G119" t="s">
        <v>102</v>
      </c>
      <c r="H119" s="139">
        <f t="shared" si="59"/>
        <v>0</v>
      </c>
      <c r="I119" t="s">
        <v>234</v>
      </c>
      <c r="J119" t="s">
        <v>279</v>
      </c>
      <c r="K119" s="2">
        <f t="shared" si="62"/>
        <v>10</v>
      </c>
      <c r="L119">
        <v>552210000</v>
      </c>
      <c r="M119" s="2">
        <f t="shared" si="63"/>
        <v>8.7421042670361224</v>
      </c>
      <c r="N119">
        <v>552210000</v>
      </c>
      <c r="O119">
        <v>0</v>
      </c>
      <c r="P119" s="1">
        <v>40875</v>
      </c>
      <c r="Q119" s="89">
        <f t="shared" si="64"/>
        <v>2011</v>
      </c>
      <c r="R119" t="s">
        <v>107</v>
      </c>
      <c r="S119">
        <v>923276420</v>
      </c>
      <c r="T119" s="21">
        <f t="shared" si="55"/>
        <v>11.717808219178082</v>
      </c>
      <c r="U119">
        <v>0</v>
      </c>
      <c r="V119">
        <f t="shared" si="65"/>
        <v>0</v>
      </c>
      <c r="W119">
        <v>1911</v>
      </c>
      <c r="X119">
        <v>89</v>
      </c>
      <c r="Y119">
        <f t="shared" si="66"/>
        <v>1.954242509439325</v>
      </c>
      <c r="Z119" s="45">
        <v>2.95</v>
      </c>
      <c r="AA119" s="9">
        <f t="shared" si="56"/>
        <v>371066420</v>
      </c>
      <c r="AB119" s="15">
        <f t="shared" si="57"/>
        <v>0.67196613607142219</v>
      </c>
      <c r="AC119" s="34">
        <f t="shared" si="67"/>
        <v>0.22322747701074128</v>
      </c>
      <c r="AD119">
        <v>1171.498</v>
      </c>
      <c r="AE119">
        <f t="shared" si="60"/>
        <v>3.0687415514991745</v>
      </c>
      <c r="AF119">
        <v>3386.1060000000002</v>
      </c>
      <c r="AG119">
        <f t="shared" si="61"/>
        <v>3.5297005493117593</v>
      </c>
      <c r="AH119" s="9">
        <v>0</v>
      </c>
      <c r="AI119" s="9">
        <f t="shared" si="68"/>
        <v>0</v>
      </c>
      <c r="AJ119">
        <v>85</v>
      </c>
      <c r="AK119" s="15" t="s">
        <v>351</v>
      </c>
      <c r="AL119" s="42">
        <v>34.298950279384798</v>
      </c>
      <c r="AM119" s="24">
        <v>-0.14000000000000001</v>
      </c>
      <c r="AN119" s="34">
        <f t="shared" si="69"/>
        <v>-6.5501548756432285E-2</v>
      </c>
      <c r="AO119">
        <v>1976</v>
      </c>
      <c r="AP119">
        <v>24</v>
      </c>
      <c r="AQ119">
        <v>70</v>
      </c>
      <c r="AR119">
        <v>70</v>
      </c>
      <c r="AS119">
        <f t="shared" si="58"/>
        <v>0</v>
      </c>
      <c r="AT119">
        <f t="shared" si="70"/>
        <v>1</v>
      </c>
      <c r="AU119">
        <f t="shared" si="71"/>
        <v>0</v>
      </c>
      <c r="AV119">
        <f t="shared" si="72"/>
        <v>0</v>
      </c>
      <c r="AW119">
        <f t="shared" si="73"/>
        <v>0</v>
      </c>
      <c r="AX119">
        <f t="shared" si="74"/>
        <v>0</v>
      </c>
      <c r="AY119">
        <f t="shared" si="75"/>
        <v>0</v>
      </c>
      <c r="AZ119">
        <f t="shared" si="76"/>
        <v>0</v>
      </c>
      <c r="BA119">
        <f t="shared" si="77"/>
        <v>0</v>
      </c>
      <c r="BB119">
        <f t="shared" si="78"/>
        <v>0</v>
      </c>
      <c r="BC119">
        <f t="shared" si="79"/>
        <v>0</v>
      </c>
      <c r="BD119">
        <f t="shared" si="80"/>
        <v>0</v>
      </c>
      <c r="BE119">
        <f t="shared" si="81"/>
        <v>0</v>
      </c>
      <c r="BF119">
        <f t="shared" si="82"/>
        <v>0</v>
      </c>
      <c r="BG119">
        <f t="shared" si="83"/>
        <v>0</v>
      </c>
      <c r="BH119">
        <f t="shared" si="84"/>
        <v>0</v>
      </c>
      <c r="BI119">
        <f t="shared" si="85"/>
        <v>0</v>
      </c>
    </row>
    <row r="120" spans="1:61" x14ac:dyDescent="0.35">
      <c r="A120" t="s">
        <v>51</v>
      </c>
      <c r="B120" s="1">
        <v>39396</v>
      </c>
      <c r="C120" t="s">
        <v>356</v>
      </c>
      <c r="D120" t="s">
        <v>45</v>
      </c>
      <c r="E120" t="s">
        <v>357</v>
      </c>
      <c r="F120" t="s">
        <v>45</v>
      </c>
      <c r="G120" t="s">
        <v>102</v>
      </c>
      <c r="H120" s="139">
        <f t="shared" si="59"/>
        <v>0</v>
      </c>
      <c r="I120" t="s">
        <v>234</v>
      </c>
      <c r="J120" t="s">
        <v>279</v>
      </c>
      <c r="K120" s="2">
        <f t="shared" si="62"/>
        <v>10</v>
      </c>
      <c r="L120">
        <v>48405150000</v>
      </c>
      <c r="M120" s="2">
        <f t="shared" si="63"/>
        <v>10.684891570272443</v>
      </c>
      <c r="N120">
        <v>31039150000</v>
      </c>
      <c r="O120">
        <v>17366000000</v>
      </c>
      <c r="P120" s="1">
        <v>42967</v>
      </c>
      <c r="Q120" s="89">
        <f t="shared" si="64"/>
        <v>2017</v>
      </c>
      <c r="R120" t="s">
        <v>107</v>
      </c>
      <c r="S120">
        <v>18800000000</v>
      </c>
      <c r="T120" s="21">
        <f t="shared" si="55"/>
        <v>9.7835616438356166</v>
      </c>
      <c r="U120">
        <v>0</v>
      </c>
      <c r="V120">
        <f t="shared" si="65"/>
        <v>0</v>
      </c>
      <c r="W120">
        <v>1982</v>
      </c>
      <c r="X120">
        <v>25</v>
      </c>
      <c r="Y120">
        <f t="shared" si="66"/>
        <v>1.414973347970818</v>
      </c>
      <c r="Z120" s="45">
        <v>2.95</v>
      </c>
      <c r="AA120" s="9">
        <f t="shared" si="56"/>
        <v>-12239150000</v>
      </c>
      <c r="AB120" s="15">
        <f t="shared" si="57"/>
        <v>-0.61161157438826241</v>
      </c>
      <c r="AC120" s="34">
        <f t="shared" si="67"/>
        <v>-0.41073372100876349</v>
      </c>
      <c r="AD120">
        <v>1171.498</v>
      </c>
      <c r="AE120">
        <f t="shared" si="60"/>
        <v>3.0687415514991745</v>
      </c>
      <c r="AF120">
        <v>3386.1060000000002</v>
      </c>
      <c r="AG120">
        <f t="shared" si="61"/>
        <v>3.5297005493117593</v>
      </c>
      <c r="AH120" s="9">
        <v>0</v>
      </c>
      <c r="AI120" s="9">
        <f t="shared" si="68"/>
        <v>0</v>
      </c>
      <c r="AJ120">
        <v>91.4</v>
      </c>
      <c r="AK120" s="15" t="s">
        <v>103</v>
      </c>
      <c r="AL120" s="42">
        <v>37.425715444240403</v>
      </c>
      <c r="AM120" s="24">
        <v>0.67</v>
      </c>
      <c r="AN120" s="34">
        <f t="shared" si="69"/>
        <v>0.22271647114758325</v>
      </c>
      <c r="AO120">
        <v>1976</v>
      </c>
      <c r="AP120">
        <v>31</v>
      </c>
      <c r="AQ120">
        <v>70</v>
      </c>
      <c r="AR120">
        <v>70</v>
      </c>
      <c r="AS120">
        <f t="shared" si="58"/>
        <v>0</v>
      </c>
      <c r="AT120">
        <f t="shared" si="70"/>
        <v>1</v>
      </c>
      <c r="AU120">
        <f t="shared" si="71"/>
        <v>0</v>
      </c>
      <c r="AV120">
        <f t="shared" si="72"/>
        <v>0</v>
      </c>
      <c r="AW120">
        <f t="shared" si="73"/>
        <v>0</v>
      </c>
      <c r="AX120">
        <f t="shared" si="74"/>
        <v>0</v>
      </c>
      <c r="AY120">
        <f t="shared" si="75"/>
        <v>0</v>
      </c>
      <c r="AZ120">
        <f t="shared" si="76"/>
        <v>0</v>
      </c>
      <c r="BA120">
        <f t="shared" si="77"/>
        <v>0</v>
      </c>
      <c r="BB120">
        <f t="shared" si="78"/>
        <v>0</v>
      </c>
      <c r="BC120">
        <f t="shared" si="79"/>
        <v>0</v>
      </c>
      <c r="BD120">
        <f t="shared" si="80"/>
        <v>0</v>
      </c>
      <c r="BE120">
        <f t="shared" si="81"/>
        <v>0</v>
      </c>
      <c r="BF120">
        <f t="shared" si="82"/>
        <v>0</v>
      </c>
      <c r="BG120">
        <f t="shared" si="83"/>
        <v>0</v>
      </c>
      <c r="BH120">
        <f t="shared" si="84"/>
        <v>0</v>
      </c>
      <c r="BI120">
        <f t="shared" si="85"/>
        <v>0</v>
      </c>
    </row>
    <row r="121" spans="1:61" x14ac:dyDescent="0.35">
      <c r="A121" t="s">
        <v>51</v>
      </c>
      <c r="B121" s="1">
        <v>39332</v>
      </c>
      <c r="C121" t="s">
        <v>358</v>
      </c>
      <c r="D121" t="s">
        <v>45</v>
      </c>
      <c r="E121" t="s">
        <v>357</v>
      </c>
      <c r="F121" t="s">
        <v>45</v>
      </c>
      <c r="G121" t="s">
        <v>102</v>
      </c>
      <c r="H121" s="139">
        <f t="shared" si="59"/>
        <v>0</v>
      </c>
      <c r="I121" t="s">
        <v>234</v>
      </c>
      <c r="J121" t="s">
        <v>269</v>
      </c>
      <c r="K121" s="2">
        <f t="shared" si="62"/>
        <v>7</v>
      </c>
      <c r="L121">
        <v>7321030000</v>
      </c>
      <c r="M121" s="2">
        <f t="shared" si="63"/>
        <v>9.8645721865020803</v>
      </c>
      <c r="N121">
        <v>6937530000</v>
      </c>
      <c r="O121">
        <v>383500000</v>
      </c>
      <c r="P121" s="1">
        <v>41035</v>
      </c>
      <c r="Q121" s="89">
        <f t="shared" si="64"/>
        <v>2012</v>
      </c>
      <c r="R121" t="s">
        <v>322</v>
      </c>
      <c r="S121">
        <v>7541000000</v>
      </c>
      <c r="T121" s="21">
        <f t="shared" si="55"/>
        <v>4.6657534246575345</v>
      </c>
      <c r="U121">
        <v>0</v>
      </c>
      <c r="V121">
        <f t="shared" si="65"/>
        <v>0</v>
      </c>
      <c r="W121">
        <v>1939</v>
      </c>
      <c r="X121">
        <v>68</v>
      </c>
      <c r="Y121">
        <f t="shared" si="66"/>
        <v>1.8388490907372552</v>
      </c>
      <c r="Z121" s="45">
        <v>2.95</v>
      </c>
      <c r="AA121" s="9">
        <f t="shared" si="56"/>
        <v>603470000</v>
      </c>
      <c r="AB121" s="15">
        <f t="shared" si="57"/>
        <v>3.0046318619101342E-2</v>
      </c>
      <c r="AC121" s="34">
        <f t="shared" si="67"/>
        <v>1.285675428614004E-2</v>
      </c>
      <c r="AD121">
        <v>1171.498</v>
      </c>
      <c r="AE121">
        <f t="shared" si="60"/>
        <v>3.0687415514991745</v>
      </c>
      <c r="AF121">
        <v>3386.1060000000002</v>
      </c>
      <c r="AG121">
        <f t="shared" si="61"/>
        <v>3.5297005493117593</v>
      </c>
      <c r="AH121" s="9">
        <v>0</v>
      </c>
      <c r="AI121" s="9">
        <f t="shared" si="68"/>
        <v>0</v>
      </c>
      <c r="AJ121">
        <v>91.4</v>
      </c>
      <c r="AK121" s="15" t="s">
        <v>103</v>
      </c>
      <c r="AL121" s="42">
        <v>37.425715444240403</v>
      </c>
      <c r="AM121" s="24">
        <v>-0.06</v>
      </c>
      <c r="AN121" s="34">
        <f t="shared" si="69"/>
        <v>-2.6872146400301365E-2</v>
      </c>
      <c r="AO121">
        <v>1976</v>
      </c>
      <c r="AP121">
        <v>31</v>
      </c>
      <c r="AQ121">
        <v>70</v>
      </c>
      <c r="AR121">
        <v>70</v>
      </c>
      <c r="AS121">
        <f t="shared" si="58"/>
        <v>0</v>
      </c>
      <c r="AT121">
        <f t="shared" si="70"/>
        <v>1</v>
      </c>
      <c r="AU121">
        <f t="shared" si="71"/>
        <v>0</v>
      </c>
      <c r="AV121">
        <f t="shared" si="72"/>
        <v>0</v>
      </c>
      <c r="AW121">
        <f t="shared" si="73"/>
        <v>0</v>
      </c>
      <c r="AX121">
        <f t="shared" si="74"/>
        <v>0</v>
      </c>
      <c r="AY121">
        <f t="shared" si="75"/>
        <v>0</v>
      </c>
      <c r="AZ121">
        <f t="shared" si="76"/>
        <v>0</v>
      </c>
      <c r="BA121">
        <f t="shared" si="77"/>
        <v>0</v>
      </c>
      <c r="BB121">
        <f t="shared" si="78"/>
        <v>0</v>
      </c>
      <c r="BC121">
        <f t="shared" si="79"/>
        <v>0</v>
      </c>
      <c r="BD121">
        <f t="shared" si="80"/>
        <v>0</v>
      </c>
      <c r="BE121">
        <f t="shared" si="81"/>
        <v>0</v>
      </c>
      <c r="BF121">
        <f t="shared" si="82"/>
        <v>0</v>
      </c>
      <c r="BG121">
        <f t="shared" si="83"/>
        <v>0</v>
      </c>
      <c r="BH121">
        <f t="shared" si="84"/>
        <v>0</v>
      </c>
      <c r="BI121">
        <f t="shared" si="85"/>
        <v>0</v>
      </c>
    </row>
    <row r="122" spans="1:61" x14ac:dyDescent="0.35">
      <c r="A122" t="s">
        <v>51</v>
      </c>
      <c r="B122" s="1">
        <v>39351</v>
      </c>
      <c r="C122" t="s">
        <v>359</v>
      </c>
      <c r="D122" t="s">
        <v>45</v>
      </c>
      <c r="E122" t="s">
        <v>357</v>
      </c>
      <c r="F122" t="s">
        <v>45</v>
      </c>
      <c r="G122" t="s">
        <v>102</v>
      </c>
      <c r="H122" s="139">
        <f t="shared" si="59"/>
        <v>0</v>
      </c>
      <c r="I122" t="s">
        <v>234</v>
      </c>
      <c r="J122" t="s">
        <v>190</v>
      </c>
      <c r="K122" s="2">
        <f t="shared" si="62"/>
        <v>2</v>
      </c>
      <c r="L122">
        <v>11426960000</v>
      </c>
      <c r="M122" s="2">
        <f t="shared" si="63"/>
        <v>10.057930707138228</v>
      </c>
      <c r="N122">
        <v>11317740000</v>
      </c>
      <c r="O122">
        <v>109220000</v>
      </c>
      <c r="P122" s="1">
        <v>42179</v>
      </c>
      <c r="Q122" s="89">
        <f t="shared" si="64"/>
        <v>2015</v>
      </c>
      <c r="R122" t="s">
        <v>107</v>
      </c>
      <c r="S122">
        <v>13350000000</v>
      </c>
      <c r="T122" s="21">
        <f t="shared" si="55"/>
        <v>7.7479452054794518</v>
      </c>
      <c r="U122">
        <v>0</v>
      </c>
      <c r="V122">
        <f t="shared" si="65"/>
        <v>0</v>
      </c>
      <c r="W122">
        <v>1977</v>
      </c>
      <c r="X122">
        <v>30</v>
      </c>
      <c r="Y122">
        <f t="shared" si="66"/>
        <v>1.4913616938342726</v>
      </c>
      <c r="Z122" s="45">
        <v>2.95</v>
      </c>
      <c r="AA122" s="9">
        <f t="shared" si="56"/>
        <v>2032260000</v>
      </c>
      <c r="AB122" s="15">
        <f t="shared" si="57"/>
        <v>0.16828972885176818</v>
      </c>
      <c r="AC122" s="34">
        <f t="shared" si="67"/>
        <v>6.7550558562365803E-2</v>
      </c>
      <c r="AD122">
        <v>1171.498</v>
      </c>
      <c r="AE122">
        <f t="shared" si="60"/>
        <v>3.0687415514991745</v>
      </c>
      <c r="AF122">
        <v>3386.1060000000002</v>
      </c>
      <c r="AG122">
        <f t="shared" si="61"/>
        <v>3.5297005493117593</v>
      </c>
      <c r="AH122" s="9">
        <v>0</v>
      </c>
      <c r="AI122" s="9">
        <f t="shared" si="68"/>
        <v>0</v>
      </c>
      <c r="AJ122">
        <v>91.4</v>
      </c>
      <c r="AK122" s="15" t="s">
        <v>103</v>
      </c>
      <c r="AL122" s="42">
        <v>37.425715444240403</v>
      </c>
      <c r="AM122" s="24">
        <v>0.38</v>
      </c>
      <c r="AN122" s="34">
        <f t="shared" si="69"/>
        <v>0.13987908640123647</v>
      </c>
      <c r="AO122">
        <v>1976</v>
      </c>
      <c r="AP122">
        <v>31</v>
      </c>
      <c r="AQ122">
        <v>70</v>
      </c>
      <c r="AR122">
        <v>70</v>
      </c>
      <c r="AS122">
        <f t="shared" si="58"/>
        <v>0</v>
      </c>
      <c r="AT122">
        <f t="shared" si="70"/>
        <v>1</v>
      </c>
      <c r="AU122">
        <f t="shared" si="71"/>
        <v>0</v>
      </c>
      <c r="AV122">
        <f t="shared" si="72"/>
        <v>0</v>
      </c>
      <c r="AW122">
        <f t="shared" si="73"/>
        <v>0</v>
      </c>
      <c r="AX122">
        <f t="shared" si="74"/>
        <v>0</v>
      </c>
      <c r="AY122">
        <f t="shared" si="75"/>
        <v>0</v>
      </c>
      <c r="AZ122">
        <f t="shared" si="76"/>
        <v>0</v>
      </c>
      <c r="BA122">
        <f t="shared" si="77"/>
        <v>0</v>
      </c>
      <c r="BB122">
        <f t="shared" si="78"/>
        <v>0</v>
      </c>
      <c r="BC122">
        <f t="shared" si="79"/>
        <v>0</v>
      </c>
      <c r="BD122">
        <f t="shared" si="80"/>
        <v>0</v>
      </c>
      <c r="BE122">
        <f t="shared" si="81"/>
        <v>0</v>
      </c>
      <c r="BF122">
        <f t="shared" si="82"/>
        <v>0</v>
      </c>
      <c r="BG122">
        <f t="shared" si="83"/>
        <v>0</v>
      </c>
      <c r="BH122">
        <f t="shared" si="84"/>
        <v>0</v>
      </c>
      <c r="BI122">
        <f t="shared" si="85"/>
        <v>0</v>
      </c>
    </row>
    <row r="123" spans="1:61" x14ac:dyDescent="0.35">
      <c r="A123" t="s">
        <v>354</v>
      </c>
      <c r="B123" s="1">
        <v>40079</v>
      </c>
      <c r="C123" t="s">
        <v>360</v>
      </c>
      <c r="D123" t="s">
        <v>45</v>
      </c>
      <c r="E123" t="s">
        <v>357</v>
      </c>
      <c r="F123" t="s">
        <v>45</v>
      </c>
      <c r="G123" t="s">
        <v>102</v>
      </c>
      <c r="H123" s="139">
        <f t="shared" si="59"/>
        <v>0</v>
      </c>
      <c r="I123" t="s">
        <v>234</v>
      </c>
      <c r="J123" t="s">
        <v>235</v>
      </c>
      <c r="K123" s="2">
        <f t="shared" si="62"/>
        <v>1</v>
      </c>
      <c r="L123">
        <v>400000000</v>
      </c>
      <c r="M123" s="2">
        <f t="shared" si="63"/>
        <v>8.6020599913279625</v>
      </c>
      <c r="N123">
        <v>400000000</v>
      </c>
      <c r="O123">
        <v>0</v>
      </c>
      <c r="P123" s="1">
        <v>40927</v>
      </c>
      <c r="Q123" s="89">
        <f t="shared" si="64"/>
        <v>2012</v>
      </c>
      <c r="R123" t="s">
        <v>338</v>
      </c>
      <c r="S123">
        <v>0</v>
      </c>
      <c r="T123" s="21">
        <f t="shared" si="55"/>
        <v>2.3232876712328765</v>
      </c>
      <c r="U123">
        <v>0</v>
      </c>
      <c r="V123">
        <f t="shared" si="65"/>
        <v>0</v>
      </c>
      <c r="W123">
        <v>1888</v>
      </c>
      <c r="X123">
        <v>121</v>
      </c>
      <c r="Y123">
        <f t="shared" si="66"/>
        <v>2.0863598306747484</v>
      </c>
      <c r="Z123" s="45">
        <v>2.95</v>
      </c>
      <c r="AA123" s="9">
        <f t="shared" si="56"/>
        <v>-400000000</v>
      </c>
      <c r="AB123" s="15">
        <f t="shared" si="57"/>
        <v>-1</v>
      </c>
      <c r="AC123" s="34">
        <f t="shared" si="67"/>
        <v>-1</v>
      </c>
      <c r="AD123">
        <v>1171.498</v>
      </c>
      <c r="AE123">
        <f t="shared" si="60"/>
        <v>3.0687415514991745</v>
      </c>
      <c r="AF123">
        <v>3386.1060000000002</v>
      </c>
      <c r="AG123">
        <f t="shared" si="61"/>
        <v>3.5297005493117593</v>
      </c>
      <c r="AH123" s="9">
        <v>0</v>
      </c>
      <c r="AI123" s="9">
        <f t="shared" si="68"/>
        <v>0</v>
      </c>
      <c r="AJ123">
        <v>91.9</v>
      </c>
      <c r="AK123" s="15" t="s">
        <v>174</v>
      </c>
      <c r="AL123" s="42">
        <v>43.262530407091703</v>
      </c>
      <c r="AM123" s="24">
        <v>0.24</v>
      </c>
      <c r="AN123" s="34">
        <f t="shared" si="69"/>
        <v>9.3421685162235063E-2</v>
      </c>
      <c r="AO123">
        <v>1976</v>
      </c>
      <c r="AP123">
        <v>33</v>
      </c>
      <c r="AQ123">
        <v>70</v>
      </c>
      <c r="AR123">
        <v>70</v>
      </c>
      <c r="AS123">
        <f t="shared" si="58"/>
        <v>1</v>
      </c>
      <c r="AT123">
        <f t="shared" si="70"/>
        <v>1</v>
      </c>
      <c r="AU123">
        <f t="shared" si="71"/>
        <v>0</v>
      </c>
      <c r="AV123">
        <f t="shared" si="72"/>
        <v>0</v>
      </c>
      <c r="AW123">
        <f t="shared" si="73"/>
        <v>0</v>
      </c>
      <c r="AX123">
        <f t="shared" si="74"/>
        <v>0</v>
      </c>
      <c r="AY123">
        <f t="shared" si="75"/>
        <v>0</v>
      </c>
      <c r="AZ123">
        <f t="shared" si="76"/>
        <v>0</v>
      </c>
      <c r="BA123">
        <f t="shared" si="77"/>
        <v>0</v>
      </c>
      <c r="BB123">
        <f t="shared" si="78"/>
        <v>0</v>
      </c>
      <c r="BC123">
        <f t="shared" si="79"/>
        <v>0</v>
      </c>
      <c r="BD123">
        <f t="shared" si="80"/>
        <v>0</v>
      </c>
      <c r="BE123">
        <f t="shared" si="81"/>
        <v>0</v>
      </c>
      <c r="BF123">
        <f t="shared" si="82"/>
        <v>0</v>
      </c>
      <c r="BG123">
        <f t="shared" si="83"/>
        <v>0</v>
      </c>
      <c r="BH123">
        <f t="shared" si="84"/>
        <v>0</v>
      </c>
      <c r="BI123">
        <f t="shared" si="85"/>
        <v>0</v>
      </c>
    </row>
    <row r="124" spans="1:61" x14ac:dyDescent="0.35">
      <c r="A124" t="s">
        <v>51</v>
      </c>
      <c r="B124" s="1">
        <v>40543</v>
      </c>
      <c r="C124" t="s">
        <v>361</v>
      </c>
      <c r="D124" t="s">
        <v>45</v>
      </c>
      <c r="E124" t="s">
        <v>357</v>
      </c>
      <c r="F124" t="s">
        <v>45</v>
      </c>
      <c r="G124" t="s">
        <v>102</v>
      </c>
      <c r="H124" s="139">
        <f t="shared" si="59"/>
        <v>0</v>
      </c>
      <c r="I124" t="s">
        <v>234</v>
      </c>
      <c r="J124" t="s">
        <v>235</v>
      </c>
      <c r="K124" s="2">
        <f t="shared" si="62"/>
        <v>1</v>
      </c>
      <c r="L124">
        <v>125000000</v>
      </c>
      <c r="M124" s="2">
        <f t="shared" si="63"/>
        <v>8.0969100130080562</v>
      </c>
      <c r="N124">
        <v>125000000</v>
      </c>
      <c r="O124">
        <v>0</v>
      </c>
      <c r="P124" s="1">
        <v>41035</v>
      </c>
      <c r="Q124" s="89">
        <f t="shared" si="64"/>
        <v>2012</v>
      </c>
      <c r="R124" t="s">
        <v>107</v>
      </c>
      <c r="S124">
        <v>300000000</v>
      </c>
      <c r="T124" s="21">
        <f t="shared" si="55"/>
        <v>1.3479452054794521</v>
      </c>
      <c r="U124">
        <v>0</v>
      </c>
      <c r="V124">
        <f t="shared" si="65"/>
        <v>0</v>
      </c>
      <c r="W124">
        <v>2010</v>
      </c>
      <c r="X124">
        <v>0</v>
      </c>
      <c r="Y124">
        <f t="shared" si="66"/>
        <v>0</v>
      </c>
      <c r="Z124" s="45">
        <v>2.95</v>
      </c>
      <c r="AA124" s="9">
        <f t="shared" si="56"/>
        <v>175000000</v>
      </c>
      <c r="AB124" s="15">
        <f t="shared" si="57"/>
        <v>1.4</v>
      </c>
      <c r="AC124" s="34">
        <f t="shared" si="67"/>
        <v>0.38021124171160603</v>
      </c>
      <c r="AD124">
        <v>1171.498</v>
      </c>
      <c r="AE124">
        <f t="shared" si="60"/>
        <v>3.0687415514991745</v>
      </c>
      <c r="AF124">
        <v>3386.1060000000002</v>
      </c>
      <c r="AG124">
        <f t="shared" si="61"/>
        <v>3.5297005493117593</v>
      </c>
      <c r="AH124" s="9">
        <v>0</v>
      </c>
      <c r="AI124" s="9">
        <f t="shared" si="68"/>
        <v>0</v>
      </c>
      <c r="AJ124">
        <v>91.3</v>
      </c>
      <c r="AK124" s="15" t="s">
        <v>136</v>
      </c>
      <c r="AL124" s="42">
        <v>43.1672842383418</v>
      </c>
      <c r="AM124" s="24">
        <v>0.09</v>
      </c>
      <c r="AN124" s="34">
        <f t="shared" si="69"/>
        <v>3.7426497940623665E-2</v>
      </c>
      <c r="AO124">
        <v>1976</v>
      </c>
      <c r="AP124">
        <v>34</v>
      </c>
      <c r="AQ124">
        <v>70</v>
      </c>
      <c r="AR124">
        <v>70</v>
      </c>
      <c r="AS124">
        <f t="shared" si="58"/>
        <v>0</v>
      </c>
      <c r="AT124">
        <f t="shared" si="70"/>
        <v>1</v>
      </c>
      <c r="AU124">
        <f t="shared" si="71"/>
        <v>0</v>
      </c>
      <c r="AV124">
        <f t="shared" si="72"/>
        <v>0</v>
      </c>
      <c r="AW124">
        <f t="shared" si="73"/>
        <v>0</v>
      </c>
      <c r="AX124">
        <f t="shared" si="74"/>
        <v>0</v>
      </c>
      <c r="AY124">
        <f t="shared" si="75"/>
        <v>0</v>
      </c>
      <c r="AZ124">
        <f t="shared" si="76"/>
        <v>0</v>
      </c>
      <c r="BA124">
        <f t="shared" si="77"/>
        <v>0</v>
      </c>
      <c r="BB124">
        <f t="shared" si="78"/>
        <v>0</v>
      </c>
      <c r="BC124">
        <f t="shared" si="79"/>
        <v>0</v>
      </c>
      <c r="BD124">
        <f t="shared" si="80"/>
        <v>0</v>
      </c>
      <c r="BE124">
        <f t="shared" si="81"/>
        <v>0</v>
      </c>
      <c r="BF124">
        <f t="shared" si="82"/>
        <v>0</v>
      </c>
      <c r="BG124">
        <f t="shared" si="83"/>
        <v>0</v>
      </c>
      <c r="BH124">
        <f t="shared" si="84"/>
        <v>0</v>
      </c>
      <c r="BI124">
        <f t="shared" si="85"/>
        <v>0</v>
      </c>
    </row>
    <row r="125" spans="1:61" x14ac:dyDescent="0.35">
      <c r="A125" t="s">
        <v>51</v>
      </c>
      <c r="B125" s="1">
        <v>40789</v>
      </c>
      <c r="C125" t="s">
        <v>362</v>
      </c>
      <c r="D125" t="s">
        <v>45</v>
      </c>
      <c r="E125" t="s">
        <v>357</v>
      </c>
      <c r="F125" t="s">
        <v>45</v>
      </c>
      <c r="G125" t="s">
        <v>102</v>
      </c>
      <c r="H125" s="139">
        <f t="shared" si="59"/>
        <v>0</v>
      </c>
      <c r="I125" t="s">
        <v>234</v>
      </c>
      <c r="J125" t="s">
        <v>269</v>
      </c>
      <c r="K125" s="2">
        <f t="shared" si="62"/>
        <v>7</v>
      </c>
      <c r="L125">
        <v>5098610000</v>
      </c>
      <c r="M125" s="2">
        <f t="shared" si="63"/>
        <v>9.7074517934293993</v>
      </c>
      <c r="N125">
        <v>3793910000</v>
      </c>
      <c r="O125">
        <v>1304700000</v>
      </c>
      <c r="P125" s="1">
        <v>42086</v>
      </c>
      <c r="Q125" s="89">
        <f t="shared" si="64"/>
        <v>2015</v>
      </c>
      <c r="R125" t="s">
        <v>107</v>
      </c>
      <c r="S125">
        <v>5742380000</v>
      </c>
      <c r="T125" s="21">
        <f t="shared" si="55"/>
        <v>3.5534246575342467</v>
      </c>
      <c r="U125">
        <v>0</v>
      </c>
      <c r="V125">
        <f t="shared" si="65"/>
        <v>0</v>
      </c>
      <c r="W125">
        <v>1897</v>
      </c>
      <c r="X125">
        <v>114</v>
      </c>
      <c r="Y125">
        <f t="shared" si="66"/>
        <v>2.0606978403536118</v>
      </c>
      <c r="Z125" s="45">
        <v>2.95</v>
      </c>
      <c r="AA125" s="9">
        <f t="shared" si="56"/>
        <v>1948470000</v>
      </c>
      <c r="AB125" s="15">
        <f t="shared" si="57"/>
        <v>0.12626382484637966</v>
      </c>
      <c r="AC125" s="34">
        <f t="shared" si="67"/>
        <v>5.1640134968381025E-2</v>
      </c>
      <c r="AD125">
        <v>1171.498</v>
      </c>
      <c r="AE125">
        <f t="shared" si="60"/>
        <v>3.0687415514991745</v>
      </c>
      <c r="AF125">
        <v>3386.1060000000002</v>
      </c>
      <c r="AG125">
        <f t="shared" si="61"/>
        <v>3.5297005493117593</v>
      </c>
      <c r="AH125" s="9">
        <v>0</v>
      </c>
      <c r="AI125" s="9">
        <f t="shared" si="68"/>
        <v>0</v>
      </c>
      <c r="AJ125">
        <v>91</v>
      </c>
      <c r="AK125" s="15" t="s">
        <v>141</v>
      </c>
      <c r="AL125" s="42">
        <v>42.048698215007001</v>
      </c>
      <c r="AM125" s="24">
        <v>0.79</v>
      </c>
      <c r="AN125" s="34">
        <f t="shared" si="69"/>
        <v>0.2528530309798932</v>
      </c>
      <c r="AO125">
        <v>1976</v>
      </c>
      <c r="AP125">
        <v>35</v>
      </c>
      <c r="AQ125">
        <v>70</v>
      </c>
      <c r="AR125">
        <v>70</v>
      </c>
      <c r="AS125">
        <f t="shared" si="58"/>
        <v>0</v>
      </c>
      <c r="AT125">
        <f t="shared" si="70"/>
        <v>1</v>
      </c>
      <c r="AU125">
        <f t="shared" si="71"/>
        <v>0</v>
      </c>
      <c r="AV125">
        <f t="shared" si="72"/>
        <v>0</v>
      </c>
      <c r="AW125">
        <f t="shared" si="73"/>
        <v>0</v>
      </c>
      <c r="AX125">
        <f t="shared" si="74"/>
        <v>0</v>
      </c>
      <c r="AY125">
        <f t="shared" si="75"/>
        <v>0</v>
      </c>
      <c r="AZ125">
        <f t="shared" si="76"/>
        <v>0</v>
      </c>
      <c r="BA125">
        <f t="shared" si="77"/>
        <v>0</v>
      </c>
      <c r="BB125">
        <f t="shared" si="78"/>
        <v>0</v>
      </c>
      <c r="BC125">
        <f t="shared" si="79"/>
        <v>0</v>
      </c>
      <c r="BD125">
        <f t="shared" si="80"/>
        <v>0</v>
      </c>
      <c r="BE125">
        <f t="shared" si="81"/>
        <v>0</v>
      </c>
      <c r="BF125">
        <f t="shared" si="82"/>
        <v>0</v>
      </c>
      <c r="BG125">
        <f t="shared" si="83"/>
        <v>0</v>
      </c>
      <c r="BH125">
        <f t="shared" si="84"/>
        <v>0</v>
      </c>
      <c r="BI125">
        <f t="shared" si="85"/>
        <v>0</v>
      </c>
    </row>
    <row r="126" spans="1:61" x14ac:dyDescent="0.35">
      <c r="A126" t="s">
        <v>51</v>
      </c>
      <c r="B126" s="1">
        <v>40551</v>
      </c>
      <c r="C126" t="s">
        <v>363</v>
      </c>
      <c r="D126" t="s">
        <v>7</v>
      </c>
      <c r="E126" t="s">
        <v>357</v>
      </c>
      <c r="F126" t="s">
        <v>45</v>
      </c>
      <c r="G126" t="s">
        <v>125</v>
      </c>
      <c r="H126" s="139">
        <f t="shared" si="59"/>
        <v>1</v>
      </c>
      <c r="I126" t="s">
        <v>234</v>
      </c>
      <c r="J126" t="s">
        <v>190</v>
      </c>
      <c r="K126" s="2">
        <f t="shared" si="62"/>
        <v>2</v>
      </c>
      <c r="L126">
        <v>2375000000</v>
      </c>
      <c r="M126" s="2">
        <f t="shared" si="63"/>
        <v>9.3756636139608851</v>
      </c>
      <c r="N126">
        <v>2375000000</v>
      </c>
      <c r="O126">
        <v>0</v>
      </c>
      <c r="P126" s="1">
        <v>42893</v>
      </c>
      <c r="Q126" s="89">
        <f t="shared" si="64"/>
        <v>2017</v>
      </c>
      <c r="R126" t="s">
        <v>107</v>
      </c>
      <c r="S126">
        <v>5500000000</v>
      </c>
      <c r="T126" s="21">
        <f t="shared" si="55"/>
        <v>6.4164383561643836</v>
      </c>
      <c r="U126">
        <v>6385.66</v>
      </c>
      <c r="V126">
        <f t="shared" si="65"/>
        <v>3.8052737966880943</v>
      </c>
      <c r="W126">
        <v>1931</v>
      </c>
      <c r="X126">
        <v>80</v>
      </c>
      <c r="Y126">
        <f t="shared" si="66"/>
        <v>1.9084850188786497</v>
      </c>
      <c r="Z126" s="45">
        <v>2.99</v>
      </c>
      <c r="AA126" s="9">
        <f t="shared" si="56"/>
        <v>3125000000</v>
      </c>
      <c r="AB126" s="15">
        <f t="shared" si="57"/>
        <v>1.3157894736842106</v>
      </c>
      <c r="AC126" s="34">
        <f t="shared" si="67"/>
        <v>0.36469907553335851</v>
      </c>
      <c r="AD126">
        <v>1171.498</v>
      </c>
      <c r="AE126">
        <f t="shared" si="60"/>
        <v>3.0687415514991745</v>
      </c>
      <c r="AF126">
        <v>3386.1060000000002</v>
      </c>
      <c r="AG126">
        <f t="shared" si="61"/>
        <v>3.5297005493117593</v>
      </c>
      <c r="AH126" s="9">
        <v>693.16666666666697</v>
      </c>
      <c r="AI126" s="9">
        <f t="shared" si="68"/>
        <v>2.8414637553591628</v>
      </c>
      <c r="AJ126">
        <v>76.400000000000006</v>
      </c>
      <c r="AK126" s="24" t="s">
        <v>284</v>
      </c>
      <c r="AL126" s="42">
        <v>42.366037242608201</v>
      </c>
      <c r="AM126" s="24">
        <v>0.91</v>
      </c>
      <c r="AN126" s="34">
        <f t="shared" si="69"/>
        <v>0.28103336724772759</v>
      </c>
      <c r="AO126">
        <v>1976</v>
      </c>
      <c r="AP126">
        <v>35</v>
      </c>
      <c r="AQ126">
        <v>90</v>
      </c>
      <c r="AR126">
        <v>70</v>
      </c>
      <c r="AS126">
        <f t="shared" si="58"/>
        <v>0</v>
      </c>
      <c r="AT126">
        <f t="shared" si="70"/>
        <v>0</v>
      </c>
      <c r="AU126">
        <f t="shared" si="71"/>
        <v>0</v>
      </c>
      <c r="AV126">
        <f t="shared" si="72"/>
        <v>0</v>
      </c>
      <c r="AW126">
        <f t="shared" si="73"/>
        <v>0</v>
      </c>
      <c r="AX126">
        <f t="shared" si="74"/>
        <v>0</v>
      </c>
      <c r="AY126">
        <f t="shared" si="75"/>
        <v>0</v>
      </c>
      <c r="AZ126">
        <f t="shared" si="76"/>
        <v>0</v>
      </c>
      <c r="BA126">
        <f t="shared" si="77"/>
        <v>0</v>
      </c>
      <c r="BB126">
        <f t="shared" si="78"/>
        <v>0</v>
      </c>
      <c r="BC126">
        <f t="shared" si="79"/>
        <v>0</v>
      </c>
      <c r="BD126">
        <f t="shared" si="80"/>
        <v>0</v>
      </c>
      <c r="BE126">
        <f t="shared" si="81"/>
        <v>1</v>
      </c>
      <c r="BF126">
        <f t="shared" si="82"/>
        <v>0</v>
      </c>
      <c r="BG126">
        <f t="shared" si="83"/>
        <v>0</v>
      </c>
      <c r="BH126">
        <f t="shared" si="84"/>
        <v>0</v>
      </c>
      <c r="BI126">
        <f t="shared" si="85"/>
        <v>0</v>
      </c>
    </row>
    <row r="127" spans="1:61" x14ac:dyDescent="0.35">
      <c r="A127" t="s">
        <v>51</v>
      </c>
      <c r="B127" s="1">
        <v>40772</v>
      </c>
      <c r="C127" t="s">
        <v>364</v>
      </c>
      <c r="D127" t="s">
        <v>2</v>
      </c>
      <c r="E127" t="s">
        <v>357</v>
      </c>
      <c r="F127" t="s">
        <v>45</v>
      </c>
      <c r="G127" t="s">
        <v>125</v>
      </c>
      <c r="H127" s="139">
        <f t="shared" si="59"/>
        <v>1</v>
      </c>
      <c r="I127" t="s">
        <v>234</v>
      </c>
      <c r="J127" t="s">
        <v>186</v>
      </c>
      <c r="K127" s="2">
        <f t="shared" si="62"/>
        <v>4</v>
      </c>
      <c r="L127">
        <v>240000000</v>
      </c>
      <c r="M127" s="2">
        <f t="shared" si="63"/>
        <v>8.3802112417116064</v>
      </c>
      <c r="N127">
        <v>240000000</v>
      </c>
      <c r="O127">
        <v>0</v>
      </c>
      <c r="P127" s="1">
        <v>41943</v>
      </c>
      <c r="Q127" s="89">
        <f t="shared" si="64"/>
        <v>2014</v>
      </c>
      <c r="R127" t="s">
        <v>107</v>
      </c>
      <c r="S127">
        <v>947000000</v>
      </c>
      <c r="T127" s="21">
        <f t="shared" si="55"/>
        <v>3.2082191780821918</v>
      </c>
      <c r="U127">
        <v>6815.73</v>
      </c>
      <c r="V127">
        <f t="shared" si="65"/>
        <v>3.8335760926148099</v>
      </c>
      <c r="W127">
        <v>2005</v>
      </c>
      <c r="X127">
        <v>6</v>
      </c>
      <c r="Y127">
        <f t="shared" si="66"/>
        <v>0.84509804001425681</v>
      </c>
      <c r="Z127" s="45">
        <v>2.85</v>
      </c>
      <c r="AA127" s="9">
        <f t="shared" si="56"/>
        <v>707000000</v>
      </c>
      <c r="AB127" s="15">
        <f t="shared" si="57"/>
        <v>2.9458333333333333</v>
      </c>
      <c r="AC127" s="34">
        <f t="shared" si="67"/>
        <v>0.59613873729166744</v>
      </c>
      <c r="AD127">
        <v>1171.498</v>
      </c>
      <c r="AE127">
        <f t="shared" si="60"/>
        <v>3.0687415514991745</v>
      </c>
      <c r="AF127">
        <v>3386.1060000000002</v>
      </c>
      <c r="AG127">
        <f t="shared" si="61"/>
        <v>3.5297005493117593</v>
      </c>
      <c r="AH127" s="9">
        <v>819</v>
      </c>
      <c r="AI127" s="9">
        <f t="shared" si="68"/>
        <v>2.9138138523837167</v>
      </c>
      <c r="AJ127">
        <v>89.6</v>
      </c>
      <c r="AK127" s="15" t="s">
        <v>365</v>
      </c>
      <c r="AL127" s="42">
        <v>44.7100017757258</v>
      </c>
      <c r="AM127" s="24">
        <v>0.69</v>
      </c>
      <c r="AN127" s="34">
        <f t="shared" si="69"/>
        <v>0.22788670461367352</v>
      </c>
      <c r="AO127">
        <v>1976</v>
      </c>
      <c r="AP127">
        <v>35</v>
      </c>
      <c r="AQ127">
        <v>70</v>
      </c>
      <c r="AR127">
        <v>70</v>
      </c>
      <c r="AS127">
        <f t="shared" si="58"/>
        <v>0</v>
      </c>
      <c r="AT127">
        <f t="shared" si="70"/>
        <v>0</v>
      </c>
      <c r="AU127">
        <f t="shared" si="71"/>
        <v>0</v>
      </c>
      <c r="AV127">
        <f t="shared" si="72"/>
        <v>0</v>
      </c>
      <c r="AW127">
        <f t="shared" si="73"/>
        <v>0</v>
      </c>
      <c r="AX127">
        <f t="shared" si="74"/>
        <v>0</v>
      </c>
      <c r="AY127">
        <f t="shared" si="75"/>
        <v>0</v>
      </c>
      <c r="AZ127">
        <f t="shared" si="76"/>
        <v>0</v>
      </c>
      <c r="BA127">
        <f t="shared" si="77"/>
        <v>0</v>
      </c>
      <c r="BB127">
        <f t="shared" si="78"/>
        <v>1</v>
      </c>
      <c r="BC127">
        <f t="shared" si="79"/>
        <v>0</v>
      </c>
      <c r="BD127">
        <f t="shared" si="80"/>
        <v>0</v>
      </c>
      <c r="BE127">
        <f t="shared" si="81"/>
        <v>0</v>
      </c>
      <c r="BF127">
        <f t="shared" si="82"/>
        <v>0</v>
      </c>
      <c r="BG127">
        <f t="shared" si="83"/>
        <v>0</v>
      </c>
      <c r="BH127">
        <f t="shared" si="84"/>
        <v>0</v>
      </c>
      <c r="BI127">
        <f t="shared" si="85"/>
        <v>0</v>
      </c>
    </row>
    <row r="128" spans="1:61" x14ac:dyDescent="0.35">
      <c r="A128" t="s">
        <v>51</v>
      </c>
      <c r="B128" s="1">
        <v>40928</v>
      </c>
      <c r="C128" t="s">
        <v>366</v>
      </c>
      <c r="D128" t="s">
        <v>45</v>
      </c>
      <c r="E128" t="s">
        <v>357</v>
      </c>
      <c r="F128" t="s">
        <v>45</v>
      </c>
      <c r="G128" t="s">
        <v>102</v>
      </c>
      <c r="H128" s="139">
        <f t="shared" si="59"/>
        <v>0</v>
      </c>
      <c r="I128" t="s">
        <v>234</v>
      </c>
      <c r="J128" t="s">
        <v>178</v>
      </c>
      <c r="K128" s="2">
        <f t="shared" si="62"/>
        <v>9</v>
      </c>
      <c r="L128">
        <v>1120000000</v>
      </c>
      <c r="M128" s="2">
        <f t="shared" si="63"/>
        <v>9.0492180226701819</v>
      </c>
      <c r="N128">
        <v>1120000000</v>
      </c>
      <c r="O128">
        <v>0</v>
      </c>
      <c r="P128" s="1">
        <v>42071</v>
      </c>
      <c r="Q128" s="89">
        <f t="shared" si="64"/>
        <v>2015</v>
      </c>
      <c r="R128" t="s">
        <v>107</v>
      </c>
      <c r="S128">
        <v>2500000000</v>
      </c>
      <c r="T128" s="21">
        <f t="shared" si="55"/>
        <v>3.1315068493150684</v>
      </c>
      <c r="U128">
        <v>0</v>
      </c>
      <c r="V128">
        <f t="shared" si="65"/>
        <v>0</v>
      </c>
      <c r="W128">
        <v>1998</v>
      </c>
      <c r="X128">
        <v>14</v>
      </c>
      <c r="Y128">
        <f t="shared" si="66"/>
        <v>1.1760912590556813</v>
      </c>
      <c r="Z128" s="45">
        <v>2.95</v>
      </c>
      <c r="AA128" s="9">
        <f t="shared" si="56"/>
        <v>1380000000</v>
      </c>
      <c r="AB128" s="15">
        <f t="shared" si="57"/>
        <v>1.2321428571428572</v>
      </c>
      <c r="AC128" s="34">
        <f t="shared" si="67"/>
        <v>0.348721986001856</v>
      </c>
      <c r="AD128">
        <v>1171.498</v>
      </c>
      <c r="AE128">
        <f t="shared" si="60"/>
        <v>3.0687415514991745</v>
      </c>
      <c r="AF128">
        <v>3386.1060000000002</v>
      </c>
      <c r="AG128">
        <f t="shared" si="61"/>
        <v>3.5297005493117593</v>
      </c>
      <c r="AH128" s="9">
        <v>0</v>
      </c>
      <c r="AI128" s="9">
        <f t="shared" si="68"/>
        <v>0</v>
      </c>
      <c r="AJ128">
        <v>91.1</v>
      </c>
      <c r="AK128" s="15" t="s">
        <v>144</v>
      </c>
      <c r="AL128" s="42">
        <v>40.229046020662899</v>
      </c>
      <c r="AM128" s="24">
        <v>0.56999999999999995</v>
      </c>
      <c r="AN128" s="34">
        <f t="shared" si="69"/>
        <v>0.19589965240923368</v>
      </c>
      <c r="AO128">
        <v>1976</v>
      </c>
      <c r="AP128">
        <v>36</v>
      </c>
      <c r="AQ128">
        <v>70</v>
      </c>
      <c r="AR128">
        <v>70</v>
      </c>
      <c r="AS128">
        <f t="shared" si="58"/>
        <v>0</v>
      </c>
      <c r="AT128">
        <f t="shared" si="70"/>
        <v>1</v>
      </c>
      <c r="AU128">
        <f t="shared" si="71"/>
        <v>0</v>
      </c>
      <c r="AV128">
        <f t="shared" si="72"/>
        <v>0</v>
      </c>
      <c r="AW128">
        <f t="shared" si="73"/>
        <v>0</v>
      </c>
      <c r="AX128">
        <f t="shared" si="74"/>
        <v>0</v>
      </c>
      <c r="AY128">
        <f t="shared" si="75"/>
        <v>0</v>
      </c>
      <c r="AZ128">
        <f t="shared" si="76"/>
        <v>0</v>
      </c>
      <c r="BA128">
        <f t="shared" si="77"/>
        <v>0</v>
      </c>
      <c r="BB128">
        <f t="shared" si="78"/>
        <v>0</v>
      </c>
      <c r="BC128">
        <f t="shared" si="79"/>
        <v>0</v>
      </c>
      <c r="BD128">
        <f t="shared" si="80"/>
        <v>0</v>
      </c>
      <c r="BE128">
        <f t="shared" si="81"/>
        <v>0</v>
      </c>
      <c r="BF128">
        <f t="shared" si="82"/>
        <v>0</v>
      </c>
      <c r="BG128">
        <f t="shared" si="83"/>
        <v>0</v>
      </c>
      <c r="BH128">
        <f t="shared" si="84"/>
        <v>0</v>
      </c>
      <c r="BI128">
        <f t="shared" si="85"/>
        <v>0</v>
      </c>
    </row>
    <row r="129" spans="1:61" x14ac:dyDescent="0.35">
      <c r="A129" t="s">
        <v>367</v>
      </c>
      <c r="B129" s="1">
        <v>41082</v>
      </c>
      <c r="C129" t="s">
        <v>368</v>
      </c>
      <c r="D129" t="s">
        <v>45</v>
      </c>
      <c r="E129" t="s">
        <v>357</v>
      </c>
      <c r="F129" t="s">
        <v>45</v>
      </c>
      <c r="G129" t="s">
        <v>102</v>
      </c>
      <c r="H129" s="139">
        <f t="shared" si="59"/>
        <v>0</v>
      </c>
      <c r="I129" t="s">
        <v>234</v>
      </c>
      <c r="J129" t="s">
        <v>186</v>
      </c>
      <c r="K129" s="2">
        <f t="shared" si="62"/>
        <v>4</v>
      </c>
      <c r="L129">
        <v>150000000</v>
      </c>
      <c r="M129" s="2">
        <f t="shared" si="63"/>
        <v>8.1760912590556813</v>
      </c>
      <c r="N129">
        <v>150000000</v>
      </c>
      <c r="O129">
        <v>0</v>
      </c>
      <c r="P129" s="1">
        <v>42032</v>
      </c>
      <c r="Q129" s="89">
        <f t="shared" si="64"/>
        <v>2015</v>
      </c>
      <c r="R129" t="s">
        <v>107</v>
      </c>
      <c r="S129">
        <v>400000000</v>
      </c>
      <c r="T129" s="21">
        <f t="shared" si="55"/>
        <v>2.6027397260273974</v>
      </c>
      <c r="U129">
        <v>0</v>
      </c>
      <c r="V129">
        <f t="shared" si="65"/>
        <v>0</v>
      </c>
      <c r="W129">
        <v>2004</v>
      </c>
      <c r="X129">
        <v>8</v>
      </c>
      <c r="Y129">
        <f t="shared" si="66"/>
        <v>0.95424250943932487</v>
      </c>
      <c r="Z129" s="45">
        <v>2.95</v>
      </c>
      <c r="AA129" s="9">
        <f t="shared" si="56"/>
        <v>250000000</v>
      </c>
      <c r="AB129" s="15">
        <f t="shared" si="57"/>
        <v>1.6666666666666665</v>
      </c>
      <c r="AC129" s="34">
        <f t="shared" si="67"/>
        <v>0.4259687322722811</v>
      </c>
      <c r="AD129">
        <v>1171.498</v>
      </c>
      <c r="AE129">
        <f t="shared" si="60"/>
        <v>3.0687415514991745</v>
      </c>
      <c r="AF129">
        <v>3386.1060000000002</v>
      </c>
      <c r="AG129">
        <f t="shared" si="61"/>
        <v>3.5297005493117593</v>
      </c>
      <c r="AH129" s="9">
        <v>0</v>
      </c>
      <c r="AI129" s="9">
        <f t="shared" si="68"/>
        <v>0</v>
      </c>
      <c r="AJ129">
        <v>91.1</v>
      </c>
      <c r="AK129" s="15" t="s">
        <v>144</v>
      </c>
      <c r="AL129" s="42">
        <v>40.229046020662899</v>
      </c>
      <c r="AM129" s="24">
        <v>0.5</v>
      </c>
      <c r="AN129" s="34">
        <f t="shared" si="69"/>
        <v>0.17609125905568124</v>
      </c>
      <c r="AO129">
        <v>1976</v>
      </c>
      <c r="AP129">
        <v>36</v>
      </c>
      <c r="AQ129">
        <v>70</v>
      </c>
      <c r="AR129">
        <v>70</v>
      </c>
      <c r="AS129">
        <f t="shared" si="58"/>
        <v>0</v>
      </c>
      <c r="AT129">
        <f t="shared" si="70"/>
        <v>1</v>
      </c>
      <c r="AU129">
        <f t="shared" si="71"/>
        <v>0</v>
      </c>
      <c r="AV129">
        <f t="shared" si="72"/>
        <v>0</v>
      </c>
      <c r="AW129">
        <f t="shared" si="73"/>
        <v>0</v>
      </c>
      <c r="AX129">
        <f t="shared" si="74"/>
        <v>0</v>
      </c>
      <c r="AY129">
        <f t="shared" si="75"/>
        <v>0</v>
      </c>
      <c r="AZ129">
        <f t="shared" si="76"/>
        <v>0</v>
      </c>
      <c r="BA129">
        <f t="shared" si="77"/>
        <v>0</v>
      </c>
      <c r="BB129">
        <f t="shared" si="78"/>
        <v>0</v>
      </c>
      <c r="BC129">
        <f t="shared" si="79"/>
        <v>0</v>
      </c>
      <c r="BD129">
        <f t="shared" si="80"/>
        <v>0</v>
      </c>
      <c r="BE129">
        <f t="shared" si="81"/>
        <v>0</v>
      </c>
      <c r="BF129">
        <f t="shared" si="82"/>
        <v>0</v>
      </c>
      <c r="BG129">
        <f t="shared" si="83"/>
        <v>0</v>
      </c>
      <c r="BH129">
        <f t="shared" si="84"/>
        <v>0</v>
      </c>
      <c r="BI129">
        <f t="shared" si="85"/>
        <v>0</v>
      </c>
    </row>
    <row r="130" spans="1:61" x14ac:dyDescent="0.35">
      <c r="A130" t="s">
        <v>369</v>
      </c>
      <c r="B130" s="1">
        <v>41067</v>
      </c>
      <c r="C130" t="s">
        <v>370</v>
      </c>
      <c r="D130" t="s">
        <v>2</v>
      </c>
      <c r="E130" t="s">
        <v>371</v>
      </c>
      <c r="F130" t="s">
        <v>45</v>
      </c>
      <c r="G130" t="s">
        <v>125</v>
      </c>
      <c r="H130" s="139">
        <f t="shared" si="59"/>
        <v>1</v>
      </c>
      <c r="I130" t="s">
        <v>234</v>
      </c>
      <c r="J130" t="s">
        <v>248</v>
      </c>
      <c r="K130" s="2">
        <f t="shared" si="62"/>
        <v>5</v>
      </c>
      <c r="L130">
        <v>1202168337</v>
      </c>
      <c r="M130" s="2">
        <f t="shared" si="63"/>
        <v>9.0799652852302781</v>
      </c>
      <c r="N130">
        <v>1202168337</v>
      </c>
      <c r="O130">
        <v>0</v>
      </c>
      <c r="P130" s="1">
        <v>42704</v>
      </c>
      <c r="Q130" s="89">
        <f t="shared" si="64"/>
        <v>2016</v>
      </c>
      <c r="R130" t="s">
        <v>107</v>
      </c>
      <c r="S130">
        <v>1685648379</v>
      </c>
      <c r="T130" s="21">
        <f t="shared" ref="T130:T193" si="86">YEARFRAC(B130,P130,3)</f>
        <v>4.484931506849315</v>
      </c>
      <c r="U130">
        <v>6815.73</v>
      </c>
      <c r="V130">
        <f t="shared" si="65"/>
        <v>3.8335760926148099</v>
      </c>
      <c r="W130">
        <v>1853</v>
      </c>
      <c r="X130">
        <v>159</v>
      </c>
      <c r="Y130">
        <f t="shared" si="66"/>
        <v>2.2041199826559246</v>
      </c>
      <c r="Z130" s="45">
        <v>2.85</v>
      </c>
      <c r="AA130" s="9">
        <f t="shared" ref="AA130:AA193" si="87">S130-N130</f>
        <v>483480042</v>
      </c>
      <c r="AB130" s="15">
        <f t="shared" ref="AB130:AB193" si="88">(S130/L130)-1</f>
        <v>0.40217332890876167</v>
      </c>
      <c r="AC130" s="34">
        <f t="shared" si="67"/>
        <v>0.14680170202996193</v>
      </c>
      <c r="AD130">
        <v>1171.498</v>
      </c>
      <c r="AE130">
        <f t="shared" si="60"/>
        <v>3.0687415514991745</v>
      </c>
      <c r="AF130">
        <v>3386.1060000000002</v>
      </c>
      <c r="AG130">
        <f t="shared" si="61"/>
        <v>3.5297005493117593</v>
      </c>
      <c r="AH130" s="9">
        <v>819</v>
      </c>
      <c r="AI130" s="9">
        <f t="shared" si="68"/>
        <v>2.9138138523837167</v>
      </c>
      <c r="AJ130">
        <v>90.5</v>
      </c>
      <c r="AK130" s="15" t="s">
        <v>276</v>
      </c>
      <c r="AL130" s="42">
        <v>44.295389122127702</v>
      </c>
      <c r="AM130" s="24">
        <v>0.67</v>
      </c>
      <c r="AN130" s="34">
        <f t="shared" si="69"/>
        <v>0.22271647114758325</v>
      </c>
      <c r="AO130">
        <v>1976</v>
      </c>
      <c r="AP130">
        <v>36</v>
      </c>
      <c r="AQ130">
        <v>70</v>
      </c>
      <c r="AR130">
        <v>70</v>
      </c>
      <c r="AS130">
        <f t="shared" ref="AS130:AS193" si="89">IF(AC130=-1,1,0)</f>
        <v>0</v>
      </c>
      <c r="AT130">
        <f t="shared" si="70"/>
        <v>0</v>
      </c>
      <c r="AU130">
        <f t="shared" si="71"/>
        <v>0</v>
      </c>
      <c r="AV130">
        <f t="shared" si="72"/>
        <v>0</v>
      </c>
      <c r="AW130">
        <f t="shared" si="73"/>
        <v>0</v>
      </c>
      <c r="AX130">
        <f t="shared" si="74"/>
        <v>0</v>
      </c>
      <c r="AY130">
        <f t="shared" si="75"/>
        <v>0</v>
      </c>
      <c r="AZ130">
        <f t="shared" si="76"/>
        <v>0</v>
      </c>
      <c r="BA130">
        <f t="shared" si="77"/>
        <v>0</v>
      </c>
      <c r="BB130">
        <f t="shared" si="78"/>
        <v>1</v>
      </c>
      <c r="BC130">
        <f t="shared" si="79"/>
        <v>0</v>
      </c>
      <c r="BD130">
        <f t="shared" si="80"/>
        <v>0</v>
      </c>
      <c r="BE130">
        <f t="shared" si="81"/>
        <v>0</v>
      </c>
      <c r="BF130">
        <f t="shared" si="82"/>
        <v>0</v>
      </c>
      <c r="BG130">
        <f t="shared" si="83"/>
        <v>0</v>
      </c>
      <c r="BH130">
        <f t="shared" si="84"/>
        <v>0</v>
      </c>
      <c r="BI130">
        <f t="shared" si="85"/>
        <v>0</v>
      </c>
    </row>
    <row r="131" spans="1:61" x14ac:dyDescent="0.35">
      <c r="A131" t="s">
        <v>51</v>
      </c>
      <c r="B131" s="1">
        <v>36615</v>
      </c>
      <c r="C131" t="s">
        <v>372</v>
      </c>
      <c r="D131" t="s">
        <v>2</v>
      </c>
      <c r="E131" t="s">
        <v>373</v>
      </c>
      <c r="F131" t="s">
        <v>45</v>
      </c>
      <c r="G131" t="s">
        <v>125</v>
      </c>
      <c r="H131" s="139">
        <f t="shared" ref="H131:H194" si="90">IF(G131="domestic",0,1)</f>
        <v>1</v>
      </c>
      <c r="I131" t="s">
        <v>289</v>
      </c>
      <c r="J131" t="s">
        <v>186</v>
      </c>
      <c r="K131" s="2">
        <f t="shared" si="62"/>
        <v>4</v>
      </c>
      <c r="L131">
        <v>511290000</v>
      </c>
      <c r="M131" s="2">
        <f t="shared" si="63"/>
        <v>8.7086672987165841</v>
      </c>
      <c r="N131">
        <v>511290000</v>
      </c>
      <c r="O131">
        <v>0</v>
      </c>
      <c r="P131" s="1">
        <v>38309</v>
      </c>
      <c r="Q131" s="89">
        <f t="shared" si="64"/>
        <v>2004</v>
      </c>
      <c r="R131" t="s">
        <v>107</v>
      </c>
      <c r="S131">
        <v>635000000</v>
      </c>
      <c r="T131" s="21">
        <f t="shared" si="86"/>
        <v>4.6410958904109592</v>
      </c>
      <c r="U131">
        <v>6815.73</v>
      </c>
      <c r="V131">
        <f t="shared" si="65"/>
        <v>3.8335760926148099</v>
      </c>
      <c r="W131">
        <v>2000</v>
      </c>
      <c r="X131">
        <v>0</v>
      </c>
      <c r="Y131">
        <f t="shared" si="66"/>
        <v>0</v>
      </c>
      <c r="Z131" s="45">
        <v>2.85</v>
      </c>
      <c r="AA131" s="9">
        <f t="shared" si="87"/>
        <v>123710000</v>
      </c>
      <c r="AB131" s="15">
        <f t="shared" si="88"/>
        <v>0.24195661953099035</v>
      </c>
      <c r="AC131" s="34">
        <f t="shared" si="67"/>
        <v>9.4106426575392227E-2</v>
      </c>
      <c r="AD131">
        <v>1171.498</v>
      </c>
      <c r="AE131">
        <f t="shared" ref="AE131:AE194" si="91">LOG(AD131)</f>
        <v>3.0687415514991745</v>
      </c>
      <c r="AF131">
        <v>3386.1060000000002</v>
      </c>
      <c r="AG131">
        <f t="shared" ref="AG131:AG194" si="92">LOG(AF131)</f>
        <v>3.5297005493117593</v>
      </c>
      <c r="AH131" s="9">
        <v>819</v>
      </c>
      <c r="AI131" s="9">
        <f t="shared" si="68"/>
        <v>2.9138138523837167</v>
      </c>
      <c r="AJ131">
        <v>70</v>
      </c>
      <c r="AK131" s="15" t="s">
        <v>374</v>
      </c>
      <c r="AL131" s="42">
        <v>44.748733746598099</v>
      </c>
      <c r="AM131" s="24">
        <v>-0.2</v>
      </c>
      <c r="AN131" s="34">
        <f t="shared" si="69"/>
        <v>-9.6910013008056392E-2</v>
      </c>
      <c r="AO131">
        <v>1976</v>
      </c>
      <c r="AP131">
        <v>24</v>
      </c>
      <c r="AQ131">
        <v>70</v>
      </c>
      <c r="AR131">
        <v>70</v>
      </c>
      <c r="AS131">
        <f t="shared" si="89"/>
        <v>0</v>
      </c>
      <c r="AT131">
        <f t="shared" si="70"/>
        <v>0</v>
      </c>
      <c r="AU131">
        <f t="shared" si="71"/>
        <v>0</v>
      </c>
      <c r="AV131">
        <f t="shared" si="72"/>
        <v>0</v>
      </c>
      <c r="AW131">
        <f t="shared" si="73"/>
        <v>0</v>
      </c>
      <c r="AX131">
        <f t="shared" si="74"/>
        <v>0</v>
      </c>
      <c r="AY131">
        <f t="shared" si="75"/>
        <v>0</v>
      </c>
      <c r="AZ131">
        <f t="shared" si="76"/>
        <v>0</v>
      </c>
      <c r="BA131">
        <f t="shared" si="77"/>
        <v>0</v>
      </c>
      <c r="BB131">
        <f t="shared" si="78"/>
        <v>1</v>
      </c>
      <c r="BC131">
        <f t="shared" si="79"/>
        <v>0</v>
      </c>
      <c r="BD131">
        <f t="shared" si="80"/>
        <v>0</v>
      </c>
      <c r="BE131">
        <f t="shared" si="81"/>
        <v>0</v>
      </c>
      <c r="BF131">
        <f t="shared" si="82"/>
        <v>0</v>
      </c>
      <c r="BG131">
        <f t="shared" si="83"/>
        <v>0</v>
      </c>
      <c r="BH131">
        <f t="shared" si="84"/>
        <v>0</v>
      </c>
      <c r="BI131">
        <f t="shared" si="85"/>
        <v>0</v>
      </c>
    </row>
    <row r="132" spans="1:61" x14ac:dyDescent="0.35">
      <c r="A132" t="s">
        <v>51</v>
      </c>
      <c r="B132" s="1">
        <v>37986</v>
      </c>
      <c r="C132" t="s">
        <v>375</v>
      </c>
      <c r="D132" t="s">
        <v>2</v>
      </c>
      <c r="E132" t="s">
        <v>376</v>
      </c>
      <c r="F132" t="s">
        <v>45</v>
      </c>
      <c r="G132" t="s">
        <v>125</v>
      </c>
      <c r="H132" s="139">
        <f t="shared" si="90"/>
        <v>1</v>
      </c>
      <c r="I132" t="s">
        <v>234</v>
      </c>
      <c r="J132" t="s">
        <v>235</v>
      </c>
      <c r="K132" s="2">
        <f t="shared" si="62"/>
        <v>1</v>
      </c>
      <c r="L132">
        <v>1770884221</v>
      </c>
      <c r="M132" s="2">
        <f t="shared" si="63"/>
        <v>9.248190168290872</v>
      </c>
      <c r="N132">
        <v>1770884221</v>
      </c>
      <c r="O132">
        <v>0</v>
      </c>
      <c r="P132" s="1">
        <v>38417</v>
      </c>
      <c r="Q132" s="89">
        <f t="shared" si="64"/>
        <v>2005</v>
      </c>
      <c r="R132" t="s">
        <v>322</v>
      </c>
      <c r="S132">
        <v>1431069569</v>
      </c>
      <c r="T132" s="21">
        <f t="shared" si="86"/>
        <v>1.1808219178082191</v>
      </c>
      <c r="U132">
        <v>6815.73</v>
      </c>
      <c r="V132">
        <f t="shared" si="65"/>
        <v>3.8335760926148099</v>
      </c>
      <c r="W132">
        <v>1934</v>
      </c>
      <c r="X132">
        <v>69</v>
      </c>
      <c r="Y132">
        <f t="shared" si="66"/>
        <v>1.8450980400142569</v>
      </c>
      <c r="Z132" s="45">
        <v>2.85</v>
      </c>
      <c r="AA132" s="9">
        <f t="shared" si="87"/>
        <v>-339814652</v>
      </c>
      <c r="AB132" s="15">
        <f t="shared" si="88"/>
        <v>-0.19188981863992793</v>
      </c>
      <c r="AC132" s="34">
        <f t="shared" si="67"/>
        <v>-9.2529421534301021E-2</v>
      </c>
      <c r="AD132">
        <v>1171.498</v>
      </c>
      <c r="AE132">
        <f t="shared" si="91"/>
        <v>3.0687415514991745</v>
      </c>
      <c r="AF132">
        <v>3386.1060000000002</v>
      </c>
      <c r="AG132">
        <f t="shared" si="92"/>
        <v>3.5297005493117593</v>
      </c>
      <c r="AH132" s="9">
        <v>819</v>
      </c>
      <c r="AI132" s="9">
        <f t="shared" si="68"/>
        <v>2.9138138523837167</v>
      </c>
      <c r="AJ132">
        <v>70</v>
      </c>
      <c r="AK132" s="15" t="s">
        <v>153</v>
      </c>
      <c r="AL132" s="42">
        <v>47.8156192569637</v>
      </c>
      <c r="AM132" s="24">
        <v>0.1</v>
      </c>
      <c r="AN132" s="34">
        <f t="shared" si="69"/>
        <v>4.1392685158225077E-2</v>
      </c>
      <c r="AO132">
        <v>1976</v>
      </c>
      <c r="AP132">
        <v>27</v>
      </c>
      <c r="AQ132">
        <v>70</v>
      </c>
      <c r="AR132">
        <v>70</v>
      </c>
      <c r="AS132">
        <f t="shared" si="89"/>
        <v>0</v>
      </c>
      <c r="AT132">
        <f t="shared" si="70"/>
        <v>0</v>
      </c>
      <c r="AU132">
        <f t="shared" si="71"/>
        <v>0</v>
      </c>
      <c r="AV132">
        <f t="shared" si="72"/>
        <v>0</v>
      </c>
      <c r="AW132">
        <f t="shared" si="73"/>
        <v>0</v>
      </c>
      <c r="AX132">
        <f t="shared" si="74"/>
        <v>0</v>
      </c>
      <c r="AY132">
        <f t="shared" si="75"/>
        <v>0</v>
      </c>
      <c r="AZ132">
        <f t="shared" si="76"/>
        <v>0</v>
      </c>
      <c r="BA132">
        <f t="shared" si="77"/>
        <v>0</v>
      </c>
      <c r="BB132">
        <f t="shared" si="78"/>
        <v>1</v>
      </c>
      <c r="BC132">
        <f t="shared" si="79"/>
        <v>0</v>
      </c>
      <c r="BD132">
        <f t="shared" si="80"/>
        <v>0</v>
      </c>
      <c r="BE132">
        <f t="shared" si="81"/>
        <v>0</v>
      </c>
      <c r="BF132">
        <f t="shared" si="82"/>
        <v>0</v>
      </c>
      <c r="BG132">
        <f t="shared" si="83"/>
        <v>0</v>
      </c>
      <c r="BH132">
        <f t="shared" si="84"/>
        <v>0</v>
      </c>
      <c r="BI132">
        <f t="shared" si="85"/>
        <v>0</v>
      </c>
    </row>
    <row r="133" spans="1:61" x14ac:dyDescent="0.35">
      <c r="A133" t="s">
        <v>51</v>
      </c>
      <c r="B133" s="1">
        <v>38087</v>
      </c>
      <c r="C133" t="s">
        <v>377</v>
      </c>
      <c r="D133" t="s">
        <v>45</v>
      </c>
      <c r="E133" t="s">
        <v>378</v>
      </c>
      <c r="F133" t="s">
        <v>45</v>
      </c>
      <c r="G133" t="s">
        <v>102</v>
      </c>
      <c r="H133" s="139">
        <f t="shared" si="90"/>
        <v>0</v>
      </c>
      <c r="I133" t="s">
        <v>234</v>
      </c>
      <c r="J133" t="s">
        <v>248</v>
      </c>
      <c r="K133" s="2">
        <f t="shared" si="62"/>
        <v>5</v>
      </c>
      <c r="L133">
        <v>2200000000</v>
      </c>
      <c r="M133" s="2">
        <f t="shared" si="63"/>
        <v>9.3424226808222066</v>
      </c>
      <c r="N133">
        <v>2200000000</v>
      </c>
      <c r="O133">
        <v>0</v>
      </c>
      <c r="P133" s="1">
        <v>42046</v>
      </c>
      <c r="Q133" s="89">
        <f t="shared" si="64"/>
        <v>2015</v>
      </c>
      <c r="R133" t="s">
        <v>107</v>
      </c>
      <c r="S133">
        <v>1500000000</v>
      </c>
      <c r="T133" s="21">
        <f t="shared" si="86"/>
        <v>10.846575342465753</v>
      </c>
      <c r="U133">
        <v>0</v>
      </c>
      <c r="V133">
        <f t="shared" si="65"/>
        <v>0</v>
      </c>
      <c r="W133">
        <v>1897</v>
      </c>
      <c r="X133">
        <v>107</v>
      </c>
      <c r="Y133">
        <f t="shared" si="66"/>
        <v>2.0334237554869499</v>
      </c>
      <c r="Z133" s="45">
        <v>2.95</v>
      </c>
      <c r="AA133" s="9">
        <f t="shared" si="87"/>
        <v>-700000000</v>
      </c>
      <c r="AB133" s="15">
        <f t="shared" si="88"/>
        <v>-0.31818181818181823</v>
      </c>
      <c r="AC133" s="34">
        <f t="shared" si="67"/>
        <v>-0.16633142176652502</v>
      </c>
      <c r="AD133">
        <v>1171.498</v>
      </c>
      <c r="AE133">
        <f t="shared" si="91"/>
        <v>3.0687415514991745</v>
      </c>
      <c r="AF133">
        <v>3386.1060000000002</v>
      </c>
      <c r="AG133">
        <f t="shared" si="92"/>
        <v>3.5297005493117593</v>
      </c>
      <c r="AH133" s="9">
        <v>0</v>
      </c>
      <c r="AI133" s="9">
        <f t="shared" si="68"/>
        <v>0</v>
      </c>
      <c r="AJ133">
        <v>85</v>
      </c>
      <c r="AK133" s="15" t="s">
        <v>215</v>
      </c>
      <c r="AL133" s="42">
        <v>36.876470987978301</v>
      </c>
      <c r="AM133" s="24">
        <v>0.82</v>
      </c>
      <c r="AN133" s="34">
        <f t="shared" si="69"/>
        <v>0.26007138798507473</v>
      </c>
      <c r="AO133">
        <v>1976</v>
      </c>
      <c r="AP133">
        <v>28</v>
      </c>
      <c r="AQ133">
        <v>70</v>
      </c>
      <c r="AR133">
        <v>70</v>
      </c>
      <c r="AS133">
        <f t="shared" si="89"/>
        <v>0</v>
      </c>
      <c r="AT133">
        <f t="shared" si="70"/>
        <v>1</v>
      </c>
      <c r="AU133">
        <f t="shared" si="71"/>
        <v>0</v>
      </c>
      <c r="AV133">
        <f t="shared" si="72"/>
        <v>0</v>
      </c>
      <c r="AW133">
        <f t="shared" si="73"/>
        <v>0</v>
      </c>
      <c r="AX133">
        <f t="shared" si="74"/>
        <v>0</v>
      </c>
      <c r="AY133">
        <f t="shared" si="75"/>
        <v>0</v>
      </c>
      <c r="AZ133">
        <f t="shared" si="76"/>
        <v>0</v>
      </c>
      <c r="BA133">
        <f t="shared" si="77"/>
        <v>0</v>
      </c>
      <c r="BB133">
        <f t="shared" si="78"/>
        <v>0</v>
      </c>
      <c r="BC133">
        <f t="shared" si="79"/>
        <v>0</v>
      </c>
      <c r="BD133">
        <f t="shared" si="80"/>
        <v>0</v>
      </c>
      <c r="BE133">
        <f t="shared" si="81"/>
        <v>0</v>
      </c>
      <c r="BF133">
        <f t="shared" si="82"/>
        <v>0</v>
      </c>
      <c r="BG133">
        <f t="shared" si="83"/>
        <v>0</v>
      </c>
      <c r="BH133">
        <f t="shared" si="84"/>
        <v>0</v>
      </c>
      <c r="BI133">
        <f t="shared" si="85"/>
        <v>0</v>
      </c>
    </row>
    <row r="134" spans="1:61" x14ac:dyDescent="0.35">
      <c r="A134" t="s">
        <v>379</v>
      </c>
      <c r="B134" s="1">
        <v>38799</v>
      </c>
      <c r="C134" t="s">
        <v>380</v>
      </c>
      <c r="D134" t="s">
        <v>45</v>
      </c>
      <c r="E134" t="s">
        <v>378</v>
      </c>
      <c r="F134" t="s">
        <v>45</v>
      </c>
      <c r="G134" t="s">
        <v>102</v>
      </c>
      <c r="H134" s="139">
        <f t="shared" si="90"/>
        <v>0</v>
      </c>
      <c r="I134" t="s">
        <v>234</v>
      </c>
      <c r="J134" t="s">
        <v>248</v>
      </c>
      <c r="K134" s="2">
        <f t="shared" ref="K134:K197" si="93">IF(J134="Consumer Discretionary",5,IF(J134="Industrials",1,IF(J134="Energy",3,IF(J134="Health Care",2,IF(J134="Communications",4,IF(J134="Financials",6,IF(J134="Consumer Staples",7,IF(J134="Materials",8,IF(J134="Technology",9,IF(J134="Utilities",10,""))))))))))</f>
        <v>5</v>
      </c>
      <c r="L134">
        <v>8800000000</v>
      </c>
      <c r="M134" s="2">
        <f t="shared" ref="M134:M197" si="94">LOG(L134)</f>
        <v>9.9444826721501691</v>
      </c>
      <c r="N134">
        <v>8800000000</v>
      </c>
      <c r="O134">
        <v>0</v>
      </c>
      <c r="P134" s="1">
        <v>40111</v>
      </c>
      <c r="Q134" s="89">
        <f t="shared" ref="Q134:Q197" si="95">YEAR(P134)</f>
        <v>2009</v>
      </c>
      <c r="R134" t="s">
        <v>338</v>
      </c>
      <c r="S134">
        <v>0</v>
      </c>
      <c r="T134" s="21">
        <f t="shared" si="86"/>
        <v>3.5945205479452054</v>
      </c>
      <c r="U134">
        <v>0</v>
      </c>
      <c r="V134">
        <f t="shared" ref="V134:V197" si="96">LOG(1+U134)</f>
        <v>0</v>
      </c>
      <c r="W134">
        <v>1998</v>
      </c>
      <c r="X134">
        <v>8</v>
      </c>
      <c r="Y134">
        <f t="shared" ref="Y134:Y197" si="97">LOG(1+X134)</f>
        <v>0.95424250943932487</v>
      </c>
      <c r="Z134" s="45">
        <v>2.95</v>
      </c>
      <c r="AA134" s="9">
        <f t="shared" si="87"/>
        <v>-8800000000</v>
      </c>
      <c r="AB134" s="15">
        <f t="shared" si="88"/>
        <v>-1</v>
      </c>
      <c r="AC134" s="34">
        <f t="shared" ref="AC134:AC197" si="98">IF(AB134=-1,LOG(0.1),LOG(1+AB134))</f>
        <v>-1</v>
      </c>
      <c r="AD134">
        <v>1171.498</v>
      </c>
      <c r="AE134">
        <f t="shared" si="91"/>
        <v>3.0687415514991745</v>
      </c>
      <c r="AF134">
        <v>3386.1060000000002</v>
      </c>
      <c r="AG134">
        <f t="shared" si="92"/>
        <v>3.5297005493117593</v>
      </c>
      <c r="AH134" s="9">
        <v>0</v>
      </c>
      <c r="AI134" s="9">
        <f t="shared" ref="AI134:AI197" si="99">IF(AH134=0,0,LOG(1+AH134))</f>
        <v>0</v>
      </c>
      <c r="AJ134">
        <v>93.2</v>
      </c>
      <c r="AK134" s="15" t="s">
        <v>103</v>
      </c>
      <c r="AL134" s="42">
        <v>36.669158714517401</v>
      </c>
      <c r="AM134" s="24">
        <v>-0.17</v>
      </c>
      <c r="AN134" s="34">
        <f t="shared" ref="AN134:AN197" si="100">LOG(1+AM134)</f>
        <v>-8.092190762392612E-2</v>
      </c>
      <c r="AO134">
        <v>1976</v>
      </c>
      <c r="AP134">
        <v>30</v>
      </c>
      <c r="AQ134">
        <v>70</v>
      </c>
      <c r="AR134">
        <v>70</v>
      </c>
      <c r="AS134">
        <f t="shared" si="89"/>
        <v>1</v>
      </c>
      <c r="AT134">
        <f t="shared" ref="AT134:AT197" si="101">IF($D134="US",1,0)</f>
        <v>1</v>
      </c>
      <c r="AU134">
        <f t="shared" ref="AU134:AU197" si="102">IF($D134="UK",1,0)</f>
        <v>0</v>
      </c>
      <c r="AV134">
        <f t="shared" ref="AV134:AV197" si="103">IF($D134="Norway",1,0)</f>
        <v>0</v>
      </c>
      <c r="AW134">
        <f t="shared" ref="AW134:AW197" si="104">IF($D134="Denmark",1,0)</f>
        <v>0</v>
      </c>
      <c r="AX134">
        <f t="shared" ref="AX134:AX197" si="105">IF($D134="Sweden",1,0)</f>
        <v>0</v>
      </c>
      <c r="AY134">
        <f t="shared" ref="AY134:AY197" si="106">IF($D134="Netherlands",1,0)</f>
        <v>0</v>
      </c>
      <c r="AZ134">
        <f t="shared" ref="AZ134:AZ197" si="107">IF($D134="France",1,0)</f>
        <v>0</v>
      </c>
      <c r="BA134">
        <f t="shared" ref="BA134:BA197" si="108">IF($D134="Belgium",1,0)</f>
        <v>0</v>
      </c>
      <c r="BB134">
        <f t="shared" ref="BB134:BB197" si="109">IF($D134="Germany",1,0)</f>
        <v>0</v>
      </c>
      <c r="BC134">
        <f t="shared" ref="BC134:BC197" si="110">IF($D134="Italy",1,0)</f>
        <v>0</v>
      </c>
      <c r="BD134">
        <f t="shared" ref="BD134:BD197" si="111">IF($D134="Spain",1,0)</f>
        <v>0</v>
      </c>
      <c r="BE134">
        <f t="shared" ref="BE134:BE197" si="112">IF($D134="Luxembourg",1,0)</f>
        <v>0</v>
      </c>
      <c r="BF134">
        <f t="shared" ref="BF134:BF197" si="113">IF($D134="Portugal",1,0)</f>
        <v>0</v>
      </c>
      <c r="BG134">
        <f t="shared" ref="BG134:BG197" si="114">IF($D134="Switzerland",1,0)</f>
        <v>0</v>
      </c>
      <c r="BH134">
        <f t="shared" ref="BH134:BH197" si="115">IF($D134="Ireland",1,0)</f>
        <v>0</v>
      </c>
      <c r="BI134">
        <f t="shared" ref="BI134:BI197" si="116">IF($D134="Finland",1,0)</f>
        <v>0</v>
      </c>
    </row>
    <row r="135" spans="1:61" x14ac:dyDescent="0.35">
      <c r="A135" t="s">
        <v>51</v>
      </c>
      <c r="B135" s="1">
        <v>40955</v>
      </c>
      <c r="C135" t="s">
        <v>381</v>
      </c>
      <c r="D135" t="s">
        <v>6</v>
      </c>
      <c r="E135" t="s">
        <v>382</v>
      </c>
      <c r="F135" t="s">
        <v>45</v>
      </c>
      <c r="G135" t="s">
        <v>125</v>
      </c>
      <c r="H135" s="139">
        <f t="shared" si="90"/>
        <v>1</v>
      </c>
      <c r="I135" t="s">
        <v>234</v>
      </c>
      <c r="J135" t="s">
        <v>326</v>
      </c>
      <c r="K135" s="2">
        <f t="shared" si="93"/>
        <v>8</v>
      </c>
      <c r="L135">
        <v>1100000000</v>
      </c>
      <c r="M135" s="2">
        <f t="shared" si="94"/>
        <v>9.0413926851582254</v>
      </c>
      <c r="N135">
        <v>1100000000</v>
      </c>
      <c r="O135">
        <v>0</v>
      </c>
      <c r="P135" s="1">
        <v>41381</v>
      </c>
      <c r="Q135" s="89">
        <f t="shared" si="95"/>
        <v>2013</v>
      </c>
      <c r="R135" t="s">
        <v>155</v>
      </c>
      <c r="S135">
        <v>1736677288</v>
      </c>
      <c r="T135" s="21">
        <f t="shared" si="86"/>
        <v>1.167123287671233</v>
      </c>
      <c r="U135">
        <v>6216.38</v>
      </c>
      <c r="V135">
        <f t="shared" si="96"/>
        <v>3.7936074118204202</v>
      </c>
      <c r="W135">
        <v>2003</v>
      </c>
      <c r="X135">
        <v>9</v>
      </c>
      <c r="Y135">
        <f t="shared" si="97"/>
        <v>1</v>
      </c>
      <c r="Z135" s="45">
        <v>2.92</v>
      </c>
      <c r="AA135" s="9">
        <f t="shared" si="87"/>
        <v>636677288</v>
      </c>
      <c r="AB135" s="15">
        <f t="shared" si="88"/>
        <v>0.57879753454545457</v>
      </c>
      <c r="AC135" s="34">
        <f t="shared" si="98"/>
        <v>0.19832643952855722</v>
      </c>
      <c r="AD135">
        <v>1518.5350000000001</v>
      </c>
      <c r="AE135">
        <f t="shared" si="91"/>
        <v>3.1814248062191788</v>
      </c>
      <c r="AF135">
        <v>5363.16</v>
      </c>
      <c r="AG135">
        <f t="shared" si="92"/>
        <v>3.7294207535322617</v>
      </c>
      <c r="AH135" s="9">
        <v>544.83333333333303</v>
      </c>
      <c r="AI135" s="9">
        <f t="shared" si="99"/>
        <v>2.7370600539441581</v>
      </c>
      <c r="AJ135">
        <v>92.3</v>
      </c>
      <c r="AK135" s="15" t="s">
        <v>383</v>
      </c>
      <c r="AL135" s="42">
        <v>55.865585583074697</v>
      </c>
      <c r="AM135" s="24">
        <v>0.14000000000000001</v>
      </c>
      <c r="AN135" s="34">
        <f t="shared" si="100"/>
        <v>5.6904851336472641E-2</v>
      </c>
      <c r="AO135">
        <v>1990</v>
      </c>
      <c r="AP135">
        <v>22</v>
      </c>
      <c r="AQ135">
        <v>80</v>
      </c>
      <c r="AR135">
        <v>70</v>
      </c>
      <c r="AS135">
        <f t="shared" si="89"/>
        <v>0</v>
      </c>
      <c r="AT135">
        <f t="shared" si="101"/>
        <v>0</v>
      </c>
      <c r="AU135">
        <f t="shared" si="102"/>
        <v>0</v>
      </c>
      <c r="AV135">
        <f t="shared" si="103"/>
        <v>0</v>
      </c>
      <c r="AW135">
        <f t="shared" si="104"/>
        <v>0</v>
      </c>
      <c r="AX135">
        <f t="shared" si="105"/>
        <v>0</v>
      </c>
      <c r="AY135">
        <f t="shared" si="106"/>
        <v>0</v>
      </c>
      <c r="AZ135">
        <f t="shared" si="107"/>
        <v>0</v>
      </c>
      <c r="BA135">
        <f t="shared" si="108"/>
        <v>1</v>
      </c>
      <c r="BB135">
        <f t="shared" si="109"/>
        <v>0</v>
      </c>
      <c r="BC135">
        <f t="shared" si="110"/>
        <v>0</v>
      </c>
      <c r="BD135">
        <f t="shared" si="111"/>
        <v>0</v>
      </c>
      <c r="BE135">
        <f t="shared" si="112"/>
        <v>0</v>
      </c>
      <c r="BF135">
        <f t="shared" si="113"/>
        <v>0</v>
      </c>
      <c r="BG135">
        <f t="shared" si="114"/>
        <v>0</v>
      </c>
      <c r="BH135">
        <f t="shared" si="115"/>
        <v>0</v>
      </c>
      <c r="BI135">
        <f t="shared" si="116"/>
        <v>0</v>
      </c>
    </row>
    <row r="136" spans="1:61" x14ac:dyDescent="0.35">
      <c r="A136" t="s">
        <v>352</v>
      </c>
      <c r="B136" s="1">
        <v>38218</v>
      </c>
      <c r="C136" t="s">
        <v>384</v>
      </c>
      <c r="D136" t="s">
        <v>163</v>
      </c>
      <c r="E136" t="s">
        <v>385</v>
      </c>
      <c r="F136" t="s">
        <v>45</v>
      </c>
      <c r="G136" t="s">
        <v>125</v>
      </c>
      <c r="H136" s="139">
        <f t="shared" si="90"/>
        <v>1</v>
      </c>
      <c r="I136" t="s">
        <v>234</v>
      </c>
      <c r="J136" t="s">
        <v>186</v>
      </c>
      <c r="K136" s="2">
        <f t="shared" si="93"/>
        <v>4</v>
      </c>
      <c r="L136">
        <v>12000000</v>
      </c>
      <c r="M136" s="2">
        <f t="shared" si="94"/>
        <v>7.0791812460476251</v>
      </c>
      <c r="N136">
        <v>12000000</v>
      </c>
      <c r="O136">
        <v>0</v>
      </c>
      <c r="P136" s="1">
        <v>38615</v>
      </c>
      <c r="Q136" s="89">
        <f t="shared" si="95"/>
        <v>2005</v>
      </c>
      <c r="R136" t="s">
        <v>155</v>
      </c>
      <c r="S136">
        <v>18500000</v>
      </c>
      <c r="T136" s="21">
        <f t="shared" si="86"/>
        <v>1.0876712328767124</v>
      </c>
      <c r="U136">
        <v>6164.6</v>
      </c>
      <c r="V136">
        <f t="shared" si="96"/>
        <v>3.7899753459779522</v>
      </c>
      <c r="W136">
        <v>1999</v>
      </c>
      <c r="X136">
        <v>5</v>
      </c>
      <c r="Y136">
        <f t="shared" si="97"/>
        <v>0.77815125038364363</v>
      </c>
      <c r="Z136" s="45">
        <v>3.18</v>
      </c>
      <c r="AA136" s="9">
        <f t="shared" si="87"/>
        <v>6500000</v>
      </c>
      <c r="AB136" s="15">
        <f t="shared" si="88"/>
        <v>0.54166666666666674</v>
      </c>
      <c r="AC136" s="34">
        <f t="shared" si="98"/>
        <v>0.18799048235538898</v>
      </c>
      <c r="AD136">
        <v>1518.5350000000001</v>
      </c>
      <c r="AE136">
        <f t="shared" si="91"/>
        <v>3.1814248062191788</v>
      </c>
      <c r="AF136">
        <v>5363.16</v>
      </c>
      <c r="AG136">
        <f t="shared" si="92"/>
        <v>3.7294207535322617</v>
      </c>
      <c r="AH136" s="9">
        <v>583.83333333333303</v>
      </c>
      <c r="AI136" s="9">
        <f t="shared" si="99"/>
        <v>2.7670321178317625</v>
      </c>
      <c r="AJ136">
        <v>70</v>
      </c>
      <c r="AK136" s="15" t="s">
        <v>243</v>
      </c>
      <c r="AL136" s="42">
        <v>52.984855215816303</v>
      </c>
      <c r="AM136" s="24">
        <v>0.12</v>
      </c>
      <c r="AN136" s="34">
        <f t="shared" si="100"/>
        <v>4.9218022670181653E-2</v>
      </c>
      <c r="AO136">
        <v>1990</v>
      </c>
      <c r="AP136">
        <v>14</v>
      </c>
      <c r="AQ136">
        <v>85</v>
      </c>
      <c r="AR136">
        <v>80</v>
      </c>
      <c r="AS136">
        <f t="shared" si="89"/>
        <v>0</v>
      </c>
      <c r="AT136">
        <f t="shared" si="101"/>
        <v>0</v>
      </c>
      <c r="AU136">
        <f t="shared" si="102"/>
        <v>0</v>
      </c>
      <c r="AV136">
        <f t="shared" si="103"/>
        <v>0</v>
      </c>
      <c r="AW136">
        <f t="shared" si="104"/>
        <v>0</v>
      </c>
      <c r="AX136">
        <f t="shared" si="105"/>
        <v>0</v>
      </c>
      <c r="AY136">
        <f t="shared" si="106"/>
        <v>0</v>
      </c>
      <c r="AZ136">
        <f t="shared" si="107"/>
        <v>1</v>
      </c>
      <c r="BA136">
        <f t="shared" si="108"/>
        <v>0</v>
      </c>
      <c r="BB136">
        <f t="shared" si="109"/>
        <v>0</v>
      </c>
      <c r="BC136">
        <f t="shared" si="110"/>
        <v>0</v>
      </c>
      <c r="BD136">
        <f t="shared" si="111"/>
        <v>0</v>
      </c>
      <c r="BE136">
        <f t="shared" si="112"/>
        <v>0</v>
      </c>
      <c r="BF136">
        <f t="shared" si="113"/>
        <v>0</v>
      </c>
      <c r="BG136">
        <f t="shared" si="114"/>
        <v>0</v>
      </c>
      <c r="BH136">
        <f t="shared" si="115"/>
        <v>0</v>
      </c>
      <c r="BI136">
        <f t="shared" si="116"/>
        <v>0</v>
      </c>
    </row>
    <row r="137" spans="1:61" x14ac:dyDescent="0.35">
      <c r="A137" t="s">
        <v>51</v>
      </c>
      <c r="B137" s="1">
        <v>40311</v>
      </c>
      <c r="C137" t="s">
        <v>386</v>
      </c>
      <c r="D137" t="s">
        <v>45</v>
      </c>
      <c r="E137" t="s">
        <v>382</v>
      </c>
      <c r="F137" t="s">
        <v>45</v>
      </c>
      <c r="G137" t="s">
        <v>102</v>
      </c>
      <c r="H137" s="139">
        <f t="shared" si="90"/>
        <v>0</v>
      </c>
      <c r="I137" t="s">
        <v>234</v>
      </c>
      <c r="J137" t="s">
        <v>326</v>
      </c>
      <c r="K137" s="2">
        <f t="shared" si="93"/>
        <v>8</v>
      </c>
      <c r="L137">
        <v>458198000</v>
      </c>
      <c r="M137" s="2">
        <f t="shared" si="94"/>
        <v>8.6610531891945843</v>
      </c>
      <c r="N137">
        <v>458198000</v>
      </c>
      <c r="O137">
        <v>0</v>
      </c>
      <c r="P137" s="1">
        <v>43308</v>
      </c>
      <c r="Q137" s="89">
        <f t="shared" si="95"/>
        <v>2018</v>
      </c>
      <c r="R137" t="s">
        <v>155</v>
      </c>
      <c r="S137">
        <v>2216401000</v>
      </c>
      <c r="T137" s="21">
        <f t="shared" si="86"/>
        <v>8.2109589041095887</v>
      </c>
      <c r="U137">
        <v>0</v>
      </c>
      <c r="V137">
        <f t="shared" si="96"/>
        <v>0</v>
      </c>
      <c r="W137">
        <v>2004</v>
      </c>
      <c r="X137">
        <v>6</v>
      </c>
      <c r="Y137">
        <f t="shared" si="97"/>
        <v>0.84509804001425681</v>
      </c>
      <c r="Z137" s="45">
        <v>2.95</v>
      </c>
      <c r="AA137" s="9">
        <f t="shared" si="87"/>
        <v>1758203000</v>
      </c>
      <c r="AB137" s="15">
        <f t="shared" si="88"/>
        <v>3.8372122968672935</v>
      </c>
      <c r="AC137" s="34">
        <f t="shared" si="98"/>
        <v>0.68459514823913259</v>
      </c>
      <c r="AD137">
        <v>1518.5350000000001</v>
      </c>
      <c r="AE137">
        <f t="shared" si="91"/>
        <v>3.1814248062191788</v>
      </c>
      <c r="AF137">
        <v>5363.16</v>
      </c>
      <c r="AG137">
        <f t="shared" si="92"/>
        <v>3.7294207535322617</v>
      </c>
      <c r="AH137" s="9">
        <v>0</v>
      </c>
      <c r="AI137" s="9">
        <f t="shared" si="99"/>
        <v>0</v>
      </c>
      <c r="AJ137">
        <v>91.3</v>
      </c>
      <c r="AK137" s="15" t="s">
        <v>136</v>
      </c>
      <c r="AL137" s="42">
        <v>43.1672842383418</v>
      </c>
      <c r="AM137" s="24">
        <v>1.44</v>
      </c>
      <c r="AN137" s="34">
        <f t="shared" si="100"/>
        <v>0.38738982633872943</v>
      </c>
      <c r="AO137">
        <v>1990</v>
      </c>
      <c r="AP137">
        <v>20</v>
      </c>
      <c r="AQ137">
        <v>70</v>
      </c>
      <c r="AR137">
        <v>70</v>
      </c>
      <c r="AS137">
        <f t="shared" si="89"/>
        <v>0</v>
      </c>
      <c r="AT137">
        <f t="shared" si="101"/>
        <v>1</v>
      </c>
      <c r="AU137">
        <f t="shared" si="102"/>
        <v>0</v>
      </c>
      <c r="AV137">
        <f t="shared" si="103"/>
        <v>0</v>
      </c>
      <c r="AW137">
        <f t="shared" si="104"/>
        <v>0</v>
      </c>
      <c r="AX137">
        <f t="shared" si="105"/>
        <v>0</v>
      </c>
      <c r="AY137">
        <f t="shared" si="106"/>
        <v>0</v>
      </c>
      <c r="AZ137">
        <f t="shared" si="107"/>
        <v>0</v>
      </c>
      <c r="BA137">
        <f t="shared" si="108"/>
        <v>0</v>
      </c>
      <c r="BB137">
        <f t="shared" si="109"/>
        <v>0</v>
      </c>
      <c r="BC137">
        <f t="shared" si="110"/>
        <v>0</v>
      </c>
      <c r="BD137">
        <f t="shared" si="111"/>
        <v>0</v>
      </c>
      <c r="BE137">
        <f t="shared" si="112"/>
        <v>0</v>
      </c>
      <c r="BF137">
        <f t="shared" si="113"/>
        <v>0</v>
      </c>
      <c r="BG137">
        <f t="shared" si="114"/>
        <v>0</v>
      </c>
      <c r="BH137">
        <f t="shared" si="115"/>
        <v>0</v>
      </c>
      <c r="BI137">
        <f t="shared" si="116"/>
        <v>0</v>
      </c>
    </row>
    <row r="138" spans="1:61" x14ac:dyDescent="0.35">
      <c r="A138" t="s">
        <v>51</v>
      </c>
      <c r="B138" s="1">
        <v>39199</v>
      </c>
      <c r="C138" t="s">
        <v>387</v>
      </c>
      <c r="D138" t="s">
        <v>45</v>
      </c>
      <c r="E138" t="s">
        <v>388</v>
      </c>
      <c r="F138" t="s">
        <v>45</v>
      </c>
      <c r="G138" t="s">
        <v>102</v>
      </c>
      <c r="H138" s="139">
        <f t="shared" si="90"/>
        <v>0</v>
      </c>
      <c r="I138" t="s">
        <v>234</v>
      </c>
      <c r="J138" t="s">
        <v>248</v>
      </c>
      <c r="K138" s="2">
        <f t="shared" si="93"/>
        <v>5</v>
      </c>
      <c r="L138">
        <v>850000000</v>
      </c>
      <c r="M138" s="2">
        <f t="shared" si="94"/>
        <v>8.9294189257142929</v>
      </c>
      <c r="N138">
        <v>850000000</v>
      </c>
      <c r="O138">
        <v>0</v>
      </c>
      <c r="P138" s="1">
        <v>41962</v>
      </c>
      <c r="Q138" s="89">
        <f t="shared" si="95"/>
        <v>2014</v>
      </c>
      <c r="R138" t="s">
        <v>155</v>
      </c>
      <c r="S138">
        <v>3075000000</v>
      </c>
      <c r="T138" s="21">
        <f t="shared" si="86"/>
        <v>7.5698630136986305</v>
      </c>
      <c r="U138">
        <v>0</v>
      </c>
      <c r="V138">
        <f t="shared" si="96"/>
        <v>0</v>
      </c>
      <c r="W138">
        <v>2007</v>
      </c>
      <c r="X138">
        <v>0</v>
      </c>
      <c r="Y138">
        <f t="shared" si="97"/>
        <v>0</v>
      </c>
      <c r="Z138" s="45">
        <v>2.95</v>
      </c>
      <c r="AA138" s="9">
        <f t="shared" si="87"/>
        <v>2225000000</v>
      </c>
      <c r="AB138" s="15">
        <f t="shared" si="88"/>
        <v>2.6176470588235294</v>
      </c>
      <c r="AC138" s="34">
        <f t="shared" si="98"/>
        <v>0.55842619439714281</v>
      </c>
      <c r="AD138">
        <v>1518.5350000000001</v>
      </c>
      <c r="AE138">
        <f t="shared" si="91"/>
        <v>3.1814248062191788</v>
      </c>
      <c r="AF138">
        <v>5363.16</v>
      </c>
      <c r="AG138">
        <f t="shared" si="92"/>
        <v>3.7294207535322617</v>
      </c>
      <c r="AH138" s="9">
        <v>0</v>
      </c>
      <c r="AI138" s="9">
        <f t="shared" si="99"/>
        <v>0</v>
      </c>
      <c r="AJ138">
        <v>91.4</v>
      </c>
      <c r="AK138" s="15" t="s">
        <v>103</v>
      </c>
      <c r="AL138" s="42">
        <v>37.425715444240403</v>
      </c>
      <c r="AM138" s="24">
        <v>0.37</v>
      </c>
      <c r="AN138" s="34">
        <f t="shared" si="100"/>
        <v>0.13672056715640679</v>
      </c>
      <c r="AO138">
        <v>1990</v>
      </c>
      <c r="AP138">
        <v>17</v>
      </c>
      <c r="AQ138">
        <v>70</v>
      </c>
      <c r="AR138">
        <v>70</v>
      </c>
      <c r="AS138">
        <f t="shared" si="89"/>
        <v>0</v>
      </c>
      <c r="AT138">
        <f t="shared" si="101"/>
        <v>1</v>
      </c>
      <c r="AU138">
        <f t="shared" si="102"/>
        <v>0</v>
      </c>
      <c r="AV138">
        <f t="shared" si="103"/>
        <v>0</v>
      </c>
      <c r="AW138">
        <f t="shared" si="104"/>
        <v>0</v>
      </c>
      <c r="AX138">
        <f t="shared" si="105"/>
        <v>0</v>
      </c>
      <c r="AY138">
        <f t="shared" si="106"/>
        <v>0</v>
      </c>
      <c r="AZ138">
        <f t="shared" si="107"/>
        <v>0</v>
      </c>
      <c r="BA138">
        <f t="shared" si="108"/>
        <v>0</v>
      </c>
      <c r="BB138">
        <f t="shared" si="109"/>
        <v>0</v>
      </c>
      <c r="BC138">
        <f t="shared" si="110"/>
        <v>0</v>
      </c>
      <c r="BD138">
        <f t="shared" si="111"/>
        <v>0</v>
      </c>
      <c r="BE138">
        <f t="shared" si="112"/>
        <v>0</v>
      </c>
      <c r="BF138">
        <f t="shared" si="113"/>
        <v>0</v>
      </c>
      <c r="BG138">
        <f t="shared" si="114"/>
        <v>0</v>
      </c>
      <c r="BH138">
        <f t="shared" si="115"/>
        <v>0</v>
      </c>
      <c r="BI138">
        <f t="shared" si="116"/>
        <v>0</v>
      </c>
    </row>
    <row r="139" spans="1:61" x14ac:dyDescent="0.35">
      <c r="A139" t="s">
        <v>51</v>
      </c>
      <c r="B139" s="1">
        <v>38348</v>
      </c>
      <c r="C139" t="s">
        <v>389</v>
      </c>
      <c r="D139" t="s">
        <v>45</v>
      </c>
      <c r="E139" t="s">
        <v>385</v>
      </c>
      <c r="F139" t="s">
        <v>45</v>
      </c>
      <c r="G139" t="s">
        <v>102</v>
      </c>
      <c r="H139" s="139">
        <f t="shared" si="90"/>
        <v>0</v>
      </c>
      <c r="I139" t="s">
        <v>234</v>
      </c>
      <c r="J139" t="s">
        <v>248</v>
      </c>
      <c r="K139" s="2">
        <f t="shared" si="93"/>
        <v>5</v>
      </c>
      <c r="L139">
        <v>1140330000</v>
      </c>
      <c r="M139" s="2">
        <f t="shared" si="94"/>
        <v>9.0570305499678359</v>
      </c>
      <c r="N139">
        <v>725860000</v>
      </c>
      <c r="O139">
        <v>414470000</v>
      </c>
      <c r="P139" s="1">
        <v>41151</v>
      </c>
      <c r="Q139" s="89">
        <f t="shared" si="95"/>
        <v>2012</v>
      </c>
      <c r="R139" t="s">
        <v>155</v>
      </c>
      <c r="S139">
        <v>2745880000</v>
      </c>
      <c r="T139" s="21">
        <f t="shared" si="86"/>
        <v>7.6794520547945204</v>
      </c>
      <c r="U139">
        <v>0</v>
      </c>
      <c r="V139">
        <f t="shared" si="96"/>
        <v>0</v>
      </c>
      <c r="W139">
        <v>1920</v>
      </c>
      <c r="X139">
        <v>84</v>
      </c>
      <c r="Y139">
        <f t="shared" si="97"/>
        <v>1.9294189257142926</v>
      </c>
      <c r="Z139" s="45">
        <v>2.95</v>
      </c>
      <c r="AA139" s="9">
        <f t="shared" si="87"/>
        <v>2020020000</v>
      </c>
      <c r="AB139" s="15">
        <f t="shared" si="88"/>
        <v>1.4079696228284795</v>
      </c>
      <c r="AC139" s="34">
        <f t="shared" si="98"/>
        <v>0.3816510038809775</v>
      </c>
      <c r="AD139">
        <v>1518.5350000000001</v>
      </c>
      <c r="AE139">
        <f t="shared" si="91"/>
        <v>3.1814248062191788</v>
      </c>
      <c r="AF139">
        <v>5363.16</v>
      </c>
      <c r="AG139">
        <f t="shared" si="92"/>
        <v>3.7294207535322617</v>
      </c>
      <c r="AH139" s="9">
        <v>0</v>
      </c>
      <c r="AI139" s="9">
        <f t="shared" si="99"/>
        <v>0</v>
      </c>
      <c r="AJ139">
        <v>85</v>
      </c>
      <c r="AK139" s="15" t="s">
        <v>215</v>
      </c>
      <c r="AL139" s="42">
        <v>36.876470987978301</v>
      </c>
      <c r="AM139" s="24">
        <v>0.16</v>
      </c>
      <c r="AN139" s="34">
        <f t="shared" si="100"/>
        <v>6.445798922691845E-2</v>
      </c>
      <c r="AO139">
        <v>1990</v>
      </c>
      <c r="AP139">
        <v>14</v>
      </c>
      <c r="AQ139">
        <v>70</v>
      </c>
      <c r="AR139">
        <v>70</v>
      </c>
      <c r="AS139">
        <f t="shared" si="89"/>
        <v>0</v>
      </c>
      <c r="AT139">
        <f t="shared" si="101"/>
        <v>1</v>
      </c>
      <c r="AU139">
        <f t="shared" si="102"/>
        <v>0</v>
      </c>
      <c r="AV139">
        <f t="shared" si="103"/>
        <v>0</v>
      </c>
      <c r="AW139">
        <f t="shared" si="104"/>
        <v>0</v>
      </c>
      <c r="AX139">
        <f t="shared" si="105"/>
        <v>0</v>
      </c>
      <c r="AY139">
        <f t="shared" si="106"/>
        <v>0</v>
      </c>
      <c r="AZ139">
        <f t="shared" si="107"/>
        <v>0</v>
      </c>
      <c r="BA139">
        <f t="shared" si="108"/>
        <v>0</v>
      </c>
      <c r="BB139">
        <f t="shared" si="109"/>
        <v>0</v>
      </c>
      <c r="BC139">
        <f t="shared" si="110"/>
        <v>0</v>
      </c>
      <c r="BD139">
        <f t="shared" si="111"/>
        <v>0</v>
      </c>
      <c r="BE139">
        <f t="shared" si="112"/>
        <v>0</v>
      </c>
      <c r="BF139">
        <f t="shared" si="113"/>
        <v>0</v>
      </c>
      <c r="BG139">
        <f t="shared" si="114"/>
        <v>0</v>
      </c>
      <c r="BH139">
        <f t="shared" si="115"/>
        <v>0</v>
      </c>
      <c r="BI139">
        <f t="shared" si="116"/>
        <v>0</v>
      </c>
    </row>
    <row r="140" spans="1:61" x14ac:dyDescent="0.35">
      <c r="A140" t="s">
        <v>51</v>
      </c>
      <c r="B140" s="1">
        <v>37753</v>
      </c>
      <c r="C140" t="s">
        <v>390</v>
      </c>
      <c r="D140" t="s">
        <v>45</v>
      </c>
      <c r="E140" t="s">
        <v>385</v>
      </c>
      <c r="F140" t="s">
        <v>45</v>
      </c>
      <c r="G140" t="s">
        <v>102</v>
      </c>
      <c r="H140" s="139">
        <f t="shared" si="90"/>
        <v>0</v>
      </c>
      <c r="I140" t="s">
        <v>234</v>
      </c>
      <c r="J140" t="s">
        <v>248</v>
      </c>
      <c r="K140" s="2">
        <f t="shared" si="93"/>
        <v>5</v>
      </c>
      <c r="L140">
        <v>645000000</v>
      </c>
      <c r="M140" s="2">
        <f t="shared" si="94"/>
        <v>8.8095597146352684</v>
      </c>
      <c r="N140">
        <v>645000000</v>
      </c>
      <c r="O140">
        <v>0</v>
      </c>
      <c r="P140" s="1">
        <v>39157</v>
      </c>
      <c r="Q140" s="89">
        <f t="shared" si="95"/>
        <v>2007</v>
      </c>
      <c r="R140" t="s">
        <v>155</v>
      </c>
      <c r="S140">
        <v>165000000</v>
      </c>
      <c r="T140" s="21">
        <f t="shared" si="86"/>
        <v>3.8465753424657536</v>
      </c>
      <c r="U140">
        <v>0</v>
      </c>
      <c r="V140">
        <f t="shared" si="96"/>
        <v>0</v>
      </c>
      <c r="W140">
        <v>1935</v>
      </c>
      <c r="X140">
        <v>68</v>
      </c>
      <c r="Y140">
        <f t="shared" si="97"/>
        <v>1.8388490907372552</v>
      </c>
      <c r="Z140" s="45">
        <v>2.95</v>
      </c>
      <c r="AA140" s="9">
        <f t="shared" si="87"/>
        <v>-480000000</v>
      </c>
      <c r="AB140" s="15">
        <f t="shared" si="88"/>
        <v>-0.7441860465116279</v>
      </c>
      <c r="AC140" s="34">
        <f t="shared" si="98"/>
        <v>-0.5920757704213615</v>
      </c>
      <c r="AD140">
        <v>1518.5350000000001</v>
      </c>
      <c r="AE140">
        <f t="shared" si="91"/>
        <v>3.1814248062191788</v>
      </c>
      <c r="AF140">
        <v>5363.16</v>
      </c>
      <c r="AG140">
        <f t="shared" si="92"/>
        <v>3.7294207535322617</v>
      </c>
      <c r="AH140" s="9">
        <v>0</v>
      </c>
      <c r="AI140" s="9">
        <f t="shared" si="99"/>
        <v>0</v>
      </c>
      <c r="AJ140">
        <v>85</v>
      </c>
      <c r="AK140" s="15" t="s">
        <v>301</v>
      </c>
      <c r="AL140" s="42">
        <v>37.256914365427299</v>
      </c>
      <c r="AM140" s="24">
        <v>0.47</v>
      </c>
      <c r="AN140" s="34">
        <f t="shared" si="100"/>
        <v>0.16731733474817609</v>
      </c>
      <c r="AO140">
        <v>1990</v>
      </c>
      <c r="AP140">
        <v>13</v>
      </c>
      <c r="AQ140">
        <v>70</v>
      </c>
      <c r="AR140">
        <v>70</v>
      </c>
      <c r="AS140">
        <f t="shared" si="89"/>
        <v>0</v>
      </c>
      <c r="AT140">
        <f t="shared" si="101"/>
        <v>1</v>
      </c>
      <c r="AU140">
        <f t="shared" si="102"/>
        <v>0</v>
      </c>
      <c r="AV140">
        <f t="shared" si="103"/>
        <v>0</v>
      </c>
      <c r="AW140">
        <f t="shared" si="104"/>
        <v>0</v>
      </c>
      <c r="AX140">
        <f t="shared" si="105"/>
        <v>0</v>
      </c>
      <c r="AY140">
        <f t="shared" si="106"/>
        <v>0</v>
      </c>
      <c r="AZ140">
        <f t="shared" si="107"/>
        <v>0</v>
      </c>
      <c r="BA140">
        <f t="shared" si="108"/>
        <v>0</v>
      </c>
      <c r="BB140">
        <f t="shared" si="109"/>
        <v>0</v>
      </c>
      <c r="BC140">
        <f t="shared" si="110"/>
        <v>0</v>
      </c>
      <c r="BD140">
        <f t="shared" si="111"/>
        <v>0</v>
      </c>
      <c r="BE140">
        <f t="shared" si="112"/>
        <v>0</v>
      </c>
      <c r="BF140">
        <f t="shared" si="113"/>
        <v>0</v>
      </c>
      <c r="BG140">
        <f t="shared" si="114"/>
        <v>0</v>
      </c>
      <c r="BH140">
        <f t="shared" si="115"/>
        <v>0</v>
      </c>
      <c r="BI140">
        <f t="shared" si="116"/>
        <v>0</v>
      </c>
    </row>
    <row r="141" spans="1:61" x14ac:dyDescent="0.35">
      <c r="A141" t="s">
        <v>352</v>
      </c>
      <c r="B141" s="1">
        <v>36342</v>
      </c>
      <c r="C141" t="s">
        <v>391</v>
      </c>
      <c r="D141" t="s">
        <v>45</v>
      </c>
      <c r="E141" t="s">
        <v>392</v>
      </c>
      <c r="F141" t="s">
        <v>45</v>
      </c>
      <c r="G141" t="s">
        <v>102</v>
      </c>
      <c r="H141" s="139">
        <f t="shared" si="90"/>
        <v>0</v>
      </c>
      <c r="I141" t="s">
        <v>234</v>
      </c>
      <c r="J141" t="s">
        <v>235</v>
      </c>
      <c r="K141" s="2">
        <f t="shared" si="93"/>
        <v>1</v>
      </c>
      <c r="L141">
        <v>450000000</v>
      </c>
      <c r="M141" s="2">
        <f t="shared" si="94"/>
        <v>8.653212513775344</v>
      </c>
      <c r="N141">
        <v>450000000</v>
      </c>
      <c r="O141">
        <v>0</v>
      </c>
      <c r="P141" s="1">
        <v>39727</v>
      </c>
      <c r="Q141" s="89">
        <f t="shared" si="95"/>
        <v>2008</v>
      </c>
      <c r="R141" t="s">
        <v>155</v>
      </c>
      <c r="S141">
        <v>679000000</v>
      </c>
      <c r="T141" s="21">
        <f t="shared" si="86"/>
        <v>9.2739726027397253</v>
      </c>
      <c r="U141">
        <v>0</v>
      </c>
      <c r="V141">
        <f t="shared" si="96"/>
        <v>0</v>
      </c>
      <c r="W141">
        <v>1997</v>
      </c>
      <c r="X141">
        <v>2</v>
      </c>
      <c r="Y141">
        <f t="shared" si="97"/>
        <v>0.47712125471966244</v>
      </c>
      <c r="Z141" s="45">
        <v>2.95</v>
      </c>
      <c r="AA141" s="9">
        <f t="shared" si="87"/>
        <v>229000000</v>
      </c>
      <c r="AB141" s="15">
        <f t="shared" si="88"/>
        <v>0.50888888888888895</v>
      </c>
      <c r="AC141" s="34">
        <f t="shared" si="98"/>
        <v>0.17865726050515801</v>
      </c>
      <c r="AD141">
        <v>1518.5350000000001</v>
      </c>
      <c r="AE141">
        <f t="shared" si="91"/>
        <v>3.1814248062191788</v>
      </c>
      <c r="AF141">
        <v>5363.16</v>
      </c>
      <c r="AG141">
        <f t="shared" si="92"/>
        <v>3.7294207535322617</v>
      </c>
      <c r="AH141" s="9">
        <v>0</v>
      </c>
      <c r="AI141" s="9">
        <f t="shared" si="99"/>
        <v>0</v>
      </c>
      <c r="AJ141">
        <v>85</v>
      </c>
      <c r="AK141" s="15" t="s">
        <v>75</v>
      </c>
      <c r="AL141" s="42">
        <v>34.656907836978597</v>
      </c>
      <c r="AM141" s="24">
        <v>-0.23</v>
      </c>
      <c r="AN141" s="34">
        <f t="shared" si="100"/>
        <v>-0.11350927482751812</v>
      </c>
      <c r="AO141">
        <v>1990</v>
      </c>
      <c r="AP141">
        <v>9</v>
      </c>
      <c r="AQ141">
        <v>70</v>
      </c>
      <c r="AR141">
        <v>70</v>
      </c>
      <c r="AS141">
        <f t="shared" si="89"/>
        <v>0</v>
      </c>
      <c r="AT141">
        <f t="shared" si="101"/>
        <v>1</v>
      </c>
      <c r="AU141">
        <f t="shared" si="102"/>
        <v>0</v>
      </c>
      <c r="AV141">
        <f t="shared" si="103"/>
        <v>0</v>
      </c>
      <c r="AW141">
        <f t="shared" si="104"/>
        <v>0</v>
      </c>
      <c r="AX141">
        <f t="shared" si="105"/>
        <v>0</v>
      </c>
      <c r="AY141">
        <f t="shared" si="106"/>
        <v>0</v>
      </c>
      <c r="AZ141">
        <f t="shared" si="107"/>
        <v>0</v>
      </c>
      <c r="BA141">
        <f t="shared" si="108"/>
        <v>0</v>
      </c>
      <c r="BB141">
        <f t="shared" si="109"/>
        <v>0</v>
      </c>
      <c r="BC141">
        <f t="shared" si="110"/>
        <v>0</v>
      </c>
      <c r="BD141">
        <f t="shared" si="111"/>
        <v>0</v>
      </c>
      <c r="BE141">
        <f t="shared" si="112"/>
        <v>0</v>
      </c>
      <c r="BF141">
        <f t="shared" si="113"/>
        <v>0</v>
      </c>
      <c r="BG141">
        <f t="shared" si="114"/>
        <v>0</v>
      </c>
      <c r="BH141">
        <f t="shared" si="115"/>
        <v>0</v>
      </c>
      <c r="BI141">
        <f t="shared" si="116"/>
        <v>0</v>
      </c>
    </row>
    <row r="142" spans="1:61" x14ac:dyDescent="0.35">
      <c r="A142" s="8" t="s">
        <v>286</v>
      </c>
      <c r="B142" s="17">
        <v>35788</v>
      </c>
      <c r="C142" t="s">
        <v>348</v>
      </c>
      <c r="D142" t="s">
        <v>45</v>
      </c>
      <c r="E142" t="s">
        <v>393</v>
      </c>
      <c r="F142" t="s">
        <v>45</v>
      </c>
      <c r="G142" t="s">
        <v>102</v>
      </c>
      <c r="H142" s="139">
        <f t="shared" si="90"/>
        <v>0</v>
      </c>
      <c r="J142" t="s">
        <v>190</v>
      </c>
      <c r="K142" s="2">
        <f t="shared" si="93"/>
        <v>2</v>
      </c>
      <c r="L142">
        <v>258000000</v>
      </c>
      <c r="M142" s="2">
        <f t="shared" si="94"/>
        <v>8.4116197059632309</v>
      </c>
      <c r="N142">
        <v>191270000</v>
      </c>
      <c r="O142">
        <v>66730000</v>
      </c>
      <c r="P142" s="1">
        <v>36202</v>
      </c>
      <c r="Q142" s="89">
        <f t="shared" si="95"/>
        <v>1999</v>
      </c>
      <c r="R142" t="s">
        <v>155</v>
      </c>
      <c r="S142">
        <v>842000000</v>
      </c>
      <c r="T142" s="21">
        <f t="shared" si="86"/>
        <v>1.1342465753424658</v>
      </c>
      <c r="U142">
        <v>0</v>
      </c>
      <c r="V142">
        <f t="shared" si="96"/>
        <v>0</v>
      </c>
      <c r="W142">
        <v>1983</v>
      </c>
      <c r="X142">
        <v>14</v>
      </c>
      <c r="Y142">
        <f t="shared" si="97"/>
        <v>1.1760912590556813</v>
      </c>
      <c r="Z142" s="45">
        <v>2.95</v>
      </c>
      <c r="AA142" s="9">
        <f t="shared" si="87"/>
        <v>650730000</v>
      </c>
      <c r="AB142" s="15">
        <f t="shared" si="88"/>
        <v>2.2635658914728682</v>
      </c>
      <c r="AC142" s="34">
        <f t="shared" si="98"/>
        <v>0.51369238553641938</v>
      </c>
      <c r="AD142">
        <v>1518.5350000000001</v>
      </c>
      <c r="AE142">
        <f t="shared" si="91"/>
        <v>3.1814248062191788</v>
      </c>
      <c r="AF142">
        <v>5363.16</v>
      </c>
      <c r="AG142">
        <f t="shared" si="92"/>
        <v>3.7294207535322617</v>
      </c>
      <c r="AH142" s="9">
        <v>0</v>
      </c>
      <c r="AI142" s="9">
        <f t="shared" si="99"/>
        <v>0</v>
      </c>
      <c r="AJ142">
        <v>85</v>
      </c>
      <c r="AK142" s="15" t="s">
        <v>187</v>
      </c>
      <c r="AL142" s="42">
        <v>35.968444143503902</v>
      </c>
      <c r="AM142" s="24">
        <v>0.34</v>
      </c>
      <c r="AN142" s="34">
        <f t="shared" si="100"/>
        <v>0.12710479836480765</v>
      </c>
      <c r="AO142">
        <v>1990</v>
      </c>
      <c r="AP142">
        <v>7</v>
      </c>
      <c r="AQ142">
        <v>70</v>
      </c>
      <c r="AR142">
        <v>70</v>
      </c>
      <c r="AS142">
        <f t="shared" si="89"/>
        <v>0</v>
      </c>
      <c r="AT142">
        <f t="shared" si="101"/>
        <v>1</v>
      </c>
      <c r="AU142">
        <f t="shared" si="102"/>
        <v>0</v>
      </c>
      <c r="AV142">
        <f t="shared" si="103"/>
        <v>0</v>
      </c>
      <c r="AW142">
        <f t="shared" si="104"/>
        <v>0</v>
      </c>
      <c r="AX142">
        <f t="shared" si="105"/>
        <v>0</v>
      </c>
      <c r="AY142">
        <f t="shared" si="106"/>
        <v>0</v>
      </c>
      <c r="AZ142">
        <f t="shared" si="107"/>
        <v>0</v>
      </c>
      <c r="BA142">
        <f t="shared" si="108"/>
        <v>0</v>
      </c>
      <c r="BB142">
        <f t="shared" si="109"/>
        <v>0</v>
      </c>
      <c r="BC142">
        <f t="shared" si="110"/>
        <v>0</v>
      </c>
      <c r="BD142">
        <f t="shared" si="111"/>
        <v>0</v>
      </c>
      <c r="BE142">
        <f t="shared" si="112"/>
        <v>0</v>
      </c>
      <c r="BF142">
        <f t="shared" si="113"/>
        <v>0</v>
      </c>
      <c r="BG142">
        <f t="shared" si="114"/>
        <v>0</v>
      </c>
      <c r="BH142">
        <f t="shared" si="115"/>
        <v>0</v>
      </c>
      <c r="BI142">
        <f t="shared" si="116"/>
        <v>0</v>
      </c>
    </row>
    <row r="143" spans="1:61" ht="15.75" customHeight="1" x14ac:dyDescent="0.35">
      <c r="A143" t="s">
        <v>394</v>
      </c>
      <c r="B143" s="1">
        <v>35772</v>
      </c>
      <c r="C143" t="s">
        <v>395</v>
      </c>
      <c r="D143" t="s">
        <v>45</v>
      </c>
      <c r="E143" t="s">
        <v>393</v>
      </c>
      <c r="F143" t="s">
        <v>45</v>
      </c>
      <c r="G143" t="s">
        <v>102</v>
      </c>
      <c r="H143" s="139">
        <f t="shared" si="90"/>
        <v>0</v>
      </c>
      <c r="J143" t="s">
        <v>245</v>
      </c>
      <c r="K143" s="2">
        <f t="shared" si="93"/>
        <v>6</v>
      </c>
      <c r="L143">
        <v>75000000</v>
      </c>
      <c r="M143" s="2">
        <f t="shared" si="94"/>
        <v>7.8750612633917001</v>
      </c>
      <c r="N143">
        <v>75000000</v>
      </c>
      <c r="O143">
        <v>0</v>
      </c>
      <c r="P143" s="1">
        <v>37363</v>
      </c>
      <c r="Q143" s="89">
        <f t="shared" si="95"/>
        <v>2002</v>
      </c>
      <c r="R143" t="s">
        <v>155</v>
      </c>
      <c r="S143">
        <v>527100000</v>
      </c>
      <c r="T143" s="21">
        <f t="shared" si="86"/>
        <v>4.3589041095890408</v>
      </c>
      <c r="U143">
        <v>0</v>
      </c>
      <c r="V143">
        <f t="shared" si="96"/>
        <v>0</v>
      </c>
      <c r="W143">
        <v>1997</v>
      </c>
      <c r="X143">
        <v>0</v>
      </c>
      <c r="Y143">
        <f t="shared" si="97"/>
        <v>0</v>
      </c>
      <c r="Z143" s="45">
        <v>2.95</v>
      </c>
      <c r="AA143" s="9">
        <f t="shared" si="87"/>
        <v>452100000</v>
      </c>
      <c r="AB143" s="15">
        <f t="shared" si="88"/>
        <v>6.0279999999999996</v>
      </c>
      <c r="AC143" s="34">
        <f t="shared" si="98"/>
        <v>0.84683175282325729</v>
      </c>
      <c r="AD143">
        <v>1518.5350000000001</v>
      </c>
      <c r="AE143">
        <f t="shared" si="91"/>
        <v>3.1814248062191788</v>
      </c>
      <c r="AF143">
        <v>5363.16</v>
      </c>
      <c r="AG143">
        <f t="shared" si="92"/>
        <v>3.7294207535322617</v>
      </c>
      <c r="AH143" s="9">
        <v>0</v>
      </c>
      <c r="AI143" s="9">
        <f t="shared" si="99"/>
        <v>0</v>
      </c>
      <c r="AJ143">
        <v>85</v>
      </c>
      <c r="AK143" s="15" t="s">
        <v>187</v>
      </c>
      <c r="AL143" s="42">
        <v>35.968444143503902</v>
      </c>
      <c r="AM143" s="24">
        <v>0.15</v>
      </c>
      <c r="AN143" s="34">
        <f t="shared" si="100"/>
        <v>6.069784035361165E-2</v>
      </c>
      <c r="AO143">
        <v>1990</v>
      </c>
      <c r="AP143">
        <v>7</v>
      </c>
      <c r="AQ143">
        <v>70</v>
      </c>
      <c r="AR143">
        <v>70</v>
      </c>
      <c r="AS143">
        <f t="shared" si="89"/>
        <v>0</v>
      </c>
      <c r="AT143">
        <f t="shared" si="101"/>
        <v>1</v>
      </c>
      <c r="AU143">
        <f t="shared" si="102"/>
        <v>0</v>
      </c>
      <c r="AV143">
        <f t="shared" si="103"/>
        <v>0</v>
      </c>
      <c r="AW143">
        <f t="shared" si="104"/>
        <v>0</v>
      </c>
      <c r="AX143">
        <f t="shared" si="105"/>
        <v>0</v>
      </c>
      <c r="AY143">
        <f t="shared" si="106"/>
        <v>0</v>
      </c>
      <c r="AZ143">
        <f t="shared" si="107"/>
        <v>0</v>
      </c>
      <c r="BA143">
        <f t="shared" si="108"/>
        <v>0</v>
      </c>
      <c r="BB143">
        <f t="shared" si="109"/>
        <v>0</v>
      </c>
      <c r="BC143">
        <f t="shared" si="110"/>
        <v>0</v>
      </c>
      <c r="BD143">
        <f t="shared" si="111"/>
        <v>0</v>
      </c>
      <c r="BE143">
        <f t="shared" si="112"/>
        <v>0</v>
      </c>
      <c r="BF143">
        <f t="shared" si="113"/>
        <v>0</v>
      </c>
      <c r="BG143">
        <f t="shared" si="114"/>
        <v>0</v>
      </c>
      <c r="BH143">
        <f t="shared" si="115"/>
        <v>0</v>
      </c>
      <c r="BI143">
        <f t="shared" si="116"/>
        <v>0</v>
      </c>
    </row>
    <row r="144" spans="1:61" x14ac:dyDescent="0.35">
      <c r="A144" t="s">
        <v>286</v>
      </c>
      <c r="B144" s="1">
        <v>42136</v>
      </c>
      <c r="C144" t="s">
        <v>396</v>
      </c>
      <c r="D144" t="s">
        <v>5</v>
      </c>
      <c r="E144" t="s">
        <v>397</v>
      </c>
      <c r="F144" t="s">
        <v>45</v>
      </c>
      <c r="G144" t="s">
        <v>125</v>
      </c>
      <c r="H144" s="139">
        <f t="shared" si="90"/>
        <v>1</v>
      </c>
      <c r="I144" t="s">
        <v>92</v>
      </c>
      <c r="J144" t="s">
        <v>235</v>
      </c>
      <c r="K144" s="2">
        <f t="shared" si="93"/>
        <v>1</v>
      </c>
      <c r="L144">
        <v>500000000</v>
      </c>
      <c r="M144" s="2">
        <f t="shared" si="94"/>
        <v>8.6989700043360187</v>
      </c>
      <c r="N144">
        <v>500000000</v>
      </c>
      <c r="O144">
        <v>0</v>
      </c>
      <c r="P144" s="1">
        <v>43255</v>
      </c>
      <c r="Q144" s="89">
        <f t="shared" si="95"/>
        <v>2018</v>
      </c>
      <c r="R144" t="s">
        <v>155</v>
      </c>
      <c r="S144">
        <v>100000000</v>
      </c>
      <c r="T144" s="21">
        <f t="shared" si="86"/>
        <v>3.0657534246575344</v>
      </c>
      <c r="U144">
        <v>6188.89</v>
      </c>
      <c r="V144">
        <f t="shared" si="96"/>
        <v>3.7916829312790057</v>
      </c>
      <c r="W144">
        <v>1964</v>
      </c>
      <c r="X144">
        <v>51</v>
      </c>
      <c r="Y144">
        <f t="shared" si="97"/>
        <v>1.7160033436347992</v>
      </c>
      <c r="Z144" s="45">
        <v>2.72</v>
      </c>
      <c r="AA144" s="9">
        <f t="shared" si="87"/>
        <v>-400000000</v>
      </c>
      <c r="AB144" s="15">
        <f t="shared" si="88"/>
        <v>-0.8</v>
      </c>
      <c r="AC144" s="34">
        <f t="shared" si="98"/>
        <v>-0.69897000433601886</v>
      </c>
      <c r="AD144">
        <v>1248.0746999999999</v>
      </c>
      <c r="AE144">
        <f t="shared" si="91"/>
        <v>3.0962405795987471</v>
      </c>
      <c r="AF144">
        <v>2518.2170000000001</v>
      </c>
      <c r="AG144">
        <f t="shared" si="92"/>
        <v>3.4010931514437841</v>
      </c>
      <c r="AH144" s="9">
        <v>1084.3333333333301</v>
      </c>
      <c r="AI144" s="9">
        <f t="shared" si="99"/>
        <v>3.0355631414974997</v>
      </c>
      <c r="AJ144">
        <v>84.3</v>
      </c>
      <c r="AK144" s="15" t="s">
        <v>284</v>
      </c>
      <c r="AL144" s="42">
        <v>44.611946528156203</v>
      </c>
      <c r="AM144" s="24">
        <v>0.31</v>
      </c>
      <c r="AN144" s="34">
        <f t="shared" si="100"/>
        <v>0.11727129565576427</v>
      </c>
      <c r="AO144">
        <v>1984</v>
      </c>
      <c r="AP144">
        <v>31</v>
      </c>
      <c r="AQ144">
        <v>70</v>
      </c>
      <c r="AR144">
        <v>90</v>
      </c>
      <c r="AS144">
        <f t="shared" si="89"/>
        <v>0</v>
      </c>
      <c r="AT144">
        <f t="shared" si="101"/>
        <v>0</v>
      </c>
      <c r="AU144">
        <f t="shared" si="102"/>
        <v>0</v>
      </c>
      <c r="AV144">
        <f t="shared" si="103"/>
        <v>0</v>
      </c>
      <c r="AW144">
        <f t="shared" si="104"/>
        <v>0</v>
      </c>
      <c r="AX144">
        <f t="shared" si="105"/>
        <v>0</v>
      </c>
      <c r="AY144">
        <f t="shared" si="106"/>
        <v>1</v>
      </c>
      <c r="AZ144">
        <f t="shared" si="107"/>
        <v>0</v>
      </c>
      <c r="BA144">
        <f t="shared" si="108"/>
        <v>0</v>
      </c>
      <c r="BB144">
        <f t="shared" si="109"/>
        <v>0</v>
      </c>
      <c r="BC144">
        <f t="shared" si="110"/>
        <v>0</v>
      </c>
      <c r="BD144">
        <f t="shared" si="111"/>
        <v>0</v>
      </c>
      <c r="BE144">
        <f t="shared" si="112"/>
        <v>0</v>
      </c>
      <c r="BF144">
        <f t="shared" si="113"/>
        <v>0</v>
      </c>
      <c r="BG144">
        <f t="shared" si="114"/>
        <v>0</v>
      </c>
      <c r="BH144">
        <f t="shared" si="115"/>
        <v>0</v>
      </c>
      <c r="BI144">
        <f t="shared" si="116"/>
        <v>0</v>
      </c>
    </row>
    <row r="145" spans="1:61" x14ac:dyDescent="0.35">
      <c r="A145" t="s">
        <v>286</v>
      </c>
      <c r="B145" s="1">
        <v>39332</v>
      </c>
      <c r="C145" t="s">
        <v>398</v>
      </c>
      <c r="D145" t="s">
        <v>59</v>
      </c>
      <c r="E145" t="s">
        <v>397</v>
      </c>
      <c r="F145" t="s">
        <v>45</v>
      </c>
      <c r="G145" t="s">
        <v>125</v>
      </c>
      <c r="H145" s="139">
        <f t="shared" si="90"/>
        <v>1</v>
      </c>
      <c r="I145" t="s">
        <v>48</v>
      </c>
      <c r="J145" t="s">
        <v>245</v>
      </c>
      <c r="K145" s="2">
        <f t="shared" si="93"/>
        <v>6</v>
      </c>
      <c r="L145">
        <v>728676057</v>
      </c>
      <c r="M145" s="2">
        <f t="shared" si="94"/>
        <v>8.8625344996145241</v>
      </c>
      <c r="N145">
        <v>728676057</v>
      </c>
      <c r="O145">
        <v>0</v>
      </c>
      <c r="P145" s="1">
        <v>41499</v>
      </c>
      <c r="Q145" s="89">
        <f t="shared" si="95"/>
        <v>2013</v>
      </c>
      <c r="R145" t="s">
        <v>155</v>
      </c>
      <c r="S145">
        <v>905298000</v>
      </c>
      <c r="T145" s="21">
        <f t="shared" si="86"/>
        <v>5.9369863013698634</v>
      </c>
      <c r="U145">
        <v>5897.96</v>
      </c>
      <c r="V145">
        <f t="shared" si="96"/>
        <v>3.7707754512906644</v>
      </c>
      <c r="W145">
        <v>1912</v>
      </c>
      <c r="X145">
        <v>95</v>
      </c>
      <c r="Y145">
        <f t="shared" si="97"/>
        <v>1.9822712330395684</v>
      </c>
      <c r="Z145" s="45">
        <v>2.3199999999999998</v>
      </c>
      <c r="AA145" s="9">
        <f t="shared" si="87"/>
        <v>176621943</v>
      </c>
      <c r="AB145" s="15">
        <f t="shared" si="88"/>
        <v>0.24238746601221184</v>
      </c>
      <c r="AC145" s="34">
        <f t="shared" si="98"/>
        <v>9.4257061306150067E-2</v>
      </c>
      <c r="AD145">
        <v>1248.0746999999999</v>
      </c>
      <c r="AE145">
        <f t="shared" si="91"/>
        <v>3.0962405795987471</v>
      </c>
      <c r="AF145">
        <v>2518.2170000000001</v>
      </c>
      <c r="AG145">
        <f t="shared" si="92"/>
        <v>3.4010931514437841</v>
      </c>
      <c r="AH145" s="9">
        <v>132</v>
      </c>
      <c r="AI145" s="9">
        <f t="shared" si="99"/>
        <v>2.1238516409670858</v>
      </c>
      <c r="AJ145">
        <v>91.2</v>
      </c>
      <c r="AK145" s="15" t="s">
        <v>191</v>
      </c>
      <c r="AL145" s="42">
        <v>40.902544500539101</v>
      </c>
      <c r="AM145" s="24">
        <v>0.17</v>
      </c>
      <c r="AN145" s="34">
        <f t="shared" si="100"/>
        <v>6.8185861746161619E-2</v>
      </c>
      <c r="AO145">
        <v>1984</v>
      </c>
      <c r="AP145">
        <v>23</v>
      </c>
      <c r="AQ145">
        <v>70</v>
      </c>
      <c r="AR145">
        <v>70</v>
      </c>
      <c r="AS145">
        <f t="shared" si="89"/>
        <v>0</v>
      </c>
      <c r="AT145">
        <f t="shared" si="101"/>
        <v>0</v>
      </c>
      <c r="AU145">
        <f t="shared" si="102"/>
        <v>1</v>
      </c>
      <c r="AV145">
        <f t="shared" si="103"/>
        <v>0</v>
      </c>
      <c r="AW145">
        <f t="shared" si="104"/>
        <v>0</v>
      </c>
      <c r="AX145">
        <f t="shared" si="105"/>
        <v>0</v>
      </c>
      <c r="AY145">
        <f t="shared" si="106"/>
        <v>0</v>
      </c>
      <c r="AZ145">
        <f t="shared" si="107"/>
        <v>0</v>
      </c>
      <c r="BA145">
        <f t="shared" si="108"/>
        <v>0</v>
      </c>
      <c r="BB145">
        <f t="shared" si="109"/>
        <v>0</v>
      </c>
      <c r="BC145">
        <f t="shared" si="110"/>
        <v>0</v>
      </c>
      <c r="BD145">
        <f t="shared" si="111"/>
        <v>0</v>
      </c>
      <c r="BE145">
        <f t="shared" si="112"/>
        <v>0</v>
      </c>
      <c r="BF145">
        <f t="shared" si="113"/>
        <v>0</v>
      </c>
      <c r="BG145">
        <f t="shared" si="114"/>
        <v>0</v>
      </c>
      <c r="BH145">
        <f t="shared" si="115"/>
        <v>0</v>
      </c>
      <c r="BI145">
        <f t="shared" si="116"/>
        <v>0</v>
      </c>
    </row>
    <row r="146" spans="1:61" x14ac:dyDescent="0.35">
      <c r="A146" t="s">
        <v>286</v>
      </c>
      <c r="B146" s="1">
        <v>41197</v>
      </c>
      <c r="C146" t="s">
        <v>399</v>
      </c>
      <c r="D146" t="s">
        <v>2</v>
      </c>
      <c r="E146" t="s">
        <v>397</v>
      </c>
      <c r="F146" t="s">
        <v>45</v>
      </c>
      <c r="G146" t="s">
        <v>125</v>
      </c>
      <c r="H146" s="139">
        <f t="shared" si="90"/>
        <v>1</v>
      </c>
      <c r="I146" t="s">
        <v>48</v>
      </c>
      <c r="J146" t="s">
        <v>248</v>
      </c>
      <c r="K146" s="2">
        <f t="shared" si="93"/>
        <v>5</v>
      </c>
      <c r="L146">
        <v>1498410000</v>
      </c>
      <c r="M146" s="2">
        <f t="shared" si="94"/>
        <v>9.1756306627456699</v>
      </c>
      <c r="N146">
        <v>1498410000</v>
      </c>
      <c r="O146">
        <v>0</v>
      </c>
      <c r="P146" s="1">
        <v>42156</v>
      </c>
      <c r="Q146" s="89">
        <f t="shared" si="95"/>
        <v>2015</v>
      </c>
      <c r="R146" t="s">
        <v>155</v>
      </c>
      <c r="S146">
        <v>2800000000</v>
      </c>
      <c r="T146" s="21">
        <f t="shared" si="86"/>
        <v>2.6273972602739728</v>
      </c>
      <c r="U146">
        <v>6815.73</v>
      </c>
      <c r="V146">
        <f t="shared" si="96"/>
        <v>3.8335760926148099</v>
      </c>
      <c r="W146">
        <v>1910</v>
      </c>
      <c r="X146">
        <v>102</v>
      </c>
      <c r="Y146">
        <f t="shared" si="97"/>
        <v>2.012837224705172</v>
      </c>
      <c r="Z146" s="45">
        <v>2.85</v>
      </c>
      <c r="AA146" s="9">
        <f t="shared" si="87"/>
        <v>1301590000</v>
      </c>
      <c r="AB146" s="15">
        <f t="shared" si="88"/>
        <v>0.86864743294558888</v>
      </c>
      <c r="AC146" s="34">
        <f t="shared" si="98"/>
        <v>0.27152736859654975</v>
      </c>
      <c r="AD146">
        <v>1248.0746999999999</v>
      </c>
      <c r="AE146">
        <f t="shared" si="91"/>
        <v>3.0962405795987471</v>
      </c>
      <c r="AF146">
        <v>2518.2170000000001</v>
      </c>
      <c r="AG146">
        <f t="shared" si="92"/>
        <v>3.4010931514437841</v>
      </c>
      <c r="AH146" s="9">
        <v>819</v>
      </c>
      <c r="AI146" s="9">
        <f t="shared" si="99"/>
        <v>2.9138138523837167</v>
      </c>
      <c r="AJ146">
        <v>90.5</v>
      </c>
      <c r="AK146" s="15" t="s">
        <v>276</v>
      </c>
      <c r="AL146" s="42">
        <v>44.295389122127702</v>
      </c>
      <c r="AM146" s="24">
        <v>0.47</v>
      </c>
      <c r="AN146" s="34">
        <f t="shared" si="100"/>
        <v>0.16731733474817609</v>
      </c>
      <c r="AO146">
        <v>1984</v>
      </c>
      <c r="AP146">
        <v>28</v>
      </c>
      <c r="AQ146">
        <v>70</v>
      </c>
      <c r="AR146">
        <v>70</v>
      </c>
      <c r="AS146">
        <f t="shared" si="89"/>
        <v>0</v>
      </c>
      <c r="AT146">
        <f t="shared" si="101"/>
        <v>0</v>
      </c>
      <c r="AU146">
        <f t="shared" si="102"/>
        <v>0</v>
      </c>
      <c r="AV146">
        <f t="shared" si="103"/>
        <v>0</v>
      </c>
      <c r="AW146">
        <f t="shared" si="104"/>
        <v>0</v>
      </c>
      <c r="AX146">
        <f t="shared" si="105"/>
        <v>0</v>
      </c>
      <c r="AY146">
        <f t="shared" si="106"/>
        <v>0</v>
      </c>
      <c r="AZ146">
        <f t="shared" si="107"/>
        <v>0</v>
      </c>
      <c r="BA146">
        <f t="shared" si="108"/>
        <v>0</v>
      </c>
      <c r="BB146">
        <f t="shared" si="109"/>
        <v>1</v>
      </c>
      <c r="BC146">
        <f t="shared" si="110"/>
        <v>0</v>
      </c>
      <c r="BD146">
        <f t="shared" si="111"/>
        <v>0</v>
      </c>
      <c r="BE146">
        <f t="shared" si="112"/>
        <v>0</v>
      </c>
      <c r="BF146">
        <f t="shared" si="113"/>
        <v>0</v>
      </c>
      <c r="BG146">
        <f t="shared" si="114"/>
        <v>0</v>
      </c>
      <c r="BH146">
        <f t="shared" si="115"/>
        <v>0</v>
      </c>
      <c r="BI146">
        <f t="shared" si="116"/>
        <v>0</v>
      </c>
    </row>
    <row r="147" spans="1:61" x14ac:dyDescent="0.35">
      <c r="A147" t="s">
        <v>286</v>
      </c>
      <c r="B147" s="1">
        <v>38471</v>
      </c>
      <c r="C147" t="s">
        <v>400</v>
      </c>
      <c r="D147" t="s">
        <v>59</v>
      </c>
      <c r="E147" t="s">
        <v>397</v>
      </c>
      <c r="F147" t="s">
        <v>45</v>
      </c>
      <c r="G147" t="s">
        <v>125</v>
      </c>
      <c r="H147" s="139">
        <f t="shared" si="90"/>
        <v>1</v>
      </c>
      <c r="I147" t="s">
        <v>92</v>
      </c>
      <c r="J147" t="s">
        <v>248</v>
      </c>
      <c r="K147" s="2">
        <f t="shared" si="93"/>
        <v>5</v>
      </c>
      <c r="L147">
        <v>147874000</v>
      </c>
      <c r="M147" s="2">
        <f t="shared" si="94"/>
        <v>8.1698918207233895</v>
      </c>
      <c r="N147">
        <v>147874000</v>
      </c>
      <c r="O147">
        <v>0</v>
      </c>
      <c r="P147" s="1">
        <v>39166</v>
      </c>
      <c r="Q147" s="89">
        <f t="shared" si="95"/>
        <v>2007</v>
      </c>
      <c r="R147" t="s">
        <v>155</v>
      </c>
      <c r="S147">
        <v>360000000</v>
      </c>
      <c r="T147" s="21">
        <f t="shared" si="86"/>
        <v>1.904109589041096</v>
      </c>
      <c r="U147">
        <v>5897.96</v>
      </c>
      <c r="V147">
        <f t="shared" si="96"/>
        <v>3.7707754512906644</v>
      </c>
      <c r="W147">
        <v>1988</v>
      </c>
      <c r="X147">
        <v>17</v>
      </c>
      <c r="Y147">
        <f t="shared" si="97"/>
        <v>1.255272505103306</v>
      </c>
      <c r="Z147" s="45">
        <v>2.3199999999999998</v>
      </c>
      <c r="AA147" s="9">
        <f t="shared" si="87"/>
        <v>212126000</v>
      </c>
      <c r="AB147" s="15">
        <f t="shared" si="88"/>
        <v>1.434505051597982</v>
      </c>
      <c r="AC147" s="34">
        <f t="shared" si="98"/>
        <v>0.386410680043898</v>
      </c>
      <c r="AD147">
        <v>1248.0746999999999</v>
      </c>
      <c r="AE147">
        <f t="shared" si="91"/>
        <v>3.0962405795987471</v>
      </c>
      <c r="AF147">
        <v>2518.2170000000001</v>
      </c>
      <c r="AG147">
        <f t="shared" si="92"/>
        <v>3.4010931514437841</v>
      </c>
      <c r="AH147" s="9">
        <v>132</v>
      </c>
      <c r="AI147" s="9">
        <f t="shared" si="99"/>
        <v>2.1238516409670858</v>
      </c>
      <c r="AJ147">
        <v>85</v>
      </c>
      <c r="AK147" s="15" t="s">
        <v>171</v>
      </c>
      <c r="AL147" s="42">
        <v>41.286751495766303</v>
      </c>
      <c r="AM147" s="24">
        <v>0.24</v>
      </c>
      <c r="AN147" s="34">
        <f t="shared" si="100"/>
        <v>9.3421685162235063E-2</v>
      </c>
      <c r="AO147">
        <v>1984</v>
      </c>
      <c r="AP147">
        <v>21</v>
      </c>
      <c r="AQ147">
        <v>70</v>
      </c>
      <c r="AR147">
        <v>70</v>
      </c>
      <c r="AS147">
        <f t="shared" si="89"/>
        <v>0</v>
      </c>
      <c r="AT147">
        <f t="shared" si="101"/>
        <v>0</v>
      </c>
      <c r="AU147">
        <f t="shared" si="102"/>
        <v>1</v>
      </c>
      <c r="AV147">
        <f t="shared" si="103"/>
        <v>0</v>
      </c>
      <c r="AW147">
        <f t="shared" si="104"/>
        <v>0</v>
      </c>
      <c r="AX147">
        <f t="shared" si="105"/>
        <v>0</v>
      </c>
      <c r="AY147">
        <f t="shared" si="106"/>
        <v>0</v>
      </c>
      <c r="AZ147">
        <f t="shared" si="107"/>
        <v>0</v>
      </c>
      <c r="BA147">
        <f t="shared" si="108"/>
        <v>0</v>
      </c>
      <c r="BB147">
        <f t="shared" si="109"/>
        <v>0</v>
      </c>
      <c r="BC147">
        <f t="shared" si="110"/>
        <v>0</v>
      </c>
      <c r="BD147">
        <f t="shared" si="111"/>
        <v>0</v>
      </c>
      <c r="BE147">
        <f t="shared" si="112"/>
        <v>0</v>
      </c>
      <c r="BF147">
        <f t="shared" si="113"/>
        <v>0</v>
      </c>
      <c r="BG147">
        <f t="shared" si="114"/>
        <v>0</v>
      </c>
      <c r="BH147">
        <f t="shared" si="115"/>
        <v>0</v>
      </c>
      <c r="BI147">
        <f t="shared" si="116"/>
        <v>0</v>
      </c>
    </row>
    <row r="148" spans="1:61" x14ac:dyDescent="0.35">
      <c r="A148" t="s">
        <v>286</v>
      </c>
      <c r="B148" s="1">
        <v>37809</v>
      </c>
      <c r="C148" t="s">
        <v>401</v>
      </c>
      <c r="D148" t="s">
        <v>59</v>
      </c>
      <c r="E148" t="s">
        <v>397</v>
      </c>
      <c r="F148" t="s">
        <v>45</v>
      </c>
      <c r="G148" t="s">
        <v>125</v>
      </c>
      <c r="H148" s="139">
        <f t="shared" si="90"/>
        <v>1</v>
      </c>
      <c r="I148" t="s">
        <v>48</v>
      </c>
      <c r="J148" t="s">
        <v>186</v>
      </c>
      <c r="K148" s="2">
        <f t="shared" si="93"/>
        <v>4</v>
      </c>
      <c r="L148">
        <v>26000000</v>
      </c>
      <c r="M148" s="2">
        <f t="shared" si="94"/>
        <v>7.4149733479708182</v>
      </c>
      <c r="N148">
        <v>26000000</v>
      </c>
      <c r="O148">
        <v>0</v>
      </c>
      <c r="P148" s="1">
        <v>38971</v>
      </c>
      <c r="Q148" s="89">
        <f t="shared" si="95"/>
        <v>2006</v>
      </c>
      <c r="R148" t="s">
        <v>155</v>
      </c>
      <c r="S148">
        <v>139520000</v>
      </c>
      <c r="T148" s="21">
        <f t="shared" si="86"/>
        <v>3.1835616438356165</v>
      </c>
      <c r="U148">
        <v>5897.96</v>
      </c>
      <c r="V148">
        <f t="shared" si="96"/>
        <v>3.7707754512906644</v>
      </c>
      <c r="W148">
        <v>1982</v>
      </c>
      <c r="X148">
        <v>21</v>
      </c>
      <c r="Y148">
        <f t="shared" si="97"/>
        <v>1.3424226808222062</v>
      </c>
      <c r="Z148" s="45">
        <v>2.3199999999999998</v>
      </c>
      <c r="AA148" s="9">
        <f t="shared" si="87"/>
        <v>113520000</v>
      </c>
      <c r="AB148" s="15">
        <f t="shared" si="88"/>
        <v>4.3661538461538463</v>
      </c>
      <c r="AC148" s="34">
        <f t="shared" si="98"/>
        <v>0.72966311961767405</v>
      </c>
      <c r="AD148">
        <v>1248.0746999999999</v>
      </c>
      <c r="AE148">
        <f t="shared" si="91"/>
        <v>3.0962405795987471</v>
      </c>
      <c r="AF148">
        <v>2518.2170000000001</v>
      </c>
      <c r="AG148">
        <f t="shared" si="92"/>
        <v>3.4010931514437841</v>
      </c>
      <c r="AH148" s="9">
        <v>132</v>
      </c>
      <c r="AI148" s="9">
        <f t="shared" si="99"/>
        <v>2.1238516409670858</v>
      </c>
      <c r="AJ148">
        <v>85</v>
      </c>
      <c r="AK148" s="15" t="s">
        <v>246</v>
      </c>
      <c r="AL148" s="42">
        <v>38.7850112673514</v>
      </c>
      <c r="AM148" s="24">
        <v>0.28999999999999998</v>
      </c>
      <c r="AN148" s="34">
        <f t="shared" si="100"/>
        <v>0.11058971029924898</v>
      </c>
      <c r="AO148">
        <v>1984</v>
      </c>
      <c r="AP148">
        <v>19</v>
      </c>
      <c r="AQ148">
        <v>70</v>
      </c>
      <c r="AR148">
        <v>70</v>
      </c>
      <c r="AS148">
        <f t="shared" si="89"/>
        <v>0</v>
      </c>
      <c r="AT148">
        <f t="shared" si="101"/>
        <v>0</v>
      </c>
      <c r="AU148">
        <f t="shared" si="102"/>
        <v>1</v>
      </c>
      <c r="AV148">
        <f t="shared" si="103"/>
        <v>0</v>
      </c>
      <c r="AW148">
        <f t="shared" si="104"/>
        <v>0</v>
      </c>
      <c r="AX148">
        <f t="shared" si="105"/>
        <v>0</v>
      </c>
      <c r="AY148">
        <f t="shared" si="106"/>
        <v>0</v>
      </c>
      <c r="AZ148">
        <f t="shared" si="107"/>
        <v>0</v>
      </c>
      <c r="BA148">
        <f t="shared" si="108"/>
        <v>0</v>
      </c>
      <c r="BB148">
        <f t="shared" si="109"/>
        <v>0</v>
      </c>
      <c r="BC148">
        <f t="shared" si="110"/>
        <v>0</v>
      </c>
      <c r="BD148">
        <f t="shared" si="111"/>
        <v>0</v>
      </c>
      <c r="BE148">
        <f t="shared" si="112"/>
        <v>0</v>
      </c>
      <c r="BF148">
        <f t="shared" si="113"/>
        <v>0</v>
      </c>
      <c r="BG148">
        <f t="shared" si="114"/>
        <v>0</v>
      </c>
      <c r="BH148">
        <f t="shared" si="115"/>
        <v>0</v>
      </c>
      <c r="BI148">
        <f t="shared" si="116"/>
        <v>0</v>
      </c>
    </row>
    <row r="149" spans="1:61" x14ac:dyDescent="0.35">
      <c r="A149" t="s">
        <v>286</v>
      </c>
      <c r="B149" s="1">
        <v>37399</v>
      </c>
      <c r="C149" t="s">
        <v>402</v>
      </c>
      <c r="D149" t="s">
        <v>2</v>
      </c>
      <c r="E149" t="s">
        <v>397</v>
      </c>
      <c r="F149" t="s">
        <v>45</v>
      </c>
      <c r="G149" t="s">
        <v>125</v>
      </c>
      <c r="H149" s="139">
        <f t="shared" si="90"/>
        <v>1</v>
      </c>
      <c r="I149" t="s">
        <v>92</v>
      </c>
      <c r="J149" t="s">
        <v>269</v>
      </c>
      <c r="K149" s="2">
        <f t="shared" si="93"/>
        <v>7</v>
      </c>
      <c r="L149">
        <v>375000000</v>
      </c>
      <c r="M149" s="2">
        <f t="shared" si="94"/>
        <v>8.5740312677277188</v>
      </c>
      <c r="N149">
        <v>375000000</v>
      </c>
      <c r="O149">
        <v>0</v>
      </c>
      <c r="P149" s="1">
        <v>38572</v>
      </c>
      <c r="Q149" s="89">
        <f t="shared" si="95"/>
        <v>2005</v>
      </c>
      <c r="R149" t="s">
        <v>155</v>
      </c>
      <c r="S149">
        <v>587956900</v>
      </c>
      <c r="T149" s="21">
        <f t="shared" si="86"/>
        <v>3.2136986301369861</v>
      </c>
      <c r="U149">
        <v>6815.73</v>
      </c>
      <c r="V149">
        <f t="shared" si="96"/>
        <v>3.8335760926148099</v>
      </c>
      <c r="W149">
        <v>1980</v>
      </c>
      <c r="X149">
        <v>22</v>
      </c>
      <c r="Y149">
        <f t="shared" si="97"/>
        <v>1.3617278360175928</v>
      </c>
      <c r="Z149" s="45">
        <v>2.85</v>
      </c>
      <c r="AA149" s="9">
        <f t="shared" si="87"/>
        <v>212956900</v>
      </c>
      <c r="AB149" s="15">
        <f t="shared" si="88"/>
        <v>0.5678850666666666</v>
      </c>
      <c r="AC149" s="34">
        <f t="shared" si="98"/>
        <v>0.19531422369159093</v>
      </c>
      <c r="AD149">
        <v>1248.0746999999999</v>
      </c>
      <c r="AE149">
        <f t="shared" si="91"/>
        <v>3.0962405795987471</v>
      </c>
      <c r="AF149">
        <v>2518.2170000000001</v>
      </c>
      <c r="AG149">
        <f t="shared" si="92"/>
        <v>3.4010931514437841</v>
      </c>
      <c r="AH149" s="9">
        <v>819</v>
      </c>
      <c r="AI149" s="9">
        <f t="shared" si="99"/>
        <v>2.9138138523837167</v>
      </c>
      <c r="AJ149">
        <v>70</v>
      </c>
      <c r="AK149" s="15" t="s">
        <v>403</v>
      </c>
      <c r="AL149" s="42">
        <v>47.264053157349203</v>
      </c>
      <c r="AM149" s="24">
        <v>0.11</v>
      </c>
      <c r="AN149" s="34">
        <f t="shared" si="100"/>
        <v>4.5322978786657475E-2</v>
      </c>
      <c r="AO149">
        <v>1984</v>
      </c>
      <c r="AP149">
        <v>18</v>
      </c>
      <c r="AQ149">
        <v>70</v>
      </c>
      <c r="AR149">
        <v>70</v>
      </c>
      <c r="AS149">
        <f t="shared" si="89"/>
        <v>0</v>
      </c>
      <c r="AT149">
        <f t="shared" si="101"/>
        <v>0</v>
      </c>
      <c r="AU149">
        <f t="shared" si="102"/>
        <v>0</v>
      </c>
      <c r="AV149">
        <f t="shared" si="103"/>
        <v>0</v>
      </c>
      <c r="AW149">
        <f t="shared" si="104"/>
        <v>0</v>
      </c>
      <c r="AX149">
        <f t="shared" si="105"/>
        <v>0</v>
      </c>
      <c r="AY149">
        <f t="shared" si="106"/>
        <v>0</v>
      </c>
      <c r="AZ149">
        <f t="shared" si="107"/>
        <v>0</v>
      </c>
      <c r="BA149">
        <f t="shared" si="108"/>
        <v>0</v>
      </c>
      <c r="BB149">
        <f t="shared" si="109"/>
        <v>1</v>
      </c>
      <c r="BC149">
        <f t="shared" si="110"/>
        <v>0</v>
      </c>
      <c r="BD149">
        <f t="shared" si="111"/>
        <v>0</v>
      </c>
      <c r="BE149">
        <f t="shared" si="112"/>
        <v>0</v>
      </c>
      <c r="BF149">
        <f t="shared" si="113"/>
        <v>0</v>
      </c>
      <c r="BG149">
        <f t="shared" si="114"/>
        <v>0</v>
      </c>
      <c r="BH149">
        <f t="shared" si="115"/>
        <v>0</v>
      </c>
      <c r="BI149">
        <f t="shared" si="116"/>
        <v>0</v>
      </c>
    </row>
    <row r="150" spans="1:61" x14ac:dyDescent="0.35">
      <c r="A150" t="s">
        <v>286</v>
      </c>
      <c r="B150" s="1">
        <v>37987</v>
      </c>
      <c r="C150" t="s">
        <v>404</v>
      </c>
      <c r="D150" t="s">
        <v>2</v>
      </c>
      <c r="E150" t="s">
        <v>397</v>
      </c>
      <c r="F150" t="s">
        <v>45</v>
      </c>
      <c r="G150" t="s">
        <v>125</v>
      </c>
      <c r="H150" s="139">
        <f t="shared" si="90"/>
        <v>1</v>
      </c>
      <c r="I150" t="s">
        <v>48</v>
      </c>
      <c r="J150" t="s">
        <v>235</v>
      </c>
      <c r="K150" s="2">
        <f t="shared" si="93"/>
        <v>1</v>
      </c>
      <c r="L150">
        <v>48978000</v>
      </c>
      <c r="M150" s="2">
        <f t="shared" si="94"/>
        <v>7.6900010468830642</v>
      </c>
      <c r="N150">
        <v>48978000</v>
      </c>
      <c r="O150">
        <v>0</v>
      </c>
      <c r="P150" s="1">
        <v>38553</v>
      </c>
      <c r="Q150" s="89">
        <f t="shared" si="95"/>
        <v>2005</v>
      </c>
      <c r="R150" t="s">
        <v>155</v>
      </c>
      <c r="S150">
        <v>1100000000</v>
      </c>
      <c r="T150" s="21">
        <f t="shared" si="86"/>
        <v>1.5506849315068494</v>
      </c>
      <c r="U150">
        <v>6815.73</v>
      </c>
      <c r="V150">
        <f t="shared" si="96"/>
        <v>3.8335760926148099</v>
      </c>
      <c r="W150">
        <v>1730</v>
      </c>
      <c r="X150">
        <v>274</v>
      </c>
      <c r="Y150">
        <f t="shared" si="97"/>
        <v>2.4393326938302629</v>
      </c>
      <c r="Z150" s="45">
        <v>2.85</v>
      </c>
      <c r="AA150" s="9">
        <f t="shared" si="87"/>
        <v>1051022000</v>
      </c>
      <c r="AB150" s="15">
        <f t="shared" si="88"/>
        <v>21.459063252889052</v>
      </c>
      <c r="AC150" s="34">
        <f t="shared" si="98"/>
        <v>1.3513916382751612</v>
      </c>
      <c r="AD150">
        <v>1248.0746999999999</v>
      </c>
      <c r="AE150">
        <f t="shared" si="91"/>
        <v>3.0962405795987471</v>
      </c>
      <c r="AF150">
        <v>2518.2170000000001</v>
      </c>
      <c r="AG150">
        <f t="shared" si="92"/>
        <v>3.4010931514437841</v>
      </c>
      <c r="AH150" s="9">
        <v>819</v>
      </c>
      <c r="AI150" s="9">
        <f t="shared" si="99"/>
        <v>2.9138138523837167</v>
      </c>
      <c r="AJ150">
        <v>70</v>
      </c>
      <c r="AK150" s="15" t="s">
        <v>213</v>
      </c>
      <c r="AL150" s="42">
        <v>46.312020505412598</v>
      </c>
      <c r="AM150" s="24">
        <v>0.11</v>
      </c>
      <c r="AN150" s="34">
        <f t="shared" si="100"/>
        <v>4.5322978786657475E-2</v>
      </c>
      <c r="AO150">
        <v>1984</v>
      </c>
      <c r="AP150">
        <v>20</v>
      </c>
      <c r="AQ150">
        <v>70</v>
      </c>
      <c r="AR150">
        <v>70</v>
      </c>
      <c r="AS150">
        <f t="shared" si="89"/>
        <v>0</v>
      </c>
      <c r="AT150">
        <f t="shared" si="101"/>
        <v>0</v>
      </c>
      <c r="AU150">
        <f t="shared" si="102"/>
        <v>0</v>
      </c>
      <c r="AV150">
        <f t="shared" si="103"/>
        <v>0</v>
      </c>
      <c r="AW150">
        <f t="shared" si="104"/>
        <v>0</v>
      </c>
      <c r="AX150">
        <f t="shared" si="105"/>
        <v>0</v>
      </c>
      <c r="AY150">
        <f t="shared" si="106"/>
        <v>0</v>
      </c>
      <c r="AZ150">
        <f t="shared" si="107"/>
        <v>0</v>
      </c>
      <c r="BA150">
        <f t="shared" si="108"/>
        <v>0</v>
      </c>
      <c r="BB150">
        <f t="shared" si="109"/>
        <v>1</v>
      </c>
      <c r="BC150">
        <f t="shared" si="110"/>
        <v>0</v>
      </c>
      <c r="BD150">
        <f t="shared" si="111"/>
        <v>0</v>
      </c>
      <c r="BE150">
        <f t="shared" si="112"/>
        <v>0</v>
      </c>
      <c r="BF150">
        <f t="shared" si="113"/>
        <v>0</v>
      </c>
      <c r="BG150">
        <f t="shared" si="114"/>
        <v>0</v>
      </c>
      <c r="BH150">
        <f t="shared" si="115"/>
        <v>0</v>
      </c>
      <c r="BI150">
        <f t="shared" si="116"/>
        <v>0</v>
      </c>
    </row>
    <row r="151" spans="1:61" x14ac:dyDescent="0.35">
      <c r="A151" t="s">
        <v>294</v>
      </c>
      <c r="B151" s="1">
        <v>38065</v>
      </c>
      <c r="C151" t="s">
        <v>405</v>
      </c>
      <c r="D151" t="s">
        <v>163</v>
      </c>
      <c r="E151" t="s">
        <v>397</v>
      </c>
      <c r="F151" t="s">
        <v>45</v>
      </c>
      <c r="G151" t="s">
        <v>125</v>
      </c>
      <c r="H151" s="139">
        <f t="shared" si="90"/>
        <v>1</v>
      </c>
      <c r="I151" t="s">
        <v>48</v>
      </c>
      <c r="J151" t="s">
        <v>186</v>
      </c>
      <c r="K151" s="2">
        <f t="shared" si="93"/>
        <v>4</v>
      </c>
      <c r="L151">
        <v>442294000</v>
      </c>
      <c r="M151" s="2">
        <f t="shared" si="94"/>
        <v>8.6457110479281258</v>
      </c>
      <c r="N151">
        <v>442294000</v>
      </c>
      <c r="O151">
        <v>0</v>
      </c>
      <c r="P151" s="1">
        <v>39041</v>
      </c>
      <c r="Q151" s="89">
        <f t="shared" si="95"/>
        <v>2006</v>
      </c>
      <c r="R151" t="s">
        <v>155</v>
      </c>
      <c r="S151">
        <v>865000000</v>
      </c>
      <c r="T151" s="21">
        <f t="shared" si="86"/>
        <v>2.6739726027397261</v>
      </c>
      <c r="U151">
        <v>6164.6</v>
      </c>
      <c r="V151">
        <f t="shared" si="96"/>
        <v>3.7899753459779522</v>
      </c>
      <c r="W151">
        <v>2001</v>
      </c>
      <c r="X151">
        <v>3</v>
      </c>
      <c r="Y151">
        <f t="shared" si="97"/>
        <v>0.6020599913279624</v>
      </c>
      <c r="Z151" s="45">
        <v>3.18</v>
      </c>
      <c r="AA151" s="9">
        <f t="shared" si="87"/>
        <v>422706000</v>
      </c>
      <c r="AB151" s="15">
        <f t="shared" si="88"/>
        <v>0.95571271597625107</v>
      </c>
      <c r="AC151" s="34">
        <f t="shared" si="98"/>
        <v>0.29130505953668856</v>
      </c>
      <c r="AD151">
        <v>1248.0746999999999</v>
      </c>
      <c r="AE151">
        <f t="shared" si="91"/>
        <v>3.0962405795987471</v>
      </c>
      <c r="AF151">
        <v>2518.2170000000001</v>
      </c>
      <c r="AG151">
        <f t="shared" si="92"/>
        <v>3.4010931514437841</v>
      </c>
      <c r="AH151" s="9">
        <v>583.83333333333303</v>
      </c>
      <c r="AI151" s="9">
        <f t="shared" si="99"/>
        <v>2.7670321178317625</v>
      </c>
      <c r="AJ151">
        <v>70</v>
      </c>
      <c r="AK151" s="15" t="s">
        <v>243</v>
      </c>
      <c r="AL151" s="42">
        <v>52.984855215816303</v>
      </c>
      <c r="AM151" s="24">
        <v>0.26</v>
      </c>
      <c r="AN151" s="34">
        <f t="shared" si="100"/>
        <v>0.10037054511756291</v>
      </c>
      <c r="AO151">
        <v>1984</v>
      </c>
      <c r="AP151">
        <v>20</v>
      </c>
      <c r="AQ151">
        <v>85</v>
      </c>
      <c r="AR151">
        <v>80</v>
      </c>
      <c r="AS151">
        <f t="shared" si="89"/>
        <v>0</v>
      </c>
      <c r="AT151">
        <f t="shared" si="101"/>
        <v>0</v>
      </c>
      <c r="AU151">
        <f t="shared" si="102"/>
        <v>0</v>
      </c>
      <c r="AV151">
        <f t="shared" si="103"/>
        <v>0</v>
      </c>
      <c r="AW151">
        <f t="shared" si="104"/>
        <v>0</v>
      </c>
      <c r="AX151">
        <f t="shared" si="105"/>
        <v>0</v>
      </c>
      <c r="AY151">
        <f t="shared" si="106"/>
        <v>0</v>
      </c>
      <c r="AZ151">
        <f t="shared" si="107"/>
        <v>1</v>
      </c>
      <c r="BA151">
        <f t="shared" si="108"/>
        <v>0</v>
      </c>
      <c r="BB151">
        <f t="shared" si="109"/>
        <v>0</v>
      </c>
      <c r="BC151">
        <f t="shared" si="110"/>
        <v>0</v>
      </c>
      <c r="BD151">
        <f t="shared" si="111"/>
        <v>0</v>
      </c>
      <c r="BE151">
        <f t="shared" si="112"/>
        <v>0</v>
      </c>
      <c r="BF151">
        <f t="shared" si="113"/>
        <v>0</v>
      </c>
      <c r="BG151">
        <f t="shared" si="114"/>
        <v>0</v>
      </c>
      <c r="BH151">
        <f t="shared" si="115"/>
        <v>0</v>
      </c>
      <c r="BI151">
        <f t="shared" si="116"/>
        <v>0</v>
      </c>
    </row>
    <row r="152" spans="1:61" x14ac:dyDescent="0.35">
      <c r="A152" t="s">
        <v>51</v>
      </c>
      <c r="B152" s="1">
        <v>39182</v>
      </c>
      <c r="C152" t="s">
        <v>406</v>
      </c>
      <c r="D152" t="s">
        <v>163</v>
      </c>
      <c r="E152" t="s">
        <v>397</v>
      </c>
      <c r="F152" t="s">
        <v>45</v>
      </c>
      <c r="G152" t="s">
        <v>125</v>
      </c>
      <c r="H152" s="139">
        <f t="shared" si="90"/>
        <v>1</v>
      </c>
      <c r="I152" t="s">
        <v>48</v>
      </c>
      <c r="J152" t="s">
        <v>248</v>
      </c>
      <c r="K152" s="2">
        <f t="shared" si="93"/>
        <v>5</v>
      </c>
      <c r="L152">
        <v>131000000</v>
      </c>
      <c r="M152" s="2">
        <f t="shared" si="94"/>
        <v>8.1172712956557636</v>
      </c>
      <c r="N152">
        <v>131000000</v>
      </c>
      <c r="O152">
        <v>0</v>
      </c>
      <c r="P152" s="1">
        <v>41032</v>
      </c>
      <c r="Q152" s="89">
        <f t="shared" si="95"/>
        <v>2012</v>
      </c>
      <c r="R152" t="s">
        <v>155</v>
      </c>
      <c r="S152">
        <v>200000000</v>
      </c>
      <c r="T152" s="21">
        <f t="shared" si="86"/>
        <v>5.0684931506849313</v>
      </c>
      <c r="U152">
        <v>6164.6</v>
      </c>
      <c r="V152">
        <f t="shared" si="96"/>
        <v>3.7899753459779522</v>
      </c>
      <c r="W152">
        <v>1962</v>
      </c>
      <c r="X152">
        <v>45</v>
      </c>
      <c r="Y152">
        <f t="shared" si="97"/>
        <v>1.6627578316815741</v>
      </c>
      <c r="Z152" s="45">
        <v>3.18</v>
      </c>
      <c r="AA152" s="9">
        <f t="shared" si="87"/>
        <v>69000000</v>
      </c>
      <c r="AB152" s="15">
        <f t="shared" si="88"/>
        <v>0.5267175572519085</v>
      </c>
      <c r="AC152" s="34">
        <f t="shared" si="98"/>
        <v>0.18375870000821695</v>
      </c>
      <c r="AD152">
        <v>1248.0746999999999</v>
      </c>
      <c r="AE152">
        <f t="shared" si="91"/>
        <v>3.0962405795987471</v>
      </c>
      <c r="AF152">
        <v>2518.2170000000001</v>
      </c>
      <c r="AG152">
        <f t="shared" si="92"/>
        <v>3.4010931514437841</v>
      </c>
      <c r="AH152" s="9">
        <v>583.83333333333303</v>
      </c>
      <c r="AI152" s="9">
        <f t="shared" si="99"/>
        <v>2.7670321178317625</v>
      </c>
      <c r="AJ152">
        <v>87.2</v>
      </c>
      <c r="AK152" s="15" t="s">
        <v>164</v>
      </c>
      <c r="AL152" s="42">
        <v>52.565521078007201</v>
      </c>
      <c r="AM152" s="24">
        <v>-0.04</v>
      </c>
      <c r="AN152" s="34">
        <f t="shared" si="100"/>
        <v>-1.7728766960431602E-2</v>
      </c>
      <c r="AO152">
        <v>1984</v>
      </c>
      <c r="AP152">
        <v>23</v>
      </c>
      <c r="AQ152">
        <v>85</v>
      </c>
      <c r="AR152">
        <v>80</v>
      </c>
      <c r="AS152">
        <f t="shared" si="89"/>
        <v>0</v>
      </c>
      <c r="AT152">
        <f t="shared" si="101"/>
        <v>0</v>
      </c>
      <c r="AU152">
        <f t="shared" si="102"/>
        <v>0</v>
      </c>
      <c r="AV152">
        <f t="shared" si="103"/>
        <v>0</v>
      </c>
      <c r="AW152">
        <f t="shared" si="104"/>
        <v>0</v>
      </c>
      <c r="AX152">
        <f t="shared" si="105"/>
        <v>0</v>
      </c>
      <c r="AY152">
        <f t="shared" si="106"/>
        <v>0</v>
      </c>
      <c r="AZ152">
        <f t="shared" si="107"/>
        <v>1</v>
      </c>
      <c r="BA152">
        <f t="shared" si="108"/>
        <v>0</v>
      </c>
      <c r="BB152">
        <f t="shared" si="109"/>
        <v>0</v>
      </c>
      <c r="BC152">
        <f t="shared" si="110"/>
        <v>0</v>
      </c>
      <c r="BD152">
        <f t="shared" si="111"/>
        <v>0</v>
      </c>
      <c r="BE152">
        <f t="shared" si="112"/>
        <v>0</v>
      </c>
      <c r="BF152">
        <f t="shared" si="113"/>
        <v>0</v>
      </c>
      <c r="BG152">
        <f t="shared" si="114"/>
        <v>0</v>
      </c>
      <c r="BH152">
        <f t="shared" si="115"/>
        <v>0</v>
      </c>
      <c r="BI152">
        <f t="shared" si="116"/>
        <v>0</v>
      </c>
    </row>
    <row r="153" spans="1:61" x14ac:dyDescent="0.35">
      <c r="A153" t="s">
        <v>51</v>
      </c>
      <c r="B153" s="1">
        <v>37180</v>
      </c>
      <c r="C153" t="s">
        <v>407</v>
      </c>
      <c r="D153" t="s">
        <v>1</v>
      </c>
      <c r="E153" s="26" t="s">
        <v>408</v>
      </c>
      <c r="F153" t="s">
        <v>4</v>
      </c>
      <c r="G153" t="s">
        <v>125</v>
      </c>
      <c r="H153" s="139">
        <f t="shared" si="90"/>
        <v>1</v>
      </c>
      <c r="I153" t="s">
        <v>234</v>
      </c>
      <c r="J153" t="s">
        <v>190</v>
      </c>
      <c r="K153" s="2">
        <f t="shared" si="93"/>
        <v>2</v>
      </c>
      <c r="L153">
        <v>163662957</v>
      </c>
      <c r="M153" s="2">
        <f t="shared" si="94"/>
        <v>8.213950393578326</v>
      </c>
      <c r="N153">
        <f t="shared" ref="N153:N169" si="117">L153</f>
        <v>163662957</v>
      </c>
      <c r="O153">
        <v>0</v>
      </c>
      <c r="P153" s="1">
        <v>38443</v>
      </c>
      <c r="Q153" s="89">
        <f t="shared" si="95"/>
        <v>2005</v>
      </c>
      <c r="R153" t="s">
        <v>107</v>
      </c>
      <c r="S153">
        <v>301656500</v>
      </c>
      <c r="T153" s="21">
        <f t="shared" si="86"/>
        <v>3.4602739726027396</v>
      </c>
      <c r="U153">
        <v>416.73</v>
      </c>
      <c r="V153">
        <f t="shared" si="96"/>
        <v>2.6208956659919629</v>
      </c>
      <c r="W153">
        <v>1986</v>
      </c>
      <c r="X153">
        <v>15</v>
      </c>
      <c r="Y153">
        <f t="shared" si="97"/>
        <v>1.2041199826559248</v>
      </c>
      <c r="Z153" s="45">
        <v>3.65</v>
      </c>
      <c r="AA153" s="9">
        <f t="shared" si="87"/>
        <v>137993543</v>
      </c>
      <c r="AB153" s="15">
        <f t="shared" si="88"/>
        <v>0.84315684825369486</v>
      </c>
      <c r="AC153" s="34">
        <f t="shared" si="98"/>
        <v>0.26556229421670802</v>
      </c>
      <c r="AD153">
        <v>1630.2786555587475</v>
      </c>
      <c r="AE153">
        <f t="shared" si="91"/>
        <v>3.212261842580872</v>
      </c>
      <c r="AF153">
        <v>8569.3766159149673</v>
      </c>
      <c r="AG153">
        <f t="shared" si="92"/>
        <v>3.9329492300777744</v>
      </c>
      <c r="AH153" s="9">
        <v>217.833333333333</v>
      </c>
      <c r="AI153" s="9">
        <f t="shared" si="99"/>
        <v>2.3401134757058348</v>
      </c>
      <c r="AJ153">
        <v>70</v>
      </c>
      <c r="AK153" s="23" t="s">
        <v>210</v>
      </c>
      <c r="AL153" s="42">
        <v>43.801966655694599</v>
      </c>
      <c r="AM153" s="24">
        <v>7.0000000000000007E-2</v>
      </c>
      <c r="AN153" s="34">
        <f t="shared" si="100"/>
        <v>2.9383777685209667E-2</v>
      </c>
      <c r="AO153">
        <v>1989</v>
      </c>
      <c r="AP153">
        <v>12</v>
      </c>
      <c r="AQ153">
        <v>70</v>
      </c>
      <c r="AR153">
        <v>50</v>
      </c>
      <c r="AS153">
        <f t="shared" si="89"/>
        <v>0</v>
      </c>
      <c r="AT153">
        <f t="shared" si="101"/>
        <v>0</v>
      </c>
      <c r="AU153">
        <f t="shared" si="102"/>
        <v>0</v>
      </c>
      <c r="AV153">
        <f t="shared" si="103"/>
        <v>1</v>
      </c>
      <c r="AW153">
        <f t="shared" si="104"/>
        <v>0</v>
      </c>
      <c r="AX153">
        <f t="shared" si="105"/>
        <v>0</v>
      </c>
      <c r="AY153">
        <f t="shared" si="106"/>
        <v>0</v>
      </c>
      <c r="AZ153">
        <f t="shared" si="107"/>
        <v>0</v>
      </c>
      <c r="BA153">
        <f t="shared" si="108"/>
        <v>0</v>
      </c>
      <c r="BB153">
        <f t="shared" si="109"/>
        <v>0</v>
      </c>
      <c r="BC153">
        <f t="shared" si="110"/>
        <v>0</v>
      </c>
      <c r="BD153">
        <f t="shared" si="111"/>
        <v>0</v>
      </c>
      <c r="BE153">
        <f t="shared" si="112"/>
        <v>0</v>
      </c>
      <c r="BF153">
        <f t="shared" si="113"/>
        <v>0</v>
      </c>
      <c r="BG153">
        <f t="shared" si="114"/>
        <v>0</v>
      </c>
      <c r="BH153">
        <f t="shared" si="115"/>
        <v>0</v>
      </c>
      <c r="BI153">
        <f t="shared" si="116"/>
        <v>0</v>
      </c>
    </row>
    <row r="154" spans="1:61" x14ac:dyDescent="0.35">
      <c r="A154" t="s">
        <v>51</v>
      </c>
      <c r="B154" s="1">
        <v>41369</v>
      </c>
      <c r="C154" s="26" t="s">
        <v>409</v>
      </c>
      <c r="D154" t="s">
        <v>3</v>
      </c>
      <c r="E154" s="26" t="s">
        <v>410</v>
      </c>
      <c r="F154" t="s">
        <v>4</v>
      </c>
      <c r="G154" t="s">
        <v>125</v>
      </c>
      <c r="H154" s="139">
        <f t="shared" si="90"/>
        <v>1</v>
      </c>
      <c r="I154" t="s">
        <v>234</v>
      </c>
      <c r="J154" t="s">
        <v>235</v>
      </c>
      <c r="K154" s="2">
        <f t="shared" si="93"/>
        <v>1</v>
      </c>
      <c r="L154">
        <v>400000000</v>
      </c>
      <c r="M154" s="2">
        <f t="shared" si="94"/>
        <v>8.6020599913279625</v>
      </c>
      <c r="N154">
        <f t="shared" si="117"/>
        <v>400000000</v>
      </c>
      <c r="O154">
        <v>0</v>
      </c>
      <c r="P154" s="1">
        <v>43440</v>
      </c>
      <c r="Q154" s="89">
        <f t="shared" si="95"/>
        <v>2018</v>
      </c>
      <c r="R154" t="s">
        <v>107</v>
      </c>
      <c r="S154">
        <v>660000000</v>
      </c>
      <c r="T154" s="21">
        <f t="shared" si="86"/>
        <v>5.6739726027397257</v>
      </c>
      <c r="U154">
        <v>522.27</v>
      </c>
      <c r="V154">
        <f t="shared" si="96"/>
        <v>2.7187258365781268</v>
      </c>
      <c r="W154">
        <v>1977</v>
      </c>
      <c r="X154">
        <v>36</v>
      </c>
      <c r="Y154">
        <f t="shared" si="97"/>
        <v>1.568201724066995</v>
      </c>
      <c r="Z154" s="45">
        <v>3.57</v>
      </c>
      <c r="AA154" s="9">
        <f t="shared" si="87"/>
        <v>260000000</v>
      </c>
      <c r="AB154" s="15">
        <f t="shared" si="88"/>
        <v>0.64999999999999991</v>
      </c>
      <c r="AC154" s="34">
        <f t="shared" si="98"/>
        <v>0.21748394421390627</v>
      </c>
      <c r="AD154">
        <v>1630.2786555587475</v>
      </c>
      <c r="AE154">
        <f t="shared" si="91"/>
        <v>3.212261842580872</v>
      </c>
      <c r="AF154">
        <v>8569.3766159149673</v>
      </c>
      <c r="AG154">
        <f t="shared" si="92"/>
        <v>3.9329492300777744</v>
      </c>
      <c r="AH154" s="9">
        <v>1232.1666666666699</v>
      </c>
      <c r="AI154" s="9">
        <f t="shared" si="99"/>
        <v>3.0910217769380406</v>
      </c>
      <c r="AJ154">
        <v>98.4</v>
      </c>
      <c r="AK154" s="23" t="s">
        <v>411</v>
      </c>
      <c r="AL154" s="42">
        <v>55.820378229102602</v>
      </c>
      <c r="AM154" s="24">
        <v>0.74</v>
      </c>
      <c r="AN154" s="34">
        <f t="shared" si="100"/>
        <v>0.24054924828259971</v>
      </c>
      <c r="AO154">
        <v>1989</v>
      </c>
      <c r="AP154">
        <v>24</v>
      </c>
      <c r="AQ154">
        <v>85</v>
      </c>
      <c r="AR154">
        <v>70</v>
      </c>
      <c r="AS154">
        <f t="shared" si="89"/>
        <v>0</v>
      </c>
      <c r="AT154">
        <f t="shared" si="101"/>
        <v>0</v>
      </c>
      <c r="AU154">
        <f t="shared" si="102"/>
        <v>0</v>
      </c>
      <c r="AV154">
        <f t="shared" si="103"/>
        <v>0</v>
      </c>
      <c r="AW154">
        <f t="shared" si="104"/>
        <v>1</v>
      </c>
      <c r="AX154">
        <f t="shared" si="105"/>
        <v>0</v>
      </c>
      <c r="AY154">
        <f t="shared" si="106"/>
        <v>0</v>
      </c>
      <c r="AZ154">
        <f t="shared" si="107"/>
        <v>0</v>
      </c>
      <c r="BA154">
        <f t="shared" si="108"/>
        <v>0</v>
      </c>
      <c r="BB154">
        <f t="shared" si="109"/>
        <v>0</v>
      </c>
      <c r="BC154">
        <f t="shared" si="110"/>
        <v>0</v>
      </c>
      <c r="BD154">
        <f t="shared" si="111"/>
        <v>0</v>
      </c>
      <c r="BE154">
        <f t="shared" si="112"/>
        <v>0</v>
      </c>
      <c r="BF154">
        <f t="shared" si="113"/>
        <v>0</v>
      </c>
      <c r="BG154">
        <f t="shared" si="114"/>
        <v>0</v>
      </c>
      <c r="BH154">
        <f t="shared" si="115"/>
        <v>0</v>
      </c>
      <c r="BI154">
        <f t="shared" si="116"/>
        <v>0</v>
      </c>
    </row>
    <row r="155" spans="1:61" x14ac:dyDescent="0.35">
      <c r="A155" t="s">
        <v>51</v>
      </c>
      <c r="B155" s="1">
        <v>38341</v>
      </c>
      <c r="C155" t="s">
        <v>412</v>
      </c>
      <c r="D155" t="s">
        <v>3</v>
      </c>
      <c r="E155" s="26" t="s">
        <v>413</v>
      </c>
      <c r="F155" t="s">
        <v>4</v>
      </c>
      <c r="G155" t="s">
        <v>125</v>
      </c>
      <c r="H155" s="139">
        <f t="shared" si="90"/>
        <v>1</v>
      </c>
      <c r="I155" t="s">
        <v>234</v>
      </c>
      <c r="J155" t="s">
        <v>190</v>
      </c>
      <c r="K155" s="2">
        <f t="shared" si="93"/>
        <v>2</v>
      </c>
      <c r="L155">
        <v>712065680</v>
      </c>
      <c r="M155" s="2">
        <f t="shared" si="94"/>
        <v>8.852520054235173</v>
      </c>
      <c r="N155">
        <f t="shared" si="117"/>
        <v>712065680</v>
      </c>
      <c r="O155">
        <v>0</v>
      </c>
      <c r="P155" s="1">
        <v>40661</v>
      </c>
      <c r="Q155" s="89">
        <f t="shared" si="95"/>
        <v>2011</v>
      </c>
      <c r="R155" t="s">
        <v>107</v>
      </c>
      <c r="S155">
        <f>(373133797+608192429)</f>
        <v>981326226</v>
      </c>
      <c r="T155" s="21">
        <f t="shared" si="86"/>
        <v>6.3561643835616435</v>
      </c>
      <c r="U155">
        <v>522.27</v>
      </c>
      <c r="V155">
        <f t="shared" si="96"/>
        <v>2.7187258365781268</v>
      </c>
      <c r="W155">
        <v>1906</v>
      </c>
      <c r="X155">
        <v>98</v>
      </c>
      <c r="Y155">
        <f t="shared" si="97"/>
        <v>1.9956351945975499</v>
      </c>
      <c r="Z155" s="45">
        <v>3.58</v>
      </c>
      <c r="AA155" s="9">
        <f t="shared" si="87"/>
        <v>269260546</v>
      </c>
      <c r="AB155" s="15">
        <f t="shared" si="88"/>
        <v>0.37814004180063843</v>
      </c>
      <c r="AC155" s="34">
        <f t="shared" si="98"/>
        <v>0.13929335130964862</v>
      </c>
      <c r="AD155">
        <v>1630.2786555587475</v>
      </c>
      <c r="AE155">
        <f t="shared" si="91"/>
        <v>3.212261842580872</v>
      </c>
      <c r="AF155">
        <v>8569.3766159149673</v>
      </c>
      <c r="AG155">
        <f t="shared" si="92"/>
        <v>3.9329492300777744</v>
      </c>
      <c r="AH155" s="9">
        <v>1232.1666666666699</v>
      </c>
      <c r="AI155" s="9">
        <f t="shared" si="99"/>
        <v>3.0910217769380406</v>
      </c>
      <c r="AJ155">
        <v>100</v>
      </c>
      <c r="AK155" s="23" t="s">
        <v>414</v>
      </c>
      <c r="AL155" s="42">
        <v>52.997375167745602</v>
      </c>
      <c r="AM155" s="24">
        <v>0.14000000000000001</v>
      </c>
      <c r="AN155" s="34">
        <f t="shared" si="100"/>
        <v>5.6904851336472641E-2</v>
      </c>
      <c r="AO155">
        <v>1989</v>
      </c>
      <c r="AP155">
        <v>15</v>
      </c>
      <c r="AQ155">
        <v>85</v>
      </c>
      <c r="AR155">
        <v>70</v>
      </c>
      <c r="AS155">
        <f t="shared" si="89"/>
        <v>0</v>
      </c>
      <c r="AT155">
        <f t="shared" si="101"/>
        <v>0</v>
      </c>
      <c r="AU155">
        <f t="shared" si="102"/>
        <v>0</v>
      </c>
      <c r="AV155">
        <f t="shared" si="103"/>
        <v>0</v>
      </c>
      <c r="AW155">
        <f t="shared" si="104"/>
        <v>1</v>
      </c>
      <c r="AX155">
        <f t="shared" si="105"/>
        <v>0</v>
      </c>
      <c r="AY155">
        <f t="shared" si="106"/>
        <v>0</v>
      </c>
      <c r="AZ155">
        <f t="shared" si="107"/>
        <v>0</v>
      </c>
      <c r="BA155">
        <f t="shared" si="108"/>
        <v>0</v>
      </c>
      <c r="BB155">
        <f t="shared" si="109"/>
        <v>0</v>
      </c>
      <c r="BC155">
        <f t="shared" si="110"/>
        <v>0</v>
      </c>
      <c r="BD155">
        <f t="shared" si="111"/>
        <v>0</v>
      </c>
      <c r="BE155">
        <f t="shared" si="112"/>
        <v>0</v>
      </c>
      <c r="BF155">
        <f t="shared" si="113"/>
        <v>0</v>
      </c>
      <c r="BG155">
        <f t="shared" si="114"/>
        <v>0</v>
      </c>
      <c r="BH155">
        <f t="shared" si="115"/>
        <v>0</v>
      </c>
      <c r="BI155">
        <f t="shared" si="116"/>
        <v>0</v>
      </c>
    </row>
    <row r="156" spans="1:61" x14ac:dyDescent="0.35">
      <c r="A156" t="s">
        <v>51</v>
      </c>
      <c r="B156" s="1">
        <v>36294</v>
      </c>
      <c r="C156" t="s">
        <v>415</v>
      </c>
      <c r="D156" t="s">
        <v>3</v>
      </c>
      <c r="E156" s="26" t="s">
        <v>416</v>
      </c>
      <c r="F156" t="s">
        <v>4</v>
      </c>
      <c r="G156" t="s">
        <v>125</v>
      </c>
      <c r="H156" s="139">
        <f t="shared" si="90"/>
        <v>1</v>
      </c>
      <c r="I156" t="s">
        <v>234</v>
      </c>
      <c r="J156" t="s">
        <v>190</v>
      </c>
      <c r="K156" s="2">
        <f t="shared" si="93"/>
        <v>2</v>
      </c>
      <c r="L156">
        <v>398000000</v>
      </c>
      <c r="M156" s="2">
        <f t="shared" si="94"/>
        <v>8.5998830720736876</v>
      </c>
      <c r="N156">
        <f t="shared" si="117"/>
        <v>398000000</v>
      </c>
      <c r="O156">
        <v>0</v>
      </c>
      <c r="P156" s="1">
        <v>37592</v>
      </c>
      <c r="Q156" s="89">
        <f t="shared" si="95"/>
        <v>2002</v>
      </c>
      <c r="R156" t="s">
        <v>152</v>
      </c>
      <c r="S156">
        <v>723890000</v>
      </c>
      <c r="T156" s="21">
        <f t="shared" si="86"/>
        <v>3.5561643835616437</v>
      </c>
      <c r="U156">
        <v>522.27</v>
      </c>
      <c r="V156">
        <f t="shared" si="96"/>
        <v>2.7187258365781268</v>
      </c>
      <c r="W156">
        <v>1874</v>
      </c>
      <c r="X156">
        <v>125</v>
      </c>
      <c r="Y156">
        <f t="shared" si="97"/>
        <v>2.1003705451175629</v>
      </c>
      <c r="Z156" s="45">
        <v>3.59</v>
      </c>
      <c r="AA156" s="9">
        <f t="shared" si="87"/>
        <v>325890000</v>
      </c>
      <c r="AB156" s="15">
        <f t="shared" si="88"/>
        <v>0.81881909547738685</v>
      </c>
      <c r="AC156" s="34">
        <f t="shared" si="98"/>
        <v>0.25978950514211202</v>
      </c>
      <c r="AD156">
        <v>1630.2786555587475</v>
      </c>
      <c r="AE156">
        <f t="shared" si="91"/>
        <v>3.212261842580872</v>
      </c>
      <c r="AF156">
        <v>8569.3766159149673</v>
      </c>
      <c r="AG156">
        <f t="shared" si="92"/>
        <v>3.9329492300777744</v>
      </c>
      <c r="AH156" s="9">
        <v>1232.1666666666699</v>
      </c>
      <c r="AI156" s="9">
        <f t="shared" si="99"/>
        <v>3.0910217769380406</v>
      </c>
      <c r="AJ156">
        <v>85</v>
      </c>
      <c r="AK156" s="23" t="s">
        <v>417</v>
      </c>
      <c r="AL156" s="42">
        <v>54.533270077590302</v>
      </c>
      <c r="AM156" s="24">
        <v>-0.3</v>
      </c>
      <c r="AN156" s="34">
        <f t="shared" si="100"/>
        <v>-0.15490195998574319</v>
      </c>
      <c r="AO156">
        <v>1989</v>
      </c>
      <c r="AP156">
        <v>10</v>
      </c>
      <c r="AQ156">
        <v>85</v>
      </c>
      <c r="AR156">
        <v>70</v>
      </c>
      <c r="AS156">
        <f t="shared" si="89"/>
        <v>0</v>
      </c>
      <c r="AT156">
        <f t="shared" si="101"/>
        <v>0</v>
      </c>
      <c r="AU156">
        <f t="shared" si="102"/>
        <v>0</v>
      </c>
      <c r="AV156">
        <f t="shared" si="103"/>
        <v>0</v>
      </c>
      <c r="AW156">
        <f t="shared" si="104"/>
        <v>1</v>
      </c>
      <c r="AX156">
        <f t="shared" si="105"/>
        <v>0</v>
      </c>
      <c r="AY156">
        <f t="shared" si="106"/>
        <v>0</v>
      </c>
      <c r="AZ156">
        <f t="shared" si="107"/>
        <v>0</v>
      </c>
      <c r="BA156">
        <f t="shared" si="108"/>
        <v>0</v>
      </c>
      <c r="BB156">
        <f t="shared" si="109"/>
        <v>0</v>
      </c>
      <c r="BC156">
        <f t="shared" si="110"/>
        <v>0</v>
      </c>
      <c r="BD156">
        <f t="shared" si="111"/>
        <v>0</v>
      </c>
      <c r="BE156">
        <f t="shared" si="112"/>
        <v>0</v>
      </c>
      <c r="BF156">
        <f t="shared" si="113"/>
        <v>0</v>
      </c>
      <c r="BG156">
        <f t="shared" si="114"/>
        <v>0</v>
      </c>
      <c r="BH156">
        <f t="shared" si="115"/>
        <v>0</v>
      </c>
      <c r="BI156">
        <f t="shared" si="116"/>
        <v>0</v>
      </c>
    </row>
    <row r="157" spans="1:61" x14ac:dyDescent="0.35">
      <c r="A157" t="s">
        <v>51</v>
      </c>
      <c r="B157" s="1">
        <v>38510</v>
      </c>
      <c r="C157" t="s">
        <v>418</v>
      </c>
      <c r="D157" t="s">
        <v>419</v>
      </c>
      <c r="E157" s="26" t="s">
        <v>420</v>
      </c>
      <c r="F157" t="s">
        <v>4</v>
      </c>
      <c r="G157" t="s">
        <v>125</v>
      </c>
      <c r="H157" s="139">
        <f t="shared" si="90"/>
        <v>1</v>
      </c>
      <c r="I157" t="s">
        <v>234</v>
      </c>
      <c r="J157" t="s">
        <v>235</v>
      </c>
      <c r="K157" s="2">
        <f t="shared" si="93"/>
        <v>1</v>
      </c>
      <c r="L157">
        <v>599000000</v>
      </c>
      <c r="M157" s="2">
        <f t="shared" si="94"/>
        <v>8.7774268223893106</v>
      </c>
      <c r="N157">
        <f t="shared" si="117"/>
        <v>599000000</v>
      </c>
      <c r="O157">
        <v>0</v>
      </c>
      <c r="P157" s="1">
        <v>42704</v>
      </c>
      <c r="Q157" s="89">
        <f t="shared" si="95"/>
        <v>2016</v>
      </c>
      <c r="R157" t="s">
        <v>107</v>
      </c>
      <c r="S157">
        <v>396802802</v>
      </c>
      <c r="T157" s="21">
        <f t="shared" si="86"/>
        <v>11.490410958904109</v>
      </c>
      <c r="U157">
        <v>395.92</v>
      </c>
      <c r="V157">
        <f t="shared" si="96"/>
        <v>2.5987029826834349</v>
      </c>
      <c r="W157">
        <v>1906</v>
      </c>
      <c r="X157">
        <v>99</v>
      </c>
      <c r="Y157">
        <f t="shared" si="97"/>
        <v>2</v>
      </c>
      <c r="Z157" s="45">
        <v>3.35</v>
      </c>
      <c r="AA157" s="9">
        <f t="shared" si="87"/>
        <v>-202197198</v>
      </c>
      <c r="AB157" s="15">
        <f t="shared" si="88"/>
        <v>-0.33755792654424044</v>
      </c>
      <c r="AC157" s="34">
        <f t="shared" si="98"/>
        <v>-0.17885209215101669</v>
      </c>
      <c r="AD157">
        <v>1630.2786555587475</v>
      </c>
      <c r="AE157">
        <f t="shared" si="91"/>
        <v>3.212261842580872</v>
      </c>
      <c r="AF157">
        <v>8569.3766159149673</v>
      </c>
      <c r="AG157">
        <f t="shared" si="92"/>
        <v>3.9329492300777744</v>
      </c>
      <c r="AH157" s="9">
        <v>345.83333333333297</v>
      </c>
      <c r="AI157" s="9">
        <f t="shared" si="99"/>
        <v>2.5401208298279827</v>
      </c>
      <c r="AJ157">
        <v>85</v>
      </c>
      <c r="AK157" s="23" t="s">
        <v>210</v>
      </c>
      <c r="AL157" s="42">
        <v>49.275185994026302</v>
      </c>
      <c r="AM157" s="24">
        <v>0.84</v>
      </c>
      <c r="AN157" s="34">
        <f t="shared" si="100"/>
        <v>0.26481782300953643</v>
      </c>
      <c r="AO157">
        <v>1989</v>
      </c>
      <c r="AP157">
        <v>16</v>
      </c>
      <c r="AQ157">
        <v>90</v>
      </c>
      <c r="AR157">
        <v>80</v>
      </c>
      <c r="AS157">
        <f t="shared" si="89"/>
        <v>0</v>
      </c>
      <c r="AT157">
        <f t="shared" si="101"/>
        <v>0</v>
      </c>
      <c r="AU157">
        <f t="shared" si="102"/>
        <v>0</v>
      </c>
      <c r="AV157">
        <f t="shared" si="103"/>
        <v>0</v>
      </c>
      <c r="AW157">
        <f t="shared" si="104"/>
        <v>0</v>
      </c>
      <c r="AX157">
        <f t="shared" si="105"/>
        <v>0</v>
      </c>
      <c r="AY157">
        <f t="shared" si="106"/>
        <v>0</v>
      </c>
      <c r="AZ157">
        <f t="shared" si="107"/>
        <v>0</v>
      </c>
      <c r="BA157">
        <f t="shared" si="108"/>
        <v>0</v>
      </c>
      <c r="BB157">
        <f t="shared" si="109"/>
        <v>0</v>
      </c>
      <c r="BC157">
        <f t="shared" si="110"/>
        <v>0</v>
      </c>
      <c r="BD157">
        <f t="shared" si="111"/>
        <v>0</v>
      </c>
      <c r="BE157">
        <f t="shared" si="112"/>
        <v>0</v>
      </c>
      <c r="BF157">
        <f t="shared" si="113"/>
        <v>0</v>
      </c>
      <c r="BG157">
        <f t="shared" si="114"/>
        <v>0</v>
      </c>
      <c r="BH157">
        <f t="shared" si="115"/>
        <v>0</v>
      </c>
      <c r="BI157">
        <f t="shared" si="116"/>
        <v>1</v>
      </c>
    </row>
    <row r="158" spans="1:61" x14ac:dyDescent="0.35">
      <c r="A158" t="s">
        <v>421</v>
      </c>
      <c r="B158" s="1">
        <v>36971</v>
      </c>
      <c r="C158" t="s">
        <v>422</v>
      </c>
      <c r="D158" t="s">
        <v>419</v>
      </c>
      <c r="E158" s="26" t="s">
        <v>408</v>
      </c>
      <c r="F158" t="s">
        <v>4</v>
      </c>
      <c r="G158" t="s">
        <v>125</v>
      </c>
      <c r="H158" s="139">
        <f t="shared" si="90"/>
        <v>1</v>
      </c>
      <c r="I158" t="s">
        <v>234</v>
      </c>
      <c r="J158" t="s">
        <v>248</v>
      </c>
      <c r="K158" s="2">
        <f t="shared" si="93"/>
        <v>5</v>
      </c>
      <c r="L158">
        <v>16818793</v>
      </c>
      <c r="M158" s="2">
        <f t="shared" si="94"/>
        <v>7.2257948254542494</v>
      </c>
      <c r="N158">
        <f t="shared" si="117"/>
        <v>16818793</v>
      </c>
      <c r="O158">
        <v>0</v>
      </c>
      <c r="P158" s="1">
        <v>39355</v>
      </c>
      <c r="Q158" s="89">
        <f t="shared" si="95"/>
        <v>2007</v>
      </c>
      <c r="R158" t="s">
        <v>107</v>
      </c>
      <c r="S158">
        <v>133000000</v>
      </c>
      <c r="T158" s="21">
        <f t="shared" si="86"/>
        <v>6.5315068493150683</v>
      </c>
      <c r="U158">
        <v>395.92</v>
      </c>
      <c r="V158">
        <f t="shared" si="96"/>
        <v>2.5987029826834349</v>
      </c>
      <c r="W158">
        <v>1985</v>
      </c>
      <c r="X158">
        <v>16</v>
      </c>
      <c r="Y158">
        <f t="shared" si="97"/>
        <v>1.2304489213782739</v>
      </c>
      <c r="Z158" s="45">
        <v>3.35</v>
      </c>
      <c r="AA158" s="9">
        <f t="shared" si="87"/>
        <v>116181207</v>
      </c>
      <c r="AB158" s="15">
        <f t="shared" si="88"/>
        <v>6.9078207336281503</v>
      </c>
      <c r="AC158" s="34">
        <f t="shared" si="98"/>
        <v>0.89805681551283612</v>
      </c>
      <c r="AD158">
        <v>1630.2786555587475</v>
      </c>
      <c r="AE158">
        <f t="shared" si="91"/>
        <v>3.212261842580872</v>
      </c>
      <c r="AF158">
        <v>8569.3766159149673</v>
      </c>
      <c r="AG158">
        <f t="shared" si="92"/>
        <v>3.9329492300777744</v>
      </c>
      <c r="AH158" s="9">
        <v>345.83333333333297</v>
      </c>
      <c r="AI158" s="9">
        <f t="shared" si="99"/>
        <v>2.5401208298279827</v>
      </c>
      <c r="AJ158">
        <v>70</v>
      </c>
      <c r="AK158" s="23" t="s">
        <v>423</v>
      </c>
      <c r="AL158" s="42">
        <v>47.338285896273099</v>
      </c>
      <c r="AM158" s="24">
        <v>0.36</v>
      </c>
      <c r="AN158" s="34">
        <f t="shared" si="100"/>
        <v>0.13353890837021748</v>
      </c>
      <c r="AO158">
        <v>1989</v>
      </c>
      <c r="AP158">
        <v>12</v>
      </c>
      <c r="AQ158">
        <v>90</v>
      </c>
      <c r="AR158">
        <v>80</v>
      </c>
      <c r="AS158">
        <f t="shared" si="89"/>
        <v>0</v>
      </c>
      <c r="AT158">
        <f t="shared" si="101"/>
        <v>0</v>
      </c>
      <c r="AU158">
        <f t="shared" si="102"/>
        <v>0</v>
      </c>
      <c r="AV158">
        <f t="shared" si="103"/>
        <v>0</v>
      </c>
      <c r="AW158">
        <f t="shared" si="104"/>
        <v>0</v>
      </c>
      <c r="AX158">
        <f t="shared" si="105"/>
        <v>0</v>
      </c>
      <c r="AY158">
        <f t="shared" si="106"/>
        <v>0</v>
      </c>
      <c r="AZ158">
        <f t="shared" si="107"/>
        <v>0</v>
      </c>
      <c r="BA158">
        <f t="shared" si="108"/>
        <v>0</v>
      </c>
      <c r="BB158">
        <f t="shared" si="109"/>
        <v>0</v>
      </c>
      <c r="BC158">
        <f t="shared" si="110"/>
        <v>0</v>
      </c>
      <c r="BD158">
        <f t="shared" si="111"/>
        <v>0</v>
      </c>
      <c r="BE158">
        <f t="shared" si="112"/>
        <v>0</v>
      </c>
      <c r="BF158">
        <f t="shared" si="113"/>
        <v>0</v>
      </c>
      <c r="BG158">
        <f t="shared" si="114"/>
        <v>0</v>
      </c>
      <c r="BH158">
        <f t="shared" si="115"/>
        <v>0</v>
      </c>
      <c r="BI158">
        <f t="shared" si="116"/>
        <v>1</v>
      </c>
    </row>
    <row r="159" spans="1:61" x14ac:dyDescent="0.35">
      <c r="A159" t="s">
        <v>51</v>
      </c>
      <c r="B159" s="1">
        <v>39363</v>
      </c>
      <c r="C159" t="s">
        <v>424</v>
      </c>
      <c r="D159" t="s">
        <v>4</v>
      </c>
      <c r="E159" t="s">
        <v>425</v>
      </c>
      <c r="F159" t="s">
        <v>59</v>
      </c>
      <c r="G159" t="s">
        <v>125</v>
      </c>
      <c r="H159" s="139">
        <f t="shared" si="90"/>
        <v>1</v>
      </c>
      <c r="I159" t="s">
        <v>234</v>
      </c>
      <c r="J159" t="s">
        <v>248</v>
      </c>
      <c r="K159" s="2">
        <f t="shared" si="93"/>
        <v>5</v>
      </c>
      <c r="L159">
        <v>360000000</v>
      </c>
      <c r="M159" s="2">
        <f t="shared" si="94"/>
        <v>8.5563025007672877</v>
      </c>
      <c r="N159">
        <f t="shared" si="117"/>
        <v>360000000</v>
      </c>
      <c r="O159">
        <v>0</v>
      </c>
      <c r="P159" s="1">
        <v>41053</v>
      </c>
      <c r="Q159" s="89">
        <f t="shared" si="95"/>
        <v>2012</v>
      </c>
      <c r="R159" t="s">
        <v>152</v>
      </c>
      <c r="S159">
        <v>1000000000</v>
      </c>
      <c r="T159" s="21">
        <f t="shared" si="86"/>
        <v>4.6301369863013697</v>
      </c>
      <c r="U159">
        <v>1433.25</v>
      </c>
      <c r="V159">
        <f t="shared" si="96"/>
        <v>3.1566248585544785</v>
      </c>
      <c r="W159">
        <v>1980</v>
      </c>
      <c r="X159">
        <v>27</v>
      </c>
      <c r="Y159">
        <f t="shared" si="97"/>
        <v>1.4471580313422192</v>
      </c>
      <c r="Z159" s="45">
        <v>3.03</v>
      </c>
      <c r="AA159" s="9">
        <f t="shared" si="87"/>
        <v>640000000</v>
      </c>
      <c r="AB159" s="15">
        <f t="shared" si="88"/>
        <v>1.7777777777777777</v>
      </c>
      <c r="AC159" s="34">
        <f t="shared" si="98"/>
        <v>0.44369749923271273</v>
      </c>
      <c r="AD159">
        <v>2094.0408163265306</v>
      </c>
      <c r="AE159">
        <f t="shared" si="91"/>
        <v>3.3209851425446502</v>
      </c>
      <c r="AF159">
        <v>9886.3673469387759</v>
      </c>
      <c r="AG159">
        <f t="shared" si="92"/>
        <v>3.9950367434689285</v>
      </c>
      <c r="AH159" s="9">
        <v>697</v>
      </c>
      <c r="AI159" s="9">
        <f t="shared" si="99"/>
        <v>2.8438554226231609</v>
      </c>
      <c r="AJ159">
        <v>94.2</v>
      </c>
      <c r="AK159" s="23" t="s">
        <v>426</v>
      </c>
      <c r="AL159" s="42">
        <v>49.278563385512697</v>
      </c>
      <c r="AM159" s="24">
        <v>-0.15</v>
      </c>
      <c r="AN159" s="34">
        <f t="shared" si="100"/>
        <v>-7.0581074285707285E-2</v>
      </c>
      <c r="AO159">
        <v>2011</v>
      </c>
      <c r="AP159">
        <v>0</v>
      </c>
      <c r="AQ159">
        <v>70</v>
      </c>
      <c r="AR159">
        <v>70</v>
      </c>
      <c r="AS159">
        <f t="shared" si="89"/>
        <v>0</v>
      </c>
      <c r="AT159">
        <f t="shared" si="101"/>
        <v>0</v>
      </c>
      <c r="AU159">
        <f t="shared" si="102"/>
        <v>0</v>
      </c>
      <c r="AV159">
        <f t="shared" si="103"/>
        <v>0</v>
      </c>
      <c r="AW159">
        <f t="shared" si="104"/>
        <v>0</v>
      </c>
      <c r="AX159">
        <f t="shared" si="105"/>
        <v>1</v>
      </c>
      <c r="AY159">
        <f t="shared" si="106"/>
        <v>0</v>
      </c>
      <c r="AZ159">
        <f t="shared" si="107"/>
        <v>0</v>
      </c>
      <c r="BA159">
        <f t="shared" si="108"/>
        <v>0</v>
      </c>
      <c r="BB159">
        <f t="shared" si="109"/>
        <v>0</v>
      </c>
      <c r="BC159">
        <f t="shared" si="110"/>
        <v>0</v>
      </c>
      <c r="BD159">
        <f t="shared" si="111"/>
        <v>0</v>
      </c>
      <c r="BE159">
        <f t="shared" si="112"/>
        <v>0</v>
      </c>
      <c r="BF159">
        <f t="shared" si="113"/>
        <v>0</v>
      </c>
      <c r="BG159">
        <f t="shared" si="114"/>
        <v>0</v>
      </c>
      <c r="BH159">
        <f t="shared" si="115"/>
        <v>0</v>
      </c>
      <c r="BI159">
        <f t="shared" si="116"/>
        <v>0</v>
      </c>
    </row>
    <row r="160" spans="1:61" x14ac:dyDescent="0.35">
      <c r="A160" t="s">
        <v>51</v>
      </c>
      <c r="B160" s="1">
        <v>39172</v>
      </c>
      <c r="C160" t="s">
        <v>427</v>
      </c>
      <c r="D160" t="s">
        <v>163</v>
      </c>
      <c r="E160" t="s">
        <v>425</v>
      </c>
      <c r="F160" t="s">
        <v>59</v>
      </c>
      <c r="G160" t="s">
        <v>125</v>
      </c>
      <c r="H160" s="139">
        <f t="shared" si="90"/>
        <v>1</v>
      </c>
      <c r="I160" t="s">
        <v>234</v>
      </c>
      <c r="J160" t="s">
        <v>326</v>
      </c>
      <c r="K160" s="2">
        <f t="shared" si="93"/>
        <v>8</v>
      </c>
      <c r="L160">
        <v>65000000</v>
      </c>
      <c r="M160" s="2">
        <f t="shared" si="94"/>
        <v>7.8129133566428557</v>
      </c>
      <c r="N160">
        <f t="shared" si="117"/>
        <v>65000000</v>
      </c>
      <c r="O160">
        <v>0</v>
      </c>
      <c r="P160" s="1">
        <v>41117</v>
      </c>
      <c r="Q160" s="89">
        <f t="shared" si="95"/>
        <v>2012</v>
      </c>
      <c r="R160" t="s">
        <v>107</v>
      </c>
      <c r="S160">
        <v>87500000</v>
      </c>
      <c r="T160" s="21">
        <f t="shared" si="86"/>
        <v>5.3287671232876717</v>
      </c>
      <c r="U160">
        <v>342.74</v>
      </c>
      <c r="V160">
        <f t="shared" si="96"/>
        <v>2.5362300726332561</v>
      </c>
      <c r="W160">
        <v>1996</v>
      </c>
      <c r="X160">
        <v>11</v>
      </c>
      <c r="Y160">
        <f t="shared" si="97"/>
        <v>1.0791812460476249</v>
      </c>
      <c r="Z160" s="45">
        <v>2.3199999999999998</v>
      </c>
      <c r="AA160" s="9">
        <f t="shared" si="87"/>
        <v>22500000</v>
      </c>
      <c r="AB160" s="15">
        <f t="shared" si="88"/>
        <v>0.34615384615384626</v>
      </c>
      <c r="AC160" s="34">
        <f t="shared" si="98"/>
        <v>0.1290946963794577</v>
      </c>
      <c r="AD160">
        <v>2094.0408163265306</v>
      </c>
      <c r="AE160">
        <f t="shared" si="91"/>
        <v>3.3209851425446502</v>
      </c>
      <c r="AF160">
        <v>9886.3673469387759</v>
      </c>
      <c r="AG160">
        <f t="shared" si="92"/>
        <v>3.9950367434689285</v>
      </c>
      <c r="AH160" s="9">
        <v>569.16666666666697</v>
      </c>
      <c r="AI160" s="9">
        <f t="shared" si="99"/>
        <v>2.756001823801419</v>
      </c>
      <c r="AJ160">
        <v>87.2</v>
      </c>
      <c r="AK160" s="23" t="s">
        <v>164</v>
      </c>
      <c r="AL160" s="42">
        <v>52.565521078007201</v>
      </c>
      <c r="AM160" s="24">
        <v>-0.02</v>
      </c>
      <c r="AN160" s="34">
        <f t="shared" si="100"/>
        <v>-8.7739243075051505E-3</v>
      </c>
      <c r="AO160">
        <v>2011</v>
      </c>
      <c r="AP160">
        <v>0</v>
      </c>
      <c r="AQ160">
        <v>85</v>
      </c>
      <c r="AR160">
        <v>80</v>
      </c>
      <c r="AS160">
        <f t="shared" si="89"/>
        <v>0</v>
      </c>
      <c r="AT160">
        <f t="shared" si="101"/>
        <v>0</v>
      </c>
      <c r="AU160">
        <f t="shared" si="102"/>
        <v>0</v>
      </c>
      <c r="AV160">
        <f t="shared" si="103"/>
        <v>0</v>
      </c>
      <c r="AW160">
        <f t="shared" si="104"/>
        <v>0</v>
      </c>
      <c r="AX160">
        <f t="shared" si="105"/>
        <v>0</v>
      </c>
      <c r="AY160">
        <f t="shared" si="106"/>
        <v>0</v>
      </c>
      <c r="AZ160">
        <f t="shared" si="107"/>
        <v>1</v>
      </c>
      <c r="BA160">
        <f t="shared" si="108"/>
        <v>0</v>
      </c>
      <c r="BB160">
        <f t="shared" si="109"/>
        <v>0</v>
      </c>
      <c r="BC160">
        <f t="shared" si="110"/>
        <v>0</v>
      </c>
      <c r="BD160">
        <f t="shared" si="111"/>
        <v>0</v>
      </c>
      <c r="BE160">
        <f t="shared" si="112"/>
        <v>0</v>
      </c>
      <c r="BF160">
        <f t="shared" si="113"/>
        <v>0</v>
      </c>
      <c r="BG160">
        <f t="shared" si="114"/>
        <v>0</v>
      </c>
      <c r="BH160">
        <f t="shared" si="115"/>
        <v>0</v>
      </c>
      <c r="BI160">
        <f t="shared" si="116"/>
        <v>0</v>
      </c>
    </row>
    <row r="161" spans="1:61" x14ac:dyDescent="0.35">
      <c r="A161" t="s">
        <v>51</v>
      </c>
      <c r="B161" s="1">
        <v>38464</v>
      </c>
      <c r="C161" t="s">
        <v>428</v>
      </c>
      <c r="D161" t="s">
        <v>163</v>
      </c>
      <c r="E161" t="s">
        <v>429</v>
      </c>
      <c r="F161" t="s">
        <v>59</v>
      </c>
      <c r="G161" t="s">
        <v>125</v>
      </c>
      <c r="H161" s="139">
        <f t="shared" si="90"/>
        <v>1</v>
      </c>
      <c r="I161" t="s">
        <v>234</v>
      </c>
      <c r="J161" t="s">
        <v>190</v>
      </c>
      <c r="K161" s="2">
        <f t="shared" si="93"/>
        <v>2</v>
      </c>
      <c r="L161">
        <v>320000000</v>
      </c>
      <c r="M161" s="2">
        <f t="shared" si="94"/>
        <v>8.5051499783199063</v>
      </c>
      <c r="N161">
        <f t="shared" si="117"/>
        <v>320000000</v>
      </c>
      <c r="O161">
        <v>0</v>
      </c>
      <c r="P161" s="1">
        <v>39172</v>
      </c>
      <c r="Q161" s="89">
        <f t="shared" si="95"/>
        <v>2007</v>
      </c>
      <c r="R161" t="s">
        <v>152</v>
      </c>
      <c r="S161">
        <v>600000000</v>
      </c>
      <c r="T161" s="21">
        <f t="shared" si="86"/>
        <v>1.9397260273972603</v>
      </c>
      <c r="U161">
        <v>342.74</v>
      </c>
      <c r="V161">
        <f t="shared" si="96"/>
        <v>2.5362300726332561</v>
      </c>
      <c r="W161">
        <v>1991</v>
      </c>
      <c r="X161">
        <v>14</v>
      </c>
      <c r="Y161">
        <f t="shared" si="97"/>
        <v>1.1760912590556813</v>
      </c>
      <c r="Z161" s="45">
        <v>2.3199999999999998</v>
      </c>
      <c r="AA161" s="9">
        <f t="shared" si="87"/>
        <v>280000000</v>
      </c>
      <c r="AB161" s="15">
        <f t="shared" si="88"/>
        <v>0.875</v>
      </c>
      <c r="AC161" s="34">
        <f t="shared" si="98"/>
        <v>0.27300127206373764</v>
      </c>
      <c r="AD161">
        <v>2094.0408163265306</v>
      </c>
      <c r="AE161">
        <f t="shared" si="91"/>
        <v>3.3209851425446502</v>
      </c>
      <c r="AF161">
        <v>9886.3673469387759</v>
      </c>
      <c r="AG161">
        <f t="shared" si="92"/>
        <v>3.9950367434689285</v>
      </c>
      <c r="AH161" s="9">
        <v>569.16666666666697</v>
      </c>
      <c r="AI161" s="9">
        <f t="shared" si="99"/>
        <v>2.756001823801419</v>
      </c>
      <c r="AJ161">
        <v>70</v>
      </c>
      <c r="AK161" s="23" t="s">
        <v>430</v>
      </c>
      <c r="AL161" s="42">
        <v>53.2941466273667</v>
      </c>
      <c r="AM161" s="24">
        <v>0.23</v>
      </c>
      <c r="AN161" s="34">
        <f t="shared" si="100"/>
        <v>8.9905111439397931E-2</v>
      </c>
      <c r="AO161">
        <v>2011</v>
      </c>
      <c r="AP161">
        <v>0</v>
      </c>
      <c r="AQ161">
        <v>85</v>
      </c>
      <c r="AR161">
        <v>80</v>
      </c>
      <c r="AS161">
        <f t="shared" si="89"/>
        <v>0</v>
      </c>
      <c r="AT161">
        <f t="shared" si="101"/>
        <v>0</v>
      </c>
      <c r="AU161">
        <f t="shared" si="102"/>
        <v>0</v>
      </c>
      <c r="AV161">
        <f t="shared" si="103"/>
        <v>0</v>
      </c>
      <c r="AW161">
        <f t="shared" si="104"/>
        <v>0</v>
      </c>
      <c r="AX161">
        <f t="shared" si="105"/>
        <v>0</v>
      </c>
      <c r="AY161">
        <f t="shared" si="106"/>
        <v>0</v>
      </c>
      <c r="AZ161">
        <f t="shared" si="107"/>
        <v>1</v>
      </c>
      <c r="BA161">
        <f t="shared" si="108"/>
        <v>0</v>
      </c>
      <c r="BB161">
        <f t="shared" si="109"/>
        <v>0</v>
      </c>
      <c r="BC161">
        <f t="shared" si="110"/>
        <v>0</v>
      </c>
      <c r="BD161">
        <f t="shared" si="111"/>
        <v>0</v>
      </c>
      <c r="BE161">
        <f t="shared" si="112"/>
        <v>0</v>
      </c>
      <c r="BF161">
        <f t="shared" si="113"/>
        <v>0</v>
      </c>
      <c r="BG161">
        <f t="shared" si="114"/>
        <v>0</v>
      </c>
      <c r="BH161">
        <f t="shared" si="115"/>
        <v>0</v>
      </c>
      <c r="BI161">
        <f t="shared" si="116"/>
        <v>0</v>
      </c>
    </row>
    <row r="162" spans="1:61" x14ac:dyDescent="0.35">
      <c r="A162" t="s">
        <v>196</v>
      </c>
      <c r="B162" s="1">
        <v>37894</v>
      </c>
      <c r="C162" t="s">
        <v>431</v>
      </c>
      <c r="D162" t="s">
        <v>163</v>
      </c>
      <c r="E162" t="s">
        <v>432</v>
      </c>
      <c r="F162" t="s">
        <v>59</v>
      </c>
      <c r="G162" t="s">
        <v>125</v>
      </c>
      <c r="H162" s="139">
        <f t="shared" si="90"/>
        <v>1</v>
      </c>
      <c r="I162" t="s">
        <v>234</v>
      </c>
      <c r="J162" t="s">
        <v>248</v>
      </c>
      <c r="K162" s="2">
        <f t="shared" si="93"/>
        <v>5</v>
      </c>
      <c r="L162">
        <v>520000000</v>
      </c>
      <c r="M162" s="2">
        <f t="shared" si="94"/>
        <v>8.7160033436347994</v>
      </c>
      <c r="N162">
        <f t="shared" si="117"/>
        <v>520000000</v>
      </c>
      <c r="O162">
        <v>0</v>
      </c>
      <c r="P162" s="1">
        <v>38717</v>
      </c>
      <c r="Q162" s="89">
        <f t="shared" si="95"/>
        <v>2005</v>
      </c>
      <c r="R162" t="s">
        <v>114</v>
      </c>
      <c r="S162">
        <v>893000000</v>
      </c>
      <c r="T162" s="21">
        <f t="shared" si="86"/>
        <v>2.2547945205479452</v>
      </c>
      <c r="U162">
        <v>342.74</v>
      </c>
      <c r="V162">
        <f t="shared" si="96"/>
        <v>2.5362300726332561</v>
      </c>
      <c r="W162">
        <v>1935</v>
      </c>
      <c r="X162">
        <v>68</v>
      </c>
      <c r="Y162">
        <f t="shared" si="97"/>
        <v>1.8388490907372552</v>
      </c>
      <c r="Z162" s="45">
        <v>2.3199999999999998</v>
      </c>
      <c r="AA162" s="9">
        <f t="shared" si="87"/>
        <v>373000000</v>
      </c>
      <c r="AB162" s="15">
        <f t="shared" si="88"/>
        <v>0.7173076923076922</v>
      </c>
      <c r="AC162" s="34">
        <f t="shared" si="98"/>
        <v>0.23484811525374724</v>
      </c>
      <c r="AD162">
        <v>2094.0408163265306</v>
      </c>
      <c r="AE162">
        <f t="shared" si="91"/>
        <v>3.3209851425446502</v>
      </c>
      <c r="AF162">
        <v>9886.3673469387759</v>
      </c>
      <c r="AG162">
        <f t="shared" si="92"/>
        <v>3.9950367434689285</v>
      </c>
      <c r="AH162" s="9">
        <v>569.16666666666697</v>
      </c>
      <c r="AI162" s="9">
        <f t="shared" si="99"/>
        <v>2.756001823801419</v>
      </c>
      <c r="AJ162">
        <v>70</v>
      </c>
      <c r="AK162" s="23" t="s">
        <v>166</v>
      </c>
      <c r="AL162" s="42">
        <v>53.270504198897903</v>
      </c>
      <c r="AM162" s="24">
        <v>0.25</v>
      </c>
      <c r="AN162" s="34">
        <f t="shared" si="100"/>
        <v>9.691001300805642E-2</v>
      </c>
      <c r="AO162">
        <v>2011</v>
      </c>
      <c r="AP162">
        <v>0</v>
      </c>
      <c r="AQ162">
        <v>85</v>
      </c>
      <c r="AR162">
        <v>80</v>
      </c>
      <c r="AS162">
        <f t="shared" si="89"/>
        <v>0</v>
      </c>
      <c r="AT162">
        <f t="shared" si="101"/>
        <v>0</v>
      </c>
      <c r="AU162">
        <f t="shared" si="102"/>
        <v>0</v>
      </c>
      <c r="AV162">
        <f t="shared" si="103"/>
        <v>0</v>
      </c>
      <c r="AW162">
        <f t="shared" si="104"/>
        <v>0</v>
      </c>
      <c r="AX162">
        <f t="shared" si="105"/>
        <v>0</v>
      </c>
      <c r="AY162">
        <f t="shared" si="106"/>
        <v>0</v>
      </c>
      <c r="AZ162">
        <f t="shared" si="107"/>
        <v>1</v>
      </c>
      <c r="BA162">
        <f t="shared" si="108"/>
        <v>0</v>
      </c>
      <c r="BB162">
        <f t="shared" si="109"/>
        <v>0</v>
      </c>
      <c r="BC162">
        <f t="shared" si="110"/>
        <v>0</v>
      </c>
      <c r="BD162">
        <f t="shared" si="111"/>
        <v>0</v>
      </c>
      <c r="BE162">
        <f t="shared" si="112"/>
        <v>0</v>
      </c>
      <c r="BF162">
        <f t="shared" si="113"/>
        <v>0</v>
      </c>
      <c r="BG162">
        <f t="shared" si="114"/>
        <v>0</v>
      </c>
      <c r="BH162">
        <f t="shared" si="115"/>
        <v>0</v>
      </c>
      <c r="BI162">
        <f t="shared" si="116"/>
        <v>0</v>
      </c>
    </row>
    <row r="163" spans="1:61" x14ac:dyDescent="0.35">
      <c r="A163" t="s">
        <v>51</v>
      </c>
      <c r="B163" s="1">
        <v>39776</v>
      </c>
      <c r="C163" t="s">
        <v>433</v>
      </c>
      <c r="D163" t="s">
        <v>434</v>
      </c>
      <c r="E163" t="s">
        <v>425</v>
      </c>
      <c r="F163" t="s">
        <v>59</v>
      </c>
      <c r="G163" t="s">
        <v>125</v>
      </c>
      <c r="H163" s="139">
        <f t="shared" si="90"/>
        <v>1</v>
      </c>
      <c r="I163" t="s">
        <v>234</v>
      </c>
      <c r="J163" t="s">
        <v>248</v>
      </c>
      <c r="K163" s="2">
        <f t="shared" si="93"/>
        <v>5</v>
      </c>
      <c r="L163">
        <v>800000000</v>
      </c>
      <c r="M163" s="2">
        <f t="shared" si="94"/>
        <v>8.9030899869919438</v>
      </c>
      <c r="N163">
        <f t="shared" si="117"/>
        <v>800000000</v>
      </c>
      <c r="O163">
        <v>0</v>
      </c>
      <c r="P163" s="1">
        <v>42451</v>
      </c>
      <c r="Q163" s="89">
        <f t="shared" si="95"/>
        <v>2016</v>
      </c>
      <c r="R163" t="s">
        <v>152</v>
      </c>
      <c r="S163">
        <v>690000000</v>
      </c>
      <c r="T163" s="21">
        <f t="shared" si="86"/>
        <v>7.3287671232876717</v>
      </c>
      <c r="U163">
        <v>1434.12</v>
      </c>
      <c r="V163">
        <f t="shared" si="96"/>
        <v>3.1568882168601933</v>
      </c>
      <c r="W163">
        <v>1916</v>
      </c>
      <c r="X163">
        <v>92</v>
      </c>
      <c r="Y163">
        <f t="shared" si="97"/>
        <v>1.968482948553935</v>
      </c>
      <c r="Z163" s="45">
        <v>2.5099999999999998</v>
      </c>
      <c r="AA163" s="9">
        <f t="shared" si="87"/>
        <v>-110000000</v>
      </c>
      <c r="AB163" s="15">
        <f t="shared" si="88"/>
        <v>-0.13749999999999996</v>
      </c>
      <c r="AC163" s="34">
        <f t="shared" si="98"/>
        <v>-6.4240896254688248E-2</v>
      </c>
      <c r="AD163">
        <v>1543.2098765432097</v>
      </c>
      <c r="AE163">
        <f t="shared" si="91"/>
        <v>3.1884249941294067</v>
      </c>
      <c r="AF163">
        <v>8692.1296296296296</v>
      </c>
      <c r="AG163">
        <f t="shared" si="92"/>
        <v>3.9391261945252749</v>
      </c>
      <c r="AH163" s="9">
        <v>605.16666666666697</v>
      </c>
      <c r="AI163" s="9">
        <f t="shared" si="99"/>
        <v>2.7825920506710684</v>
      </c>
      <c r="AJ163">
        <v>77</v>
      </c>
      <c r="AK163" s="23" t="s">
        <v>435</v>
      </c>
      <c r="AL163" s="42">
        <v>47.830384300274197</v>
      </c>
      <c r="AM163" s="24">
        <v>1.41</v>
      </c>
      <c r="AN163" s="34">
        <f t="shared" si="100"/>
        <v>0.3820170425748684</v>
      </c>
      <c r="AO163">
        <v>2011</v>
      </c>
      <c r="AP163">
        <v>0</v>
      </c>
      <c r="AQ163">
        <v>90</v>
      </c>
      <c r="AR163">
        <v>70</v>
      </c>
      <c r="AS163">
        <f t="shared" si="89"/>
        <v>0</v>
      </c>
      <c r="AT163">
        <f t="shared" si="101"/>
        <v>0</v>
      </c>
      <c r="AU163">
        <f t="shared" si="102"/>
        <v>0</v>
      </c>
      <c r="AV163">
        <f t="shared" si="103"/>
        <v>0</v>
      </c>
      <c r="AW163">
        <f t="shared" si="104"/>
        <v>0</v>
      </c>
      <c r="AX163">
        <f t="shared" si="105"/>
        <v>0</v>
      </c>
      <c r="AY163">
        <f t="shared" si="106"/>
        <v>0</v>
      </c>
      <c r="AZ163">
        <f t="shared" si="107"/>
        <v>0</v>
      </c>
      <c r="BA163">
        <f t="shared" si="108"/>
        <v>0</v>
      </c>
      <c r="BB163">
        <f t="shared" si="109"/>
        <v>0</v>
      </c>
      <c r="BC163">
        <f t="shared" si="110"/>
        <v>1</v>
      </c>
      <c r="BD163">
        <f t="shared" si="111"/>
        <v>0</v>
      </c>
      <c r="BE163">
        <f t="shared" si="112"/>
        <v>0</v>
      </c>
      <c r="BF163">
        <f t="shared" si="113"/>
        <v>0</v>
      </c>
      <c r="BG163">
        <f t="shared" si="114"/>
        <v>0</v>
      </c>
      <c r="BH163">
        <f t="shared" si="115"/>
        <v>0</v>
      </c>
      <c r="BI163">
        <f t="shared" si="116"/>
        <v>0</v>
      </c>
    </row>
    <row r="164" spans="1:61" x14ac:dyDescent="0.35">
      <c r="A164" t="s">
        <v>51</v>
      </c>
      <c r="B164" s="1">
        <v>39952</v>
      </c>
      <c r="C164" t="s">
        <v>436</v>
      </c>
      <c r="D164" t="s">
        <v>4</v>
      </c>
      <c r="E164" s="26" t="s">
        <v>437</v>
      </c>
      <c r="F164" t="s">
        <v>4</v>
      </c>
      <c r="G164" t="s">
        <v>102</v>
      </c>
      <c r="H164" s="139">
        <f t="shared" si="90"/>
        <v>0</v>
      </c>
      <c r="I164" t="s">
        <v>234</v>
      </c>
      <c r="J164" t="s">
        <v>245</v>
      </c>
      <c r="K164" s="2">
        <f t="shared" si="93"/>
        <v>6</v>
      </c>
      <c r="L164">
        <v>46270000</v>
      </c>
      <c r="M164" s="2">
        <f t="shared" si="94"/>
        <v>7.6652994994998966</v>
      </c>
      <c r="N164">
        <f t="shared" si="117"/>
        <v>46270000</v>
      </c>
      <c r="O164">
        <v>0</v>
      </c>
      <c r="P164" s="1">
        <v>41786</v>
      </c>
      <c r="Q164" s="89">
        <f t="shared" si="95"/>
        <v>2014</v>
      </c>
      <c r="R164" t="s">
        <v>107</v>
      </c>
      <c r="S164">
        <v>150550000</v>
      </c>
      <c r="T164" s="21">
        <f t="shared" si="86"/>
        <v>5.0246575342465754</v>
      </c>
      <c r="U164">
        <v>0</v>
      </c>
      <c r="V164">
        <f t="shared" si="96"/>
        <v>0</v>
      </c>
      <c r="W164">
        <v>1889</v>
      </c>
      <c r="X164">
        <v>120</v>
      </c>
      <c r="Y164">
        <f t="shared" si="97"/>
        <v>2.0827853703164503</v>
      </c>
      <c r="Z164" s="45">
        <v>3.59</v>
      </c>
      <c r="AA164" s="9">
        <f t="shared" si="87"/>
        <v>104280000</v>
      </c>
      <c r="AB164" s="15">
        <f t="shared" si="88"/>
        <v>2.2537281175707804</v>
      </c>
      <c r="AC164" s="34">
        <f t="shared" si="98"/>
        <v>0.5123812603488811</v>
      </c>
      <c r="AD164">
        <v>1543.2098765432097</v>
      </c>
      <c r="AE164">
        <f t="shared" si="91"/>
        <v>3.1884249941294067</v>
      </c>
      <c r="AF164">
        <v>8692.1296296296296</v>
      </c>
      <c r="AG164">
        <f t="shared" si="92"/>
        <v>3.9391261945252749</v>
      </c>
      <c r="AH164" s="9">
        <v>0</v>
      </c>
      <c r="AI164" s="9">
        <f t="shared" si="99"/>
        <v>0</v>
      </c>
      <c r="AJ164">
        <v>95.9</v>
      </c>
      <c r="AK164" s="23" t="s">
        <v>290</v>
      </c>
      <c r="AL164" s="42">
        <v>52.700584961948799</v>
      </c>
      <c r="AM164" s="24">
        <v>1.1100000000000001</v>
      </c>
      <c r="AN164" s="34">
        <f t="shared" si="100"/>
        <v>0.32428245529769273</v>
      </c>
      <c r="AO164">
        <v>2003</v>
      </c>
      <c r="AP164">
        <v>6</v>
      </c>
      <c r="AQ164">
        <v>70</v>
      </c>
      <c r="AR164">
        <v>70</v>
      </c>
      <c r="AS164">
        <f t="shared" si="89"/>
        <v>0</v>
      </c>
      <c r="AT164">
        <f t="shared" si="101"/>
        <v>0</v>
      </c>
      <c r="AU164">
        <f t="shared" si="102"/>
        <v>0</v>
      </c>
      <c r="AV164">
        <f t="shared" si="103"/>
        <v>0</v>
      </c>
      <c r="AW164">
        <f t="shared" si="104"/>
        <v>0</v>
      </c>
      <c r="AX164">
        <f t="shared" si="105"/>
        <v>1</v>
      </c>
      <c r="AY164">
        <f t="shared" si="106"/>
        <v>0</v>
      </c>
      <c r="AZ164">
        <f t="shared" si="107"/>
        <v>0</v>
      </c>
      <c r="BA164">
        <f t="shared" si="108"/>
        <v>0</v>
      </c>
      <c r="BB164">
        <f t="shared" si="109"/>
        <v>0</v>
      </c>
      <c r="BC164">
        <f t="shared" si="110"/>
        <v>0</v>
      </c>
      <c r="BD164">
        <f t="shared" si="111"/>
        <v>0</v>
      </c>
      <c r="BE164">
        <f t="shared" si="112"/>
        <v>0</v>
      </c>
      <c r="BF164">
        <f t="shared" si="113"/>
        <v>0</v>
      </c>
      <c r="BG164">
        <f t="shared" si="114"/>
        <v>0</v>
      </c>
      <c r="BH164">
        <f t="shared" si="115"/>
        <v>0</v>
      </c>
      <c r="BI164">
        <f t="shared" si="116"/>
        <v>0</v>
      </c>
    </row>
    <row r="165" spans="1:61" x14ac:dyDescent="0.35">
      <c r="A165" t="s">
        <v>51</v>
      </c>
      <c r="B165" s="1">
        <v>38169</v>
      </c>
      <c r="C165" t="s">
        <v>438</v>
      </c>
      <c r="D165" t="s">
        <v>4</v>
      </c>
      <c r="E165" s="26" t="s">
        <v>439</v>
      </c>
      <c r="F165" t="s">
        <v>4</v>
      </c>
      <c r="G165" t="s">
        <v>102</v>
      </c>
      <c r="H165" s="139">
        <f t="shared" si="90"/>
        <v>0</v>
      </c>
      <c r="I165" t="s">
        <v>234</v>
      </c>
      <c r="J165" t="s">
        <v>235</v>
      </c>
      <c r="K165" s="2">
        <f t="shared" si="93"/>
        <v>1</v>
      </c>
      <c r="L165">
        <v>275000000</v>
      </c>
      <c r="M165" s="2">
        <f t="shared" si="94"/>
        <v>8.4393326938302629</v>
      </c>
      <c r="N165">
        <f t="shared" si="117"/>
        <v>275000000</v>
      </c>
      <c r="O165">
        <v>0</v>
      </c>
      <c r="P165" s="1">
        <v>39233</v>
      </c>
      <c r="Q165" s="89">
        <f t="shared" si="95"/>
        <v>2007</v>
      </c>
      <c r="R165" t="s">
        <v>107</v>
      </c>
      <c r="S165">
        <v>690350000</v>
      </c>
      <c r="T165" s="21">
        <f t="shared" si="86"/>
        <v>2.9150684931506849</v>
      </c>
      <c r="U165">
        <v>0</v>
      </c>
      <c r="V165">
        <f t="shared" si="96"/>
        <v>0</v>
      </c>
      <c r="W165">
        <v>1898</v>
      </c>
      <c r="X165">
        <v>106</v>
      </c>
      <c r="Y165">
        <f t="shared" si="97"/>
        <v>2.0293837776852097</v>
      </c>
      <c r="Z165" s="45">
        <v>3.59</v>
      </c>
      <c r="AA165" s="9">
        <f t="shared" si="87"/>
        <v>415350000</v>
      </c>
      <c r="AB165" s="15">
        <f t="shared" si="88"/>
        <v>1.5103636363636364</v>
      </c>
      <c r="AC165" s="34">
        <f t="shared" si="98"/>
        <v>0.39973663535655063</v>
      </c>
      <c r="AD165">
        <v>1543.2098765432097</v>
      </c>
      <c r="AE165">
        <f t="shared" si="91"/>
        <v>3.1884249941294067</v>
      </c>
      <c r="AF165">
        <v>8692.1296296296296</v>
      </c>
      <c r="AG165">
        <f t="shared" si="92"/>
        <v>3.9391261945252749</v>
      </c>
      <c r="AH165" s="9">
        <v>0</v>
      </c>
      <c r="AI165" s="9">
        <f t="shared" si="99"/>
        <v>0</v>
      </c>
      <c r="AJ165">
        <v>70</v>
      </c>
      <c r="AK165" s="23" t="s">
        <v>93</v>
      </c>
      <c r="AL165" s="42">
        <v>52.379377176281302</v>
      </c>
      <c r="AM165" s="24">
        <v>0.36</v>
      </c>
      <c r="AN165" s="34">
        <f t="shared" si="100"/>
        <v>0.13353890837021748</v>
      </c>
      <c r="AO165">
        <v>2003</v>
      </c>
      <c r="AP165">
        <v>1</v>
      </c>
      <c r="AQ165">
        <v>70</v>
      </c>
      <c r="AR165">
        <v>70</v>
      </c>
      <c r="AS165">
        <f t="shared" si="89"/>
        <v>0</v>
      </c>
      <c r="AT165">
        <f t="shared" si="101"/>
        <v>0</v>
      </c>
      <c r="AU165">
        <f t="shared" si="102"/>
        <v>0</v>
      </c>
      <c r="AV165">
        <f t="shared" si="103"/>
        <v>0</v>
      </c>
      <c r="AW165">
        <f t="shared" si="104"/>
        <v>0</v>
      </c>
      <c r="AX165">
        <f t="shared" si="105"/>
        <v>1</v>
      </c>
      <c r="AY165">
        <f t="shared" si="106"/>
        <v>0</v>
      </c>
      <c r="AZ165">
        <f t="shared" si="107"/>
        <v>0</v>
      </c>
      <c r="BA165">
        <f t="shared" si="108"/>
        <v>0</v>
      </c>
      <c r="BB165">
        <f t="shared" si="109"/>
        <v>0</v>
      </c>
      <c r="BC165">
        <f t="shared" si="110"/>
        <v>0</v>
      </c>
      <c r="BD165">
        <f t="shared" si="111"/>
        <v>0</v>
      </c>
      <c r="BE165">
        <f t="shared" si="112"/>
        <v>0</v>
      </c>
      <c r="BF165">
        <f t="shared" si="113"/>
        <v>0</v>
      </c>
      <c r="BG165">
        <f t="shared" si="114"/>
        <v>0</v>
      </c>
      <c r="BH165">
        <f t="shared" si="115"/>
        <v>0</v>
      </c>
      <c r="BI165">
        <f t="shared" si="116"/>
        <v>0</v>
      </c>
    </row>
    <row r="166" spans="1:61" x14ac:dyDescent="0.35">
      <c r="A166" t="s">
        <v>51</v>
      </c>
      <c r="B166" s="1">
        <v>38001</v>
      </c>
      <c r="C166" t="s">
        <v>440</v>
      </c>
      <c r="D166" t="s">
        <v>1</v>
      </c>
      <c r="E166" s="26" t="s">
        <v>439</v>
      </c>
      <c r="F166" t="s">
        <v>4</v>
      </c>
      <c r="G166" t="s">
        <v>125</v>
      </c>
      <c r="H166" s="139">
        <f t="shared" si="90"/>
        <v>1</v>
      </c>
      <c r="I166" s="91" t="s">
        <v>234</v>
      </c>
      <c r="J166" t="s">
        <v>245</v>
      </c>
      <c r="K166" s="2">
        <f t="shared" si="93"/>
        <v>6</v>
      </c>
      <c r="L166">
        <v>197318285</v>
      </c>
      <c r="M166" s="2">
        <f t="shared" si="94"/>
        <v>8.2951673321181332</v>
      </c>
      <c r="N166">
        <f t="shared" si="117"/>
        <v>197318285</v>
      </c>
      <c r="O166">
        <v>0</v>
      </c>
      <c r="P166" s="1">
        <v>41918</v>
      </c>
      <c r="Q166" s="89">
        <f t="shared" si="95"/>
        <v>2014</v>
      </c>
      <c r="R166" t="s">
        <v>107</v>
      </c>
      <c r="S166">
        <v>1160000000</v>
      </c>
      <c r="T166" s="21">
        <f t="shared" si="86"/>
        <v>10.731506849315069</v>
      </c>
      <c r="U166">
        <v>416.73</v>
      </c>
      <c r="V166">
        <f t="shared" si="96"/>
        <v>2.6208956659919629</v>
      </c>
      <c r="W166">
        <v>1898</v>
      </c>
      <c r="X166">
        <v>106</v>
      </c>
      <c r="Y166">
        <f t="shared" si="97"/>
        <v>2.0293837776852097</v>
      </c>
      <c r="Z166" s="45">
        <v>3.65</v>
      </c>
      <c r="AA166" s="9">
        <f t="shared" si="87"/>
        <v>962681715</v>
      </c>
      <c r="AB166" s="15">
        <f t="shared" si="88"/>
        <v>4.878826688565634</v>
      </c>
      <c r="AC166" s="34">
        <f t="shared" si="98"/>
        <v>0.76929065710878552</v>
      </c>
      <c r="AD166">
        <v>1543.2098765432097</v>
      </c>
      <c r="AE166">
        <f t="shared" si="91"/>
        <v>3.1884249941294067</v>
      </c>
      <c r="AF166">
        <v>8692.1296296296296</v>
      </c>
      <c r="AG166">
        <f t="shared" si="92"/>
        <v>3.9391261945252749</v>
      </c>
      <c r="AH166" s="9">
        <v>217.833333333333</v>
      </c>
      <c r="AI166" s="9">
        <f t="shared" si="99"/>
        <v>2.3401134757058348</v>
      </c>
      <c r="AJ166">
        <v>70</v>
      </c>
      <c r="AK166" s="23" t="s">
        <v>243</v>
      </c>
      <c r="AL166" s="42">
        <v>44.9782573439335</v>
      </c>
      <c r="AM166" s="24">
        <v>0.74</v>
      </c>
      <c r="AN166" s="34">
        <f t="shared" si="100"/>
        <v>0.24054924828259971</v>
      </c>
      <c r="AO166">
        <v>2003</v>
      </c>
      <c r="AP166">
        <v>1</v>
      </c>
      <c r="AQ166">
        <v>70</v>
      </c>
      <c r="AR166">
        <v>50</v>
      </c>
      <c r="AS166">
        <f t="shared" si="89"/>
        <v>0</v>
      </c>
      <c r="AT166">
        <f t="shared" si="101"/>
        <v>0</v>
      </c>
      <c r="AU166">
        <f t="shared" si="102"/>
        <v>0</v>
      </c>
      <c r="AV166">
        <f t="shared" si="103"/>
        <v>1</v>
      </c>
      <c r="AW166">
        <f t="shared" si="104"/>
        <v>0</v>
      </c>
      <c r="AX166">
        <f t="shared" si="105"/>
        <v>0</v>
      </c>
      <c r="AY166">
        <f t="shared" si="106"/>
        <v>0</v>
      </c>
      <c r="AZ166">
        <f t="shared" si="107"/>
        <v>0</v>
      </c>
      <c r="BA166">
        <f t="shared" si="108"/>
        <v>0</v>
      </c>
      <c r="BB166">
        <f t="shared" si="109"/>
        <v>0</v>
      </c>
      <c r="BC166">
        <f t="shared" si="110"/>
        <v>0</v>
      </c>
      <c r="BD166">
        <f t="shared" si="111"/>
        <v>0</v>
      </c>
      <c r="BE166">
        <f t="shared" si="112"/>
        <v>0</v>
      </c>
      <c r="BF166">
        <f t="shared" si="113"/>
        <v>0</v>
      </c>
      <c r="BG166">
        <f t="shared" si="114"/>
        <v>0</v>
      </c>
      <c r="BH166">
        <f t="shared" si="115"/>
        <v>0</v>
      </c>
      <c r="BI166">
        <f t="shared" si="116"/>
        <v>0</v>
      </c>
    </row>
    <row r="167" spans="1:61" x14ac:dyDescent="0.35">
      <c r="A167" t="s">
        <v>352</v>
      </c>
      <c r="B167" s="1">
        <v>36958</v>
      </c>
      <c r="C167" t="s">
        <v>441</v>
      </c>
      <c r="D167" t="s">
        <v>45</v>
      </c>
      <c r="E167" t="s">
        <v>442</v>
      </c>
      <c r="F167" t="s">
        <v>59</v>
      </c>
      <c r="G167" t="s">
        <v>125</v>
      </c>
      <c r="H167" s="139">
        <f t="shared" si="90"/>
        <v>1</v>
      </c>
      <c r="I167" t="s">
        <v>234</v>
      </c>
      <c r="J167" t="s">
        <v>178</v>
      </c>
      <c r="K167" s="2">
        <f t="shared" si="93"/>
        <v>9</v>
      </c>
      <c r="L167">
        <v>12000000</v>
      </c>
      <c r="M167" s="2">
        <f t="shared" si="94"/>
        <v>7.0791812460476251</v>
      </c>
      <c r="N167">
        <f t="shared" si="117"/>
        <v>12000000</v>
      </c>
      <c r="O167">
        <v>0</v>
      </c>
      <c r="P167" s="1">
        <v>37223</v>
      </c>
      <c r="Q167" s="89">
        <f t="shared" si="95"/>
        <v>2001</v>
      </c>
      <c r="R167" t="s">
        <v>107</v>
      </c>
      <c r="S167">
        <v>46000000</v>
      </c>
      <c r="T167" s="21">
        <f t="shared" si="86"/>
        <v>0.72602739726027399</v>
      </c>
      <c r="U167">
        <v>5897.96</v>
      </c>
      <c r="V167">
        <f t="shared" si="96"/>
        <v>3.7707754512906644</v>
      </c>
      <c r="W167">
        <v>1947</v>
      </c>
      <c r="X167">
        <v>54</v>
      </c>
      <c r="Y167">
        <f t="shared" si="97"/>
        <v>1.7403626894942439</v>
      </c>
      <c r="Z167" s="45">
        <v>2.3199999999999998</v>
      </c>
      <c r="AA167" s="9">
        <f t="shared" si="87"/>
        <v>34000000</v>
      </c>
      <c r="AB167" s="15">
        <f t="shared" si="88"/>
        <v>2.8333333333333335</v>
      </c>
      <c r="AC167" s="34">
        <f t="shared" si="98"/>
        <v>0.58357658563394932</v>
      </c>
      <c r="AD167">
        <v>1581.451</v>
      </c>
      <c r="AE167">
        <f t="shared" si="91"/>
        <v>3.1990557401914899</v>
      </c>
      <c r="AF167">
        <v>6004.7560000000003</v>
      </c>
      <c r="AG167">
        <f t="shared" si="92"/>
        <v>3.7784953647769717</v>
      </c>
      <c r="AH167" s="9">
        <v>132</v>
      </c>
      <c r="AI167" s="9">
        <f t="shared" si="99"/>
        <v>2.1238516409670858</v>
      </c>
      <c r="AJ167">
        <v>85</v>
      </c>
      <c r="AK167" s="23" t="s">
        <v>305</v>
      </c>
      <c r="AL167" s="42">
        <v>35.608384832026097</v>
      </c>
      <c r="AM167" s="24">
        <v>-0.11</v>
      </c>
      <c r="AN167" s="34">
        <f t="shared" si="100"/>
        <v>-5.0609993355087209E-2</v>
      </c>
      <c r="AO167">
        <v>1945</v>
      </c>
      <c r="AP167">
        <v>56</v>
      </c>
      <c r="AQ167">
        <v>70</v>
      </c>
      <c r="AR167">
        <v>70</v>
      </c>
      <c r="AS167">
        <f t="shared" si="89"/>
        <v>0</v>
      </c>
      <c r="AT167">
        <f t="shared" si="101"/>
        <v>1</v>
      </c>
      <c r="AU167">
        <f t="shared" si="102"/>
        <v>0</v>
      </c>
      <c r="AV167">
        <f t="shared" si="103"/>
        <v>0</v>
      </c>
      <c r="AW167">
        <f t="shared" si="104"/>
        <v>0</v>
      </c>
      <c r="AX167">
        <f t="shared" si="105"/>
        <v>0</v>
      </c>
      <c r="AY167">
        <f t="shared" si="106"/>
        <v>0</v>
      </c>
      <c r="AZ167">
        <f t="shared" si="107"/>
        <v>0</v>
      </c>
      <c r="BA167">
        <f t="shared" si="108"/>
        <v>0</v>
      </c>
      <c r="BB167">
        <f t="shared" si="109"/>
        <v>0</v>
      </c>
      <c r="BC167">
        <f t="shared" si="110"/>
        <v>0</v>
      </c>
      <c r="BD167">
        <f t="shared" si="111"/>
        <v>0</v>
      </c>
      <c r="BE167">
        <f t="shared" si="112"/>
        <v>0</v>
      </c>
      <c r="BF167">
        <f t="shared" si="113"/>
        <v>0</v>
      </c>
      <c r="BG167">
        <f t="shared" si="114"/>
        <v>0</v>
      </c>
      <c r="BH167">
        <f t="shared" si="115"/>
        <v>0</v>
      </c>
      <c r="BI167">
        <f t="shared" si="116"/>
        <v>0</v>
      </c>
    </row>
    <row r="168" spans="1:61" x14ac:dyDescent="0.35">
      <c r="A168" t="s">
        <v>51</v>
      </c>
      <c r="B168" s="1">
        <v>36857</v>
      </c>
      <c r="C168" t="s">
        <v>443</v>
      </c>
      <c r="D168" t="s">
        <v>59</v>
      </c>
      <c r="E168" t="s">
        <v>442</v>
      </c>
      <c r="F168" t="s">
        <v>59</v>
      </c>
      <c r="G168" t="s">
        <v>102</v>
      </c>
      <c r="H168" s="139">
        <f t="shared" si="90"/>
        <v>0</v>
      </c>
      <c r="I168" t="s">
        <v>234</v>
      </c>
      <c r="J168" t="s">
        <v>178</v>
      </c>
      <c r="K168" s="2">
        <f t="shared" si="93"/>
        <v>9</v>
      </c>
      <c r="L168">
        <v>10000000</v>
      </c>
      <c r="M168" s="2">
        <f t="shared" si="94"/>
        <v>7</v>
      </c>
      <c r="N168">
        <f t="shared" si="117"/>
        <v>10000000</v>
      </c>
      <c r="O168">
        <v>0</v>
      </c>
      <c r="P168" s="1">
        <v>37986</v>
      </c>
      <c r="Q168" s="89">
        <f t="shared" si="95"/>
        <v>2003</v>
      </c>
      <c r="R168" t="s">
        <v>107</v>
      </c>
      <c r="S168">
        <v>1720000</v>
      </c>
      <c r="T168" s="21">
        <f t="shared" si="86"/>
        <v>3.0931506849315067</v>
      </c>
      <c r="U168">
        <v>0</v>
      </c>
      <c r="V168">
        <f t="shared" si="96"/>
        <v>0</v>
      </c>
      <c r="W168">
        <v>1994</v>
      </c>
      <c r="X168">
        <v>6</v>
      </c>
      <c r="Y168">
        <f t="shared" si="97"/>
        <v>0.84509804001425681</v>
      </c>
      <c r="Z168" s="45">
        <v>3.29</v>
      </c>
      <c r="AA168" s="9">
        <f t="shared" si="87"/>
        <v>-8280000</v>
      </c>
      <c r="AB168" s="15">
        <f t="shared" si="88"/>
        <v>-0.82800000000000007</v>
      </c>
      <c r="AC168" s="34">
        <f t="shared" si="98"/>
        <v>-0.76447155309245129</v>
      </c>
      <c r="AD168">
        <v>1581.451</v>
      </c>
      <c r="AE168">
        <f t="shared" si="91"/>
        <v>3.1990557401914899</v>
      </c>
      <c r="AF168">
        <v>6004.7560000000003</v>
      </c>
      <c r="AG168">
        <f t="shared" si="92"/>
        <v>3.7784953647769717</v>
      </c>
      <c r="AH168" s="9">
        <v>0</v>
      </c>
      <c r="AI168" s="9">
        <f t="shared" si="99"/>
        <v>0</v>
      </c>
      <c r="AJ168">
        <v>85</v>
      </c>
      <c r="AK168" s="23" t="s">
        <v>78</v>
      </c>
      <c r="AL168" s="42">
        <v>35.433808146393098</v>
      </c>
      <c r="AM168" s="24">
        <v>-0.18</v>
      </c>
      <c r="AN168" s="34">
        <f t="shared" si="100"/>
        <v>-8.6186147616283279E-2</v>
      </c>
      <c r="AO168">
        <v>1945</v>
      </c>
      <c r="AP168">
        <v>55</v>
      </c>
      <c r="AQ168">
        <v>70</v>
      </c>
      <c r="AR168">
        <v>70</v>
      </c>
      <c r="AS168">
        <f t="shared" si="89"/>
        <v>0</v>
      </c>
      <c r="AT168">
        <f t="shared" si="101"/>
        <v>0</v>
      </c>
      <c r="AU168">
        <f t="shared" si="102"/>
        <v>1</v>
      </c>
      <c r="AV168">
        <f t="shared" si="103"/>
        <v>0</v>
      </c>
      <c r="AW168">
        <f t="shared" si="104"/>
        <v>0</v>
      </c>
      <c r="AX168">
        <f t="shared" si="105"/>
        <v>0</v>
      </c>
      <c r="AY168">
        <f t="shared" si="106"/>
        <v>0</v>
      </c>
      <c r="AZ168">
        <f t="shared" si="107"/>
        <v>0</v>
      </c>
      <c r="BA168">
        <f t="shared" si="108"/>
        <v>0</v>
      </c>
      <c r="BB168">
        <f t="shared" si="109"/>
        <v>0</v>
      </c>
      <c r="BC168">
        <f t="shared" si="110"/>
        <v>0</v>
      </c>
      <c r="BD168">
        <f t="shared" si="111"/>
        <v>0</v>
      </c>
      <c r="BE168">
        <f t="shared" si="112"/>
        <v>0</v>
      </c>
      <c r="BF168">
        <f t="shared" si="113"/>
        <v>0</v>
      </c>
      <c r="BG168">
        <f t="shared" si="114"/>
        <v>0</v>
      </c>
      <c r="BH168">
        <f t="shared" si="115"/>
        <v>0</v>
      </c>
      <c r="BI168">
        <f t="shared" si="116"/>
        <v>0</v>
      </c>
    </row>
    <row r="169" spans="1:61" x14ac:dyDescent="0.35">
      <c r="A169" t="s">
        <v>367</v>
      </c>
      <c r="B169" s="1">
        <v>39628</v>
      </c>
      <c r="C169" t="s">
        <v>444</v>
      </c>
      <c r="D169" t="s">
        <v>59</v>
      </c>
      <c r="E169" s="26" t="s">
        <v>445</v>
      </c>
      <c r="F169" t="s">
        <v>1</v>
      </c>
      <c r="G169" t="s">
        <v>125</v>
      </c>
      <c r="H169" s="139">
        <f t="shared" si="90"/>
        <v>1</v>
      </c>
      <c r="I169" t="s">
        <v>234</v>
      </c>
      <c r="J169" t="s">
        <v>178</v>
      </c>
      <c r="K169" s="2">
        <f t="shared" si="93"/>
        <v>9</v>
      </c>
      <c r="L169">
        <v>15000000</v>
      </c>
      <c r="M169" s="2">
        <f t="shared" si="94"/>
        <v>7.1760912590556813</v>
      </c>
      <c r="N169">
        <f t="shared" si="117"/>
        <v>15000000</v>
      </c>
      <c r="O169">
        <v>0</v>
      </c>
      <c r="P169" s="1">
        <v>42249</v>
      </c>
      <c r="Q169" s="89">
        <f t="shared" si="95"/>
        <v>2015</v>
      </c>
      <c r="R169" t="s">
        <v>338</v>
      </c>
      <c r="S169">
        <v>0</v>
      </c>
      <c r="T169" s="21">
        <f t="shared" si="86"/>
        <v>7.1808219178082195</v>
      </c>
      <c r="U169">
        <v>1153.8900000000001</v>
      </c>
      <c r="V169">
        <f t="shared" si="96"/>
        <v>3.0625406208792199</v>
      </c>
      <c r="W169">
        <v>2001</v>
      </c>
      <c r="X169">
        <v>7</v>
      </c>
      <c r="Y169">
        <f t="shared" si="97"/>
        <v>0.90308998699194354</v>
      </c>
      <c r="Z169" s="45">
        <v>3.27</v>
      </c>
      <c r="AA169" s="9">
        <f t="shared" si="87"/>
        <v>-15000000</v>
      </c>
      <c r="AB169" s="15">
        <f t="shared" si="88"/>
        <v>-1</v>
      </c>
      <c r="AC169" s="34">
        <f t="shared" si="98"/>
        <v>-1</v>
      </c>
      <c r="AD169">
        <v>1805.5555555555554</v>
      </c>
      <c r="AE169">
        <f t="shared" si="91"/>
        <v>3.2566108558755684</v>
      </c>
      <c r="AF169">
        <v>8472.2222222222208</v>
      </c>
      <c r="AG169">
        <f t="shared" si="92"/>
        <v>3.9279973385794986</v>
      </c>
      <c r="AH169" s="9">
        <v>742.83333333333303</v>
      </c>
      <c r="AI169" s="9">
        <f t="shared" si="99"/>
        <v>2.8714756364568856</v>
      </c>
      <c r="AJ169">
        <v>90.8</v>
      </c>
      <c r="AK169" s="23" t="s">
        <v>89</v>
      </c>
      <c r="AL169" s="42">
        <v>44.4007960521485</v>
      </c>
      <c r="AM169" s="24">
        <v>0.52</v>
      </c>
      <c r="AN169" s="34">
        <f t="shared" si="100"/>
        <v>0.18184358794477254</v>
      </c>
      <c r="AO169">
        <v>2001</v>
      </c>
      <c r="AP169">
        <v>7</v>
      </c>
      <c r="AQ169">
        <v>70</v>
      </c>
      <c r="AR169">
        <v>70</v>
      </c>
      <c r="AS169">
        <f t="shared" si="89"/>
        <v>1</v>
      </c>
      <c r="AT169">
        <f t="shared" si="101"/>
        <v>0</v>
      </c>
      <c r="AU169">
        <f t="shared" si="102"/>
        <v>1</v>
      </c>
      <c r="AV169">
        <f t="shared" si="103"/>
        <v>0</v>
      </c>
      <c r="AW169">
        <f t="shared" si="104"/>
        <v>0</v>
      </c>
      <c r="AX169">
        <f t="shared" si="105"/>
        <v>0</v>
      </c>
      <c r="AY169">
        <f t="shared" si="106"/>
        <v>0</v>
      </c>
      <c r="AZ169">
        <f t="shared" si="107"/>
        <v>0</v>
      </c>
      <c r="BA169">
        <f t="shared" si="108"/>
        <v>0</v>
      </c>
      <c r="BB169">
        <f t="shared" si="109"/>
        <v>0</v>
      </c>
      <c r="BC169">
        <f t="shared" si="110"/>
        <v>0</v>
      </c>
      <c r="BD169">
        <f t="shared" si="111"/>
        <v>0</v>
      </c>
      <c r="BE169">
        <f t="shared" si="112"/>
        <v>0</v>
      </c>
      <c r="BF169">
        <f t="shared" si="113"/>
        <v>0</v>
      </c>
      <c r="BG169">
        <f t="shared" si="114"/>
        <v>0</v>
      </c>
      <c r="BH169">
        <f t="shared" si="115"/>
        <v>0</v>
      </c>
      <c r="BI169">
        <f t="shared" si="116"/>
        <v>0</v>
      </c>
    </row>
    <row r="170" spans="1:61" x14ac:dyDescent="0.35">
      <c r="A170" t="s">
        <v>51</v>
      </c>
      <c r="B170" s="1">
        <v>42420</v>
      </c>
      <c r="C170" t="s">
        <v>446</v>
      </c>
      <c r="D170" t="s">
        <v>447</v>
      </c>
      <c r="E170" s="26" t="s">
        <v>448</v>
      </c>
      <c r="F170" t="s">
        <v>45</v>
      </c>
      <c r="G170" t="s">
        <v>125</v>
      </c>
      <c r="H170" s="139">
        <f t="shared" si="90"/>
        <v>1</v>
      </c>
      <c r="I170" t="s">
        <v>234</v>
      </c>
      <c r="J170" t="s">
        <v>449</v>
      </c>
      <c r="K170" s="2">
        <f t="shared" si="93"/>
        <v>3</v>
      </c>
      <c r="L170">
        <v>1000000000</v>
      </c>
      <c r="M170" s="2">
        <f t="shared" si="94"/>
        <v>9</v>
      </c>
      <c r="N170">
        <v>300000000</v>
      </c>
      <c r="O170">
        <v>700000000</v>
      </c>
      <c r="P170" s="1">
        <v>43418</v>
      </c>
      <c r="Q170" s="89">
        <f t="shared" si="95"/>
        <v>2018</v>
      </c>
      <c r="R170" t="s">
        <v>152</v>
      </c>
      <c r="S170">
        <v>1400000000</v>
      </c>
      <c r="T170" s="21">
        <f t="shared" si="86"/>
        <v>2.7342465753424658</v>
      </c>
      <c r="U170">
        <v>6087.84</v>
      </c>
      <c r="V170">
        <f t="shared" si="96"/>
        <v>3.7845345619950592</v>
      </c>
      <c r="W170">
        <v>2007</v>
      </c>
      <c r="X170">
        <v>9</v>
      </c>
      <c r="Y170">
        <f t="shared" si="97"/>
        <v>1</v>
      </c>
      <c r="Z170" s="45">
        <v>2.81</v>
      </c>
      <c r="AA170" s="9">
        <f t="shared" si="87"/>
        <v>1100000000</v>
      </c>
      <c r="AB170" s="15">
        <f t="shared" si="88"/>
        <v>0.39999999999999991</v>
      </c>
      <c r="AC170" s="34">
        <f t="shared" si="98"/>
        <v>0.14612803567823801</v>
      </c>
      <c r="AD170">
        <v>1437.0580903679715</v>
      </c>
      <c r="AE170">
        <f t="shared" si="91"/>
        <v>3.1574743240259107</v>
      </c>
      <c r="AF170">
        <v>5061.7945462381631</v>
      </c>
      <c r="AG170">
        <f t="shared" si="92"/>
        <v>3.7043045135512243</v>
      </c>
      <c r="AH170" s="9">
        <v>824.83333333333303</v>
      </c>
      <c r="AI170" s="9">
        <f t="shared" si="99"/>
        <v>2.9168924084376502</v>
      </c>
      <c r="AJ170">
        <v>76</v>
      </c>
      <c r="AK170" s="23" t="s">
        <v>450</v>
      </c>
      <c r="AL170" s="42">
        <v>42.2040629527961</v>
      </c>
      <c r="AM170" s="24">
        <v>0.41</v>
      </c>
      <c r="AN170" s="34">
        <f t="shared" si="100"/>
        <v>0.14921911265537988</v>
      </c>
      <c r="AO170">
        <v>1995</v>
      </c>
      <c r="AP170">
        <v>21</v>
      </c>
      <c r="AQ170">
        <v>70</v>
      </c>
      <c r="AR170">
        <v>50</v>
      </c>
      <c r="AS170">
        <f t="shared" si="89"/>
        <v>0</v>
      </c>
      <c r="AT170">
        <f t="shared" si="101"/>
        <v>0</v>
      </c>
      <c r="AU170">
        <f t="shared" si="102"/>
        <v>0</v>
      </c>
      <c r="AV170">
        <f t="shared" si="103"/>
        <v>0</v>
      </c>
      <c r="AW170">
        <f t="shared" si="104"/>
        <v>0</v>
      </c>
      <c r="AX170">
        <f t="shared" si="105"/>
        <v>0</v>
      </c>
      <c r="AY170">
        <f t="shared" si="106"/>
        <v>0</v>
      </c>
      <c r="AZ170">
        <f t="shared" si="107"/>
        <v>0</v>
      </c>
      <c r="BA170">
        <f t="shared" si="108"/>
        <v>0</v>
      </c>
      <c r="BB170">
        <f t="shared" si="109"/>
        <v>0</v>
      </c>
      <c r="BC170">
        <f t="shared" si="110"/>
        <v>0</v>
      </c>
      <c r="BD170">
        <f t="shared" si="111"/>
        <v>1</v>
      </c>
      <c r="BE170">
        <f t="shared" si="112"/>
        <v>0</v>
      </c>
      <c r="BF170">
        <f t="shared" si="113"/>
        <v>0</v>
      </c>
      <c r="BG170">
        <f t="shared" si="114"/>
        <v>0</v>
      </c>
      <c r="BH170">
        <f t="shared" si="115"/>
        <v>0</v>
      </c>
      <c r="BI170">
        <f t="shared" si="116"/>
        <v>0</v>
      </c>
    </row>
    <row r="171" spans="1:61" x14ac:dyDescent="0.35">
      <c r="A171" t="s">
        <v>51</v>
      </c>
      <c r="B171" s="1">
        <v>39934</v>
      </c>
      <c r="C171" t="s">
        <v>451</v>
      </c>
      <c r="D171" t="s">
        <v>59</v>
      </c>
      <c r="E171" s="26" t="s">
        <v>452</v>
      </c>
      <c r="F171" t="s">
        <v>45</v>
      </c>
      <c r="G171" t="s">
        <v>125</v>
      </c>
      <c r="H171" s="139">
        <f t="shared" si="90"/>
        <v>1</v>
      </c>
      <c r="I171" t="s">
        <v>234</v>
      </c>
      <c r="J171" t="s">
        <v>326</v>
      </c>
      <c r="K171" s="2">
        <f t="shared" si="93"/>
        <v>8</v>
      </c>
      <c r="L171">
        <v>342170000</v>
      </c>
      <c r="M171" s="2">
        <f t="shared" si="94"/>
        <v>8.53424192979422</v>
      </c>
      <c r="N171">
        <f>L171</f>
        <v>342170000</v>
      </c>
      <c r="O171">
        <v>0</v>
      </c>
      <c r="P171" s="1">
        <v>41458</v>
      </c>
      <c r="Q171" s="89">
        <f t="shared" si="95"/>
        <v>2013</v>
      </c>
      <c r="R171" t="s">
        <v>152</v>
      </c>
      <c r="S171">
        <v>583785013</v>
      </c>
      <c r="T171" s="21">
        <f t="shared" si="86"/>
        <v>4.1753424657534248</v>
      </c>
      <c r="U171">
        <v>5897.96</v>
      </c>
      <c r="V171">
        <f t="shared" si="96"/>
        <v>3.7707754512906644</v>
      </c>
      <c r="W171">
        <v>2003</v>
      </c>
      <c r="X171">
        <v>6</v>
      </c>
      <c r="Y171">
        <f t="shared" si="97"/>
        <v>0.84509804001425681</v>
      </c>
      <c r="Z171" s="45">
        <v>2.3199999999999998</v>
      </c>
      <c r="AA171" s="9">
        <f t="shared" si="87"/>
        <v>241615013</v>
      </c>
      <c r="AB171" s="15">
        <f t="shared" si="88"/>
        <v>0.70612564806967293</v>
      </c>
      <c r="AC171" s="34">
        <f t="shared" si="98"/>
        <v>0.23201101174001795</v>
      </c>
      <c r="AD171">
        <v>1437.0580903679715</v>
      </c>
      <c r="AE171">
        <f t="shared" si="91"/>
        <v>3.1574743240259107</v>
      </c>
      <c r="AF171">
        <v>5061.7945462381631</v>
      </c>
      <c r="AG171">
        <f t="shared" si="92"/>
        <v>3.7043045135512243</v>
      </c>
      <c r="AH171" s="9">
        <v>132</v>
      </c>
      <c r="AI171" s="9">
        <f t="shared" si="99"/>
        <v>2.1238516409670858</v>
      </c>
      <c r="AJ171">
        <v>89.8</v>
      </c>
      <c r="AK171" s="23" t="s">
        <v>130</v>
      </c>
      <c r="AL171" s="42">
        <v>47.307367293927399</v>
      </c>
      <c r="AM171" s="24">
        <v>0.84</v>
      </c>
      <c r="AN171" s="34">
        <f t="shared" si="100"/>
        <v>0.26481782300953643</v>
      </c>
      <c r="AO171">
        <v>1995</v>
      </c>
      <c r="AP171">
        <v>14</v>
      </c>
      <c r="AQ171">
        <v>70</v>
      </c>
      <c r="AR171">
        <v>70</v>
      </c>
      <c r="AS171">
        <f t="shared" si="89"/>
        <v>0</v>
      </c>
      <c r="AT171">
        <f t="shared" si="101"/>
        <v>0</v>
      </c>
      <c r="AU171">
        <f t="shared" si="102"/>
        <v>1</v>
      </c>
      <c r="AV171">
        <f t="shared" si="103"/>
        <v>0</v>
      </c>
      <c r="AW171">
        <f t="shared" si="104"/>
        <v>0</v>
      </c>
      <c r="AX171">
        <f t="shared" si="105"/>
        <v>0</v>
      </c>
      <c r="AY171">
        <f t="shared" si="106"/>
        <v>0</v>
      </c>
      <c r="AZ171">
        <f t="shared" si="107"/>
        <v>0</v>
      </c>
      <c r="BA171">
        <f t="shared" si="108"/>
        <v>0</v>
      </c>
      <c r="BB171">
        <f t="shared" si="109"/>
        <v>0</v>
      </c>
      <c r="BC171">
        <f t="shared" si="110"/>
        <v>0</v>
      </c>
      <c r="BD171">
        <f t="shared" si="111"/>
        <v>0</v>
      </c>
      <c r="BE171">
        <f t="shared" si="112"/>
        <v>0</v>
      </c>
      <c r="BF171">
        <f t="shared" si="113"/>
        <v>0</v>
      </c>
      <c r="BG171">
        <f t="shared" si="114"/>
        <v>0</v>
      </c>
      <c r="BH171">
        <f t="shared" si="115"/>
        <v>0</v>
      </c>
      <c r="BI171">
        <f t="shared" si="116"/>
        <v>0</v>
      </c>
    </row>
    <row r="172" spans="1:61" s="137" customFormat="1" x14ac:dyDescent="0.35">
      <c r="A172" s="137" t="s">
        <v>867</v>
      </c>
      <c r="B172" s="1">
        <v>39082</v>
      </c>
      <c r="C172" s="137" t="s">
        <v>868</v>
      </c>
      <c r="D172" s="137" t="s">
        <v>434</v>
      </c>
      <c r="E172" s="137" t="s">
        <v>869</v>
      </c>
      <c r="F172" s="137" t="s">
        <v>45</v>
      </c>
      <c r="G172" s="137" t="s">
        <v>64</v>
      </c>
      <c r="H172" s="139">
        <f t="shared" si="90"/>
        <v>1</v>
      </c>
      <c r="I172" s="137" t="s">
        <v>289</v>
      </c>
      <c r="J172" s="137" t="s">
        <v>248</v>
      </c>
      <c r="K172" s="139">
        <f t="shared" si="93"/>
        <v>5</v>
      </c>
      <c r="L172" s="137">
        <v>740000000</v>
      </c>
      <c r="M172" s="139">
        <f t="shared" si="94"/>
        <v>8.8692317197309762</v>
      </c>
      <c r="N172" s="137">
        <f t="shared" ref="N172" si="118">L172</f>
        <v>740000000</v>
      </c>
      <c r="O172" s="137">
        <v>0</v>
      </c>
      <c r="P172" s="1">
        <v>39519</v>
      </c>
      <c r="Q172" s="89">
        <f t="shared" si="95"/>
        <v>2008</v>
      </c>
      <c r="R172" s="137" t="s">
        <v>107</v>
      </c>
      <c r="S172" s="137">
        <v>835500000</v>
      </c>
      <c r="T172" s="21">
        <f t="shared" si="86"/>
        <v>1.1972602739726028</v>
      </c>
      <c r="U172" s="137">
        <v>7216.98</v>
      </c>
      <c r="V172" s="137">
        <f t="shared" si="96"/>
        <v>3.8584156743566731</v>
      </c>
      <c r="W172" s="137">
        <v>1890</v>
      </c>
      <c r="X172" s="137">
        <v>116</v>
      </c>
      <c r="Y172" s="137">
        <f t="shared" si="97"/>
        <v>2.0681858617461617</v>
      </c>
      <c r="Z172" s="45">
        <v>2.66</v>
      </c>
      <c r="AA172" s="140">
        <f t="shared" si="87"/>
        <v>95500000</v>
      </c>
      <c r="AB172" s="15">
        <f t="shared" si="88"/>
        <v>0.12905405405405412</v>
      </c>
      <c r="AC172" s="34">
        <f t="shared" si="98"/>
        <v>5.2714734498433974E-2</v>
      </c>
      <c r="AD172" s="137">
        <v>1537.2400756143668</v>
      </c>
      <c r="AE172" s="137">
        <f t="shared" si="91"/>
        <v>3.1867416979308154</v>
      </c>
      <c r="AF172" s="137">
        <v>4542.1550094517952</v>
      </c>
      <c r="AG172" s="137">
        <f t="shared" si="92"/>
        <v>3.6572619512401316</v>
      </c>
      <c r="AH172" s="140">
        <v>649.83333333333303</v>
      </c>
      <c r="AI172" s="140">
        <f t="shared" si="99"/>
        <v>2.8134697878296753</v>
      </c>
      <c r="AJ172" s="137">
        <v>78.400000000000006</v>
      </c>
      <c r="AK172" s="23" t="s">
        <v>454</v>
      </c>
      <c r="AL172" s="42">
        <v>47.629620244041597</v>
      </c>
      <c r="AM172" s="24">
        <v>-0.08</v>
      </c>
      <c r="AN172" s="34">
        <f t="shared" si="100"/>
        <v>-3.6212172654444715E-2</v>
      </c>
      <c r="AO172" s="137">
        <v>2001</v>
      </c>
      <c r="AP172" s="137">
        <v>5</v>
      </c>
      <c r="AQ172" s="137">
        <v>90</v>
      </c>
      <c r="AR172" s="137">
        <v>70</v>
      </c>
      <c r="AS172" s="137">
        <f t="shared" si="89"/>
        <v>0</v>
      </c>
      <c r="AT172" s="137">
        <f t="shared" si="101"/>
        <v>0</v>
      </c>
      <c r="AU172" s="137">
        <f t="shared" si="102"/>
        <v>0</v>
      </c>
      <c r="AV172" s="137">
        <f t="shared" si="103"/>
        <v>0</v>
      </c>
      <c r="AW172" s="137">
        <f t="shared" si="104"/>
        <v>0</v>
      </c>
      <c r="AX172" s="137">
        <f t="shared" si="105"/>
        <v>0</v>
      </c>
      <c r="AY172" s="137">
        <f t="shared" si="106"/>
        <v>0</v>
      </c>
      <c r="AZ172" s="137">
        <f t="shared" si="107"/>
        <v>0</v>
      </c>
      <c r="BA172" s="137">
        <f t="shared" si="108"/>
        <v>0</v>
      </c>
      <c r="BB172" s="137">
        <f t="shared" si="109"/>
        <v>0</v>
      </c>
      <c r="BC172" s="137">
        <f t="shared" si="110"/>
        <v>1</v>
      </c>
      <c r="BD172" s="137">
        <f t="shared" si="111"/>
        <v>0</v>
      </c>
      <c r="BE172" s="137">
        <f t="shared" si="112"/>
        <v>0</v>
      </c>
      <c r="BF172" s="137">
        <f t="shared" si="113"/>
        <v>0</v>
      </c>
      <c r="BG172" s="137">
        <f t="shared" si="114"/>
        <v>0</v>
      </c>
      <c r="BH172" s="137">
        <f t="shared" si="115"/>
        <v>0</v>
      </c>
      <c r="BI172" s="137">
        <f t="shared" si="116"/>
        <v>0</v>
      </c>
    </row>
    <row r="173" spans="1:61" x14ac:dyDescent="0.35">
      <c r="A173" t="s">
        <v>51</v>
      </c>
      <c r="B173" s="1">
        <v>39325</v>
      </c>
      <c r="C173" t="s">
        <v>455</v>
      </c>
      <c r="D173" t="s">
        <v>5</v>
      </c>
      <c r="E173" t="s">
        <v>456</v>
      </c>
      <c r="F173" t="s">
        <v>59</v>
      </c>
      <c r="G173" t="s">
        <v>125</v>
      </c>
      <c r="H173" s="139">
        <f t="shared" si="90"/>
        <v>1</v>
      </c>
      <c r="I173" t="s">
        <v>234</v>
      </c>
      <c r="J173" t="s">
        <v>186</v>
      </c>
      <c r="K173" s="2">
        <f t="shared" si="93"/>
        <v>4</v>
      </c>
      <c r="L173">
        <v>669790000</v>
      </c>
      <c r="M173" s="2">
        <f t="shared" si="94"/>
        <v>8.8259386592127473</v>
      </c>
      <c r="N173">
        <f>L173-O173</f>
        <v>669820000</v>
      </c>
      <c r="O173">
        <v>-30000</v>
      </c>
      <c r="P173" s="1">
        <v>39532</v>
      </c>
      <c r="Q173" s="89">
        <f t="shared" si="95"/>
        <v>2008</v>
      </c>
      <c r="R173" t="s">
        <v>152</v>
      </c>
      <c r="S173">
        <v>1716000000</v>
      </c>
      <c r="T173" s="21">
        <f t="shared" si="86"/>
        <v>0.56712328767123288</v>
      </c>
      <c r="U173">
        <v>357.29</v>
      </c>
      <c r="V173">
        <f t="shared" si="96"/>
        <v>2.5542346870234227</v>
      </c>
      <c r="W173">
        <v>1998</v>
      </c>
      <c r="X173">
        <v>9</v>
      </c>
      <c r="Y173">
        <f t="shared" si="97"/>
        <v>1</v>
      </c>
      <c r="Z173" s="45">
        <v>3.16</v>
      </c>
      <c r="AA173" s="9">
        <f t="shared" si="87"/>
        <v>1046180000</v>
      </c>
      <c r="AB173" s="15">
        <f t="shared" si="88"/>
        <v>1.5619970438495647</v>
      </c>
      <c r="AC173" s="34">
        <f t="shared" si="98"/>
        <v>0.40857862429993902</v>
      </c>
      <c r="AD173">
        <v>1248.0746999999999</v>
      </c>
      <c r="AE173">
        <f t="shared" si="91"/>
        <v>3.0962405795987471</v>
      </c>
      <c r="AF173">
        <v>2518.2170000000001</v>
      </c>
      <c r="AG173">
        <f t="shared" si="92"/>
        <v>3.4010931514437841</v>
      </c>
      <c r="AH173" s="9">
        <v>971</v>
      </c>
      <c r="AI173" s="9">
        <f t="shared" si="99"/>
        <v>2.9876662649262746</v>
      </c>
      <c r="AJ173">
        <v>88.4</v>
      </c>
      <c r="AK173" s="23" t="s">
        <v>365</v>
      </c>
      <c r="AL173" s="42">
        <v>42.337645557762798</v>
      </c>
      <c r="AM173" s="24">
        <v>-0.08</v>
      </c>
      <c r="AN173" s="34">
        <f t="shared" si="100"/>
        <v>-3.6212172654444715E-2</v>
      </c>
      <c r="AO173">
        <v>1977</v>
      </c>
      <c r="AP173">
        <v>30</v>
      </c>
      <c r="AQ173">
        <v>70</v>
      </c>
      <c r="AR173">
        <v>90</v>
      </c>
      <c r="AS173">
        <f t="shared" si="89"/>
        <v>0</v>
      </c>
      <c r="AT173">
        <f t="shared" si="101"/>
        <v>0</v>
      </c>
      <c r="AU173">
        <f t="shared" si="102"/>
        <v>0</v>
      </c>
      <c r="AV173">
        <f t="shared" si="103"/>
        <v>0</v>
      </c>
      <c r="AW173">
        <f t="shared" si="104"/>
        <v>0</v>
      </c>
      <c r="AX173">
        <f t="shared" si="105"/>
        <v>0</v>
      </c>
      <c r="AY173">
        <f t="shared" si="106"/>
        <v>1</v>
      </c>
      <c r="AZ173">
        <f t="shared" si="107"/>
        <v>0</v>
      </c>
      <c r="BA173">
        <f t="shared" si="108"/>
        <v>0</v>
      </c>
      <c r="BB173">
        <f t="shared" si="109"/>
        <v>0</v>
      </c>
      <c r="BC173">
        <f t="shared" si="110"/>
        <v>0</v>
      </c>
      <c r="BD173">
        <f t="shared" si="111"/>
        <v>0</v>
      </c>
      <c r="BE173">
        <f t="shared" si="112"/>
        <v>0</v>
      </c>
      <c r="BF173">
        <f t="shared" si="113"/>
        <v>0</v>
      </c>
      <c r="BG173">
        <f t="shared" si="114"/>
        <v>0</v>
      </c>
      <c r="BH173">
        <f t="shared" si="115"/>
        <v>0</v>
      </c>
      <c r="BI173">
        <f t="shared" si="116"/>
        <v>0</v>
      </c>
    </row>
    <row r="174" spans="1:61" x14ac:dyDescent="0.35">
      <c r="A174" t="s">
        <v>196</v>
      </c>
      <c r="B174" s="7">
        <v>38990</v>
      </c>
      <c r="C174" t="s">
        <v>457</v>
      </c>
      <c r="D174" t="s">
        <v>5</v>
      </c>
      <c r="E174" t="s">
        <v>458</v>
      </c>
      <c r="F174" t="s">
        <v>59</v>
      </c>
      <c r="G174" t="s">
        <v>125</v>
      </c>
      <c r="H174" s="139">
        <f t="shared" si="90"/>
        <v>1</v>
      </c>
      <c r="I174" t="s">
        <v>234</v>
      </c>
      <c r="J174" t="s">
        <v>186</v>
      </c>
      <c r="K174" s="2">
        <f t="shared" si="93"/>
        <v>4</v>
      </c>
      <c r="L174">
        <v>4700000000</v>
      </c>
      <c r="M174" s="2">
        <f t="shared" si="94"/>
        <v>9.672097857935718</v>
      </c>
      <c r="N174">
        <f t="shared" ref="N174:N189" si="119">L174</f>
        <v>4700000000</v>
      </c>
      <c r="O174">
        <v>0</v>
      </c>
      <c r="P174" s="1">
        <v>41390</v>
      </c>
      <c r="Q174" s="89">
        <f t="shared" si="95"/>
        <v>2013</v>
      </c>
      <c r="R174" t="s">
        <v>322</v>
      </c>
      <c r="S174">
        <v>2992600000</v>
      </c>
      <c r="T174" s="21">
        <f t="shared" si="86"/>
        <v>6.5753424657534243</v>
      </c>
      <c r="U174">
        <v>357.29</v>
      </c>
      <c r="V174">
        <f t="shared" si="96"/>
        <v>2.5542346870234227</v>
      </c>
      <c r="W174">
        <v>2006</v>
      </c>
      <c r="X174">
        <v>0</v>
      </c>
      <c r="Y174">
        <f t="shared" si="97"/>
        <v>0</v>
      </c>
      <c r="Z174" s="45">
        <v>3.16</v>
      </c>
      <c r="AA174" s="9">
        <f t="shared" si="87"/>
        <v>-1707400000</v>
      </c>
      <c r="AB174" s="15">
        <f t="shared" si="88"/>
        <v>-0.36327659574468085</v>
      </c>
      <c r="AC174" s="34">
        <f t="shared" si="98"/>
        <v>-0.19604918633510771</v>
      </c>
      <c r="AD174">
        <v>1248.0746999999999</v>
      </c>
      <c r="AE174">
        <f t="shared" si="91"/>
        <v>3.0962405795987471</v>
      </c>
      <c r="AF174">
        <v>2518.2170000000001</v>
      </c>
      <c r="AG174">
        <f t="shared" si="92"/>
        <v>3.4010931514437841</v>
      </c>
      <c r="AH174" s="9">
        <v>971</v>
      </c>
      <c r="AI174" s="9">
        <f t="shared" si="99"/>
        <v>2.9876662649262746</v>
      </c>
      <c r="AJ174">
        <v>87.5</v>
      </c>
      <c r="AK174" s="23" t="s">
        <v>459</v>
      </c>
      <c r="AL174" s="42">
        <v>42.967191632480599</v>
      </c>
      <c r="AM174" s="24">
        <v>0.18</v>
      </c>
      <c r="AN174" s="34">
        <f t="shared" si="100"/>
        <v>7.1882007306125359E-2</v>
      </c>
      <c r="AO174">
        <v>1977</v>
      </c>
      <c r="AP174">
        <v>29</v>
      </c>
      <c r="AQ174">
        <v>90</v>
      </c>
      <c r="AR174">
        <v>90</v>
      </c>
      <c r="AS174">
        <f t="shared" si="89"/>
        <v>0</v>
      </c>
      <c r="AT174">
        <f t="shared" si="101"/>
        <v>0</v>
      </c>
      <c r="AU174">
        <f t="shared" si="102"/>
        <v>0</v>
      </c>
      <c r="AV174">
        <f t="shared" si="103"/>
        <v>0</v>
      </c>
      <c r="AW174">
        <f t="shared" si="104"/>
        <v>0</v>
      </c>
      <c r="AX174">
        <f t="shared" si="105"/>
        <v>0</v>
      </c>
      <c r="AY174">
        <f t="shared" si="106"/>
        <v>1</v>
      </c>
      <c r="AZ174">
        <f t="shared" si="107"/>
        <v>0</v>
      </c>
      <c r="BA174">
        <f t="shared" si="108"/>
        <v>0</v>
      </c>
      <c r="BB174">
        <f t="shared" si="109"/>
        <v>0</v>
      </c>
      <c r="BC174">
        <f t="shared" si="110"/>
        <v>0</v>
      </c>
      <c r="BD174">
        <f t="shared" si="111"/>
        <v>0</v>
      </c>
      <c r="BE174">
        <f t="shared" si="112"/>
        <v>0</v>
      </c>
      <c r="BF174">
        <f t="shared" si="113"/>
        <v>0</v>
      </c>
      <c r="BG174">
        <f t="shared" si="114"/>
        <v>0</v>
      </c>
      <c r="BH174">
        <f t="shared" si="115"/>
        <v>0</v>
      </c>
      <c r="BI174">
        <f t="shared" si="116"/>
        <v>0</v>
      </c>
    </row>
    <row r="175" spans="1:61" x14ac:dyDescent="0.35">
      <c r="A175" t="s">
        <v>196</v>
      </c>
      <c r="B175" s="1">
        <v>41521</v>
      </c>
      <c r="C175" t="s">
        <v>460</v>
      </c>
      <c r="D175" t="s">
        <v>2</v>
      </c>
      <c r="E175" t="s">
        <v>461</v>
      </c>
      <c r="F175" t="s">
        <v>59</v>
      </c>
      <c r="G175" t="s">
        <v>125</v>
      </c>
      <c r="H175" s="139">
        <f t="shared" si="90"/>
        <v>1</v>
      </c>
      <c r="I175" t="s">
        <v>48</v>
      </c>
      <c r="J175" t="s">
        <v>326</v>
      </c>
      <c r="K175" s="2">
        <f t="shared" si="93"/>
        <v>8</v>
      </c>
      <c r="L175">
        <v>1490000000</v>
      </c>
      <c r="M175" s="2">
        <f t="shared" si="94"/>
        <v>9.1731862684122749</v>
      </c>
      <c r="N175">
        <f t="shared" si="119"/>
        <v>1490000000</v>
      </c>
      <c r="O175">
        <v>0</v>
      </c>
      <c r="P175" s="1">
        <v>43019</v>
      </c>
      <c r="Q175" s="89">
        <f t="shared" si="95"/>
        <v>2017</v>
      </c>
      <c r="R175" t="s">
        <v>152</v>
      </c>
      <c r="S175">
        <v>2600000000</v>
      </c>
      <c r="T175" s="21">
        <f t="shared" si="86"/>
        <v>4.1041095890410961</v>
      </c>
      <c r="U175">
        <v>917.19</v>
      </c>
      <c r="V175">
        <f t="shared" si="96"/>
        <v>2.9629325585580042</v>
      </c>
      <c r="W175">
        <v>1903</v>
      </c>
      <c r="X175">
        <v>110</v>
      </c>
      <c r="Y175">
        <f t="shared" si="97"/>
        <v>2.0453229787866576</v>
      </c>
      <c r="Z175" s="45">
        <v>2.62</v>
      </c>
      <c r="AA175" s="9">
        <f t="shared" si="87"/>
        <v>1110000000</v>
      </c>
      <c r="AB175" s="15">
        <f t="shared" si="88"/>
        <v>0.74496644295302006</v>
      </c>
      <c r="AC175" s="34">
        <f t="shared" si="98"/>
        <v>0.24178707955854389</v>
      </c>
      <c r="AD175">
        <v>1248.0746999999999</v>
      </c>
      <c r="AE175">
        <f t="shared" si="91"/>
        <v>3.0962405795987471</v>
      </c>
      <c r="AF175">
        <v>2518.2170000000001</v>
      </c>
      <c r="AG175">
        <f t="shared" si="92"/>
        <v>3.4010931514437841</v>
      </c>
      <c r="AH175" s="9">
        <v>854.66666666666697</v>
      </c>
      <c r="AI175" s="9">
        <f t="shared" si="99"/>
        <v>2.9323046139517812</v>
      </c>
      <c r="AJ175">
        <v>92.1</v>
      </c>
      <c r="AK175" s="23" t="s">
        <v>199</v>
      </c>
      <c r="AL175" s="42">
        <v>44.688349184782602</v>
      </c>
      <c r="AM175" s="24">
        <v>0.55000000000000004</v>
      </c>
      <c r="AN175" s="34">
        <f t="shared" si="100"/>
        <v>0.1903316981702915</v>
      </c>
      <c r="AO175">
        <v>1977</v>
      </c>
      <c r="AP175">
        <v>36</v>
      </c>
      <c r="AQ175">
        <v>70</v>
      </c>
      <c r="AR175">
        <v>70</v>
      </c>
      <c r="AS175">
        <f t="shared" si="89"/>
        <v>0</v>
      </c>
      <c r="AT175">
        <f t="shared" si="101"/>
        <v>0</v>
      </c>
      <c r="AU175">
        <f t="shared" si="102"/>
        <v>0</v>
      </c>
      <c r="AV175">
        <f t="shared" si="103"/>
        <v>0</v>
      </c>
      <c r="AW175">
        <f t="shared" si="104"/>
        <v>0</v>
      </c>
      <c r="AX175">
        <f t="shared" si="105"/>
        <v>0</v>
      </c>
      <c r="AY175">
        <f t="shared" si="106"/>
        <v>0</v>
      </c>
      <c r="AZ175">
        <f t="shared" si="107"/>
        <v>0</v>
      </c>
      <c r="BA175">
        <f t="shared" si="108"/>
        <v>0</v>
      </c>
      <c r="BB175">
        <f t="shared" si="109"/>
        <v>1</v>
      </c>
      <c r="BC175">
        <f t="shared" si="110"/>
        <v>0</v>
      </c>
      <c r="BD175">
        <f t="shared" si="111"/>
        <v>0</v>
      </c>
      <c r="BE175">
        <f t="shared" si="112"/>
        <v>0</v>
      </c>
      <c r="BF175">
        <f t="shared" si="113"/>
        <v>0</v>
      </c>
      <c r="BG175">
        <f t="shared" si="114"/>
        <v>0</v>
      </c>
      <c r="BH175">
        <f t="shared" si="115"/>
        <v>0</v>
      </c>
      <c r="BI175">
        <f t="shared" si="116"/>
        <v>0</v>
      </c>
    </row>
    <row r="176" spans="1:61" x14ac:dyDescent="0.35">
      <c r="A176" t="s">
        <v>196</v>
      </c>
      <c r="B176" s="1">
        <v>40695</v>
      </c>
      <c r="C176" t="s">
        <v>462</v>
      </c>
      <c r="D176" t="s">
        <v>2</v>
      </c>
      <c r="E176" t="s">
        <v>458</v>
      </c>
      <c r="F176" t="s">
        <v>59</v>
      </c>
      <c r="G176" t="s">
        <v>125</v>
      </c>
      <c r="H176" s="139">
        <f t="shared" si="90"/>
        <v>1</v>
      </c>
      <c r="I176" t="s">
        <v>48</v>
      </c>
      <c r="J176" t="s">
        <v>235</v>
      </c>
      <c r="K176" s="2">
        <f t="shared" si="93"/>
        <v>1</v>
      </c>
      <c r="L176">
        <v>400000000</v>
      </c>
      <c r="M176" s="2">
        <f t="shared" si="94"/>
        <v>8.6020599913279625</v>
      </c>
      <c r="N176">
        <f t="shared" si="119"/>
        <v>400000000</v>
      </c>
      <c r="O176">
        <v>0</v>
      </c>
      <c r="P176" s="1">
        <v>42738</v>
      </c>
      <c r="Q176" s="89">
        <f t="shared" si="95"/>
        <v>2017</v>
      </c>
      <c r="R176" t="s">
        <v>152</v>
      </c>
      <c r="S176">
        <v>800000000</v>
      </c>
      <c r="T176" s="21">
        <f t="shared" si="86"/>
        <v>5.5972602739726032</v>
      </c>
      <c r="U176">
        <v>917.19</v>
      </c>
      <c r="V176">
        <f t="shared" si="96"/>
        <v>2.9629325585580042</v>
      </c>
      <c r="W176">
        <v>1979</v>
      </c>
      <c r="X176">
        <v>32</v>
      </c>
      <c r="Y176">
        <f t="shared" si="97"/>
        <v>1.5185139398778875</v>
      </c>
      <c r="Z176" s="45">
        <v>2.62</v>
      </c>
      <c r="AA176" s="9">
        <f t="shared" si="87"/>
        <v>400000000</v>
      </c>
      <c r="AB176" s="15">
        <f t="shared" si="88"/>
        <v>1</v>
      </c>
      <c r="AC176" s="34">
        <f t="shared" si="98"/>
        <v>0.3010299956639812</v>
      </c>
      <c r="AD176">
        <v>1248.0746999999999</v>
      </c>
      <c r="AE176">
        <f t="shared" si="91"/>
        <v>3.0962405795987471</v>
      </c>
      <c r="AF176">
        <v>2518.2170000000001</v>
      </c>
      <c r="AG176">
        <f t="shared" si="92"/>
        <v>3.4010931514437841</v>
      </c>
      <c r="AH176" s="9">
        <v>854.66666666666697</v>
      </c>
      <c r="AI176" s="9">
        <f t="shared" si="99"/>
        <v>2.9323046139517812</v>
      </c>
      <c r="AJ176">
        <v>89.6</v>
      </c>
      <c r="AK176" s="23" t="s">
        <v>365</v>
      </c>
      <c r="AL176" s="42">
        <v>44.7100017757258</v>
      </c>
      <c r="AM176" s="24">
        <v>0.72</v>
      </c>
      <c r="AN176" s="34">
        <f t="shared" si="100"/>
        <v>0.2355284469075489</v>
      </c>
      <c r="AO176">
        <v>1977</v>
      </c>
      <c r="AP176">
        <v>34</v>
      </c>
      <c r="AQ176">
        <v>70</v>
      </c>
      <c r="AR176">
        <v>70</v>
      </c>
      <c r="AS176">
        <f t="shared" si="89"/>
        <v>0</v>
      </c>
      <c r="AT176">
        <f t="shared" si="101"/>
        <v>0</v>
      </c>
      <c r="AU176">
        <f t="shared" si="102"/>
        <v>0</v>
      </c>
      <c r="AV176">
        <f t="shared" si="103"/>
        <v>0</v>
      </c>
      <c r="AW176">
        <f t="shared" si="104"/>
        <v>0</v>
      </c>
      <c r="AX176">
        <f t="shared" si="105"/>
        <v>0</v>
      </c>
      <c r="AY176">
        <f t="shared" si="106"/>
        <v>0</v>
      </c>
      <c r="AZ176">
        <f t="shared" si="107"/>
        <v>0</v>
      </c>
      <c r="BA176">
        <f t="shared" si="108"/>
        <v>0</v>
      </c>
      <c r="BB176">
        <f t="shared" si="109"/>
        <v>1</v>
      </c>
      <c r="BC176">
        <f t="shared" si="110"/>
        <v>0</v>
      </c>
      <c r="BD176">
        <f t="shared" si="111"/>
        <v>0</v>
      </c>
      <c r="BE176">
        <f t="shared" si="112"/>
        <v>0</v>
      </c>
      <c r="BF176">
        <f t="shared" si="113"/>
        <v>0</v>
      </c>
      <c r="BG176">
        <f t="shared" si="114"/>
        <v>0</v>
      </c>
      <c r="BH176">
        <f t="shared" si="115"/>
        <v>0</v>
      </c>
      <c r="BI176">
        <f t="shared" si="116"/>
        <v>0</v>
      </c>
    </row>
    <row r="177" spans="1:61" x14ac:dyDescent="0.35">
      <c r="A177" t="s">
        <v>51</v>
      </c>
      <c r="B177" s="1">
        <v>40252</v>
      </c>
      <c r="C177" t="s">
        <v>463</v>
      </c>
      <c r="D177" t="s">
        <v>163</v>
      </c>
      <c r="E177" t="s">
        <v>458</v>
      </c>
      <c r="F177" t="s">
        <v>59</v>
      </c>
      <c r="G177" t="s">
        <v>125</v>
      </c>
      <c r="H177" s="139">
        <f t="shared" si="90"/>
        <v>1</v>
      </c>
      <c r="I177" t="s">
        <v>234</v>
      </c>
      <c r="J177" t="s">
        <v>190</v>
      </c>
      <c r="K177" s="2">
        <f t="shared" si="93"/>
        <v>2</v>
      </c>
      <c r="L177">
        <v>800000000</v>
      </c>
      <c r="M177" s="2">
        <f t="shared" si="94"/>
        <v>8.9030899869919438</v>
      </c>
      <c r="N177">
        <f t="shared" si="119"/>
        <v>800000000</v>
      </c>
      <c r="O177">
        <v>0</v>
      </c>
      <c r="P177" s="1">
        <v>41990</v>
      </c>
      <c r="Q177" s="89">
        <f t="shared" si="95"/>
        <v>2014</v>
      </c>
      <c r="R177" t="s">
        <v>152</v>
      </c>
      <c r="S177">
        <v>1400000000</v>
      </c>
      <c r="T177" s="21">
        <f t="shared" si="86"/>
        <v>4.7616438356164386</v>
      </c>
      <c r="U177">
        <v>342.74</v>
      </c>
      <c r="V177">
        <f t="shared" si="96"/>
        <v>2.5362300726332561</v>
      </c>
      <c r="W177">
        <v>2006</v>
      </c>
      <c r="X177">
        <v>4</v>
      </c>
      <c r="Y177">
        <f t="shared" si="97"/>
        <v>0.69897000433601886</v>
      </c>
      <c r="Z177" s="45">
        <v>2.3199999999999998</v>
      </c>
      <c r="AA177" s="9">
        <f t="shared" si="87"/>
        <v>600000000</v>
      </c>
      <c r="AB177" s="15">
        <f t="shared" si="88"/>
        <v>0.75</v>
      </c>
      <c r="AC177" s="34">
        <f t="shared" si="98"/>
        <v>0.24303804868629444</v>
      </c>
      <c r="AD177">
        <v>1248.0746999999999</v>
      </c>
      <c r="AE177">
        <f t="shared" si="91"/>
        <v>3.0962405795987471</v>
      </c>
      <c r="AF177">
        <v>2518.2170000000001</v>
      </c>
      <c r="AG177">
        <f t="shared" si="92"/>
        <v>3.4010931514437841</v>
      </c>
      <c r="AH177" s="9">
        <v>569.16666666666697</v>
      </c>
      <c r="AI177" s="9">
        <f t="shared" si="99"/>
        <v>2.756001823801419</v>
      </c>
      <c r="AJ177">
        <v>86.3</v>
      </c>
      <c r="AK177" s="23" t="s">
        <v>210</v>
      </c>
      <c r="AL177" s="42">
        <v>56.8818351627258</v>
      </c>
      <c r="AM177" s="24">
        <v>0.75</v>
      </c>
      <c r="AN177" s="34">
        <f t="shared" si="100"/>
        <v>0.24303804868629444</v>
      </c>
      <c r="AO177">
        <v>1977</v>
      </c>
      <c r="AP177">
        <v>33</v>
      </c>
      <c r="AQ177">
        <v>85</v>
      </c>
      <c r="AR177">
        <v>80</v>
      </c>
      <c r="AS177">
        <f t="shared" si="89"/>
        <v>0</v>
      </c>
      <c r="AT177">
        <f t="shared" si="101"/>
        <v>0</v>
      </c>
      <c r="AU177">
        <f t="shared" si="102"/>
        <v>0</v>
      </c>
      <c r="AV177">
        <f t="shared" si="103"/>
        <v>0</v>
      </c>
      <c r="AW177">
        <f t="shared" si="104"/>
        <v>0</v>
      </c>
      <c r="AX177">
        <f t="shared" si="105"/>
        <v>0</v>
      </c>
      <c r="AY177">
        <f t="shared" si="106"/>
        <v>0</v>
      </c>
      <c r="AZ177">
        <f t="shared" si="107"/>
        <v>1</v>
      </c>
      <c r="BA177">
        <f t="shared" si="108"/>
        <v>0</v>
      </c>
      <c r="BB177">
        <f t="shared" si="109"/>
        <v>0</v>
      </c>
      <c r="BC177">
        <f t="shared" si="110"/>
        <v>0</v>
      </c>
      <c r="BD177">
        <f t="shared" si="111"/>
        <v>0</v>
      </c>
      <c r="BE177">
        <f t="shared" si="112"/>
        <v>0</v>
      </c>
      <c r="BF177">
        <f t="shared" si="113"/>
        <v>0</v>
      </c>
      <c r="BG177">
        <f t="shared" si="114"/>
        <v>0</v>
      </c>
      <c r="BH177">
        <f t="shared" si="115"/>
        <v>0</v>
      </c>
      <c r="BI177">
        <f t="shared" si="116"/>
        <v>0</v>
      </c>
    </row>
    <row r="178" spans="1:61" x14ac:dyDescent="0.35">
      <c r="A178" t="s">
        <v>51</v>
      </c>
      <c r="B178" s="1">
        <v>38717</v>
      </c>
      <c r="C178" t="s">
        <v>431</v>
      </c>
      <c r="D178" t="s">
        <v>163</v>
      </c>
      <c r="E178" t="s">
        <v>456</v>
      </c>
      <c r="F178" t="s">
        <v>59</v>
      </c>
      <c r="G178" t="s">
        <v>125</v>
      </c>
      <c r="H178" s="139">
        <f t="shared" si="90"/>
        <v>1</v>
      </c>
      <c r="I178" t="s">
        <v>234</v>
      </c>
      <c r="J178" t="s">
        <v>248</v>
      </c>
      <c r="K178" s="2">
        <f t="shared" si="93"/>
        <v>5</v>
      </c>
      <c r="L178">
        <v>893000000</v>
      </c>
      <c r="M178" s="2">
        <f t="shared" si="94"/>
        <v>8.9508514588885468</v>
      </c>
      <c r="N178">
        <f t="shared" si="119"/>
        <v>893000000</v>
      </c>
      <c r="O178">
        <v>0</v>
      </c>
      <c r="P178" s="1">
        <v>41851</v>
      </c>
      <c r="Q178" s="89">
        <f t="shared" si="95"/>
        <v>2014</v>
      </c>
      <c r="R178" t="s">
        <v>152</v>
      </c>
      <c r="S178">
        <v>600000000</v>
      </c>
      <c r="T178" s="21">
        <f t="shared" si="86"/>
        <v>8.5863013698630137</v>
      </c>
      <c r="U178">
        <v>342.74</v>
      </c>
      <c r="V178">
        <f t="shared" si="96"/>
        <v>2.5362300726332561</v>
      </c>
      <c r="W178">
        <v>1935</v>
      </c>
      <c r="X178">
        <v>70</v>
      </c>
      <c r="Y178">
        <f t="shared" si="97"/>
        <v>1.8512583487190752</v>
      </c>
      <c r="Z178" s="45">
        <v>2.3199999999999998</v>
      </c>
      <c r="AA178" s="9">
        <f t="shared" si="87"/>
        <v>-293000000</v>
      </c>
      <c r="AB178" s="15">
        <f t="shared" si="88"/>
        <v>-0.32810750279955203</v>
      </c>
      <c r="AC178" s="34">
        <f t="shared" si="98"/>
        <v>-0.17270020850490278</v>
      </c>
      <c r="AD178">
        <v>1248.0746999999999</v>
      </c>
      <c r="AE178">
        <f t="shared" si="91"/>
        <v>3.0962405795987471</v>
      </c>
      <c r="AF178">
        <v>2518.2170000000001</v>
      </c>
      <c r="AG178">
        <f t="shared" si="92"/>
        <v>3.4010931514437841</v>
      </c>
      <c r="AH178" s="9">
        <v>569.16666666666697</v>
      </c>
      <c r="AI178" s="9">
        <f t="shared" si="99"/>
        <v>2.756001823801419</v>
      </c>
      <c r="AJ178">
        <v>70</v>
      </c>
      <c r="AK178" s="23" t="s">
        <v>430</v>
      </c>
      <c r="AL178" s="42">
        <v>53.2941466273667</v>
      </c>
      <c r="AM178" s="24">
        <v>0.55000000000000004</v>
      </c>
      <c r="AN178" s="34">
        <f t="shared" si="100"/>
        <v>0.1903316981702915</v>
      </c>
      <c r="AO178">
        <v>1977</v>
      </c>
      <c r="AP178">
        <v>28</v>
      </c>
      <c r="AQ178">
        <v>85</v>
      </c>
      <c r="AR178">
        <v>80</v>
      </c>
      <c r="AS178">
        <f t="shared" si="89"/>
        <v>0</v>
      </c>
      <c r="AT178">
        <f t="shared" si="101"/>
        <v>0</v>
      </c>
      <c r="AU178">
        <f t="shared" si="102"/>
        <v>0</v>
      </c>
      <c r="AV178">
        <f t="shared" si="103"/>
        <v>0</v>
      </c>
      <c r="AW178">
        <f t="shared" si="104"/>
        <v>0</v>
      </c>
      <c r="AX178">
        <f t="shared" si="105"/>
        <v>0</v>
      </c>
      <c r="AY178">
        <f t="shared" si="106"/>
        <v>0</v>
      </c>
      <c r="AZ178">
        <f t="shared" si="107"/>
        <v>1</v>
      </c>
      <c r="BA178">
        <f t="shared" si="108"/>
        <v>0</v>
      </c>
      <c r="BB178">
        <f t="shared" si="109"/>
        <v>0</v>
      </c>
      <c r="BC178">
        <f t="shared" si="110"/>
        <v>0</v>
      </c>
      <c r="BD178">
        <f t="shared" si="111"/>
        <v>0</v>
      </c>
      <c r="BE178">
        <f t="shared" si="112"/>
        <v>0</v>
      </c>
      <c r="BF178">
        <f t="shared" si="113"/>
        <v>0</v>
      </c>
      <c r="BG178">
        <f t="shared" si="114"/>
        <v>0</v>
      </c>
      <c r="BH178">
        <f t="shared" si="115"/>
        <v>0</v>
      </c>
      <c r="BI178">
        <f t="shared" si="116"/>
        <v>0</v>
      </c>
    </row>
    <row r="179" spans="1:61" x14ac:dyDescent="0.35">
      <c r="A179" t="s">
        <v>51</v>
      </c>
      <c r="B179" s="1">
        <v>38324</v>
      </c>
      <c r="C179" t="s">
        <v>464</v>
      </c>
      <c r="D179" t="s">
        <v>163</v>
      </c>
      <c r="E179" t="s">
        <v>456</v>
      </c>
      <c r="F179" t="s">
        <v>59</v>
      </c>
      <c r="G179" t="s">
        <v>125</v>
      </c>
      <c r="H179" s="139">
        <f t="shared" si="90"/>
        <v>1</v>
      </c>
      <c r="I179" t="s">
        <v>234</v>
      </c>
      <c r="J179" t="s">
        <v>186</v>
      </c>
      <c r="K179" s="2">
        <f t="shared" si="93"/>
        <v>4</v>
      </c>
      <c r="L179">
        <v>337000000</v>
      </c>
      <c r="M179" s="2">
        <f t="shared" si="94"/>
        <v>8.5276299008713394</v>
      </c>
      <c r="N179">
        <f t="shared" si="119"/>
        <v>337000000</v>
      </c>
      <c r="O179">
        <v>0</v>
      </c>
      <c r="P179" s="1">
        <v>39105</v>
      </c>
      <c r="Q179" s="89">
        <f t="shared" si="95"/>
        <v>2007</v>
      </c>
      <c r="R179" t="s">
        <v>152</v>
      </c>
      <c r="S179">
        <v>367762353</v>
      </c>
      <c r="T179" s="21">
        <f t="shared" si="86"/>
        <v>2.1397260273972605</v>
      </c>
      <c r="U179">
        <v>342.74</v>
      </c>
      <c r="V179">
        <f t="shared" si="96"/>
        <v>2.5362300726332561</v>
      </c>
      <c r="W179">
        <v>1977</v>
      </c>
      <c r="X179">
        <v>27</v>
      </c>
      <c r="Y179">
        <f t="shared" si="97"/>
        <v>1.4471580313422192</v>
      </c>
      <c r="Z179" s="45">
        <v>2.3199999999999998</v>
      </c>
      <c r="AA179" s="9">
        <f t="shared" si="87"/>
        <v>30762353</v>
      </c>
      <c r="AB179" s="15">
        <f t="shared" si="88"/>
        <v>9.1282946587537106E-2</v>
      </c>
      <c r="AC179" s="34">
        <f t="shared" si="98"/>
        <v>3.7937368562579774E-2</v>
      </c>
      <c r="AD179">
        <v>1248.0746999999999</v>
      </c>
      <c r="AE179">
        <f t="shared" si="91"/>
        <v>3.0962405795987471</v>
      </c>
      <c r="AF179">
        <v>2518.2170000000001</v>
      </c>
      <c r="AG179">
        <f t="shared" si="92"/>
        <v>3.4010931514437841</v>
      </c>
      <c r="AH179" s="9">
        <v>569.16666666666697</v>
      </c>
      <c r="AI179" s="9">
        <f t="shared" si="99"/>
        <v>2.756001823801419</v>
      </c>
      <c r="AJ179">
        <v>70</v>
      </c>
      <c r="AK179" s="23" t="s">
        <v>243</v>
      </c>
      <c r="AL179" s="42">
        <v>52.984855215816303</v>
      </c>
      <c r="AM179" s="24">
        <v>0.2</v>
      </c>
      <c r="AN179" s="34">
        <f t="shared" si="100"/>
        <v>7.9181246047624818E-2</v>
      </c>
      <c r="AO179">
        <v>1977</v>
      </c>
      <c r="AP179">
        <v>27</v>
      </c>
      <c r="AQ179">
        <v>85</v>
      </c>
      <c r="AR179">
        <v>80</v>
      </c>
      <c r="AS179">
        <f t="shared" si="89"/>
        <v>0</v>
      </c>
      <c r="AT179">
        <f t="shared" si="101"/>
        <v>0</v>
      </c>
      <c r="AU179">
        <f t="shared" si="102"/>
        <v>0</v>
      </c>
      <c r="AV179">
        <f t="shared" si="103"/>
        <v>0</v>
      </c>
      <c r="AW179">
        <f t="shared" si="104"/>
        <v>0</v>
      </c>
      <c r="AX179">
        <f t="shared" si="105"/>
        <v>0</v>
      </c>
      <c r="AY179">
        <f t="shared" si="106"/>
        <v>0</v>
      </c>
      <c r="AZ179">
        <f t="shared" si="107"/>
        <v>1</v>
      </c>
      <c r="BA179">
        <f t="shared" si="108"/>
        <v>0</v>
      </c>
      <c r="BB179">
        <f t="shared" si="109"/>
        <v>0</v>
      </c>
      <c r="BC179">
        <f t="shared" si="110"/>
        <v>0</v>
      </c>
      <c r="BD179">
        <f t="shared" si="111"/>
        <v>0</v>
      </c>
      <c r="BE179">
        <f t="shared" si="112"/>
        <v>0</v>
      </c>
      <c r="BF179">
        <f t="shared" si="113"/>
        <v>0</v>
      </c>
      <c r="BG179">
        <f t="shared" si="114"/>
        <v>0</v>
      </c>
      <c r="BH179">
        <f t="shared" si="115"/>
        <v>0</v>
      </c>
      <c r="BI179">
        <f t="shared" si="116"/>
        <v>0</v>
      </c>
    </row>
    <row r="180" spans="1:61" x14ac:dyDescent="0.35">
      <c r="A180" t="s">
        <v>51</v>
      </c>
      <c r="B180" s="1">
        <v>36557</v>
      </c>
      <c r="C180" t="s">
        <v>431</v>
      </c>
      <c r="D180" t="s">
        <v>163</v>
      </c>
      <c r="E180" t="s">
        <v>465</v>
      </c>
      <c r="F180" t="s">
        <v>59</v>
      </c>
      <c r="G180" t="s">
        <v>125</v>
      </c>
      <c r="H180" s="139">
        <f t="shared" si="90"/>
        <v>1</v>
      </c>
      <c r="I180" t="s">
        <v>234</v>
      </c>
      <c r="J180" t="s">
        <v>248</v>
      </c>
      <c r="K180" s="2">
        <f t="shared" si="93"/>
        <v>5</v>
      </c>
      <c r="L180">
        <v>416000000</v>
      </c>
      <c r="M180" s="2">
        <f t="shared" si="94"/>
        <v>8.6190933306267432</v>
      </c>
      <c r="N180">
        <f t="shared" si="119"/>
        <v>416000000</v>
      </c>
      <c r="O180">
        <v>0</v>
      </c>
      <c r="P180" s="1">
        <v>37894</v>
      </c>
      <c r="Q180" s="89">
        <f t="shared" si="95"/>
        <v>2003</v>
      </c>
      <c r="R180" t="s">
        <v>152</v>
      </c>
      <c r="S180">
        <v>520000000</v>
      </c>
      <c r="T180" s="21">
        <f t="shared" si="86"/>
        <v>3.6630136986301371</v>
      </c>
      <c r="U180">
        <v>342.74</v>
      </c>
      <c r="V180">
        <f t="shared" si="96"/>
        <v>2.5362300726332561</v>
      </c>
      <c r="W180">
        <v>1935</v>
      </c>
      <c r="X180">
        <v>65</v>
      </c>
      <c r="Y180">
        <f t="shared" si="97"/>
        <v>1.8195439355418688</v>
      </c>
      <c r="Z180" s="45">
        <v>2.3199999999999998</v>
      </c>
      <c r="AA180" s="9">
        <f t="shared" si="87"/>
        <v>104000000</v>
      </c>
      <c r="AB180" s="15">
        <f t="shared" si="88"/>
        <v>0.25</v>
      </c>
      <c r="AC180" s="34">
        <f t="shared" si="98"/>
        <v>9.691001300805642E-2</v>
      </c>
      <c r="AD180">
        <v>1248.0746999999999</v>
      </c>
      <c r="AE180">
        <f t="shared" si="91"/>
        <v>3.0962405795987471</v>
      </c>
      <c r="AF180">
        <v>2518.2170000000001</v>
      </c>
      <c r="AG180">
        <f t="shared" si="92"/>
        <v>3.4010931514437841</v>
      </c>
      <c r="AH180" s="9">
        <v>569.16666666666697</v>
      </c>
      <c r="AI180" s="9">
        <f t="shared" si="99"/>
        <v>2.756001823801419</v>
      </c>
      <c r="AJ180">
        <v>70</v>
      </c>
      <c r="AK180" s="23" t="s">
        <v>466</v>
      </c>
      <c r="AL180" s="42">
        <v>51.652289181886701</v>
      </c>
      <c r="AM180" s="24">
        <v>-0.28999999999999998</v>
      </c>
      <c r="AN180" s="34">
        <f t="shared" si="100"/>
        <v>-0.14874165128092473</v>
      </c>
      <c r="AO180">
        <v>1977</v>
      </c>
      <c r="AP180">
        <v>23</v>
      </c>
      <c r="AQ180">
        <v>85</v>
      </c>
      <c r="AR180">
        <v>80</v>
      </c>
      <c r="AS180">
        <f t="shared" si="89"/>
        <v>0</v>
      </c>
      <c r="AT180">
        <f t="shared" si="101"/>
        <v>0</v>
      </c>
      <c r="AU180">
        <f t="shared" si="102"/>
        <v>0</v>
      </c>
      <c r="AV180">
        <f t="shared" si="103"/>
        <v>0</v>
      </c>
      <c r="AW180">
        <f t="shared" si="104"/>
        <v>0</v>
      </c>
      <c r="AX180">
        <f t="shared" si="105"/>
        <v>0</v>
      </c>
      <c r="AY180">
        <f t="shared" si="106"/>
        <v>0</v>
      </c>
      <c r="AZ180">
        <f t="shared" si="107"/>
        <v>1</v>
      </c>
      <c r="BA180">
        <f t="shared" si="108"/>
        <v>0</v>
      </c>
      <c r="BB180">
        <f t="shared" si="109"/>
        <v>0</v>
      </c>
      <c r="BC180">
        <f t="shared" si="110"/>
        <v>0</v>
      </c>
      <c r="BD180">
        <f t="shared" si="111"/>
        <v>0</v>
      </c>
      <c r="BE180">
        <f t="shared" si="112"/>
        <v>0</v>
      </c>
      <c r="BF180">
        <f t="shared" si="113"/>
        <v>0</v>
      </c>
      <c r="BG180">
        <f t="shared" si="114"/>
        <v>0</v>
      </c>
      <c r="BH180">
        <f t="shared" si="115"/>
        <v>0</v>
      </c>
      <c r="BI180">
        <f t="shared" si="116"/>
        <v>0</v>
      </c>
    </row>
    <row r="181" spans="1:61" x14ac:dyDescent="0.35">
      <c r="A181" t="s">
        <v>51</v>
      </c>
      <c r="B181" s="1">
        <v>38320</v>
      </c>
      <c r="C181" t="s">
        <v>467</v>
      </c>
      <c r="D181" t="s">
        <v>7</v>
      </c>
      <c r="E181" t="s">
        <v>456</v>
      </c>
      <c r="F181" t="s">
        <v>59</v>
      </c>
      <c r="G181" t="s">
        <v>125</v>
      </c>
      <c r="H181" s="139">
        <f t="shared" si="90"/>
        <v>1</v>
      </c>
      <c r="I181" t="s">
        <v>234</v>
      </c>
      <c r="J181" t="s">
        <v>186</v>
      </c>
      <c r="K181" s="2">
        <f t="shared" si="93"/>
        <v>4</v>
      </c>
      <c r="L181">
        <v>2075000000</v>
      </c>
      <c r="M181" s="2">
        <f t="shared" si="94"/>
        <v>9.3170181010481112</v>
      </c>
      <c r="N181">
        <f t="shared" si="119"/>
        <v>2075000000</v>
      </c>
      <c r="O181">
        <v>0</v>
      </c>
      <c r="P181" s="1">
        <v>40480</v>
      </c>
      <c r="Q181" s="89">
        <f t="shared" si="95"/>
        <v>2010</v>
      </c>
      <c r="R181" t="s">
        <v>338</v>
      </c>
      <c r="S181">
        <v>0</v>
      </c>
      <c r="T181" s="21">
        <f t="shared" si="86"/>
        <v>5.9178082191780819</v>
      </c>
      <c r="U181">
        <v>489.17</v>
      </c>
      <c r="V181">
        <f t="shared" si="96"/>
        <v>2.6903467274930635</v>
      </c>
      <c r="W181">
        <v>1968</v>
      </c>
      <c r="X181">
        <v>36</v>
      </c>
      <c r="Y181">
        <f t="shared" si="97"/>
        <v>1.568201724066995</v>
      </c>
      <c r="Z181" s="45">
        <v>2.59</v>
      </c>
      <c r="AA181" s="9">
        <f t="shared" si="87"/>
        <v>-2075000000</v>
      </c>
      <c r="AB181" s="15">
        <f t="shared" si="88"/>
        <v>-1</v>
      </c>
      <c r="AC181" s="34">
        <f t="shared" si="98"/>
        <v>-1</v>
      </c>
      <c r="AD181">
        <v>1248.0746999999999</v>
      </c>
      <c r="AE181">
        <f t="shared" si="91"/>
        <v>3.0962405795987471</v>
      </c>
      <c r="AF181">
        <v>2518.2170000000001</v>
      </c>
      <c r="AG181">
        <f t="shared" si="92"/>
        <v>3.4010931514437841</v>
      </c>
      <c r="AH181" s="9">
        <v>562.5</v>
      </c>
      <c r="AI181" s="9">
        <f t="shared" si="99"/>
        <v>2.7508939203821252</v>
      </c>
      <c r="AJ181">
        <v>85</v>
      </c>
      <c r="AK181" s="23" t="s">
        <v>468</v>
      </c>
      <c r="AL181" s="42">
        <v>43.824698342891402</v>
      </c>
      <c r="AM181" s="24">
        <v>0</v>
      </c>
      <c r="AN181" s="34">
        <f t="shared" si="100"/>
        <v>0</v>
      </c>
      <c r="AO181">
        <v>1977</v>
      </c>
      <c r="AP181">
        <v>27</v>
      </c>
      <c r="AQ181">
        <v>90</v>
      </c>
      <c r="AR181">
        <v>70</v>
      </c>
      <c r="AS181">
        <f t="shared" si="89"/>
        <v>1</v>
      </c>
      <c r="AT181">
        <f t="shared" si="101"/>
        <v>0</v>
      </c>
      <c r="AU181">
        <f t="shared" si="102"/>
        <v>0</v>
      </c>
      <c r="AV181">
        <f t="shared" si="103"/>
        <v>0</v>
      </c>
      <c r="AW181">
        <f t="shared" si="104"/>
        <v>0</v>
      </c>
      <c r="AX181">
        <f t="shared" si="105"/>
        <v>0</v>
      </c>
      <c r="AY181">
        <f t="shared" si="106"/>
        <v>0</v>
      </c>
      <c r="AZ181">
        <f t="shared" si="107"/>
        <v>0</v>
      </c>
      <c r="BA181">
        <f t="shared" si="108"/>
        <v>0</v>
      </c>
      <c r="BB181">
        <f t="shared" si="109"/>
        <v>0</v>
      </c>
      <c r="BC181">
        <f t="shared" si="110"/>
        <v>0</v>
      </c>
      <c r="BD181">
        <f t="shared" si="111"/>
        <v>0</v>
      </c>
      <c r="BE181">
        <f t="shared" si="112"/>
        <v>1</v>
      </c>
      <c r="BF181">
        <f t="shared" si="113"/>
        <v>0</v>
      </c>
      <c r="BG181">
        <f t="shared" si="114"/>
        <v>0</v>
      </c>
      <c r="BH181">
        <f t="shared" si="115"/>
        <v>0</v>
      </c>
      <c r="BI181">
        <f t="shared" si="116"/>
        <v>0</v>
      </c>
    </row>
    <row r="182" spans="1:61" x14ac:dyDescent="0.35">
      <c r="A182" t="s">
        <v>51</v>
      </c>
      <c r="B182" s="1">
        <v>41732</v>
      </c>
      <c r="C182" t="s">
        <v>469</v>
      </c>
      <c r="D182" t="s">
        <v>45</v>
      </c>
      <c r="E182" t="s">
        <v>461</v>
      </c>
      <c r="F182" t="s">
        <v>59</v>
      </c>
      <c r="G182" t="s">
        <v>125</v>
      </c>
      <c r="H182" s="139">
        <f t="shared" si="90"/>
        <v>1</v>
      </c>
      <c r="I182" t="s">
        <v>234</v>
      </c>
      <c r="J182" t="s">
        <v>190</v>
      </c>
      <c r="K182" s="2">
        <f t="shared" si="93"/>
        <v>2</v>
      </c>
      <c r="L182">
        <v>664693000</v>
      </c>
      <c r="M182" s="2">
        <f t="shared" si="94"/>
        <v>8.8226211051659256</v>
      </c>
      <c r="N182">
        <f t="shared" si="119"/>
        <v>664693000</v>
      </c>
      <c r="O182">
        <v>0</v>
      </c>
      <c r="P182" s="1">
        <v>43334</v>
      </c>
      <c r="Q182" s="89">
        <f t="shared" si="95"/>
        <v>2018</v>
      </c>
      <c r="R182" t="s">
        <v>322</v>
      </c>
      <c r="S182">
        <v>916500000</v>
      </c>
      <c r="T182" s="21">
        <f t="shared" si="86"/>
        <v>4.3890410958904109</v>
      </c>
      <c r="U182">
        <v>5897.96</v>
      </c>
      <c r="V182">
        <f t="shared" si="96"/>
        <v>3.7707754512906644</v>
      </c>
      <c r="W182">
        <v>1992</v>
      </c>
      <c r="X182">
        <v>22</v>
      </c>
      <c r="Y182">
        <f t="shared" si="97"/>
        <v>1.3617278360175928</v>
      </c>
      <c r="Z182" s="45">
        <v>2.3199999999999998</v>
      </c>
      <c r="AA182" s="9">
        <f t="shared" si="87"/>
        <v>251807000</v>
      </c>
      <c r="AB182" s="15">
        <f t="shared" si="88"/>
        <v>0.37883203223142115</v>
      </c>
      <c r="AC182" s="34">
        <f t="shared" si="98"/>
        <v>0.13951136413231044</v>
      </c>
      <c r="AD182">
        <v>1248.0746999999999</v>
      </c>
      <c r="AE182">
        <f t="shared" si="91"/>
        <v>3.0962405795987471</v>
      </c>
      <c r="AF182">
        <v>2518.2170000000001</v>
      </c>
      <c r="AG182">
        <f t="shared" si="92"/>
        <v>3.4010931514437841</v>
      </c>
      <c r="AH182" s="9">
        <v>132</v>
      </c>
      <c r="AI182" s="9">
        <f t="shared" si="99"/>
        <v>2.1238516409670858</v>
      </c>
      <c r="AJ182">
        <v>89.2</v>
      </c>
      <c r="AK182" s="23" t="s">
        <v>313</v>
      </c>
      <c r="AL182" s="42">
        <v>38.344872802923099</v>
      </c>
      <c r="AM182" s="24">
        <v>0.52</v>
      </c>
      <c r="AN182" s="34">
        <f t="shared" si="100"/>
        <v>0.18184358794477254</v>
      </c>
      <c r="AO182">
        <v>1977</v>
      </c>
      <c r="AP182">
        <v>37</v>
      </c>
      <c r="AQ182">
        <v>70</v>
      </c>
      <c r="AR182">
        <v>70</v>
      </c>
      <c r="AS182">
        <f t="shared" si="89"/>
        <v>0</v>
      </c>
      <c r="AT182">
        <f t="shared" si="101"/>
        <v>1</v>
      </c>
      <c r="AU182">
        <f t="shared" si="102"/>
        <v>0</v>
      </c>
      <c r="AV182">
        <f t="shared" si="103"/>
        <v>0</v>
      </c>
      <c r="AW182">
        <f t="shared" si="104"/>
        <v>0</v>
      </c>
      <c r="AX182">
        <f t="shared" si="105"/>
        <v>0</v>
      </c>
      <c r="AY182">
        <f t="shared" si="106"/>
        <v>0</v>
      </c>
      <c r="AZ182">
        <f t="shared" si="107"/>
        <v>0</v>
      </c>
      <c r="BA182">
        <f t="shared" si="108"/>
        <v>0</v>
      </c>
      <c r="BB182">
        <f t="shared" si="109"/>
        <v>0</v>
      </c>
      <c r="BC182">
        <f t="shared" si="110"/>
        <v>0</v>
      </c>
      <c r="BD182">
        <f t="shared" si="111"/>
        <v>0</v>
      </c>
      <c r="BE182">
        <f t="shared" si="112"/>
        <v>0</v>
      </c>
      <c r="BF182">
        <f t="shared" si="113"/>
        <v>0</v>
      </c>
      <c r="BG182">
        <f t="shared" si="114"/>
        <v>0</v>
      </c>
      <c r="BH182">
        <f t="shared" si="115"/>
        <v>0</v>
      </c>
      <c r="BI182">
        <f t="shared" si="116"/>
        <v>0</v>
      </c>
    </row>
    <row r="183" spans="1:61" x14ac:dyDescent="0.35">
      <c r="A183" t="s">
        <v>51</v>
      </c>
      <c r="B183" s="1">
        <v>36266</v>
      </c>
      <c r="C183" t="s">
        <v>470</v>
      </c>
      <c r="D183" t="s">
        <v>45</v>
      </c>
      <c r="E183" t="s">
        <v>465</v>
      </c>
      <c r="F183" t="s">
        <v>59</v>
      </c>
      <c r="G183" t="s">
        <v>125</v>
      </c>
      <c r="H183" s="139">
        <f t="shared" si="90"/>
        <v>1</v>
      </c>
      <c r="I183" t="s">
        <v>234</v>
      </c>
      <c r="J183" t="s">
        <v>326</v>
      </c>
      <c r="K183" s="2">
        <f t="shared" si="93"/>
        <v>8</v>
      </c>
      <c r="L183">
        <v>322000000</v>
      </c>
      <c r="M183" s="2">
        <f t="shared" si="94"/>
        <v>8.5078558716958312</v>
      </c>
      <c r="N183">
        <f t="shared" si="119"/>
        <v>322000000</v>
      </c>
      <c r="O183">
        <v>0</v>
      </c>
      <c r="P183" s="1">
        <v>39133</v>
      </c>
      <c r="Q183" s="89">
        <f t="shared" si="95"/>
        <v>2007</v>
      </c>
      <c r="R183" t="s">
        <v>152</v>
      </c>
      <c r="S183">
        <v>438210000</v>
      </c>
      <c r="T183" s="21">
        <f t="shared" si="86"/>
        <v>7.8547945205479452</v>
      </c>
      <c r="U183">
        <v>5897.96</v>
      </c>
      <c r="V183">
        <f t="shared" si="96"/>
        <v>3.7707754512906644</v>
      </c>
      <c r="W183">
        <v>1926</v>
      </c>
      <c r="X183">
        <v>73</v>
      </c>
      <c r="Y183">
        <f t="shared" si="97"/>
        <v>1.8692317197309762</v>
      </c>
      <c r="Z183" s="45">
        <v>2.3199999999999998</v>
      </c>
      <c r="AA183" s="9">
        <f t="shared" si="87"/>
        <v>116210000</v>
      </c>
      <c r="AB183" s="15">
        <f t="shared" si="88"/>
        <v>0.36090062111801235</v>
      </c>
      <c r="AC183" s="34">
        <f t="shared" si="98"/>
        <v>0.13382641228938827</v>
      </c>
      <c r="AD183">
        <v>1248.0746999999999</v>
      </c>
      <c r="AE183">
        <f t="shared" si="91"/>
        <v>3.0962405795987471</v>
      </c>
      <c r="AF183">
        <v>2518.2170000000001</v>
      </c>
      <c r="AG183">
        <f t="shared" si="92"/>
        <v>3.4010931514437841</v>
      </c>
      <c r="AH183" s="9">
        <v>132</v>
      </c>
      <c r="AI183" s="9">
        <f t="shared" si="99"/>
        <v>2.1238516409670858</v>
      </c>
      <c r="AJ183">
        <v>85</v>
      </c>
      <c r="AK183" s="23" t="s">
        <v>75</v>
      </c>
      <c r="AL183" s="42">
        <v>34.656907836978597</v>
      </c>
      <c r="AM183" s="24">
        <v>0.11</v>
      </c>
      <c r="AN183" s="34">
        <f t="shared" si="100"/>
        <v>4.5322978786657475E-2</v>
      </c>
      <c r="AO183">
        <v>1977</v>
      </c>
      <c r="AP183">
        <v>22</v>
      </c>
      <c r="AQ183">
        <v>70</v>
      </c>
      <c r="AR183">
        <v>70</v>
      </c>
      <c r="AS183">
        <f t="shared" si="89"/>
        <v>0</v>
      </c>
      <c r="AT183">
        <f t="shared" si="101"/>
        <v>1</v>
      </c>
      <c r="AU183">
        <f t="shared" si="102"/>
        <v>0</v>
      </c>
      <c r="AV183">
        <f t="shared" si="103"/>
        <v>0</v>
      </c>
      <c r="AW183">
        <f t="shared" si="104"/>
        <v>0</v>
      </c>
      <c r="AX183">
        <f t="shared" si="105"/>
        <v>0</v>
      </c>
      <c r="AY183">
        <f t="shared" si="106"/>
        <v>0</v>
      </c>
      <c r="AZ183">
        <f t="shared" si="107"/>
        <v>0</v>
      </c>
      <c r="BA183">
        <f t="shared" si="108"/>
        <v>0</v>
      </c>
      <c r="BB183">
        <f t="shared" si="109"/>
        <v>0</v>
      </c>
      <c r="BC183">
        <f t="shared" si="110"/>
        <v>0</v>
      </c>
      <c r="BD183">
        <f t="shared" si="111"/>
        <v>0</v>
      </c>
      <c r="BE183">
        <f t="shared" si="112"/>
        <v>0</v>
      </c>
      <c r="BF183">
        <f t="shared" si="113"/>
        <v>0</v>
      </c>
      <c r="BG183">
        <f t="shared" si="114"/>
        <v>0</v>
      </c>
      <c r="BH183">
        <f t="shared" si="115"/>
        <v>0</v>
      </c>
      <c r="BI183">
        <f t="shared" si="116"/>
        <v>0</v>
      </c>
    </row>
    <row r="184" spans="1:61" x14ac:dyDescent="0.35">
      <c r="A184" t="s">
        <v>196</v>
      </c>
      <c r="B184" s="1">
        <v>39273</v>
      </c>
      <c r="C184" t="s">
        <v>471</v>
      </c>
      <c r="D184" t="s">
        <v>447</v>
      </c>
      <c r="E184" t="s">
        <v>458</v>
      </c>
      <c r="F184" t="s">
        <v>59</v>
      </c>
      <c r="G184" t="s">
        <v>125</v>
      </c>
      <c r="H184" s="139">
        <f t="shared" si="90"/>
        <v>1</v>
      </c>
      <c r="I184" t="s">
        <v>234</v>
      </c>
      <c r="J184" t="s">
        <v>190</v>
      </c>
      <c r="K184" s="2">
        <f t="shared" si="93"/>
        <v>2</v>
      </c>
      <c r="L184">
        <v>675000000</v>
      </c>
      <c r="M184" s="2">
        <f t="shared" si="94"/>
        <v>8.8293037728310253</v>
      </c>
      <c r="N184">
        <f t="shared" si="119"/>
        <v>675000000</v>
      </c>
      <c r="O184">
        <v>0</v>
      </c>
      <c r="P184" s="1">
        <v>39948</v>
      </c>
      <c r="Q184" s="89">
        <f t="shared" si="95"/>
        <v>2009</v>
      </c>
      <c r="R184" t="s">
        <v>155</v>
      </c>
      <c r="S184">
        <v>500000000</v>
      </c>
      <c r="T184" s="21">
        <f t="shared" si="86"/>
        <v>1.8493150684931507</v>
      </c>
      <c r="U184">
        <v>1262.6099999999999</v>
      </c>
      <c r="V184">
        <f t="shared" si="96"/>
        <v>3.1016130541812235</v>
      </c>
      <c r="W184">
        <v>1998</v>
      </c>
      <c r="X184">
        <v>9</v>
      </c>
      <c r="Y184">
        <f t="shared" si="97"/>
        <v>1</v>
      </c>
      <c r="Z184" s="45">
        <v>2.4700000000000002</v>
      </c>
      <c r="AA184" s="9">
        <f t="shared" si="87"/>
        <v>-175000000</v>
      </c>
      <c r="AB184" s="15">
        <f t="shared" si="88"/>
        <v>-0.2592592592592593</v>
      </c>
      <c r="AC184" s="34">
        <f t="shared" si="98"/>
        <v>-0.13033376849500614</v>
      </c>
      <c r="AD184">
        <v>1248.0746999999999</v>
      </c>
      <c r="AE184">
        <f t="shared" si="91"/>
        <v>3.0962405795987471</v>
      </c>
      <c r="AF184">
        <v>2518.2170000000001</v>
      </c>
      <c r="AG184">
        <f t="shared" si="92"/>
        <v>3.4010931514437841</v>
      </c>
      <c r="AH184" s="9">
        <v>956.5</v>
      </c>
      <c r="AI184" s="9">
        <f t="shared" si="99"/>
        <v>2.9811387826406603</v>
      </c>
      <c r="AJ184">
        <v>78</v>
      </c>
      <c r="AK184" s="23" t="s">
        <v>472</v>
      </c>
      <c r="AL184" s="42">
        <v>39.0275969715222</v>
      </c>
      <c r="AM184" s="24">
        <v>-0.42</v>
      </c>
      <c r="AN184" s="34">
        <f t="shared" si="100"/>
        <v>-0.23657200643706267</v>
      </c>
      <c r="AO184">
        <v>1977</v>
      </c>
      <c r="AP184">
        <v>30</v>
      </c>
      <c r="AQ184">
        <v>70</v>
      </c>
      <c r="AR184">
        <v>50</v>
      </c>
      <c r="AS184">
        <f t="shared" si="89"/>
        <v>0</v>
      </c>
      <c r="AT184">
        <f t="shared" si="101"/>
        <v>0</v>
      </c>
      <c r="AU184">
        <f t="shared" si="102"/>
        <v>0</v>
      </c>
      <c r="AV184">
        <f t="shared" si="103"/>
        <v>0</v>
      </c>
      <c r="AW184">
        <f t="shared" si="104"/>
        <v>0</v>
      </c>
      <c r="AX184">
        <f t="shared" si="105"/>
        <v>0</v>
      </c>
      <c r="AY184">
        <f t="shared" si="106"/>
        <v>0</v>
      </c>
      <c r="AZ184">
        <f t="shared" si="107"/>
        <v>0</v>
      </c>
      <c r="BA184">
        <f t="shared" si="108"/>
        <v>0</v>
      </c>
      <c r="BB184">
        <f t="shared" si="109"/>
        <v>0</v>
      </c>
      <c r="BC184">
        <f t="shared" si="110"/>
        <v>0</v>
      </c>
      <c r="BD184">
        <f t="shared" si="111"/>
        <v>1</v>
      </c>
      <c r="BE184">
        <f t="shared" si="112"/>
        <v>0</v>
      </c>
      <c r="BF184">
        <f t="shared" si="113"/>
        <v>0</v>
      </c>
      <c r="BG184">
        <f t="shared" si="114"/>
        <v>0</v>
      </c>
      <c r="BH184">
        <f t="shared" si="115"/>
        <v>0</v>
      </c>
      <c r="BI184">
        <f t="shared" si="116"/>
        <v>0</v>
      </c>
    </row>
    <row r="185" spans="1:61" x14ac:dyDescent="0.35">
      <c r="A185" t="s">
        <v>473</v>
      </c>
      <c r="B185" s="1">
        <v>39065</v>
      </c>
      <c r="C185" t="s">
        <v>474</v>
      </c>
      <c r="D185" t="s">
        <v>434</v>
      </c>
      <c r="E185" t="s">
        <v>458</v>
      </c>
      <c r="F185" t="s">
        <v>59</v>
      </c>
      <c r="G185" t="s">
        <v>125</v>
      </c>
      <c r="H185" s="139">
        <f t="shared" si="90"/>
        <v>1</v>
      </c>
      <c r="I185" t="s">
        <v>234</v>
      </c>
      <c r="J185" t="s">
        <v>235</v>
      </c>
      <c r="K185" s="2">
        <f t="shared" si="93"/>
        <v>1</v>
      </c>
      <c r="L185">
        <v>2570000000</v>
      </c>
      <c r="M185" s="2">
        <f t="shared" si="94"/>
        <v>9.4099331233312942</v>
      </c>
      <c r="N185">
        <f t="shared" si="119"/>
        <v>2570000000</v>
      </c>
      <c r="O185">
        <v>0</v>
      </c>
      <c r="P185" s="1">
        <v>41487</v>
      </c>
      <c r="Q185" s="89">
        <f t="shared" si="95"/>
        <v>2013</v>
      </c>
      <c r="R185" t="s">
        <v>155</v>
      </c>
      <c r="S185">
        <v>3655000000</v>
      </c>
      <c r="T185" s="21">
        <f t="shared" si="86"/>
        <v>6.6356164383561644</v>
      </c>
      <c r="U185">
        <v>1434.12</v>
      </c>
      <c r="V185">
        <f t="shared" si="96"/>
        <v>3.1568882168601933</v>
      </c>
      <c r="W185">
        <v>1908</v>
      </c>
      <c r="X185">
        <v>98</v>
      </c>
      <c r="Y185">
        <f t="shared" si="97"/>
        <v>1.9956351945975499</v>
      </c>
      <c r="Z185" s="45">
        <v>2.5099999999999998</v>
      </c>
      <c r="AA185" s="9">
        <f t="shared" si="87"/>
        <v>1085000000</v>
      </c>
      <c r="AB185" s="15">
        <f t="shared" si="88"/>
        <v>0.4221789883268483</v>
      </c>
      <c r="AC185" s="34">
        <f t="shared" si="98"/>
        <v>0.15295425796258474</v>
      </c>
      <c r="AD185">
        <v>1248.0746999999999</v>
      </c>
      <c r="AE185">
        <f t="shared" si="91"/>
        <v>3.0962405795987471</v>
      </c>
      <c r="AF185">
        <v>2518.2170000000001</v>
      </c>
      <c r="AG185">
        <f t="shared" si="92"/>
        <v>3.4010931514437841</v>
      </c>
      <c r="AH185" s="9">
        <v>605.16666666666697</v>
      </c>
      <c r="AI185" s="9">
        <f t="shared" si="99"/>
        <v>2.7825920506710684</v>
      </c>
      <c r="AJ185">
        <v>78.400000000000006</v>
      </c>
      <c r="AK185" s="23" t="s">
        <v>454</v>
      </c>
      <c r="AL185" s="42">
        <v>47.629620244041597</v>
      </c>
      <c r="AM185" s="24">
        <v>0.2</v>
      </c>
      <c r="AN185" s="34">
        <f t="shared" si="100"/>
        <v>7.9181246047624818E-2</v>
      </c>
      <c r="AO185">
        <v>1977</v>
      </c>
      <c r="AP185">
        <v>29</v>
      </c>
      <c r="AQ185">
        <v>90</v>
      </c>
      <c r="AR185">
        <v>70</v>
      </c>
      <c r="AS185">
        <f t="shared" si="89"/>
        <v>0</v>
      </c>
      <c r="AT185">
        <f t="shared" si="101"/>
        <v>0</v>
      </c>
      <c r="AU185">
        <f t="shared" si="102"/>
        <v>0</v>
      </c>
      <c r="AV185">
        <f t="shared" si="103"/>
        <v>0</v>
      </c>
      <c r="AW185">
        <f t="shared" si="104"/>
        <v>0</v>
      </c>
      <c r="AX185">
        <f t="shared" si="105"/>
        <v>0</v>
      </c>
      <c r="AY185">
        <f t="shared" si="106"/>
        <v>0</v>
      </c>
      <c r="AZ185">
        <f t="shared" si="107"/>
        <v>0</v>
      </c>
      <c r="BA185">
        <f t="shared" si="108"/>
        <v>0</v>
      </c>
      <c r="BB185">
        <f t="shared" si="109"/>
        <v>0</v>
      </c>
      <c r="BC185">
        <f t="shared" si="110"/>
        <v>1</v>
      </c>
      <c r="BD185">
        <f t="shared" si="111"/>
        <v>0</v>
      </c>
      <c r="BE185">
        <f t="shared" si="112"/>
        <v>0</v>
      </c>
      <c r="BF185">
        <f t="shared" si="113"/>
        <v>0</v>
      </c>
      <c r="BG185">
        <f t="shared" si="114"/>
        <v>0</v>
      </c>
      <c r="BH185">
        <f t="shared" si="115"/>
        <v>0</v>
      </c>
      <c r="BI185">
        <f t="shared" si="116"/>
        <v>0</v>
      </c>
    </row>
    <row r="186" spans="1:61" x14ac:dyDescent="0.35">
      <c r="A186" t="s">
        <v>196</v>
      </c>
      <c r="B186" s="1">
        <v>39248</v>
      </c>
      <c r="C186" t="s">
        <v>366</v>
      </c>
      <c r="D186" t="s">
        <v>45</v>
      </c>
      <c r="E186" s="26" t="s">
        <v>475</v>
      </c>
      <c r="F186" t="s">
        <v>59</v>
      </c>
      <c r="G186" t="s">
        <v>125</v>
      </c>
      <c r="H186" s="139">
        <f t="shared" si="90"/>
        <v>1</v>
      </c>
      <c r="I186" t="s">
        <v>234</v>
      </c>
      <c r="J186" t="s">
        <v>178</v>
      </c>
      <c r="K186" s="2">
        <f t="shared" si="93"/>
        <v>9</v>
      </c>
      <c r="L186">
        <v>415000000</v>
      </c>
      <c r="M186" s="2">
        <f t="shared" si="94"/>
        <v>8.6180480967120925</v>
      </c>
      <c r="N186">
        <f t="shared" si="119"/>
        <v>415000000</v>
      </c>
      <c r="O186">
        <v>0</v>
      </c>
      <c r="P186" s="1">
        <v>40928</v>
      </c>
      <c r="Q186" s="89">
        <f t="shared" si="95"/>
        <v>2012</v>
      </c>
      <c r="R186" t="s">
        <v>152</v>
      </c>
      <c r="S186">
        <v>841230000</v>
      </c>
      <c r="T186" s="21">
        <f t="shared" si="86"/>
        <v>4.602739726027397</v>
      </c>
      <c r="U186">
        <v>5897.96</v>
      </c>
      <c r="V186">
        <f t="shared" si="96"/>
        <v>3.7707754512906644</v>
      </c>
      <c r="W186">
        <v>1998</v>
      </c>
      <c r="X186">
        <v>9</v>
      </c>
      <c r="Y186">
        <f t="shared" si="97"/>
        <v>1</v>
      </c>
      <c r="Z186" s="45">
        <v>2.3199999999999998</v>
      </c>
      <c r="AA186" s="9">
        <f t="shared" si="87"/>
        <v>426230000</v>
      </c>
      <c r="AB186" s="15">
        <f t="shared" si="88"/>
        <v>1.0270602409638556</v>
      </c>
      <c r="AC186" s="34">
        <f t="shared" si="98"/>
        <v>0.30686665541695157</v>
      </c>
      <c r="AD186" s="40">
        <v>1709.090909090909</v>
      </c>
      <c r="AE186">
        <f t="shared" si="91"/>
        <v>3.2327651641054547</v>
      </c>
      <c r="AF186">
        <v>8968.5950413223145</v>
      </c>
      <c r="AG186">
        <f t="shared" si="92"/>
        <v>3.9527244147731087</v>
      </c>
      <c r="AH186" s="9">
        <v>132</v>
      </c>
      <c r="AI186" s="9">
        <f t="shared" si="99"/>
        <v>2.1238516409670858</v>
      </c>
      <c r="AJ186">
        <v>91.4</v>
      </c>
      <c r="AK186" s="23" t="s">
        <v>103</v>
      </c>
      <c r="AL186" s="42">
        <v>37.425715444240403</v>
      </c>
      <c r="AM186" s="24">
        <v>-0.14000000000000001</v>
      </c>
      <c r="AN186" s="34">
        <f t="shared" si="100"/>
        <v>-6.5501548756432285E-2</v>
      </c>
      <c r="AO186">
        <v>1980</v>
      </c>
      <c r="AP186">
        <v>27</v>
      </c>
      <c r="AQ186">
        <v>70</v>
      </c>
      <c r="AR186">
        <v>70</v>
      </c>
      <c r="AS186">
        <f t="shared" si="89"/>
        <v>0</v>
      </c>
      <c r="AT186">
        <f t="shared" si="101"/>
        <v>1</v>
      </c>
      <c r="AU186">
        <f t="shared" si="102"/>
        <v>0</v>
      </c>
      <c r="AV186">
        <f t="shared" si="103"/>
        <v>0</v>
      </c>
      <c r="AW186">
        <f t="shared" si="104"/>
        <v>0</v>
      </c>
      <c r="AX186">
        <f t="shared" si="105"/>
        <v>0</v>
      </c>
      <c r="AY186">
        <f t="shared" si="106"/>
        <v>0</v>
      </c>
      <c r="AZ186">
        <f t="shared" si="107"/>
        <v>0</v>
      </c>
      <c r="BA186">
        <f t="shared" si="108"/>
        <v>0</v>
      </c>
      <c r="BB186">
        <f t="shared" si="109"/>
        <v>0</v>
      </c>
      <c r="BC186">
        <f t="shared" si="110"/>
        <v>0</v>
      </c>
      <c r="BD186">
        <f t="shared" si="111"/>
        <v>0</v>
      </c>
      <c r="BE186">
        <f t="shared" si="112"/>
        <v>0</v>
      </c>
      <c r="BF186">
        <f t="shared" si="113"/>
        <v>0</v>
      </c>
      <c r="BG186">
        <f t="shared" si="114"/>
        <v>0</v>
      </c>
      <c r="BH186">
        <f t="shared" si="115"/>
        <v>0</v>
      </c>
      <c r="BI186">
        <f t="shared" si="116"/>
        <v>0</v>
      </c>
    </row>
    <row r="187" spans="1:61" x14ac:dyDescent="0.35">
      <c r="A187" t="s">
        <v>51</v>
      </c>
      <c r="B187" s="1">
        <v>38741</v>
      </c>
      <c r="C187" t="s">
        <v>476</v>
      </c>
      <c r="D187" t="s">
        <v>1</v>
      </c>
      <c r="E187" t="s">
        <v>475</v>
      </c>
      <c r="F187" t="s">
        <v>59</v>
      </c>
      <c r="G187" t="s">
        <v>125</v>
      </c>
      <c r="H187" s="139">
        <f t="shared" si="90"/>
        <v>1</v>
      </c>
      <c r="I187" t="s">
        <v>234</v>
      </c>
      <c r="J187" t="s">
        <v>186</v>
      </c>
      <c r="K187" s="2">
        <f t="shared" si="93"/>
        <v>4</v>
      </c>
      <c r="L187">
        <v>450000000</v>
      </c>
      <c r="M187" s="2">
        <f t="shared" si="94"/>
        <v>8.653212513775344</v>
      </c>
      <c r="N187">
        <f t="shared" si="119"/>
        <v>450000000</v>
      </c>
      <c r="O187">
        <v>0</v>
      </c>
      <c r="P187" s="1">
        <v>39406</v>
      </c>
      <c r="Q187" s="89">
        <f t="shared" si="95"/>
        <v>2007</v>
      </c>
      <c r="R187" t="s">
        <v>152</v>
      </c>
      <c r="S187">
        <v>727900000</v>
      </c>
      <c r="T187" s="21">
        <f t="shared" si="86"/>
        <v>1.821917808219178</v>
      </c>
      <c r="U187">
        <v>1153.8900000000001</v>
      </c>
      <c r="V187">
        <f t="shared" si="96"/>
        <v>3.0625406208792199</v>
      </c>
      <c r="W187">
        <v>1969</v>
      </c>
      <c r="X187">
        <v>37</v>
      </c>
      <c r="Y187">
        <f t="shared" si="97"/>
        <v>1.5797835966168101</v>
      </c>
      <c r="Z187" s="45">
        <v>3.06</v>
      </c>
      <c r="AA187" s="9">
        <f t="shared" si="87"/>
        <v>277900000</v>
      </c>
      <c r="AB187" s="15">
        <f t="shared" si="88"/>
        <v>0.61755555555555564</v>
      </c>
      <c r="AC187" s="34">
        <f t="shared" si="98"/>
        <v>0.20885920560465057</v>
      </c>
      <c r="AD187" s="40">
        <v>1709.090909090909</v>
      </c>
      <c r="AE187">
        <f t="shared" si="91"/>
        <v>3.2327651641054547</v>
      </c>
      <c r="AF187">
        <v>8968.5950413223145</v>
      </c>
      <c r="AG187">
        <f t="shared" si="92"/>
        <v>3.9527244147731087</v>
      </c>
      <c r="AH187" s="9">
        <v>742.83333333333303</v>
      </c>
      <c r="AI187" s="9">
        <f t="shared" si="99"/>
        <v>2.8714756364568856</v>
      </c>
      <c r="AJ187">
        <v>91.4</v>
      </c>
      <c r="AK187" s="23" t="s">
        <v>477</v>
      </c>
      <c r="AL187" s="42">
        <v>40.8082924662531</v>
      </c>
      <c r="AM187" s="24">
        <v>0.14000000000000001</v>
      </c>
      <c r="AN187" s="34">
        <f t="shared" si="100"/>
        <v>5.6904851336472641E-2</v>
      </c>
      <c r="AO187">
        <v>1980</v>
      </c>
      <c r="AP187">
        <v>26</v>
      </c>
      <c r="AQ187">
        <v>70</v>
      </c>
      <c r="AR187">
        <v>50</v>
      </c>
      <c r="AS187">
        <f t="shared" si="89"/>
        <v>0</v>
      </c>
      <c r="AT187">
        <f t="shared" si="101"/>
        <v>0</v>
      </c>
      <c r="AU187">
        <f t="shared" si="102"/>
        <v>0</v>
      </c>
      <c r="AV187">
        <f t="shared" si="103"/>
        <v>1</v>
      </c>
      <c r="AW187">
        <f t="shared" si="104"/>
        <v>0</v>
      </c>
      <c r="AX187">
        <f t="shared" si="105"/>
        <v>0</v>
      </c>
      <c r="AY187">
        <f t="shared" si="106"/>
        <v>0</v>
      </c>
      <c r="AZ187">
        <f t="shared" si="107"/>
        <v>0</v>
      </c>
      <c r="BA187">
        <f t="shared" si="108"/>
        <v>0</v>
      </c>
      <c r="BB187">
        <f t="shared" si="109"/>
        <v>0</v>
      </c>
      <c r="BC187">
        <f t="shared" si="110"/>
        <v>0</v>
      </c>
      <c r="BD187">
        <f t="shared" si="111"/>
        <v>0</v>
      </c>
      <c r="BE187">
        <f t="shared" si="112"/>
        <v>0</v>
      </c>
      <c r="BF187">
        <f t="shared" si="113"/>
        <v>0</v>
      </c>
      <c r="BG187">
        <f t="shared" si="114"/>
        <v>0</v>
      </c>
      <c r="BH187">
        <f t="shared" si="115"/>
        <v>0</v>
      </c>
      <c r="BI187">
        <f t="shared" si="116"/>
        <v>0</v>
      </c>
    </row>
    <row r="188" spans="1:61" x14ac:dyDescent="0.35">
      <c r="A188" t="s">
        <v>51</v>
      </c>
      <c r="B188" s="1">
        <v>38337</v>
      </c>
      <c r="C188" t="s">
        <v>271</v>
      </c>
      <c r="D188" t="s">
        <v>4</v>
      </c>
      <c r="E188" t="s">
        <v>478</v>
      </c>
      <c r="F188" t="s">
        <v>59</v>
      </c>
      <c r="G188" t="s">
        <v>125</v>
      </c>
      <c r="H188" s="139">
        <f t="shared" si="90"/>
        <v>1</v>
      </c>
      <c r="I188" t="s">
        <v>234</v>
      </c>
      <c r="J188" t="s">
        <v>248</v>
      </c>
      <c r="K188" s="2">
        <f t="shared" si="93"/>
        <v>5</v>
      </c>
      <c r="L188">
        <v>465000000</v>
      </c>
      <c r="M188" s="2">
        <f t="shared" si="94"/>
        <v>8.6674529528899544</v>
      </c>
      <c r="N188">
        <f t="shared" si="119"/>
        <v>465000000</v>
      </c>
      <c r="O188">
        <v>0</v>
      </c>
      <c r="P188" s="1">
        <v>39263</v>
      </c>
      <c r="Q188" s="89">
        <f t="shared" si="95"/>
        <v>2007</v>
      </c>
      <c r="R188" t="s">
        <v>152</v>
      </c>
      <c r="S188">
        <v>1200000000</v>
      </c>
      <c r="T188" s="21">
        <f t="shared" si="86"/>
        <v>2.536986301369863</v>
      </c>
      <c r="U188">
        <v>1433.25</v>
      </c>
      <c r="V188">
        <f t="shared" si="96"/>
        <v>3.1566248585544785</v>
      </c>
      <c r="W188">
        <v>1942</v>
      </c>
      <c r="X188">
        <v>62</v>
      </c>
      <c r="Y188">
        <f t="shared" si="97"/>
        <v>1.7993405494535817</v>
      </c>
      <c r="Z188" s="45">
        <v>3.03</v>
      </c>
      <c r="AA188" s="9">
        <f t="shared" si="87"/>
        <v>735000000</v>
      </c>
      <c r="AB188" s="15">
        <f t="shared" si="88"/>
        <v>1.5806451612903225</v>
      </c>
      <c r="AC188" s="34">
        <f t="shared" si="98"/>
        <v>0.4117282931576709</v>
      </c>
      <c r="AD188" s="40">
        <v>1709.090909090909</v>
      </c>
      <c r="AE188">
        <f t="shared" si="91"/>
        <v>3.2327651641054547</v>
      </c>
      <c r="AF188">
        <v>8968.5950413223145</v>
      </c>
      <c r="AG188">
        <f t="shared" si="92"/>
        <v>3.9527244147731087</v>
      </c>
      <c r="AH188" s="9">
        <v>697</v>
      </c>
      <c r="AI188" s="9">
        <f t="shared" si="99"/>
        <v>2.8438554226231609</v>
      </c>
      <c r="AJ188">
        <v>70</v>
      </c>
      <c r="AK188" s="23" t="s">
        <v>93</v>
      </c>
      <c r="AL188" s="42">
        <v>52.379377176281302</v>
      </c>
      <c r="AM188" s="24">
        <v>0.25</v>
      </c>
      <c r="AN188" s="34">
        <f t="shared" si="100"/>
        <v>9.691001300805642E-2</v>
      </c>
      <c r="AO188">
        <v>1980</v>
      </c>
      <c r="AP188">
        <v>24</v>
      </c>
      <c r="AQ188">
        <v>70</v>
      </c>
      <c r="AR188">
        <v>70</v>
      </c>
      <c r="AS188">
        <f t="shared" si="89"/>
        <v>0</v>
      </c>
      <c r="AT188">
        <f t="shared" si="101"/>
        <v>0</v>
      </c>
      <c r="AU188">
        <f t="shared" si="102"/>
        <v>0</v>
      </c>
      <c r="AV188">
        <f t="shared" si="103"/>
        <v>0</v>
      </c>
      <c r="AW188">
        <f t="shared" si="104"/>
        <v>0</v>
      </c>
      <c r="AX188">
        <f t="shared" si="105"/>
        <v>1</v>
      </c>
      <c r="AY188">
        <f t="shared" si="106"/>
        <v>0</v>
      </c>
      <c r="AZ188">
        <f t="shared" si="107"/>
        <v>0</v>
      </c>
      <c r="BA188">
        <f t="shared" si="108"/>
        <v>0</v>
      </c>
      <c r="BB188">
        <f t="shared" si="109"/>
        <v>0</v>
      </c>
      <c r="BC188">
        <f t="shared" si="110"/>
        <v>0</v>
      </c>
      <c r="BD188">
        <f t="shared" si="111"/>
        <v>0</v>
      </c>
      <c r="BE188">
        <f t="shared" si="112"/>
        <v>0</v>
      </c>
      <c r="BF188">
        <f t="shared" si="113"/>
        <v>0</v>
      </c>
      <c r="BG188">
        <f t="shared" si="114"/>
        <v>0</v>
      </c>
      <c r="BH188">
        <f t="shared" si="115"/>
        <v>0</v>
      </c>
      <c r="BI188">
        <f t="shared" si="116"/>
        <v>0</v>
      </c>
    </row>
    <row r="189" spans="1:61" x14ac:dyDescent="0.35">
      <c r="A189" t="s">
        <v>51</v>
      </c>
      <c r="B189" s="1">
        <v>38251</v>
      </c>
      <c r="C189" t="s">
        <v>479</v>
      </c>
      <c r="D189" t="s">
        <v>5</v>
      </c>
      <c r="E189" t="s">
        <v>478</v>
      </c>
      <c r="F189" t="s">
        <v>59</v>
      </c>
      <c r="G189" t="s">
        <v>125</v>
      </c>
      <c r="H189" s="139">
        <f t="shared" si="90"/>
        <v>1</v>
      </c>
      <c r="I189" t="s">
        <v>234</v>
      </c>
      <c r="J189" t="s">
        <v>178</v>
      </c>
      <c r="K189" s="2">
        <f t="shared" si="93"/>
        <v>9</v>
      </c>
      <c r="L189">
        <v>300000000</v>
      </c>
      <c r="M189" s="2">
        <f t="shared" si="94"/>
        <v>8.4771212547196626</v>
      </c>
      <c r="N189">
        <f t="shared" si="119"/>
        <v>300000000</v>
      </c>
      <c r="O189">
        <v>0</v>
      </c>
      <c r="P189" s="1">
        <v>39375</v>
      </c>
      <c r="Q189" s="89">
        <f t="shared" si="95"/>
        <v>2007</v>
      </c>
      <c r="R189" t="s">
        <v>152</v>
      </c>
      <c r="S189">
        <v>700000000</v>
      </c>
      <c r="T189" s="21">
        <f t="shared" si="86"/>
        <v>3.0794520547945203</v>
      </c>
      <c r="U189">
        <v>357.29</v>
      </c>
      <c r="V189">
        <f t="shared" si="96"/>
        <v>2.5542346870234227</v>
      </c>
      <c r="W189">
        <v>1991</v>
      </c>
      <c r="X189">
        <v>13</v>
      </c>
      <c r="Y189">
        <f t="shared" si="97"/>
        <v>1.146128035678238</v>
      </c>
      <c r="Z189" s="45">
        <v>3.16</v>
      </c>
      <c r="AA189" s="9">
        <f t="shared" si="87"/>
        <v>400000000</v>
      </c>
      <c r="AB189" s="15">
        <f t="shared" si="88"/>
        <v>1.3333333333333335</v>
      </c>
      <c r="AC189" s="34">
        <f t="shared" si="98"/>
        <v>0.36797678529459443</v>
      </c>
      <c r="AD189" s="40">
        <v>1709.090909090909</v>
      </c>
      <c r="AE189">
        <f t="shared" si="91"/>
        <v>3.2327651641054547</v>
      </c>
      <c r="AF189">
        <v>8968.5950413223145</v>
      </c>
      <c r="AG189">
        <f t="shared" si="92"/>
        <v>3.9527244147731087</v>
      </c>
      <c r="AH189" s="9">
        <v>971</v>
      </c>
      <c r="AI189" s="9">
        <f t="shared" si="99"/>
        <v>2.9876662649262746</v>
      </c>
      <c r="AJ189">
        <v>70</v>
      </c>
      <c r="AK189" s="23" t="s">
        <v>480</v>
      </c>
      <c r="AL189" s="42">
        <v>43.471204603938098</v>
      </c>
      <c r="AM189" s="24">
        <v>0.33</v>
      </c>
      <c r="AN189" s="34">
        <f t="shared" si="100"/>
        <v>0.12385164096708581</v>
      </c>
      <c r="AO189">
        <v>1980</v>
      </c>
      <c r="AP189">
        <v>24</v>
      </c>
      <c r="AQ189">
        <v>95</v>
      </c>
      <c r="AR189">
        <v>80</v>
      </c>
      <c r="AS189">
        <f t="shared" si="89"/>
        <v>0</v>
      </c>
      <c r="AT189">
        <f t="shared" si="101"/>
        <v>0</v>
      </c>
      <c r="AU189">
        <f t="shared" si="102"/>
        <v>0</v>
      </c>
      <c r="AV189">
        <f t="shared" si="103"/>
        <v>0</v>
      </c>
      <c r="AW189">
        <f t="shared" si="104"/>
        <v>0</v>
      </c>
      <c r="AX189">
        <f t="shared" si="105"/>
        <v>0</v>
      </c>
      <c r="AY189">
        <f t="shared" si="106"/>
        <v>1</v>
      </c>
      <c r="AZ189">
        <f t="shared" si="107"/>
        <v>0</v>
      </c>
      <c r="BA189">
        <f t="shared" si="108"/>
        <v>0</v>
      </c>
      <c r="BB189">
        <f t="shared" si="109"/>
        <v>0</v>
      </c>
      <c r="BC189">
        <f t="shared" si="110"/>
        <v>0</v>
      </c>
      <c r="BD189">
        <f t="shared" si="111"/>
        <v>0</v>
      </c>
      <c r="BE189">
        <f t="shared" si="112"/>
        <v>0</v>
      </c>
      <c r="BF189">
        <f t="shared" si="113"/>
        <v>0</v>
      </c>
      <c r="BG189">
        <f t="shared" si="114"/>
        <v>0</v>
      </c>
      <c r="BH189">
        <f t="shared" si="115"/>
        <v>0</v>
      </c>
      <c r="BI189">
        <f t="shared" si="116"/>
        <v>0</v>
      </c>
    </row>
    <row r="190" spans="1:61" x14ac:dyDescent="0.35">
      <c r="A190" t="s">
        <v>51</v>
      </c>
      <c r="B190" s="1">
        <v>38187</v>
      </c>
      <c r="C190" t="s">
        <v>481</v>
      </c>
      <c r="D190" t="s">
        <v>59</v>
      </c>
      <c r="E190" t="s">
        <v>478</v>
      </c>
      <c r="F190" t="s">
        <v>59</v>
      </c>
      <c r="G190" t="s">
        <v>102</v>
      </c>
      <c r="H190" s="139">
        <f t="shared" si="90"/>
        <v>0</v>
      </c>
      <c r="I190" t="s">
        <v>234</v>
      </c>
      <c r="J190" t="s">
        <v>326</v>
      </c>
      <c r="K190" s="2">
        <f t="shared" si="93"/>
        <v>8</v>
      </c>
      <c r="L190">
        <v>320000000</v>
      </c>
      <c r="M190" s="2">
        <f t="shared" si="94"/>
        <v>8.5051499783199063</v>
      </c>
      <c r="N190">
        <v>320760000</v>
      </c>
      <c r="O190">
        <v>-760000</v>
      </c>
      <c r="P190" s="1">
        <v>42794</v>
      </c>
      <c r="Q190" s="89">
        <f t="shared" si="95"/>
        <v>2017</v>
      </c>
      <c r="R190" t="s">
        <v>482</v>
      </c>
      <c r="S190">
        <v>1091550000</v>
      </c>
      <c r="T190" s="21">
        <f t="shared" si="86"/>
        <v>12.621917808219179</v>
      </c>
      <c r="U190">
        <v>0</v>
      </c>
      <c r="V190">
        <f t="shared" si="96"/>
        <v>0</v>
      </c>
      <c r="W190">
        <v>1933</v>
      </c>
      <c r="X190">
        <v>71</v>
      </c>
      <c r="Y190">
        <f t="shared" si="97"/>
        <v>1.8573324964312685</v>
      </c>
      <c r="Z190" s="45">
        <v>3.29</v>
      </c>
      <c r="AA190" s="9">
        <f t="shared" si="87"/>
        <v>770790000</v>
      </c>
      <c r="AB190" s="15">
        <f t="shared" si="88"/>
        <v>2.41109375</v>
      </c>
      <c r="AC190" s="34">
        <f t="shared" si="98"/>
        <v>0.53289365565722702</v>
      </c>
      <c r="AD190" s="40">
        <v>1709.090909090909</v>
      </c>
      <c r="AE190">
        <f t="shared" si="91"/>
        <v>3.2327651641054547</v>
      </c>
      <c r="AF190">
        <v>8968.5950413223145</v>
      </c>
      <c r="AG190">
        <f t="shared" si="92"/>
        <v>3.9527244147731087</v>
      </c>
      <c r="AH190" s="9">
        <v>0</v>
      </c>
      <c r="AI190" s="9">
        <f t="shared" si="99"/>
        <v>0</v>
      </c>
      <c r="AJ190">
        <v>85</v>
      </c>
      <c r="AK190" s="23" t="s">
        <v>89</v>
      </c>
      <c r="AL190" s="42">
        <v>40.040400531970803</v>
      </c>
      <c r="AM190" s="24">
        <v>1.1499999999999999</v>
      </c>
      <c r="AN190" s="34">
        <f t="shared" si="100"/>
        <v>0.33243845991560533</v>
      </c>
      <c r="AO190">
        <v>1980</v>
      </c>
      <c r="AP190">
        <v>24</v>
      </c>
      <c r="AQ190">
        <v>70</v>
      </c>
      <c r="AR190">
        <v>70</v>
      </c>
      <c r="AS190">
        <f t="shared" si="89"/>
        <v>0</v>
      </c>
      <c r="AT190">
        <f t="shared" si="101"/>
        <v>0</v>
      </c>
      <c r="AU190">
        <f t="shared" si="102"/>
        <v>1</v>
      </c>
      <c r="AV190">
        <f t="shared" si="103"/>
        <v>0</v>
      </c>
      <c r="AW190">
        <f t="shared" si="104"/>
        <v>0</v>
      </c>
      <c r="AX190">
        <f t="shared" si="105"/>
        <v>0</v>
      </c>
      <c r="AY190">
        <f t="shared" si="106"/>
        <v>0</v>
      </c>
      <c r="AZ190">
        <f t="shared" si="107"/>
        <v>0</v>
      </c>
      <c r="BA190">
        <f t="shared" si="108"/>
        <v>0</v>
      </c>
      <c r="BB190">
        <f t="shared" si="109"/>
        <v>0</v>
      </c>
      <c r="BC190">
        <f t="shared" si="110"/>
        <v>0</v>
      </c>
      <c r="BD190">
        <f t="shared" si="111"/>
        <v>0</v>
      </c>
      <c r="BE190">
        <f t="shared" si="112"/>
        <v>0</v>
      </c>
      <c r="BF190">
        <f t="shared" si="113"/>
        <v>0</v>
      </c>
      <c r="BG190">
        <f t="shared" si="114"/>
        <v>0</v>
      </c>
      <c r="BH190">
        <f t="shared" si="115"/>
        <v>0</v>
      </c>
      <c r="BI190">
        <f t="shared" si="116"/>
        <v>0</v>
      </c>
    </row>
    <row r="191" spans="1:61" x14ac:dyDescent="0.35">
      <c r="A191" t="s">
        <v>51</v>
      </c>
      <c r="B191" s="1">
        <v>38180</v>
      </c>
      <c r="C191" t="s">
        <v>483</v>
      </c>
      <c r="D191" t="s">
        <v>45</v>
      </c>
      <c r="E191" t="s">
        <v>478</v>
      </c>
      <c r="F191" t="s">
        <v>59</v>
      </c>
      <c r="G191" t="s">
        <v>125</v>
      </c>
      <c r="H191" s="139">
        <f t="shared" si="90"/>
        <v>1</v>
      </c>
      <c r="I191" t="s">
        <v>234</v>
      </c>
      <c r="J191" t="s">
        <v>183</v>
      </c>
      <c r="K191" s="2">
        <f t="shared" si="93"/>
        <v>3</v>
      </c>
      <c r="L191">
        <v>940790000</v>
      </c>
      <c r="M191" s="2">
        <f t="shared" si="94"/>
        <v>8.9734926924821696</v>
      </c>
      <c r="N191">
        <f>L191</f>
        <v>940790000</v>
      </c>
      <c r="O191">
        <v>0</v>
      </c>
      <c r="P191" s="1">
        <v>39136</v>
      </c>
      <c r="Q191" s="89">
        <f t="shared" si="95"/>
        <v>2007</v>
      </c>
      <c r="R191" t="s">
        <v>107</v>
      </c>
      <c r="S191">
        <v>1900000000</v>
      </c>
      <c r="T191" s="21">
        <f t="shared" si="86"/>
        <v>2.6191780821917807</v>
      </c>
      <c r="U191">
        <v>5897.96</v>
      </c>
      <c r="V191">
        <f t="shared" si="96"/>
        <v>3.7707754512906644</v>
      </c>
      <c r="W191">
        <v>1986</v>
      </c>
      <c r="X191">
        <v>18</v>
      </c>
      <c r="Y191">
        <f t="shared" si="97"/>
        <v>1.2787536009528289</v>
      </c>
      <c r="Z191" s="45">
        <v>2.3199999999999998</v>
      </c>
      <c r="AA191" s="9">
        <f t="shared" si="87"/>
        <v>959210000</v>
      </c>
      <c r="AB191" s="15">
        <f t="shared" si="88"/>
        <v>1.019579289745852</v>
      </c>
      <c r="AC191" s="34">
        <f t="shared" si="98"/>
        <v>0.30526090847065979</v>
      </c>
      <c r="AD191" s="40">
        <v>1709.090909090909</v>
      </c>
      <c r="AE191">
        <f t="shared" si="91"/>
        <v>3.2327651641054547</v>
      </c>
      <c r="AF191">
        <v>8968.5950413223145</v>
      </c>
      <c r="AG191">
        <f t="shared" si="92"/>
        <v>3.9527244147731087</v>
      </c>
      <c r="AH191" s="9">
        <v>132</v>
      </c>
      <c r="AI191" s="9">
        <f t="shared" si="99"/>
        <v>2.1238516409670858</v>
      </c>
      <c r="AJ191">
        <v>85</v>
      </c>
      <c r="AK191" s="23" t="s">
        <v>215</v>
      </c>
      <c r="AL191" s="42">
        <v>36.876470987978301</v>
      </c>
      <c r="AM191" s="24">
        <v>0.3</v>
      </c>
      <c r="AN191" s="34">
        <f t="shared" si="100"/>
        <v>0.11394335230683679</v>
      </c>
      <c r="AO191">
        <v>1980</v>
      </c>
      <c r="AP191">
        <v>24</v>
      </c>
      <c r="AQ191">
        <v>70</v>
      </c>
      <c r="AR191">
        <v>70</v>
      </c>
      <c r="AS191">
        <f t="shared" si="89"/>
        <v>0</v>
      </c>
      <c r="AT191">
        <f t="shared" si="101"/>
        <v>1</v>
      </c>
      <c r="AU191">
        <f t="shared" si="102"/>
        <v>0</v>
      </c>
      <c r="AV191">
        <f t="shared" si="103"/>
        <v>0</v>
      </c>
      <c r="AW191">
        <f t="shared" si="104"/>
        <v>0</v>
      </c>
      <c r="AX191">
        <f t="shared" si="105"/>
        <v>0</v>
      </c>
      <c r="AY191">
        <f t="shared" si="106"/>
        <v>0</v>
      </c>
      <c r="AZ191">
        <f t="shared" si="107"/>
        <v>0</v>
      </c>
      <c r="BA191">
        <f t="shared" si="108"/>
        <v>0</v>
      </c>
      <c r="BB191">
        <f t="shared" si="109"/>
        <v>0</v>
      </c>
      <c r="BC191">
        <f t="shared" si="110"/>
        <v>0</v>
      </c>
      <c r="BD191">
        <f t="shared" si="111"/>
        <v>0</v>
      </c>
      <c r="BE191">
        <f t="shared" si="112"/>
        <v>0</v>
      </c>
      <c r="BF191">
        <f t="shared" si="113"/>
        <v>0</v>
      </c>
      <c r="BG191">
        <f t="shared" si="114"/>
        <v>0</v>
      </c>
      <c r="BH191">
        <f t="shared" si="115"/>
        <v>0</v>
      </c>
      <c r="BI191">
        <f t="shared" si="116"/>
        <v>0</v>
      </c>
    </row>
    <row r="192" spans="1:61" x14ac:dyDescent="0.35">
      <c r="A192" t="s">
        <v>51</v>
      </c>
      <c r="B192" s="1">
        <v>37771</v>
      </c>
      <c r="C192" t="s">
        <v>484</v>
      </c>
      <c r="D192" t="s">
        <v>5</v>
      </c>
      <c r="E192" t="s">
        <v>478</v>
      </c>
      <c r="F192" t="s">
        <v>59</v>
      </c>
      <c r="G192" t="s">
        <v>125</v>
      </c>
      <c r="H192" s="139">
        <f t="shared" si="90"/>
        <v>1</v>
      </c>
      <c r="I192" t="s">
        <v>289</v>
      </c>
      <c r="J192" t="s">
        <v>245</v>
      </c>
      <c r="K192" s="2">
        <f t="shared" si="93"/>
        <v>6</v>
      </c>
      <c r="L192">
        <v>182500000</v>
      </c>
      <c r="M192" s="2">
        <f t="shared" si="94"/>
        <v>8.2612628687924943</v>
      </c>
      <c r="N192">
        <f>L192</f>
        <v>182500000</v>
      </c>
      <c r="O192">
        <v>0</v>
      </c>
      <c r="P192" s="1">
        <v>40560</v>
      </c>
      <c r="Q192" s="89">
        <f t="shared" si="95"/>
        <v>2011</v>
      </c>
      <c r="R192" t="s">
        <v>114</v>
      </c>
      <c r="S192">
        <v>350000000</v>
      </c>
      <c r="T192" s="21">
        <f t="shared" si="86"/>
        <v>7.6410958904109592</v>
      </c>
      <c r="U192">
        <v>357.29</v>
      </c>
      <c r="V192">
        <f t="shared" si="96"/>
        <v>2.5542346870234227</v>
      </c>
      <c r="W192">
        <v>1988</v>
      </c>
      <c r="X192">
        <v>15</v>
      </c>
      <c r="Y192">
        <f t="shared" si="97"/>
        <v>1.2041199826559248</v>
      </c>
      <c r="Z192" s="45">
        <v>3.16</v>
      </c>
      <c r="AA192" s="9">
        <f t="shared" si="87"/>
        <v>167500000</v>
      </c>
      <c r="AB192" s="15">
        <f t="shared" si="88"/>
        <v>0.91780821917808209</v>
      </c>
      <c r="AC192" s="34">
        <f t="shared" si="98"/>
        <v>0.28280517555778212</v>
      </c>
      <c r="AD192" s="40">
        <v>1709.090909090909</v>
      </c>
      <c r="AE192">
        <f t="shared" si="91"/>
        <v>3.2327651641054547</v>
      </c>
      <c r="AF192">
        <v>8968.5950413223145</v>
      </c>
      <c r="AG192">
        <f t="shared" si="92"/>
        <v>3.9527244147731087</v>
      </c>
      <c r="AH192" s="9">
        <v>971</v>
      </c>
      <c r="AI192" s="9">
        <f t="shared" si="99"/>
        <v>2.9876662649262746</v>
      </c>
      <c r="AJ192">
        <v>70</v>
      </c>
      <c r="AK192" s="23" t="s">
        <v>480</v>
      </c>
      <c r="AL192" s="42">
        <v>44.539498059710198</v>
      </c>
      <c r="AM192" s="24">
        <v>0.34</v>
      </c>
      <c r="AN192" s="34">
        <f t="shared" si="100"/>
        <v>0.12710479836480765</v>
      </c>
      <c r="AO192">
        <v>1980</v>
      </c>
      <c r="AP192">
        <v>23</v>
      </c>
      <c r="AQ192">
        <v>95</v>
      </c>
      <c r="AR192">
        <v>80</v>
      </c>
      <c r="AS192">
        <f t="shared" si="89"/>
        <v>0</v>
      </c>
      <c r="AT192">
        <f t="shared" si="101"/>
        <v>0</v>
      </c>
      <c r="AU192">
        <f t="shared" si="102"/>
        <v>0</v>
      </c>
      <c r="AV192">
        <f t="shared" si="103"/>
        <v>0</v>
      </c>
      <c r="AW192">
        <f t="shared" si="104"/>
        <v>0</v>
      </c>
      <c r="AX192">
        <f t="shared" si="105"/>
        <v>0</v>
      </c>
      <c r="AY192">
        <f t="shared" si="106"/>
        <v>1</v>
      </c>
      <c r="AZ192">
        <f t="shared" si="107"/>
        <v>0</v>
      </c>
      <c r="BA192">
        <f t="shared" si="108"/>
        <v>0</v>
      </c>
      <c r="BB192">
        <f t="shared" si="109"/>
        <v>0</v>
      </c>
      <c r="BC192">
        <f t="shared" si="110"/>
        <v>0</v>
      </c>
      <c r="BD192">
        <f t="shared" si="111"/>
        <v>0</v>
      </c>
      <c r="BE192">
        <f t="shared" si="112"/>
        <v>0</v>
      </c>
      <c r="BF192">
        <f t="shared" si="113"/>
        <v>0</v>
      </c>
      <c r="BG192">
        <f t="shared" si="114"/>
        <v>0</v>
      </c>
      <c r="BH192">
        <f t="shared" si="115"/>
        <v>0</v>
      </c>
      <c r="BI192">
        <f t="shared" si="116"/>
        <v>0</v>
      </c>
    </row>
    <row r="193" spans="1:61" x14ac:dyDescent="0.35">
      <c r="A193" t="s">
        <v>51</v>
      </c>
      <c r="B193" s="1">
        <v>37691</v>
      </c>
      <c r="C193" t="s">
        <v>485</v>
      </c>
      <c r="D193" t="s">
        <v>59</v>
      </c>
      <c r="E193" t="s">
        <v>478</v>
      </c>
      <c r="F193" t="s">
        <v>59</v>
      </c>
      <c r="G193" t="s">
        <v>102</v>
      </c>
      <c r="H193" s="139">
        <f t="shared" si="90"/>
        <v>0</v>
      </c>
      <c r="I193" t="s">
        <v>289</v>
      </c>
      <c r="J193" t="s">
        <v>235</v>
      </c>
      <c r="K193" s="2">
        <f t="shared" si="93"/>
        <v>1</v>
      </c>
      <c r="L193">
        <v>84660000</v>
      </c>
      <c r="M193" s="2">
        <f t="shared" si="94"/>
        <v>7.9276782641379917</v>
      </c>
      <c r="N193">
        <f>L193</f>
        <v>84660000</v>
      </c>
      <c r="O193">
        <v>0</v>
      </c>
      <c r="P193" s="1">
        <v>39198</v>
      </c>
      <c r="Q193" s="89">
        <f t="shared" si="95"/>
        <v>2007</v>
      </c>
      <c r="R193" t="s">
        <v>49</v>
      </c>
      <c r="S193">
        <v>153380500</v>
      </c>
      <c r="T193" s="21">
        <f t="shared" si="86"/>
        <v>4.1287671232876715</v>
      </c>
      <c r="U193">
        <v>0</v>
      </c>
      <c r="V193">
        <f t="shared" si="96"/>
        <v>0</v>
      </c>
      <c r="W193">
        <v>2002</v>
      </c>
      <c r="X193">
        <v>1</v>
      </c>
      <c r="Y193">
        <f t="shared" si="97"/>
        <v>0.3010299956639812</v>
      </c>
      <c r="Z193" s="45">
        <v>3.29</v>
      </c>
      <c r="AA193" s="9">
        <f t="shared" si="87"/>
        <v>68720500</v>
      </c>
      <c r="AB193" s="15">
        <f t="shared" si="88"/>
        <v>0.81172336404441303</v>
      </c>
      <c r="AC193" s="34">
        <f t="shared" si="98"/>
        <v>0.25809188504009289</v>
      </c>
      <c r="AD193" s="40">
        <v>1709.090909090909</v>
      </c>
      <c r="AE193">
        <f t="shared" si="91"/>
        <v>3.2327651641054547</v>
      </c>
      <c r="AF193">
        <v>8968.5950413223145</v>
      </c>
      <c r="AG193">
        <f t="shared" si="92"/>
        <v>3.9527244147731087</v>
      </c>
      <c r="AH193" s="9">
        <v>0</v>
      </c>
      <c r="AI193" s="9">
        <f t="shared" si="99"/>
        <v>0</v>
      </c>
      <c r="AJ193">
        <v>85</v>
      </c>
      <c r="AK193" s="23" t="s">
        <v>246</v>
      </c>
      <c r="AL193" s="42">
        <v>38.7850112673514</v>
      </c>
      <c r="AM193" s="24">
        <v>0.87</v>
      </c>
      <c r="AN193" s="34">
        <f t="shared" si="100"/>
        <v>0.27184160653649897</v>
      </c>
      <c r="AO193">
        <v>1980</v>
      </c>
      <c r="AP193">
        <v>23</v>
      </c>
      <c r="AQ193">
        <v>70</v>
      </c>
      <c r="AR193">
        <v>70</v>
      </c>
      <c r="AS193">
        <f t="shared" si="89"/>
        <v>0</v>
      </c>
      <c r="AT193">
        <f t="shared" si="101"/>
        <v>0</v>
      </c>
      <c r="AU193">
        <f t="shared" si="102"/>
        <v>1</v>
      </c>
      <c r="AV193">
        <f t="shared" si="103"/>
        <v>0</v>
      </c>
      <c r="AW193">
        <f t="shared" si="104"/>
        <v>0</v>
      </c>
      <c r="AX193">
        <f t="shared" si="105"/>
        <v>0</v>
      </c>
      <c r="AY193">
        <f t="shared" si="106"/>
        <v>0</v>
      </c>
      <c r="AZ193">
        <f t="shared" si="107"/>
        <v>0</v>
      </c>
      <c r="BA193">
        <f t="shared" si="108"/>
        <v>0</v>
      </c>
      <c r="BB193">
        <f t="shared" si="109"/>
        <v>0</v>
      </c>
      <c r="BC193">
        <f t="shared" si="110"/>
        <v>0</v>
      </c>
      <c r="BD193">
        <f t="shared" si="111"/>
        <v>0</v>
      </c>
      <c r="BE193">
        <f t="shared" si="112"/>
        <v>0</v>
      </c>
      <c r="BF193">
        <f t="shared" si="113"/>
        <v>0</v>
      </c>
      <c r="BG193">
        <f t="shared" si="114"/>
        <v>0</v>
      </c>
      <c r="BH193">
        <f t="shared" si="115"/>
        <v>0</v>
      </c>
      <c r="BI193">
        <f t="shared" si="116"/>
        <v>0</v>
      </c>
    </row>
    <row r="194" spans="1:61" x14ac:dyDescent="0.35">
      <c r="A194" t="s">
        <v>51</v>
      </c>
      <c r="B194" s="1">
        <v>37645</v>
      </c>
      <c r="C194" t="s">
        <v>486</v>
      </c>
      <c r="D194" t="s">
        <v>6</v>
      </c>
      <c r="E194" t="s">
        <v>478</v>
      </c>
      <c r="F194" t="s">
        <v>59</v>
      </c>
      <c r="G194" t="s">
        <v>125</v>
      </c>
      <c r="H194" s="139">
        <f t="shared" si="90"/>
        <v>1</v>
      </c>
      <c r="I194" t="s">
        <v>268</v>
      </c>
      <c r="J194" t="s">
        <v>269</v>
      </c>
      <c r="K194" s="2">
        <f t="shared" si="93"/>
        <v>7</v>
      </c>
      <c r="L194">
        <v>1035680000</v>
      </c>
      <c r="M194" s="2">
        <f t="shared" si="94"/>
        <v>9.0152255896738556</v>
      </c>
      <c r="N194">
        <f>L194-O194</f>
        <v>766400000</v>
      </c>
      <c r="O194">
        <v>269280000</v>
      </c>
      <c r="P194" s="1">
        <v>40543</v>
      </c>
      <c r="Q194" s="89">
        <f t="shared" si="95"/>
        <v>2010</v>
      </c>
      <c r="R194" t="s">
        <v>152</v>
      </c>
      <c r="S194">
        <v>1200000000</v>
      </c>
      <c r="T194" s="21">
        <f t="shared" ref="T194:T257" si="120">YEARFRAC(B194,P194,3)</f>
        <v>7.9397260273972599</v>
      </c>
      <c r="U194">
        <v>320.77</v>
      </c>
      <c r="V194">
        <f t="shared" si="96"/>
        <v>2.5075455505094206</v>
      </c>
      <c r="W194">
        <v>2003</v>
      </c>
      <c r="X194">
        <v>0</v>
      </c>
      <c r="Y194">
        <f t="shared" si="97"/>
        <v>0</v>
      </c>
      <c r="Z194" s="45">
        <v>2.91</v>
      </c>
      <c r="AA194" s="9">
        <f t="shared" ref="AA194:AA257" si="121">S194-N194</f>
        <v>433600000</v>
      </c>
      <c r="AB194" s="15">
        <f t="shared" ref="AB194:AB257" si="122">(S194/L194)-1</f>
        <v>0.15865904526494679</v>
      </c>
      <c r="AC194" s="34">
        <f t="shared" si="98"/>
        <v>6.3955656373769681E-2</v>
      </c>
      <c r="AD194" s="40">
        <v>1709.090909090909</v>
      </c>
      <c r="AE194">
        <f t="shared" si="91"/>
        <v>3.2327651641054547</v>
      </c>
      <c r="AF194">
        <v>8968.5950413223145</v>
      </c>
      <c r="AG194">
        <f t="shared" si="92"/>
        <v>3.9527244147731087</v>
      </c>
      <c r="AH194" s="9">
        <v>447.5</v>
      </c>
      <c r="AI194" s="9">
        <f t="shared" si="99"/>
        <v>2.6517624473801109</v>
      </c>
      <c r="AJ194">
        <v>70</v>
      </c>
      <c r="AK194" s="23" t="s">
        <v>487</v>
      </c>
      <c r="AL194" s="42">
        <v>50.714433556883101</v>
      </c>
      <c r="AM194" s="24">
        <v>0.46</v>
      </c>
      <c r="AN194" s="34">
        <f t="shared" si="100"/>
        <v>0.16435285578443709</v>
      </c>
      <c r="AO194">
        <v>1980</v>
      </c>
      <c r="AP194">
        <v>23</v>
      </c>
      <c r="AQ194">
        <v>90</v>
      </c>
      <c r="AR194">
        <v>70</v>
      </c>
      <c r="AS194">
        <f t="shared" ref="AS194:AS257" si="123">IF(AC194=-1,1,0)</f>
        <v>0</v>
      </c>
      <c r="AT194">
        <f t="shared" si="101"/>
        <v>0</v>
      </c>
      <c r="AU194">
        <f t="shared" si="102"/>
        <v>0</v>
      </c>
      <c r="AV194">
        <f t="shared" si="103"/>
        <v>0</v>
      </c>
      <c r="AW194">
        <f t="shared" si="104"/>
        <v>0</v>
      </c>
      <c r="AX194">
        <f t="shared" si="105"/>
        <v>0</v>
      </c>
      <c r="AY194">
        <f t="shared" si="106"/>
        <v>0</v>
      </c>
      <c r="AZ194">
        <f t="shared" si="107"/>
        <v>0</v>
      </c>
      <c r="BA194">
        <f t="shared" si="108"/>
        <v>1</v>
      </c>
      <c r="BB194">
        <f t="shared" si="109"/>
        <v>0</v>
      </c>
      <c r="BC194">
        <f t="shared" si="110"/>
        <v>0</v>
      </c>
      <c r="BD194">
        <f t="shared" si="111"/>
        <v>0</v>
      </c>
      <c r="BE194">
        <f t="shared" si="112"/>
        <v>0</v>
      </c>
      <c r="BF194">
        <f t="shared" si="113"/>
        <v>0</v>
      </c>
      <c r="BG194">
        <f t="shared" si="114"/>
        <v>0</v>
      </c>
      <c r="BH194">
        <f t="shared" si="115"/>
        <v>0</v>
      </c>
      <c r="BI194">
        <f t="shared" si="116"/>
        <v>0</v>
      </c>
    </row>
    <row r="195" spans="1:61" x14ac:dyDescent="0.35">
      <c r="A195" t="s">
        <v>51</v>
      </c>
      <c r="B195" s="1">
        <v>37294</v>
      </c>
      <c r="C195" t="s">
        <v>488</v>
      </c>
      <c r="D195" t="s">
        <v>489</v>
      </c>
      <c r="E195" t="s">
        <v>478</v>
      </c>
      <c r="F195" t="s">
        <v>59</v>
      </c>
      <c r="G195" t="s">
        <v>125</v>
      </c>
      <c r="H195" s="139">
        <f t="shared" ref="H195:H258" si="124">IF(G195="domestic",0,1)</f>
        <v>1</v>
      </c>
      <c r="I195" t="s">
        <v>234</v>
      </c>
      <c r="J195" t="s">
        <v>235</v>
      </c>
      <c r="K195" s="2">
        <f t="shared" si="93"/>
        <v>1</v>
      </c>
      <c r="L195">
        <v>580000000</v>
      </c>
      <c r="M195" s="2">
        <f t="shared" si="94"/>
        <v>8.7634279935629369</v>
      </c>
      <c r="N195">
        <f t="shared" ref="N195:N242" si="125">L195</f>
        <v>580000000</v>
      </c>
      <c r="O195">
        <v>0</v>
      </c>
      <c r="P195" s="1">
        <v>38635</v>
      </c>
      <c r="Q195" s="89">
        <f t="shared" si="95"/>
        <v>2005</v>
      </c>
      <c r="R195" t="s">
        <v>107</v>
      </c>
      <c r="S195">
        <v>646000000</v>
      </c>
      <c r="T195" s="21">
        <f t="shared" si="120"/>
        <v>3.6739726027397261</v>
      </c>
      <c r="U195">
        <v>776.05</v>
      </c>
      <c r="V195">
        <f t="shared" si="96"/>
        <v>2.8904489647796185</v>
      </c>
      <c r="W195">
        <v>1996</v>
      </c>
      <c r="X195">
        <v>6</v>
      </c>
      <c r="Y195">
        <f t="shared" si="97"/>
        <v>0.84509804001425681</v>
      </c>
      <c r="Z195" s="45">
        <v>3.18</v>
      </c>
      <c r="AA195" s="9">
        <f t="shared" si="121"/>
        <v>66000000</v>
      </c>
      <c r="AB195" s="15">
        <f t="shared" si="122"/>
        <v>0.11379310344827576</v>
      </c>
      <c r="AC195" s="34">
        <f t="shared" si="98"/>
        <v>4.6804524432146763E-2</v>
      </c>
      <c r="AD195" s="40">
        <v>1709.090909090909</v>
      </c>
      <c r="AE195">
        <f t="shared" ref="AE195:AE258" si="126">LOG(AD195)</f>
        <v>3.2327651641054547</v>
      </c>
      <c r="AF195">
        <v>8968.5950413223145</v>
      </c>
      <c r="AG195">
        <f t="shared" ref="AG195:AG258" si="127">LOG(AF195)</f>
        <v>3.9527244147731087</v>
      </c>
      <c r="AH195" s="9">
        <v>254.166666666667</v>
      </c>
      <c r="AI195" s="9">
        <f t="shared" si="99"/>
        <v>2.4068239403146179</v>
      </c>
      <c r="AJ195">
        <v>70</v>
      </c>
      <c r="AK195" s="23" t="s">
        <v>490</v>
      </c>
      <c r="AL195" s="42">
        <v>49.329709120205997</v>
      </c>
      <c r="AM195" s="24">
        <v>0.1</v>
      </c>
      <c r="AN195" s="34">
        <f t="shared" si="100"/>
        <v>4.1392685158225077E-2</v>
      </c>
      <c r="AO195">
        <v>1980</v>
      </c>
      <c r="AP195">
        <v>22</v>
      </c>
      <c r="AQ195">
        <v>70</v>
      </c>
      <c r="AR195">
        <v>70</v>
      </c>
      <c r="AS195">
        <f t="shared" si="123"/>
        <v>0</v>
      </c>
      <c r="AT195">
        <f t="shared" si="101"/>
        <v>0</v>
      </c>
      <c r="AU195">
        <f t="shared" si="102"/>
        <v>0</v>
      </c>
      <c r="AV195">
        <f t="shared" si="103"/>
        <v>0</v>
      </c>
      <c r="AW195">
        <f t="shared" si="104"/>
        <v>0</v>
      </c>
      <c r="AX195">
        <f t="shared" si="105"/>
        <v>0</v>
      </c>
      <c r="AY195">
        <f t="shared" si="106"/>
        <v>0</v>
      </c>
      <c r="AZ195">
        <f t="shared" si="107"/>
        <v>0</v>
      </c>
      <c r="BA195">
        <f t="shared" si="108"/>
        <v>0</v>
      </c>
      <c r="BB195">
        <f t="shared" si="109"/>
        <v>0</v>
      </c>
      <c r="BC195">
        <f t="shared" si="110"/>
        <v>0</v>
      </c>
      <c r="BD195">
        <f t="shared" si="111"/>
        <v>0</v>
      </c>
      <c r="BE195">
        <f t="shared" si="112"/>
        <v>0</v>
      </c>
      <c r="BF195">
        <f t="shared" si="113"/>
        <v>0</v>
      </c>
      <c r="BG195">
        <f t="shared" si="114"/>
        <v>1</v>
      </c>
      <c r="BH195">
        <f t="shared" si="115"/>
        <v>0</v>
      </c>
      <c r="BI195">
        <f t="shared" si="116"/>
        <v>0</v>
      </c>
    </row>
    <row r="196" spans="1:61" x14ac:dyDescent="0.35">
      <c r="A196" t="s">
        <v>51</v>
      </c>
      <c r="B196" s="1">
        <v>36971</v>
      </c>
      <c r="C196" t="s">
        <v>491</v>
      </c>
      <c r="D196" t="s">
        <v>163</v>
      </c>
      <c r="E196" t="s">
        <v>492</v>
      </c>
      <c r="F196" t="s">
        <v>59</v>
      </c>
      <c r="G196" t="s">
        <v>125</v>
      </c>
      <c r="H196" s="139">
        <f t="shared" si="124"/>
        <v>1</v>
      </c>
      <c r="I196" t="s">
        <v>234</v>
      </c>
      <c r="J196" t="s">
        <v>269</v>
      </c>
      <c r="K196" s="2">
        <f t="shared" si="93"/>
        <v>7</v>
      </c>
      <c r="L196">
        <v>920000000</v>
      </c>
      <c r="M196" s="2">
        <f t="shared" si="94"/>
        <v>8.9637878273455556</v>
      </c>
      <c r="N196">
        <f t="shared" si="125"/>
        <v>920000000</v>
      </c>
      <c r="O196">
        <v>0</v>
      </c>
      <c r="P196" s="1">
        <v>38320</v>
      </c>
      <c r="Q196" s="89">
        <f t="shared" si="95"/>
        <v>2004</v>
      </c>
      <c r="R196" t="s">
        <v>152</v>
      </c>
      <c r="S196">
        <v>1310000000</v>
      </c>
      <c r="T196" s="21">
        <f t="shared" si="120"/>
        <v>3.6958904109589041</v>
      </c>
      <c r="U196">
        <v>342.74</v>
      </c>
      <c r="V196">
        <f t="shared" si="96"/>
        <v>2.5362300726332561</v>
      </c>
      <c r="W196">
        <v>1906</v>
      </c>
      <c r="X196">
        <v>95</v>
      </c>
      <c r="Y196">
        <f t="shared" si="97"/>
        <v>1.9822712330395684</v>
      </c>
      <c r="Z196" s="45">
        <v>2.3199999999999998</v>
      </c>
      <c r="AA196" s="9">
        <f t="shared" si="121"/>
        <v>390000000</v>
      </c>
      <c r="AB196" s="15">
        <f t="shared" si="122"/>
        <v>0.42391304347826098</v>
      </c>
      <c r="AC196" s="34">
        <f t="shared" si="98"/>
        <v>0.15348346831020904</v>
      </c>
      <c r="AD196" s="40">
        <v>1709.090909090909</v>
      </c>
      <c r="AE196">
        <f t="shared" si="126"/>
        <v>3.2327651641054547</v>
      </c>
      <c r="AF196">
        <v>8968.5950413223145</v>
      </c>
      <c r="AG196">
        <f t="shared" si="127"/>
        <v>3.9527244147731087</v>
      </c>
      <c r="AH196" s="9">
        <v>569.16666666666697</v>
      </c>
      <c r="AI196" s="9">
        <f t="shared" si="99"/>
        <v>2.756001823801419</v>
      </c>
      <c r="AJ196">
        <v>70</v>
      </c>
      <c r="AK196" s="23" t="s">
        <v>487</v>
      </c>
      <c r="AL196" s="42">
        <v>51.718307112209096</v>
      </c>
      <c r="AM196" s="24">
        <v>0.05</v>
      </c>
      <c r="AN196" s="34">
        <f t="shared" si="100"/>
        <v>2.1189299069938092E-2</v>
      </c>
      <c r="AO196">
        <v>1980</v>
      </c>
      <c r="AP196">
        <v>21</v>
      </c>
      <c r="AQ196">
        <v>85</v>
      </c>
      <c r="AR196">
        <v>80</v>
      </c>
      <c r="AS196">
        <f t="shared" si="123"/>
        <v>0</v>
      </c>
      <c r="AT196">
        <f t="shared" si="101"/>
        <v>0</v>
      </c>
      <c r="AU196">
        <f t="shared" si="102"/>
        <v>0</v>
      </c>
      <c r="AV196">
        <f t="shared" si="103"/>
        <v>0</v>
      </c>
      <c r="AW196">
        <f t="shared" si="104"/>
        <v>0</v>
      </c>
      <c r="AX196">
        <f t="shared" si="105"/>
        <v>0</v>
      </c>
      <c r="AY196">
        <f t="shared" si="106"/>
        <v>0</v>
      </c>
      <c r="AZ196">
        <f t="shared" si="107"/>
        <v>1</v>
      </c>
      <c r="BA196">
        <f t="shared" si="108"/>
        <v>0</v>
      </c>
      <c r="BB196">
        <f t="shared" si="109"/>
        <v>0</v>
      </c>
      <c r="BC196">
        <f t="shared" si="110"/>
        <v>0</v>
      </c>
      <c r="BD196">
        <f t="shared" si="111"/>
        <v>0</v>
      </c>
      <c r="BE196">
        <f t="shared" si="112"/>
        <v>0</v>
      </c>
      <c r="BF196">
        <f t="shared" si="113"/>
        <v>0</v>
      </c>
      <c r="BG196">
        <f t="shared" si="114"/>
        <v>0</v>
      </c>
      <c r="BH196">
        <f t="shared" si="115"/>
        <v>0</v>
      </c>
      <c r="BI196">
        <f t="shared" si="116"/>
        <v>0</v>
      </c>
    </row>
    <row r="197" spans="1:61" x14ac:dyDescent="0.35">
      <c r="A197" t="s">
        <v>196</v>
      </c>
      <c r="B197" s="1">
        <v>36557</v>
      </c>
      <c r="C197" t="s">
        <v>493</v>
      </c>
      <c r="D197" t="s">
        <v>59</v>
      </c>
      <c r="E197" t="s">
        <v>492</v>
      </c>
      <c r="F197" t="s">
        <v>59</v>
      </c>
      <c r="G197" t="s">
        <v>102</v>
      </c>
      <c r="H197" s="139">
        <f t="shared" si="124"/>
        <v>0</v>
      </c>
      <c r="I197" t="s">
        <v>289</v>
      </c>
      <c r="J197" t="s">
        <v>248</v>
      </c>
      <c r="K197" s="2">
        <f t="shared" si="93"/>
        <v>5</v>
      </c>
      <c r="L197">
        <v>210500000</v>
      </c>
      <c r="M197" s="2">
        <f t="shared" si="94"/>
        <v>8.3232521001716879</v>
      </c>
      <c r="N197">
        <f t="shared" si="125"/>
        <v>210500000</v>
      </c>
      <c r="O197">
        <v>0</v>
      </c>
      <c r="P197" s="1">
        <v>36703</v>
      </c>
      <c r="Q197" s="89">
        <f t="shared" si="95"/>
        <v>2000</v>
      </c>
      <c r="R197" t="s">
        <v>155</v>
      </c>
      <c r="S197">
        <v>67000000</v>
      </c>
      <c r="T197" s="21">
        <f t="shared" si="120"/>
        <v>0.4</v>
      </c>
      <c r="U197">
        <v>0</v>
      </c>
      <c r="V197">
        <f t="shared" si="96"/>
        <v>0</v>
      </c>
      <c r="W197">
        <v>1982</v>
      </c>
      <c r="X197">
        <v>18</v>
      </c>
      <c r="Y197">
        <f t="shared" si="97"/>
        <v>1.2787536009528289</v>
      </c>
      <c r="Z197" s="45">
        <v>3.29</v>
      </c>
      <c r="AA197" s="9">
        <f t="shared" si="121"/>
        <v>-143500000</v>
      </c>
      <c r="AB197" s="15">
        <f t="shared" si="122"/>
        <v>-0.68171021377672214</v>
      </c>
      <c r="AC197" s="34">
        <f t="shared" si="98"/>
        <v>-0.49717729747086076</v>
      </c>
      <c r="AD197" s="40">
        <v>1709.090909090909</v>
      </c>
      <c r="AE197">
        <f t="shared" si="126"/>
        <v>3.2327651641054547</v>
      </c>
      <c r="AF197">
        <v>8968.5950413223145</v>
      </c>
      <c r="AG197">
        <f t="shared" si="127"/>
        <v>3.9527244147731087</v>
      </c>
      <c r="AH197" s="9">
        <v>0</v>
      </c>
      <c r="AI197" s="9">
        <f t="shared" si="99"/>
        <v>0</v>
      </c>
      <c r="AJ197">
        <v>85</v>
      </c>
      <c r="AK197" s="23" t="s">
        <v>78</v>
      </c>
      <c r="AL197" s="42">
        <v>35.433808146393098</v>
      </c>
      <c r="AM197" s="24">
        <v>0.03</v>
      </c>
      <c r="AN197" s="34">
        <f t="shared" si="100"/>
        <v>1.2837224705172217E-2</v>
      </c>
      <c r="AO197">
        <v>1980</v>
      </c>
      <c r="AP197">
        <v>20</v>
      </c>
      <c r="AQ197">
        <v>70</v>
      </c>
      <c r="AR197">
        <v>70</v>
      </c>
      <c r="AS197">
        <f t="shared" si="123"/>
        <v>0</v>
      </c>
      <c r="AT197">
        <f t="shared" si="101"/>
        <v>0</v>
      </c>
      <c r="AU197">
        <f t="shared" si="102"/>
        <v>1</v>
      </c>
      <c r="AV197">
        <f t="shared" si="103"/>
        <v>0</v>
      </c>
      <c r="AW197">
        <f t="shared" si="104"/>
        <v>0</v>
      </c>
      <c r="AX197">
        <f t="shared" si="105"/>
        <v>0</v>
      </c>
      <c r="AY197">
        <f t="shared" si="106"/>
        <v>0</v>
      </c>
      <c r="AZ197">
        <f t="shared" si="107"/>
        <v>0</v>
      </c>
      <c r="BA197">
        <f t="shared" si="108"/>
        <v>0</v>
      </c>
      <c r="BB197">
        <f t="shared" si="109"/>
        <v>0</v>
      </c>
      <c r="BC197">
        <f t="shared" si="110"/>
        <v>0</v>
      </c>
      <c r="BD197">
        <f t="shared" si="111"/>
        <v>0</v>
      </c>
      <c r="BE197">
        <f t="shared" si="112"/>
        <v>0</v>
      </c>
      <c r="BF197">
        <f t="shared" si="113"/>
        <v>0</v>
      </c>
      <c r="BG197">
        <f t="shared" si="114"/>
        <v>0</v>
      </c>
      <c r="BH197">
        <f t="shared" si="115"/>
        <v>0</v>
      </c>
      <c r="BI197">
        <f t="shared" si="116"/>
        <v>0</v>
      </c>
    </row>
    <row r="198" spans="1:61" x14ac:dyDescent="0.35">
      <c r="A198" t="s">
        <v>196</v>
      </c>
      <c r="B198" s="1">
        <v>36500</v>
      </c>
      <c r="C198" t="s">
        <v>494</v>
      </c>
      <c r="D198" t="s">
        <v>59</v>
      </c>
      <c r="E198" t="s">
        <v>492</v>
      </c>
      <c r="F198" t="s">
        <v>59</v>
      </c>
      <c r="G198" t="s">
        <v>102</v>
      </c>
      <c r="H198" s="139">
        <f t="shared" si="124"/>
        <v>0</v>
      </c>
      <c r="I198" t="s">
        <v>234</v>
      </c>
      <c r="J198" t="s">
        <v>235</v>
      </c>
      <c r="K198" s="2">
        <f t="shared" ref="K198:K261" si="128">IF(J198="Consumer Discretionary",5,IF(J198="Industrials",1,IF(J198="Energy",3,IF(J198="Health Care",2,IF(J198="Communications",4,IF(J198="Financials",6,IF(J198="Consumer Staples",7,IF(J198="Materials",8,IF(J198="Technology",9,IF(J198="Utilities",10,""))))))))))</f>
        <v>1</v>
      </c>
      <c r="L198">
        <v>194000000</v>
      </c>
      <c r="M198" s="2">
        <f t="shared" ref="M198:M261" si="129">LOG(L198)</f>
        <v>8.2878017299302265</v>
      </c>
      <c r="N198">
        <f t="shared" si="125"/>
        <v>194000000</v>
      </c>
      <c r="O198">
        <v>0</v>
      </c>
      <c r="P198" s="1">
        <v>37929</v>
      </c>
      <c r="Q198" s="89">
        <f t="shared" ref="Q198:Q261" si="130">YEAR(P198)</f>
        <v>2003</v>
      </c>
      <c r="R198" t="s">
        <v>107</v>
      </c>
      <c r="S198">
        <v>165000000</v>
      </c>
      <c r="T198" s="21">
        <f t="shared" si="120"/>
        <v>3.9150684931506849</v>
      </c>
      <c r="U198">
        <v>0</v>
      </c>
      <c r="V198">
        <f t="shared" ref="V198:V261" si="131">LOG(1+U198)</f>
        <v>0</v>
      </c>
      <c r="W198">
        <v>1937</v>
      </c>
      <c r="X198">
        <v>62</v>
      </c>
      <c r="Y198">
        <f t="shared" ref="Y198:Y261" si="132">LOG(1+X198)</f>
        <v>1.7993405494535817</v>
      </c>
      <c r="Z198" s="45">
        <v>3.29</v>
      </c>
      <c r="AA198" s="9">
        <f t="shared" si="121"/>
        <v>-29000000</v>
      </c>
      <c r="AB198" s="15">
        <f t="shared" si="122"/>
        <v>-0.14948453608247425</v>
      </c>
      <c r="AC198" s="34">
        <f t="shared" ref="AC198:AC261" si="133">IF(AB198=-1,LOG(0.1),LOG(1+AB198))</f>
        <v>-7.0317785716319775E-2</v>
      </c>
      <c r="AD198" s="40">
        <v>1709.090909090909</v>
      </c>
      <c r="AE198">
        <f t="shared" si="126"/>
        <v>3.2327651641054547</v>
      </c>
      <c r="AF198">
        <v>8968.5950413223145</v>
      </c>
      <c r="AG198">
        <f t="shared" si="127"/>
        <v>3.9527244147731087</v>
      </c>
      <c r="AH198" s="9">
        <v>0</v>
      </c>
      <c r="AI198" s="9">
        <f t="shared" ref="AI198:AI261" si="134">IF(AH198=0,0,LOG(1+AH198))</f>
        <v>0</v>
      </c>
      <c r="AJ198">
        <v>85</v>
      </c>
      <c r="AK198" s="23" t="s">
        <v>70</v>
      </c>
      <c r="AL198" s="42">
        <v>35.326012114535303</v>
      </c>
      <c r="AM198" s="24">
        <v>-0.26</v>
      </c>
      <c r="AN198" s="34">
        <f t="shared" ref="AN198:AN261" si="135">LOG(1+AM198)</f>
        <v>-0.13076828026902382</v>
      </c>
      <c r="AO198">
        <v>1980</v>
      </c>
      <c r="AP198">
        <v>19</v>
      </c>
      <c r="AQ198">
        <v>70</v>
      </c>
      <c r="AR198">
        <v>70</v>
      </c>
      <c r="AS198">
        <f t="shared" si="123"/>
        <v>0</v>
      </c>
      <c r="AT198">
        <f t="shared" ref="AT198:AT261" si="136">IF($D198="US",1,0)</f>
        <v>0</v>
      </c>
      <c r="AU198">
        <f t="shared" ref="AU198:AU261" si="137">IF($D198="UK",1,0)</f>
        <v>1</v>
      </c>
      <c r="AV198">
        <f t="shared" ref="AV198:AV261" si="138">IF($D198="Norway",1,0)</f>
        <v>0</v>
      </c>
      <c r="AW198">
        <f t="shared" ref="AW198:AW261" si="139">IF($D198="Denmark",1,0)</f>
        <v>0</v>
      </c>
      <c r="AX198">
        <f t="shared" ref="AX198:AX261" si="140">IF($D198="Sweden",1,0)</f>
        <v>0</v>
      </c>
      <c r="AY198">
        <f t="shared" ref="AY198:AY261" si="141">IF($D198="Netherlands",1,0)</f>
        <v>0</v>
      </c>
      <c r="AZ198">
        <f t="shared" ref="AZ198:AZ261" si="142">IF($D198="France",1,0)</f>
        <v>0</v>
      </c>
      <c r="BA198">
        <f t="shared" ref="BA198:BA261" si="143">IF($D198="Belgium",1,0)</f>
        <v>0</v>
      </c>
      <c r="BB198">
        <f t="shared" ref="BB198:BB261" si="144">IF($D198="Germany",1,0)</f>
        <v>0</v>
      </c>
      <c r="BC198">
        <f t="shared" ref="BC198:BC261" si="145">IF($D198="Italy",1,0)</f>
        <v>0</v>
      </c>
      <c r="BD198">
        <f t="shared" ref="BD198:BD261" si="146">IF($D198="Spain",1,0)</f>
        <v>0</v>
      </c>
      <c r="BE198">
        <f t="shared" ref="BE198:BE261" si="147">IF($D198="Luxembourg",1,0)</f>
        <v>0</v>
      </c>
      <c r="BF198">
        <f t="shared" ref="BF198:BF261" si="148">IF($D198="Portugal",1,0)</f>
        <v>0</v>
      </c>
      <c r="BG198">
        <f t="shared" ref="BG198:BG261" si="149">IF($D198="Switzerland",1,0)</f>
        <v>0</v>
      </c>
      <c r="BH198">
        <f t="shared" ref="BH198:BH261" si="150">IF($D198="Ireland",1,0)</f>
        <v>0</v>
      </c>
      <c r="BI198">
        <f t="shared" ref="BI198:BI261" si="151">IF($D198="Finland",1,0)</f>
        <v>0</v>
      </c>
    </row>
    <row r="199" spans="1:61" x14ac:dyDescent="0.35">
      <c r="A199" t="s">
        <v>196</v>
      </c>
      <c r="B199" s="1">
        <v>36500</v>
      </c>
      <c r="C199" t="s">
        <v>495</v>
      </c>
      <c r="D199" t="s">
        <v>59</v>
      </c>
      <c r="E199" t="s">
        <v>492</v>
      </c>
      <c r="F199" t="s">
        <v>59</v>
      </c>
      <c r="G199" t="s">
        <v>102</v>
      </c>
      <c r="H199" s="139">
        <f t="shared" si="124"/>
        <v>0</v>
      </c>
      <c r="I199" t="s">
        <v>234</v>
      </c>
      <c r="J199" t="s">
        <v>235</v>
      </c>
      <c r="K199" s="2">
        <f t="shared" si="128"/>
        <v>1</v>
      </c>
      <c r="L199">
        <v>194000000</v>
      </c>
      <c r="M199" s="2">
        <f t="shared" si="129"/>
        <v>8.2878017299302265</v>
      </c>
      <c r="N199">
        <f t="shared" si="125"/>
        <v>194000000</v>
      </c>
      <c r="O199">
        <v>0</v>
      </c>
      <c r="P199" s="1">
        <v>37634</v>
      </c>
      <c r="Q199" s="89">
        <f t="shared" si="130"/>
        <v>2003</v>
      </c>
      <c r="R199" t="s">
        <v>107</v>
      </c>
      <c r="S199">
        <v>50000000</v>
      </c>
      <c r="T199" s="21">
        <f t="shared" si="120"/>
        <v>3.106849315068493</v>
      </c>
      <c r="U199">
        <v>0</v>
      </c>
      <c r="V199">
        <f t="shared" si="131"/>
        <v>0</v>
      </c>
      <c r="W199">
        <v>1992</v>
      </c>
      <c r="X199">
        <v>7</v>
      </c>
      <c r="Y199">
        <f t="shared" si="132"/>
        <v>0.90308998699194354</v>
      </c>
      <c r="Z199" s="45">
        <v>3.29</v>
      </c>
      <c r="AA199" s="9">
        <f t="shared" si="121"/>
        <v>-144000000</v>
      </c>
      <c r="AB199" s="15">
        <f t="shared" si="122"/>
        <v>-0.74226804123711343</v>
      </c>
      <c r="AC199" s="34">
        <f t="shared" si="133"/>
        <v>-0.58883172559420727</v>
      </c>
      <c r="AD199" s="40">
        <v>1709.090909090909</v>
      </c>
      <c r="AE199">
        <f t="shared" si="126"/>
        <v>3.2327651641054547</v>
      </c>
      <c r="AF199">
        <v>8968.5950413223145</v>
      </c>
      <c r="AG199">
        <f t="shared" si="127"/>
        <v>3.9527244147731087</v>
      </c>
      <c r="AH199" s="9">
        <v>0</v>
      </c>
      <c r="AI199" s="9">
        <f t="shared" si="134"/>
        <v>0</v>
      </c>
      <c r="AJ199">
        <v>85</v>
      </c>
      <c r="AK199" s="23" t="s">
        <v>70</v>
      </c>
      <c r="AL199" s="42">
        <v>35.326012114535303</v>
      </c>
      <c r="AM199" s="24">
        <v>-0.35</v>
      </c>
      <c r="AN199" s="34">
        <f t="shared" si="135"/>
        <v>-0.18708664335714442</v>
      </c>
      <c r="AO199">
        <v>1980</v>
      </c>
      <c r="AP199">
        <v>19</v>
      </c>
      <c r="AQ199">
        <v>70</v>
      </c>
      <c r="AR199">
        <v>70</v>
      </c>
      <c r="AS199">
        <f t="shared" si="123"/>
        <v>0</v>
      </c>
      <c r="AT199">
        <f t="shared" si="136"/>
        <v>0</v>
      </c>
      <c r="AU199">
        <f t="shared" si="137"/>
        <v>1</v>
      </c>
      <c r="AV199">
        <f t="shared" si="138"/>
        <v>0</v>
      </c>
      <c r="AW199">
        <f t="shared" si="139"/>
        <v>0</v>
      </c>
      <c r="AX199">
        <f t="shared" si="140"/>
        <v>0</v>
      </c>
      <c r="AY199">
        <f t="shared" si="141"/>
        <v>0</v>
      </c>
      <c r="AZ199">
        <f t="shared" si="142"/>
        <v>0</v>
      </c>
      <c r="BA199">
        <f t="shared" si="143"/>
        <v>0</v>
      </c>
      <c r="BB199">
        <f t="shared" si="144"/>
        <v>0</v>
      </c>
      <c r="BC199">
        <f t="shared" si="145"/>
        <v>0</v>
      </c>
      <c r="BD199">
        <f t="shared" si="146"/>
        <v>0</v>
      </c>
      <c r="BE199">
        <f t="shared" si="147"/>
        <v>0</v>
      </c>
      <c r="BF199">
        <f t="shared" si="148"/>
        <v>0</v>
      </c>
      <c r="BG199">
        <f t="shared" si="149"/>
        <v>0</v>
      </c>
      <c r="BH199">
        <f t="shared" si="150"/>
        <v>0</v>
      </c>
      <c r="BI199">
        <f t="shared" si="151"/>
        <v>0</v>
      </c>
    </row>
    <row r="200" spans="1:61" x14ac:dyDescent="0.35">
      <c r="A200" t="s">
        <v>196</v>
      </c>
      <c r="B200" s="1">
        <v>36473</v>
      </c>
      <c r="C200" t="s">
        <v>496</v>
      </c>
      <c r="D200" t="s">
        <v>497</v>
      </c>
      <c r="E200" t="s">
        <v>492</v>
      </c>
      <c r="F200" t="s">
        <v>59</v>
      </c>
      <c r="G200" t="s">
        <v>125</v>
      </c>
      <c r="H200" s="139">
        <f t="shared" si="124"/>
        <v>1</v>
      </c>
      <c r="I200" t="s">
        <v>234</v>
      </c>
      <c r="J200" t="s">
        <v>326</v>
      </c>
      <c r="K200" s="2">
        <f t="shared" si="128"/>
        <v>8</v>
      </c>
      <c r="L200">
        <v>386710000</v>
      </c>
      <c r="M200" s="2">
        <f t="shared" si="129"/>
        <v>8.5873854027135259</v>
      </c>
      <c r="N200">
        <f t="shared" si="125"/>
        <v>386710000</v>
      </c>
      <c r="O200">
        <v>0</v>
      </c>
      <c r="P200" s="1">
        <v>38018</v>
      </c>
      <c r="Q200" s="89">
        <f t="shared" si="130"/>
        <v>2004</v>
      </c>
      <c r="R200" t="s">
        <v>152</v>
      </c>
      <c r="S200">
        <v>630000000</v>
      </c>
      <c r="T200" s="21">
        <f t="shared" si="120"/>
        <v>4.2328767123287667</v>
      </c>
      <c r="U200">
        <v>463.97</v>
      </c>
      <c r="V200">
        <f t="shared" si="131"/>
        <v>2.6674249329872439</v>
      </c>
      <c r="W200">
        <v>1999</v>
      </c>
      <c r="X200">
        <v>0</v>
      </c>
      <c r="Y200">
        <f t="shared" si="132"/>
        <v>0</v>
      </c>
      <c r="Z200" s="45">
        <v>2.61</v>
      </c>
      <c r="AA200" s="9">
        <f t="shared" si="121"/>
        <v>243290000</v>
      </c>
      <c r="AB200" s="15">
        <f t="shared" si="122"/>
        <v>0.62912777016368859</v>
      </c>
      <c r="AC200" s="34">
        <f t="shared" si="133"/>
        <v>0.21195514674005575</v>
      </c>
      <c r="AD200" s="40">
        <v>1709.090909090909</v>
      </c>
      <c r="AE200">
        <f t="shared" si="126"/>
        <v>3.2327651641054547</v>
      </c>
      <c r="AF200">
        <v>8968.5950413223145</v>
      </c>
      <c r="AG200">
        <f t="shared" si="127"/>
        <v>3.9527244147731087</v>
      </c>
      <c r="AH200" s="9">
        <v>193.166666666667</v>
      </c>
      <c r="AI200" s="9">
        <f t="shared" si="134"/>
        <v>2.2881746749783951</v>
      </c>
      <c r="AJ200">
        <v>85</v>
      </c>
      <c r="AK200" s="23" t="s">
        <v>498</v>
      </c>
      <c r="AL200" s="42">
        <v>33.950689057445601</v>
      </c>
      <c r="AM200" s="24">
        <v>-0.17</v>
      </c>
      <c r="AN200" s="34">
        <f t="shared" si="135"/>
        <v>-8.092190762392612E-2</v>
      </c>
      <c r="AO200">
        <v>1980</v>
      </c>
      <c r="AP200">
        <v>19</v>
      </c>
      <c r="AQ200">
        <v>70</v>
      </c>
      <c r="AR200">
        <v>70</v>
      </c>
      <c r="AS200">
        <f t="shared" si="123"/>
        <v>0</v>
      </c>
      <c r="AT200">
        <f t="shared" si="136"/>
        <v>0</v>
      </c>
      <c r="AU200">
        <f t="shared" si="137"/>
        <v>0</v>
      </c>
      <c r="AV200">
        <f t="shared" si="138"/>
        <v>0</v>
      </c>
      <c r="AW200">
        <f t="shared" si="139"/>
        <v>0</v>
      </c>
      <c r="AX200">
        <f t="shared" si="140"/>
        <v>0</v>
      </c>
      <c r="AY200">
        <f t="shared" si="141"/>
        <v>0</v>
      </c>
      <c r="AZ200">
        <f t="shared" si="142"/>
        <v>0</v>
      </c>
      <c r="BA200">
        <f t="shared" si="143"/>
        <v>0</v>
      </c>
      <c r="BB200">
        <f t="shared" si="144"/>
        <v>0</v>
      </c>
      <c r="BC200">
        <f t="shared" si="145"/>
        <v>0</v>
      </c>
      <c r="BD200">
        <f t="shared" si="146"/>
        <v>0</v>
      </c>
      <c r="BE200">
        <f t="shared" si="147"/>
        <v>0</v>
      </c>
      <c r="BF200">
        <f t="shared" si="148"/>
        <v>0</v>
      </c>
      <c r="BG200">
        <f t="shared" si="149"/>
        <v>0</v>
      </c>
      <c r="BH200">
        <f t="shared" si="150"/>
        <v>1</v>
      </c>
      <c r="BI200">
        <f t="shared" si="151"/>
        <v>0</v>
      </c>
    </row>
    <row r="201" spans="1:61" x14ac:dyDescent="0.35">
      <c r="A201" t="s">
        <v>196</v>
      </c>
      <c r="B201" s="1">
        <v>36434</v>
      </c>
      <c r="C201" t="s">
        <v>499</v>
      </c>
      <c r="D201" t="s">
        <v>59</v>
      </c>
      <c r="E201" t="s">
        <v>492</v>
      </c>
      <c r="F201" t="s">
        <v>59</v>
      </c>
      <c r="G201" t="s">
        <v>102</v>
      </c>
      <c r="H201" s="139">
        <f t="shared" si="124"/>
        <v>0</v>
      </c>
      <c r="I201" t="s">
        <v>234</v>
      </c>
      <c r="J201" t="s">
        <v>248</v>
      </c>
      <c r="K201" s="2">
        <f t="shared" si="128"/>
        <v>5</v>
      </c>
      <c r="L201">
        <v>183000000</v>
      </c>
      <c r="M201" s="2">
        <f t="shared" si="129"/>
        <v>8.2624510897304297</v>
      </c>
      <c r="N201">
        <f t="shared" si="125"/>
        <v>183000000</v>
      </c>
      <c r="O201">
        <v>0</v>
      </c>
      <c r="P201" s="1">
        <v>38114</v>
      </c>
      <c r="Q201" s="89">
        <f t="shared" si="130"/>
        <v>2004</v>
      </c>
      <c r="R201" t="s">
        <v>152</v>
      </c>
      <c r="S201">
        <v>245000000</v>
      </c>
      <c r="T201" s="21">
        <f t="shared" si="120"/>
        <v>4.602739726027397</v>
      </c>
      <c r="U201">
        <v>0</v>
      </c>
      <c r="V201">
        <f t="shared" si="131"/>
        <v>0</v>
      </c>
      <c r="W201">
        <v>1886</v>
      </c>
      <c r="X201">
        <v>113</v>
      </c>
      <c r="Y201">
        <f t="shared" si="132"/>
        <v>2.0569048513364727</v>
      </c>
      <c r="Z201" s="45">
        <v>3.29</v>
      </c>
      <c r="AA201" s="9">
        <f t="shared" si="121"/>
        <v>62000000</v>
      </c>
      <c r="AB201" s="15">
        <f t="shared" si="122"/>
        <v>0.33879781420765021</v>
      </c>
      <c r="AC201" s="34">
        <f t="shared" si="133"/>
        <v>0.12671499463410296</v>
      </c>
      <c r="AD201" s="40">
        <v>1709.090909090909</v>
      </c>
      <c r="AE201">
        <f t="shared" si="126"/>
        <v>3.2327651641054547</v>
      </c>
      <c r="AF201">
        <v>8968.5950413223145</v>
      </c>
      <c r="AG201">
        <f t="shared" si="127"/>
        <v>3.9527244147731087</v>
      </c>
      <c r="AH201" s="9">
        <v>0</v>
      </c>
      <c r="AI201" s="9">
        <f t="shared" si="134"/>
        <v>0</v>
      </c>
      <c r="AJ201">
        <v>85</v>
      </c>
      <c r="AK201" s="23" t="s">
        <v>70</v>
      </c>
      <c r="AL201" s="42">
        <v>35.326012114535303</v>
      </c>
      <c r="AM201" s="24">
        <v>-0.14000000000000001</v>
      </c>
      <c r="AN201" s="34">
        <f t="shared" si="135"/>
        <v>-6.5501548756432285E-2</v>
      </c>
      <c r="AO201">
        <v>1980</v>
      </c>
      <c r="AP201">
        <v>19</v>
      </c>
      <c r="AQ201">
        <v>70</v>
      </c>
      <c r="AR201">
        <v>70</v>
      </c>
      <c r="AS201">
        <f t="shared" si="123"/>
        <v>0</v>
      </c>
      <c r="AT201">
        <f t="shared" si="136"/>
        <v>0</v>
      </c>
      <c r="AU201">
        <f t="shared" si="137"/>
        <v>1</v>
      </c>
      <c r="AV201">
        <f t="shared" si="138"/>
        <v>0</v>
      </c>
      <c r="AW201">
        <f t="shared" si="139"/>
        <v>0</v>
      </c>
      <c r="AX201">
        <f t="shared" si="140"/>
        <v>0</v>
      </c>
      <c r="AY201">
        <f t="shared" si="141"/>
        <v>0</v>
      </c>
      <c r="AZ201">
        <f t="shared" si="142"/>
        <v>0</v>
      </c>
      <c r="BA201">
        <f t="shared" si="143"/>
        <v>0</v>
      </c>
      <c r="BB201">
        <f t="shared" si="144"/>
        <v>0</v>
      </c>
      <c r="BC201">
        <f t="shared" si="145"/>
        <v>0</v>
      </c>
      <c r="BD201">
        <f t="shared" si="146"/>
        <v>0</v>
      </c>
      <c r="BE201">
        <f t="shared" si="147"/>
        <v>0</v>
      </c>
      <c r="BF201">
        <f t="shared" si="148"/>
        <v>0</v>
      </c>
      <c r="BG201">
        <f t="shared" si="149"/>
        <v>0</v>
      </c>
      <c r="BH201">
        <f t="shared" si="150"/>
        <v>0</v>
      </c>
      <c r="BI201">
        <f t="shared" si="151"/>
        <v>0</v>
      </c>
    </row>
    <row r="202" spans="1:61" x14ac:dyDescent="0.35">
      <c r="A202" t="s">
        <v>500</v>
      </c>
      <c r="B202" s="1">
        <v>36339</v>
      </c>
      <c r="C202" t="s">
        <v>501</v>
      </c>
      <c r="D202" t="s">
        <v>6</v>
      </c>
      <c r="E202" t="s">
        <v>492</v>
      </c>
      <c r="F202" t="s">
        <v>59</v>
      </c>
      <c r="G202" t="s">
        <v>125</v>
      </c>
      <c r="H202" s="139">
        <f t="shared" si="124"/>
        <v>1</v>
      </c>
      <c r="I202" t="s">
        <v>234</v>
      </c>
      <c r="J202" t="s">
        <v>235</v>
      </c>
      <c r="K202" s="2">
        <f t="shared" si="128"/>
        <v>1</v>
      </c>
      <c r="L202">
        <v>26720000</v>
      </c>
      <c r="M202" s="2">
        <f t="shared" si="129"/>
        <v>7.4268364538035083</v>
      </c>
      <c r="N202">
        <f t="shared" si="125"/>
        <v>26720000</v>
      </c>
      <c r="O202">
        <v>0</v>
      </c>
      <c r="P202" s="1">
        <v>37445</v>
      </c>
      <c r="Q202" s="89">
        <f t="shared" si="130"/>
        <v>2002</v>
      </c>
      <c r="R202" t="s">
        <v>107</v>
      </c>
      <c r="S202">
        <v>36358000</v>
      </c>
      <c r="T202" s="21">
        <f t="shared" si="120"/>
        <v>3.0301369863013701</v>
      </c>
      <c r="U202">
        <v>320.77</v>
      </c>
      <c r="V202">
        <f t="shared" si="131"/>
        <v>2.5075455505094206</v>
      </c>
      <c r="W202">
        <v>1937</v>
      </c>
      <c r="X202">
        <v>62</v>
      </c>
      <c r="Y202">
        <f t="shared" si="132"/>
        <v>1.7993405494535817</v>
      </c>
      <c r="Z202" s="45">
        <v>2.91</v>
      </c>
      <c r="AA202" s="9">
        <f t="shared" si="121"/>
        <v>9638000</v>
      </c>
      <c r="AB202" s="15">
        <f t="shared" si="122"/>
        <v>0.36070359281437137</v>
      </c>
      <c r="AC202" s="34">
        <f t="shared" si="133"/>
        <v>0.1337635315040327</v>
      </c>
      <c r="AD202" s="40">
        <v>1709.090909090909</v>
      </c>
      <c r="AE202">
        <f t="shared" si="126"/>
        <v>3.2327651641054547</v>
      </c>
      <c r="AF202">
        <v>8968.5950413223145</v>
      </c>
      <c r="AG202">
        <f t="shared" si="127"/>
        <v>3.9527244147731087</v>
      </c>
      <c r="AH202" s="9">
        <v>447.5</v>
      </c>
      <c r="AI202" s="9">
        <f t="shared" si="134"/>
        <v>2.6517624473801109</v>
      </c>
      <c r="AJ202">
        <v>70</v>
      </c>
      <c r="AK202" s="23" t="s">
        <v>502</v>
      </c>
      <c r="AL202" s="42">
        <v>50.068420233717902</v>
      </c>
      <c r="AM202" s="24">
        <v>-0.27</v>
      </c>
      <c r="AN202" s="34">
        <f t="shared" si="135"/>
        <v>-0.13667713987954411</v>
      </c>
      <c r="AO202">
        <v>1980</v>
      </c>
      <c r="AP202">
        <v>19</v>
      </c>
      <c r="AQ202">
        <v>70</v>
      </c>
      <c r="AR202">
        <v>70</v>
      </c>
      <c r="AS202">
        <f t="shared" si="123"/>
        <v>0</v>
      </c>
      <c r="AT202">
        <f t="shared" si="136"/>
        <v>0</v>
      </c>
      <c r="AU202">
        <f t="shared" si="137"/>
        <v>0</v>
      </c>
      <c r="AV202">
        <f t="shared" si="138"/>
        <v>0</v>
      </c>
      <c r="AW202">
        <f t="shared" si="139"/>
        <v>0</v>
      </c>
      <c r="AX202">
        <f t="shared" si="140"/>
        <v>0</v>
      </c>
      <c r="AY202">
        <f t="shared" si="141"/>
        <v>0</v>
      </c>
      <c r="AZ202">
        <f t="shared" si="142"/>
        <v>0</v>
      </c>
      <c r="BA202">
        <f t="shared" si="143"/>
        <v>1</v>
      </c>
      <c r="BB202">
        <f t="shared" si="144"/>
        <v>0</v>
      </c>
      <c r="BC202">
        <f t="shared" si="145"/>
        <v>0</v>
      </c>
      <c r="BD202">
        <f t="shared" si="146"/>
        <v>0</v>
      </c>
      <c r="BE202">
        <f t="shared" si="147"/>
        <v>0</v>
      </c>
      <c r="BF202">
        <f t="shared" si="148"/>
        <v>0</v>
      </c>
      <c r="BG202">
        <f t="shared" si="149"/>
        <v>0</v>
      </c>
      <c r="BH202">
        <f t="shared" si="150"/>
        <v>0</v>
      </c>
      <c r="BI202">
        <f t="shared" si="151"/>
        <v>0</v>
      </c>
    </row>
    <row r="203" spans="1:61" x14ac:dyDescent="0.35">
      <c r="A203" t="s">
        <v>51</v>
      </c>
      <c r="B203" s="1">
        <v>35853</v>
      </c>
      <c r="C203" t="s">
        <v>503</v>
      </c>
      <c r="D203" t="s">
        <v>59</v>
      </c>
      <c r="E203" t="s">
        <v>492</v>
      </c>
      <c r="F203" t="s">
        <v>59</v>
      </c>
      <c r="G203" t="s">
        <v>102</v>
      </c>
      <c r="H203" s="139">
        <f t="shared" si="124"/>
        <v>0</v>
      </c>
      <c r="I203" t="s">
        <v>234</v>
      </c>
      <c r="J203" t="s">
        <v>186</v>
      </c>
      <c r="K203" s="2">
        <f t="shared" si="128"/>
        <v>4</v>
      </c>
      <c r="L203">
        <v>360000000</v>
      </c>
      <c r="M203" s="2">
        <f t="shared" si="129"/>
        <v>8.5563025007672877</v>
      </c>
      <c r="N203">
        <f t="shared" si="125"/>
        <v>360000000</v>
      </c>
      <c r="O203">
        <v>0</v>
      </c>
      <c r="P203" s="1">
        <v>37358</v>
      </c>
      <c r="Q203" s="89">
        <f t="shared" si="130"/>
        <v>2002</v>
      </c>
      <c r="R203" t="s">
        <v>107</v>
      </c>
      <c r="S203">
        <v>560000000</v>
      </c>
      <c r="T203" s="21">
        <f t="shared" si="120"/>
        <v>4.1232876712328768</v>
      </c>
      <c r="U203">
        <v>0</v>
      </c>
      <c r="V203">
        <f t="shared" si="131"/>
        <v>0</v>
      </c>
      <c r="W203">
        <v>1998</v>
      </c>
      <c r="X203">
        <v>0</v>
      </c>
      <c r="Y203">
        <f t="shared" si="132"/>
        <v>0</v>
      </c>
      <c r="Z203" s="45">
        <v>3.29</v>
      </c>
      <c r="AA203" s="9">
        <f t="shared" si="121"/>
        <v>200000000</v>
      </c>
      <c r="AB203" s="15">
        <f t="shared" si="122"/>
        <v>0.55555555555555558</v>
      </c>
      <c r="AC203" s="34">
        <f t="shared" si="133"/>
        <v>0.19188552623891317</v>
      </c>
      <c r="AD203" s="40">
        <v>1709.090909090909</v>
      </c>
      <c r="AE203">
        <f t="shared" si="126"/>
        <v>3.2327651641054547</v>
      </c>
      <c r="AF203">
        <v>8968.5950413223145</v>
      </c>
      <c r="AG203">
        <f t="shared" si="127"/>
        <v>3.9527244147731087</v>
      </c>
      <c r="AH203" s="9">
        <v>0</v>
      </c>
      <c r="AI203" s="9">
        <f t="shared" si="134"/>
        <v>0</v>
      </c>
      <c r="AJ203">
        <v>85</v>
      </c>
      <c r="AK203" s="23" t="s">
        <v>249</v>
      </c>
      <c r="AL203" s="42">
        <v>35.516899069648296</v>
      </c>
      <c r="AM203" s="24">
        <v>0.06</v>
      </c>
      <c r="AN203" s="34">
        <f t="shared" si="135"/>
        <v>2.5305865264770262E-2</v>
      </c>
      <c r="AO203">
        <v>1980</v>
      </c>
      <c r="AP203">
        <v>18</v>
      </c>
      <c r="AQ203">
        <v>70</v>
      </c>
      <c r="AR203">
        <v>70</v>
      </c>
      <c r="AS203">
        <f t="shared" si="123"/>
        <v>0</v>
      </c>
      <c r="AT203">
        <f t="shared" si="136"/>
        <v>0</v>
      </c>
      <c r="AU203">
        <f t="shared" si="137"/>
        <v>1</v>
      </c>
      <c r="AV203">
        <f t="shared" si="138"/>
        <v>0</v>
      </c>
      <c r="AW203">
        <f t="shared" si="139"/>
        <v>0</v>
      </c>
      <c r="AX203">
        <f t="shared" si="140"/>
        <v>0</v>
      </c>
      <c r="AY203">
        <f t="shared" si="141"/>
        <v>0</v>
      </c>
      <c r="AZ203">
        <f t="shared" si="142"/>
        <v>0</v>
      </c>
      <c r="BA203">
        <f t="shared" si="143"/>
        <v>0</v>
      </c>
      <c r="BB203">
        <f t="shared" si="144"/>
        <v>0</v>
      </c>
      <c r="BC203">
        <f t="shared" si="145"/>
        <v>0</v>
      </c>
      <c r="BD203">
        <f t="shared" si="146"/>
        <v>0</v>
      </c>
      <c r="BE203">
        <f t="shared" si="147"/>
        <v>0</v>
      </c>
      <c r="BF203">
        <f t="shared" si="148"/>
        <v>0</v>
      </c>
      <c r="BG203">
        <f t="shared" si="149"/>
        <v>0</v>
      </c>
      <c r="BH203">
        <f t="shared" si="150"/>
        <v>0</v>
      </c>
      <c r="BI203">
        <f t="shared" si="151"/>
        <v>0</v>
      </c>
    </row>
    <row r="204" spans="1:61" x14ac:dyDescent="0.35">
      <c r="A204" t="s">
        <v>196</v>
      </c>
      <c r="B204" s="1">
        <v>35012</v>
      </c>
      <c r="C204" t="s">
        <v>504</v>
      </c>
      <c r="D204" t="s">
        <v>59</v>
      </c>
      <c r="E204" t="s">
        <v>505</v>
      </c>
      <c r="F204" t="s">
        <v>59</v>
      </c>
      <c r="G204" t="s">
        <v>102</v>
      </c>
      <c r="H204" s="139">
        <f t="shared" si="124"/>
        <v>0</v>
      </c>
      <c r="I204" t="s">
        <v>234</v>
      </c>
      <c r="J204" t="s">
        <v>245</v>
      </c>
      <c r="K204" s="2">
        <f t="shared" si="128"/>
        <v>6</v>
      </c>
      <c r="L204">
        <v>580000000</v>
      </c>
      <c r="M204" s="2">
        <f t="shared" si="129"/>
        <v>8.7634279935629369</v>
      </c>
      <c r="N204">
        <f t="shared" si="125"/>
        <v>580000000</v>
      </c>
      <c r="O204">
        <v>0</v>
      </c>
      <c r="P204" s="1">
        <v>35480</v>
      </c>
      <c r="Q204" s="89">
        <f t="shared" si="130"/>
        <v>1997</v>
      </c>
      <c r="R204" t="s">
        <v>107</v>
      </c>
      <c r="S204">
        <v>490250000</v>
      </c>
      <c r="T204" s="21">
        <f t="shared" si="120"/>
        <v>1.2821917808219179</v>
      </c>
      <c r="U204">
        <v>0</v>
      </c>
      <c r="V204">
        <f t="shared" si="131"/>
        <v>0</v>
      </c>
      <c r="W204">
        <v>1994</v>
      </c>
      <c r="X204">
        <v>1</v>
      </c>
      <c r="Y204">
        <f t="shared" si="132"/>
        <v>0.3010299956639812</v>
      </c>
      <c r="Z204" s="45">
        <v>3.29</v>
      </c>
      <c r="AA204" s="9">
        <f t="shared" si="121"/>
        <v>-89750000</v>
      </c>
      <c r="AB204" s="15">
        <f t="shared" si="122"/>
        <v>-0.15474137931034482</v>
      </c>
      <c r="AC204" s="34">
        <f t="shared" si="133"/>
        <v>-7.3010391223115631E-2</v>
      </c>
      <c r="AD204" s="40">
        <v>1709.090909090909</v>
      </c>
      <c r="AE204">
        <f t="shared" si="126"/>
        <v>3.2327651641054547</v>
      </c>
      <c r="AF204">
        <v>8968.5950413223145</v>
      </c>
      <c r="AG204">
        <f t="shared" si="127"/>
        <v>3.9527244147731087</v>
      </c>
      <c r="AH204" s="9">
        <v>0</v>
      </c>
      <c r="AI204" s="9">
        <f t="shared" si="134"/>
        <v>0</v>
      </c>
      <c r="AJ204">
        <v>100</v>
      </c>
      <c r="AK204" s="23" t="s">
        <v>506</v>
      </c>
      <c r="AL204" s="42">
        <v>38.538703610951003</v>
      </c>
      <c r="AM204" s="24">
        <v>0.37</v>
      </c>
      <c r="AN204" s="34">
        <f t="shared" si="135"/>
        <v>0.13672056715640679</v>
      </c>
      <c r="AO204">
        <v>1980</v>
      </c>
      <c r="AP204">
        <v>15</v>
      </c>
      <c r="AQ204">
        <v>70</v>
      </c>
      <c r="AR204">
        <v>70</v>
      </c>
      <c r="AS204">
        <f t="shared" si="123"/>
        <v>0</v>
      </c>
      <c r="AT204">
        <f t="shared" si="136"/>
        <v>0</v>
      </c>
      <c r="AU204">
        <f t="shared" si="137"/>
        <v>1</v>
      </c>
      <c r="AV204">
        <f t="shared" si="138"/>
        <v>0</v>
      </c>
      <c r="AW204">
        <f t="shared" si="139"/>
        <v>0</v>
      </c>
      <c r="AX204">
        <f t="shared" si="140"/>
        <v>0</v>
      </c>
      <c r="AY204">
        <f t="shared" si="141"/>
        <v>0</v>
      </c>
      <c r="AZ204">
        <f t="shared" si="142"/>
        <v>0</v>
      </c>
      <c r="BA204">
        <f t="shared" si="143"/>
        <v>0</v>
      </c>
      <c r="BB204">
        <f t="shared" si="144"/>
        <v>0</v>
      </c>
      <c r="BC204">
        <f t="shared" si="145"/>
        <v>0</v>
      </c>
      <c r="BD204">
        <f t="shared" si="146"/>
        <v>0</v>
      </c>
      <c r="BE204">
        <f t="shared" si="147"/>
        <v>0</v>
      </c>
      <c r="BF204">
        <f t="shared" si="148"/>
        <v>0</v>
      </c>
      <c r="BG204">
        <f t="shared" si="149"/>
        <v>0</v>
      </c>
      <c r="BH204">
        <f t="shared" si="150"/>
        <v>0</v>
      </c>
      <c r="BI204">
        <f t="shared" si="151"/>
        <v>0</v>
      </c>
    </row>
    <row r="205" spans="1:61" x14ac:dyDescent="0.35">
      <c r="A205" t="s">
        <v>196</v>
      </c>
      <c r="B205" s="1">
        <v>33238</v>
      </c>
      <c r="C205" t="s">
        <v>507</v>
      </c>
      <c r="D205" t="s">
        <v>59</v>
      </c>
      <c r="E205" t="s">
        <v>508</v>
      </c>
      <c r="F205" t="s">
        <v>59</v>
      </c>
      <c r="G205" t="s">
        <v>102</v>
      </c>
      <c r="H205" s="139">
        <f t="shared" si="124"/>
        <v>0</v>
      </c>
      <c r="I205" t="s">
        <v>234</v>
      </c>
      <c r="J205" t="s">
        <v>326</v>
      </c>
      <c r="K205" s="2">
        <f t="shared" si="128"/>
        <v>8</v>
      </c>
      <c r="L205">
        <v>84500000</v>
      </c>
      <c r="M205" s="2">
        <f t="shared" si="129"/>
        <v>7.9268567089496926</v>
      </c>
      <c r="N205">
        <f t="shared" si="125"/>
        <v>84500000</v>
      </c>
      <c r="O205">
        <v>0</v>
      </c>
      <c r="P205" s="1">
        <v>37049</v>
      </c>
      <c r="Q205" s="89">
        <f t="shared" si="130"/>
        <v>2001</v>
      </c>
      <c r="R205" t="s">
        <v>107</v>
      </c>
      <c r="S205">
        <v>148060000</v>
      </c>
      <c r="T205" s="21">
        <f t="shared" si="120"/>
        <v>10.441095890410958</v>
      </c>
      <c r="U205">
        <v>0</v>
      </c>
      <c r="V205">
        <f t="shared" si="131"/>
        <v>0</v>
      </c>
      <c r="W205">
        <v>1966</v>
      </c>
      <c r="X205">
        <v>24</v>
      </c>
      <c r="Y205">
        <f t="shared" si="132"/>
        <v>1.3979400086720377</v>
      </c>
      <c r="Z205" s="45">
        <v>3.29</v>
      </c>
      <c r="AA205" s="9">
        <f t="shared" si="121"/>
        <v>63560000</v>
      </c>
      <c r="AB205" s="15">
        <f t="shared" si="122"/>
        <v>0.75218934911242608</v>
      </c>
      <c r="AC205" s="34">
        <f t="shared" si="133"/>
        <v>0.24358103609649076</v>
      </c>
      <c r="AD205" s="40">
        <v>1709.090909090909</v>
      </c>
      <c r="AE205">
        <f t="shared" si="126"/>
        <v>3.2327651641054547</v>
      </c>
      <c r="AF205">
        <v>8968.5950413223145</v>
      </c>
      <c r="AG205">
        <f t="shared" si="127"/>
        <v>3.9527244147731087</v>
      </c>
      <c r="AH205" s="9">
        <v>0</v>
      </c>
      <c r="AI205" s="9">
        <f t="shared" si="134"/>
        <v>0</v>
      </c>
      <c r="AJ205">
        <v>100</v>
      </c>
      <c r="AK205" s="23" t="s">
        <v>78</v>
      </c>
      <c r="AL205" s="42">
        <v>49.329709120205997</v>
      </c>
      <c r="AM205" s="24">
        <v>2.87</v>
      </c>
      <c r="AN205" s="34">
        <f t="shared" si="135"/>
        <v>0.5877109650189114</v>
      </c>
      <c r="AO205">
        <v>1980</v>
      </c>
      <c r="AP205">
        <v>10</v>
      </c>
      <c r="AQ205">
        <v>70</v>
      </c>
      <c r="AR205">
        <v>70</v>
      </c>
      <c r="AS205">
        <f t="shared" si="123"/>
        <v>0</v>
      </c>
      <c r="AT205">
        <f t="shared" si="136"/>
        <v>0</v>
      </c>
      <c r="AU205">
        <f t="shared" si="137"/>
        <v>1</v>
      </c>
      <c r="AV205">
        <f t="shared" si="138"/>
        <v>0</v>
      </c>
      <c r="AW205">
        <f t="shared" si="139"/>
        <v>0</v>
      </c>
      <c r="AX205">
        <f t="shared" si="140"/>
        <v>0</v>
      </c>
      <c r="AY205">
        <f t="shared" si="141"/>
        <v>0</v>
      </c>
      <c r="AZ205">
        <f t="shared" si="142"/>
        <v>0</v>
      </c>
      <c r="BA205">
        <f t="shared" si="143"/>
        <v>0</v>
      </c>
      <c r="BB205">
        <f t="shared" si="144"/>
        <v>0</v>
      </c>
      <c r="BC205">
        <f t="shared" si="145"/>
        <v>0</v>
      </c>
      <c r="BD205">
        <f t="shared" si="146"/>
        <v>0</v>
      </c>
      <c r="BE205">
        <f t="shared" si="147"/>
        <v>0</v>
      </c>
      <c r="BF205">
        <f t="shared" si="148"/>
        <v>0</v>
      </c>
      <c r="BG205">
        <f t="shared" si="149"/>
        <v>0</v>
      </c>
      <c r="BH205">
        <f t="shared" si="150"/>
        <v>0</v>
      </c>
      <c r="BI205">
        <f t="shared" si="151"/>
        <v>0</v>
      </c>
    </row>
    <row r="206" spans="1:61" x14ac:dyDescent="0.35">
      <c r="A206" t="s">
        <v>51</v>
      </c>
      <c r="B206" s="1">
        <v>38300</v>
      </c>
      <c r="C206" t="s">
        <v>509</v>
      </c>
      <c r="D206" t="s">
        <v>5</v>
      </c>
      <c r="E206" s="26" t="s">
        <v>510</v>
      </c>
      <c r="F206" t="s">
        <v>45</v>
      </c>
      <c r="G206" t="s">
        <v>125</v>
      </c>
      <c r="H206" s="139">
        <f t="shared" si="124"/>
        <v>1</v>
      </c>
      <c r="I206" t="s">
        <v>234</v>
      </c>
      <c r="J206" t="s">
        <v>248</v>
      </c>
      <c r="K206" s="2">
        <f t="shared" si="128"/>
        <v>5</v>
      </c>
      <c r="L206">
        <v>22000000</v>
      </c>
      <c r="M206" s="2">
        <f t="shared" si="129"/>
        <v>7.3424226808222066</v>
      </c>
      <c r="N206">
        <f t="shared" si="125"/>
        <v>22000000</v>
      </c>
      <c r="O206">
        <v>0</v>
      </c>
      <c r="P206" s="1">
        <v>38624</v>
      </c>
      <c r="Q206" s="89">
        <f t="shared" si="130"/>
        <v>2005</v>
      </c>
      <c r="R206" t="s">
        <v>49</v>
      </c>
      <c r="S206">
        <v>62323398</v>
      </c>
      <c r="T206" s="21">
        <f t="shared" si="120"/>
        <v>0.88767123287671235</v>
      </c>
      <c r="U206">
        <v>6188.89</v>
      </c>
      <c r="V206">
        <f t="shared" si="131"/>
        <v>3.7916829312790057</v>
      </c>
      <c r="W206">
        <v>1995</v>
      </c>
      <c r="X206">
        <v>9</v>
      </c>
      <c r="Y206">
        <f t="shared" si="132"/>
        <v>1</v>
      </c>
      <c r="Z206" s="45">
        <v>2.72</v>
      </c>
      <c r="AA206" s="9">
        <f t="shared" si="121"/>
        <v>40323398</v>
      </c>
      <c r="AB206" s="15">
        <f t="shared" si="122"/>
        <v>1.8328817272727274</v>
      </c>
      <c r="AC206" s="34">
        <f t="shared" si="133"/>
        <v>0.45222844311731442</v>
      </c>
      <c r="AD206">
        <v>2391.8556165052146</v>
      </c>
      <c r="AE206">
        <f t="shared" si="126"/>
        <v>3.3787349600790799</v>
      </c>
      <c r="AF206">
        <v>5485.5754437712858</v>
      </c>
      <c r="AG206">
        <f t="shared" si="127"/>
        <v>3.7392221923384441</v>
      </c>
      <c r="AH206" s="9">
        <v>1084.3333333333301</v>
      </c>
      <c r="AI206" s="9">
        <f t="shared" si="134"/>
        <v>3.0355631414974997</v>
      </c>
      <c r="AJ206">
        <v>70</v>
      </c>
      <c r="AK206" s="23" t="s">
        <v>480</v>
      </c>
      <c r="AL206" s="42">
        <v>43.471204603938098</v>
      </c>
      <c r="AM206" s="24">
        <v>0.05</v>
      </c>
      <c r="AN206" s="34">
        <f t="shared" si="135"/>
        <v>2.1189299069938092E-2</v>
      </c>
      <c r="AO206">
        <v>1982</v>
      </c>
      <c r="AP206">
        <v>22</v>
      </c>
      <c r="AQ206">
        <v>95</v>
      </c>
      <c r="AR206">
        <v>80</v>
      </c>
      <c r="AS206">
        <f t="shared" si="123"/>
        <v>0</v>
      </c>
      <c r="AT206">
        <f t="shared" si="136"/>
        <v>0</v>
      </c>
      <c r="AU206">
        <f t="shared" si="137"/>
        <v>0</v>
      </c>
      <c r="AV206">
        <f t="shared" si="138"/>
        <v>0</v>
      </c>
      <c r="AW206">
        <f t="shared" si="139"/>
        <v>0</v>
      </c>
      <c r="AX206">
        <f t="shared" si="140"/>
        <v>0</v>
      </c>
      <c r="AY206">
        <f t="shared" si="141"/>
        <v>1</v>
      </c>
      <c r="AZ206">
        <f t="shared" si="142"/>
        <v>0</v>
      </c>
      <c r="BA206">
        <f t="shared" si="143"/>
        <v>0</v>
      </c>
      <c r="BB206">
        <f t="shared" si="144"/>
        <v>0</v>
      </c>
      <c r="BC206">
        <f t="shared" si="145"/>
        <v>0</v>
      </c>
      <c r="BD206">
        <f t="shared" si="146"/>
        <v>0</v>
      </c>
      <c r="BE206">
        <f t="shared" si="147"/>
        <v>0</v>
      </c>
      <c r="BF206">
        <f t="shared" si="148"/>
        <v>0</v>
      </c>
      <c r="BG206">
        <f t="shared" si="149"/>
        <v>0</v>
      </c>
      <c r="BH206">
        <f t="shared" si="150"/>
        <v>0</v>
      </c>
      <c r="BI206">
        <f t="shared" si="151"/>
        <v>0</v>
      </c>
    </row>
    <row r="207" spans="1:61" x14ac:dyDescent="0.35">
      <c r="A207" t="s">
        <v>51</v>
      </c>
      <c r="B207" s="1">
        <v>41639</v>
      </c>
      <c r="C207" t="s">
        <v>511</v>
      </c>
      <c r="D207" t="s">
        <v>434</v>
      </c>
      <c r="E207" s="26" t="s">
        <v>512</v>
      </c>
      <c r="F207" t="s">
        <v>59</v>
      </c>
      <c r="G207" t="s">
        <v>125</v>
      </c>
      <c r="H207" s="139">
        <f t="shared" si="124"/>
        <v>1</v>
      </c>
      <c r="I207" t="s">
        <v>234</v>
      </c>
      <c r="J207" t="s">
        <v>190</v>
      </c>
      <c r="K207" s="2">
        <f t="shared" si="128"/>
        <v>2</v>
      </c>
      <c r="L207">
        <v>340000000</v>
      </c>
      <c r="M207" s="2">
        <f t="shared" si="129"/>
        <v>8.5314789170422554</v>
      </c>
      <c r="N207">
        <f t="shared" si="125"/>
        <v>340000000</v>
      </c>
      <c r="O207">
        <v>0</v>
      </c>
      <c r="P207" s="1">
        <v>42440</v>
      </c>
      <c r="Q207" s="89">
        <f t="shared" si="130"/>
        <v>2016</v>
      </c>
      <c r="R207" t="s">
        <v>152</v>
      </c>
      <c r="S207">
        <v>640000000</v>
      </c>
      <c r="T207" s="21">
        <f t="shared" si="120"/>
        <v>2.1945205479452055</v>
      </c>
      <c r="U207">
        <v>1434.12</v>
      </c>
      <c r="V207">
        <f t="shared" si="131"/>
        <v>3.1568882168601933</v>
      </c>
      <c r="W207">
        <v>1996</v>
      </c>
      <c r="X207">
        <v>17</v>
      </c>
      <c r="Y207">
        <f t="shared" si="132"/>
        <v>1.255272505103306</v>
      </c>
      <c r="Z207" s="45">
        <v>2.5099999999999998</v>
      </c>
      <c r="AA207" s="9">
        <f t="shared" si="121"/>
        <v>300000000</v>
      </c>
      <c r="AB207" s="15">
        <f t="shared" si="122"/>
        <v>0.88235294117647056</v>
      </c>
      <c r="AC207" s="34">
        <f t="shared" si="133"/>
        <v>0.27470105694163205</v>
      </c>
      <c r="AD207">
        <v>2144.9704142011828</v>
      </c>
      <c r="AE207">
        <f t="shared" si="126"/>
        <v>3.3314213062933389</v>
      </c>
      <c r="AF207">
        <v>7670.1183431952677</v>
      </c>
      <c r="AG207">
        <f t="shared" si="127"/>
        <v>3.884802064783424</v>
      </c>
      <c r="AH207" s="9">
        <v>605.16666666666697</v>
      </c>
      <c r="AI207" s="9">
        <f t="shared" si="134"/>
        <v>2.7825920506710684</v>
      </c>
      <c r="AJ207">
        <v>76.900000000000006</v>
      </c>
      <c r="AK207" s="23" t="s">
        <v>513</v>
      </c>
      <c r="AL207" s="42">
        <v>51.064530698041601</v>
      </c>
      <c r="AM207" s="24">
        <v>0.09</v>
      </c>
      <c r="AN207" s="34">
        <f t="shared" si="135"/>
        <v>3.7426497940623665E-2</v>
      </c>
      <c r="AO207">
        <v>1934</v>
      </c>
      <c r="AP207">
        <v>79</v>
      </c>
      <c r="AQ207">
        <v>90</v>
      </c>
      <c r="AR207">
        <v>70</v>
      </c>
      <c r="AS207">
        <f t="shared" si="123"/>
        <v>0</v>
      </c>
      <c r="AT207">
        <f t="shared" si="136"/>
        <v>0</v>
      </c>
      <c r="AU207">
        <f t="shared" si="137"/>
        <v>0</v>
      </c>
      <c r="AV207">
        <f t="shared" si="138"/>
        <v>0</v>
      </c>
      <c r="AW207">
        <f t="shared" si="139"/>
        <v>0</v>
      </c>
      <c r="AX207">
        <f t="shared" si="140"/>
        <v>0</v>
      </c>
      <c r="AY207">
        <f t="shared" si="141"/>
        <v>0</v>
      </c>
      <c r="AZ207">
        <f t="shared" si="142"/>
        <v>0</v>
      </c>
      <c r="BA207">
        <f t="shared" si="143"/>
        <v>0</v>
      </c>
      <c r="BB207">
        <f t="shared" si="144"/>
        <v>0</v>
      </c>
      <c r="BC207">
        <f t="shared" si="145"/>
        <v>1</v>
      </c>
      <c r="BD207">
        <f t="shared" si="146"/>
        <v>0</v>
      </c>
      <c r="BE207">
        <f t="shared" si="147"/>
        <v>0</v>
      </c>
      <c r="BF207">
        <f t="shared" si="148"/>
        <v>0</v>
      </c>
      <c r="BG207">
        <f t="shared" si="149"/>
        <v>0</v>
      </c>
      <c r="BH207">
        <f t="shared" si="150"/>
        <v>0</v>
      </c>
      <c r="BI207">
        <f t="shared" si="151"/>
        <v>0</v>
      </c>
    </row>
    <row r="208" spans="1:61" x14ac:dyDescent="0.35">
      <c r="A208" t="s">
        <v>51</v>
      </c>
      <c r="B208" s="1">
        <v>41639</v>
      </c>
      <c r="C208" t="s">
        <v>514</v>
      </c>
      <c r="D208" t="s">
        <v>2</v>
      </c>
      <c r="E208" t="s">
        <v>512</v>
      </c>
      <c r="F208" t="s">
        <v>59</v>
      </c>
      <c r="G208" t="s">
        <v>125</v>
      </c>
      <c r="H208" s="139">
        <f t="shared" si="124"/>
        <v>1</v>
      </c>
      <c r="I208" t="s">
        <v>48</v>
      </c>
      <c r="J208" t="s">
        <v>326</v>
      </c>
      <c r="K208" s="2">
        <f t="shared" si="128"/>
        <v>8</v>
      </c>
      <c r="L208">
        <v>500000000</v>
      </c>
      <c r="M208" s="2">
        <f t="shared" si="129"/>
        <v>8.6989700043360187</v>
      </c>
      <c r="N208">
        <f t="shared" si="125"/>
        <v>500000000</v>
      </c>
      <c r="O208">
        <v>0</v>
      </c>
      <c r="P208" s="1">
        <v>42338</v>
      </c>
      <c r="Q208" s="89">
        <f t="shared" si="130"/>
        <v>2015</v>
      </c>
      <c r="R208" t="s">
        <v>152</v>
      </c>
      <c r="S208">
        <v>955000000</v>
      </c>
      <c r="T208" s="21">
        <f t="shared" si="120"/>
        <v>1.9150684931506849</v>
      </c>
      <c r="U208">
        <v>917.19</v>
      </c>
      <c r="V208">
        <f t="shared" si="131"/>
        <v>2.9629325585580042</v>
      </c>
      <c r="W208">
        <v>2000</v>
      </c>
      <c r="X208">
        <v>13</v>
      </c>
      <c r="Y208">
        <f t="shared" si="132"/>
        <v>1.146128035678238</v>
      </c>
      <c r="Z208" s="45">
        <v>2.62</v>
      </c>
      <c r="AA208" s="9">
        <f t="shared" si="121"/>
        <v>455000000</v>
      </c>
      <c r="AB208" s="15">
        <f t="shared" si="122"/>
        <v>0.90999999999999992</v>
      </c>
      <c r="AC208" s="34">
        <f t="shared" si="133"/>
        <v>0.28103336724772754</v>
      </c>
      <c r="AD208">
        <v>2144.9704142011828</v>
      </c>
      <c r="AE208">
        <f t="shared" si="126"/>
        <v>3.3314213062933389</v>
      </c>
      <c r="AF208">
        <v>7670.1183431952677</v>
      </c>
      <c r="AG208">
        <f t="shared" si="127"/>
        <v>3.884802064783424</v>
      </c>
      <c r="AH208" s="9">
        <v>854.66666666666697</v>
      </c>
      <c r="AI208" s="9">
        <f t="shared" si="134"/>
        <v>2.9323046139517812</v>
      </c>
      <c r="AJ208">
        <v>92.1</v>
      </c>
      <c r="AK208" s="23" t="s">
        <v>199</v>
      </c>
      <c r="AL208" s="42">
        <v>44.688349184782602</v>
      </c>
      <c r="AM208" s="24">
        <v>0.13</v>
      </c>
      <c r="AN208" s="34">
        <f t="shared" si="135"/>
        <v>5.3078443483419682E-2</v>
      </c>
      <c r="AO208">
        <v>1934</v>
      </c>
      <c r="AP208">
        <v>79</v>
      </c>
      <c r="AQ208">
        <v>70</v>
      </c>
      <c r="AR208">
        <v>70</v>
      </c>
      <c r="AS208">
        <f t="shared" si="123"/>
        <v>0</v>
      </c>
      <c r="AT208">
        <f t="shared" si="136"/>
        <v>0</v>
      </c>
      <c r="AU208">
        <f t="shared" si="137"/>
        <v>0</v>
      </c>
      <c r="AV208">
        <f t="shared" si="138"/>
        <v>0</v>
      </c>
      <c r="AW208">
        <f t="shared" si="139"/>
        <v>0</v>
      </c>
      <c r="AX208">
        <f t="shared" si="140"/>
        <v>0</v>
      </c>
      <c r="AY208">
        <f t="shared" si="141"/>
        <v>0</v>
      </c>
      <c r="AZ208">
        <f t="shared" si="142"/>
        <v>0</v>
      </c>
      <c r="BA208">
        <f t="shared" si="143"/>
        <v>0</v>
      </c>
      <c r="BB208">
        <f t="shared" si="144"/>
        <v>1</v>
      </c>
      <c r="BC208">
        <f t="shared" si="145"/>
        <v>0</v>
      </c>
      <c r="BD208">
        <f t="shared" si="146"/>
        <v>0</v>
      </c>
      <c r="BE208">
        <f t="shared" si="147"/>
        <v>0</v>
      </c>
      <c r="BF208">
        <f t="shared" si="148"/>
        <v>0</v>
      </c>
      <c r="BG208">
        <f t="shared" si="149"/>
        <v>0</v>
      </c>
      <c r="BH208">
        <f t="shared" si="150"/>
        <v>0</v>
      </c>
      <c r="BI208">
        <f t="shared" si="151"/>
        <v>0</v>
      </c>
    </row>
    <row r="209" spans="1:61" x14ac:dyDescent="0.35">
      <c r="A209" t="s">
        <v>196</v>
      </c>
      <c r="B209" s="1">
        <v>40749</v>
      </c>
      <c r="C209" t="s">
        <v>515</v>
      </c>
      <c r="D209" t="s">
        <v>59</v>
      </c>
      <c r="E209" t="s">
        <v>512</v>
      </c>
      <c r="F209" t="s">
        <v>59</v>
      </c>
      <c r="G209" t="s">
        <v>102</v>
      </c>
      <c r="H209" s="139">
        <f t="shared" si="124"/>
        <v>0</v>
      </c>
      <c r="I209" t="s">
        <v>234</v>
      </c>
      <c r="J209" t="s">
        <v>235</v>
      </c>
      <c r="K209" s="2">
        <f t="shared" si="128"/>
        <v>1</v>
      </c>
      <c r="L209">
        <v>585000000</v>
      </c>
      <c r="M209" s="2">
        <f t="shared" si="129"/>
        <v>8.7671558660821809</v>
      </c>
      <c r="N209">
        <f t="shared" si="125"/>
        <v>585000000</v>
      </c>
      <c r="O209">
        <v>0</v>
      </c>
      <c r="P209" s="1">
        <v>42216</v>
      </c>
      <c r="Q209" s="89">
        <f t="shared" si="130"/>
        <v>2015</v>
      </c>
      <c r="R209" t="s">
        <v>152</v>
      </c>
      <c r="S209">
        <v>1091060000</v>
      </c>
      <c r="T209" s="21">
        <f t="shared" si="120"/>
        <v>4.0191780821917806</v>
      </c>
      <c r="U209">
        <v>0</v>
      </c>
      <c r="V209">
        <f t="shared" si="131"/>
        <v>0</v>
      </c>
      <c r="W209">
        <v>1971</v>
      </c>
      <c r="X209">
        <v>40</v>
      </c>
      <c r="Y209">
        <f t="shared" si="132"/>
        <v>1.6127838567197355</v>
      </c>
      <c r="Z209" s="45">
        <v>3.29</v>
      </c>
      <c r="AA209" s="9">
        <f t="shared" si="121"/>
        <v>506060000</v>
      </c>
      <c r="AB209" s="15">
        <f t="shared" si="122"/>
        <v>0.86505982905982903</v>
      </c>
      <c r="AC209" s="34">
        <f t="shared" si="133"/>
        <v>0.27069276805557874</v>
      </c>
      <c r="AD209">
        <v>2144.9704142011828</v>
      </c>
      <c r="AE209">
        <f t="shared" si="126"/>
        <v>3.3314213062933389</v>
      </c>
      <c r="AF209">
        <v>7670.1183431952677</v>
      </c>
      <c r="AG209">
        <f t="shared" si="127"/>
        <v>3.884802064783424</v>
      </c>
      <c r="AH209" s="9">
        <v>0</v>
      </c>
      <c r="AI209" s="9">
        <f t="shared" si="134"/>
        <v>0</v>
      </c>
      <c r="AJ209">
        <v>94.6</v>
      </c>
      <c r="AK209" s="23" t="s">
        <v>516</v>
      </c>
      <c r="AL209" s="42">
        <v>45.921427555082097</v>
      </c>
      <c r="AM209" s="24">
        <v>0.56999999999999995</v>
      </c>
      <c r="AN209" s="34">
        <f t="shared" si="135"/>
        <v>0.19589965240923368</v>
      </c>
      <c r="AO209">
        <v>1934</v>
      </c>
      <c r="AP209">
        <v>77</v>
      </c>
      <c r="AQ209">
        <v>70</v>
      </c>
      <c r="AR209">
        <v>70</v>
      </c>
      <c r="AS209">
        <f t="shared" si="123"/>
        <v>0</v>
      </c>
      <c r="AT209">
        <f t="shared" si="136"/>
        <v>0</v>
      </c>
      <c r="AU209">
        <f t="shared" si="137"/>
        <v>1</v>
      </c>
      <c r="AV209">
        <f t="shared" si="138"/>
        <v>0</v>
      </c>
      <c r="AW209">
        <f t="shared" si="139"/>
        <v>0</v>
      </c>
      <c r="AX209">
        <f t="shared" si="140"/>
        <v>0</v>
      </c>
      <c r="AY209">
        <f t="shared" si="141"/>
        <v>0</v>
      </c>
      <c r="AZ209">
        <f t="shared" si="142"/>
        <v>0</v>
      </c>
      <c r="BA209">
        <f t="shared" si="143"/>
        <v>0</v>
      </c>
      <c r="BB209">
        <f t="shared" si="144"/>
        <v>0</v>
      </c>
      <c r="BC209">
        <f t="shared" si="145"/>
        <v>0</v>
      </c>
      <c r="BD209">
        <f t="shared" si="146"/>
        <v>0</v>
      </c>
      <c r="BE209">
        <f t="shared" si="147"/>
        <v>0</v>
      </c>
      <c r="BF209">
        <f t="shared" si="148"/>
        <v>0</v>
      </c>
      <c r="BG209">
        <f t="shared" si="149"/>
        <v>0</v>
      </c>
      <c r="BH209">
        <f t="shared" si="150"/>
        <v>0</v>
      </c>
      <c r="BI209">
        <f t="shared" si="151"/>
        <v>0</v>
      </c>
    </row>
    <row r="210" spans="1:61" x14ac:dyDescent="0.35">
      <c r="A210" t="s">
        <v>517</v>
      </c>
      <c r="B210" s="1">
        <v>40722</v>
      </c>
      <c r="C210" t="s">
        <v>518</v>
      </c>
      <c r="D210" t="s">
        <v>163</v>
      </c>
      <c r="E210" t="s">
        <v>519</v>
      </c>
      <c r="F210" t="s">
        <v>59</v>
      </c>
      <c r="G210" t="s">
        <v>125</v>
      </c>
      <c r="H210" s="139">
        <f t="shared" si="124"/>
        <v>1</v>
      </c>
      <c r="I210" t="s">
        <v>234</v>
      </c>
      <c r="J210" t="s">
        <v>178</v>
      </c>
      <c r="K210" s="2">
        <f t="shared" si="128"/>
        <v>9</v>
      </c>
      <c r="L210">
        <v>180000000</v>
      </c>
      <c r="M210" s="2">
        <f t="shared" si="129"/>
        <v>8.2552725051033065</v>
      </c>
      <c r="N210">
        <f t="shared" si="125"/>
        <v>180000000</v>
      </c>
      <c r="O210">
        <v>0</v>
      </c>
      <c r="P210" s="1">
        <v>42460</v>
      </c>
      <c r="Q210" s="89">
        <f t="shared" si="130"/>
        <v>2016</v>
      </c>
      <c r="R210" t="s">
        <v>152</v>
      </c>
      <c r="S210">
        <v>600000000</v>
      </c>
      <c r="T210" s="21">
        <f t="shared" si="120"/>
        <v>4.7616438356164386</v>
      </c>
      <c r="U210">
        <v>342.74</v>
      </c>
      <c r="V210">
        <f t="shared" si="131"/>
        <v>2.5362300726332561</v>
      </c>
      <c r="W210">
        <v>2000</v>
      </c>
      <c r="X210">
        <v>11</v>
      </c>
      <c r="Y210">
        <f t="shared" si="132"/>
        <v>1.0791812460476249</v>
      </c>
      <c r="Z210" s="45">
        <v>2.3199999999999998</v>
      </c>
      <c r="AA210" s="9">
        <f t="shared" si="121"/>
        <v>420000000</v>
      </c>
      <c r="AB210" s="15">
        <f t="shared" si="122"/>
        <v>2.3333333333333335</v>
      </c>
      <c r="AC210" s="34">
        <f t="shared" si="133"/>
        <v>0.52287874528033762</v>
      </c>
      <c r="AD210">
        <v>2144.9704142011828</v>
      </c>
      <c r="AE210">
        <f t="shared" si="126"/>
        <v>3.3314213062933389</v>
      </c>
      <c r="AF210">
        <v>7670.1183431952677</v>
      </c>
      <c r="AG210">
        <f t="shared" si="127"/>
        <v>3.884802064783424</v>
      </c>
      <c r="AH210" s="9">
        <v>569.16666666666697</v>
      </c>
      <c r="AI210" s="9">
        <f t="shared" si="134"/>
        <v>2.756001823801419</v>
      </c>
      <c r="AJ210">
        <v>85.6</v>
      </c>
      <c r="AK210" s="23" t="s">
        <v>520</v>
      </c>
      <c r="AL210" s="42">
        <v>56.2907330998475</v>
      </c>
      <c r="AM210" s="24">
        <v>0.59</v>
      </c>
      <c r="AN210" s="34">
        <f t="shared" si="135"/>
        <v>0.20139712432045145</v>
      </c>
      <c r="AO210">
        <v>1934</v>
      </c>
      <c r="AP210">
        <v>77</v>
      </c>
      <c r="AQ210">
        <v>85</v>
      </c>
      <c r="AR210">
        <v>80</v>
      </c>
      <c r="AS210">
        <f t="shared" si="123"/>
        <v>0</v>
      </c>
      <c r="AT210">
        <f t="shared" si="136"/>
        <v>0</v>
      </c>
      <c r="AU210">
        <f t="shared" si="137"/>
        <v>0</v>
      </c>
      <c r="AV210">
        <f t="shared" si="138"/>
        <v>0</v>
      </c>
      <c r="AW210">
        <f t="shared" si="139"/>
        <v>0</v>
      </c>
      <c r="AX210">
        <f t="shared" si="140"/>
        <v>0</v>
      </c>
      <c r="AY210">
        <f t="shared" si="141"/>
        <v>0</v>
      </c>
      <c r="AZ210">
        <f t="shared" si="142"/>
        <v>1</v>
      </c>
      <c r="BA210">
        <f t="shared" si="143"/>
        <v>0</v>
      </c>
      <c r="BB210">
        <f t="shared" si="144"/>
        <v>0</v>
      </c>
      <c r="BC210">
        <f t="shared" si="145"/>
        <v>0</v>
      </c>
      <c r="BD210">
        <f t="shared" si="146"/>
        <v>0</v>
      </c>
      <c r="BE210">
        <f t="shared" si="147"/>
        <v>0</v>
      </c>
      <c r="BF210">
        <f t="shared" si="148"/>
        <v>0</v>
      </c>
      <c r="BG210">
        <f t="shared" si="149"/>
        <v>0</v>
      </c>
      <c r="BH210">
        <f t="shared" si="150"/>
        <v>0</v>
      </c>
      <c r="BI210">
        <f t="shared" si="151"/>
        <v>0</v>
      </c>
    </row>
    <row r="211" spans="1:61" x14ac:dyDescent="0.35">
      <c r="A211" t="s">
        <v>196</v>
      </c>
      <c r="B211" s="1">
        <v>39233</v>
      </c>
      <c r="C211" t="s">
        <v>157</v>
      </c>
      <c r="D211" t="s">
        <v>7</v>
      </c>
      <c r="E211" t="s">
        <v>519</v>
      </c>
      <c r="F211" t="s">
        <v>59</v>
      </c>
      <c r="G211" t="s">
        <v>125</v>
      </c>
      <c r="H211" s="139">
        <f t="shared" si="124"/>
        <v>1</v>
      </c>
      <c r="I211" t="s">
        <v>234</v>
      </c>
      <c r="J211" t="s">
        <v>235</v>
      </c>
      <c r="K211" s="2">
        <f t="shared" si="128"/>
        <v>1</v>
      </c>
      <c r="L211">
        <v>2400000000</v>
      </c>
      <c r="M211" s="2">
        <f t="shared" si="129"/>
        <v>9.3802112417116064</v>
      </c>
      <c r="N211">
        <f t="shared" si="125"/>
        <v>2400000000</v>
      </c>
      <c r="O211">
        <v>0</v>
      </c>
      <c r="P211" s="1">
        <v>41639</v>
      </c>
      <c r="Q211" s="89">
        <f t="shared" si="130"/>
        <v>2013</v>
      </c>
      <c r="R211" t="s">
        <v>152</v>
      </c>
      <c r="S211">
        <v>3100000000</v>
      </c>
      <c r="T211" s="21">
        <f t="shared" si="120"/>
        <v>6.5917808219178085</v>
      </c>
      <c r="U211">
        <v>489.17</v>
      </c>
      <c r="V211">
        <f t="shared" si="131"/>
        <v>2.6903467274930635</v>
      </c>
      <c r="W211">
        <v>1973</v>
      </c>
      <c r="X211">
        <v>34</v>
      </c>
      <c r="Y211">
        <f t="shared" si="132"/>
        <v>1.5440680443502757</v>
      </c>
      <c r="Z211" s="45">
        <v>2.59</v>
      </c>
      <c r="AA211" s="9">
        <f t="shared" si="121"/>
        <v>700000000</v>
      </c>
      <c r="AB211" s="15">
        <f t="shared" si="122"/>
        <v>0.29166666666666674</v>
      </c>
      <c r="AC211" s="34">
        <f t="shared" si="133"/>
        <v>0.11115045212266668</v>
      </c>
      <c r="AD211">
        <v>2144.9704142011828</v>
      </c>
      <c r="AE211">
        <f t="shared" si="126"/>
        <v>3.3314213062933389</v>
      </c>
      <c r="AF211">
        <v>7670.1183431952677</v>
      </c>
      <c r="AG211">
        <f t="shared" si="127"/>
        <v>3.884802064783424</v>
      </c>
      <c r="AH211" s="9">
        <v>562.5</v>
      </c>
      <c r="AI211" s="9">
        <f t="shared" si="134"/>
        <v>2.7508939203821252</v>
      </c>
      <c r="AJ211">
        <v>76.900000000000006</v>
      </c>
      <c r="AK211" s="23" t="s">
        <v>521</v>
      </c>
      <c r="AL211" s="42">
        <v>37.805693454220297</v>
      </c>
      <c r="AM211" s="24">
        <v>0.21</v>
      </c>
      <c r="AN211" s="34">
        <f t="shared" si="135"/>
        <v>8.2785370316450071E-2</v>
      </c>
      <c r="AO211">
        <v>1934</v>
      </c>
      <c r="AP211">
        <v>73</v>
      </c>
      <c r="AQ211">
        <v>90</v>
      </c>
      <c r="AR211">
        <v>70</v>
      </c>
      <c r="AS211">
        <f t="shared" si="123"/>
        <v>0</v>
      </c>
      <c r="AT211">
        <f t="shared" si="136"/>
        <v>0</v>
      </c>
      <c r="AU211">
        <f t="shared" si="137"/>
        <v>0</v>
      </c>
      <c r="AV211">
        <f t="shared" si="138"/>
        <v>0</v>
      </c>
      <c r="AW211">
        <f t="shared" si="139"/>
        <v>0</v>
      </c>
      <c r="AX211">
        <f t="shared" si="140"/>
        <v>0</v>
      </c>
      <c r="AY211">
        <f t="shared" si="141"/>
        <v>0</v>
      </c>
      <c r="AZ211">
        <f t="shared" si="142"/>
        <v>0</v>
      </c>
      <c r="BA211">
        <f t="shared" si="143"/>
        <v>0</v>
      </c>
      <c r="BB211">
        <f t="shared" si="144"/>
        <v>0</v>
      </c>
      <c r="BC211">
        <f t="shared" si="145"/>
        <v>0</v>
      </c>
      <c r="BD211">
        <f t="shared" si="146"/>
        <v>0</v>
      </c>
      <c r="BE211">
        <f t="shared" si="147"/>
        <v>1</v>
      </c>
      <c r="BF211">
        <f t="shared" si="148"/>
        <v>0</v>
      </c>
      <c r="BG211">
        <f t="shared" si="149"/>
        <v>0</v>
      </c>
      <c r="BH211">
        <f t="shared" si="150"/>
        <v>0</v>
      </c>
      <c r="BI211">
        <f t="shared" si="151"/>
        <v>0</v>
      </c>
    </row>
    <row r="212" spans="1:61" x14ac:dyDescent="0.35">
      <c r="A212" t="s">
        <v>196</v>
      </c>
      <c r="B212" s="1">
        <v>38702</v>
      </c>
      <c r="C212" t="s">
        <v>522</v>
      </c>
      <c r="D212" t="s">
        <v>163</v>
      </c>
      <c r="E212" t="s">
        <v>523</v>
      </c>
      <c r="F212" t="s">
        <v>59</v>
      </c>
      <c r="G212" t="s">
        <v>125</v>
      </c>
      <c r="H212" s="139">
        <f t="shared" si="124"/>
        <v>1</v>
      </c>
      <c r="I212" t="s">
        <v>234</v>
      </c>
      <c r="J212" t="s">
        <v>248</v>
      </c>
      <c r="K212" s="2">
        <f t="shared" si="128"/>
        <v>5</v>
      </c>
      <c r="L212">
        <v>350000000</v>
      </c>
      <c r="M212" s="2">
        <f t="shared" si="129"/>
        <v>8.5440680443502757</v>
      </c>
      <c r="N212">
        <f t="shared" si="125"/>
        <v>350000000</v>
      </c>
      <c r="O212">
        <v>0</v>
      </c>
      <c r="P212" s="1">
        <v>39615</v>
      </c>
      <c r="Q212" s="89">
        <f t="shared" si="130"/>
        <v>2008</v>
      </c>
      <c r="R212" t="s">
        <v>107</v>
      </c>
      <c r="S212">
        <v>700000000</v>
      </c>
      <c r="T212" s="21">
        <f t="shared" si="120"/>
        <v>2.5013698630136987</v>
      </c>
      <c r="U212">
        <v>342.74</v>
      </c>
      <c r="V212">
        <f t="shared" si="131"/>
        <v>2.5362300726332561</v>
      </c>
      <c r="W212">
        <v>2005</v>
      </c>
      <c r="X212">
        <v>0</v>
      </c>
      <c r="Y212">
        <f t="shared" si="132"/>
        <v>0</v>
      </c>
      <c r="Z212" s="45">
        <v>2.3199999999999998</v>
      </c>
      <c r="AA212" s="9">
        <f t="shared" si="121"/>
        <v>350000000</v>
      </c>
      <c r="AB212" s="15">
        <f t="shared" si="122"/>
        <v>1</v>
      </c>
      <c r="AC212" s="34">
        <f t="shared" si="133"/>
        <v>0.3010299956639812</v>
      </c>
      <c r="AD212">
        <v>2144.9704142011828</v>
      </c>
      <c r="AE212">
        <f t="shared" si="126"/>
        <v>3.3314213062933389</v>
      </c>
      <c r="AF212">
        <v>7670.1183431952677</v>
      </c>
      <c r="AG212">
        <f t="shared" si="127"/>
        <v>3.884802064783424</v>
      </c>
      <c r="AH212" s="9">
        <v>569.16666666666697</v>
      </c>
      <c r="AI212" s="9">
        <f t="shared" si="134"/>
        <v>2.756001823801419</v>
      </c>
      <c r="AJ212">
        <v>70</v>
      </c>
      <c r="AK212" s="23" t="s">
        <v>430</v>
      </c>
      <c r="AL212" s="42">
        <v>53.2941466273667</v>
      </c>
      <c r="AM212" s="24">
        <v>7.0000000000000007E-2</v>
      </c>
      <c r="AN212" s="34">
        <f t="shared" si="135"/>
        <v>2.9383777685209667E-2</v>
      </c>
      <c r="AO212">
        <v>1934</v>
      </c>
      <c r="AP212">
        <v>71</v>
      </c>
      <c r="AQ212">
        <v>85</v>
      </c>
      <c r="AR212">
        <v>80</v>
      </c>
      <c r="AS212">
        <f t="shared" si="123"/>
        <v>0</v>
      </c>
      <c r="AT212">
        <f t="shared" si="136"/>
        <v>0</v>
      </c>
      <c r="AU212">
        <f t="shared" si="137"/>
        <v>0</v>
      </c>
      <c r="AV212">
        <f t="shared" si="138"/>
        <v>0</v>
      </c>
      <c r="AW212">
        <f t="shared" si="139"/>
        <v>0</v>
      </c>
      <c r="AX212">
        <f t="shared" si="140"/>
        <v>0</v>
      </c>
      <c r="AY212">
        <f t="shared" si="141"/>
        <v>0</v>
      </c>
      <c r="AZ212">
        <f t="shared" si="142"/>
        <v>1</v>
      </c>
      <c r="BA212">
        <f t="shared" si="143"/>
        <v>0</v>
      </c>
      <c r="BB212">
        <f t="shared" si="144"/>
        <v>0</v>
      </c>
      <c r="BC212">
        <f t="shared" si="145"/>
        <v>0</v>
      </c>
      <c r="BD212">
        <f t="shared" si="146"/>
        <v>0</v>
      </c>
      <c r="BE212">
        <f t="shared" si="147"/>
        <v>0</v>
      </c>
      <c r="BF212">
        <f t="shared" si="148"/>
        <v>0</v>
      </c>
      <c r="BG212">
        <f t="shared" si="149"/>
        <v>0</v>
      </c>
      <c r="BH212">
        <f t="shared" si="150"/>
        <v>0</v>
      </c>
      <c r="BI212">
        <f t="shared" si="151"/>
        <v>0</v>
      </c>
    </row>
    <row r="213" spans="1:61" x14ac:dyDescent="0.35">
      <c r="A213" t="s">
        <v>524</v>
      </c>
      <c r="B213" s="1">
        <v>38698</v>
      </c>
      <c r="C213" t="s">
        <v>525</v>
      </c>
      <c r="D213" t="s">
        <v>163</v>
      </c>
      <c r="E213" t="s">
        <v>523</v>
      </c>
      <c r="F213" t="s">
        <v>59</v>
      </c>
      <c r="G213" t="s">
        <v>125</v>
      </c>
      <c r="H213" s="139">
        <f t="shared" si="124"/>
        <v>1</v>
      </c>
      <c r="I213" t="s">
        <v>234</v>
      </c>
      <c r="J213" t="s">
        <v>248</v>
      </c>
      <c r="K213" s="2">
        <f t="shared" si="128"/>
        <v>5</v>
      </c>
      <c r="L213">
        <v>500000000</v>
      </c>
      <c r="M213" s="2">
        <f t="shared" si="129"/>
        <v>8.6989700043360187</v>
      </c>
      <c r="N213">
        <f t="shared" si="125"/>
        <v>500000000</v>
      </c>
      <c r="O213">
        <v>0</v>
      </c>
      <c r="P213" s="1">
        <v>41568</v>
      </c>
      <c r="Q213" s="89">
        <f t="shared" si="130"/>
        <v>2013</v>
      </c>
      <c r="R213" t="s">
        <v>107</v>
      </c>
      <c r="S213">
        <v>385000000</v>
      </c>
      <c r="T213" s="21">
        <f t="shared" si="120"/>
        <v>7.8630136986301373</v>
      </c>
      <c r="U213">
        <v>342.74</v>
      </c>
      <c r="V213">
        <f t="shared" si="131"/>
        <v>2.5362300726332561</v>
      </c>
      <c r="W213">
        <v>1984</v>
      </c>
      <c r="X213">
        <v>21</v>
      </c>
      <c r="Y213">
        <f t="shared" si="132"/>
        <v>1.3424226808222062</v>
      </c>
      <c r="Z213" s="45">
        <v>2.3199999999999998</v>
      </c>
      <c r="AA213" s="9">
        <f t="shared" si="121"/>
        <v>-115000000</v>
      </c>
      <c r="AB213" s="15">
        <f t="shared" si="122"/>
        <v>-0.22999999999999998</v>
      </c>
      <c r="AC213" s="34">
        <f t="shared" si="133"/>
        <v>-0.11350927482751812</v>
      </c>
      <c r="AD213">
        <v>2144.9704142011828</v>
      </c>
      <c r="AE213">
        <f t="shared" si="126"/>
        <v>3.3314213062933389</v>
      </c>
      <c r="AF213">
        <v>7670.1183431952677</v>
      </c>
      <c r="AG213">
        <f t="shared" si="127"/>
        <v>3.884802064783424</v>
      </c>
      <c r="AH213" s="9">
        <v>569.16666666666697</v>
      </c>
      <c r="AI213" s="9">
        <f t="shared" si="134"/>
        <v>2.756001823801419</v>
      </c>
      <c r="AJ213">
        <v>70</v>
      </c>
      <c r="AK213" s="23" t="s">
        <v>430</v>
      </c>
      <c r="AL213" s="42">
        <v>53.2941466273667</v>
      </c>
      <c r="AM213" s="24">
        <v>0.38</v>
      </c>
      <c r="AN213" s="34">
        <f t="shared" si="135"/>
        <v>0.13987908640123647</v>
      </c>
      <c r="AO213">
        <v>1934</v>
      </c>
      <c r="AP213">
        <v>71</v>
      </c>
      <c r="AQ213">
        <v>85</v>
      </c>
      <c r="AR213">
        <v>80</v>
      </c>
      <c r="AS213">
        <f t="shared" si="123"/>
        <v>0</v>
      </c>
      <c r="AT213">
        <f t="shared" si="136"/>
        <v>0</v>
      </c>
      <c r="AU213">
        <f t="shared" si="137"/>
        <v>0</v>
      </c>
      <c r="AV213">
        <f t="shared" si="138"/>
        <v>0</v>
      </c>
      <c r="AW213">
        <f t="shared" si="139"/>
        <v>0</v>
      </c>
      <c r="AX213">
        <f t="shared" si="140"/>
        <v>0</v>
      </c>
      <c r="AY213">
        <f t="shared" si="141"/>
        <v>0</v>
      </c>
      <c r="AZ213">
        <f t="shared" si="142"/>
        <v>1</v>
      </c>
      <c r="BA213">
        <f t="shared" si="143"/>
        <v>0</v>
      </c>
      <c r="BB213">
        <f t="shared" si="144"/>
        <v>0</v>
      </c>
      <c r="BC213">
        <f t="shared" si="145"/>
        <v>0</v>
      </c>
      <c r="BD213">
        <f t="shared" si="146"/>
        <v>0</v>
      </c>
      <c r="BE213">
        <f t="shared" si="147"/>
        <v>0</v>
      </c>
      <c r="BF213">
        <f t="shared" si="148"/>
        <v>0</v>
      </c>
      <c r="BG213">
        <f t="shared" si="149"/>
        <v>0</v>
      </c>
      <c r="BH213">
        <f t="shared" si="150"/>
        <v>0</v>
      </c>
      <c r="BI213">
        <f t="shared" si="151"/>
        <v>0</v>
      </c>
    </row>
    <row r="214" spans="1:61" x14ac:dyDescent="0.35">
      <c r="A214" t="s">
        <v>196</v>
      </c>
      <c r="B214" s="1">
        <v>38170</v>
      </c>
      <c r="C214" t="s">
        <v>526</v>
      </c>
      <c r="D214" t="s">
        <v>59</v>
      </c>
      <c r="E214" t="s">
        <v>523</v>
      </c>
      <c r="F214" t="s">
        <v>59</v>
      </c>
      <c r="G214" t="s">
        <v>102</v>
      </c>
      <c r="H214" s="139">
        <f t="shared" si="124"/>
        <v>0</v>
      </c>
      <c r="I214" t="s">
        <v>234</v>
      </c>
      <c r="J214" t="s">
        <v>269</v>
      </c>
      <c r="K214" s="2">
        <f t="shared" si="128"/>
        <v>7</v>
      </c>
      <c r="L214">
        <v>543660000</v>
      </c>
      <c r="M214" s="2">
        <f t="shared" si="129"/>
        <v>8.7353273807884904</v>
      </c>
      <c r="N214">
        <f t="shared" si="125"/>
        <v>543660000</v>
      </c>
      <c r="O214">
        <v>0</v>
      </c>
      <c r="P214" s="1">
        <v>38964</v>
      </c>
      <c r="Q214" s="89">
        <f t="shared" si="130"/>
        <v>2006</v>
      </c>
      <c r="R214" t="s">
        <v>107</v>
      </c>
      <c r="S214">
        <v>460000000</v>
      </c>
      <c r="T214" s="21">
        <f t="shared" si="120"/>
        <v>2.1753424657534248</v>
      </c>
      <c r="U214">
        <v>0</v>
      </c>
      <c r="V214">
        <f t="shared" si="131"/>
        <v>0</v>
      </c>
      <c r="W214">
        <v>1984</v>
      </c>
      <c r="X214">
        <v>20</v>
      </c>
      <c r="Y214">
        <f t="shared" si="132"/>
        <v>1.3222192947339193</v>
      </c>
      <c r="Z214" s="45">
        <v>3.29</v>
      </c>
      <c r="AA214" s="9">
        <f t="shared" si="121"/>
        <v>-83660000</v>
      </c>
      <c r="AB214" s="15">
        <f t="shared" si="122"/>
        <v>-0.15388294154434756</v>
      </c>
      <c r="AC214" s="34">
        <f t="shared" si="133"/>
        <v>-7.2569549106915751E-2</v>
      </c>
      <c r="AD214">
        <v>2144.9704142011828</v>
      </c>
      <c r="AE214">
        <f t="shared" si="126"/>
        <v>3.3314213062933389</v>
      </c>
      <c r="AF214">
        <v>7670.1183431952677</v>
      </c>
      <c r="AG214">
        <f t="shared" si="127"/>
        <v>3.884802064783424</v>
      </c>
      <c r="AH214" s="9">
        <v>0</v>
      </c>
      <c r="AI214" s="9">
        <f t="shared" si="134"/>
        <v>0</v>
      </c>
      <c r="AJ214">
        <v>85</v>
      </c>
      <c r="AK214" s="23" t="s">
        <v>89</v>
      </c>
      <c r="AL214" s="42">
        <v>40.040400531970803</v>
      </c>
      <c r="AM214" s="24">
        <v>0.16</v>
      </c>
      <c r="AN214" s="34">
        <f t="shared" si="135"/>
        <v>6.445798922691845E-2</v>
      </c>
      <c r="AO214">
        <v>1934</v>
      </c>
      <c r="AP214">
        <v>70</v>
      </c>
      <c r="AQ214">
        <v>70</v>
      </c>
      <c r="AR214">
        <v>70</v>
      </c>
      <c r="AS214">
        <f t="shared" si="123"/>
        <v>0</v>
      </c>
      <c r="AT214">
        <f t="shared" si="136"/>
        <v>0</v>
      </c>
      <c r="AU214">
        <f t="shared" si="137"/>
        <v>1</v>
      </c>
      <c r="AV214">
        <f t="shared" si="138"/>
        <v>0</v>
      </c>
      <c r="AW214">
        <f t="shared" si="139"/>
        <v>0</v>
      </c>
      <c r="AX214">
        <f t="shared" si="140"/>
        <v>0</v>
      </c>
      <c r="AY214">
        <f t="shared" si="141"/>
        <v>0</v>
      </c>
      <c r="AZ214">
        <f t="shared" si="142"/>
        <v>0</v>
      </c>
      <c r="BA214">
        <f t="shared" si="143"/>
        <v>0</v>
      </c>
      <c r="BB214">
        <f t="shared" si="144"/>
        <v>0</v>
      </c>
      <c r="BC214">
        <f t="shared" si="145"/>
        <v>0</v>
      </c>
      <c r="BD214">
        <f t="shared" si="146"/>
        <v>0</v>
      </c>
      <c r="BE214">
        <f t="shared" si="147"/>
        <v>0</v>
      </c>
      <c r="BF214">
        <f t="shared" si="148"/>
        <v>0</v>
      </c>
      <c r="BG214">
        <f t="shared" si="149"/>
        <v>0</v>
      </c>
      <c r="BH214">
        <f t="shared" si="150"/>
        <v>0</v>
      </c>
      <c r="BI214">
        <f t="shared" si="151"/>
        <v>0</v>
      </c>
    </row>
    <row r="215" spans="1:61" x14ac:dyDescent="0.35">
      <c r="A215" t="s">
        <v>196</v>
      </c>
      <c r="B215" s="1">
        <v>37603</v>
      </c>
      <c r="C215" t="s">
        <v>527</v>
      </c>
      <c r="D215" t="s">
        <v>163</v>
      </c>
      <c r="E215" t="s">
        <v>523</v>
      </c>
      <c r="F215" t="s">
        <v>59</v>
      </c>
      <c r="G215" t="s">
        <v>125</v>
      </c>
      <c r="H215" s="139">
        <f t="shared" si="124"/>
        <v>1</v>
      </c>
      <c r="I215" t="s">
        <v>234</v>
      </c>
      <c r="J215" t="s">
        <v>186</v>
      </c>
      <c r="K215" s="2">
        <f t="shared" si="128"/>
        <v>4</v>
      </c>
      <c r="L215">
        <v>3700000000</v>
      </c>
      <c r="M215" s="2">
        <f t="shared" si="129"/>
        <v>9.568201724066995</v>
      </c>
      <c r="N215">
        <f t="shared" si="125"/>
        <v>3700000000</v>
      </c>
      <c r="O215">
        <v>0</v>
      </c>
      <c r="P215" s="1">
        <v>42094</v>
      </c>
      <c r="Q215" s="89">
        <f t="shared" si="130"/>
        <v>2015</v>
      </c>
      <c r="R215" t="s">
        <v>152</v>
      </c>
      <c r="S215">
        <v>3560000000</v>
      </c>
      <c r="T215" s="21">
        <f t="shared" si="120"/>
        <v>12.304109589041095</v>
      </c>
      <c r="U215">
        <v>342.74</v>
      </c>
      <c r="V215">
        <f t="shared" si="131"/>
        <v>2.5362300726332561</v>
      </c>
      <c r="W215">
        <v>1975</v>
      </c>
      <c r="X215">
        <v>27</v>
      </c>
      <c r="Y215">
        <f t="shared" si="132"/>
        <v>1.4471580313422192</v>
      </c>
      <c r="Z215" s="45">
        <v>2.3199999999999998</v>
      </c>
      <c r="AA215" s="9">
        <f t="shared" si="121"/>
        <v>-140000000</v>
      </c>
      <c r="AB215" s="15">
        <f t="shared" si="122"/>
        <v>-3.7837837837837784E-2</v>
      </c>
      <c r="AC215" s="34">
        <f t="shared" si="133"/>
        <v>-1.6751726094119797E-2</v>
      </c>
      <c r="AD215">
        <v>2144.9704142011828</v>
      </c>
      <c r="AE215">
        <f t="shared" si="126"/>
        <v>3.3314213062933389</v>
      </c>
      <c r="AF215">
        <v>7670.1183431952677</v>
      </c>
      <c r="AG215">
        <f t="shared" si="127"/>
        <v>3.884802064783424</v>
      </c>
      <c r="AH215" s="9">
        <v>569.16666666666697</v>
      </c>
      <c r="AI215" s="9">
        <f t="shared" si="134"/>
        <v>2.756001823801419</v>
      </c>
      <c r="AJ215">
        <v>70</v>
      </c>
      <c r="AK215" s="23" t="s">
        <v>243</v>
      </c>
      <c r="AL215" s="42">
        <v>52.795294707427601</v>
      </c>
      <c r="AM215" s="24">
        <v>1.32</v>
      </c>
      <c r="AN215" s="34">
        <f t="shared" si="135"/>
        <v>0.36548798489089973</v>
      </c>
      <c r="AO215">
        <v>1934</v>
      </c>
      <c r="AP215">
        <v>68</v>
      </c>
      <c r="AQ215">
        <v>85</v>
      </c>
      <c r="AR215">
        <v>80</v>
      </c>
      <c r="AS215">
        <f t="shared" si="123"/>
        <v>0</v>
      </c>
      <c r="AT215">
        <f t="shared" si="136"/>
        <v>0</v>
      </c>
      <c r="AU215">
        <f t="shared" si="137"/>
        <v>0</v>
      </c>
      <c r="AV215">
        <f t="shared" si="138"/>
        <v>0</v>
      </c>
      <c r="AW215">
        <f t="shared" si="139"/>
        <v>0</v>
      </c>
      <c r="AX215">
        <f t="shared" si="140"/>
        <v>0</v>
      </c>
      <c r="AY215">
        <f t="shared" si="141"/>
        <v>0</v>
      </c>
      <c r="AZ215">
        <f t="shared" si="142"/>
        <v>1</v>
      </c>
      <c r="BA215">
        <f t="shared" si="143"/>
        <v>0</v>
      </c>
      <c r="BB215">
        <f t="shared" si="144"/>
        <v>0</v>
      </c>
      <c r="BC215">
        <f t="shared" si="145"/>
        <v>0</v>
      </c>
      <c r="BD215">
        <f t="shared" si="146"/>
        <v>0</v>
      </c>
      <c r="BE215">
        <f t="shared" si="147"/>
        <v>0</v>
      </c>
      <c r="BF215">
        <f t="shared" si="148"/>
        <v>0</v>
      </c>
      <c r="BG215">
        <f t="shared" si="149"/>
        <v>0</v>
      </c>
      <c r="BH215">
        <f t="shared" si="150"/>
        <v>0</v>
      </c>
      <c r="BI215">
        <f t="shared" si="151"/>
        <v>0</v>
      </c>
    </row>
    <row r="216" spans="1:61" x14ac:dyDescent="0.35">
      <c r="A216" t="s">
        <v>114</v>
      </c>
      <c r="B216" s="1">
        <v>37516</v>
      </c>
      <c r="C216" t="s">
        <v>528</v>
      </c>
      <c r="D216" t="s">
        <v>59</v>
      </c>
      <c r="E216" t="s">
        <v>523</v>
      </c>
      <c r="F216" t="s">
        <v>59</v>
      </c>
      <c r="G216" t="s">
        <v>102</v>
      </c>
      <c r="H216" s="139">
        <f t="shared" si="124"/>
        <v>0</v>
      </c>
      <c r="I216" t="s">
        <v>529</v>
      </c>
      <c r="J216" t="s">
        <v>248</v>
      </c>
      <c r="K216" s="2">
        <f t="shared" si="128"/>
        <v>5</v>
      </c>
      <c r="L216">
        <v>856450000</v>
      </c>
      <c r="M216" s="2">
        <f t="shared" si="129"/>
        <v>8.9327020137020643</v>
      </c>
      <c r="N216">
        <f t="shared" si="125"/>
        <v>856450000</v>
      </c>
      <c r="O216">
        <v>0</v>
      </c>
      <c r="P216" s="1">
        <v>38632</v>
      </c>
      <c r="Q216" s="89">
        <f t="shared" si="130"/>
        <v>2005</v>
      </c>
      <c r="R216" t="s">
        <v>107</v>
      </c>
      <c r="S216">
        <v>2180000000</v>
      </c>
      <c r="T216" s="21">
        <f t="shared" si="120"/>
        <v>3.0575342465753423</v>
      </c>
      <c r="U216">
        <v>0</v>
      </c>
      <c r="V216">
        <f t="shared" si="131"/>
        <v>0</v>
      </c>
      <c r="W216">
        <v>2002</v>
      </c>
      <c r="X216">
        <v>0</v>
      </c>
      <c r="Y216">
        <f t="shared" si="132"/>
        <v>0</v>
      </c>
      <c r="Z216" s="45">
        <v>3.29</v>
      </c>
      <c r="AA216" s="9">
        <f t="shared" si="121"/>
        <v>1323550000</v>
      </c>
      <c r="AB216" s="15">
        <f t="shared" si="122"/>
        <v>1.5453908576099011</v>
      </c>
      <c r="AC216" s="34">
        <f t="shared" si="133"/>
        <v>0.40575447990253999</v>
      </c>
      <c r="AD216">
        <v>2144.9704142011828</v>
      </c>
      <c r="AE216">
        <f t="shared" si="126"/>
        <v>3.3314213062933389</v>
      </c>
      <c r="AF216">
        <v>7670.1183431952677</v>
      </c>
      <c r="AG216">
        <f t="shared" si="127"/>
        <v>3.884802064783424</v>
      </c>
      <c r="AH216" s="9">
        <v>0</v>
      </c>
      <c r="AI216" s="9">
        <f t="shared" si="134"/>
        <v>0</v>
      </c>
      <c r="AJ216">
        <v>85</v>
      </c>
      <c r="AK216" s="23" t="s">
        <v>249</v>
      </c>
      <c r="AL216" s="42">
        <v>37.589394702761602</v>
      </c>
      <c r="AM216" s="24">
        <v>0.37</v>
      </c>
      <c r="AN216" s="34">
        <f t="shared" si="135"/>
        <v>0.13672056715640679</v>
      </c>
      <c r="AO216">
        <v>1934</v>
      </c>
      <c r="AP216">
        <v>68</v>
      </c>
      <c r="AQ216">
        <v>70</v>
      </c>
      <c r="AR216">
        <v>70</v>
      </c>
      <c r="AS216">
        <f t="shared" si="123"/>
        <v>0</v>
      </c>
      <c r="AT216">
        <f t="shared" si="136"/>
        <v>0</v>
      </c>
      <c r="AU216">
        <f t="shared" si="137"/>
        <v>1</v>
      </c>
      <c r="AV216">
        <f t="shared" si="138"/>
        <v>0</v>
      </c>
      <c r="AW216">
        <f t="shared" si="139"/>
        <v>0</v>
      </c>
      <c r="AX216">
        <f t="shared" si="140"/>
        <v>0</v>
      </c>
      <c r="AY216">
        <f t="shared" si="141"/>
        <v>0</v>
      </c>
      <c r="AZ216">
        <f t="shared" si="142"/>
        <v>0</v>
      </c>
      <c r="BA216">
        <f t="shared" si="143"/>
        <v>0</v>
      </c>
      <c r="BB216">
        <f t="shared" si="144"/>
        <v>0</v>
      </c>
      <c r="BC216">
        <f t="shared" si="145"/>
        <v>0</v>
      </c>
      <c r="BD216">
        <f t="shared" si="146"/>
        <v>0</v>
      </c>
      <c r="BE216">
        <f t="shared" si="147"/>
        <v>0</v>
      </c>
      <c r="BF216">
        <f t="shared" si="148"/>
        <v>0</v>
      </c>
      <c r="BG216">
        <f t="shared" si="149"/>
        <v>0</v>
      </c>
      <c r="BH216">
        <f t="shared" si="150"/>
        <v>0</v>
      </c>
      <c r="BI216">
        <f t="shared" si="151"/>
        <v>0</v>
      </c>
    </row>
    <row r="217" spans="1:61" x14ac:dyDescent="0.35">
      <c r="A217" t="s">
        <v>196</v>
      </c>
      <c r="B217" s="1">
        <v>37026</v>
      </c>
      <c r="C217" t="s">
        <v>530</v>
      </c>
      <c r="D217" t="s">
        <v>163</v>
      </c>
      <c r="E217" t="s">
        <v>531</v>
      </c>
      <c r="F217" t="s">
        <v>59</v>
      </c>
      <c r="G217" t="s">
        <v>125</v>
      </c>
      <c r="H217" s="139">
        <f t="shared" si="124"/>
        <v>1</v>
      </c>
      <c r="I217" t="s">
        <v>234</v>
      </c>
      <c r="J217" t="s">
        <v>235</v>
      </c>
      <c r="K217" s="2">
        <f t="shared" si="128"/>
        <v>1</v>
      </c>
      <c r="L217">
        <v>756000000</v>
      </c>
      <c r="M217" s="2">
        <f t="shared" si="129"/>
        <v>8.8785217955012072</v>
      </c>
      <c r="N217">
        <f t="shared" si="125"/>
        <v>756000000</v>
      </c>
      <c r="O217">
        <v>0</v>
      </c>
      <c r="P217" s="1">
        <v>39082</v>
      </c>
      <c r="Q217" s="89">
        <f t="shared" si="130"/>
        <v>2006</v>
      </c>
      <c r="R217" t="s">
        <v>220</v>
      </c>
      <c r="S217">
        <v>1100000000</v>
      </c>
      <c r="T217" s="21">
        <f t="shared" si="120"/>
        <v>5.6328767123287671</v>
      </c>
      <c r="U217">
        <v>342.74</v>
      </c>
      <c r="V217">
        <f t="shared" si="131"/>
        <v>2.5362300726332561</v>
      </c>
      <c r="W217">
        <v>1989</v>
      </c>
      <c r="X217">
        <v>12</v>
      </c>
      <c r="Y217">
        <f t="shared" si="132"/>
        <v>1.1139433523068367</v>
      </c>
      <c r="Z217" s="45">
        <v>2.3199999999999998</v>
      </c>
      <c r="AA217" s="9">
        <f t="shared" si="121"/>
        <v>344000000</v>
      </c>
      <c r="AB217" s="15">
        <f t="shared" si="122"/>
        <v>0.45502645502645511</v>
      </c>
      <c r="AC217" s="34">
        <f t="shared" si="133"/>
        <v>0.16287088965701854</v>
      </c>
      <c r="AD217">
        <v>2144.9704142011828</v>
      </c>
      <c r="AE217">
        <f t="shared" si="126"/>
        <v>3.3314213062933389</v>
      </c>
      <c r="AF217">
        <v>7670.1183431952677</v>
      </c>
      <c r="AG217">
        <f t="shared" si="127"/>
        <v>3.884802064783424</v>
      </c>
      <c r="AH217" s="9">
        <v>569.16666666666697</v>
      </c>
      <c r="AI217" s="9">
        <f t="shared" si="134"/>
        <v>2.756001823801419</v>
      </c>
      <c r="AJ217">
        <v>70</v>
      </c>
      <c r="AK217" s="23" t="s">
        <v>487</v>
      </c>
      <c r="AL217" s="42">
        <v>51.718307112209096</v>
      </c>
      <c r="AM217" s="24">
        <v>0.14000000000000001</v>
      </c>
      <c r="AN217" s="34">
        <f t="shared" si="135"/>
        <v>5.6904851336472641E-2</v>
      </c>
      <c r="AO217">
        <v>1934</v>
      </c>
      <c r="AP217">
        <v>67</v>
      </c>
      <c r="AQ217">
        <v>85</v>
      </c>
      <c r="AR217">
        <v>80</v>
      </c>
      <c r="AS217">
        <f t="shared" si="123"/>
        <v>0</v>
      </c>
      <c r="AT217">
        <f t="shared" si="136"/>
        <v>0</v>
      </c>
      <c r="AU217">
        <f t="shared" si="137"/>
        <v>0</v>
      </c>
      <c r="AV217">
        <f t="shared" si="138"/>
        <v>0</v>
      </c>
      <c r="AW217">
        <f t="shared" si="139"/>
        <v>0</v>
      </c>
      <c r="AX217">
        <f t="shared" si="140"/>
        <v>0</v>
      </c>
      <c r="AY217">
        <f t="shared" si="141"/>
        <v>0</v>
      </c>
      <c r="AZ217">
        <f t="shared" si="142"/>
        <v>1</v>
      </c>
      <c r="BA217">
        <f t="shared" si="143"/>
        <v>0</v>
      </c>
      <c r="BB217">
        <f t="shared" si="144"/>
        <v>0</v>
      </c>
      <c r="BC217">
        <f t="shared" si="145"/>
        <v>0</v>
      </c>
      <c r="BD217">
        <f t="shared" si="146"/>
        <v>0</v>
      </c>
      <c r="BE217">
        <f t="shared" si="147"/>
        <v>0</v>
      </c>
      <c r="BF217">
        <f t="shared" si="148"/>
        <v>0</v>
      </c>
      <c r="BG217">
        <f t="shared" si="149"/>
        <v>0</v>
      </c>
      <c r="BH217">
        <f t="shared" si="150"/>
        <v>0</v>
      </c>
      <c r="BI217">
        <f t="shared" si="151"/>
        <v>0</v>
      </c>
    </row>
    <row r="218" spans="1:61" x14ac:dyDescent="0.35">
      <c r="A218" t="s">
        <v>196</v>
      </c>
      <c r="B218" s="1">
        <v>36465</v>
      </c>
      <c r="C218" t="s">
        <v>532</v>
      </c>
      <c r="D218" t="s">
        <v>59</v>
      </c>
      <c r="E218" t="s">
        <v>531</v>
      </c>
      <c r="F218" t="s">
        <v>59</v>
      </c>
      <c r="G218" t="s">
        <v>102</v>
      </c>
      <c r="H218" s="139">
        <f t="shared" si="124"/>
        <v>0</v>
      </c>
      <c r="I218" t="s">
        <v>234</v>
      </c>
      <c r="J218" t="s">
        <v>326</v>
      </c>
      <c r="K218" s="2">
        <f t="shared" si="128"/>
        <v>8</v>
      </c>
      <c r="L218">
        <v>505000000</v>
      </c>
      <c r="M218" s="2">
        <f t="shared" si="129"/>
        <v>8.7032913781186618</v>
      </c>
      <c r="N218">
        <f t="shared" si="125"/>
        <v>505000000</v>
      </c>
      <c r="O218">
        <v>0</v>
      </c>
      <c r="P218" s="1">
        <v>39962</v>
      </c>
      <c r="Q218" s="89">
        <f t="shared" si="130"/>
        <v>2009</v>
      </c>
      <c r="R218" t="s">
        <v>155</v>
      </c>
      <c r="S218">
        <v>1037920000</v>
      </c>
      <c r="T218" s="21">
        <f t="shared" si="120"/>
        <v>9.580821917808219</v>
      </c>
      <c r="U218">
        <v>0</v>
      </c>
      <c r="V218">
        <f t="shared" si="131"/>
        <v>0</v>
      </c>
      <c r="W218">
        <v>1947</v>
      </c>
      <c r="X218">
        <v>52</v>
      </c>
      <c r="Y218">
        <f t="shared" si="132"/>
        <v>1.7242758696007889</v>
      </c>
      <c r="Z218" s="45">
        <v>3.29</v>
      </c>
      <c r="AA218" s="9">
        <f t="shared" si="121"/>
        <v>532920000</v>
      </c>
      <c r="AB218" s="15">
        <f t="shared" si="122"/>
        <v>1.0552871287128713</v>
      </c>
      <c r="AC218" s="34">
        <f t="shared" si="133"/>
        <v>0.3128725024674901</v>
      </c>
      <c r="AD218">
        <v>2144.9704142011828</v>
      </c>
      <c r="AE218">
        <f t="shared" si="126"/>
        <v>3.3314213062933389</v>
      </c>
      <c r="AF218">
        <v>7670.1183431952677</v>
      </c>
      <c r="AG218">
        <f t="shared" si="127"/>
        <v>3.884802064783424</v>
      </c>
      <c r="AH218" s="9">
        <v>0</v>
      </c>
      <c r="AI218" s="9">
        <f t="shared" si="134"/>
        <v>0</v>
      </c>
      <c r="AJ218">
        <v>85</v>
      </c>
      <c r="AK218" s="23" t="s">
        <v>70</v>
      </c>
      <c r="AL218" s="42">
        <v>35.326012114535303</v>
      </c>
      <c r="AM218" s="24">
        <v>-0.32</v>
      </c>
      <c r="AN218" s="34">
        <f t="shared" si="135"/>
        <v>-0.16749108729376372</v>
      </c>
      <c r="AO218">
        <v>1934</v>
      </c>
      <c r="AP218">
        <v>65</v>
      </c>
      <c r="AQ218">
        <v>70</v>
      </c>
      <c r="AR218">
        <v>70</v>
      </c>
      <c r="AS218">
        <f t="shared" si="123"/>
        <v>0</v>
      </c>
      <c r="AT218">
        <f t="shared" si="136"/>
        <v>0</v>
      </c>
      <c r="AU218">
        <f t="shared" si="137"/>
        <v>1</v>
      </c>
      <c r="AV218">
        <f t="shared" si="138"/>
        <v>0</v>
      </c>
      <c r="AW218">
        <f t="shared" si="139"/>
        <v>0</v>
      </c>
      <c r="AX218">
        <f t="shared" si="140"/>
        <v>0</v>
      </c>
      <c r="AY218">
        <f t="shared" si="141"/>
        <v>0</v>
      </c>
      <c r="AZ218">
        <f t="shared" si="142"/>
        <v>0</v>
      </c>
      <c r="BA218">
        <f t="shared" si="143"/>
        <v>0</v>
      </c>
      <c r="BB218">
        <f t="shared" si="144"/>
        <v>0</v>
      </c>
      <c r="BC218">
        <f t="shared" si="145"/>
        <v>0</v>
      </c>
      <c r="BD218">
        <f t="shared" si="146"/>
        <v>0</v>
      </c>
      <c r="BE218">
        <f t="shared" si="147"/>
        <v>0</v>
      </c>
      <c r="BF218">
        <f t="shared" si="148"/>
        <v>0</v>
      </c>
      <c r="BG218">
        <f t="shared" si="149"/>
        <v>0</v>
      </c>
      <c r="BH218">
        <f t="shared" si="150"/>
        <v>0</v>
      </c>
      <c r="BI218">
        <f t="shared" si="151"/>
        <v>0</v>
      </c>
    </row>
    <row r="219" spans="1:61" x14ac:dyDescent="0.35">
      <c r="A219" t="s">
        <v>196</v>
      </c>
      <c r="B219" s="1">
        <v>36087</v>
      </c>
      <c r="C219" t="s">
        <v>533</v>
      </c>
      <c r="D219" t="s">
        <v>59</v>
      </c>
      <c r="E219" t="s">
        <v>534</v>
      </c>
      <c r="F219" t="s">
        <v>59</v>
      </c>
      <c r="G219" t="s">
        <v>102</v>
      </c>
      <c r="H219" s="139">
        <f t="shared" si="124"/>
        <v>0</v>
      </c>
      <c r="I219" t="s">
        <v>234</v>
      </c>
      <c r="J219" t="s">
        <v>248</v>
      </c>
      <c r="K219" s="2">
        <f t="shared" si="128"/>
        <v>5</v>
      </c>
      <c r="L219">
        <v>352000000</v>
      </c>
      <c r="M219" s="2">
        <f t="shared" si="129"/>
        <v>8.5465426634781316</v>
      </c>
      <c r="N219">
        <f t="shared" si="125"/>
        <v>352000000</v>
      </c>
      <c r="O219">
        <v>0</v>
      </c>
      <c r="P219" s="1">
        <v>38439</v>
      </c>
      <c r="Q219" s="89">
        <f t="shared" si="130"/>
        <v>2005</v>
      </c>
      <c r="R219" t="s">
        <v>152</v>
      </c>
      <c r="S219">
        <v>800000000</v>
      </c>
      <c r="T219" s="21">
        <f t="shared" si="120"/>
        <v>6.4438356164383563</v>
      </c>
      <c r="U219">
        <v>0</v>
      </c>
      <c r="V219">
        <f t="shared" si="131"/>
        <v>0</v>
      </c>
      <c r="W219">
        <v>1926</v>
      </c>
      <c r="X219">
        <v>72</v>
      </c>
      <c r="Y219">
        <f t="shared" si="132"/>
        <v>1.8633228601204559</v>
      </c>
      <c r="Z219" s="45">
        <v>3.29</v>
      </c>
      <c r="AA219" s="9">
        <f t="shared" si="121"/>
        <v>448000000</v>
      </c>
      <c r="AB219" s="15">
        <f t="shared" si="122"/>
        <v>1.2727272727272729</v>
      </c>
      <c r="AC219" s="34">
        <f t="shared" si="133"/>
        <v>0.35654732351381263</v>
      </c>
      <c r="AD219">
        <v>2144.9704142011828</v>
      </c>
      <c r="AE219">
        <f t="shared" si="126"/>
        <v>3.3314213062933389</v>
      </c>
      <c r="AF219">
        <v>7670.1183431952677</v>
      </c>
      <c r="AG219">
        <f t="shared" si="127"/>
        <v>3.884802064783424</v>
      </c>
      <c r="AH219" s="9">
        <v>0</v>
      </c>
      <c r="AI219" s="9">
        <f t="shared" si="134"/>
        <v>0</v>
      </c>
      <c r="AJ219">
        <v>85</v>
      </c>
      <c r="AK219" s="23" t="s">
        <v>249</v>
      </c>
      <c r="AL219" s="42">
        <v>35.516899069648296</v>
      </c>
      <c r="AM219" s="24">
        <v>0.11</v>
      </c>
      <c r="AN219" s="34">
        <f t="shared" si="135"/>
        <v>4.5322978786657475E-2</v>
      </c>
      <c r="AO219">
        <v>1934</v>
      </c>
      <c r="AP219">
        <v>64</v>
      </c>
      <c r="AQ219">
        <v>70</v>
      </c>
      <c r="AR219">
        <v>70</v>
      </c>
      <c r="AS219">
        <f t="shared" si="123"/>
        <v>0</v>
      </c>
      <c r="AT219">
        <f t="shared" si="136"/>
        <v>0</v>
      </c>
      <c r="AU219">
        <f t="shared" si="137"/>
        <v>1</v>
      </c>
      <c r="AV219">
        <f t="shared" si="138"/>
        <v>0</v>
      </c>
      <c r="AW219">
        <f t="shared" si="139"/>
        <v>0</v>
      </c>
      <c r="AX219">
        <f t="shared" si="140"/>
        <v>0</v>
      </c>
      <c r="AY219">
        <f t="shared" si="141"/>
        <v>0</v>
      </c>
      <c r="AZ219">
        <f t="shared" si="142"/>
        <v>0</v>
      </c>
      <c r="BA219">
        <f t="shared" si="143"/>
        <v>0</v>
      </c>
      <c r="BB219">
        <f t="shared" si="144"/>
        <v>0</v>
      </c>
      <c r="BC219">
        <f t="shared" si="145"/>
        <v>0</v>
      </c>
      <c r="BD219">
        <f t="shared" si="146"/>
        <v>0</v>
      </c>
      <c r="BE219">
        <f t="shared" si="147"/>
        <v>0</v>
      </c>
      <c r="BF219">
        <f t="shared" si="148"/>
        <v>0</v>
      </c>
      <c r="BG219">
        <f t="shared" si="149"/>
        <v>0</v>
      </c>
      <c r="BH219">
        <f t="shared" si="150"/>
        <v>0</v>
      </c>
      <c r="BI219">
        <f t="shared" si="151"/>
        <v>0</v>
      </c>
    </row>
    <row r="220" spans="1:61" x14ac:dyDescent="0.35">
      <c r="A220" t="s">
        <v>196</v>
      </c>
      <c r="B220" s="1">
        <v>35381</v>
      </c>
      <c r="C220" t="s">
        <v>535</v>
      </c>
      <c r="D220" t="s">
        <v>59</v>
      </c>
      <c r="E220" t="s">
        <v>536</v>
      </c>
      <c r="F220" t="s">
        <v>59</v>
      </c>
      <c r="G220" t="s">
        <v>102</v>
      </c>
      <c r="H220" s="139">
        <f t="shared" si="124"/>
        <v>0</v>
      </c>
      <c r="I220" t="s">
        <v>234</v>
      </c>
      <c r="J220" t="s">
        <v>248</v>
      </c>
      <c r="K220" s="2">
        <f t="shared" si="128"/>
        <v>5</v>
      </c>
      <c r="L220">
        <v>380000000</v>
      </c>
      <c r="M220" s="2">
        <f t="shared" si="129"/>
        <v>8.5797835966168101</v>
      </c>
      <c r="N220">
        <f t="shared" si="125"/>
        <v>380000000</v>
      </c>
      <c r="O220">
        <v>0</v>
      </c>
      <c r="P220" s="1">
        <v>37400</v>
      </c>
      <c r="Q220" s="89">
        <f t="shared" si="130"/>
        <v>2002</v>
      </c>
      <c r="R220" t="s">
        <v>49</v>
      </c>
      <c r="S220">
        <v>157647270</v>
      </c>
      <c r="T220" s="21">
        <f t="shared" si="120"/>
        <v>5.5315068493150683</v>
      </c>
      <c r="U220">
        <v>0</v>
      </c>
      <c r="V220">
        <f t="shared" si="131"/>
        <v>0</v>
      </c>
      <c r="W220">
        <v>1996</v>
      </c>
      <c r="X220">
        <v>0</v>
      </c>
      <c r="Y220">
        <f t="shared" si="132"/>
        <v>0</v>
      </c>
      <c r="Z220" s="45">
        <v>3.29</v>
      </c>
      <c r="AA220" s="9">
        <f t="shared" si="121"/>
        <v>-222352730</v>
      </c>
      <c r="AB220" s="15">
        <f t="shared" si="122"/>
        <v>-0.58513876315789481</v>
      </c>
      <c r="AC220" s="34">
        <f t="shared" si="133"/>
        <v>-0.38209714220653945</v>
      </c>
      <c r="AD220">
        <v>2144.9704142011828</v>
      </c>
      <c r="AE220">
        <f t="shared" si="126"/>
        <v>3.3314213062933389</v>
      </c>
      <c r="AF220">
        <v>7670.1183431952677</v>
      </c>
      <c r="AG220">
        <f t="shared" si="127"/>
        <v>3.884802064783424</v>
      </c>
      <c r="AH220" s="9">
        <v>0</v>
      </c>
      <c r="AI220" s="9">
        <f t="shared" si="134"/>
        <v>0</v>
      </c>
      <c r="AJ220">
        <v>85</v>
      </c>
      <c r="AK220" s="23" t="s">
        <v>340</v>
      </c>
      <c r="AL220" s="42">
        <v>36.913126831903199</v>
      </c>
      <c r="AM220" s="24">
        <v>0.49</v>
      </c>
      <c r="AN220" s="34">
        <f t="shared" si="135"/>
        <v>0.17318626841227402</v>
      </c>
      <c r="AO220">
        <v>1934</v>
      </c>
      <c r="AP220">
        <v>62</v>
      </c>
      <c r="AQ220">
        <v>70</v>
      </c>
      <c r="AR220">
        <v>90</v>
      </c>
      <c r="AS220">
        <f t="shared" si="123"/>
        <v>0</v>
      </c>
      <c r="AT220">
        <f t="shared" si="136"/>
        <v>0</v>
      </c>
      <c r="AU220">
        <f t="shared" si="137"/>
        <v>1</v>
      </c>
      <c r="AV220">
        <f t="shared" si="138"/>
        <v>0</v>
      </c>
      <c r="AW220">
        <f t="shared" si="139"/>
        <v>0</v>
      </c>
      <c r="AX220">
        <f t="shared" si="140"/>
        <v>0</v>
      </c>
      <c r="AY220">
        <f t="shared" si="141"/>
        <v>0</v>
      </c>
      <c r="AZ220">
        <f t="shared" si="142"/>
        <v>0</v>
      </c>
      <c r="BA220">
        <f t="shared" si="143"/>
        <v>0</v>
      </c>
      <c r="BB220">
        <f t="shared" si="144"/>
        <v>0</v>
      </c>
      <c r="BC220">
        <f t="shared" si="145"/>
        <v>0</v>
      </c>
      <c r="BD220">
        <f t="shared" si="146"/>
        <v>0</v>
      </c>
      <c r="BE220">
        <f t="shared" si="147"/>
        <v>0</v>
      </c>
      <c r="BF220">
        <f t="shared" si="148"/>
        <v>0</v>
      </c>
      <c r="BG220">
        <f t="shared" si="149"/>
        <v>0</v>
      </c>
      <c r="BH220">
        <f t="shared" si="150"/>
        <v>0</v>
      </c>
      <c r="BI220">
        <f t="shared" si="151"/>
        <v>0</v>
      </c>
    </row>
    <row r="221" spans="1:61" x14ac:dyDescent="0.35">
      <c r="A221" t="s">
        <v>196</v>
      </c>
      <c r="B221" s="1">
        <v>38230</v>
      </c>
      <c r="C221" t="s">
        <v>537</v>
      </c>
      <c r="D221" t="s">
        <v>59</v>
      </c>
      <c r="E221" t="s">
        <v>538</v>
      </c>
      <c r="F221" t="s">
        <v>45</v>
      </c>
      <c r="G221" t="s">
        <v>125</v>
      </c>
      <c r="H221" s="139">
        <f t="shared" si="124"/>
        <v>1</v>
      </c>
      <c r="I221" t="s">
        <v>234</v>
      </c>
      <c r="J221" t="s">
        <v>248</v>
      </c>
      <c r="K221" s="2">
        <f t="shared" si="128"/>
        <v>5</v>
      </c>
      <c r="L221">
        <v>273500000</v>
      </c>
      <c r="M221" s="2">
        <f t="shared" si="129"/>
        <v>8.4369573306694488</v>
      </c>
      <c r="N221">
        <f t="shared" si="125"/>
        <v>273500000</v>
      </c>
      <c r="O221">
        <v>0</v>
      </c>
      <c r="P221" s="1">
        <v>39617</v>
      </c>
      <c r="Q221" s="89">
        <f t="shared" si="130"/>
        <v>2008</v>
      </c>
      <c r="R221" t="s">
        <v>107</v>
      </c>
      <c r="S221">
        <v>776297459</v>
      </c>
      <c r="T221" s="21">
        <f t="shared" si="120"/>
        <v>3.8</v>
      </c>
      <c r="U221">
        <v>5897.96</v>
      </c>
      <c r="V221">
        <f t="shared" si="131"/>
        <v>3.7707754512906644</v>
      </c>
      <c r="W221">
        <v>1963</v>
      </c>
      <c r="X221">
        <v>41</v>
      </c>
      <c r="Y221">
        <f t="shared" si="132"/>
        <v>1.6232492903979006</v>
      </c>
      <c r="Z221" s="45">
        <v>2.3199999999999998</v>
      </c>
      <c r="AA221" s="9">
        <f t="shared" si="121"/>
        <v>502797459</v>
      </c>
      <c r="AB221" s="15">
        <f t="shared" si="122"/>
        <v>1.8383819341864718</v>
      </c>
      <c r="AC221" s="34">
        <f t="shared" si="133"/>
        <v>0.45307083395064052</v>
      </c>
      <c r="AD221">
        <v>2232.1428571428569</v>
      </c>
      <c r="AE221">
        <f t="shared" si="126"/>
        <v>3.348721986001856</v>
      </c>
      <c r="AF221">
        <v>5650.5102040816337</v>
      </c>
      <c r="AG221">
        <f t="shared" si="127"/>
        <v>3.7520876635386311</v>
      </c>
      <c r="AH221" s="9">
        <v>132</v>
      </c>
      <c r="AI221" s="9">
        <f t="shared" si="134"/>
        <v>2.1238516409670858</v>
      </c>
      <c r="AJ221">
        <v>85</v>
      </c>
      <c r="AK221" s="23" t="s">
        <v>89</v>
      </c>
      <c r="AL221" s="42">
        <v>40.040400531970803</v>
      </c>
      <c r="AM221" s="24">
        <v>0.21</v>
      </c>
      <c r="AN221" s="34">
        <f t="shared" si="135"/>
        <v>8.2785370316450071E-2</v>
      </c>
      <c r="AO221">
        <v>2000</v>
      </c>
      <c r="AP221">
        <v>4</v>
      </c>
      <c r="AQ221">
        <v>70</v>
      </c>
      <c r="AR221">
        <v>70</v>
      </c>
      <c r="AS221">
        <f t="shared" si="123"/>
        <v>0</v>
      </c>
      <c r="AT221">
        <f t="shared" si="136"/>
        <v>0</v>
      </c>
      <c r="AU221">
        <f t="shared" si="137"/>
        <v>1</v>
      </c>
      <c r="AV221">
        <f t="shared" si="138"/>
        <v>0</v>
      </c>
      <c r="AW221">
        <f t="shared" si="139"/>
        <v>0</v>
      </c>
      <c r="AX221">
        <f t="shared" si="140"/>
        <v>0</v>
      </c>
      <c r="AY221">
        <f t="shared" si="141"/>
        <v>0</v>
      </c>
      <c r="AZ221">
        <f t="shared" si="142"/>
        <v>0</v>
      </c>
      <c r="BA221">
        <f t="shared" si="143"/>
        <v>0</v>
      </c>
      <c r="BB221">
        <f t="shared" si="144"/>
        <v>0</v>
      </c>
      <c r="BC221">
        <f t="shared" si="145"/>
        <v>0</v>
      </c>
      <c r="BD221">
        <f t="shared" si="146"/>
        <v>0</v>
      </c>
      <c r="BE221">
        <f t="shared" si="147"/>
        <v>0</v>
      </c>
      <c r="BF221">
        <f t="shared" si="148"/>
        <v>0</v>
      </c>
      <c r="BG221">
        <f t="shared" si="149"/>
        <v>0</v>
      </c>
      <c r="BH221">
        <f t="shared" si="150"/>
        <v>0</v>
      </c>
      <c r="BI221">
        <f t="shared" si="151"/>
        <v>0</v>
      </c>
    </row>
    <row r="222" spans="1:61" x14ac:dyDescent="0.35">
      <c r="A222" t="s">
        <v>196</v>
      </c>
      <c r="B222" s="1">
        <v>38016</v>
      </c>
      <c r="C222" t="s">
        <v>539</v>
      </c>
      <c r="D222" t="s">
        <v>59</v>
      </c>
      <c r="E222" t="s">
        <v>538</v>
      </c>
      <c r="F222" t="s">
        <v>45</v>
      </c>
      <c r="G222" t="s">
        <v>125</v>
      </c>
      <c r="H222" s="139">
        <f t="shared" si="124"/>
        <v>1</v>
      </c>
      <c r="I222" t="s">
        <v>234</v>
      </c>
      <c r="J222" t="s">
        <v>248</v>
      </c>
      <c r="K222" s="2">
        <f t="shared" si="128"/>
        <v>5</v>
      </c>
      <c r="L222">
        <v>350000000</v>
      </c>
      <c r="M222" s="2">
        <f t="shared" si="129"/>
        <v>8.5440680443502757</v>
      </c>
      <c r="N222">
        <f t="shared" si="125"/>
        <v>350000000</v>
      </c>
      <c r="O222">
        <v>0</v>
      </c>
      <c r="P222" s="1">
        <v>38807</v>
      </c>
      <c r="Q222" s="89">
        <f t="shared" si="130"/>
        <v>2006</v>
      </c>
      <c r="R222" t="s">
        <v>152</v>
      </c>
      <c r="S222">
        <v>350000000</v>
      </c>
      <c r="T222" s="21">
        <f t="shared" si="120"/>
        <v>2.1671232876712327</v>
      </c>
      <c r="U222">
        <v>5897.96</v>
      </c>
      <c r="V222">
        <f t="shared" si="131"/>
        <v>3.7707754512906644</v>
      </c>
      <c r="W222">
        <v>1965</v>
      </c>
      <c r="X222">
        <v>39</v>
      </c>
      <c r="Y222">
        <f t="shared" si="132"/>
        <v>1.6020599913279623</v>
      </c>
      <c r="Z222" s="45">
        <v>2.3199999999999998</v>
      </c>
      <c r="AA222" s="9">
        <f t="shared" si="121"/>
        <v>0</v>
      </c>
      <c r="AB222" s="15">
        <f t="shared" si="122"/>
        <v>0</v>
      </c>
      <c r="AC222" s="34">
        <f t="shared" si="133"/>
        <v>0</v>
      </c>
      <c r="AD222">
        <v>2232.1428571428569</v>
      </c>
      <c r="AE222">
        <f t="shared" si="126"/>
        <v>3.348721986001856</v>
      </c>
      <c r="AF222">
        <v>5650.5102040816337</v>
      </c>
      <c r="AG222">
        <f t="shared" si="127"/>
        <v>3.7520876635386311</v>
      </c>
      <c r="AH222" s="9">
        <v>132</v>
      </c>
      <c r="AI222" s="9">
        <f t="shared" si="134"/>
        <v>2.1238516409670858</v>
      </c>
      <c r="AJ222">
        <v>85</v>
      </c>
      <c r="AK222" s="23" t="s">
        <v>89</v>
      </c>
      <c r="AL222" s="42">
        <v>40.040400531970803</v>
      </c>
      <c r="AM222" s="24">
        <v>0.14000000000000001</v>
      </c>
      <c r="AN222" s="34">
        <f t="shared" si="135"/>
        <v>5.6904851336472641E-2</v>
      </c>
      <c r="AO222">
        <v>2000</v>
      </c>
      <c r="AP222">
        <v>4</v>
      </c>
      <c r="AQ222">
        <v>70</v>
      </c>
      <c r="AR222">
        <v>70</v>
      </c>
      <c r="AS222">
        <f t="shared" si="123"/>
        <v>0</v>
      </c>
      <c r="AT222">
        <f t="shared" si="136"/>
        <v>0</v>
      </c>
      <c r="AU222">
        <f t="shared" si="137"/>
        <v>1</v>
      </c>
      <c r="AV222">
        <f t="shared" si="138"/>
        <v>0</v>
      </c>
      <c r="AW222">
        <f t="shared" si="139"/>
        <v>0</v>
      </c>
      <c r="AX222">
        <f t="shared" si="140"/>
        <v>0</v>
      </c>
      <c r="AY222">
        <f t="shared" si="141"/>
        <v>0</v>
      </c>
      <c r="AZ222">
        <f t="shared" si="142"/>
        <v>0</v>
      </c>
      <c r="BA222">
        <f t="shared" si="143"/>
        <v>0</v>
      </c>
      <c r="BB222">
        <f t="shared" si="144"/>
        <v>0</v>
      </c>
      <c r="BC222">
        <f t="shared" si="145"/>
        <v>0</v>
      </c>
      <c r="BD222">
        <f t="shared" si="146"/>
        <v>0</v>
      </c>
      <c r="BE222">
        <f t="shared" si="147"/>
        <v>0</v>
      </c>
      <c r="BF222">
        <f t="shared" si="148"/>
        <v>0</v>
      </c>
      <c r="BG222">
        <f t="shared" si="149"/>
        <v>0</v>
      </c>
      <c r="BH222">
        <f t="shared" si="150"/>
        <v>0</v>
      </c>
      <c r="BI222">
        <f t="shared" si="151"/>
        <v>0</v>
      </c>
    </row>
    <row r="223" spans="1:61" x14ac:dyDescent="0.35">
      <c r="A223" t="s">
        <v>540</v>
      </c>
      <c r="B223" s="1">
        <v>38660</v>
      </c>
      <c r="C223" t="s">
        <v>541</v>
      </c>
      <c r="D223" t="s">
        <v>447</v>
      </c>
      <c r="E223" t="s">
        <v>538</v>
      </c>
      <c r="F223" t="s">
        <v>45</v>
      </c>
      <c r="G223" t="s">
        <v>125</v>
      </c>
      <c r="H223" s="139">
        <f t="shared" si="124"/>
        <v>1</v>
      </c>
      <c r="I223" t="s">
        <v>234</v>
      </c>
      <c r="J223" t="s">
        <v>186</v>
      </c>
      <c r="K223" s="2">
        <f t="shared" si="128"/>
        <v>4</v>
      </c>
      <c r="L223">
        <v>534000000</v>
      </c>
      <c r="M223" s="2">
        <f t="shared" si="129"/>
        <v>8.7275412570285571</v>
      </c>
      <c r="N223">
        <f t="shared" si="125"/>
        <v>534000000</v>
      </c>
      <c r="O223">
        <v>0</v>
      </c>
      <c r="P223" s="1">
        <v>41843</v>
      </c>
      <c r="Q223" s="89">
        <f t="shared" si="130"/>
        <v>2014</v>
      </c>
      <c r="R223" t="s">
        <v>107</v>
      </c>
      <c r="S223">
        <v>3844800000</v>
      </c>
      <c r="T223" s="21">
        <f t="shared" si="120"/>
        <v>8.7205479452054799</v>
      </c>
      <c r="U223">
        <v>6087.84</v>
      </c>
      <c r="V223">
        <f t="shared" si="131"/>
        <v>3.7845345619950592</v>
      </c>
      <c r="W223">
        <v>2000</v>
      </c>
      <c r="X223">
        <v>5</v>
      </c>
      <c r="Y223">
        <f t="shared" si="132"/>
        <v>0.77815125038364363</v>
      </c>
      <c r="Z223" s="45">
        <v>2.81</v>
      </c>
      <c r="AA223" s="9">
        <f t="shared" si="121"/>
        <v>3310800000</v>
      </c>
      <c r="AB223" s="15">
        <f t="shared" si="122"/>
        <v>6.2</v>
      </c>
      <c r="AC223" s="34">
        <f t="shared" si="133"/>
        <v>0.85733249643126852</v>
      </c>
      <c r="AD223">
        <v>2232.1428571428569</v>
      </c>
      <c r="AE223">
        <f t="shared" si="126"/>
        <v>3.348721986001856</v>
      </c>
      <c r="AF223">
        <v>5650.5102040816337</v>
      </c>
      <c r="AG223">
        <f t="shared" si="127"/>
        <v>3.7520876635386311</v>
      </c>
      <c r="AH223" s="9">
        <v>824.83333333333303</v>
      </c>
      <c r="AI223" s="9">
        <f t="shared" si="134"/>
        <v>2.9168924084376502</v>
      </c>
      <c r="AJ223">
        <v>70</v>
      </c>
      <c r="AK223" s="23" t="s">
        <v>542</v>
      </c>
      <c r="AL223" s="42">
        <v>38.315068463709203</v>
      </c>
      <c r="AM223" s="24">
        <v>0.63</v>
      </c>
      <c r="AN223" s="34">
        <f t="shared" si="135"/>
        <v>0.21218760440395779</v>
      </c>
      <c r="AO223">
        <v>2000</v>
      </c>
      <c r="AP223">
        <v>5</v>
      </c>
      <c r="AQ223">
        <v>70</v>
      </c>
      <c r="AR223">
        <v>50</v>
      </c>
      <c r="AS223">
        <f t="shared" si="123"/>
        <v>0</v>
      </c>
      <c r="AT223">
        <f t="shared" si="136"/>
        <v>0</v>
      </c>
      <c r="AU223">
        <f t="shared" si="137"/>
        <v>0</v>
      </c>
      <c r="AV223">
        <f t="shared" si="138"/>
        <v>0</v>
      </c>
      <c r="AW223">
        <f t="shared" si="139"/>
        <v>0</v>
      </c>
      <c r="AX223">
        <f t="shared" si="140"/>
        <v>0</v>
      </c>
      <c r="AY223">
        <f t="shared" si="141"/>
        <v>0</v>
      </c>
      <c r="AZ223">
        <f t="shared" si="142"/>
        <v>0</v>
      </c>
      <c r="BA223">
        <f t="shared" si="143"/>
        <v>0</v>
      </c>
      <c r="BB223">
        <f t="shared" si="144"/>
        <v>0</v>
      </c>
      <c r="BC223">
        <f t="shared" si="145"/>
        <v>0</v>
      </c>
      <c r="BD223">
        <f t="shared" si="146"/>
        <v>1</v>
      </c>
      <c r="BE223">
        <f t="shared" si="147"/>
        <v>0</v>
      </c>
      <c r="BF223">
        <f t="shared" si="148"/>
        <v>0</v>
      </c>
      <c r="BG223">
        <f t="shared" si="149"/>
        <v>0</v>
      </c>
      <c r="BH223">
        <f t="shared" si="150"/>
        <v>0</v>
      </c>
      <c r="BI223">
        <f t="shared" si="151"/>
        <v>0</v>
      </c>
    </row>
    <row r="224" spans="1:61" x14ac:dyDescent="0.35">
      <c r="A224" t="s">
        <v>543</v>
      </c>
      <c r="B224" s="1">
        <v>38300</v>
      </c>
      <c r="C224" t="s">
        <v>544</v>
      </c>
      <c r="D224" t="s">
        <v>434</v>
      </c>
      <c r="E224" t="s">
        <v>538</v>
      </c>
      <c r="F224" t="s">
        <v>45</v>
      </c>
      <c r="G224" t="s">
        <v>125</v>
      </c>
      <c r="H224" s="139">
        <f t="shared" si="124"/>
        <v>1</v>
      </c>
      <c r="I224" t="s">
        <v>234</v>
      </c>
      <c r="J224" t="s">
        <v>248</v>
      </c>
      <c r="K224" s="2">
        <f t="shared" si="128"/>
        <v>5</v>
      </c>
      <c r="L224">
        <v>250000000</v>
      </c>
      <c r="M224" s="2">
        <f t="shared" si="129"/>
        <v>8.3979400086720375</v>
      </c>
      <c r="N224">
        <f t="shared" si="125"/>
        <v>250000000</v>
      </c>
      <c r="O224">
        <v>0</v>
      </c>
      <c r="P224" s="1">
        <v>41367</v>
      </c>
      <c r="Q224" s="89">
        <f t="shared" si="130"/>
        <v>2013</v>
      </c>
      <c r="R224" t="s">
        <v>107</v>
      </c>
      <c r="S224">
        <v>495000000</v>
      </c>
      <c r="T224" s="21">
        <f t="shared" si="120"/>
        <v>8.4027397260273968</v>
      </c>
      <c r="U224">
        <v>7216.98</v>
      </c>
      <c r="V224">
        <f t="shared" si="131"/>
        <v>3.8584156743566731</v>
      </c>
      <c r="W224">
        <v>1946</v>
      </c>
      <c r="X224">
        <v>58</v>
      </c>
      <c r="Y224">
        <f t="shared" si="132"/>
        <v>1.7708520116421442</v>
      </c>
      <c r="Z224" s="45">
        <v>2.66</v>
      </c>
      <c r="AA224" s="9">
        <f t="shared" si="121"/>
        <v>245000000</v>
      </c>
      <c r="AB224" s="15">
        <f t="shared" si="122"/>
        <v>0.98</v>
      </c>
      <c r="AC224" s="34">
        <f t="shared" si="133"/>
        <v>0.2966651902615311</v>
      </c>
      <c r="AD224">
        <v>2232.1428571428569</v>
      </c>
      <c r="AE224">
        <f t="shared" si="126"/>
        <v>3.348721986001856</v>
      </c>
      <c r="AF224">
        <v>5650.5102040816337</v>
      </c>
      <c r="AG224">
        <f t="shared" si="127"/>
        <v>3.7520876635386311</v>
      </c>
      <c r="AH224" s="9">
        <v>649.83333333333303</v>
      </c>
      <c r="AI224" s="9">
        <f t="shared" si="134"/>
        <v>2.8134697878296753</v>
      </c>
      <c r="AJ224">
        <v>70</v>
      </c>
      <c r="AK224" s="23" t="s">
        <v>545</v>
      </c>
      <c r="AL224" s="42">
        <v>46.838198746764199</v>
      </c>
      <c r="AM224" s="24">
        <v>0.33</v>
      </c>
      <c r="AN224" s="34">
        <f t="shared" si="135"/>
        <v>0.12385164096708581</v>
      </c>
      <c r="AO224">
        <v>2000</v>
      </c>
      <c r="AP224">
        <v>4</v>
      </c>
      <c r="AQ224">
        <v>90</v>
      </c>
      <c r="AR224">
        <v>70</v>
      </c>
      <c r="AS224">
        <f t="shared" si="123"/>
        <v>0</v>
      </c>
      <c r="AT224">
        <f t="shared" si="136"/>
        <v>0</v>
      </c>
      <c r="AU224">
        <f t="shared" si="137"/>
        <v>0</v>
      </c>
      <c r="AV224">
        <f t="shared" si="138"/>
        <v>0</v>
      </c>
      <c r="AW224">
        <f t="shared" si="139"/>
        <v>0</v>
      </c>
      <c r="AX224">
        <f t="shared" si="140"/>
        <v>0</v>
      </c>
      <c r="AY224">
        <f t="shared" si="141"/>
        <v>0</v>
      </c>
      <c r="AZ224">
        <f t="shared" si="142"/>
        <v>0</v>
      </c>
      <c r="BA224">
        <f t="shared" si="143"/>
        <v>0</v>
      </c>
      <c r="BB224">
        <f t="shared" si="144"/>
        <v>0</v>
      </c>
      <c r="BC224">
        <f t="shared" si="145"/>
        <v>1</v>
      </c>
      <c r="BD224">
        <f t="shared" si="146"/>
        <v>0</v>
      </c>
      <c r="BE224">
        <f t="shared" si="147"/>
        <v>0</v>
      </c>
      <c r="BF224">
        <f t="shared" si="148"/>
        <v>0</v>
      </c>
      <c r="BG224">
        <f t="shared" si="149"/>
        <v>0</v>
      </c>
      <c r="BH224">
        <f t="shared" si="150"/>
        <v>0</v>
      </c>
      <c r="BI224">
        <f t="shared" si="151"/>
        <v>0</v>
      </c>
    </row>
    <row r="225" spans="1:61" x14ac:dyDescent="0.35">
      <c r="A225" t="s">
        <v>196</v>
      </c>
      <c r="B225" s="1">
        <v>37529</v>
      </c>
      <c r="C225" t="s">
        <v>546</v>
      </c>
      <c r="D225" t="s">
        <v>434</v>
      </c>
      <c r="E225" t="s">
        <v>538</v>
      </c>
      <c r="F225" t="s">
        <v>45</v>
      </c>
      <c r="G225" t="s">
        <v>125</v>
      </c>
      <c r="H225" s="139">
        <f t="shared" si="124"/>
        <v>1</v>
      </c>
      <c r="I225" t="s">
        <v>234</v>
      </c>
      <c r="J225" t="s">
        <v>248</v>
      </c>
      <c r="K225" s="2">
        <f t="shared" si="128"/>
        <v>5</v>
      </c>
      <c r="L225">
        <v>460000000</v>
      </c>
      <c r="M225" s="2">
        <f t="shared" si="129"/>
        <v>8.6627578316815743</v>
      </c>
      <c r="N225">
        <f t="shared" si="125"/>
        <v>460000000</v>
      </c>
      <c r="O225">
        <v>0</v>
      </c>
      <c r="P225" s="1">
        <v>39183</v>
      </c>
      <c r="Q225" s="89">
        <f t="shared" si="130"/>
        <v>2007</v>
      </c>
      <c r="R225" t="s">
        <v>155</v>
      </c>
      <c r="S225">
        <v>470100000</v>
      </c>
      <c r="T225" s="21">
        <f t="shared" si="120"/>
        <v>4.5315068493150683</v>
      </c>
      <c r="U225">
        <v>7216.98</v>
      </c>
      <c r="V225">
        <f t="shared" si="131"/>
        <v>3.8584156743566731</v>
      </c>
      <c r="W225">
        <v>1978</v>
      </c>
      <c r="X225">
        <v>24</v>
      </c>
      <c r="Y225">
        <f t="shared" si="132"/>
        <v>1.3979400086720377</v>
      </c>
      <c r="Z225" s="45">
        <v>2.66</v>
      </c>
      <c r="AA225" s="9">
        <f t="shared" si="121"/>
        <v>10100000</v>
      </c>
      <c r="AB225" s="15">
        <f t="shared" si="122"/>
        <v>2.195652173913043E-2</v>
      </c>
      <c r="AC225" s="34">
        <f t="shared" si="133"/>
        <v>9.4324195066784917E-3</v>
      </c>
      <c r="AD225">
        <v>2232.1428571428569</v>
      </c>
      <c r="AE225">
        <f t="shared" si="126"/>
        <v>3.348721986001856</v>
      </c>
      <c r="AF225">
        <v>5650.5102040816337</v>
      </c>
      <c r="AG225">
        <f t="shared" si="127"/>
        <v>3.7520876635386311</v>
      </c>
      <c r="AH225" s="9">
        <v>649.83333333333303</v>
      </c>
      <c r="AI225" s="9">
        <f t="shared" si="134"/>
        <v>2.8134697878296753</v>
      </c>
      <c r="AJ225">
        <v>70</v>
      </c>
      <c r="AK225" s="23" t="s">
        <v>547</v>
      </c>
      <c r="AL225" s="42">
        <v>46.7864254430581</v>
      </c>
      <c r="AM225" s="24">
        <v>0.76</v>
      </c>
      <c r="AN225" s="34">
        <f t="shared" si="135"/>
        <v>0.24551266781414982</v>
      </c>
      <c r="AO225">
        <v>2000</v>
      </c>
      <c r="AP225">
        <v>2</v>
      </c>
      <c r="AQ225">
        <v>90</v>
      </c>
      <c r="AR225">
        <v>70</v>
      </c>
      <c r="AS225">
        <f t="shared" si="123"/>
        <v>0</v>
      </c>
      <c r="AT225">
        <f t="shared" si="136"/>
        <v>0</v>
      </c>
      <c r="AU225">
        <f t="shared" si="137"/>
        <v>0</v>
      </c>
      <c r="AV225">
        <f t="shared" si="138"/>
        <v>0</v>
      </c>
      <c r="AW225">
        <f t="shared" si="139"/>
        <v>0</v>
      </c>
      <c r="AX225">
        <f t="shared" si="140"/>
        <v>0</v>
      </c>
      <c r="AY225">
        <f t="shared" si="141"/>
        <v>0</v>
      </c>
      <c r="AZ225">
        <f t="shared" si="142"/>
        <v>0</v>
      </c>
      <c r="BA225">
        <f t="shared" si="143"/>
        <v>0</v>
      </c>
      <c r="BB225">
        <f t="shared" si="144"/>
        <v>0</v>
      </c>
      <c r="BC225">
        <f t="shared" si="145"/>
        <v>1</v>
      </c>
      <c r="BD225">
        <f t="shared" si="146"/>
        <v>0</v>
      </c>
      <c r="BE225">
        <f t="shared" si="147"/>
        <v>0</v>
      </c>
      <c r="BF225">
        <f t="shared" si="148"/>
        <v>0</v>
      </c>
      <c r="BG225">
        <f t="shared" si="149"/>
        <v>0</v>
      </c>
      <c r="BH225">
        <f t="shared" si="150"/>
        <v>0</v>
      </c>
      <c r="BI225">
        <f t="shared" si="151"/>
        <v>0</v>
      </c>
    </row>
    <row r="226" spans="1:61" x14ac:dyDescent="0.35">
      <c r="A226" t="s">
        <v>196</v>
      </c>
      <c r="B226" s="1">
        <v>39430</v>
      </c>
      <c r="C226" t="s">
        <v>548</v>
      </c>
      <c r="D226" t="s">
        <v>59</v>
      </c>
      <c r="E226" s="26" t="s">
        <v>549</v>
      </c>
      <c r="F226" t="s">
        <v>59</v>
      </c>
      <c r="G226" t="s">
        <v>102</v>
      </c>
      <c r="H226" s="139">
        <f t="shared" si="124"/>
        <v>0</v>
      </c>
      <c r="I226" t="s">
        <v>234</v>
      </c>
      <c r="J226" t="s">
        <v>248</v>
      </c>
      <c r="K226" s="2">
        <f t="shared" si="128"/>
        <v>5</v>
      </c>
      <c r="L226">
        <v>100000000</v>
      </c>
      <c r="M226" s="2">
        <f t="shared" si="129"/>
        <v>8</v>
      </c>
      <c r="N226">
        <f t="shared" si="125"/>
        <v>100000000</v>
      </c>
      <c r="O226">
        <v>0</v>
      </c>
      <c r="P226" s="1">
        <v>42387</v>
      </c>
      <c r="Q226" s="89">
        <f t="shared" si="130"/>
        <v>2016</v>
      </c>
      <c r="R226" t="s">
        <v>152</v>
      </c>
      <c r="S226">
        <v>100000000</v>
      </c>
      <c r="T226" s="21">
        <f t="shared" si="120"/>
        <v>8.1013698630136979</v>
      </c>
      <c r="U226">
        <v>0</v>
      </c>
      <c r="V226">
        <f t="shared" si="131"/>
        <v>0</v>
      </c>
      <c r="W226">
        <v>2006</v>
      </c>
      <c r="X226">
        <v>1</v>
      </c>
      <c r="Y226">
        <f t="shared" si="132"/>
        <v>0.3010299956639812</v>
      </c>
      <c r="Z226" s="45">
        <v>3.29</v>
      </c>
      <c r="AA226" s="9">
        <f t="shared" si="121"/>
        <v>0</v>
      </c>
      <c r="AB226" s="15">
        <f t="shared" si="122"/>
        <v>0</v>
      </c>
      <c r="AC226" s="34">
        <f t="shared" si="133"/>
        <v>0</v>
      </c>
      <c r="AD226">
        <v>1760.9882217753518</v>
      </c>
      <c r="AE226">
        <f t="shared" si="126"/>
        <v>3.2457564512341266</v>
      </c>
      <c r="AF226">
        <v>7282.3901177822454</v>
      </c>
      <c r="AG226">
        <f t="shared" si="127"/>
        <v>3.8622739403850663</v>
      </c>
      <c r="AH226" s="9">
        <v>0</v>
      </c>
      <c r="AI226" s="9">
        <f t="shared" si="134"/>
        <v>0</v>
      </c>
      <c r="AJ226">
        <v>91.2</v>
      </c>
      <c r="AK226" s="23" t="s">
        <v>191</v>
      </c>
      <c r="AL226" s="42">
        <v>40.902544500539101</v>
      </c>
      <c r="AM226" s="24">
        <v>0.28000000000000003</v>
      </c>
      <c r="AN226" s="34">
        <f t="shared" si="135"/>
        <v>0.10720996964786837</v>
      </c>
      <c r="AO226">
        <v>1989</v>
      </c>
      <c r="AP226">
        <v>18</v>
      </c>
      <c r="AQ226">
        <v>70</v>
      </c>
      <c r="AR226">
        <v>70</v>
      </c>
      <c r="AS226">
        <f t="shared" si="123"/>
        <v>0</v>
      </c>
      <c r="AT226">
        <f t="shared" si="136"/>
        <v>0</v>
      </c>
      <c r="AU226">
        <f t="shared" si="137"/>
        <v>1</v>
      </c>
      <c r="AV226">
        <f t="shared" si="138"/>
        <v>0</v>
      </c>
      <c r="AW226">
        <f t="shared" si="139"/>
        <v>0</v>
      </c>
      <c r="AX226">
        <f t="shared" si="140"/>
        <v>0</v>
      </c>
      <c r="AY226">
        <f t="shared" si="141"/>
        <v>0</v>
      </c>
      <c r="AZ226">
        <f t="shared" si="142"/>
        <v>0</v>
      </c>
      <c r="BA226">
        <f t="shared" si="143"/>
        <v>0</v>
      </c>
      <c r="BB226">
        <f t="shared" si="144"/>
        <v>0</v>
      </c>
      <c r="BC226">
        <f t="shared" si="145"/>
        <v>0</v>
      </c>
      <c r="BD226">
        <f t="shared" si="146"/>
        <v>0</v>
      </c>
      <c r="BE226">
        <f t="shared" si="147"/>
        <v>0</v>
      </c>
      <c r="BF226">
        <f t="shared" si="148"/>
        <v>0</v>
      </c>
      <c r="BG226">
        <f t="shared" si="149"/>
        <v>0</v>
      </c>
      <c r="BH226">
        <f t="shared" si="150"/>
        <v>0</v>
      </c>
      <c r="BI226">
        <f t="shared" si="151"/>
        <v>0</v>
      </c>
    </row>
    <row r="227" spans="1:61" x14ac:dyDescent="0.35">
      <c r="A227" t="s">
        <v>352</v>
      </c>
      <c r="B227" s="1">
        <v>37125</v>
      </c>
      <c r="C227" s="8" t="s">
        <v>550</v>
      </c>
      <c r="D227" t="s">
        <v>497</v>
      </c>
      <c r="E227" t="s">
        <v>551</v>
      </c>
      <c r="F227" t="s">
        <v>59</v>
      </c>
      <c r="G227" t="s">
        <v>125</v>
      </c>
      <c r="H227" s="139">
        <f t="shared" si="124"/>
        <v>1</v>
      </c>
      <c r="I227" t="s">
        <v>234</v>
      </c>
      <c r="J227" t="s">
        <v>178</v>
      </c>
      <c r="K227" s="2">
        <f t="shared" si="128"/>
        <v>9</v>
      </c>
      <c r="L227">
        <v>17500000</v>
      </c>
      <c r="M227" s="2">
        <f t="shared" si="129"/>
        <v>7.2430380486862944</v>
      </c>
      <c r="N227">
        <f t="shared" si="125"/>
        <v>17500000</v>
      </c>
      <c r="O227">
        <v>0</v>
      </c>
      <c r="P227" s="1">
        <v>39813</v>
      </c>
      <c r="Q227" s="89">
        <f t="shared" si="130"/>
        <v>2008</v>
      </c>
      <c r="R227" t="s">
        <v>107</v>
      </c>
      <c r="S227">
        <v>100000000</v>
      </c>
      <c r="T227" s="21">
        <f t="shared" si="120"/>
        <v>7.3643835616438356</v>
      </c>
      <c r="U227">
        <v>463.97</v>
      </c>
      <c r="V227">
        <f t="shared" si="131"/>
        <v>2.6674249329872439</v>
      </c>
      <c r="W227">
        <v>1999</v>
      </c>
      <c r="X227">
        <v>2</v>
      </c>
      <c r="Y227">
        <f t="shared" si="132"/>
        <v>0.47712125471966244</v>
      </c>
      <c r="Z227" s="45">
        <v>2.61</v>
      </c>
      <c r="AA227" s="9">
        <f t="shared" si="121"/>
        <v>82500000</v>
      </c>
      <c r="AB227" s="15">
        <f t="shared" si="122"/>
        <v>4.7142857142857144</v>
      </c>
      <c r="AC227" s="34">
        <f t="shared" si="133"/>
        <v>0.75696195131370558</v>
      </c>
      <c r="AD227">
        <v>1932.09461208012</v>
      </c>
      <c r="AE227">
        <f t="shared" si="126"/>
        <v>3.2860283894181141</v>
      </c>
      <c r="AF227">
        <v>8126.3909735520938</v>
      </c>
      <c r="AG227">
        <f t="shared" si="127"/>
        <v>3.9098977130890344</v>
      </c>
      <c r="AH227" s="9">
        <v>193.166666666667</v>
      </c>
      <c r="AI227" s="9">
        <f t="shared" si="134"/>
        <v>2.2881746749783951</v>
      </c>
      <c r="AJ227">
        <v>85</v>
      </c>
      <c r="AK227" s="23" t="s">
        <v>552</v>
      </c>
      <c r="AL227" s="42">
        <v>32.513676738539097</v>
      </c>
      <c r="AM227" s="24">
        <v>-0.22</v>
      </c>
      <c r="AN227" s="34">
        <f t="shared" si="135"/>
        <v>-0.10790539730951958</v>
      </c>
      <c r="AO227">
        <v>2000</v>
      </c>
      <c r="AP227">
        <v>1</v>
      </c>
      <c r="AQ227">
        <v>70</v>
      </c>
      <c r="AR227">
        <v>70</v>
      </c>
      <c r="AS227">
        <f t="shared" si="123"/>
        <v>0</v>
      </c>
      <c r="AT227">
        <f t="shared" si="136"/>
        <v>0</v>
      </c>
      <c r="AU227">
        <f t="shared" si="137"/>
        <v>0</v>
      </c>
      <c r="AV227">
        <f t="shared" si="138"/>
        <v>0</v>
      </c>
      <c r="AW227">
        <f t="shared" si="139"/>
        <v>0</v>
      </c>
      <c r="AX227">
        <f t="shared" si="140"/>
        <v>0</v>
      </c>
      <c r="AY227">
        <f t="shared" si="141"/>
        <v>0</v>
      </c>
      <c r="AZ227">
        <f t="shared" si="142"/>
        <v>0</v>
      </c>
      <c r="BA227">
        <f t="shared" si="143"/>
        <v>0</v>
      </c>
      <c r="BB227">
        <f t="shared" si="144"/>
        <v>0</v>
      </c>
      <c r="BC227">
        <f t="shared" si="145"/>
        <v>0</v>
      </c>
      <c r="BD227">
        <f t="shared" si="146"/>
        <v>0</v>
      </c>
      <c r="BE227">
        <f t="shared" si="147"/>
        <v>0</v>
      </c>
      <c r="BF227">
        <f t="shared" si="148"/>
        <v>0</v>
      </c>
      <c r="BG227">
        <f t="shared" si="149"/>
        <v>0</v>
      </c>
      <c r="BH227">
        <f t="shared" si="150"/>
        <v>1</v>
      </c>
      <c r="BI227">
        <f t="shared" si="151"/>
        <v>0</v>
      </c>
    </row>
    <row r="228" spans="1:61" x14ac:dyDescent="0.35">
      <c r="A228" t="s">
        <v>196</v>
      </c>
      <c r="B228" s="1">
        <v>42452</v>
      </c>
      <c r="C228" t="s">
        <v>239</v>
      </c>
      <c r="D228" t="s">
        <v>5</v>
      </c>
      <c r="E228" s="26" t="s">
        <v>553</v>
      </c>
      <c r="F228" t="s">
        <v>59</v>
      </c>
      <c r="G228" t="s">
        <v>125</v>
      </c>
      <c r="H228" s="139">
        <f t="shared" si="124"/>
        <v>1</v>
      </c>
      <c r="I228" t="s">
        <v>234</v>
      </c>
      <c r="J228" t="s">
        <v>178</v>
      </c>
      <c r="K228" s="2">
        <f t="shared" si="128"/>
        <v>9</v>
      </c>
      <c r="L228">
        <v>180000000</v>
      </c>
      <c r="M228" s="2">
        <f t="shared" si="129"/>
        <v>8.2552725051033065</v>
      </c>
      <c r="N228">
        <f t="shared" si="125"/>
        <v>180000000</v>
      </c>
      <c r="O228">
        <v>0</v>
      </c>
      <c r="P228" s="1">
        <v>43271</v>
      </c>
      <c r="Q228" s="89">
        <f t="shared" si="130"/>
        <v>2018</v>
      </c>
      <c r="R228" t="s">
        <v>107</v>
      </c>
      <c r="S228">
        <v>600000000</v>
      </c>
      <c r="T228" s="21">
        <f t="shared" si="120"/>
        <v>2.2438356164383562</v>
      </c>
      <c r="U228">
        <v>357.29</v>
      </c>
      <c r="V228">
        <f t="shared" si="131"/>
        <v>2.5542346870234227</v>
      </c>
      <c r="W228">
        <v>2003</v>
      </c>
      <c r="X228">
        <v>13</v>
      </c>
      <c r="Y228">
        <f t="shared" si="132"/>
        <v>1.146128035678238</v>
      </c>
      <c r="Z228" s="45">
        <v>3.16</v>
      </c>
      <c r="AA228" s="9">
        <f t="shared" si="121"/>
        <v>420000000</v>
      </c>
      <c r="AB228" s="15">
        <f t="shared" si="122"/>
        <v>2.3333333333333335</v>
      </c>
      <c r="AC228" s="34">
        <f t="shared" si="133"/>
        <v>0.52287874528033762</v>
      </c>
      <c r="AD228">
        <v>1932.09461208012</v>
      </c>
      <c r="AE228">
        <f t="shared" si="126"/>
        <v>3.2860283894181141</v>
      </c>
      <c r="AF228">
        <v>8126.3909735520938</v>
      </c>
      <c r="AG228">
        <f t="shared" si="127"/>
        <v>3.9098977130890344</v>
      </c>
      <c r="AH228" s="9">
        <v>971</v>
      </c>
      <c r="AI228" s="9">
        <f t="shared" si="134"/>
        <v>2.9876662649262746</v>
      </c>
      <c r="AJ228">
        <v>80</v>
      </c>
      <c r="AK228" s="23" t="s">
        <v>554</v>
      </c>
      <c r="AL228" s="42">
        <v>43.580244996378802</v>
      </c>
      <c r="AM228" s="24">
        <v>0.36</v>
      </c>
      <c r="AN228" s="34">
        <f t="shared" si="135"/>
        <v>0.13353890837021748</v>
      </c>
      <c r="AO228">
        <v>2000</v>
      </c>
      <c r="AP228">
        <v>16</v>
      </c>
      <c r="AQ228">
        <v>70</v>
      </c>
      <c r="AR228">
        <v>90</v>
      </c>
      <c r="AS228">
        <f t="shared" si="123"/>
        <v>0</v>
      </c>
      <c r="AT228">
        <f t="shared" si="136"/>
        <v>0</v>
      </c>
      <c r="AU228">
        <f t="shared" si="137"/>
        <v>0</v>
      </c>
      <c r="AV228">
        <f t="shared" si="138"/>
        <v>0</v>
      </c>
      <c r="AW228">
        <f t="shared" si="139"/>
        <v>0</v>
      </c>
      <c r="AX228">
        <f t="shared" si="140"/>
        <v>0</v>
      </c>
      <c r="AY228">
        <f t="shared" si="141"/>
        <v>1</v>
      </c>
      <c r="AZ228">
        <f t="shared" si="142"/>
        <v>0</v>
      </c>
      <c r="BA228">
        <f t="shared" si="143"/>
        <v>0</v>
      </c>
      <c r="BB228">
        <f t="shared" si="144"/>
        <v>0</v>
      </c>
      <c r="BC228">
        <f t="shared" si="145"/>
        <v>0</v>
      </c>
      <c r="BD228">
        <f t="shared" si="146"/>
        <v>0</v>
      </c>
      <c r="BE228">
        <f t="shared" si="147"/>
        <v>0</v>
      </c>
      <c r="BF228">
        <f t="shared" si="148"/>
        <v>0</v>
      </c>
      <c r="BG228">
        <f t="shared" si="149"/>
        <v>0</v>
      </c>
      <c r="BH228">
        <f t="shared" si="150"/>
        <v>0</v>
      </c>
      <c r="BI228">
        <f t="shared" si="151"/>
        <v>0</v>
      </c>
    </row>
    <row r="229" spans="1:61" x14ac:dyDescent="0.35">
      <c r="A229" t="s">
        <v>555</v>
      </c>
      <c r="B229" s="1">
        <v>40618</v>
      </c>
      <c r="C229" t="s">
        <v>556</v>
      </c>
      <c r="D229" t="s">
        <v>5</v>
      </c>
      <c r="E229" t="s">
        <v>557</v>
      </c>
      <c r="F229" t="s">
        <v>59</v>
      </c>
      <c r="G229" t="s">
        <v>125</v>
      </c>
      <c r="H229" s="139">
        <f t="shared" si="124"/>
        <v>1</v>
      </c>
      <c r="I229" t="s">
        <v>234</v>
      </c>
      <c r="J229" t="s">
        <v>248</v>
      </c>
      <c r="K229" s="2">
        <f t="shared" si="128"/>
        <v>5</v>
      </c>
      <c r="L229">
        <v>10300000</v>
      </c>
      <c r="M229" s="2">
        <f t="shared" si="129"/>
        <v>7.012837224705172</v>
      </c>
      <c r="N229">
        <f t="shared" si="125"/>
        <v>10300000</v>
      </c>
      <c r="O229">
        <v>0</v>
      </c>
      <c r="P229" s="1">
        <v>41495</v>
      </c>
      <c r="Q229" s="89">
        <f t="shared" si="130"/>
        <v>2013</v>
      </c>
      <c r="R229" t="s">
        <v>107</v>
      </c>
      <c r="S229">
        <v>184830000</v>
      </c>
      <c r="T229" s="21">
        <f t="shared" si="120"/>
        <v>2.4027397260273973</v>
      </c>
      <c r="U229">
        <v>357.29</v>
      </c>
      <c r="V229">
        <f t="shared" si="131"/>
        <v>2.5542346870234227</v>
      </c>
      <c r="W229">
        <v>2008</v>
      </c>
      <c r="X229">
        <v>3</v>
      </c>
      <c r="Y229">
        <f t="shared" si="132"/>
        <v>0.6020599913279624</v>
      </c>
      <c r="Z229" s="45">
        <v>3.16</v>
      </c>
      <c r="AA229" s="9">
        <f t="shared" si="121"/>
        <v>174530000</v>
      </c>
      <c r="AB229" s="15">
        <f t="shared" si="122"/>
        <v>16.944660194174759</v>
      </c>
      <c r="AC229" s="34">
        <f t="shared" si="133"/>
        <v>1.2539352388078999</v>
      </c>
      <c r="AD229">
        <v>1932.09461208012</v>
      </c>
      <c r="AE229">
        <f t="shared" si="126"/>
        <v>3.2860283894181141</v>
      </c>
      <c r="AF229">
        <v>8126.3909735520938</v>
      </c>
      <c r="AG229">
        <f t="shared" si="127"/>
        <v>3.9098977130890344</v>
      </c>
      <c r="AH229" s="9">
        <v>971</v>
      </c>
      <c r="AI229" s="9">
        <f t="shared" si="134"/>
        <v>2.9876662649262746</v>
      </c>
      <c r="AJ229">
        <v>81.900000000000006</v>
      </c>
      <c r="AK229" s="23" t="s">
        <v>241</v>
      </c>
      <c r="AL229" s="42">
        <v>46.7926176158091</v>
      </c>
      <c r="AM229" s="24">
        <v>0.35</v>
      </c>
      <c r="AN229" s="34">
        <f t="shared" si="135"/>
        <v>0.13033376849500614</v>
      </c>
      <c r="AO229">
        <v>2000</v>
      </c>
      <c r="AP229">
        <v>11</v>
      </c>
      <c r="AQ229">
        <v>70</v>
      </c>
      <c r="AR229">
        <v>90</v>
      </c>
      <c r="AS229">
        <f t="shared" si="123"/>
        <v>0</v>
      </c>
      <c r="AT229">
        <f t="shared" si="136"/>
        <v>0</v>
      </c>
      <c r="AU229">
        <f t="shared" si="137"/>
        <v>0</v>
      </c>
      <c r="AV229">
        <f t="shared" si="138"/>
        <v>0</v>
      </c>
      <c r="AW229">
        <f t="shared" si="139"/>
        <v>0</v>
      </c>
      <c r="AX229">
        <f t="shared" si="140"/>
        <v>0</v>
      </c>
      <c r="AY229">
        <f t="shared" si="141"/>
        <v>1</v>
      </c>
      <c r="AZ229">
        <f t="shared" si="142"/>
        <v>0</v>
      </c>
      <c r="BA229">
        <f t="shared" si="143"/>
        <v>0</v>
      </c>
      <c r="BB229">
        <f t="shared" si="144"/>
        <v>0</v>
      </c>
      <c r="BC229">
        <f t="shared" si="145"/>
        <v>0</v>
      </c>
      <c r="BD229">
        <f t="shared" si="146"/>
        <v>0</v>
      </c>
      <c r="BE229">
        <f t="shared" si="147"/>
        <v>0</v>
      </c>
      <c r="BF229">
        <f t="shared" si="148"/>
        <v>0</v>
      </c>
      <c r="BG229">
        <f t="shared" si="149"/>
        <v>0</v>
      </c>
      <c r="BH229">
        <f t="shared" si="150"/>
        <v>0</v>
      </c>
      <c r="BI229">
        <f t="shared" si="151"/>
        <v>0</v>
      </c>
    </row>
    <row r="230" spans="1:61" x14ac:dyDescent="0.35">
      <c r="A230" t="s">
        <v>196</v>
      </c>
      <c r="B230" s="1">
        <v>39386</v>
      </c>
      <c r="C230" t="s">
        <v>558</v>
      </c>
      <c r="D230" t="s">
        <v>5</v>
      </c>
      <c r="E230" t="s">
        <v>559</v>
      </c>
      <c r="F230" t="s">
        <v>59</v>
      </c>
      <c r="G230" t="s">
        <v>125</v>
      </c>
      <c r="H230" s="139">
        <f t="shared" si="124"/>
        <v>1</v>
      </c>
      <c r="I230" t="s">
        <v>234</v>
      </c>
      <c r="J230" t="s">
        <v>326</v>
      </c>
      <c r="K230" s="2">
        <f t="shared" si="128"/>
        <v>8</v>
      </c>
      <c r="L230">
        <v>10000000</v>
      </c>
      <c r="M230" s="2">
        <f t="shared" si="129"/>
        <v>7</v>
      </c>
      <c r="N230">
        <f t="shared" si="125"/>
        <v>10000000</v>
      </c>
      <c r="O230">
        <v>0</v>
      </c>
      <c r="P230" s="1">
        <v>40843</v>
      </c>
      <c r="Q230" s="89">
        <f t="shared" si="130"/>
        <v>2011</v>
      </c>
      <c r="R230" t="s">
        <v>152</v>
      </c>
      <c r="S230">
        <v>400000000</v>
      </c>
      <c r="T230" s="21">
        <f t="shared" si="120"/>
        <v>3.9917808219178084</v>
      </c>
      <c r="U230">
        <v>357.29</v>
      </c>
      <c r="V230">
        <f t="shared" si="131"/>
        <v>2.5542346870234227</v>
      </c>
      <c r="W230">
        <v>2007</v>
      </c>
      <c r="X230">
        <v>0</v>
      </c>
      <c r="Y230">
        <f t="shared" si="132"/>
        <v>0</v>
      </c>
      <c r="Z230" s="45">
        <v>3.16</v>
      </c>
      <c r="AA230" s="9">
        <f t="shared" si="121"/>
        <v>390000000</v>
      </c>
      <c r="AB230" s="15">
        <f t="shared" si="122"/>
        <v>39</v>
      </c>
      <c r="AC230" s="34">
        <f t="shared" si="133"/>
        <v>1.6020599913279623</v>
      </c>
      <c r="AD230">
        <v>1932.09461208012</v>
      </c>
      <c r="AE230">
        <f t="shared" si="126"/>
        <v>3.2860283894181141</v>
      </c>
      <c r="AF230">
        <v>8126.3909735520938</v>
      </c>
      <c r="AG230">
        <f t="shared" si="127"/>
        <v>3.9098977130890344</v>
      </c>
      <c r="AH230" s="9">
        <v>971</v>
      </c>
      <c r="AI230" s="9">
        <f t="shared" si="134"/>
        <v>2.9876662649262746</v>
      </c>
      <c r="AJ230">
        <v>88.4</v>
      </c>
      <c r="AK230" s="23" t="s">
        <v>365</v>
      </c>
      <c r="AL230" s="42">
        <v>42.337645557762798</v>
      </c>
      <c r="AM230" s="24">
        <v>-0.17</v>
      </c>
      <c r="AN230" s="34">
        <f t="shared" si="135"/>
        <v>-8.092190762392612E-2</v>
      </c>
      <c r="AO230">
        <v>2000</v>
      </c>
      <c r="AP230">
        <v>7</v>
      </c>
      <c r="AQ230">
        <v>70</v>
      </c>
      <c r="AR230">
        <v>90</v>
      </c>
      <c r="AS230">
        <f t="shared" si="123"/>
        <v>0</v>
      </c>
      <c r="AT230">
        <f t="shared" si="136"/>
        <v>0</v>
      </c>
      <c r="AU230">
        <f t="shared" si="137"/>
        <v>0</v>
      </c>
      <c r="AV230">
        <f t="shared" si="138"/>
        <v>0</v>
      </c>
      <c r="AW230">
        <f t="shared" si="139"/>
        <v>0</v>
      </c>
      <c r="AX230">
        <f t="shared" si="140"/>
        <v>0</v>
      </c>
      <c r="AY230">
        <f t="shared" si="141"/>
        <v>1</v>
      </c>
      <c r="AZ230">
        <f t="shared" si="142"/>
        <v>0</v>
      </c>
      <c r="BA230">
        <f t="shared" si="143"/>
        <v>0</v>
      </c>
      <c r="BB230">
        <f t="shared" si="144"/>
        <v>0</v>
      </c>
      <c r="BC230">
        <f t="shared" si="145"/>
        <v>0</v>
      </c>
      <c r="BD230">
        <f t="shared" si="146"/>
        <v>0</v>
      </c>
      <c r="BE230">
        <f t="shared" si="147"/>
        <v>0</v>
      </c>
      <c r="BF230">
        <f t="shared" si="148"/>
        <v>0</v>
      </c>
      <c r="BG230">
        <f t="shared" si="149"/>
        <v>0</v>
      </c>
      <c r="BH230">
        <f t="shared" si="150"/>
        <v>0</v>
      </c>
      <c r="BI230">
        <f t="shared" si="151"/>
        <v>0</v>
      </c>
    </row>
    <row r="231" spans="1:61" x14ac:dyDescent="0.35">
      <c r="A231" t="s">
        <v>196</v>
      </c>
      <c r="B231" s="1">
        <v>37617</v>
      </c>
      <c r="C231" t="s">
        <v>560</v>
      </c>
      <c r="D231" t="s">
        <v>5</v>
      </c>
      <c r="E231" t="s">
        <v>551</v>
      </c>
      <c r="F231" t="s">
        <v>59</v>
      </c>
      <c r="G231" t="s">
        <v>125</v>
      </c>
      <c r="H231" s="139">
        <f t="shared" si="124"/>
        <v>1</v>
      </c>
      <c r="I231" t="s">
        <v>234</v>
      </c>
      <c r="J231" t="s">
        <v>190</v>
      </c>
      <c r="K231" s="2">
        <f t="shared" si="128"/>
        <v>2</v>
      </c>
      <c r="L231">
        <v>90000000</v>
      </c>
      <c r="M231" s="2">
        <f t="shared" si="129"/>
        <v>7.9542425094393252</v>
      </c>
      <c r="N231">
        <f t="shared" si="125"/>
        <v>90000000</v>
      </c>
      <c r="O231">
        <v>0</v>
      </c>
      <c r="P231" s="1">
        <v>38869</v>
      </c>
      <c r="Q231" s="89">
        <f t="shared" si="130"/>
        <v>2006</v>
      </c>
      <c r="R231" t="s">
        <v>107</v>
      </c>
      <c r="S231">
        <v>90580000</v>
      </c>
      <c r="T231" s="21">
        <f t="shared" si="120"/>
        <v>3.43013698630137</v>
      </c>
      <c r="U231">
        <v>357.29</v>
      </c>
      <c r="V231">
        <f t="shared" si="131"/>
        <v>2.5542346870234227</v>
      </c>
      <c r="W231">
        <v>1984</v>
      </c>
      <c r="X231">
        <v>18</v>
      </c>
      <c r="Y231">
        <f t="shared" si="132"/>
        <v>1.2787536009528289</v>
      </c>
      <c r="Z231" s="45">
        <v>3.16</v>
      </c>
      <c r="AA231" s="9">
        <f t="shared" si="121"/>
        <v>580000</v>
      </c>
      <c r="AB231" s="15">
        <f t="shared" si="122"/>
        <v>6.4444444444444748E-3</v>
      </c>
      <c r="AC231" s="34">
        <f t="shared" si="133"/>
        <v>2.7898069076135487E-3</v>
      </c>
      <c r="AD231">
        <v>1932.09461208012</v>
      </c>
      <c r="AE231">
        <f t="shared" si="126"/>
        <v>3.2860283894181141</v>
      </c>
      <c r="AF231">
        <v>8126.3909735520938</v>
      </c>
      <c r="AG231">
        <f t="shared" si="127"/>
        <v>3.9098977130890344</v>
      </c>
      <c r="AH231" s="9">
        <v>971</v>
      </c>
      <c r="AI231" s="9">
        <f t="shared" si="134"/>
        <v>2.9876662649262746</v>
      </c>
      <c r="AJ231">
        <v>70</v>
      </c>
      <c r="AK231" s="23" t="s">
        <v>84</v>
      </c>
      <c r="AL231" s="42">
        <v>43.580897040130701</v>
      </c>
      <c r="AM231" s="24">
        <v>0.47</v>
      </c>
      <c r="AN231" s="34">
        <f t="shared" si="135"/>
        <v>0.16731733474817609</v>
      </c>
      <c r="AO231">
        <v>2000</v>
      </c>
      <c r="AP231">
        <v>2</v>
      </c>
      <c r="AQ231">
        <v>95</v>
      </c>
      <c r="AR231">
        <v>80</v>
      </c>
      <c r="AS231">
        <f t="shared" si="123"/>
        <v>0</v>
      </c>
      <c r="AT231">
        <f t="shared" si="136"/>
        <v>0</v>
      </c>
      <c r="AU231">
        <f t="shared" si="137"/>
        <v>0</v>
      </c>
      <c r="AV231">
        <f t="shared" si="138"/>
        <v>0</v>
      </c>
      <c r="AW231">
        <f t="shared" si="139"/>
        <v>0</v>
      </c>
      <c r="AX231">
        <f t="shared" si="140"/>
        <v>0</v>
      </c>
      <c r="AY231">
        <f t="shared" si="141"/>
        <v>1</v>
      </c>
      <c r="AZ231">
        <f t="shared" si="142"/>
        <v>0</v>
      </c>
      <c r="BA231">
        <f t="shared" si="143"/>
        <v>0</v>
      </c>
      <c r="BB231">
        <f t="shared" si="144"/>
        <v>0</v>
      </c>
      <c r="BC231">
        <f t="shared" si="145"/>
        <v>0</v>
      </c>
      <c r="BD231">
        <f t="shared" si="146"/>
        <v>0</v>
      </c>
      <c r="BE231">
        <f t="shared" si="147"/>
        <v>0</v>
      </c>
      <c r="BF231">
        <f t="shared" si="148"/>
        <v>0</v>
      </c>
      <c r="BG231">
        <f t="shared" si="149"/>
        <v>0</v>
      </c>
      <c r="BH231">
        <f t="shared" si="150"/>
        <v>0</v>
      </c>
      <c r="BI231">
        <f t="shared" si="151"/>
        <v>0</v>
      </c>
    </row>
    <row r="232" spans="1:61" x14ac:dyDescent="0.35">
      <c r="A232" t="s">
        <v>196</v>
      </c>
      <c r="B232" s="1">
        <v>41032</v>
      </c>
      <c r="C232" s="8" t="s">
        <v>561</v>
      </c>
      <c r="D232" t="s">
        <v>2</v>
      </c>
      <c r="E232" t="s">
        <v>557</v>
      </c>
      <c r="F232" t="s">
        <v>59</v>
      </c>
      <c r="G232" t="s">
        <v>125</v>
      </c>
      <c r="H232" s="139">
        <f t="shared" si="124"/>
        <v>1</v>
      </c>
      <c r="I232" t="s">
        <v>234</v>
      </c>
      <c r="J232" t="s">
        <v>235</v>
      </c>
      <c r="K232" s="2">
        <f t="shared" si="128"/>
        <v>1</v>
      </c>
      <c r="L232">
        <v>14750240</v>
      </c>
      <c r="M232" s="2">
        <f t="shared" si="129"/>
        <v>7.1687990867431779</v>
      </c>
      <c r="N232">
        <f t="shared" si="125"/>
        <v>14750240</v>
      </c>
      <c r="O232">
        <v>0</v>
      </c>
      <c r="P232" s="1">
        <v>42851</v>
      </c>
      <c r="Q232" s="89">
        <f t="shared" si="130"/>
        <v>2017</v>
      </c>
      <c r="R232" t="s">
        <v>107</v>
      </c>
      <c r="S232">
        <v>400000000</v>
      </c>
      <c r="T232" s="21">
        <f t="shared" si="120"/>
        <v>4.9835616438356167</v>
      </c>
      <c r="U232">
        <v>917.19</v>
      </c>
      <c r="V232">
        <f t="shared" si="131"/>
        <v>2.9629325585580042</v>
      </c>
      <c r="W232">
        <v>1995</v>
      </c>
      <c r="X232">
        <v>17</v>
      </c>
      <c r="Y232">
        <f t="shared" si="132"/>
        <v>1.255272505103306</v>
      </c>
      <c r="Z232" s="45">
        <v>2.62</v>
      </c>
      <c r="AA232" s="9">
        <f t="shared" si="121"/>
        <v>385249760</v>
      </c>
      <c r="AB232" s="15">
        <f t="shared" si="122"/>
        <v>26.11820282246255</v>
      </c>
      <c r="AC232" s="34">
        <f t="shared" si="133"/>
        <v>1.4332609045847848</v>
      </c>
      <c r="AD232">
        <v>1932.09461208012</v>
      </c>
      <c r="AE232">
        <f t="shared" si="126"/>
        <v>3.2860283894181141</v>
      </c>
      <c r="AF232">
        <v>8126.3909735520938</v>
      </c>
      <c r="AG232">
        <f t="shared" si="127"/>
        <v>3.9098977130890344</v>
      </c>
      <c r="AH232" s="9">
        <v>854.66666666666697</v>
      </c>
      <c r="AI232" s="9">
        <f t="shared" si="134"/>
        <v>2.9323046139517812</v>
      </c>
      <c r="AJ232">
        <v>90.5</v>
      </c>
      <c r="AK232" s="23" t="s">
        <v>276</v>
      </c>
      <c r="AL232" s="42">
        <v>44.295389122127702</v>
      </c>
      <c r="AM232" s="24">
        <v>0.72</v>
      </c>
      <c r="AN232" s="34">
        <f t="shared" si="135"/>
        <v>0.2355284469075489</v>
      </c>
      <c r="AO232">
        <v>2000</v>
      </c>
      <c r="AP232">
        <v>12</v>
      </c>
      <c r="AQ232">
        <v>70</v>
      </c>
      <c r="AR232">
        <v>70</v>
      </c>
      <c r="AS232">
        <f t="shared" si="123"/>
        <v>0</v>
      </c>
      <c r="AT232">
        <f t="shared" si="136"/>
        <v>0</v>
      </c>
      <c r="AU232">
        <f t="shared" si="137"/>
        <v>0</v>
      </c>
      <c r="AV232">
        <f t="shared" si="138"/>
        <v>0</v>
      </c>
      <c r="AW232">
        <f t="shared" si="139"/>
        <v>0</v>
      </c>
      <c r="AX232">
        <f t="shared" si="140"/>
        <v>0</v>
      </c>
      <c r="AY232">
        <f t="shared" si="141"/>
        <v>0</v>
      </c>
      <c r="AZ232">
        <f t="shared" si="142"/>
        <v>0</v>
      </c>
      <c r="BA232">
        <f t="shared" si="143"/>
        <v>0</v>
      </c>
      <c r="BB232">
        <f t="shared" si="144"/>
        <v>1</v>
      </c>
      <c r="BC232">
        <f t="shared" si="145"/>
        <v>0</v>
      </c>
      <c r="BD232">
        <f t="shared" si="146"/>
        <v>0</v>
      </c>
      <c r="BE232">
        <f t="shared" si="147"/>
        <v>0</v>
      </c>
      <c r="BF232">
        <f t="shared" si="148"/>
        <v>0</v>
      </c>
      <c r="BG232">
        <f t="shared" si="149"/>
        <v>0</v>
      </c>
      <c r="BH232">
        <f t="shared" si="150"/>
        <v>0</v>
      </c>
      <c r="BI232">
        <f t="shared" si="151"/>
        <v>0</v>
      </c>
    </row>
    <row r="233" spans="1:61" x14ac:dyDescent="0.35">
      <c r="A233" t="s">
        <v>196</v>
      </c>
      <c r="B233" s="1">
        <v>40345</v>
      </c>
      <c r="C233" t="s">
        <v>562</v>
      </c>
      <c r="D233" t="s">
        <v>2</v>
      </c>
      <c r="E233" t="s">
        <v>557</v>
      </c>
      <c r="F233" t="s">
        <v>59</v>
      </c>
      <c r="G233" t="s">
        <v>125</v>
      </c>
      <c r="H233" s="139">
        <f t="shared" si="124"/>
        <v>1</v>
      </c>
      <c r="I233" t="s">
        <v>234</v>
      </c>
      <c r="J233" t="s">
        <v>235</v>
      </c>
      <c r="K233" s="2">
        <f t="shared" si="128"/>
        <v>1</v>
      </c>
      <c r="L233">
        <v>125158911</v>
      </c>
      <c r="M233" s="2">
        <f t="shared" si="129"/>
        <v>8.0974617757209728</v>
      </c>
      <c r="N233">
        <f t="shared" si="125"/>
        <v>125158911</v>
      </c>
      <c r="O233">
        <v>0</v>
      </c>
      <c r="P233" s="1">
        <v>42248</v>
      </c>
      <c r="Q233" s="89">
        <f t="shared" si="130"/>
        <v>2015</v>
      </c>
      <c r="R233" t="s">
        <v>107</v>
      </c>
      <c r="S233">
        <v>210000000</v>
      </c>
      <c r="T233" s="21">
        <f t="shared" si="120"/>
        <v>5.2136986301369861</v>
      </c>
      <c r="U233">
        <v>917.19</v>
      </c>
      <c r="V233">
        <f t="shared" si="131"/>
        <v>2.9629325585580042</v>
      </c>
      <c r="W233">
        <v>1995</v>
      </c>
      <c r="X233">
        <v>15</v>
      </c>
      <c r="Y233">
        <f t="shared" si="132"/>
        <v>1.2041199826559248</v>
      </c>
      <c r="Z233" s="45">
        <v>2.62</v>
      </c>
      <c r="AA233" s="9">
        <f t="shared" si="121"/>
        <v>84841089</v>
      </c>
      <c r="AB233" s="15">
        <f t="shared" si="122"/>
        <v>0.67786694788355906</v>
      </c>
      <c r="AC233" s="34">
        <f t="shared" si="133"/>
        <v>0.22475751901294613</v>
      </c>
      <c r="AD233">
        <v>1932.09461208012</v>
      </c>
      <c r="AE233">
        <f t="shared" si="126"/>
        <v>3.2860283894181141</v>
      </c>
      <c r="AF233">
        <v>8126.3909735520938</v>
      </c>
      <c r="AG233">
        <f t="shared" si="127"/>
        <v>3.9098977130890344</v>
      </c>
      <c r="AH233" s="9">
        <v>854.66666666666697</v>
      </c>
      <c r="AI233" s="9">
        <f t="shared" si="134"/>
        <v>2.9323046139517812</v>
      </c>
      <c r="AJ233">
        <v>89.6</v>
      </c>
      <c r="AK233" s="23" t="s">
        <v>84</v>
      </c>
      <c r="AL233" s="42">
        <v>47.255451423610303</v>
      </c>
      <c r="AM233" s="24">
        <v>0.72</v>
      </c>
      <c r="AN233" s="34">
        <f t="shared" si="135"/>
        <v>0.2355284469075489</v>
      </c>
      <c r="AO233">
        <v>2000</v>
      </c>
      <c r="AP233">
        <v>10</v>
      </c>
      <c r="AQ233">
        <v>70</v>
      </c>
      <c r="AR233">
        <v>70</v>
      </c>
      <c r="AS233">
        <f t="shared" si="123"/>
        <v>0</v>
      </c>
      <c r="AT233">
        <f t="shared" si="136"/>
        <v>0</v>
      </c>
      <c r="AU233">
        <f t="shared" si="137"/>
        <v>0</v>
      </c>
      <c r="AV233">
        <f t="shared" si="138"/>
        <v>0</v>
      </c>
      <c r="AW233">
        <f t="shared" si="139"/>
        <v>0</v>
      </c>
      <c r="AX233">
        <f t="shared" si="140"/>
        <v>0</v>
      </c>
      <c r="AY233">
        <f t="shared" si="141"/>
        <v>0</v>
      </c>
      <c r="AZ233">
        <f t="shared" si="142"/>
        <v>0</v>
      </c>
      <c r="BA233">
        <f t="shared" si="143"/>
        <v>0</v>
      </c>
      <c r="BB233">
        <f t="shared" si="144"/>
        <v>1</v>
      </c>
      <c r="BC233">
        <f t="shared" si="145"/>
        <v>0</v>
      </c>
      <c r="BD233">
        <f t="shared" si="146"/>
        <v>0</v>
      </c>
      <c r="BE233">
        <f t="shared" si="147"/>
        <v>0</v>
      </c>
      <c r="BF233">
        <f t="shared" si="148"/>
        <v>0</v>
      </c>
      <c r="BG233">
        <f t="shared" si="149"/>
        <v>0</v>
      </c>
      <c r="BH233">
        <f t="shared" si="150"/>
        <v>0</v>
      </c>
      <c r="BI233">
        <f t="shared" si="151"/>
        <v>0</v>
      </c>
    </row>
    <row r="234" spans="1:61" x14ac:dyDescent="0.35">
      <c r="A234" t="s">
        <v>563</v>
      </c>
      <c r="B234" s="1">
        <v>39316</v>
      </c>
      <c r="C234" t="s">
        <v>462</v>
      </c>
      <c r="D234" t="s">
        <v>2</v>
      </c>
      <c r="E234" t="s">
        <v>559</v>
      </c>
      <c r="F234" t="s">
        <v>59</v>
      </c>
      <c r="G234" t="s">
        <v>125</v>
      </c>
      <c r="H234" s="139">
        <f t="shared" si="124"/>
        <v>1</v>
      </c>
      <c r="I234" t="s">
        <v>234</v>
      </c>
      <c r="J234" t="s">
        <v>235</v>
      </c>
      <c r="K234" s="2">
        <f t="shared" si="128"/>
        <v>1</v>
      </c>
      <c r="L234">
        <v>204800000</v>
      </c>
      <c r="M234" s="2">
        <f t="shared" si="129"/>
        <v>8.3113299523037938</v>
      </c>
      <c r="N234">
        <f t="shared" si="125"/>
        <v>204800000</v>
      </c>
      <c r="O234">
        <v>0</v>
      </c>
      <c r="P234" s="1">
        <v>40695</v>
      </c>
      <c r="Q234" s="89">
        <f t="shared" si="130"/>
        <v>2011</v>
      </c>
      <c r="R234" t="s">
        <v>152</v>
      </c>
      <c r="S234">
        <v>256000000</v>
      </c>
      <c r="T234" s="21">
        <f t="shared" si="120"/>
        <v>3.7780821917808218</v>
      </c>
      <c r="U234">
        <v>917.19</v>
      </c>
      <c r="V234">
        <f t="shared" si="131"/>
        <v>2.9629325585580042</v>
      </c>
      <c r="W234">
        <v>1979</v>
      </c>
      <c r="X234">
        <v>28</v>
      </c>
      <c r="Y234">
        <f t="shared" si="132"/>
        <v>1.4623979978989561</v>
      </c>
      <c r="Z234" s="45">
        <v>2.62</v>
      </c>
      <c r="AA234" s="9">
        <f t="shared" si="121"/>
        <v>51200000</v>
      </c>
      <c r="AB234" s="15">
        <f t="shared" si="122"/>
        <v>0.25</v>
      </c>
      <c r="AC234" s="34">
        <f t="shared" si="133"/>
        <v>9.691001300805642E-2</v>
      </c>
      <c r="AD234">
        <v>1932.09461208012</v>
      </c>
      <c r="AE234">
        <f t="shared" si="126"/>
        <v>3.2860283894181141</v>
      </c>
      <c r="AF234">
        <v>8126.3909735520938</v>
      </c>
      <c r="AG234">
        <f t="shared" si="127"/>
        <v>3.9098977130890344</v>
      </c>
      <c r="AH234" s="9">
        <v>854.66666666666697</v>
      </c>
      <c r="AI234" s="9">
        <f t="shared" si="134"/>
        <v>2.9323046139517812</v>
      </c>
      <c r="AJ234">
        <v>88.9</v>
      </c>
      <c r="AK234" s="23" t="s">
        <v>126</v>
      </c>
      <c r="AL234" s="42">
        <v>42.817370475444001</v>
      </c>
      <c r="AM234" s="24">
        <v>-0.1</v>
      </c>
      <c r="AN234" s="34">
        <f t="shared" si="135"/>
        <v>-4.5757490560675115E-2</v>
      </c>
      <c r="AO234">
        <v>2000</v>
      </c>
      <c r="AP234">
        <v>7</v>
      </c>
      <c r="AQ234">
        <v>70</v>
      </c>
      <c r="AR234">
        <v>70</v>
      </c>
      <c r="AS234">
        <f t="shared" si="123"/>
        <v>0</v>
      </c>
      <c r="AT234">
        <f t="shared" si="136"/>
        <v>0</v>
      </c>
      <c r="AU234">
        <f t="shared" si="137"/>
        <v>0</v>
      </c>
      <c r="AV234">
        <f t="shared" si="138"/>
        <v>0</v>
      </c>
      <c r="AW234">
        <f t="shared" si="139"/>
        <v>0</v>
      </c>
      <c r="AX234">
        <f t="shared" si="140"/>
        <v>0</v>
      </c>
      <c r="AY234">
        <f t="shared" si="141"/>
        <v>0</v>
      </c>
      <c r="AZ234">
        <f t="shared" si="142"/>
        <v>0</v>
      </c>
      <c r="BA234">
        <f t="shared" si="143"/>
        <v>0</v>
      </c>
      <c r="BB234">
        <f t="shared" si="144"/>
        <v>1</v>
      </c>
      <c r="BC234">
        <f t="shared" si="145"/>
        <v>0</v>
      </c>
      <c r="BD234">
        <f t="shared" si="146"/>
        <v>0</v>
      </c>
      <c r="BE234">
        <f t="shared" si="147"/>
        <v>0</v>
      </c>
      <c r="BF234">
        <f t="shared" si="148"/>
        <v>0</v>
      </c>
      <c r="BG234">
        <f t="shared" si="149"/>
        <v>0</v>
      </c>
      <c r="BH234">
        <f t="shared" si="150"/>
        <v>0</v>
      </c>
      <c r="BI234">
        <f t="shared" si="151"/>
        <v>0</v>
      </c>
    </row>
    <row r="235" spans="1:61" x14ac:dyDescent="0.35">
      <c r="A235" t="s">
        <v>196</v>
      </c>
      <c r="B235" s="1">
        <v>38065</v>
      </c>
      <c r="C235" t="s">
        <v>564</v>
      </c>
      <c r="D235" t="s">
        <v>2</v>
      </c>
      <c r="E235" t="s">
        <v>551</v>
      </c>
      <c r="F235" t="s">
        <v>59</v>
      </c>
      <c r="G235" t="s">
        <v>125</v>
      </c>
      <c r="H235" s="139">
        <f t="shared" si="124"/>
        <v>1</v>
      </c>
      <c r="I235" t="s">
        <v>234</v>
      </c>
      <c r="J235" t="s">
        <v>248</v>
      </c>
      <c r="K235" s="2">
        <f t="shared" si="128"/>
        <v>5</v>
      </c>
      <c r="L235">
        <v>115000000</v>
      </c>
      <c r="M235" s="2">
        <f t="shared" si="129"/>
        <v>8.0606978403536118</v>
      </c>
      <c r="N235">
        <f t="shared" si="125"/>
        <v>115000000</v>
      </c>
      <c r="O235">
        <v>0</v>
      </c>
      <c r="P235" s="1">
        <v>39142</v>
      </c>
      <c r="Q235" s="89">
        <f t="shared" si="130"/>
        <v>2007</v>
      </c>
      <c r="R235" t="s">
        <v>107</v>
      </c>
      <c r="S235">
        <v>200620000</v>
      </c>
      <c r="T235" s="21">
        <f t="shared" si="120"/>
        <v>2.9506849315068493</v>
      </c>
      <c r="U235">
        <v>917.19</v>
      </c>
      <c r="V235">
        <f t="shared" si="131"/>
        <v>2.9629325585580042</v>
      </c>
      <c r="W235">
        <v>1924</v>
      </c>
      <c r="X235">
        <v>80</v>
      </c>
      <c r="Y235">
        <f t="shared" si="132"/>
        <v>1.9084850188786497</v>
      </c>
      <c r="Z235" s="45">
        <v>2.62</v>
      </c>
      <c r="AA235" s="9">
        <f t="shared" si="121"/>
        <v>85620000</v>
      </c>
      <c r="AB235" s="15">
        <f t="shared" si="122"/>
        <v>0.74452173913043485</v>
      </c>
      <c r="AC235" s="34">
        <f t="shared" si="133"/>
        <v>0.24167638572197084</v>
      </c>
      <c r="AD235">
        <v>1932.09461208012</v>
      </c>
      <c r="AE235">
        <f t="shared" si="126"/>
        <v>3.2860283894181141</v>
      </c>
      <c r="AF235">
        <v>8126.3909735520938</v>
      </c>
      <c r="AG235">
        <f t="shared" si="127"/>
        <v>3.9098977130890344</v>
      </c>
      <c r="AH235" s="9">
        <v>854.66666666666697</v>
      </c>
      <c r="AI235" s="9">
        <f t="shared" si="134"/>
        <v>2.9323046139517812</v>
      </c>
      <c r="AJ235">
        <v>70</v>
      </c>
      <c r="AK235" s="23" t="s">
        <v>213</v>
      </c>
      <c r="AL235" s="42">
        <v>46.312020505412598</v>
      </c>
      <c r="AM235" s="24">
        <v>0.26</v>
      </c>
      <c r="AN235" s="34">
        <f t="shared" si="135"/>
        <v>0.10037054511756291</v>
      </c>
      <c r="AO235">
        <v>2000</v>
      </c>
      <c r="AP235">
        <v>4</v>
      </c>
      <c r="AQ235">
        <v>70</v>
      </c>
      <c r="AR235">
        <v>70</v>
      </c>
      <c r="AS235">
        <f t="shared" si="123"/>
        <v>0</v>
      </c>
      <c r="AT235">
        <f t="shared" si="136"/>
        <v>0</v>
      </c>
      <c r="AU235">
        <f t="shared" si="137"/>
        <v>0</v>
      </c>
      <c r="AV235">
        <f t="shared" si="138"/>
        <v>0</v>
      </c>
      <c r="AW235">
        <f t="shared" si="139"/>
        <v>0</v>
      </c>
      <c r="AX235">
        <f t="shared" si="140"/>
        <v>0</v>
      </c>
      <c r="AY235">
        <f t="shared" si="141"/>
        <v>0</v>
      </c>
      <c r="AZ235">
        <f t="shared" si="142"/>
        <v>0</v>
      </c>
      <c r="BA235">
        <f t="shared" si="143"/>
        <v>0</v>
      </c>
      <c r="BB235">
        <f t="shared" si="144"/>
        <v>1</v>
      </c>
      <c r="BC235">
        <f t="shared" si="145"/>
        <v>0</v>
      </c>
      <c r="BD235">
        <f t="shared" si="146"/>
        <v>0</v>
      </c>
      <c r="BE235">
        <f t="shared" si="147"/>
        <v>0</v>
      </c>
      <c r="BF235">
        <f t="shared" si="148"/>
        <v>0</v>
      </c>
      <c r="BG235">
        <f t="shared" si="149"/>
        <v>0</v>
      </c>
      <c r="BH235">
        <f t="shared" si="150"/>
        <v>0</v>
      </c>
      <c r="BI235">
        <f t="shared" si="151"/>
        <v>0</v>
      </c>
    </row>
    <row r="236" spans="1:61" x14ac:dyDescent="0.35">
      <c r="A236" t="s">
        <v>196</v>
      </c>
      <c r="B236" s="1">
        <v>37601</v>
      </c>
      <c r="C236" t="s">
        <v>565</v>
      </c>
      <c r="D236" t="s">
        <v>2</v>
      </c>
      <c r="E236" t="s">
        <v>551</v>
      </c>
      <c r="F236" t="s">
        <v>59</v>
      </c>
      <c r="G236" t="s">
        <v>125</v>
      </c>
      <c r="H236" s="139">
        <f t="shared" si="124"/>
        <v>1</v>
      </c>
      <c r="I236" t="s">
        <v>234</v>
      </c>
      <c r="J236" t="s">
        <v>248</v>
      </c>
      <c r="K236" s="2">
        <f t="shared" si="128"/>
        <v>5</v>
      </c>
      <c r="L236">
        <v>150000000</v>
      </c>
      <c r="M236" s="2">
        <f t="shared" si="129"/>
        <v>8.1760912590556813</v>
      </c>
      <c r="N236">
        <f t="shared" si="125"/>
        <v>150000000</v>
      </c>
      <c r="O236">
        <v>0</v>
      </c>
      <c r="P236" s="1">
        <v>38473</v>
      </c>
      <c r="Q236" s="89">
        <f t="shared" si="130"/>
        <v>2005</v>
      </c>
      <c r="R236" t="s">
        <v>152</v>
      </c>
      <c r="S236">
        <v>492980000</v>
      </c>
      <c r="T236" s="21">
        <f t="shared" si="120"/>
        <v>2.3890410958904109</v>
      </c>
      <c r="U236">
        <v>917.19</v>
      </c>
      <c r="V236">
        <f t="shared" si="131"/>
        <v>2.9629325585580042</v>
      </c>
      <c r="W236">
        <v>1943</v>
      </c>
      <c r="X236">
        <v>59</v>
      </c>
      <c r="Y236">
        <f t="shared" si="132"/>
        <v>1.7781512503836436</v>
      </c>
      <c r="Z236" s="45">
        <v>2.62</v>
      </c>
      <c r="AA236" s="9">
        <f t="shared" si="121"/>
        <v>342980000</v>
      </c>
      <c r="AB236" s="15">
        <f t="shared" si="122"/>
        <v>2.2865333333333333</v>
      </c>
      <c r="AC236" s="34">
        <f t="shared" si="133"/>
        <v>0.51673804142676738</v>
      </c>
      <c r="AD236">
        <v>1932.09461208012</v>
      </c>
      <c r="AE236">
        <f t="shared" si="126"/>
        <v>3.2860283894181141</v>
      </c>
      <c r="AF236">
        <v>8126.3909735520938</v>
      </c>
      <c r="AG236">
        <f t="shared" si="127"/>
        <v>3.9098977130890344</v>
      </c>
      <c r="AH236" s="9">
        <v>854.66666666666697</v>
      </c>
      <c r="AI236" s="9">
        <f t="shared" si="134"/>
        <v>2.9323046139517812</v>
      </c>
      <c r="AJ236">
        <v>70</v>
      </c>
      <c r="AK236" s="23" t="s">
        <v>403</v>
      </c>
      <c r="AL236" s="42">
        <v>47.264053157349203</v>
      </c>
      <c r="AM236" s="24">
        <v>0.28000000000000003</v>
      </c>
      <c r="AN236" s="34">
        <f t="shared" si="135"/>
        <v>0.10720996964786837</v>
      </c>
      <c r="AO236">
        <v>2000</v>
      </c>
      <c r="AP236">
        <v>2</v>
      </c>
      <c r="AQ236">
        <v>70</v>
      </c>
      <c r="AR236">
        <v>70</v>
      </c>
      <c r="AS236">
        <f t="shared" si="123"/>
        <v>0</v>
      </c>
      <c r="AT236">
        <f t="shared" si="136"/>
        <v>0</v>
      </c>
      <c r="AU236">
        <f t="shared" si="137"/>
        <v>0</v>
      </c>
      <c r="AV236">
        <f t="shared" si="138"/>
        <v>0</v>
      </c>
      <c r="AW236">
        <f t="shared" si="139"/>
        <v>0</v>
      </c>
      <c r="AX236">
        <f t="shared" si="140"/>
        <v>0</v>
      </c>
      <c r="AY236">
        <f t="shared" si="141"/>
        <v>0</v>
      </c>
      <c r="AZ236">
        <f t="shared" si="142"/>
        <v>0</v>
      </c>
      <c r="BA236">
        <f t="shared" si="143"/>
        <v>0</v>
      </c>
      <c r="BB236">
        <f t="shared" si="144"/>
        <v>1</v>
      </c>
      <c r="BC236">
        <f t="shared" si="145"/>
        <v>0</v>
      </c>
      <c r="BD236">
        <f t="shared" si="146"/>
        <v>0</v>
      </c>
      <c r="BE236">
        <f t="shared" si="147"/>
        <v>0</v>
      </c>
      <c r="BF236">
        <f t="shared" si="148"/>
        <v>0</v>
      </c>
      <c r="BG236">
        <f t="shared" si="149"/>
        <v>0</v>
      </c>
      <c r="BH236">
        <f t="shared" si="150"/>
        <v>0</v>
      </c>
      <c r="BI236">
        <f t="shared" si="151"/>
        <v>0</v>
      </c>
    </row>
    <row r="237" spans="1:61" x14ac:dyDescent="0.35">
      <c r="A237" t="s">
        <v>196</v>
      </c>
      <c r="B237" s="1">
        <v>38587</v>
      </c>
      <c r="C237" t="s">
        <v>566</v>
      </c>
      <c r="D237" t="s">
        <v>4</v>
      </c>
      <c r="E237" t="s">
        <v>567</v>
      </c>
      <c r="F237" t="s">
        <v>419</v>
      </c>
      <c r="G237" t="s">
        <v>125</v>
      </c>
      <c r="H237" s="139">
        <f t="shared" si="124"/>
        <v>1</v>
      </c>
      <c r="I237" t="s">
        <v>234</v>
      </c>
      <c r="J237" t="s">
        <v>178</v>
      </c>
      <c r="K237" s="2">
        <f t="shared" si="128"/>
        <v>9</v>
      </c>
      <c r="L237">
        <v>41225702</v>
      </c>
      <c r="M237" s="2">
        <f t="shared" si="129"/>
        <v>7.6151680596380977</v>
      </c>
      <c r="N237">
        <f t="shared" si="125"/>
        <v>41225702</v>
      </c>
      <c r="O237">
        <v>0</v>
      </c>
      <c r="P237" s="1">
        <v>40574</v>
      </c>
      <c r="Q237" s="89">
        <f t="shared" si="130"/>
        <v>2011</v>
      </c>
      <c r="R237" t="s">
        <v>155</v>
      </c>
      <c r="S237">
        <v>189382831</v>
      </c>
      <c r="T237" s="21">
        <f t="shared" si="120"/>
        <v>5.4438356164383563</v>
      </c>
      <c r="U237">
        <v>395.92</v>
      </c>
      <c r="V237">
        <f t="shared" si="131"/>
        <v>2.5987029826834349</v>
      </c>
      <c r="W237">
        <v>1997</v>
      </c>
      <c r="X237">
        <v>8</v>
      </c>
      <c r="Y237">
        <f t="shared" si="132"/>
        <v>0.95424250943932487</v>
      </c>
      <c r="Z237" s="45">
        <v>3.35</v>
      </c>
      <c r="AA237" s="9">
        <f t="shared" si="121"/>
        <v>148157129</v>
      </c>
      <c r="AB237" s="15">
        <f t="shared" si="122"/>
        <v>3.5938048792959307</v>
      </c>
      <c r="AC237" s="34">
        <f t="shared" si="133"/>
        <v>0.66217254470212683</v>
      </c>
      <c r="AD237">
        <v>1895.918367346939</v>
      </c>
      <c r="AE237">
        <f t="shared" si="126"/>
        <v>3.277819633965128</v>
      </c>
      <c r="AF237">
        <v>8519.3877551020414</v>
      </c>
      <c r="AG237">
        <f t="shared" si="127"/>
        <v>3.9304083853612104</v>
      </c>
      <c r="AH237" s="9">
        <v>345.83333333333297</v>
      </c>
      <c r="AI237" s="9">
        <f t="shared" si="134"/>
        <v>2.5401208298279827</v>
      </c>
      <c r="AJ237">
        <v>70</v>
      </c>
      <c r="AK237" s="23" t="s">
        <v>568</v>
      </c>
      <c r="AL237" s="42">
        <v>52.311776995296299</v>
      </c>
      <c r="AM237" s="24">
        <v>0.06</v>
      </c>
      <c r="AN237" s="34">
        <f t="shared" si="135"/>
        <v>2.5305865264770262E-2</v>
      </c>
      <c r="AO237" s="31">
        <v>1994</v>
      </c>
      <c r="AP237">
        <v>11</v>
      </c>
      <c r="AQ237">
        <v>70</v>
      </c>
      <c r="AR237">
        <v>70</v>
      </c>
      <c r="AS237">
        <f t="shared" si="123"/>
        <v>0</v>
      </c>
      <c r="AT237">
        <f t="shared" si="136"/>
        <v>0</v>
      </c>
      <c r="AU237">
        <f t="shared" si="137"/>
        <v>0</v>
      </c>
      <c r="AV237">
        <f t="shared" si="138"/>
        <v>0</v>
      </c>
      <c r="AW237">
        <f t="shared" si="139"/>
        <v>0</v>
      </c>
      <c r="AX237">
        <f t="shared" si="140"/>
        <v>1</v>
      </c>
      <c r="AY237">
        <f t="shared" si="141"/>
        <v>0</v>
      </c>
      <c r="AZ237">
        <f t="shared" si="142"/>
        <v>0</v>
      </c>
      <c r="BA237">
        <f t="shared" si="143"/>
        <v>0</v>
      </c>
      <c r="BB237">
        <f t="shared" si="144"/>
        <v>0</v>
      </c>
      <c r="BC237">
        <f t="shared" si="145"/>
        <v>0</v>
      </c>
      <c r="BD237">
        <f t="shared" si="146"/>
        <v>0</v>
      </c>
      <c r="BE237">
        <f t="shared" si="147"/>
        <v>0</v>
      </c>
      <c r="BF237">
        <f t="shared" si="148"/>
        <v>0</v>
      </c>
      <c r="BG237">
        <f t="shared" si="149"/>
        <v>0</v>
      </c>
      <c r="BH237">
        <f t="shared" si="150"/>
        <v>0</v>
      </c>
      <c r="BI237">
        <f t="shared" si="151"/>
        <v>0</v>
      </c>
    </row>
    <row r="238" spans="1:61" x14ac:dyDescent="0.35">
      <c r="A238" t="s">
        <v>196</v>
      </c>
      <c r="B238" s="1">
        <v>37964</v>
      </c>
      <c r="C238" s="8" t="s">
        <v>569</v>
      </c>
      <c r="D238" t="s">
        <v>45</v>
      </c>
      <c r="E238" s="26" t="s">
        <v>570</v>
      </c>
      <c r="F238" t="s">
        <v>419</v>
      </c>
      <c r="G238" t="s">
        <v>125</v>
      </c>
      <c r="H238" s="139">
        <f t="shared" si="124"/>
        <v>1</v>
      </c>
      <c r="I238" t="s">
        <v>234</v>
      </c>
      <c r="J238" t="s">
        <v>235</v>
      </c>
      <c r="K238" s="2">
        <f t="shared" si="128"/>
        <v>1</v>
      </c>
      <c r="L238">
        <v>8000000</v>
      </c>
      <c r="M238" s="2">
        <f t="shared" si="129"/>
        <v>6.9030899869919438</v>
      </c>
      <c r="N238">
        <f t="shared" si="125"/>
        <v>8000000</v>
      </c>
      <c r="O238">
        <v>0</v>
      </c>
      <c r="P238" s="1">
        <v>40568</v>
      </c>
      <c r="Q238" s="89">
        <f t="shared" si="130"/>
        <v>2011</v>
      </c>
      <c r="R238" t="s">
        <v>107</v>
      </c>
      <c r="S238">
        <v>10000000</v>
      </c>
      <c r="T238" s="21">
        <f t="shared" si="120"/>
        <v>7.1342465753424653</v>
      </c>
      <c r="U238">
        <v>6930.28</v>
      </c>
      <c r="V238">
        <f t="shared" si="131"/>
        <v>3.840813443212804</v>
      </c>
      <c r="W238">
        <v>2000</v>
      </c>
      <c r="X238">
        <v>3</v>
      </c>
      <c r="Y238">
        <f t="shared" si="132"/>
        <v>0.6020599913279624</v>
      </c>
      <c r="Z238" s="45">
        <v>2.92</v>
      </c>
      <c r="AA238" s="9">
        <f t="shared" si="121"/>
        <v>2000000</v>
      </c>
      <c r="AB238" s="15">
        <f t="shared" si="122"/>
        <v>0.25</v>
      </c>
      <c r="AC238" s="34">
        <f t="shared" si="133"/>
        <v>9.691001300805642E-2</v>
      </c>
      <c r="AD238">
        <v>1895.918367346939</v>
      </c>
      <c r="AE238">
        <f t="shared" si="126"/>
        <v>3.277819633965128</v>
      </c>
      <c r="AF238">
        <v>8519.3877551020414</v>
      </c>
      <c r="AG238">
        <f t="shared" si="127"/>
        <v>3.9304083853612104</v>
      </c>
      <c r="AH238" s="9">
        <v>427.16666666666703</v>
      </c>
      <c r="AI238" s="9">
        <f t="shared" si="134"/>
        <v>2.6316128538827028</v>
      </c>
      <c r="AJ238">
        <v>85</v>
      </c>
      <c r="AK238" s="23" t="s">
        <v>301</v>
      </c>
      <c r="AL238" s="42">
        <v>37.256914365427299</v>
      </c>
      <c r="AM238" s="24">
        <v>0.22</v>
      </c>
      <c r="AN238" s="34">
        <f t="shared" si="135"/>
        <v>8.6359830674748214E-2</v>
      </c>
      <c r="AO238">
        <v>1989</v>
      </c>
      <c r="AP238">
        <v>14</v>
      </c>
      <c r="AQ238">
        <v>70</v>
      </c>
      <c r="AR238">
        <v>70</v>
      </c>
      <c r="AS238">
        <f t="shared" si="123"/>
        <v>0</v>
      </c>
      <c r="AT238">
        <f t="shared" si="136"/>
        <v>1</v>
      </c>
      <c r="AU238">
        <f t="shared" si="137"/>
        <v>0</v>
      </c>
      <c r="AV238">
        <f t="shared" si="138"/>
        <v>0</v>
      </c>
      <c r="AW238">
        <f t="shared" si="139"/>
        <v>0</v>
      </c>
      <c r="AX238">
        <f t="shared" si="140"/>
        <v>0</v>
      </c>
      <c r="AY238">
        <f t="shared" si="141"/>
        <v>0</v>
      </c>
      <c r="AZ238">
        <f t="shared" si="142"/>
        <v>0</v>
      </c>
      <c r="BA238">
        <f t="shared" si="143"/>
        <v>0</v>
      </c>
      <c r="BB238">
        <f t="shared" si="144"/>
        <v>0</v>
      </c>
      <c r="BC238">
        <f t="shared" si="145"/>
        <v>0</v>
      </c>
      <c r="BD238">
        <f t="shared" si="146"/>
        <v>0</v>
      </c>
      <c r="BE238">
        <f t="shared" si="147"/>
        <v>0</v>
      </c>
      <c r="BF238">
        <f t="shared" si="148"/>
        <v>0</v>
      </c>
      <c r="BG238">
        <f t="shared" si="149"/>
        <v>0</v>
      </c>
      <c r="BH238">
        <f t="shared" si="150"/>
        <v>0</v>
      </c>
      <c r="BI238">
        <f t="shared" si="151"/>
        <v>0</v>
      </c>
    </row>
    <row r="239" spans="1:61" x14ac:dyDescent="0.35">
      <c r="A239" t="s">
        <v>196</v>
      </c>
      <c r="B239" s="1">
        <v>37573</v>
      </c>
      <c r="C239" s="8" t="s">
        <v>571</v>
      </c>
      <c r="D239" t="s">
        <v>4</v>
      </c>
      <c r="E239" t="s">
        <v>572</v>
      </c>
      <c r="F239" t="s">
        <v>419</v>
      </c>
      <c r="G239" t="s">
        <v>125</v>
      </c>
      <c r="H239" s="139">
        <f t="shared" si="124"/>
        <v>1</v>
      </c>
      <c r="I239" t="s">
        <v>234</v>
      </c>
      <c r="J239" t="s">
        <v>178</v>
      </c>
      <c r="K239" s="2">
        <f t="shared" si="128"/>
        <v>9</v>
      </c>
      <c r="L239">
        <v>2210000</v>
      </c>
      <c r="M239" s="2">
        <f t="shared" si="129"/>
        <v>6.344392273685111</v>
      </c>
      <c r="N239">
        <f t="shared" si="125"/>
        <v>2210000</v>
      </c>
      <c r="O239">
        <v>0</v>
      </c>
      <c r="P239" s="1">
        <v>41106</v>
      </c>
      <c r="Q239" s="89">
        <f t="shared" si="130"/>
        <v>2012</v>
      </c>
      <c r="R239" t="s">
        <v>107</v>
      </c>
      <c r="S239">
        <v>15500000</v>
      </c>
      <c r="T239" s="21">
        <f t="shared" si="120"/>
        <v>9.6794520547945204</v>
      </c>
      <c r="U239">
        <v>395.92</v>
      </c>
      <c r="V239">
        <f t="shared" si="131"/>
        <v>2.5987029826834349</v>
      </c>
      <c r="W239">
        <v>1997</v>
      </c>
      <c r="X239">
        <v>5</v>
      </c>
      <c r="Y239">
        <f t="shared" si="132"/>
        <v>0.77815125038364363</v>
      </c>
      <c r="Z239" s="45">
        <v>3.35</v>
      </c>
      <c r="AA239" s="9">
        <f t="shared" si="121"/>
        <v>13290000</v>
      </c>
      <c r="AB239" s="15">
        <f t="shared" si="122"/>
        <v>6.0135746606334841</v>
      </c>
      <c r="AC239" s="34">
        <f t="shared" si="133"/>
        <v>0.84593942448518078</v>
      </c>
      <c r="AD239">
        <v>1895.918367346939</v>
      </c>
      <c r="AE239">
        <f t="shared" si="126"/>
        <v>3.277819633965128</v>
      </c>
      <c r="AF239">
        <v>8519.3877551020414</v>
      </c>
      <c r="AG239">
        <f t="shared" si="127"/>
        <v>3.9304083853612104</v>
      </c>
      <c r="AH239" s="9">
        <v>345.83333333333297</v>
      </c>
      <c r="AI239" s="9">
        <f t="shared" si="134"/>
        <v>2.5401208298279827</v>
      </c>
      <c r="AJ239">
        <v>70</v>
      </c>
      <c r="AK239" s="23" t="s">
        <v>573</v>
      </c>
      <c r="AL239" s="42">
        <v>53.8530722517336</v>
      </c>
      <c r="AM239" s="24">
        <v>0.53</v>
      </c>
      <c r="AN239" s="34">
        <f t="shared" si="135"/>
        <v>0.18469143081759881</v>
      </c>
      <c r="AO239">
        <v>1989</v>
      </c>
      <c r="AP239">
        <v>13</v>
      </c>
      <c r="AQ239">
        <v>70</v>
      </c>
      <c r="AR239">
        <v>70</v>
      </c>
      <c r="AS239">
        <f t="shared" si="123"/>
        <v>0</v>
      </c>
      <c r="AT239">
        <f t="shared" si="136"/>
        <v>0</v>
      </c>
      <c r="AU239">
        <f t="shared" si="137"/>
        <v>0</v>
      </c>
      <c r="AV239">
        <f t="shared" si="138"/>
        <v>0</v>
      </c>
      <c r="AW239">
        <f t="shared" si="139"/>
        <v>0</v>
      </c>
      <c r="AX239">
        <f t="shared" si="140"/>
        <v>1</v>
      </c>
      <c r="AY239">
        <f t="shared" si="141"/>
        <v>0</v>
      </c>
      <c r="AZ239">
        <f t="shared" si="142"/>
        <v>0</v>
      </c>
      <c r="BA239">
        <f t="shared" si="143"/>
        <v>0</v>
      </c>
      <c r="BB239">
        <f t="shared" si="144"/>
        <v>0</v>
      </c>
      <c r="BC239">
        <f t="shared" si="145"/>
        <v>0</v>
      </c>
      <c r="BD239">
        <f t="shared" si="146"/>
        <v>0</v>
      </c>
      <c r="BE239">
        <f t="shared" si="147"/>
        <v>0</v>
      </c>
      <c r="BF239">
        <f t="shared" si="148"/>
        <v>0</v>
      </c>
      <c r="BG239">
        <f t="shared" si="149"/>
        <v>0</v>
      </c>
      <c r="BH239">
        <f t="shared" si="150"/>
        <v>0</v>
      </c>
      <c r="BI239">
        <f t="shared" si="151"/>
        <v>0</v>
      </c>
    </row>
    <row r="240" spans="1:61" x14ac:dyDescent="0.35">
      <c r="A240" t="s">
        <v>196</v>
      </c>
      <c r="B240" s="1">
        <v>37287</v>
      </c>
      <c r="C240" s="8" t="s">
        <v>574</v>
      </c>
      <c r="D240" t="s">
        <v>4</v>
      </c>
      <c r="E240" t="s">
        <v>572</v>
      </c>
      <c r="F240" t="s">
        <v>419</v>
      </c>
      <c r="G240" t="s">
        <v>125</v>
      </c>
      <c r="H240" s="139">
        <f t="shared" si="124"/>
        <v>1</v>
      </c>
      <c r="I240" t="s">
        <v>234</v>
      </c>
      <c r="J240" t="s">
        <v>178</v>
      </c>
      <c r="K240" s="2">
        <f t="shared" si="128"/>
        <v>9</v>
      </c>
      <c r="L240">
        <v>2177000</v>
      </c>
      <c r="M240" s="2">
        <f t="shared" si="129"/>
        <v>6.337858429041094</v>
      </c>
      <c r="N240">
        <f t="shared" si="125"/>
        <v>2177000</v>
      </c>
      <c r="O240">
        <v>0</v>
      </c>
      <c r="P240" s="1">
        <v>39280</v>
      </c>
      <c r="Q240" s="89">
        <f t="shared" si="130"/>
        <v>2007</v>
      </c>
      <c r="R240" t="s">
        <v>107</v>
      </c>
      <c r="S240">
        <v>35453000</v>
      </c>
      <c r="T240" s="21">
        <f t="shared" si="120"/>
        <v>5.4602739726027396</v>
      </c>
      <c r="U240">
        <v>395.92</v>
      </c>
      <c r="V240">
        <f t="shared" si="131"/>
        <v>2.5987029826834349</v>
      </c>
      <c r="W240">
        <v>1984</v>
      </c>
      <c r="X240">
        <v>18</v>
      </c>
      <c r="Y240">
        <f t="shared" si="132"/>
        <v>1.2787536009528289</v>
      </c>
      <c r="Z240" s="45">
        <v>3.35</v>
      </c>
      <c r="AA240" s="9">
        <f t="shared" si="121"/>
        <v>33276000</v>
      </c>
      <c r="AB240" s="15">
        <f t="shared" si="122"/>
        <v>15.285254937988057</v>
      </c>
      <c r="AC240" s="34">
        <f t="shared" si="133"/>
        <v>1.2117945616294652</v>
      </c>
      <c r="AD240">
        <v>1895.918367346939</v>
      </c>
      <c r="AE240">
        <f t="shared" si="126"/>
        <v>3.277819633965128</v>
      </c>
      <c r="AF240">
        <v>8519.3877551020414</v>
      </c>
      <c r="AG240">
        <f t="shared" si="127"/>
        <v>3.9304083853612104</v>
      </c>
      <c r="AH240" s="9">
        <v>345.83333333333297</v>
      </c>
      <c r="AI240" s="9">
        <f t="shared" si="134"/>
        <v>2.5401208298279827</v>
      </c>
      <c r="AJ240">
        <v>70</v>
      </c>
      <c r="AK240" s="23" t="s">
        <v>573</v>
      </c>
      <c r="AL240" s="42">
        <v>53.8530722517336</v>
      </c>
      <c r="AM240" s="24">
        <v>0.37</v>
      </c>
      <c r="AN240" s="34">
        <f t="shared" si="135"/>
        <v>0.13672056715640679</v>
      </c>
      <c r="AO240">
        <v>1989</v>
      </c>
      <c r="AP240">
        <v>13</v>
      </c>
      <c r="AQ240">
        <v>70</v>
      </c>
      <c r="AR240">
        <v>70</v>
      </c>
      <c r="AS240">
        <f t="shared" si="123"/>
        <v>0</v>
      </c>
      <c r="AT240">
        <f t="shared" si="136"/>
        <v>0</v>
      </c>
      <c r="AU240">
        <f t="shared" si="137"/>
        <v>0</v>
      </c>
      <c r="AV240">
        <f t="shared" si="138"/>
        <v>0</v>
      </c>
      <c r="AW240">
        <f t="shared" si="139"/>
        <v>0</v>
      </c>
      <c r="AX240">
        <f t="shared" si="140"/>
        <v>1</v>
      </c>
      <c r="AY240">
        <f t="shared" si="141"/>
        <v>0</v>
      </c>
      <c r="AZ240">
        <f t="shared" si="142"/>
        <v>0</v>
      </c>
      <c r="BA240">
        <f t="shared" si="143"/>
        <v>0</v>
      </c>
      <c r="BB240">
        <f t="shared" si="144"/>
        <v>0</v>
      </c>
      <c r="BC240">
        <f t="shared" si="145"/>
        <v>0</v>
      </c>
      <c r="BD240">
        <f t="shared" si="146"/>
        <v>0</v>
      </c>
      <c r="BE240">
        <f t="shared" si="147"/>
        <v>0</v>
      </c>
      <c r="BF240">
        <f t="shared" si="148"/>
        <v>0</v>
      </c>
      <c r="BG240">
        <f t="shared" si="149"/>
        <v>0</v>
      </c>
      <c r="BH240">
        <f t="shared" si="150"/>
        <v>0</v>
      </c>
      <c r="BI240">
        <f t="shared" si="151"/>
        <v>0</v>
      </c>
    </row>
    <row r="241" spans="1:61" x14ac:dyDescent="0.35">
      <c r="A241" t="s">
        <v>51</v>
      </c>
      <c r="B241" s="1">
        <v>37054</v>
      </c>
      <c r="C241" t="s">
        <v>575</v>
      </c>
      <c r="D241" t="s">
        <v>163</v>
      </c>
      <c r="E241" t="s">
        <v>576</v>
      </c>
      <c r="F241" t="s">
        <v>577</v>
      </c>
      <c r="G241" t="s">
        <v>125</v>
      </c>
      <c r="H241" s="139">
        <f t="shared" si="124"/>
        <v>1</v>
      </c>
      <c r="I241" t="s">
        <v>234</v>
      </c>
      <c r="J241" t="s">
        <v>235</v>
      </c>
      <c r="K241" s="2">
        <f t="shared" si="128"/>
        <v>1</v>
      </c>
      <c r="L241">
        <v>273500000</v>
      </c>
      <c r="M241" s="2">
        <f t="shared" si="129"/>
        <v>8.4369573306694488</v>
      </c>
      <c r="N241">
        <f t="shared" si="125"/>
        <v>273500000</v>
      </c>
      <c r="O241">
        <v>0</v>
      </c>
      <c r="P241" s="1">
        <v>38169</v>
      </c>
      <c r="Q241" s="89">
        <f t="shared" si="130"/>
        <v>2004</v>
      </c>
      <c r="R241" t="s">
        <v>152</v>
      </c>
      <c r="S241">
        <v>300000000</v>
      </c>
      <c r="T241" s="21">
        <f t="shared" si="120"/>
        <v>3.0547945205479454</v>
      </c>
      <c r="U241">
        <v>1341.63</v>
      </c>
      <c r="V241">
        <f t="shared" si="131"/>
        <v>3.127956346922264</v>
      </c>
      <c r="W241">
        <v>1812</v>
      </c>
      <c r="X241">
        <v>189</v>
      </c>
      <c r="Y241">
        <f t="shared" si="132"/>
        <v>2.2787536009528289</v>
      </c>
      <c r="Z241" s="45">
        <v>2.93</v>
      </c>
      <c r="AA241" s="9">
        <f t="shared" si="121"/>
        <v>26500000</v>
      </c>
      <c r="AB241" s="15">
        <f t="shared" si="122"/>
        <v>9.6892138939670858E-2</v>
      </c>
      <c r="AC241" s="34">
        <f t="shared" si="133"/>
        <v>4.0163924050212831E-2</v>
      </c>
      <c r="AD241">
        <v>1895.918367346939</v>
      </c>
      <c r="AE241">
        <f t="shared" si="126"/>
        <v>3.277819633965128</v>
      </c>
      <c r="AF241">
        <v>8519.3877551020414</v>
      </c>
      <c r="AG241">
        <f t="shared" si="127"/>
        <v>3.9304083853612104</v>
      </c>
      <c r="AH241" s="9">
        <v>202</v>
      </c>
      <c r="AI241" s="9">
        <f t="shared" si="134"/>
        <v>2.307496037913213</v>
      </c>
      <c r="AJ241">
        <v>70</v>
      </c>
      <c r="AK241" s="23" t="s">
        <v>487</v>
      </c>
      <c r="AL241" s="42">
        <v>51.718307112209096</v>
      </c>
      <c r="AM241" s="24">
        <v>-0.1</v>
      </c>
      <c r="AN241" s="34">
        <f t="shared" si="135"/>
        <v>-4.5757490560675115E-2</v>
      </c>
      <c r="AO241">
        <v>1989</v>
      </c>
      <c r="AP241">
        <v>12</v>
      </c>
      <c r="AQ241">
        <v>85</v>
      </c>
      <c r="AR241">
        <v>80</v>
      </c>
      <c r="AS241">
        <f t="shared" si="123"/>
        <v>0</v>
      </c>
      <c r="AT241">
        <f t="shared" si="136"/>
        <v>0</v>
      </c>
      <c r="AU241">
        <f t="shared" si="137"/>
        <v>0</v>
      </c>
      <c r="AV241">
        <f t="shared" si="138"/>
        <v>0</v>
      </c>
      <c r="AW241">
        <f t="shared" si="139"/>
        <v>0</v>
      </c>
      <c r="AX241">
        <f t="shared" si="140"/>
        <v>0</v>
      </c>
      <c r="AY241">
        <f t="shared" si="141"/>
        <v>0</v>
      </c>
      <c r="AZ241">
        <f t="shared" si="142"/>
        <v>1</v>
      </c>
      <c r="BA241">
        <f t="shared" si="143"/>
        <v>0</v>
      </c>
      <c r="BB241">
        <f t="shared" si="144"/>
        <v>0</v>
      </c>
      <c r="BC241">
        <f t="shared" si="145"/>
        <v>0</v>
      </c>
      <c r="BD241">
        <f t="shared" si="146"/>
        <v>0</v>
      </c>
      <c r="BE241">
        <f t="shared" si="147"/>
        <v>0</v>
      </c>
      <c r="BF241">
        <f t="shared" si="148"/>
        <v>0</v>
      </c>
      <c r="BG241">
        <f t="shared" si="149"/>
        <v>0</v>
      </c>
      <c r="BH241">
        <f t="shared" si="150"/>
        <v>0</v>
      </c>
      <c r="BI241">
        <f t="shared" si="151"/>
        <v>0</v>
      </c>
    </row>
    <row r="242" spans="1:61" x14ac:dyDescent="0.35">
      <c r="A242" t="s">
        <v>51</v>
      </c>
      <c r="B242" s="1">
        <v>38411</v>
      </c>
      <c r="C242" t="s">
        <v>578</v>
      </c>
      <c r="D242" t="s">
        <v>2</v>
      </c>
      <c r="E242" t="s">
        <v>579</v>
      </c>
      <c r="F242" t="s">
        <v>577</v>
      </c>
      <c r="G242" t="s">
        <v>125</v>
      </c>
      <c r="H242" s="139">
        <f t="shared" si="124"/>
        <v>1</v>
      </c>
      <c r="I242" t="s">
        <v>234</v>
      </c>
      <c r="J242" t="s">
        <v>248</v>
      </c>
      <c r="K242" s="2">
        <f t="shared" si="128"/>
        <v>5</v>
      </c>
      <c r="L242">
        <v>168000000</v>
      </c>
      <c r="M242" s="2">
        <f t="shared" si="129"/>
        <v>8.2253092817258633</v>
      </c>
      <c r="N242">
        <f t="shared" si="125"/>
        <v>168000000</v>
      </c>
      <c r="O242">
        <v>0</v>
      </c>
      <c r="P242" s="1">
        <v>39360</v>
      </c>
      <c r="Q242" s="89">
        <f t="shared" si="130"/>
        <v>2007</v>
      </c>
      <c r="R242" t="s">
        <v>152</v>
      </c>
      <c r="S242">
        <v>1000000000</v>
      </c>
      <c r="T242" s="21">
        <f t="shared" si="120"/>
        <v>2.6</v>
      </c>
      <c r="U242">
        <v>1310.4100000000001</v>
      </c>
      <c r="V242">
        <f t="shared" si="131"/>
        <v>3.1177384910037165</v>
      </c>
      <c r="W242">
        <v>1979</v>
      </c>
      <c r="X242">
        <v>26</v>
      </c>
      <c r="Y242">
        <f t="shared" si="132"/>
        <v>1.4313637641589874</v>
      </c>
      <c r="Z242" s="45">
        <v>2.99</v>
      </c>
      <c r="AA242" s="9">
        <f t="shared" si="121"/>
        <v>832000000</v>
      </c>
      <c r="AB242" s="15">
        <f t="shared" si="122"/>
        <v>4.9523809523809526</v>
      </c>
      <c r="AC242" s="34">
        <f t="shared" si="133"/>
        <v>0.77469071827413716</v>
      </c>
      <c r="AD242">
        <v>1895.918367346939</v>
      </c>
      <c r="AE242">
        <f t="shared" si="126"/>
        <v>3.277819633965128</v>
      </c>
      <c r="AF242">
        <v>8519.3877551020414</v>
      </c>
      <c r="AG242">
        <f t="shared" si="127"/>
        <v>3.9304083853612104</v>
      </c>
      <c r="AH242" s="9">
        <v>787.83333333333303</v>
      </c>
      <c r="AI242" s="9">
        <f t="shared" si="134"/>
        <v>2.8969852540843504</v>
      </c>
      <c r="AJ242">
        <v>70</v>
      </c>
      <c r="AK242" s="23" t="s">
        <v>213</v>
      </c>
      <c r="AL242" s="42">
        <v>46.200073016176603</v>
      </c>
      <c r="AM242" s="24">
        <v>0.28999999999999998</v>
      </c>
      <c r="AN242" s="34">
        <f t="shared" si="135"/>
        <v>0.11058971029924898</v>
      </c>
      <c r="AO242">
        <v>1989</v>
      </c>
      <c r="AP242">
        <v>16</v>
      </c>
      <c r="AQ242">
        <v>70</v>
      </c>
      <c r="AR242">
        <v>70</v>
      </c>
      <c r="AS242">
        <f t="shared" si="123"/>
        <v>0</v>
      </c>
      <c r="AT242">
        <f t="shared" si="136"/>
        <v>0</v>
      </c>
      <c r="AU242">
        <f t="shared" si="137"/>
        <v>0</v>
      </c>
      <c r="AV242">
        <f t="shared" si="138"/>
        <v>0</v>
      </c>
      <c r="AW242">
        <f t="shared" si="139"/>
        <v>0</v>
      </c>
      <c r="AX242">
        <f t="shared" si="140"/>
        <v>0</v>
      </c>
      <c r="AY242">
        <f t="shared" si="141"/>
        <v>0</v>
      </c>
      <c r="AZ242">
        <f t="shared" si="142"/>
        <v>0</v>
      </c>
      <c r="BA242">
        <f t="shared" si="143"/>
        <v>0</v>
      </c>
      <c r="BB242">
        <f t="shared" si="144"/>
        <v>1</v>
      </c>
      <c r="BC242">
        <f t="shared" si="145"/>
        <v>0</v>
      </c>
      <c r="BD242">
        <f t="shared" si="146"/>
        <v>0</v>
      </c>
      <c r="BE242">
        <f t="shared" si="147"/>
        <v>0</v>
      </c>
      <c r="BF242">
        <f t="shared" si="148"/>
        <v>0</v>
      </c>
      <c r="BG242">
        <f t="shared" si="149"/>
        <v>0</v>
      </c>
      <c r="BH242">
        <f t="shared" si="150"/>
        <v>0</v>
      </c>
      <c r="BI242">
        <f t="shared" si="151"/>
        <v>0</v>
      </c>
    </row>
    <row r="243" spans="1:61" ht="15" customHeight="1" x14ac:dyDescent="0.35">
      <c r="A243" t="s">
        <v>580</v>
      </c>
      <c r="B243" s="1">
        <v>37390</v>
      </c>
      <c r="C243" t="s">
        <v>581</v>
      </c>
      <c r="D243" t="s">
        <v>2</v>
      </c>
      <c r="E243" t="s">
        <v>576</v>
      </c>
      <c r="F243" t="s">
        <v>577</v>
      </c>
      <c r="G243" t="s">
        <v>125</v>
      </c>
      <c r="H243" s="139">
        <f t="shared" si="124"/>
        <v>1</v>
      </c>
      <c r="I243" t="s">
        <v>268</v>
      </c>
      <c r="J243" t="s">
        <v>248</v>
      </c>
      <c r="K243" s="2">
        <f t="shared" si="128"/>
        <v>5</v>
      </c>
      <c r="L243">
        <v>57890000</v>
      </c>
      <c r="M243" s="2">
        <f t="shared" si="129"/>
        <v>7.7626035495668031</v>
      </c>
      <c r="N243">
        <v>27490000</v>
      </c>
      <c r="O243">
        <v>30400000</v>
      </c>
      <c r="P243" s="1">
        <v>39082</v>
      </c>
      <c r="Q243" s="89">
        <f t="shared" si="130"/>
        <v>2006</v>
      </c>
      <c r="R243" t="s">
        <v>107</v>
      </c>
      <c r="S243">
        <v>559326000</v>
      </c>
      <c r="T243" s="21">
        <f t="shared" si="120"/>
        <v>4.6356164383561644</v>
      </c>
      <c r="U243">
        <v>1310.4100000000001</v>
      </c>
      <c r="V243">
        <f t="shared" si="131"/>
        <v>3.1177384910037165</v>
      </c>
      <c r="W243">
        <v>1961</v>
      </c>
      <c r="X243">
        <v>41</v>
      </c>
      <c r="Y243">
        <f t="shared" si="132"/>
        <v>1.6232492903979006</v>
      </c>
      <c r="Z243" s="45">
        <v>2.99</v>
      </c>
      <c r="AA243" s="9">
        <f t="shared" si="121"/>
        <v>531836000</v>
      </c>
      <c r="AB243" s="15">
        <f t="shared" si="122"/>
        <v>8.6618759716704101</v>
      </c>
      <c r="AC243" s="34">
        <f t="shared" si="133"/>
        <v>0.98506145820071134</v>
      </c>
      <c r="AD243">
        <v>1895.918367346939</v>
      </c>
      <c r="AE243">
        <f t="shared" si="126"/>
        <v>3.277819633965128</v>
      </c>
      <c r="AF243">
        <v>8519.3877551020414</v>
      </c>
      <c r="AG243">
        <f t="shared" si="127"/>
        <v>3.9304083853612104</v>
      </c>
      <c r="AH243" s="9">
        <v>787.83333333333303</v>
      </c>
      <c r="AI243" s="9">
        <f t="shared" si="134"/>
        <v>2.8969852540843504</v>
      </c>
      <c r="AJ243">
        <v>70</v>
      </c>
      <c r="AK243" s="23" t="s">
        <v>403</v>
      </c>
      <c r="AL243" s="42">
        <v>47.264053157349203</v>
      </c>
      <c r="AM243" s="24">
        <v>0.28999999999999998</v>
      </c>
      <c r="AN243" s="34">
        <f t="shared" si="135"/>
        <v>0.11058971029924898</v>
      </c>
      <c r="AO243">
        <v>1989</v>
      </c>
      <c r="AP243">
        <v>13</v>
      </c>
      <c r="AQ243">
        <v>70</v>
      </c>
      <c r="AR243">
        <v>70</v>
      </c>
      <c r="AS243">
        <f t="shared" si="123"/>
        <v>0</v>
      </c>
      <c r="AT243">
        <f t="shared" si="136"/>
        <v>0</v>
      </c>
      <c r="AU243">
        <f t="shared" si="137"/>
        <v>0</v>
      </c>
      <c r="AV243">
        <f t="shared" si="138"/>
        <v>0</v>
      </c>
      <c r="AW243">
        <f t="shared" si="139"/>
        <v>0</v>
      </c>
      <c r="AX243">
        <f t="shared" si="140"/>
        <v>0</v>
      </c>
      <c r="AY243">
        <f t="shared" si="141"/>
        <v>0</v>
      </c>
      <c r="AZ243">
        <f t="shared" si="142"/>
        <v>0</v>
      </c>
      <c r="BA243">
        <f t="shared" si="143"/>
        <v>0</v>
      </c>
      <c r="BB243">
        <f t="shared" si="144"/>
        <v>1</v>
      </c>
      <c r="BC243">
        <f t="shared" si="145"/>
        <v>0</v>
      </c>
      <c r="BD243">
        <f t="shared" si="146"/>
        <v>0</v>
      </c>
      <c r="BE243">
        <f t="shared" si="147"/>
        <v>0</v>
      </c>
      <c r="BF243">
        <f t="shared" si="148"/>
        <v>0</v>
      </c>
      <c r="BG243">
        <f t="shared" si="149"/>
        <v>0</v>
      </c>
      <c r="BH243">
        <f t="shared" si="150"/>
        <v>0</v>
      </c>
      <c r="BI243">
        <f t="shared" si="151"/>
        <v>0</v>
      </c>
    </row>
    <row r="244" spans="1:61" ht="13.5" customHeight="1" x14ac:dyDescent="0.35">
      <c r="A244" t="s">
        <v>51</v>
      </c>
      <c r="B244" s="1">
        <v>36199</v>
      </c>
      <c r="C244" t="s">
        <v>582</v>
      </c>
      <c r="D244" t="s">
        <v>5</v>
      </c>
      <c r="E244" t="s">
        <v>583</v>
      </c>
      <c r="F244" t="s">
        <v>577</v>
      </c>
      <c r="G244" t="s">
        <v>125</v>
      </c>
      <c r="H244" s="139">
        <f t="shared" si="124"/>
        <v>1</v>
      </c>
      <c r="I244" t="s">
        <v>234</v>
      </c>
      <c r="J244" t="s">
        <v>269</v>
      </c>
      <c r="K244" s="2">
        <f t="shared" si="128"/>
        <v>7</v>
      </c>
      <c r="L244">
        <v>61765000</v>
      </c>
      <c r="M244" s="2">
        <f t="shared" si="129"/>
        <v>7.7907424457557015</v>
      </c>
      <c r="N244">
        <f t="shared" ref="N244:N250" si="152">L244</f>
        <v>61765000</v>
      </c>
      <c r="O244">
        <v>0</v>
      </c>
      <c r="P244" s="1">
        <v>38924</v>
      </c>
      <c r="Q244" s="89">
        <f t="shared" si="130"/>
        <v>2006</v>
      </c>
      <c r="R244" t="s">
        <v>152</v>
      </c>
      <c r="S244">
        <v>110000000</v>
      </c>
      <c r="T244" s="21">
        <f t="shared" si="120"/>
        <v>7.4657534246575343</v>
      </c>
      <c r="U244">
        <v>912.56</v>
      </c>
      <c r="V244">
        <f t="shared" si="131"/>
        <v>2.9607370758409366</v>
      </c>
      <c r="W244">
        <v>1825</v>
      </c>
      <c r="X244">
        <v>174</v>
      </c>
      <c r="Y244">
        <f t="shared" si="132"/>
        <v>2.2430380486862944</v>
      </c>
      <c r="Z244" s="45">
        <v>3.26</v>
      </c>
      <c r="AA244" s="9">
        <f t="shared" si="121"/>
        <v>48235000</v>
      </c>
      <c r="AB244" s="15">
        <f t="shared" si="122"/>
        <v>0.78094390026714167</v>
      </c>
      <c r="AC244" s="34">
        <f t="shared" si="133"/>
        <v>0.25065023940252346</v>
      </c>
      <c r="AD244">
        <v>1895.918367346939</v>
      </c>
      <c r="AE244">
        <f t="shared" si="126"/>
        <v>3.277819633965128</v>
      </c>
      <c r="AF244">
        <v>8519.3877551020414</v>
      </c>
      <c r="AG244">
        <f t="shared" si="127"/>
        <v>3.9304083853612104</v>
      </c>
      <c r="AH244" s="9">
        <v>1242.8333333333301</v>
      </c>
      <c r="AI244" s="9">
        <f t="shared" si="134"/>
        <v>3.0947621912367507</v>
      </c>
      <c r="AJ244">
        <v>70</v>
      </c>
      <c r="AK244" s="23" t="s">
        <v>584</v>
      </c>
      <c r="AL244" s="42">
        <v>43.419976684252802</v>
      </c>
      <c r="AM244" s="24">
        <v>0.02</v>
      </c>
      <c r="AN244" s="34">
        <f t="shared" si="135"/>
        <v>8.6001717619175692E-3</v>
      </c>
      <c r="AO244">
        <v>1989</v>
      </c>
      <c r="AP244">
        <v>10</v>
      </c>
      <c r="AQ244">
        <v>95</v>
      </c>
      <c r="AR244">
        <v>80</v>
      </c>
      <c r="AS244">
        <f t="shared" si="123"/>
        <v>0</v>
      </c>
      <c r="AT244">
        <f t="shared" si="136"/>
        <v>0</v>
      </c>
      <c r="AU244">
        <f t="shared" si="137"/>
        <v>0</v>
      </c>
      <c r="AV244">
        <f t="shared" si="138"/>
        <v>0</v>
      </c>
      <c r="AW244">
        <f t="shared" si="139"/>
        <v>0</v>
      </c>
      <c r="AX244">
        <f t="shared" si="140"/>
        <v>0</v>
      </c>
      <c r="AY244">
        <f t="shared" si="141"/>
        <v>1</v>
      </c>
      <c r="AZ244">
        <f t="shared" si="142"/>
        <v>0</v>
      </c>
      <c r="BA244">
        <f t="shared" si="143"/>
        <v>0</v>
      </c>
      <c r="BB244">
        <f t="shared" si="144"/>
        <v>0</v>
      </c>
      <c r="BC244">
        <f t="shared" si="145"/>
        <v>0</v>
      </c>
      <c r="BD244">
        <f t="shared" si="146"/>
        <v>0</v>
      </c>
      <c r="BE244">
        <f t="shared" si="147"/>
        <v>0</v>
      </c>
      <c r="BF244">
        <f t="shared" si="148"/>
        <v>0</v>
      </c>
      <c r="BG244">
        <f t="shared" si="149"/>
        <v>0</v>
      </c>
      <c r="BH244">
        <f t="shared" si="150"/>
        <v>0</v>
      </c>
      <c r="BI244">
        <f t="shared" si="151"/>
        <v>0</v>
      </c>
    </row>
    <row r="245" spans="1:61" ht="14.25" customHeight="1" x14ac:dyDescent="0.35">
      <c r="A245" t="s">
        <v>51</v>
      </c>
      <c r="B245" s="1">
        <v>38260</v>
      </c>
      <c r="C245" t="s">
        <v>585</v>
      </c>
      <c r="D245" t="s">
        <v>1</v>
      </c>
      <c r="E245" t="s">
        <v>579</v>
      </c>
      <c r="F245" t="s">
        <v>577</v>
      </c>
      <c r="G245" t="s">
        <v>125</v>
      </c>
      <c r="H245" s="139">
        <f t="shared" si="124"/>
        <v>1</v>
      </c>
      <c r="I245" t="s">
        <v>234</v>
      </c>
      <c r="J245" t="s">
        <v>269</v>
      </c>
      <c r="K245" s="2">
        <f t="shared" si="128"/>
        <v>7</v>
      </c>
      <c r="L245">
        <v>300000000</v>
      </c>
      <c r="M245" s="2">
        <f t="shared" si="129"/>
        <v>8.4771212547196626</v>
      </c>
      <c r="N245">
        <f t="shared" si="152"/>
        <v>300000000</v>
      </c>
      <c r="O245">
        <v>0</v>
      </c>
      <c r="P245" s="1">
        <v>40970</v>
      </c>
      <c r="Q245" s="89">
        <f t="shared" si="130"/>
        <v>2012</v>
      </c>
      <c r="R245" t="s">
        <v>152</v>
      </c>
      <c r="S245">
        <v>527863000</v>
      </c>
      <c r="T245" s="21">
        <f t="shared" si="120"/>
        <v>7.4246575342465757</v>
      </c>
      <c r="U245" s="136">
        <v>1153.8900000000001</v>
      </c>
      <c r="V245">
        <f t="shared" si="131"/>
        <v>3.0625406208792199</v>
      </c>
      <c r="W245">
        <v>1992</v>
      </c>
      <c r="X245">
        <v>12</v>
      </c>
      <c r="Y245">
        <f t="shared" si="132"/>
        <v>1.1139433523068367</v>
      </c>
      <c r="Z245" s="45">
        <v>3.42</v>
      </c>
      <c r="AA245" s="9">
        <f t="shared" si="121"/>
        <v>227863000</v>
      </c>
      <c r="AB245" s="15">
        <f t="shared" si="122"/>
        <v>0.75954333333333324</v>
      </c>
      <c r="AC245" s="34">
        <f t="shared" si="133"/>
        <v>0.24539996693467084</v>
      </c>
      <c r="AD245">
        <v>1895.918367346939</v>
      </c>
      <c r="AE245">
        <f t="shared" si="126"/>
        <v>3.277819633965128</v>
      </c>
      <c r="AF245">
        <v>8519.3877551020414</v>
      </c>
      <c r="AG245">
        <f t="shared" si="127"/>
        <v>3.9304083853612104</v>
      </c>
      <c r="AH245" s="134">
        <v>742.83333333333337</v>
      </c>
      <c r="AI245" s="9">
        <f t="shared" si="134"/>
        <v>2.8714756364568856</v>
      </c>
      <c r="AJ245">
        <v>70</v>
      </c>
      <c r="AK245" s="23" t="s">
        <v>243</v>
      </c>
      <c r="AL245" s="42">
        <v>44.9782573439335</v>
      </c>
      <c r="AM245" s="24">
        <v>0.23</v>
      </c>
      <c r="AN245" s="34">
        <f t="shared" si="135"/>
        <v>8.9905111439397931E-2</v>
      </c>
      <c r="AO245">
        <v>1989</v>
      </c>
      <c r="AP245">
        <v>15</v>
      </c>
      <c r="AQ245">
        <v>70</v>
      </c>
      <c r="AR245">
        <v>50</v>
      </c>
      <c r="AS245">
        <f t="shared" si="123"/>
        <v>0</v>
      </c>
      <c r="AT245">
        <f t="shared" si="136"/>
        <v>0</v>
      </c>
      <c r="AU245">
        <f t="shared" si="137"/>
        <v>0</v>
      </c>
      <c r="AV245">
        <f t="shared" si="138"/>
        <v>1</v>
      </c>
      <c r="AW245">
        <f t="shared" si="139"/>
        <v>0</v>
      </c>
      <c r="AX245">
        <f t="shared" si="140"/>
        <v>0</v>
      </c>
      <c r="AY245">
        <f t="shared" si="141"/>
        <v>0</v>
      </c>
      <c r="AZ245">
        <f t="shared" si="142"/>
        <v>0</v>
      </c>
      <c r="BA245">
        <f t="shared" si="143"/>
        <v>0</v>
      </c>
      <c r="BB245">
        <f t="shared" si="144"/>
        <v>0</v>
      </c>
      <c r="BC245">
        <f t="shared" si="145"/>
        <v>0</v>
      </c>
      <c r="BD245">
        <f t="shared" si="146"/>
        <v>0</v>
      </c>
      <c r="BE245">
        <f t="shared" si="147"/>
        <v>0</v>
      </c>
      <c r="BF245">
        <f t="shared" si="148"/>
        <v>0</v>
      </c>
      <c r="BG245">
        <f t="shared" si="149"/>
        <v>0</v>
      </c>
      <c r="BH245">
        <f t="shared" si="150"/>
        <v>0</v>
      </c>
      <c r="BI245">
        <f t="shared" si="151"/>
        <v>0</v>
      </c>
    </row>
    <row r="246" spans="1:61" ht="12.75" customHeight="1" x14ac:dyDescent="0.35">
      <c r="A246" t="s">
        <v>51</v>
      </c>
      <c r="B246" s="1">
        <v>36818</v>
      </c>
      <c r="C246" t="s">
        <v>586</v>
      </c>
      <c r="D246" t="s">
        <v>1</v>
      </c>
      <c r="E246" t="s">
        <v>576</v>
      </c>
      <c r="F246" t="s">
        <v>577</v>
      </c>
      <c r="G246" t="s">
        <v>125</v>
      </c>
      <c r="H246" s="139">
        <f t="shared" si="124"/>
        <v>1</v>
      </c>
      <c r="I246" t="s">
        <v>234</v>
      </c>
      <c r="J246" t="s">
        <v>326</v>
      </c>
      <c r="K246" s="2">
        <f t="shared" si="128"/>
        <v>8</v>
      </c>
      <c r="L246">
        <v>643330000</v>
      </c>
      <c r="M246" s="2">
        <f t="shared" si="129"/>
        <v>8.8084338040518055</v>
      </c>
      <c r="N246">
        <f t="shared" si="152"/>
        <v>643330000</v>
      </c>
      <c r="O246">
        <v>0</v>
      </c>
      <c r="P246" s="1">
        <v>38686</v>
      </c>
      <c r="Q246" s="89">
        <f t="shared" si="130"/>
        <v>2005</v>
      </c>
      <c r="R246" t="s">
        <v>107</v>
      </c>
      <c r="S246">
        <v>1389720000</v>
      </c>
      <c r="T246" s="21">
        <f t="shared" si="120"/>
        <v>5.117808219178082</v>
      </c>
      <c r="U246" s="138">
        <v>1153.8900000000001</v>
      </c>
      <c r="V246">
        <f t="shared" si="131"/>
        <v>3.0625406208792199</v>
      </c>
      <c r="W246">
        <v>1874</v>
      </c>
      <c r="X246">
        <v>126</v>
      </c>
      <c r="Y246">
        <f t="shared" si="132"/>
        <v>2.1038037209559568</v>
      </c>
      <c r="Z246" s="45">
        <v>3.42</v>
      </c>
      <c r="AA246" s="9">
        <f t="shared" si="121"/>
        <v>746390000</v>
      </c>
      <c r="AB246" s="15">
        <f t="shared" si="122"/>
        <v>1.1601977212317163</v>
      </c>
      <c r="AC246" s="34">
        <f t="shared" si="133"/>
        <v>0.33449350360926283</v>
      </c>
      <c r="AD246">
        <v>1895.918367346939</v>
      </c>
      <c r="AE246">
        <f t="shared" si="126"/>
        <v>3.277819633965128</v>
      </c>
      <c r="AF246">
        <v>8519.3877551020414</v>
      </c>
      <c r="AG246">
        <f t="shared" si="127"/>
        <v>3.9304083853612104</v>
      </c>
      <c r="AH246" s="135">
        <v>742.83333333333337</v>
      </c>
      <c r="AI246" s="9">
        <f t="shared" si="134"/>
        <v>2.8714756364568856</v>
      </c>
      <c r="AJ246">
        <v>70</v>
      </c>
      <c r="AK246" s="23" t="s">
        <v>587</v>
      </c>
      <c r="AL246" s="42">
        <v>42.033747909324703</v>
      </c>
      <c r="AM246" s="24">
        <v>-0.1</v>
      </c>
      <c r="AN246" s="34">
        <f t="shared" si="135"/>
        <v>-4.5757490560675115E-2</v>
      </c>
      <c r="AO246">
        <v>1989</v>
      </c>
      <c r="AP246">
        <v>11</v>
      </c>
      <c r="AQ246">
        <v>70</v>
      </c>
      <c r="AR246">
        <v>50</v>
      </c>
      <c r="AS246">
        <f t="shared" si="123"/>
        <v>0</v>
      </c>
      <c r="AT246">
        <f t="shared" si="136"/>
        <v>0</v>
      </c>
      <c r="AU246">
        <f t="shared" si="137"/>
        <v>0</v>
      </c>
      <c r="AV246">
        <f t="shared" si="138"/>
        <v>1</v>
      </c>
      <c r="AW246">
        <f t="shared" si="139"/>
        <v>0</v>
      </c>
      <c r="AX246">
        <f t="shared" si="140"/>
        <v>0</v>
      </c>
      <c r="AY246">
        <f t="shared" si="141"/>
        <v>0</v>
      </c>
      <c r="AZ246">
        <f t="shared" si="142"/>
        <v>0</v>
      </c>
      <c r="BA246">
        <f t="shared" si="143"/>
        <v>0</v>
      </c>
      <c r="BB246">
        <f t="shared" si="144"/>
        <v>0</v>
      </c>
      <c r="BC246">
        <f t="shared" si="145"/>
        <v>0</v>
      </c>
      <c r="BD246">
        <f t="shared" si="146"/>
        <v>0</v>
      </c>
      <c r="BE246">
        <f t="shared" si="147"/>
        <v>0</v>
      </c>
      <c r="BF246">
        <f t="shared" si="148"/>
        <v>0</v>
      </c>
      <c r="BG246">
        <f t="shared" si="149"/>
        <v>0</v>
      </c>
      <c r="BH246">
        <f t="shared" si="150"/>
        <v>0</v>
      </c>
      <c r="BI246">
        <f t="shared" si="151"/>
        <v>0</v>
      </c>
    </row>
    <row r="247" spans="1:61" ht="15.75" customHeight="1" x14ac:dyDescent="0.35">
      <c r="A247" t="s">
        <v>51</v>
      </c>
      <c r="B247" s="1">
        <v>38321</v>
      </c>
      <c r="C247" t="s">
        <v>588</v>
      </c>
      <c r="D247" t="s">
        <v>419</v>
      </c>
      <c r="E247" t="s">
        <v>579</v>
      </c>
      <c r="F247" t="s">
        <v>577</v>
      </c>
      <c r="G247" t="s">
        <v>125</v>
      </c>
      <c r="H247" s="139">
        <f t="shared" si="124"/>
        <v>1</v>
      </c>
      <c r="I247" t="s">
        <v>234</v>
      </c>
      <c r="J247" t="s">
        <v>186</v>
      </c>
      <c r="K247" s="2">
        <f t="shared" si="128"/>
        <v>4</v>
      </c>
      <c r="L247">
        <v>190000000</v>
      </c>
      <c r="M247" s="2">
        <f t="shared" si="129"/>
        <v>8.2787536009528289</v>
      </c>
      <c r="N247">
        <f t="shared" si="152"/>
        <v>190000000</v>
      </c>
      <c r="O247">
        <v>0</v>
      </c>
      <c r="P247" s="1">
        <v>39304</v>
      </c>
      <c r="Q247" s="89">
        <f t="shared" si="130"/>
        <v>2007</v>
      </c>
      <c r="R247" t="s">
        <v>152</v>
      </c>
      <c r="S247">
        <v>650000000</v>
      </c>
      <c r="T247" s="21">
        <f t="shared" si="120"/>
        <v>2.6931506849315068</v>
      </c>
      <c r="U247">
        <v>787.45</v>
      </c>
      <c r="V247">
        <f t="shared" si="131"/>
        <v>2.8967741575094288</v>
      </c>
      <c r="W247">
        <v>1998</v>
      </c>
      <c r="X247">
        <v>6</v>
      </c>
      <c r="Y247">
        <f t="shared" si="132"/>
        <v>0.84509804001425681</v>
      </c>
      <c r="Z247" s="45">
        <v>3.48</v>
      </c>
      <c r="AA247" s="9">
        <f t="shared" si="121"/>
        <v>460000000</v>
      </c>
      <c r="AB247" s="15">
        <f t="shared" si="122"/>
        <v>2.4210526315789473</v>
      </c>
      <c r="AC247" s="34">
        <f t="shared" si="133"/>
        <v>0.53415975569002661</v>
      </c>
      <c r="AD247">
        <v>1895.918367346939</v>
      </c>
      <c r="AE247">
        <f t="shared" si="126"/>
        <v>3.277819633965128</v>
      </c>
      <c r="AF247">
        <v>8519.3877551020414</v>
      </c>
      <c r="AG247">
        <f t="shared" si="127"/>
        <v>3.9304083853612104</v>
      </c>
      <c r="AH247" s="9">
        <v>76.3333333333333</v>
      </c>
      <c r="AI247" s="9">
        <f t="shared" si="134"/>
        <v>1.888366730171237</v>
      </c>
      <c r="AJ247">
        <v>85</v>
      </c>
      <c r="AK247" s="23" t="s">
        <v>589</v>
      </c>
      <c r="AL247" s="42">
        <v>49.305577465499702</v>
      </c>
      <c r="AM247" s="24">
        <v>0.24</v>
      </c>
      <c r="AN247" s="34">
        <f t="shared" si="135"/>
        <v>9.3421685162235063E-2</v>
      </c>
      <c r="AO247">
        <v>1989</v>
      </c>
      <c r="AP247">
        <v>15</v>
      </c>
      <c r="AQ247">
        <v>90</v>
      </c>
      <c r="AR247">
        <v>80</v>
      </c>
      <c r="AS247">
        <f t="shared" si="123"/>
        <v>0</v>
      </c>
      <c r="AT247">
        <f t="shared" si="136"/>
        <v>0</v>
      </c>
      <c r="AU247">
        <f t="shared" si="137"/>
        <v>0</v>
      </c>
      <c r="AV247">
        <f t="shared" si="138"/>
        <v>0</v>
      </c>
      <c r="AW247">
        <f t="shared" si="139"/>
        <v>0</v>
      </c>
      <c r="AX247">
        <f t="shared" si="140"/>
        <v>0</v>
      </c>
      <c r="AY247">
        <f t="shared" si="141"/>
        <v>0</v>
      </c>
      <c r="AZ247">
        <f t="shared" si="142"/>
        <v>0</v>
      </c>
      <c r="BA247">
        <f t="shared" si="143"/>
        <v>0</v>
      </c>
      <c r="BB247">
        <f t="shared" si="144"/>
        <v>0</v>
      </c>
      <c r="BC247">
        <f t="shared" si="145"/>
        <v>0</v>
      </c>
      <c r="BD247">
        <f t="shared" si="146"/>
        <v>0</v>
      </c>
      <c r="BE247">
        <f t="shared" si="147"/>
        <v>0</v>
      </c>
      <c r="BF247">
        <f t="shared" si="148"/>
        <v>0</v>
      </c>
      <c r="BG247">
        <f t="shared" si="149"/>
        <v>0</v>
      </c>
      <c r="BH247">
        <f t="shared" si="150"/>
        <v>0</v>
      </c>
      <c r="BI247">
        <f t="shared" si="151"/>
        <v>1</v>
      </c>
    </row>
    <row r="248" spans="1:61" ht="16.5" customHeight="1" x14ac:dyDescent="0.35">
      <c r="A248" t="s">
        <v>43</v>
      </c>
      <c r="B248" s="1">
        <v>36350</v>
      </c>
      <c r="C248" t="s">
        <v>590</v>
      </c>
      <c r="D248" t="s">
        <v>419</v>
      </c>
      <c r="E248" t="s">
        <v>591</v>
      </c>
      <c r="F248" t="s">
        <v>577</v>
      </c>
      <c r="G248" t="s">
        <v>125</v>
      </c>
      <c r="H248" s="139">
        <f t="shared" si="124"/>
        <v>1</v>
      </c>
      <c r="I248" t="s">
        <v>234</v>
      </c>
      <c r="J248" t="s">
        <v>248</v>
      </c>
      <c r="K248" s="2">
        <f t="shared" si="128"/>
        <v>5</v>
      </c>
      <c r="L248">
        <v>102521000</v>
      </c>
      <c r="M248" s="2">
        <f t="shared" si="129"/>
        <v>8.010812833684307</v>
      </c>
      <c r="N248">
        <f t="shared" si="152"/>
        <v>102521000</v>
      </c>
      <c r="O248">
        <v>0</v>
      </c>
      <c r="P248" s="1">
        <v>38912</v>
      </c>
      <c r="Q248" s="89">
        <f t="shared" si="130"/>
        <v>2006</v>
      </c>
      <c r="R248" t="s">
        <v>152</v>
      </c>
      <c r="S248">
        <v>67500000</v>
      </c>
      <c r="T248" s="21">
        <f t="shared" si="120"/>
        <v>7.0191780821917806</v>
      </c>
      <c r="U248">
        <v>787.45</v>
      </c>
      <c r="V248">
        <f t="shared" si="131"/>
        <v>2.8967741575094288</v>
      </c>
      <c r="W248">
        <v>1999</v>
      </c>
      <c r="X248">
        <v>0</v>
      </c>
      <c r="Y248">
        <f t="shared" si="132"/>
        <v>0</v>
      </c>
      <c r="Z248" s="45">
        <v>3.48</v>
      </c>
      <c r="AA248" s="9">
        <f t="shared" si="121"/>
        <v>-35021000</v>
      </c>
      <c r="AB248" s="15">
        <f t="shared" si="122"/>
        <v>-0.34159830668838576</v>
      </c>
      <c r="AC248" s="34">
        <f t="shared" si="133"/>
        <v>-0.18150906085328272</v>
      </c>
      <c r="AD248">
        <v>1895.918367346939</v>
      </c>
      <c r="AE248">
        <f t="shared" si="126"/>
        <v>3.277819633965128</v>
      </c>
      <c r="AF248">
        <v>8519.3877551020414</v>
      </c>
      <c r="AG248">
        <f t="shared" si="127"/>
        <v>3.9304083853612104</v>
      </c>
      <c r="AH248" s="9">
        <v>76.3333333333333</v>
      </c>
      <c r="AI248" s="9">
        <f t="shared" si="134"/>
        <v>1.888366730171237</v>
      </c>
      <c r="AJ248">
        <v>70</v>
      </c>
      <c r="AK248" s="23" t="s">
        <v>592</v>
      </c>
      <c r="AL248" s="42">
        <v>50.959243005601799</v>
      </c>
      <c r="AM248" s="24">
        <v>-0.12</v>
      </c>
      <c r="AN248" s="34">
        <f t="shared" si="135"/>
        <v>-5.551732784983137E-2</v>
      </c>
      <c r="AO248">
        <v>1989</v>
      </c>
      <c r="AP248">
        <v>10</v>
      </c>
      <c r="AQ248">
        <v>90</v>
      </c>
      <c r="AR248">
        <v>80</v>
      </c>
      <c r="AS248">
        <f t="shared" si="123"/>
        <v>0</v>
      </c>
      <c r="AT248">
        <f t="shared" si="136"/>
        <v>0</v>
      </c>
      <c r="AU248">
        <f t="shared" si="137"/>
        <v>0</v>
      </c>
      <c r="AV248">
        <f t="shared" si="138"/>
        <v>0</v>
      </c>
      <c r="AW248">
        <f t="shared" si="139"/>
        <v>0</v>
      </c>
      <c r="AX248">
        <f t="shared" si="140"/>
        <v>0</v>
      </c>
      <c r="AY248">
        <f t="shared" si="141"/>
        <v>0</v>
      </c>
      <c r="AZ248">
        <f t="shared" si="142"/>
        <v>0</v>
      </c>
      <c r="BA248">
        <f t="shared" si="143"/>
        <v>0</v>
      </c>
      <c r="BB248">
        <f t="shared" si="144"/>
        <v>0</v>
      </c>
      <c r="BC248">
        <f t="shared" si="145"/>
        <v>0</v>
      </c>
      <c r="BD248">
        <f t="shared" si="146"/>
        <v>0</v>
      </c>
      <c r="BE248">
        <f t="shared" si="147"/>
        <v>0</v>
      </c>
      <c r="BF248">
        <f t="shared" si="148"/>
        <v>0</v>
      </c>
      <c r="BG248">
        <f t="shared" si="149"/>
        <v>0</v>
      </c>
      <c r="BH248">
        <f t="shared" si="150"/>
        <v>0</v>
      </c>
      <c r="BI248">
        <f t="shared" si="151"/>
        <v>1</v>
      </c>
    </row>
    <row r="249" spans="1:61" ht="15.75" customHeight="1" x14ac:dyDescent="0.35">
      <c r="A249" t="s">
        <v>51</v>
      </c>
      <c r="B249" s="1">
        <v>40260</v>
      </c>
      <c r="C249" t="s">
        <v>593</v>
      </c>
      <c r="D249" t="s">
        <v>1</v>
      </c>
      <c r="E249" t="s">
        <v>594</v>
      </c>
      <c r="F249" t="s">
        <v>577</v>
      </c>
      <c r="G249" t="s">
        <v>102</v>
      </c>
      <c r="H249" s="139">
        <f t="shared" si="124"/>
        <v>0</v>
      </c>
      <c r="I249" t="s">
        <v>234</v>
      </c>
      <c r="J249" t="s">
        <v>183</v>
      </c>
      <c r="K249" s="2">
        <f t="shared" si="128"/>
        <v>3</v>
      </c>
      <c r="L249">
        <v>24300000</v>
      </c>
      <c r="M249" s="2">
        <f t="shared" si="129"/>
        <v>7.3856062735983121</v>
      </c>
      <c r="N249">
        <f t="shared" si="152"/>
        <v>24300000</v>
      </c>
      <c r="O249">
        <v>0</v>
      </c>
      <c r="P249" s="1">
        <v>42045</v>
      </c>
      <c r="Q249" s="89">
        <f t="shared" si="130"/>
        <v>2015</v>
      </c>
      <c r="R249" t="s">
        <v>338</v>
      </c>
      <c r="S249">
        <v>0</v>
      </c>
      <c r="T249" s="21">
        <f t="shared" si="120"/>
        <v>4.8904109589041092</v>
      </c>
      <c r="U249">
        <v>0</v>
      </c>
      <c r="V249">
        <f t="shared" si="131"/>
        <v>0</v>
      </c>
      <c r="W249">
        <v>2009</v>
      </c>
      <c r="X249">
        <v>1</v>
      </c>
      <c r="Y249">
        <f t="shared" si="132"/>
        <v>0.3010299956639812</v>
      </c>
      <c r="Z249" s="45">
        <v>3.42</v>
      </c>
      <c r="AA249" s="9">
        <f t="shared" si="121"/>
        <v>-24300000</v>
      </c>
      <c r="AB249" s="15">
        <f t="shared" si="122"/>
        <v>-1</v>
      </c>
      <c r="AC249" s="34">
        <f t="shared" si="133"/>
        <v>-1</v>
      </c>
      <c r="AD249">
        <v>3472</v>
      </c>
      <c r="AE249">
        <f t="shared" si="126"/>
        <v>3.5405797165044541</v>
      </c>
      <c r="AF249">
        <v>7848</v>
      </c>
      <c r="AG249">
        <f t="shared" si="127"/>
        <v>3.8947589943718919</v>
      </c>
      <c r="AH249" s="9">
        <v>0</v>
      </c>
      <c r="AI249" s="9">
        <f t="shared" si="134"/>
        <v>0</v>
      </c>
      <c r="AJ249">
        <v>88.8</v>
      </c>
      <c r="AK249" s="23" t="s">
        <v>587</v>
      </c>
      <c r="AL249" s="42">
        <v>44.943689399743</v>
      </c>
      <c r="AM249" s="24">
        <v>0.76</v>
      </c>
      <c r="AN249" s="34">
        <f t="shared" si="135"/>
        <v>0.24551266781414982</v>
      </c>
      <c r="AO249">
        <v>1985</v>
      </c>
      <c r="AP249">
        <v>25</v>
      </c>
      <c r="AQ249">
        <v>70</v>
      </c>
      <c r="AR249">
        <v>50</v>
      </c>
      <c r="AS249">
        <f t="shared" si="123"/>
        <v>1</v>
      </c>
      <c r="AT249">
        <f t="shared" si="136"/>
        <v>0</v>
      </c>
      <c r="AU249">
        <f t="shared" si="137"/>
        <v>0</v>
      </c>
      <c r="AV249">
        <f t="shared" si="138"/>
        <v>1</v>
      </c>
      <c r="AW249">
        <f t="shared" si="139"/>
        <v>0</v>
      </c>
      <c r="AX249">
        <f t="shared" si="140"/>
        <v>0</v>
      </c>
      <c r="AY249">
        <f t="shared" si="141"/>
        <v>0</v>
      </c>
      <c r="AZ249">
        <f t="shared" si="142"/>
        <v>0</v>
      </c>
      <c r="BA249">
        <f t="shared" si="143"/>
        <v>0</v>
      </c>
      <c r="BB249">
        <f t="shared" si="144"/>
        <v>0</v>
      </c>
      <c r="BC249">
        <f t="shared" si="145"/>
        <v>0</v>
      </c>
      <c r="BD249">
        <f t="shared" si="146"/>
        <v>0</v>
      </c>
      <c r="BE249">
        <f t="shared" si="147"/>
        <v>0</v>
      </c>
      <c r="BF249">
        <f t="shared" si="148"/>
        <v>0</v>
      </c>
      <c r="BG249">
        <f t="shared" si="149"/>
        <v>0</v>
      </c>
      <c r="BH249">
        <f t="shared" si="150"/>
        <v>0</v>
      </c>
      <c r="BI249">
        <f t="shared" si="151"/>
        <v>0</v>
      </c>
    </row>
    <row r="250" spans="1:61" ht="15" customHeight="1" x14ac:dyDescent="0.35">
      <c r="A250" t="s">
        <v>51</v>
      </c>
      <c r="B250" s="1">
        <v>37788</v>
      </c>
      <c r="C250" s="8" t="s">
        <v>595</v>
      </c>
      <c r="D250" t="s">
        <v>1</v>
      </c>
      <c r="E250" t="s">
        <v>596</v>
      </c>
      <c r="F250" t="s">
        <v>577</v>
      </c>
      <c r="G250" t="s">
        <v>102</v>
      </c>
      <c r="H250" s="139">
        <f t="shared" si="124"/>
        <v>0</v>
      </c>
      <c r="I250" t="s">
        <v>597</v>
      </c>
      <c r="J250" t="s">
        <v>183</v>
      </c>
      <c r="K250" s="2">
        <f t="shared" si="128"/>
        <v>3</v>
      </c>
      <c r="L250">
        <v>25000000</v>
      </c>
      <c r="M250" s="2">
        <f t="shared" si="129"/>
        <v>7.3979400086720375</v>
      </c>
      <c r="N250">
        <f t="shared" si="152"/>
        <v>25000000</v>
      </c>
      <c r="O250">
        <v>0</v>
      </c>
      <c r="P250" s="1">
        <v>38530</v>
      </c>
      <c r="Q250" s="89">
        <f t="shared" si="130"/>
        <v>2005</v>
      </c>
      <c r="R250" t="s">
        <v>49</v>
      </c>
      <c r="S250">
        <v>86054952</v>
      </c>
      <c r="T250" s="21">
        <f t="shared" si="120"/>
        <v>2.032876712328767</v>
      </c>
      <c r="U250">
        <v>0</v>
      </c>
      <c r="V250">
        <f t="shared" si="131"/>
        <v>0</v>
      </c>
      <c r="W250">
        <v>2002</v>
      </c>
      <c r="X250">
        <v>1</v>
      </c>
      <c r="Y250">
        <f t="shared" si="132"/>
        <v>0.3010299956639812</v>
      </c>
      <c r="Z250" s="45">
        <v>3.42</v>
      </c>
      <c r="AA250" s="9">
        <f t="shared" si="121"/>
        <v>61054952</v>
      </c>
      <c r="AB250" s="15">
        <f t="shared" si="122"/>
        <v>2.4421980799999998</v>
      </c>
      <c r="AC250" s="34">
        <f t="shared" si="133"/>
        <v>0.53683585802401912</v>
      </c>
      <c r="AD250">
        <v>3472</v>
      </c>
      <c r="AE250">
        <f t="shared" si="126"/>
        <v>3.5405797165044541</v>
      </c>
      <c r="AF250">
        <v>7848</v>
      </c>
      <c r="AG250">
        <f t="shared" si="127"/>
        <v>3.8947589943718919</v>
      </c>
      <c r="AH250" s="9">
        <v>0</v>
      </c>
      <c r="AI250" s="9">
        <f t="shared" si="134"/>
        <v>0</v>
      </c>
      <c r="AJ250">
        <v>70</v>
      </c>
      <c r="AK250" s="23" t="s">
        <v>598</v>
      </c>
      <c r="AL250" s="42">
        <v>47.869460173510603</v>
      </c>
      <c r="AM250" s="24">
        <v>0.18</v>
      </c>
      <c r="AN250" s="34">
        <f t="shared" si="135"/>
        <v>7.1882007306125359E-2</v>
      </c>
      <c r="AO250">
        <v>1985</v>
      </c>
      <c r="AP250">
        <v>18</v>
      </c>
      <c r="AQ250">
        <v>70</v>
      </c>
      <c r="AR250">
        <v>50</v>
      </c>
      <c r="AS250">
        <f t="shared" si="123"/>
        <v>0</v>
      </c>
      <c r="AT250">
        <f t="shared" si="136"/>
        <v>0</v>
      </c>
      <c r="AU250">
        <f t="shared" si="137"/>
        <v>0</v>
      </c>
      <c r="AV250">
        <f t="shared" si="138"/>
        <v>1</v>
      </c>
      <c r="AW250">
        <f t="shared" si="139"/>
        <v>0</v>
      </c>
      <c r="AX250">
        <f t="shared" si="140"/>
        <v>0</v>
      </c>
      <c r="AY250">
        <f t="shared" si="141"/>
        <v>0</v>
      </c>
      <c r="AZ250">
        <f t="shared" si="142"/>
        <v>0</v>
      </c>
      <c r="BA250">
        <f t="shared" si="143"/>
        <v>0</v>
      </c>
      <c r="BB250">
        <f t="shared" si="144"/>
        <v>0</v>
      </c>
      <c r="BC250">
        <f t="shared" si="145"/>
        <v>0</v>
      </c>
      <c r="BD250">
        <f t="shared" si="146"/>
        <v>0</v>
      </c>
      <c r="BE250">
        <f t="shared" si="147"/>
        <v>0</v>
      </c>
      <c r="BF250">
        <f t="shared" si="148"/>
        <v>0</v>
      </c>
      <c r="BG250">
        <f t="shared" si="149"/>
        <v>0</v>
      </c>
      <c r="BH250">
        <f t="shared" si="150"/>
        <v>0</v>
      </c>
      <c r="BI250">
        <f t="shared" si="151"/>
        <v>0</v>
      </c>
    </row>
    <row r="251" spans="1:61" x14ac:dyDescent="0.35">
      <c r="A251" t="s">
        <v>599</v>
      </c>
      <c r="B251" s="1">
        <v>38284</v>
      </c>
      <c r="C251" t="s">
        <v>600</v>
      </c>
      <c r="D251" t="s">
        <v>2</v>
      </c>
      <c r="E251" t="s">
        <v>601</v>
      </c>
      <c r="F251" t="s">
        <v>602</v>
      </c>
      <c r="G251" t="s">
        <v>64</v>
      </c>
      <c r="H251" s="139">
        <f t="shared" si="124"/>
        <v>1</v>
      </c>
      <c r="I251" t="s">
        <v>234</v>
      </c>
      <c r="J251" t="s">
        <v>178</v>
      </c>
      <c r="K251" s="2">
        <f t="shared" si="128"/>
        <v>9</v>
      </c>
      <c r="L251">
        <v>142063002</v>
      </c>
      <c r="M251" s="2">
        <f t="shared" si="129"/>
        <v>8.15248098771362</v>
      </c>
      <c r="N251">
        <v>142063002</v>
      </c>
      <c r="O251">
        <v>0</v>
      </c>
      <c r="P251" s="1">
        <v>41631</v>
      </c>
      <c r="Q251" s="89">
        <f t="shared" si="130"/>
        <v>2013</v>
      </c>
      <c r="R251" t="s">
        <v>152</v>
      </c>
      <c r="S251">
        <v>316110000</v>
      </c>
      <c r="T251" s="21">
        <f t="shared" si="120"/>
        <v>9.169863013698631</v>
      </c>
      <c r="U251">
        <v>6815.73</v>
      </c>
      <c r="V251">
        <f t="shared" si="131"/>
        <v>3.8335760926148099</v>
      </c>
      <c r="W251">
        <v>1993</v>
      </c>
      <c r="X251">
        <v>11</v>
      </c>
      <c r="Y251">
        <f t="shared" si="132"/>
        <v>1.0791812460476249</v>
      </c>
      <c r="Z251" s="45">
        <v>2.85</v>
      </c>
      <c r="AA251" s="9">
        <f t="shared" si="121"/>
        <v>174046998</v>
      </c>
      <c r="AB251" s="15">
        <f t="shared" si="122"/>
        <v>1.2251395194365946</v>
      </c>
      <c r="AC251" s="34">
        <f t="shared" si="133"/>
        <v>0.34735724705707294</v>
      </c>
      <c r="AD251">
        <v>1246.953</v>
      </c>
      <c r="AE251">
        <f t="shared" si="126"/>
        <v>3.0958500844125241</v>
      </c>
      <c r="AF251">
        <v>3219.7179999999998</v>
      </c>
      <c r="AG251">
        <f t="shared" si="127"/>
        <v>3.5078178355445662</v>
      </c>
      <c r="AH251" s="9">
        <v>819</v>
      </c>
      <c r="AI251" s="9">
        <f t="shared" si="134"/>
        <v>2.9138138523837167</v>
      </c>
      <c r="AJ251">
        <v>70</v>
      </c>
      <c r="AK251" s="23" t="s">
        <v>213</v>
      </c>
      <c r="AL251" s="42">
        <v>46.312020505412598</v>
      </c>
      <c r="AM251" s="24">
        <v>0.67</v>
      </c>
      <c r="AN251" s="34">
        <f t="shared" si="135"/>
        <v>0.22271647114758325</v>
      </c>
      <c r="AO251">
        <v>1987</v>
      </c>
      <c r="AP251">
        <v>17</v>
      </c>
      <c r="AQ251">
        <v>70</v>
      </c>
      <c r="AR251">
        <v>70</v>
      </c>
      <c r="AS251">
        <f t="shared" si="123"/>
        <v>0</v>
      </c>
      <c r="AT251">
        <f t="shared" si="136"/>
        <v>0</v>
      </c>
      <c r="AU251">
        <f t="shared" si="137"/>
        <v>0</v>
      </c>
      <c r="AV251">
        <f t="shared" si="138"/>
        <v>0</v>
      </c>
      <c r="AW251">
        <f t="shared" si="139"/>
        <v>0</v>
      </c>
      <c r="AX251">
        <f t="shared" si="140"/>
        <v>0</v>
      </c>
      <c r="AY251">
        <f t="shared" si="141"/>
        <v>0</v>
      </c>
      <c r="AZ251">
        <f t="shared" si="142"/>
        <v>0</v>
      </c>
      <c r="BA251">
        <f t="shared" si="143"/>
        <v>0</v>
      </c>
      <c r="BB251">
        <f t="shared" si="144"/>
        <v>1</v>
      </c>
      <c r="BC251">
        <f t="shared" si="145"/>
        <v>0</v>
      </c>
      <c r="BD251">
        <f t="shared" si="146"/>
        <v>0</v>
      </c>
      <c r="BE251">
        <f t="shared" si="147"/>
        <v>0</v>
      </c>
      <c r="BF251">
        <f t="shared" si="148"/>
        <v>0</v>
      </c>
      <c r="BG251">
        <f t="shared" si="149"/>
        <v>0</v>
      </c>
      <c r="BH251">
        <f t="shared" si="150"/>
        <v>0</v>
      </c>
      <c r="BI251">
        <f t="shared" si="151"/>
        <v>0</v>
      </c>
    </row>
    <row r="252" spans="1:61" x14ac:dyDescent="0.35">
      <c r="A252" t="s">
        <v>603</v>
      </c>
      <c r="B252" s="1">
        <v>36694</v>
      </c>
      <c r="C252" t="s">
        <v>604</v>
      </c>
      <c r="D252" t="s">
        <v>2</v>
      </c>
      <c r="E252" t="s">
        <v>605</v>
      </c>
      <c r="F252" t="s">
        <v>602</v>
      </c>
      <c r="G252" t="s">
        <v>64</v>
      </c>
      <c r="H252" s="139">
        <f t="shared" si="124"/>
        <v>1</v>
      </c>
      <c r="I252" t="s">
        <v>234</v>
      </c>
      <c r="J252" t="s">
        <v>248</v>
      </c>
      <c r="K252" s="2">
        <f t="shared" si="128"/>
        <v>5</v>
      </c>
      <c r="L252">
        <v>78750000</v>
      </c>
      <c r="M252" s="2">
        <f t="shared" si="129"/>
        <v>7.8962505624616384</v>
      </c>
      <c r="N252">
        <f>L252</f>
        <v>78750000</v>
      </c>
      <c r="O252">
        <v>0</v>
      </c>
      <c r="P252" s="1">
        <v>38356</v>
      </c>
      <c r="Q252" s="89">
        <f t="shared" si="130"/>
        <v>2005</v>
      </c>
      <c r="R252" t="s">
        <v>107</v>
      </c>
      <c r="S252">
        <v>77329875</v>
      </c>
      <c r="T252" s="21">
        <f t="shared" si="120"/>
        <v>4.5534246575342463</v>
      </c>
      <c r="U252">
        <v>6815.73</v>
      </c>
      <c r="V252">
        <f t="shared" si="131"/>
        <v>3.8335760926148099</v>
      </c>
      <c r="W252">
        <v>1912</v>
      </c>
      <c r="X252">
        <v>88</v>
      </c>
      <c r="Y252">
        <f t="shared" si="132"/>
        <v>1.9493900066449128</v>
      </c>
      <c r="Z252" s="45">
        <v>2.85</v>
      </c>
      <c r="AA252" s="9">
        <f t="shared" si="121"/>
        <v>-1420125</v>
      </c>
      <c r="AB252" s="15">
        <f t="shared" si="122"/>
        <v>-1.8033333333333346E-2</v>
      </c>
      <c r="AC252" s="34">
        <f t="shared" si="133"/>
        <v>-7.90325429903092E-3</v>
      </c>
      <c r="AD252">
        <v>1246.953</v>
      </c>
      <c r="AE252">
        <f t="shared" si="126"/>
        <v>3.0958500844125241</v>
      </c>
      <c r="AF252">
        <v>3219.7179999999998</v>
      </c>
      <c r="AG252">
        <f t="shared" si="127"/>
        <v>3.5078178355445662</v>
      </c>
      <c r="AH252" s="9">
        <v>819</v>
      </c>
      <c r="AI252" s="9">
        <f t="shared" si="134"/>
        <v>2.9138138523837167</v>
      </c>
      <c r="AJ252">
        <v>70</v>
      </c>
      <c r="AK252" s="23" t="s">
        <v>374</v>
      </c>
      <c r="AL252" s="42">
        <v>44.748733746598099</v>
      </c>
      <c r="AM252" s="24">
        <v>-0.19</v>
      </c>
      <c r="AN252" s="34">
        <f t="shared" si="135"/>
        <v>-9.1514981121350217E-2</v>
      </c>
      <c r="AO252">
        <v>1987</v>
      </c>
      <c r="AP252">
        <v>13</v>
      </c>
      <c r="AQ252">
        <v>70</v>
      </c>
      <c r="AR252">
        <v>70</v>
      </c>
      <c r="AS252">
        <f t="shared" si="123"/>
        <v>0</v>
      </c>
      <c r="AT252">
        <f t="shared" si="136"/>
        <v>0</v>
      </c>
      <c r="AU252">
        <f t="shared" si="137"/>
        <v>0</v>
      </c>
      <c r="AV252">
        <f t="shared" si="138"/>
        <v>0</v>
      </c>
      <c r="AW252">
        <f t="shared" si="139"/>
        <v>0</v>
      </c>
      <c r="AX252">
        <f t="shared" si="140"/>
        <v>0</v>
      </c>
      <c r="AY252">
        <f t="shared" si="141"/>
        <v>0</v>
      </c>
      <c r="AZ252">
        <f t="shared" si="142"/>
        <v>0</v>
      </c>
      <c r="BA252">
        <f t="shared" si="143"/>
        <v>0</v>
      </c>
      <c r="BB252">
        <f t="shared" si="144"/>
        <v>1</v>
      </c>
      <c r="BC252">
        <f t="shared" si="145"/>
        <v>0</v>
      </c>
      <c r="BD252">
        <f t="shared" si="146"/>
        <v>0</v>
      </c>
      <c r="BE252">
        <f t="shared" si="147"/>
        <v>0</v>
      </c>
      <c r="BF252">
        <f t="shared" si="148"/>
        <v>0</v>
      </c>
      <c r="BG252">
        <f t="shared" si="149"/>
        <v>0</v>
      </c>
      <c r="BH252">
        <f t="shared" si="150"/>
        <v>0</v>
      </c>
      <c r="BI252">
        <f t="shared" si="151"/>
        <v>0</v>
      </c>
    </row>
    <row r="253" spans="1:61" x14ac:dyDescent="0.35">
      <c r="A253" t="s">
        <v>196</v>
      </c>
      <c r="B253" s="1">
        <v>36311</v>
      </c>
      <c r="C253" t="s">
        <v>606</v>
      </c>
      <c r="D253" t="s">
        <v>2</v>
      </c>
      <c r="E253" t="s">
        <v>607</v>
      </c>
      <c r="F253" t="s">
        <v>602</v>
      </c>
      <c r="G253" t="s">
        <v>64</v>
      </c>
      <c r="H253" s="139">
        <f t="shared" si="124"/>
        <v>1</v>
      </c>
      <c r="I253" t="s">
        <v>234</v>
      </c>
      <c r="J253" t="s">
        <v>235</v>
      </c>
      <c r="K253" s="2">
        <f t="shared" si="128"/>
        <v>1</v>
      </c>
      <c r="L253">
        <v>62827225</v>
      </c>
      <c r="M253" s="2">
        <f t="shared" si="129"/>
        <v>7.7981478778951168</v>
      </c>
      <c r="N253">
        <f>L253</f>
        <v>62827225</v>
      </c>
      <c r="O253">
        <v>0</v>
      </c>
      <c r="P253" s="1">
        <v>38322</v>
      </c>
      <c r="Q253" s="89">
        <f t="shared" si="130"/>
        <v>2004</v>
      </c>
      <c r="R253" t="s">
        <v>152</v>
      </c>
      <c r="S253">
        <v>700000000</v>
      </c>
      <c r="T253" s="21">
        <f t="shared" si="120"/>
        <v>5.5095890410958903</v>
      </c>
      <c r="U253">
        <v>6815.73</v>
      </c>
      <c r="V253">
        <f t="shared" si="131"/>
        <v>3.8335760926148099</v>
      </c>
      <c r="W253">
        <v>1908</v>
      </c>
      <c r="X253">
        <v>91</v>
      </c>
      <c r="Y253">
        <f t="shared" si="132"/>
        <v>1.9637878273455553</v>
      </c>
      <c r="Z253" s="45">
        <v>2.85</v>
      </c>
      <c r="AA253" s="9">
        <f t="shared" si="121"/>
        <v>637172775</v>
      </c>
      <c r="AB253" s="15">
        <f t="shared" si="122"/>
        <v>10.141666689878472</v>
      </c>
      <c r="AC253" s="34">
        <f t="shared" si="133"/>
        <v>1.0469501621191397</v>
      </c>
      <c r="AD253">
        <v>1246.953</v>
      </c>
      <c r="AE253">
        <f t="shared" si="126"/>
        <v>3.0958500844125241</v>
      </c>
      <c r="AF253">
        <v>3219.7179999999998</v>
      </c>
      <c r="AG253">
        <f t="shared" si="127"/>
        <v>3.5078178355445662</v>
      </c>
      <c r="AH253" s="9">
        <v>819</v>
      </c>
      <c r="AI253" s="9">
        <f t="shared" si="134"/>
        <v>2.9138138523837167</v>
      </c>
      <c r="AJ253">
        <v>70</v>
      </c>
      <c r="AK253" s="23" t="s">
        <v>374</v>
      </c>
      <c r="AL253" s="42">
        <v>47.694345434117203</v>
      </c>
      <c r="AM253" s="24">
        <v>-0.08</v>
      </c>
      <c r="AN253" s="34">
        <f t="shared" si="135"/>
        <v>-3.6212172654444715E-2</v>
      </c>
      <c r="AO253">
        <v>1987</v>
      </c>
      <c r="AP253">
        <v>12</v>
      </c>
      <c r="AQ253">
        <v>70</v>
      </c>
      <c r="AR253">
        <v>70</v>
      </c>
      <c r="AS253">
        <f t="shared" si="123"/>
        <v>0</v>
      </c>
      <c r="AT253">
        <f t="shared" si="136"/>
        <v>0</v>
      </c>
      <c r="AU253">
        <f t="shared" si="137"/>
        <v>0</v>
      </c>
      <c r="AV253">
        <f t="shared" si="138"/>
        <v>0</v>
      </c>
      <c r="AW253">
        <f t="shared" si="139"/>
        <v>0</v>
      </c>
      <c r="AX253">
        <f t="shared" si="140"/>
        <v>0</v>
      </c>
      <c r="AY253">
        <f t="shared" si="141"/>
        <v>0</v>
      </c>
      <c r="AZ253">
        <f t="shared" si="142"/>
        <v>0</v>
      </c>
      <c r="BA253">
        <f t="shared" si="143"/>
        <v>0</v>
      </c>
      <c r="BB253">
        <f t="shared" si="144"/>
        <v>1</v>
      </c>
      <c r="BC253">
        <f t="shared" si="145"/>
        <v>0</v>
      </c>
      <c r="BD253">
        <f t="shared" si="146"/>
        <v>0</v>
      </c>
      <c r="BE253">
        <f t="shared" si="147"/>
        <v>0</v>
      </c>
      <c r="BF253">
        <f t="shared" si="148"/>
        <v>0</v>
      </c>
      <c r="BG253">
        <f t="shared" si="149"/>
        <v>0</v>
      </c>
      <c r="BH253">
        <f t="shared" si="150"/>
        <v>0</v>
      </c>
      <c r="BI253">
        <f t="shared" si="151"/>
        <v>0</v>
      </c>
    </row>
    <row r="254" spans="1:61" x14ac:dyDescent="0.35">
      <c r="A254" t="s">
        <v>196</v>
      </c>
      <c r="B254" s="1">
        <v>38744</v>
      </c>
      <c r="C254" t="s">
        <v>261</v>
      </c>
      <c r="D254" t="s">
        <v>4</v>
      </c>
      <c r="E254" t="s">
        <v>608</v>
      </c>
      <c r="F254" t="s">
        <v>602</v>
      </c>
      <c r="G254" t="s">
        <v>64</v>
      </c>
      <c r="H254" s="139">
        <f t="shared" si="124"/>
        <v>1</v>
      </c>
      <c r="I254" t="s">
        <v>234</v>
      </c>
      <c r="J254" t="s">
        <v>186</v>
      </c>
      <c r="K254" s="2">
        <f t="shared" si="128"/>
        <v>4</v>
      </c>
      <c r="L254">
        <v>498259398</v>
      </c>
      <c r="M254" s="2">
        <f t="shared" si="129"/>
        <v>8.6974554989651978</v>
      </c>
      <c r="N254">
        <f>L254</f>
        <v>498259398</v>
      </c>
      <c r="O254">
        <v>0</v>
      </c>
      <c r="P254" s="1">
        <v>40807</v>
      </c>
      <c r="Q254" s="89">
        <f t="shared" si="130"/>
        <v>2011</v>
      </c>
      <c r="R254" t="s">
        <v>152</v>
      </c>
      <c r="S254">
        <v>1848918842</v>
      </c>
      <c r="T254" s="21">
        <f t="shared" si="120"/>
        <v>5.6520547945205477</v>
      </c>
      <c r="U254">
        <v>6635.86</v>
      </c>
      <c r="V254">
        <f t="shared" si="131"/>
        <v>3.8219626565950726</v>
      </c>
      <c r="W254">
        <v>1983</v>
      </c>
      <c r="X254">
        <v>23</v>
      </c>
      <c r="Y254">
        <f t="shared" si="132"/>
        <v>1.3802112417116059</v>
      </c>
      <c r="Z254" s="45">
        <v>3.03</v>
      </c>
      <c r="AA254" s="9">
        <f t="shared" si="121"/>
        <v>1350659444</v>
      </c>
      <c r="AB254" s="15">
        <f t="shared" si="122"/>
        <v>2.7107555811721991</v>
      </c>
      <c r="AC254" s="34">
        <f t="shared" si="133"/>
        <v>0.56946234932479256</v>
      </c>
      <c r="AD254">
        <v>1246.953</v>
      </c>
      <c r="AE254">
        <f t="shared" si="126"/>
        <v>3.0958500844125241</v>
      </c>
      <c r="AF254">
        <v>3219.7179999999998</v>
      </c>
      <c r="AG254">
        <f t="shared" si="127"/>
        <v>3.5078178355445662</v>
      </c>
      <c r="AH254" s="9">
        <v>808</v>
      </c>
      <c r="AI254" s="9">
        <f t="shared" si="134"/>
        <v>2.9079485216122722</v>
      </c>
      <c r="AJ254">
        <v>96.1</v>
      </c>
      <c r="AK254" s="23" t="s">
        <v>260</v>
      </c>
      <c r="AL254" s="42">
        <v>50.974560675820896</v>
      </c>
      <c r="AM254" s="24">
        <v>-0.09</v>
      </c>
      <c r="AN254" s="34">
        <f t="shared" si="135"/>
        <v>-4.0958607678906384E-2</v>
      </c>
      <c r="AO254">
        <v>1987</v>
      </c>
      <c r="AP254">
        <v>19</v>
      </c>
      <c r="AQ254">
        <v>70</v>
      </c>
      <c r="AR254">
        <v>70</v>
      </c>
      <c r="AS254">
        <f t="shared" si="123"/>
        <v>0</v>
      </c>
      <c r="AT254">
        <f t="shared" si="136"/>
        <v>0</v>
      </c>
      <c r="AU254">
        <f t="shared" si="137"/>
        <v>0</v>
      </c>
      <c r="AV254">
        <f t="shared" si="138"/>
        <v>0</v>
      </c>
      <c r="AW254">
        <f t="shared" si="139"/>
        <v>0</v>
      </c>
      <c r="AX254">
        <f t="shared" si="140"/>
        <v>1</v>
      </c>
      <c r="AY254">
        <f t="shared" si="141"/>
        <v>0</v>
      </c>
      <c r="AZ254">
        <f t="shared" si="142"/>
        <v>0</v>
      </c>
      <c r="BA254">
        <f t="shared" si="143"/>
        <v>0</v>
      </c>
      <c r="BB254">
        <f t="shared" si="144"/>
        <v>0</v>
      </c>
      <c r="BC254">
        <f t="shared" si="145"/>
        <v>0</v>
      </c>
      <c r="BD254">
        <f t="shared" si="146"/>
        <v>0</v>
      </c>
      <c r="BE254">
        <f t="shared" si="147"/>
        <v>0</v>
      </c>
      <c r="BF254">
        <f t="shared" si="148"/>
        <v>0</v>
      </c>
      <c r="BG254">
        <f t="shared" si="149"/>
        <v>0</v>
      </c>
      <c r="BH254">
        <f t="shared" si="150"/>
        <v>0</v>
      </c>
      <c r="BI254">
        <f t="shared" si="151"/>
        <v>0</v>
      </c>
    </row>
    <row r="255" spans="1:61" x14ac:dyDescent="0.35">
      <c r="A255" t="s">
        <v>196</v>
      </c>
      <c r="B255" s="1">
        <v>37103</v>
      </c>
      <c r="C255" t="s">
        <v>609</v>
      </c>
      <c r="D255" t="s">
        <v>1</v>
      </c>
      <c r="E255" t="s">
        <v>610</v>
      </c>
      <c r="F255" t="s">
        <v>602</v>
      </c>
      <c r="G255" t="s">
        <v>64</v>
      </c>
      <c r="H255" s="139">
        <f t="shared" si="124"/>
        <v>1</v>
      </c>
      <c r="I255" t="s">
        <v>611</v>
      </c>
      <c r="J255" t="s">
        <v>183</v>
      </c>
      <c r="K255" s="2">
        <f t="shared" si="128"/>
        <v>3</v>
      </c>
      <c r="L255">
        <v>175520000</v>
      </c>
      <c r="M255" s="2">
        <f t="shared" si="129"/>
        <v>8.2443266102306367</v>
      </c>
      <c r="N255">
        <f>L255-O255</f>
        <v>75230000</v>
      </c>
      <c r="O255">
        <v>100290000</v>
      </c>
      <c r="P255" s="1">
        <v>40387</v>
      </c>
      <c r="Q255" s="89">
        <f t="shared" si="130"/>
        <v>2010</v>
      </c>
      <c r="R255" t="s">
        <v>107</v>
      </c>
      <c r="S255">
        <v>1756300000</v>
      </c>
      <c r="T255" s="21">
        <f t="shared" si="120"/>
        <v>8.9972602739726035</v>
      </c>
      <c r="U255">
        <v>6232.1</v>
      </c>
      <c r="V255">
        <f t="shared" si="131"/>
        <v>3.7947040944998616</v>
      </c>
      <c r="W255">
        <v>1997</v>
      </c>
      <c r="X255">
        <v>4</v>
      </c>
      <c r="Y255">
        <f t="shared" si="132"/>
        <v>0.69897000433601886</v>
      </c>
      <c r="Z255" s="45">
        <v>2.93</v>
      </c>
      <c r="AA255" s="9">
        <f t="shared" si="121"/>
        <v>1681070000</v>
      </c>
      <c r="AB255" s="15">
        <f t="shared" si="122"/>
        <v>9.0062670920692796</v>
      </c>
      <c r="AC255" s="34">
        <f t="shared" si="133"/>
        <v>1.0002720910982315</v>
      </c>
      <c r="AD255">
        <v>1246.953</v>
      </c>
      <c r="AE255">
        <f t="shared" si="126"/>
        <v>3.0958500844125241</v>
      </c>
      <c r="AF255">
        <v>3219.7179999999998</v>
      </c>
      <c r="AG255">
        <f t="shared" si="127"/>
        <v>3.5078178355445662</v>
      </c>
      <c r="AH255" s="9">
        <v>624.5</v>
      </c>
      <c r="AI255" s="9">
        <f t="shared" si="134"/>
        <v>2.7962273140294389</v>
      </c>
      <c r="AJ255">
        <v>70</v>
      </c>
      <c r="AK255" s="23" t="s">
        <v>210</v>
      </c>
      <c r="AL255" s="42">
        <v>43.801966655694599</v>
      </c>
      <c r="AM255" s="24">
        <v>-0.09</v>
      </c>
      <c r="AN255" s="34">
        <f t="shared" si="135"/>
        <v>-4.0958607678906384E-2</v>
      </c>
      <c r="AO255">
        <v>1987</v>
      </c>
      <c r="AP255">
        <v>14</v>
      </c>
      <c r="AQ255">
        <v>70</v>
      </c>
      <c r="AR255">
        <v>50</v>
      </c>
      <c r="AS255">
        <f t="shared" si="123"/>
        <v>0</v>
      </c>
      <c r="AT255">
        <f t="shared" si="136"/>
        <v>0</v>
      </c>
      <c r="AU255">
        <f t="shared" si="137"/>
        <v>0</v>
      </c>
      <c r="AV255">
        <f t="shared" si="138"/>
        <v>1</v>
      </c>
      <c r="AW255">
        <f t="shared" si="139"/>
        <v>0</v>
      </c>
      <c r="AX255">
        <f t="shared" si="140"/>
        <v>0</v>
      </c>
      <c r="AY255">
        <f t="shared" si="141"/>
        <v>0</v>
      </c>
      <c r="AZ255">
        <f t="shared" si="142"/>
        <v>0</v>
      </c>
      <c r="BA255">
        <f t="shared" si="143"/>
        <v>0</v>
      </c>
      <c r="BB255">
        <f t="shared" si="144"/>
        <v>0</v>
      </c>
      <c r="BC255">
        <f t="shared" si="145"/>
        <v>0</v>
      </c>
      <c r="BD255">
        <f t="shared" si="146"/>
        <v>0</v>
      </c>
      <c r="BE255">
        <f t="shared" si="147"/>
        <v>0</v>
      </c>
      <c r="BF255">
        <f t="shared" si="148"/>
        <v>0</v>
      </c>
      <c r="BG255">
        <f t="shared" si="149"/>
        <v>0</v>
      </c>
      <c r="BH255">
        <f t="shared" si="150"/>
        <v>0</v>
      </c>
      <c r="BI255">
        <f t="shared" si="151"/>
        <v>0</v>
      </c>
    </row>
    <row r="256" spans="1:61" x14ac:dyDescent="0.35">
      <c r="A256" t="s">
        <v>612</v>
      </c>
      <c r="B256" s="1">
        <v>39532</v>
      </c>
      <c r="C256" t="s">
        <v>613</v>
      </c>
      <c r="D256" t="s">
        <v>163</v>
      </c>
      <c r="E256" t="s">
        <v>614</v>
      </c>
      <c r="F256" t="s">
        <v>602</v>
      </c>
      <c r="G256" t="s">
        <v>64</v>
      </c>
      <c r="H256" s="139">
        <f t="shared" si="124"/>
        <v>1</v>
      </c>
      <c r="I256" t="s">
        <v>234</v>
      </c>
      <c r="J256" t="s">
        <v>186</v>
      </c>
      <c r="K256" s="2">
        <f t="shared" si="128"/>
        <v>4</v>
      </c>
      <c r="L256">
        <v>1716000000</v>
      </c>
      <c r="M256" s="2">
        <f t="shared" si="129"/>
        <v>9.2345172835126874</v>
      </c>
      <c r="N256">
        <f>L256</f>
        <v>1716000000</v>
      </c>
      <c r="O256">
        <v>0</v>
      </c>
      <c r="P256" s="1">
        <v>41844</v>
      </c>
      <c r="Q256" s="89">
        <f t="shared" si="130"/>
        <v>2014</v>
      </c>
      <c r="R256" t="s">
        <v>107</v>
      </c>
      <c r="S256">
        <v>4308200000</v>
      </c>
      <c r="T256" s="21">
        <f t="shared" si="120"/>
        <v>6.3342465753424655</v>
      </c>
      <c r="U256">
        <v>6164.6</v>
      </c>
      <c r="V256">
        <f t="shared" si="131"/>
        <v>3.7899753459779522</v>
      </c>
      <c r="W256">
        <v>2007</v>
      </c>
      <c r="X256">
        <v>1</v>
      </c>
      <c r="Y256">
        <f t="shared" si="132"/>
        <v>0.3010299956639812</v>
      </c>
      <c r="Z256" s="45">
        <v>3.18</v>
      </c>
      <c r="AA256" s="9">
        <f t="shared" si="121"/>
        <v>2592200000</v>
      </c>
      <c r="AB256" s="15">
        <f t="shared" si="122"/>
        <v>1.5106060606060607</v>
      </c>
      <c r="AC256" s="34">
        <f t="shared" si="133"/>
        <v>0.3997785728774681</v>
      </c>
      <c r="AD256">
        <v>1246.953</v>
      </c>
      <c r="AE256">
        <f t="shared" si="126"/>
        <v>3.0958500844125241</v>
      </c>
      <c r="AF256">
        <v>3219.7179999999998</v>
      </c>
      <c r="AG256">
        <f t="shared" si="127"/>
        <v>3.5078178355445662</v>
      </c>
      <c r="AH256" s="9">
        <v>583.83333333333303</v>
      </c>
      <c r="AI256" s="9">
        <f t="shared" si="134"/>
        <v>2.7670321178317625</v>
      </c>
      <c r="AJ256">
        <v>88</v>
      </c>
      <c r="AK256" s="23" t="s">
        <v>615</v>
      </c>
      <c r="AL256" s="42">
        <v>53.296308937050199</v>
      </c>
      <c r="AM256" s="24">
        <v>0.47</v>
      </c>
      <c r="AN256" s="34">
        <f t="shared" si="135"/>
        <v>0.16731733474817609</v>
      </c>
      <c r="AO256">
        <v>1987</v>
      </c>
      <c r="AP256">
        <v>21</v>
      </c>
      <c r="AQ256">
        <v>85</v>
      </c>
      <c r="AR256">
        <v>80</v>
      </c>
      <c r="AS256">
        <f t="shared" si="123"/>
        <v>0</v>
      </c>
      <c r="AT256">
        <f t="shared" si="136"/>
        <v>0</v>
      </c>
      <c r="AU256">
        <f t="shared" si="137"/>
        <v>0</v>
      </c>
      <c r="AV256">
        <f t="shared" si="138"/>
        <v>0</v>
      </c>
      <c r="AW256">
        <f t="shared" si="139"/>
        <v>0</v>
      </c>
      <c r="AX256">
        <f t="shared" si="140"/>
        <v>0</v>
      </c>
      <c r="AY256">
        <f t="shared" si="141"/>
        <v>0</v>
      </c>
      <c r="AZ256">
        <f t="shared" si="142"/>
        <v>1</v>
      </c>
      <c r="BA256">
        <f t="shared" si="143"/>
        <v>0</v>
      </c>
      <c r="BB256">
        <f t="shared" si="144"/>
        <v>0</v>
      </c>
      <c r="BC256">
        <f t="shared" si="145"/>
        <v>0</v>
      </c>
      <c r="BD256">
        <f t="shared" si="146"/>
        <v>0</v>
      </c>
      <c r="BE256">
        <f t="shared" si="147"/>
        <v>0</v>
      </c>
      <c r="BF256">
        <f t="shared" si="148"/>
        <v>0</v>
      </c>
      <c r="BG256">
        <f t="shared" si="149"/>
        <v>0</v>
      </c>
      <c r="BH256">
        <f t="shared" si="150"/>
        <v>0</v>
      </c>
      <c r="BI256">
        <f t="shared" si="151"/>
        <v>0</v>
      </c>
    </row>
    <row r="257" spans="1:61" x14ac:dyDescent="0.35">
      <c r="A257" t="s">
        <v>196</v>
      </c>
      <c r="B257" s="1">
        <v>38751</v>
      </c>
      <c r="C257" t="s">
        <v>616</v>
      </c>
      <c r="D257" t="s">
        <v>163</v>
      </c>
      <c r="E257" t="s">
        <v>605</v>
      </c>
      <c r="F257" t="s">
        <v>602</v>
      </c>
      <c r="G257" t="s">
        <v>64</v>
      </c>
      <c r="H257" s="139">
        <f t="shared" si="124"/>
        <v>1</v>
      </c>
      <c r="I257" t="s">
        <v>611</v>
      </c>
      <c r="J257" t="s">
        <v>326</v>
      </c>
      <c r="K257" s="2">
        <f t="shared" si="128"/>
        <v>8</v>
      </c>
      <c r="L257">
        <v>264410000</v>
      </c>
      <c r="M257" s="2">
        <f t="shared" si="129"/>
        <v>8.4222778761641806</v>
      </c>
      <c r="N257">
        <v>96870000</v>
      </c>
      <c r="O257">
        <v>167550000</v>
      </c>
      <c r="P257" s="1">
        <v>40477</v>
      </c>
      <c r="Q257" s="89">
        <f t="shared" si="130"/>
        <v>2010</v>
      </c>
      <c r="R257" t="s">
        <v>107</v>
      </c>
      <c r="S257">
        <v>244300000</v>
      </c>
      <c r="T257" s="21">
        <f t="shared" si="120"/>
        <v>4.7287671232876711</v>
      </c>
      <c r="U257">
        <v>6164.6</v>
      </c>
      <c r="V257">
        <f t="shared" si="131"/>
        <v>3.7899753459779522</v>
      </c>
      <c r="W257">
        <v>1978</v>
      </c>
      <c r="X257">
        <v>28</v>
      </c>
      <c r="Y257">
        <f t="shared" si="132"/>
        <v>1.4623979978989561</v>
      </c>
      <c r="Z257" s="45">
        <v>3.18</v>
      </c>
      <c r="AA257" s="9">
        <f t="shared" si="121"/>
        <v>147430000</v>
      </c>
      <c r="AB257" s="15">
        <f t="shared" si="122"/>
        <v>-7.6056124957452398E-2</v>
      </c>
      <c r="AC257" s="34">
        <f t="shared" si="133"/>
        <v>-3.4354409190743784E-2</v>
      </c>
      <c r="AD257">
        <v>1246.953</v>
      </c>
      <c r="AE257">
        <f t="shared" si="126"/>
        <v>3.0958500844125241</v>
      </c>
      <c r="AF257">
        <v>3219.7179999999998</v>
      </c>
      <c r="AG257">
        <f t="shared" si="127"/>
        <v>3.5078178355445662</v>
      </c>
      <c r="AH257" s="9">
        <v>583.83333333333303</v>
      </c>
      <c r="AI257" s="9">
        <f t="shared" si="134"/>
        <v>2.7670321178317625</v>
      </c>
      <c r="AJ257">
        <v>88</v>
      </c>
      <c r="AK257" s="23" t="s">
        <v>520</v>
      </c>
      <c r="AL257" s="42">
        <v>52.875711995394298</v>
      </c>
      <c r="AM257" s="24">
        <v>-0.06</v>
      </c>
      <c r="AN257" s="34">
        <f t="shared" si="135"/>
        <v>-2.6872146400301365E-2</v>
      </c>
      <c r="AO257">
        <v>1987</v>
      </c>
      <c r="AP257">
        <v>19</v>
      </c>
      <c r="AQ257">
        <v>85</v>
      </c>
      <c r="AR257">
        <v>80</v>
      </c>
      <c r="AS257">
        <f t="shared" si="123"/>
        <v>0</v>
      </c>
      <c r="AT257">
        <f t="shared" si="136"/>
        <v>0</v>
      </c>
      <c r="AU257">
        <f t="shared" si="137"/>
        <v>0</v>
      </c>
      <c r="AV257">
        <f t="shared" si="138"/>
        <v>0</v>
      </c>
      <c r="AW257">
        <f t="shared" si="139"/>
        <v>0</v>
      </c>
      <c r="AX257">
        <f t="shared" si="140"/>
        <v>0</v>
      </c>
      <c r="AY257">
        <f t="shared" si="141"/>
        <v>0</v>
      </c>
      <c r="AZ257">
        <f t="shared" si="142"/>
        <v>1</v>
      </c>
      <c r="BA257">
        <f t="shared" si="143"/>
        <v>0</v>
      </c>
      <c r="BB257">
        <f t="shared" si="144"/>
        <v>0</v>
      </c>
      <c r="BC257">
        <f t="shared" si="145"/>
        <v>0</v>
      </c>
      <c r="BD257">
        <f t="shared" si="146"/>
        <v>0</v>
      </c>
      <c r="BE257">
        <f t="shared" si="147"/>
        <v>0</v>
      </c>
      <c r="BF257">
        <f t="shared" si="148"/>
        <v>0</v>
      </c>
      <c r="BG257">
        <f t="shared" si="149"/>
        <v>0</v>
      </c>
      <c r="BH257">
        <f t="shared" si="150"/>
        <v>0</v>
      </c>
      <c r="BI257">
        <f t="shared" si="151"/>
        <v>0</v>
      </c>
    </row>
    <row r="258" spans="1:61" x14ac:dyDescent="0.35">
      <c r="A258" t="s">
        <v>196</v>
      </c>
      <c r="B258" s="1">
        <v>38448</v>
      </c>
      <c r="C258" t="s">
        <v>617</v>
      </c>
      <c r="D258" t="s">
        <v>163</v>
      </c>
      <c r="E258" t="s">
        <v>601</v>
      </c>
      <c r="F258" t="s">
        <v>602</v>
      </c>
      <c r="G258" t="s">
        <v>64</v>
      </c>
      <c r="H258" s="139">
        <f t="shared" si="124"/>
        <v>1</v>
      </c>
      <c r="I258" t="s">
        <v>234</v>
      </c>
      <c r="J258" t="s">
        <v>235</v>
      </c>
      <c r="K258" s="2">
        <f t="shared" si="128"/>
        <v>1</v>
      </c>
      <c r="L258">
        <v>42000000</v>
      </c>
      <c r="M258" s="2">
        <f t="shared" si="129"/>
        <v>7.6232492903979008</v>
      </c>
      <c r="N258">
        <f t="shared" ref="N258:N266" si="153">L258</f>
        <v>42000000</v>
      </c>
      <c r="O258">
        <v>0</v>
      </c>
      <c r="P258" s="1">
        <v>39307</v>
      </c>
      <c r="Q258" s="89">
        <f t="shared" si="130"/>
        <v>2007</v>
      </c>
      <c r="R258" t="s">
        <v>107</v>
      </c>
      <c r="S258">
        <v>82230000</v>
      </c>
      <c r="T258" s="21">
        <f t="shared" ref="T258:T321" si="154">YEARFRAC(B258,P258,3)</f>
        <v>2.3534246575342466</v>
      </c>
      <c r="U258">
        <v>6164.6</v>
      </c>
      <c r="V258">
        <f t="shared" si="131"/>
        <v>3.7899753459779522</v>
      </c>
      <c r="W258">
        <v>1929</v>
      </c>
      <c r="X258">
        <v>76</v>
      </c>
      <c r="Y258">
        <f t="shared" si="132"/>
        <v>1.8864907251724818</v>
      </c>
      <c r="Z258" s="45">
        <v>3.18</v>
      </c>
      <c r="AA258" s="9">
        <f t="shared" ref="AA258:AA321" si="155">S258-N258</f>
        <v>40230000</v>
      </c>
      <c r="AB258" s="15">
        <f t="shared" ref="AB258:AB321" si="156">(S258/L258)-1</f>
        <v>0.95785714285714296</v>
      </c>
      <c r="AC258" s="34">
        <f t="shared" si="133"/>
        <v>0.29178099986126038</v>
      </c>
      <c r="AD258">
        <v>1246.953</v>
      </c>
      <c r="AE258">
        <f t="shared" si="126"/>
        <v>3.0958500844125241</v>
      </c>
      <c r="AF258">
        <v>3219.7179999999998</v>
      </c>
      <c r="AG258">
        <f t="shared" si="127"/>
        <v>3.5078178355445662</v>
      </c>
      <c r="AH258" s="9">
        <v>583.83333333333303</v>
      </c>
      <c r="AI258" s="9">
        <f t="shared" si="134"/>
        <v>2.7670321178317625</v>
      </c>
      <c r="AJ258">
        <v>70</v>
      </c>
      <c r="AK258" s="23" t="s">
        <v>430</v>
      </c>
      <c r="AL258" s="42">
        <v>53.2941466273667</v>
      </c>
      <c r="AM258" s="24">
        <v>0.23</v>
      </c>
      <c r="AN258" s="34">
        <f t="shared" si="135"/>
        <v>8.9905111439397931E-2</v>
      </c>
      <c r="AO258">
        <v>1987</v>
      </c>
      <c r="AP258">
        <v>18</v>
      </c>
      <c r="AQ258">
        <v>85</v>
      </c>
      <c r="AR258">
        <v>80</v>
      </c>
      <c r="AS258">
        <f t="shared" ref="AS258:AS321" si="157">IF(AC258=-1,1,0)</f>
        <v>0</v>
      </c>
      <c r="AT258">
        <f t="shared" si="136"/>
        <v>0</v>
      </c>
      <c r="AU258">
        <f t="shared" si="137"/>
        <v>0</v>
      </c>
      <c r="AV258">
        <f t="shared" si="138"/>
        <v>0</v>
      </c>
      <c r="AW258">
        <f t="shared" si="139"/>
        <v>0</v>
      </c>
      <c r="AX258">
        <f t="shared" si="140"/>
        <v>0</v>
      </c>
      <c r="AY258">
        <f t="shared" si="141"/>
        <v>0</v>
      </c>
      <c r="AZ258">
        <f t="shared" si="142"/>
        <v>1</v>
      </c>
      <c r="BA258">
        <f t="shared" si="143"/>
        <v>0</v>
      </c>
      <c r="BB258">
        <f t="shared" si="144"/>
        <v>0</v>
      </c>
      <c r="BC258">
        <f t="shared" si="145"/>
        <v>0</v>
      </c>
      <c r="BD258">
        <f t="shared" si="146"/>
        <v>0</v>
      </c>
      <c r="BE258">
        <f t="shared" si="147"/>
        <v>0</v>
      </c>
      <c r="BF258">
        <f t="shared" si="148"/>
        <v>0</v>
      </c>
      <c r="BG258">
        <f t="shared" si="149"/>
        <v>0</v>
      </c>
      <c r="BH258">
        <f t="shared" si="150"/>
        <v>0</v>
      </c>
      <c r="BI258">
        <f t="shared" si="151"/>
        <v>0</v>
      </c>
    </row>
    <row r="259" spans="1:61" x14ac:dyDescent="0.35">
      <c r="A259" t="s">
        <v>196</v>
      </c>
      <c r="B259" s="1">
        <v>36677</v>
      </c>
      <c r="C259" s="8" t="s">
        <v>618</v>
      </c>
      <c r="D259" t="s">
        <v>163</v>
      </c>
      <c r="E259" t="s">
        <v>601</v>
      </c>
      <c r="F259" t="s">
        <v>602</v>
      </c>
      <c r="G259" t="s">
        <v>64</v>
      </c>
      <c r="H259" s="139">
        <f t="shared" ref="H259:H322" si="158">IF(G259="domestic",0,1)</f>
        <v>1</v>
      </c>
      <c r="I259" t="s">
        <v>234</v>
      </c>
      <c r="J259" t="s">
        <v>248</v>
      </c>
      <c r="K259" s="2">
        <f t="shared" si="128"/>
        <v>5</v>
      </c>
      <c r="L259">
        <v>7000000</v>
      </c>
      <c r="M259" s="2">
        <f t="shared" si="129"/>
        <v>6.8450980400142569</v>
      </c>
      <c r="N259">
        <f t="shared" si="153"/>
        <v>7000000</v>
      </c>
      <c r="O259">
        <v>0</v>
      </c>
      <c r="P259" s="1">
        <v>38107</v>
      </c>
      <c r="Q259" s="89">
        <f t="shared" si="130"/>
        <v>2004</v>
      </c>
      <c r="R259" t="s">
        <v>107</v>
      </c>
      <c r="S259">
        <v>49000000</v>
      </c>
      <c r="T259" s="21">
        <f t="shared" si="154"/>
        <v>3.9178082191780823</v>
      </c>
      <c r="U259">
        <v>6164.6</v>
      </c>
      <c r="V259">
        <f t="shared" si="131"/>
        <v>3.7899753459779522</v>
      </c>
      <c r="W259">
        <v>2000</v>
      </c>
      <c r="X259">
        <v>0</v>
      </c>
      <c r="Y259">
        <f t="shared" si="132"/>
        <v>0</v>
      </c>
      <c r="Z259" s="45">
        <v>3.18</v>
      </c>
      <c r="AA259" s="9">
        <f t="shared" si="155"/>
        <v>42000000</v>
      </c>
      <c r="AB259" s="15">
        <f t="shared" si="156"/>
        <v>6</v>
      </c>
      <c r="AC259" s="34">
        <f t="shared" si="133"/>
        <v>0.84509804001425681</v>
      </c>
      <c r="AD259">
        <v>1246.953</v>
      </c>
      <c r="AE259">
        <f t="shared" ref="AE259:AE322" si="159">LOG(AD259)</f>
        <v>3.0958500844125241</v>
      </c>
      <c r="AF259">
        <v>3219.7179999999998</v>
      </c>
      <c r="AG259">
        <f t="shared" ref="AG259:AG322" si="160">LOG(AF259)</f>
        <v>3.5078178355445662</v>
      </c>
      <c r="AH259" s="9">
        <v>583.83333333333303</v>
      </c>
      <c r="AI259" s="9">
        <f t="shared" si="134"/>
        <v>2.7670321178317625</v>
      </c>
      <c r="AJ259">
        <v>70</v>
      </c>
      <c r="AK259" s="23" t="s">
        <v>466</v>
      </c>
      <c r="AL259" s="42">
        <v>51.652289181886701</v>
      </c>
      <c r="AM259" s="24">
        <v>-0.22</v>
      </c>
      <c r="AN259" s="34">
        <f t="shared" si="135"/>
        <v>-0.10790539730951958</v>
      </c>
      <c r="AO259">
        <v>1987</v>
      </c>
      <c r="AP259">
        <v>13</v>
      </c>
      <c r="AQ259">
        <v>85</v>
      </c>
      <c r="AR259">
        <v>80</v>
      </c>
      <c r="AS259">
        <f t="shared" si="157"/>
        <v>0</v>
      </c>
      <c r="AT259">
        <f t="shared" si="136"/>
        <v>0</v>
      </c>
      <c r="AU259">
        <f t="shared" si="137"/>
        <v>0</v>
      </c>
      <c r="AV259">
        <f t="shared" si="138"/>
        <v>0</v>
      </c>
      <c r="AW259">
        <f t="shared" si="139"/>
        <v>0</v>
      </c>
      <c r="AX259">
        <f t="shared" si="140"/>
        <v>0</v>
      </c>
      <c r="AY259">
        <f t="shared" si="141"/>
        <v>0</v>
      </c>
      <c r="AZ259">
        <f t="shared" si="142"/>
        <v>1</v>
      </c>
      <c r="BA259">
        <f t="shared" si="143"/>
        <v>0</v>
      </c>
      <c r="BB259">
        <f t="shared" si="144"/>
        <v>0</v>
      </c>
      <c r="BC259">
        <f t="shared" si="145"/>
        <v>0</v>
      </c>
      <c r="BD259">
        <f t="shared" si="146"/>
        <v>0</v>
      </c>
      <c r="BE259">
        <f t="shared" si="147"/>
        <v>0</v>
      </c>
      <c r="BF259">
        <f t="shared" si="148"/>
        <v>0</v>
      </c>
      <c r="BG259">
        <f t="shared" si="149"/>
        <v>0</v>
      </c>
      <c r="BH259">
        <f t="shared" si="150"/>
        <v>0</v>
      </c>
      <c r="BI259">
        <f t="shared" si="151"/>
        <v>0</v>
      </c>
    </row>
    <row r="260" spans="1:61" x14ac:dyDescent="0.35">
      <c r="A260" t="s">
        <v>196</v>
      </c>
      <c r="B260" s="1">
        <v>36007</v>
      </c>
      <c r="C260" s="8" t="s">
        <v>619</v>
      </c>
      <c r="D260" t="s">
        <v>163</v>
      </c>
      <c r="E260" t="s">
        <v>605</v>
      </c>
      <c r="F260" t="s">
        <v>602</v>
      </c>
      <c r="G260" t="s">
        <v>64</v>
      </c>
      <c r="H260" s="139">
        <f t="shared" si="158"/>
        <v>1</v>
      </c>
      <c r="I260" t="s">
        <v>234</v>
      </c>
      <c r="J260" t="s">
        <v>235</v>
      </c>
      <c r="K260" s="2">
        <f t="shared" si="128"/>
        <v>1</v>
      </c>
      <c r="L260">
        <v>219403000</v>
      </c>
      <c r="M260" s="2">
        <f t="shared" si="129"/>
        <v>8.3412425615911907</v>
      </c>
      <c r="N260">
        <f t="shared" si="153"/>
        <v>219403000</v>
      </c>
      <c r="O260">
        <v>0</v>
      </c>
      <c r="P260" s="1">
        <v>39199</v>
      </c>
      <c r="Q260" s="89">
        <f t="shared" si="130"/>
        <v>2007</v>
      </c>
      <c r="R260" t="s">
        <v>152</v>
      </c>
      <c r="S260">
        <v>290000000</v>
      </c>
      <c r="T260" s="21">
        <f t="shared" si="154"/>
        <v>8.7452054794520553</v>
      </c>
      <c r="U260">
        <v>6164.6</v>
      </c>
      <c r="V260">
        <f t="shared" si="131"/>
        <v>3.7899753459779522</v>
      </c>
      <c r="W260">
        <v>1963</v>
      </c>
      <c r="X260">
        <v>35</v>
      </c>
      <c r="Y260">
        <f t="shared" si="132"/>
        <v>1.5563025007672873</v>
      </c>
      <c r="Z260" s="45">
        <v>3.18</v>
      </c>
      <c r="AA260" s="9">
        <f t="shared" si="155"/>
        <v>70597000</v>
      </c>
      <c r="AB260" s="15">
        <f t="shared" si="156"/>
        <v>0.32176861756676067</v>
      </c>
      <c r="AC260" s="34">
        <f t="shared" si="133"/>
        <v>0.12115543630776511</v>
      </c>
      <c r="AD260">
        <v>1246.953</v>
      </c>
      <c r="AE260">
        <f t="shared" si="159"/>
        <v>3.0958500844125241</v>
      </c>
      <c r="AF260">
        <v>3219.7179999999998</v>
      </c>
      <c r="AG260">
        <f t="shared" si="160"/>
        <v>3.5078178355445662</v>
      </c>
      <c r="AH260" s="9">
        <v>583.83333333333303</v>
      </c>
      <c r="AI260" s="9">
        <f t="shared" si="134"/>
        <v>2.7670321178317625</v>
      </c>
      <c r="AJ260">
        <v>85</v>
      </c>
      <c r="AK260" s="23" t="s">
        <v>620</v>
      </c>
      <c r="AL260" s="42">
        <v>52.924485315438503</v>
      </c>
      <c r="AM260" s="24">
        <v>0.33</v>
      </c>
      <c r="AN260" s="34">
        <f t="shared" si="135"/>
        <v>0.12385164096708581</v>
      </c>
      <c r="AO260">
        <v>1987</v>
      </c>
      <c r="AP260">
        <v>11</v>
      </c>
      <c r="AQ260">
        <v>85</v>
      </c>
      <c r="AR260">
        <v>80</v>
      </c>
      <c r="AS260">
        <f t="shared" si="157"/>
        <v>0</v>
      </c>
      <c r="AT260">
        <f t="shared" si="136"/>
        <v>0</v>
      </c>
      <c r="AU260">
        <f t="shared" si="137"/>
        <v>0</v>
      </c>
      <c r="AV260">
        <f t="shared" si="138"/>
        <v>0</v>
      </c>
      <c r="AW260">
        <f t="shared" si="139"/>
        <v>0</v>
      </c>
      <c r="AX260">
        <f t="shared" si="140"/>
        <v>0</v>
      </c>
      <c r="AY260">
        <f t="shared" si="141"/>
        <v>0</v>
      </c>
      <c r="AZ260">
        <f t="shared" si="142"/>
        <v>1</v>
      </c>
      <c r="BA260">
        <f t="shared" si="143"/>
        <v>0</v>
      </c>
      <c r="BB260">
        <f t="shared" si="144"/>
        <v>0</v>
      </c>
      <c r="BC260">
        <f t="shared" si="145"/>
        <v>0</v>
      </c>
      <c r="BD260">
        <f t="shared" si="146"/>
        <v>0</v>
      </c>
      <c r="BE260">
        <f t="shared" si="147"/>
        <v>0</v>
      </c>
      <c r="BF260">
        <f t="shared" si="148"/>
        <v>0</v>
      </c>
      <c r="BG260">
        <f t="shared" si="149"/>
        <v>0</v>
      </c>
      <c r="BH260">
        <f t="shared" si="150"/>
        <v>0</v>
      </c>
      <c r="BI260">
        <f t="shared" si="151"/>
        <v>0</v>
      </c>
    </row>
    <row r="261" spans="1:61" x14ac:dyDescent="0.35">
      <c r="A261" t="s">
        <v>196</v>
      </c>
      <c r="B261" s="1">
        <v>41243</v>
      </c>
      <c r="C261" t="s">
        <v>621</v>
      </c>
      <c r="D261" t="s">
        <v>59</v>
      </c>
      <c r="E261" t="s">
        <v>622</v>
      </c>
      <c r="F261" t="s">
        <v>602</v>
      </c>
      <c r="G261" t="s">
        <v>64</v>
      </c>
      <c r="H261" s="139">
        <f t="shared" si="158"/>
        <v>1</v>
      </c>
      <c r="I261" t="s">
        <v>234</v>
      </c>
      <c r="J261" t="s">
        <v>269</v>
      </c>
      <c r="K261" s="2">
        <f t="shared" si="128"/>
        <v>7</v>
      </c>
      <c r="L261">
        <v>61824279</v>
      </c>
      <c r="M261" s="2">
        <f t="shared" si="129"/>
        <v>7.7911590602836815</v>
      </c>
      <c r="N261">
        <f t="shared" si="153"/>
        <v>61824279</v>
      </c>
      <c r="O261">
        <v>0</v>
      </c>
      <c r="P261" s="1">
        <v>43501</v>
      </c>
      <c r="Q261" s="89">
        <f t="shared" si="130"/>
        <v>2019</v>
      </c>
      <c r="R261" t="s">
        <v>107</v>
      </c>
      <c r="S261">
        <v>171037540</v>
      </c>
      <c r="T261" s="21">
        <f t="shared" si="154"/>
        <v>6.1863013698630134</v>
      </c>
      <c r="U261">
        <v>5897.96</v>
      </c>
      <c r="V261">
        <f t="shared" si="131"/>
        <v>3.7707754512906644</v>
      </c>
      <c r="W261">
        <v>2007</v>
      </c>
      <c r="X261">
        <v>5</v>
      </c>
      <c r="Y261">
        <f t="shared" si="132"/>
        <v>0.77815125038364363</v>
      </c>
      <c r="Z261" s="45">
        <v>2.3199999999999998</v>
      </c>
      <c r="AA261" s="9">
        <f t="shared" si="155"/>
        <v>109213261</v>
      </c>
      <c r="AB261" s="15">
        <f t="shared" si="156"/>
        <v>1.7665108718857847</v>
      </c>
      <c r="AC261" s="34">
        <f t="shared" si="133"/>
        <v>0.44193238125204243</v>
      </c>
      <c r="AD261">
        <v>1246.953</v>
      </c>
      <c r="AE261">
        <f t="shared" si="159"/>
        <v>3.0958500844125241</v>
      </c>
      <c r="AF261">
        <v>3219.7179999999998</v>
      </c>
      <c r="AG261">
        <f t="shared" si="160"/>
        <v>3.5078178355445662</v>
      </c>
      <c r="AH261" s="9">
        <v>132</v>
      </c>
      <c r="AI261" s="9">
        <f t="shared" si="134"/>
        <v>2.1238516409670858</v>
      </c>
      <c r="AJ261">
        <v>94.7</v>
      </c>
      <c r="AK261" s="23" t="s">
        <v>623</v>
      </c>
      <c r="AL261" s="42">
        <v>45.737088331856903</v>
      </c>
      <c r="AM261" s="24">
        <v>0.93</v>
      </c>
      <c r="AN261" s="34">
        <f t="shared" si="135"/>
        <v>0.28555730900777382</v>
      </c>
      <c r="AO261">
        <v>1987</v>
      </c>
      <c r="AP261">
        <v>25</v>
      </c>
      <c r="AQ261">
        <v>70</v>
      </c>
      <c r="AR261">
        <v>70</v>
      </c>
      <c r="AS261">
        <f t="shared" si="157"/>
        <v>0</v>
      </c>
      <c r="AT261">
        <f t="shared" si="136"/>
        <v>0</v>
      </c>
      <c r="AU261">
        <f t="shared" si="137"/>
        <v>1</v>
      </c>
      <c r="AV261">
        <f t="shared" si="138"/>
        <v>0</v>
      </c>
      <c r="AW261">
        <f t="shared" si="139"/>
        <v>0</v>
      </c>
      <c r="AX261">
        <f t="shared" si="140"/>
        <v>0</v>
      </c>
      <c r="AY261">
        <f t="shared" si="141"/>
        <v>0</v>
      </c>
      <c r="AZ261">
        <f t="shared" si="142"/>
        <v>0</v>
      </c>
      <c r="BA261">
        <f t="shared" si="143"/>
        <v>0</v>
      </c>
      <c r="BB261">
        <f t="shared" si="144"/>
        <v>0</v>
      </c>
      <c r="BC261">
        <f t="shared" si="145"/>
        <v>0</v>
      </c>
      <c r="BD261">
        <f t="shared" si="146"/>
        <v>0</v>
      </c>
      <c r="BE261">
        <f t="shared" si="147"/>
        <v>0</v>
      </c>
      <c r="BF261">
        <f t="shared" si="148"/>
        <v>0</v>
      </c>
      <c r="BG261">
        <f t="shared" si="149"/>
        <v>0</v>
      </c>
      <c r="BH261">
        <f t="shared" si="150"/>
        <v>0</v>
      </c>
      <c r="BI261">
        <f t="shared" si="151"/>
        <v>0</v>
      </c>
    </row>
    <row r="262" spans="1:61" x14ac:dyDescent="0.35">
      <c r="A262" t="s">
        <v>196</v>
      </c>
      <c r="B262" s="1">
        <v>39692</v>
      </c>
      <c r="C262" t="s">
        <v>624</v>
      </c>
      <c r="D262" t="s">
        <v>59</v>
      </c>
      <c r="E262" t="s">
        <v>625</v>
      </c>
      <c r="F262" t="s">
        <v>602</v>
      </c>
      <c r="G262" t="s">
        <v>64</v>
      </c>
      <c r="H262" s="139">
        <f t="shared" si="158"/>
        <v>1</v>
      </c>
      <c r="I262" t="s">
        <v>234</v>
      </c>
      <c r="J262" t="s">
        <v>245</v>
      </c>
      <c r="K262" s="2">
        <f t="shared" ref="K262:K325" si="161">IF(J262="Consumer Discretionary",5,IF(J262="Industrials",1,IF(J262="Energy",3,IF(J262="Health Care",2,IF(J262="Communications",4,IF(J262="Financials",6,IF(J262="Consumer Staples",7,IF(J262="Materials",8,IF(J262="Technology",9,IF(J262="Utilities",10,""))))))))))</f>
        <v>6</v>
      </c>
      <c r="L262">
        <v>360000000</v>
      </c>
      <c r="M262" s="2">
        <f t="shared" ref="M262:M325" si="162">LOG(L262)</f>
        <v>8.5563025007672877</v>
      </c>
      <c r="N262">
        <f t="shared" si="153"/>
        <v>360000000</v>
      </c>
      <c r="O262">
        <v>0</v>
      </c>
      <c r="P262" s="1">
        <v>41100</v>
      </c>
      <c r="Q262" s="89">
        <f t="shared" ref="Q262:Q325" si="163">YEAR(P262)</f>
        <v>2012</v>
      </c>
      <c r="R262" t="s">
        <v>626</v>
      </c>
      <c r="S262">
        <v>650000000</v>
      </c>
      <c r="T262" s="21">
        <f t="shared" si="154"/>
        <v>3.8575342465753426</v>
      </c>
      <c r="U262">
        <v>5897.96</v>
      </c>
      <c r="V262">
        <f t="shared" ref="V262:V325" si="164">LOG(1+U262)</f>
        <v>3.7707754512906644</v>
      </c>
      <c r="W262">
        <v>2008</v>
      </c>
      <c r="X262">
        <v>0</v>
      </c>
      <c r="Y262">
        <f t="shared" ref="Y262:Y325" si="165">LOG(1+X262)</f>
        <v>0</v>
      </c>
      <c r="Z262" s="45">
        <v>2.3199999999999998</v>
      </c>
      <c r="AA262" s="9">
        <f t="shared" si="155"/>
        <v>290000000</v>
      </c>
      <c r="AB262" s="15">
        <f t="shared" si="156"/>
        <v>0.80555555555555558</v>
      </c>
      <c r="AC262" s="34">
        <f t="shared" ref="AC262:AC325" si="166">IF(AB262=-1,LOG(0.1),LOG(1+AB262))</f>
        <v>0.25661085587556831</v>
      </c>
      <c r="AD262">
        <v>1246.953</v>
      </c>
      <c r="AE262">
        <f t="shared" si="159"/>
        <v>3.0958500844125241</v>
      </c>
      <c r="AF262">
        <v>3219.7179999999998</v>
      </c>
      <c r="AG262">
        <f t="shared" si="160"/>
        <v>3.5078178355445662</v>
      </c>
      <c r="AH262" s="9">
        <v>132</v>
      </c>
      <c r="AI262" s="9">
        <f t="shared" ref="AI262:AI325" si="167">IF(AH262=0,0,LOG(1+AH262))</f>
        <v>2.1238516409670858</v>
      </c>
      <c r="AJ262">
        <v>90.8</v>
      </c>
      <c r="AK262" s="23" t="s">
        <v>89</v>
      </c>
      <c r="AL262" s="42">
        <v>44.4007960521485</v>
      </c>
      <c r="AM262" s="24">
        <v>0.05</v>
      </c>
      <c r="AN262" s="34">
        <f t="shared" ref="AN262:AN325" si="168">LOG(1+AM262)</f>
        <v>2.1189299069938092E-2</v>
      </c>
      <c r="AO262">
        <v>1987</v>
      </c>
      <c r="AP262">
        <v>21</v>
      </c>
      <c r="AQ262">
        <v>70</v>
      </c>
      <c r="AR262">
        <v>70</v>
      </c>
      <c r="AS262">
        <f t="shared" si="157"/>
        <v>0</v>
      </c>
      <c r="AT262">
        <f t="shared" ref="AT262:AT325" si="169">IF($D262="US",1,0)</f>
        <v>0</v>
      </c>
      <c r="AU262">
        <f t="shared" ref="AU262:AU325" si="170">IF($D262="UK",1,0)</f>
        <v>1</v>
      </c>
      <c r="AV262">
        <f t="shared" ref="AV262:AV325" si="171">IF($D262="Norway",1,0)</f>
        <v>0</v>
      </c>
      <c r="AW262">
        <f t="shared" ref="AW262:AW325" si="172">IF($D262="Denmark",1,0)</f>
        <v>0</v>
      </c>
      <c r="AX262">
        <f t="shared" ref="AX262:AX325" si="173">IF($D262="Sweden",1,0)</f>
        <v>0</v>
      </c>
      <c r="AY262">
        <f t="shared" ref="AY262:AY325" si="174">IF($D262="Netherlands",1,0)</f>
        <v>0</v>
      </c>
      <c r="AZ262">
        <f t="shared" ref="AZ262:AZ325" si="175">IF($D262="France",1,0)</f>
        <v>0</v>
      </c>
      <c r="BA262">
        <f t="shared" ref="BA262:BA325" si="176">IF($D262="Belgium",1,0)</f>
        <v>0</v>
      </c>
      <c r="BB262">
        <f t="shared" ref="BB262:BB325" si="177">IF($D262="Germany",1,0)</f>
        <v>0</v>
      </c>
      <c r="BC262">
        <f t="shared" ref="BC262:BC325" si="178">IF($D262="Italy",1,0)</f>
        <v>0</v>
      </c>
      <c r="BD262">
        <f t="shared" ref="BD262:BD325" si="179">IF($D262="Spain",1,0)</f>
        <v>0</v>
      </c>
      <c r="BE262">
        <f t="shared" ref="BE262:BE325" si="180">IF($D262="Luxembourg",1,0)</f>
        <v>0</v>
      </c>
      <c r="BF262">
        <f t="shared" ref="BF262:BF325" si="181">IF($D262="Portugal",1,0)</f>
        <v>0</v>
      </c>
      <c r="BG262">
        <f t="shared" ref="BG262:BG325" si="182">IF($D262="Switzerland",1,0)</f>
        <v>0</v>
      </c>
      <c r="BH262">
        <f t="shared" ref="BH262:BH325" si="183">IF($D262="Ireland",1,0)</f>
        <v>0</v>
      </c>
      <c r="BI262">
        <f t="shared" ref="BI262:BI325" si="184">IF($D262="Finland",1,0)</f>
        <v>0</v>
      </c>
    </row>
    <row r="263" spans="1:61" x14ac:dyDescent="0.35">
      <c r="A263" t="s">
        <v>196</v>
      </c>
      <c r="B263" s="1">
        <v>38807</v>
      </c>
      <c r="C263" t="s">
        <v>539</v>
      </c>
      <c r="D263" t="s">
        <v>59</v>
      </c>
      <c r="E263" t="s">
        <v>608</v>
      </c>
      <c r="F263" t="s">
        <v>602</v>
      </c>
      <c r="G263" t="s">
        <v>64</v>
      </c>
      <c r="H263" s="139">
        <f t="shared" si="158"/>
        <v>1</v>
      </c>
      <c r="I263" t="s">
        <v>234</v>
      </c>
      <c r="J263" t="s">
        <v>248</v>
      </c>
      <c r="K263" s="2">
        <f t="shared" si="161"/>
        <v>5</v>
      </c>
      <c r="L263">
        <v>350000000</v>
      </c>
      <c r="M263" s="2">
        <f t="shared" si="162"/>
        <v>8.5440680443502757</v>
      </c>
      <c r="N263">
        <f t="shared" si="153"/>
        <v>350000000</v>
      </c>
      <c r="O263">
        <v>0</v>
      </c>
      <c r="P263" s="1">
        <v>40026</v>
      </c>
      <c r="Q263" s="89">
        <f t="shared" si="163"/>
        <v>2009</v>
      </c>
      <c r="R263" t="s">
        <v>107</v>
      </c>
      <c r="S263">
        <v>313000000</v>
      </c>
      <c r="T263" s="21">
        <f t="shared" si="154"/>
        <v>3.3397260273972602</v>
      </c>
      <c r="U263">
        <v>5897.96</v>
      </c>
      <c r="V263">
        <f t="shared" si="164"/>
        <v>3.7707754512906644</v>
      </c>
      <c r="W263">
        <v>1965</v>
      </c>
      <c r="X263">
        <v>41</v>
      </c>
      <c r="Y263">
        <f t="shared" si="165"/>
        <v>1.6232492903979006</v>
      </c>
      <c r="Z263" s="45">
        <v>2.3199999999999998</v>
      </c>
      <c r="AA263" s="9">
        <f t="shared" si="155"/>
        <v>-37000000</v>
      </c>
      <c r="AB263" s="15">
        <f t="shared" si="156"/>
        <v>-0.10571428571428576</v>
      </c>
      <c r="AC263" s="34">
        <f t="shared" si="166"/>
        <v>-4.8523706803827171E-2</v>
      </c>
      <c r="AD263">
        <v>1246.953</v>
      </c>
      <c r="AE263">
        <f t="shared" si="159"/>
        <v>3.0958500844125241</v>
      </c>
      <c r="AF263">
        <v>3219.7179999999998</v>
      </c>
      <c r="AG263">
        <f t="shared" si="160"/>
        <v>3.5078178355445662</v>
      </c>
      <c r="AH263" s="9">
        <v>132</v>
      </c>
      <c r="AI263" s="9">
        <f t="shared" si="167"/>
        <v>2.1238516409670858</v>
      </c>
      <c r="AJ263">
        <v>91.5</v>
      </c>
      <c r="AK263" s="23" t="s">
        <v>78</v>
      </c>
      <c r="AL263" s="42">
        <v>40.767390998852598</v>
      </c>
      <c r="AM263" s="24">
        <v>-0.24</v>
      </c>
      <c r="AN263" s="34">
        <f t="shared" si="168"/>
        <v>-0.11918640771920865</v>
      </c>
      <c r="AO263">
        <v>1987</v>
      </c>
      <c r="AP263">
        <v>19</v>
      </c>
      <c r="AQ263">
        <v>70</v>
      </c>
      <c r="AR263">
        <v>70</v>
      </c>
      <c r="AS263">
        <f t="shared" si="157"/>
        <v>0</v>
      </c>
      <c r="AT263">
        <f t="shared" si="169"/>
        <v>0</v>
      </c>
      <c r="AU263">
        <f t="shared" si="170"/>
        <v>1</v>
      </c>
      <c r="AV263">
        <f t="shared" si="171"/>
        <v>0</v>
      </c>
      <c r="AW263">
        <f t="shared" si="172"/>
        <v>0</v>
      </c>
      <c r="AX263">
        <f t="shared" si="173"/>
        <v>0</v>
      </c>
      <c r="AY263">
        <f t="shared" si="174"/>
        <v>0</v>
      </c>
      <c r="AZ263">
        <f t="shared" si="175"/>
        <v>0</v>
      </c>
      <c r="BA263">
        <f t="shared" si="176"/>
        <v>0</v>
      </c>
      <c r="BB263">
        <f t="shared" si="177"/>
        <v>0</v>
      </c>
      <c r="BC263">
        <f t="shared" si="178"/>
        <v>0</v>
      </c>
      <c r="BD263">
        <f t="shared" si="179"/>
        <v>0</v>
      </c>
      <c r="BE263">
        <f t="shared" si="180"/>
        <v>0</v>
      </c>
      <c r="BF263">
        <f t="shared" si="181"/>
        <v>0</v>
      </c>
      <c r="BG263">
        <f t="shared" si="182"/>
        <v>0</v>
      </c>
      <c r="BH263">
        <f t="shared" si="183"/>
        <v>0</v>
      </c>
      <c r="BI263">
        <f t="shared" si="184"/>
        <v>0</v>
      </c>
    </row>
    <row r="264" spans="1:61" x14ac:dyDescent="0.35">
      <c r="A264" t="s">
        <v>196</v>
      </c>
      <c r="B264" s="1">
        <v>38677</v>
      </c>
      <c r="C264" t="s">
        <v>627</v>
      </c>
      <c r="D264" t="s">
        <v>59</v>
      </c>
      <c r="E264" t="s">
        <v>628</v>
      </c>
      <c r="F264" t="s">
        <v>602</v>
      </c>
      <c r="G264" t="s">
        <v>64</v>
      </c>
      <c r="H264" s="139">
        <f t="shared" si="158"/>
        <v>1</v>
      </c>
      <c r="I264" t="s">
        <v>234</v>
      </c>
      <c r="J264" t="s">
        <v>326</v>
      </c>
      <c r="K264" s="2">
        <f t="shared" si="161"/>
        <v>8</v>
      </c>
      <c r="L264">
        <v>53260000</v>
      </c>
      <c r="M264" s="2">
        <f t="shared" si="162"/>
        <v>7.7264011621029223</v>
      </c>
      <c r="N264">
        <f t="shared" si="153"/>
        <v>53260000</v>
      </c>
      <c r="O264">
        <v>0</v>
      </c>
      <c r="P264" s="1">
        <v>39819</v>
      </c>
      <c r="Q264" s="89">
        <f t="shared" si="163"/>
        <v>2009</v>
      </c>
      <c r="R264" t="s">
        <v>107</v>
      </c>
      <c r="S264">
        <v>53200000</v>
      </c>
      <c r="T264" s="21">
        <f t="shared" si="154"/>
        <v>3.128767123287671</v>
      </c>
      <c r="U264">
        <v>5897.96</v>
      </c>
      <c r="V264">
        <f t="shared" si="164"/>
        <v>3.7707754512906644</v>
      </c>
      <c r="W264">
        <v>1926</v>
      </c>
      <c r="X264">
        <v>79</v>
      </c>
      <c r="Y264">
        <f t="shared" si="165"/>
        <v>1.9030899869919435</v>
      </c>
      <c r="Z264" s="45">
        <v>2.3199999999999998</v>
      </c>
      <c r="AA264" s="9">
        <f t="shared" si="155"/>
        <v>-60000</v>
      </c>
      <c r="AB264" s="15">
        <f t="shared" si="156"/>
        <v>-1.1265490048817384E-3</v>
      </c>
      <c r="AC264" s="34">
        <f t="shared" si="166"/>
        <v>-4.8952980787425474E-4</v>
      </c>
      <c r="AD264">
        <v>1246.953</v>
      </c>
      <c r="AE264">
        <f t="shared" si="159"/>
        <v>3.0958500844125241</v>
      </c>
      <c r="AF264">
        <v>3219.7179999999998</v>
      </c>
      <c r="AG264">
        <f t="shared" si="160"/>
        <v>3.5078178355445662</v>
      </c>
      <c r="AH264" s="9">
        <v>132</v>
      </c>
      <c r="AI264" s="9">
        <f t="shared" si="167"/>
        <v>2.1238516409670858</v>
      </c>
      <c r="AJ264">
        <v>85</v>
      </c>
      <c r="AK264" s="23" t="s">
        <v>171</v>
      </c>
      <c r="AL264" s="42">
        <v>41.286751495766303</v>
      </c>
      <c r="AM264" s="24">
        <v>-0.26</v>
      </c>
      <c r="AN264" s="34">
        <f t="shared" si="168"/>
        <v>-0.13076828026902382</v>
      </c>
      <c r="AO264">
        <v>1987</v>
      </c>
      <c r="AP264">
        <v>18</v>
      </c>
      <c r="AQ264">
        <v>70</v>
      </c>
      <c r="AR264">
        <v>70</v>
      </c>
      <c r="AS264">
        <f t="shared" si="157"/>
        <v>0</v>
      </c>
      <c r="AT264">
        <f t="shared" si="169"/>
        <v>0</v>
      </c>
      <c r="AU264">
        <f t="shared" si="170"/>
        <v>1</v>
      </c>
      <c r="AV264">
        <f t="shared" si="171"/>
        <v>0</v>
      </c>
      <c r="AW264">
        <f t="shared" si="172"/>
        <v>0</v>
      </c>
      <c r="AX264">
        <f t="shared" si="173"/>
        <v>0</v>
      </c>
      <c r="AY264">
        <f t="shared" si="174"/>
        <v>0</v>
      </c>
      <c r="AZ264">
        <f t="shared" si="175"/>
        <v>0</v>
      </c>
      <c r="BA264">
        <f t="shared" si="176"/>
        <v>0</v>
      </c>
      <c r="BB264">
        <f t="shared" si="177"/>
        <v>0</v>
      </c>
      <c r="BC264">
        <f t="shared" si="178"/>
        <v>0</v>
      </c>
      <c r="BD264">
        <f t="shared" si="179"/>
        <v>0</v>
      </c>
      <c r="BE264">
        <f t="shared" si="180"/>
        <v>0</v>
      </c>
      <c r="BF264">
        <f t="shared" si="181"/>
        <v>0</v>
      </c>
      <c r="BG264">
        <f t="shared" si="182"/>
        <v>0</v>
      </c>
      <c r="BH264">
        <f t="shared" si="183"/>
        <v>0</v>
      </c>
      <c r="BI264">
        <f t="shared" si="184"/>
        <v>0</v>
      </c>
    </row>
    <row r="265" spans="1:61" x14ac:dyDescent="0.35">
      <c r="A265" t="s">
        <v>196</v>
      </c>
      <c r="B265" s="1">
        <v>38656</v>
      </c>
      <c r="C265" t="s">
        <v>629</v>
      </c>
      <c r="D265" t="s">
        <v>59</v>
      </c>
      <c r="E265" t="s">
        <v>608</v>
      </c>
      <c r="F265" t="s">
        <v>602</v>
      </c>
      <c r="G265" t="s">
        <v>64</v>
      </c>
      <c r="H265" s="139">
        <f t="shared" si="158"/>
        <v>1</v>
      </c>
      <c r="I265" t="s">
        <v>234</v>
      </c>
      <c r="J265" t="s">
        <v>248</v>
      </c>
      <c r="K265" s="2">
        <f t="shared" si="161"/>
        <v>5</v>
      </c>
      <c r="L265">
        <v>230000000</v>
      </c>
      <c r="M265" s="2">
        <f t="shared" si="162"/>
        <v>8.3617278360175931</v>
      </c>
      <c r="N265">
        <f t="shared" si="153"/>
        <v>230000000</v>
      </c>
      <c r="O265">
        <v>0</v>
      </c>
      <c r="P265" s="1">
        <v>40504</v>
      </c>
      <c r="Q265" s="89">
        <f t="shared" si="163"/>
        <v>2010</v>
      </c>
      <c r="R265" t="s">
        <v>152</v>
      </c>
      <c r="S265">
        <v>450000000</v>
      </c>
      <c r="T265" s="21">
        <f t="shared" si="154"/>
        <v>5.0630136986301366</v>
      </c>
      <c r="U265">
        <v>5897.96</v>
      </c>
      <c r="V265">
        <f t="shared" si="164"/>
        <v>3.7707754512906644</v>
      </c>
      <c r="W265">
        <v>2005</v>
      </c>
      <c r="X265">
        <v>0</v>
      </c>
      <c r="Y265">
        <f t="shared" si="165"/>
        <v>0</v>
      </c>
      <c r="Z265" s="45">
        <v>2.3199999999999998</v>
      </c>
      <c r="AA265" s="9">
        <f t="shared" si="155"/>
        <v>220000000</v>
      </c>
      <c r="AB265" s="15">
        <f t="shared" si="156"/>
        <v>0.95652173913043481</v>
      </c>
      <c r="AC265" s="34">
        <f t="shared" si="166"/>
        <v>0.29148467775775083</v>
      </c>
      <c r="AD265">
        <v>1246.953</v>
      </c>
      <c r="AE265">
        <f t="shared" si="159"/>
        <v>3.0958500844125241</v>
      </c>
      <c r="AF265">
        <v>3219.7179999999998</v>
      </c>
      <c r="AG265">
        <f t="shared" si="160"/>
        <v>3.5078178355445662</v>
      </c>
      <c r="AH265" s="9">
        <v>132</v>
      </c>
      <c r="AI265" s="9">
        <f t="shared" si="167"/>
        <v>2.1238516409670858</v>
      </c>
      <c r="AJ265">
        <v>85</v>
      </c>
      <c r="AK265" s="23" t="s">
        <v>171</v>
      </c>
      <c r="AL265" s="42">
        <v>41.286751495766303</v>
      </c>
      <c r="AM265" s="24">
        <v>-0.01</v>
      </c>
      <c r="AN265" s="34">
        <f t="shared" si="168"/>
        <v>-4.3648054024500883E-3</v>
      </c>
      <c r="AO265">
        <v>1987</v>
      </c>
      <c r="AP265">
        <v>18</v>
      </c>
      <c r="AQ265">
        <v>70</v>
      </c>
      <c r="AR265">
        <v>70</v>
      </c>
      <c r="AS265">
        <f t="shared" si="157"/>
        <v>0</v>
      </c>
      <c r="AT265">
        <f t="shared" si="169"/>
        <v>0</v>
      </c>
      <c r="AU265">
        <f t="shared" si="170"/>
        <v>1</v>
      </c>
      <c r="AV265">
        <f t="shared" si="171"/>
        <v>0</v>
      </c>
      <c r="AW265">
        <f t="shared" si="172"/>
        <v>0</v>
      </c>
      <c r="AX265">
        <f t="shared" si="173"/>
        <v>0</v>
      </c>
      <c r="AY265">
        <f t="shared" si="174"/>
        <v>0</v>
      </c>
      <c r="AZ265">
        <f t="shared" si="175"/>
        <v>0</v>
      </c>
      <c r="BA265">
        <f t="shared" si="176"/>
        <v>0</v>
      </c>
      <c r="BB265">
        <f t="shared" si="177"/>
        <v>0</v>
      </c>
      <c r="BC265">
        <f t="shared" si="178"/>
        <v>0</v>
      </c>
      <c r="BD265">
        <f t="shared" si="179"/>
        <v>0</v>
      </c>
      <c r="BE265">
        <f t="shared" si="180"/>
        <v>0</v>
      </c>
      <c r="BF265">
        <f t="shared" si="181"/>
        <v>0</v>
      </c>
      <c r="BG265">
        <f t="shared" si="182"/>
        <v>0</v>
      </c>
      <c r="BH265">
        <f t="shared" si="183"/>
        <v>0</v>
      </c>
      <c r="BI265">
        <f t="shared" si="184"/>
        <v>0</v>
      </c>
    </row>
    <row r="266" spans="1:61" x14ac:dyDescent="0.35">
      <c r="A266" t="s">
        <v>196</v>
      </c>
      <c r="B266" s="1">
        <v>38106</v>
      </c>
      <c r="C266" t="s">
        <v>630</v>
      </c>
      <c r="D266" t="s">
        <v>59</v>
      </c>
      <c r="E266" t="s">
        <v>601</v>
      </c>
      <c r="F266" t="s">
        <v>602</v>
      </c>
      <c r="G266" t="s">
        <v>64</v>
      </c>
      <c r="H266" s="139">
        <f t="shared" si="158"/>
        <v>1</v>
      </c>
      <c r="I266" t="s">
        <v>234</v>
      </c>
      <c r="J266" t="s">
        <v>186</v>
      </c>
      <c r="K266" s="2">
        <f t="shared" si="161"/>
        <v>4</v>
      </c>
      <c r="L266">
        <v>34000000</v>
      </c>
      <c r="M266" s="2">
        <f t="shared" si="162"/>
        <v>7.5314789170422554</v>
      </c>
      <c r="N266">
        <f t="shared" si="153"/>
        <v>34000000</v>
      </c>
      <c r="O266">
        <v>0</v>
      </c>
      <c r="P266" s="1">
        <v>38548</v>
      </c>
      <c r="Q266" s="89">
        <f t="shared" si="163"/>
        <v>2005</v>
      </c>
      <c r="R266" t="s">
        <v>107</v>
      </c>
      <c r="S266">
        <v>67600000</v>
      </c>
      <c r="T266" s="21">
        <f t="shared" si="154"/>
        <v>1.210958904109589</v>
      </c>
      <c r="U266">
        <v>5897.96</v>
      </c>
      <c r="V266">
        <f t="shared" si="164"/>
        <v>3.7707754512906644</v>
      </c>
      <c r="W266">
        <v>1994</v>
      </c>
      <c r="X266">
        <v>10</v>
      </c>
      <c r="Y266">
        <f t="shared" si="165"/>
        <v>1.0413926851582251</v>
      </c>
      <c r="Z266" s="45">
        <v>2.3199999999999998</v>
      </c>
      <c r="AA266" s="9">
        <f t="shared" si="155"/>
        <v>33600000</v>
      </c>
      <c r="AB266" s="15">
        <f t="shared" si="156"/>
        <v>0.9882352941176471</v>
      </c>
      <c r="AC266" s="34">
        <f t="shared" si="166"/>
        <v>0.29846777889938081</v>
      </c>
      <c r="AD266">
        <v>1246.953</v>
      </c>
      <c r="AE266">
        <f t="shared" si="159"/>
        <v>3.0958500844125241</v>
      </c>
      <c r="AF266">
        <v>3219.7179999999998</v>
      </c>
      <c r="AG266">
        <f t="shared" si="160"/>
        <v>3.5078178355445662</v>
      </c>
      <c r="AH266" s="9">
        <v>132</v>
      </c>
      <c r="AI266" s="9">
        <f t="shared" si="167"/>
        <v>2.1238516409670858</v>
      </c>
      <c r="AJ266">
        <v>85</v>
      </c>
      <c r="AK266" s="23" t="s">
        <v>89</v>
      </c>
      <c r="AL266" s="42">
        <v>40.040400531970803</v>
      </c>
      <c r="AM266" s="24">
        <v>0.1</v>
      </c>
      <c r="AN266" s="34">
        <f t="shared" si="168"/>
        <v>4.1392685158225077E-2</v>
      </c>
      <c r="AO266">
        <v>1987</v>
      </c>
      <c r="AP266">
        <v>17</v>
      </c>
      <c r="AQ266">
        <v>70</v>
      </c>
      <c r="AR266">
        <v>70</v>
      </c>
      <c r="AS266">
        <f t="shared" si="157"/>
        <v>0</v>
      </c>
      <c r="AT266">
        <f t="shared" si="169"/>
        <v>0</v>
      </c>
      <c r="AU266">
        <f t="shared" si="170"/>
        <v>1</v>
      </c>
      <c r="AV266">
        <f t="shared" si="171"/>
        <v>0</v>
      </c>
      <c r="AW266">
        <f t="shared" si="172"/>
        <v>0</v>
      </c>
      <c r="AX266">
        <f t="shared" si="173"/>
        <v>0</v>
      </c>
      <c r="AY266">
        <f t="shared" si="174"/>
        <v>0</v>
      </c>
      <c r="AZ266">
        <f t="shared" si="175"/>
        <v>0</v>
      </c>
      <c r="BA266">
        <f t="shared" si="176"/>
        <v>0</v>
      </c>
      <c r="BB266">
        <f t="shared" si="177"/>
        <v>0</v>
      </c>
      <c r="BC266">
        <f t="shared" si="178"/>
        <v>0</v>
      </c>
      <c r="BD266">
        <f t="shared" si="179"/>
        <v>0</v>
      </c>
      <c r="BE266">
        <f t="shared" si="180"/>
        <v>0</v>
      </c>
      <c r="BF266">
        <f t="shared" si="181"/>
        <v>0</v>
      </c>
      <c r="BG266">
        <f t="shared" si="182"/>
        <v>0</v>
      </c>
      <c r="BH266">
        <f t="shared" si="183"/>
        <v>0</v>
      </c>
      <c r="BI266">
        <f t="shared" si="184"/>
        <v>0</v>
      </c>
    </row>
    <row r="267" spans="1:61" x14ac:dyDescent="0.35">
      <c r="A267" t="s">
        <v>196</v>
      </c>
      <c r="B267" s="1">
        <v>37683</v>
      </c>
      <c r="C267" t="s">
        <v>631</v>
      </c>
      <c r="D267" t="s">
        <v>59</v>
      </c>
      <c r="E267" t="s">
        <v>632</v>
      </c>
      <c r="F267" t="s">
        <v>602</v>
      </c>
      <c r="G267" t="s">
        <v>64</v>
      </c>
      <c r="H267" s="139">
        <f t="shared" si="158"/>
        <v>1</v>
      </c>
      <c r="I267" t="s">
        <v>611</v>
      </c>
      <c r="J267" t="s">
        <v>326</v>
      </c>
      <c r="K267" s="2">
        <f t="shared" si="161"/>
        <v>8</v>
      </c>
      <c r="L267">
        <v>100950000</v>
      </c>
      <c r="M267" s="2">
        <f t="shared" si="162"/>
        <v>8.0041063232796574</v>
      </c>
      <c r="N267">
        <v>49670000</v>
      </c>
      <c r="O267">
        <v>51280000</v>
      </c>
      <c r="P267" s="1">
        <v>39429</v>
      </c>
      <c r="Q267" s="89">
        <f t="shared" si="163"/>
        <v>2007</v>
      </c>
      <c r="R267" t="s">
        <v>152</v>
      </c>
      <c r="S267">
        <v>945000000</v>
      </c>
      <c r="T267" s="21">
        <f t="shared" si="154"/>
        <v>4.7835616438356166</v>
      </c>
      <c r="U267">
        <v>5897.96</v>
      </c>
      <c r="V267">
        <f t="shared" si="164"/>
        <v>3.7707754512906644</v>
      </c>
      <c r="W267">
        <v>1837</v>
      </c>
      <c r="X267">
        <v>166</v>
      </c>
      <c r="Y267">
        <f t="shared" si="165"/>
        <v>2.2227164711475833</v>
      </c>
      <c r="Z267" s="45">
        <v>2.3199999999999998</v>
      </c>
      <c r="AA267" s="9">
        <f t="shared" si="155"/>
        <v>895330000</v>
      </c>
      <c r="AB267" s="15">
        <f t="shared" si="156"/>
        <v>8.3610698365527494</v>
      </c>
      <c r="AC267" s="34">
        <f t="shared" si="166"/>
        <v>0.97132548522960493</v>
      </c>
      <c r="AD267">
        <v>1246.953</v>
      </c>
      <c r="AE267">
        <f t="shared" si="159"/>
        <v>3.0958500844125241</v>
      </c>
      <c r="AF267">
        <v>3219.7179999999998</v>
      </c>
      <c r="AG267">
        <f t="shared" si="160"/>
        <v>3.5078178355445662</v>
      </c>
      <c r="AH267" s="9">
        <v>132</v>
      </c>
      <c r="AI267" s="9">
        <f t="shared" si="167"/>
        <v>2.1238516409670858</v>
      </c>
      <c r="AJ267">
        <v>85</v>
      </c>
      <c r="AK267" s="23" t="s">
        <v>246</v>
      </c>
      <c r="AL267" s="42">
        <v>38.7850112673514</v>
      </c>
      <c r="AM267" s="24">
        <v>0.78</v>
      </c>
      <c r="AN267" s="34">
        <f t="shared" si="168"/>
        <v>0.250420002308894</v>
      </c>
      <c r="AO267">
        <v>1987</v>
      </c>
      <c r="AP267">
        <v>16</v>
      </c>
      <c r="AQ267">
        <v>70</v>
      </c>
      <c r="AR267">
        <v>70</v>
      </c>
      <c r="AS267">
        <f t="shared" si="157"/>
        <v>0</v>
      </c>
      <c r="AT267">
        <f t="shared" si="169"/>
        <v>0</v>
      </c>
      <c r="AU267">
        <f t="shared" si="170"/>
        <v>1</v>
      </c>
      <c r="AV267">
        <f t="shared" si="171"/>
        <v>0</v>
      </c>
      <c r="AW267">
        <f t="shared" si="172"/>
        <v>0</v>
      </c>
      <c r="AX267">
        <f t="shared" si="173"/>
        <v>0</v>
      </c>
      <c r="AY267">
        <f t="shared" si="174"/>
        <v>0</v>
      </c>
      <c r="AZ267">
        <f t="shared" si="175"/>
        <v>0</v>
      </c>
      <c r="BA267">
        <f t="shared" si="176"/>
        <v>0</v>
      </c>
      <c r="BB267">
        <f t="shared" si="177"/>
        <v>0</v>
      </c>
      <c r="BC267">
        <f t="shared" si="178"/>
        <v>0</v>
      </c>
      <c r="BD267">
        <f t="shared" si="179"/>
        <v>0</v>
      </c>
      <c r="BE267">
        <f t="shared" si="180"/>
        <v>0</v>
      </c>
      <c r="BF267">
        <f t="shared" si="181"/>
        <v>0</v>
      </c>
      <c r="BG267">
        <f t="shared" si="182"/>
        <v>0</v>
      </c>
      <c r="BH267">
        <f t="shared" si="183"/>
        <v>0</v>
      </c>
      <c r="BI267">
        <f t="shared" si="184"/>
        <v>0</v>
      </c>
    </row>
    <row r="268" spans="1:61" x14ac:dyDescent="0.35">
      <c r="A268" t="s">
        <v>633</v>
      </c>
      <c r="B268" s="1">
        <v>37683</v>
      </c>
      <c r="C268" t="s">
        <v>634</v>
      </c>
      <c r="D268" t="s">
        <v>59</v>
      </c>
      <c r="E268" t="s">
        <v>635</v>
      </c>
      <c r="F268" t="s">
        <v>602</v>
      </c>
      <c r="G268" t="s">
        <v>64</v>
      </c>
      <c r="H268" s="139">
        <f t="shared" si="158"/>
        <v>1</v>
      </c>
      <c r="I268" t="s">
        <v>234</v>
      </c>
      <c r="J268" t="s">
        <v>178</v>
      </c>
      <c r="K268" s="2">
        <f t="shared" si="161"/>
        <v>9</v>
      </c>
      <c r="L268">
        <v>150000000</v>
      </c>
      <c r="M268" s="2">
        <f t="shared" si="162"/>
        <v>8.1760912590556813</v>
      </c>
      <c r="N268">
        <f>L268</f>
        <v>150000000</v>
      </c>
      <c r="O268">
        <v>0</v>
      </c>
      <c r="P268" s="1">
        <v>38758</v>
      </c>
      <c r="Q268" s="89">
        <f t="shared" si="163"/>
        <v>2006</v>
      </c>
      <c r="R268" t="s">
        <v>49</v>
      </c>
      <c r="S268">
        <v>287846880</v>
      </c>
      <c r="T268" s="21">
        <f t="shared" si="154"/>
        <v>2.9452054794520546</v>
      </c>
      <c r="U268">
        <v>5897.96</v>
      </c>
      <c r="V268">
        <f t="shared" si="164"/>
        <v>3.7707754512906644</v>
      </c>
      <c r="W268">
        <v>2001</v>
      </c>
      <c r="X268">
        <v>2</v>
      </c>
      <c r="Y268">
        <f t="shared" si="165"/>
        <v>0.47712125471966244</v>
      </c>
      <c r="Z268" s="45">
        <v>2.3199999999999998</v>
      </c>
      <c r="AA268" s="9">
        <f t="shared" si="155"/>
        <v>137846880</v>
      </c>
      <c r="AB268" s="15">
        <f t="shared" si="156"/>
        <v>0.91897920000000011</v>
      </c>
      <c r="AC268" s="34">
        <f t="shared" si="166"/>
        <v>0.28307026740134966</v>
      </c>
      <c r="AD268">
        <v>1246.953</v>
      </c>
      <c r="AE268">
        <f t="shared" si="159"/>
        <v>3.0958500844125241</v>
      </c>
      <c r="AF268">
        <v>3219.7179999999998</v>
      </c>
      <c r="AG268">
        <f t="shared" si="160"/>
        <v>3.5078178355445662</v>
      </c>
      <c r="AH268" s="9">
        <v>132</v>
      </c>
      <c r="AI268" s="9">
        <f t="shared" si="167"/>
        <v>2.1238516409670858</v>
      </c>
      <c r="AJ268">
        <v>85</v>
      </c>
      <c r="AK268" s="23" t="s">
        <v>246</v>
      </c>
      <c r="AL268" s="42">
        <v>38.7850112673514</v>
      </c>
      <c r="AM268" s="24">
        <v>0.52</v>
      </c>
      <c r="AN268" s="34">
        <f t="shared" si="168"/>
        <v>0.18184358794477254</v>
      </c>
      <c r="AO268">
        <v>2003</v>
      </c>
      <c r="AP268">
        <v>0</v>
      </c>
      <c r="AQ268">
        <v>70</v>
      </c>
      <c r="AR268">
        <v>70</v>
      </c>
      <c r="AS268">
        <f t="shared" si="157"/>
        <v>0</v>
      </c>
      <c r="AT268">
        <f t="shared" si="169"/>
        <v>0</v>
      </c>
      <c r="AU268">
        <f t="shared" si="170"/>
        <v>1</v>
      </c>
      <c r="AV268">
        <f t="shared" si="171"/>
        <v>0</v>
      </c>
      <c r="AW268">
        <f t="shared" si="172"/>
        <v>0</v>
      </c>
      <c r="AX268">
        <f t="shared" si="173"/>
        <v>0</v>
      </c>
      <c r="AY268">
        <f t="shared" si="174"/>
        <v>0</v>
      </c>
      <c r="AZ268">
        <f t="shared" si="175"/>
        <v>0</v>
      </c>
      <c r="BA268">
        <f t="shared" si="176"/>
        <v>0</v>
      </c>
      <c r="BB268">
        <f t="shared" si="177"/>
        <v>0</v>
      </c>
      <c r="BC268">
        <f t="shared" si="178"/>
        <v>0</v>
      </c>
      <c r="BD268">
        <f t="shared" si="179"/>
        <v>0</v>
      </c>
      <c r="BE268">
        <f t="shared" si="180"/>
        <v>0</v>
      </c>
      <c r="BF268">
        <f t="shared" si="181"/>
        <v>0</v>
      </c>
      <c r="BG268">
        <f t="shared" si="182"/>
        <v>0</v>
      </c>
      <c r="BH268">
        <f t="shared" si="183"/>
        <v>0</v>
      </c>
      <c r="BI268">
        <f t="shared" si="184"/>
        <v>0</v>
      </c>
    </row>
    <row r="269" spans="1:61" x14ac:dyDescent="0.35">
      <c r="A269" t="s">
        <v>196</v>
      </c>
      <c r="B269" s="1">
        <v>37319</v>
      </c>
      <c r="C269" t="s">
        <v>636</v>
      </c>
      <c r="D269" t="s">
        <v>59</v>
      </c>
      <c r="E269" t="s">
        <v>601</v>
      </c>
      <c r="F269" t="s">
        <v>602</v>
      </c>
      <c r="G269" t="s">
        <v>64</v>
      </c>
      <c r="H269" s="139">
        <f t="shared" si="158"/>
        <v>1</v>
      </c>
      <c r="I269" t="s">
        <v>234</v>
      </c>
      <c r="J269" t="s">
        <v>178</v>
      </c>
      <c r="K269" s="2">
        <f t="shared" si="161"/>
        <v>9</v>
      </c>
      <c r="L269">
        <v>6900000</v>
      </c>
      <c r="M269" s="2">
        <f t="shared" si="162"/>
        <v>6.8388490907372557</v>
      </c>
      <c r="N269">
        <f>L269</f>
        <v>6900000</v>
      </c>
      <c r="O269">
        <v>0</v>
      </c>
      <c r="P269" s="1">
        <v>38448</v>
      </c>
      <c r="Q269" s="89">
        <f t="shared" si="163"/>
        <v>2005</v>
      </c>
      <c r="R269" t="s">
        <v>107</v>
      </c>
      <c r="S269">
        <v>14980000</v>
      </c>
      <c r="T269" s="21">
        <f t="shared" si="154"/>
        <v>3.0931506849315067</v>
      </c>
      <c r="U269">
        <v>5897.96</v>
      </c>
      <c r="V269">
        <f t="shared" si="164"/>
        <v>3.7707754512906644</v>
      </c>
      <c r="W269">
        <v>1999</v>
      </c>
      <c r="X269">
        <v>3</v>
      </c>
      <c r="Y269">
        <f t="shared" si="165"/>
        <v>0.6020599913279624</v>
      </c>
      <c r="Z269" s="45">
        <v>2.3199999999999998</v>
      </c>
      <c r="AA269" s="9">
        <f t="shared" si="155"/>
        <v>8080000</v>
      </c>
      <c r="AB269" s="15">
        <f t="shared" si="156"/>
        <v>1.1710144927536232</v>
      </c>
      <c r="AC269" s="34">
        <f t="shared" si="166"/>
        <v>0.33666272262619235</v>
      </c>
      <c r="AD269">
        <v>1246.953</v>
      </c>
      <c r="AE269">
        <f t="shared" si="159"/>
        <v>3.0958500844125241</v>
      </c>
      <c r="AF269">
        <v>3219.7179999999998</v>
      </c>
      <c r="AG269">
        <f t="shared" si="160"/>
        <v>3.5078178355445662</v>
      </c>
      <c r="AH269" s="9">
        <v>132</v>
      </c>
      <c r="AI269" s="9">
        <f t="shared" si="167"/>
        <v>2.1238516409670858</v>
      </c>
      <c r="AJ269">
        <v>85</v>
      </c>
      <c r="AK269" s="23" t="s">
        <v>249</v>
      </c>
      <c r="AL269" s="42">
        <v>37.589394702761602</v>
      </c>
      <c r="AM269" s="24">
        <v>0.03</v>
      </c>
      <c r="AN269" s="34">
        <f t="shared" si="168"/>
        <v>1.2837224705172217E-2</v>
      </c>
      <c r="AO269">
        <v>1987</v>
      </c>
      <c r="AP269">
        <v>15</v>
      </c>
      <c r="AQ269">
        <v>70</v>
      </c>
      <c r="AR269">
        <v>70</v>
      </c>
      <c r="AS269">
        <f t="shared" si="157"/>
        <v>0</v>
      </c>
      <c r="AT269">
        <f t="shared" si="169"/>
        <v>0</v>
      </c>
      <c r="AU269">
        <f t="shared" si="170"/>
        <v>1</v>
      </c>
      <c r="AV269">
        <f t="shared" si="171"/>
        <v>0</v>
      </c>
      <c r="AW269">
        <f t="shared" si="172"/>
        <v>0</v>
      </c>
      <c r="AX269">
        <f t="shared" si="173"/>
        <v>0</v>
      </c>
      <c r="AY269">
        <f t="shared" si="174"/>
        <v>0</v>
      </c>
      <c r="AZ269">
        <f t="shared" si="175"/>
        <v>0</v>
      </c>
      <c r="BA269">
        <f t="shared" si="176"/>
        <v>0</v>
      </c>
      <c r="BB269">
        <f t="shared" si="177"/>
        <v>0</v>
      </c>
      <c r="BC269">
        <f t="shared" si="178"/>
        <v>0</v>
      </c>
      <c r="BD269">
        <f t="shared" si="179"/>
        <v>0</v>
      </c>
      <c r="BE269">
        <f t="shared" si="180"/>
        <v>0</v>
      </c>
      <c r="BF269">
        <f t="shared" si="181"/>
        <v>0</v>
      </c>
      <c r="BG269">
        <f t="shared" si="182"/>
        <v>0</v>
      </c>
      <c r="BH269">
        <f t="shared" si="183"/>
        <v>0</v>
      </c>
      <c r="BI269">
        <f t="shared" si="184"/>
        <v>0</v>
      </c>
    </row>
    <row r="270" spans="1:61" x14ac:dyDescent="0.35">
      <c r="A270" t="s">
        <v>196</v>
      </c>
      <c r="B270" s="1">
        <v>38246</v>
      </c>
      <c r="C270" t="s">
        <v>637</v>
      </c>
      <c r="D270" t="s">
        <v>59</v>
      </c>
      <c r="E270" t="s">
        <v>638</v>
      </c>
      <c r="F270" t="s">
        <v>602</v>
      </c>
      <c r="G270" t="s">
        <v>64</v>
      </c>
      <c r="H270" s="139">
        <f t="shared" si="158"/>
        <v>1</v>
      </c>
      <c r="I270" t="s">
        <v>234</v>
      </c>
      <c r="J270" t="s">
        <v>190</v>
      </c>
      <c r="K270" s="2">
        <f t="shared" si="161"/>
        <v>2</v>
      </c>
      <c r="L270">
        <v>162000000</v>
      </c>
      <c r="M270" s="2">
        <f t="shared" si="162"/>
        <v>8.2095150145426317</v>
      </c>
      <c r="N270">
        <f>L270</f>
        <v>162000000</v>
      </c>
      <c r="O270">
        <v>0</v>
      </c>
      <c r="P270" s="1">
        <v>39150</v>
      </c>
      <c r="Q270" s="89">
        <f t="shared" si="163"/>
        <v>2007</v>
      </c>
      <c r="R270" t="s">
        <v>322</v>
      </c>
      <c r="S270">
        <v>196300000</v>
      </c>
      <c r="T270" s="21">
        <f t="shared" si="154"/>
        <v>2.4767123287671233</v>
      </c>
      <c r="U270">
        <v>5897.96</v>
      </c>
      <c r="V270">
        <f t="shared" si="164"/>
        <v>3.7707754512906644</v>
      </c>
      <c r="W270">
        <v>1995</v>
      </c>
      <c r="X270">
        <v>9</v>
      </c>
      <c r="Y270">
        <f t="shared" si="165"/>
        <v>1</v>
      </c>
      <c r="Z270" s="45">
        <v>2.3199999999999998</v>
      </c>
      <c r="AA270" s="9">
        <f t="shared" si="155"/>
        <v>34300000</v>
      </c>
      <c r="AB270" s="15">
        <f t="shared" si="156"/>
        <v>0.21172839506172836</v>
      </c>
      <c r="AC270" s="34">
        <f t="shared" si="166"/>
        <v>8.3405285057375253E-2</v>
      </c>
      <c r="AD270">
        <v>2315.9650000000001</v>
      </c>
      <c r="AE270">
        <f t="shared" si="159"/>
        <v>3.3647319918335836</v>
      </c>
      <c r="AF270">
        <v>3703.9029999999998</v>
      </c>
      <c r="AG270">
        <f t="shared" si="160"/>
        <v>3.568659604598353</v>
      </c>
      <c r="AH270" s="9">
        <v>132</v>
      </c>
      <c r="AI270" s="9">
        <f t="shared" si="167"/>
        <v>2.1238516409670858</v>
      </c>
      <c r="AJ270">
        <v>85</v>
      </c>
      <c r="AK270" s="23" t="s">
        <v>89</v>
      </c>
      <c r="AL270" s="42">
        <v>40.040400531970803</v>
      </c>
      <c r="AM270" s="24">
        <v>0.25</v>
      </c>
      <c r="AN270" s="34">
        <f t="shared" si="168"/>
        <v>9.691001300805642E-2</v>
      </c>
      <c r="AO270">
        <v>1985</v>
      </c>
      <c r="AP270">
        <v>19</v>
      </c>
      <c r="AQ270">
        <v>70</v>
      </c>
      <c r="AR270">
        <v>70</v>
      </c>
      <c r="AS270">
        <f t="shared" si="157"/>
        <v>0</v>
      </c>
      <c r="AT270">
        <f t="shared" si="169"/>
        <v>0</v>
      </c>
      <c r="AU270">
        <f t="shared" si="170"/>
        <v>1</v>
      </c>
      <c r="AV270">
        <f t="shared" si="171"/>
        <v>0</v>
      </c>
      <c r="AW270">
        <f t="shared" si="172"/>
        <v>0</v>
      </c>
      <c r="AX270">
        <f t="shared" si="173"/>
        <v>0</v>
      </c>
      <c r="AY270">
        <f t="shared" si="174"/>
        <v>0</v>
      </c>
      <c r="AZ270">
        <f t="shared" si="175"/>
        <v>0</v>
      </c>
      <c r="BA270">
        <f t="shared" si="176"/>
        <v>0</v>
      </c>
      <c r="BB270">
        <f t="shared" si="177"/>
        <v>0</v>
      </c>
      <c r="BC270">
        <f t="shared" si="178"/>
        <v>0</v>
      </c>
      <c r="BD270">
        <f t="shared" si="179"/>
        <v>0</v>
      </c>
      <c r="BE270">
        <f t="shared" si="180"/>
        <v>0</v>
      </c>
      <c r="BF270">
        <f t="shared" si="181"/>
        <v>0</v>
      </c>
      <c r="BG270">
        <f t="shared" si="182"/>
        <v>0</v>
      </c>
      <c r="BH270">
        <f t="shared" si="183"/>
        <v>0</v>
      </c>
      <c r="BI270">
        <f t="shared" si="184"/>
        <v>0</v>
      </c>
    </row>
    <row r="271" spans="1:61" x14ac:dyDescent="0.35">
      <c r="A271" t="s">
        <v>196</v>
      </c>
      <c r="B271" s="1">
        <v>38852</v>
      </c>
      <c r="C271" t="s">
        <v>639</v>
      </c>
      <c r="D271" t="s">
        <v>59</v>
      </c>
      <c r="E271" t="s">
        <v>640</v>
      </c>
      <c r="F271" t="s">
        <v>602</v>
      </c>
      <c r="G271" t="s">
        <v>64</v>
      </c>
      <c r="H271" s="139">
        <f t="shared" si="158"/>
        <v>1</v>
      </c>
      <c r="I271" t="s">
        <v>611</v>
      </c>
      <c r="J271" t="s">
        <v>248</v>
      </c>
      <c r="K271" s="2">
        <f t="shared" si="161"/>
        <v>5</v>
      </c>
      <c r="L271">
        <v>265460000</v>
      </c>
      <c r="M271" s="2">
        <f t="shared" si="162"/>
        <v>8.4239990900577286</v>
      </c>
      <c r="N271">
        <v>204170000</v>
      </c>
      <c r="O271">
        <v>61290000</v>
      </c>
      <c r="P271" s="1">
        <v>42219</v>
      </c>
      <c r="Q271" s="89">
        <f t="shared" si="163"/>
        <v>2015</v>
      </c>
      <c r="R271" t="s">
        <v>107</v>
      </c>
      <c r="S271">
        <v>1252918452</v>
      </c>
      <c r="T271" s="21">
        <f t="shared" si="154"/>
        <v>9.2246575342465746</v>
      </c>
      <c r="U271">
        <v>5897.96</v>
      </c>
      <c r="V271">
        <f t="shared" si="164"/>
        <v>3.7707754512906644</v>
      </c>
      <c r="W271">
        <v>1987</v>
      </c>
      <c r="X271">
        <v>19</v>
      </c>
      <c r="Y271">
        <f t="shared" si="165"/>
        <v>1.3010299956639813</v>
      </c>
      <c r="Z271" s="45">
        <v>2.3199999999999998</v>
      </c>
      <c r="AA271" s="9">
        <f t="shared" si="155"/>
        <v>1048748452</v>
      </c>
      <c r="AB271" s="15">
        <f t="shared" si="156"/>
        <v>3.7198012958637836</v>
      </c>
      <c r="AC271" s="34">
        <f t="shared" si="166"/>
        <v>0.67392371517510419</v>
      </c>
      <c r="AD271">
        <v>2315.9650000000001</v>
      </c>
      <c r="AE271">
        <f t="shared" si="159"/>
        <v>3.3647319918335836</v>
      </c>
      <c r="AF271">
        <v>3703.9029999999998</v>
      </c>
      <c r="AG271">
        <f t="shared" si="160"/>
        <v>3.568659604598353</v>
      </c>
      <c r="AH271" s="9">
        <v>132</v>
      </c>
      <c r="AI271" s="9">
        <f t="shared" si="167"/>
        <v>2.1238516409670858</v>
      </c>
      <c r="AJ271">
        <v>91.5</v>
      </c>
      <c r="AK271" s="23" t="s">
        <v>78</v>
      </c>
      <c r="AL271" s="42">
        <v>40.767390998852598</v>
      </c>
      <c r="AM271" s="24">
        <v>0.62</v>
      </c>
      <c r="AN271" s="34">
        <f t="shared" si="168"/>
        <v>0.20951501454263097</v>
      </c>
      <c r="AO271">
        <v>1985</v>
      </c>
      <c r="AP271">
        <v>21</v>
      </c>
      <c r="AQ271">
        <v>70</v>
      </c>
      <c r="AR271">
        <v>70</v>
      </c>
      <c r="AS271">
        <f t="shared" si="157"/>
        <v>0</v>
      </c>
      <c r="AT271">
        <f t="shared" si="169"/>
        <v>0</v>
      </c>
      <c r="AU271">
        <f t="shared" si="170"/>
        <v>1</v>
      </c>
      <c r="AV271">
        <f t="shared" si="171"/>
        <v>0</v>
      </c>
      <c r="AW271">
        <f t="shared" si="172"/>
        <v>0</v>
      </c>
      <c r="AX271">
        <f t="shared" si="173"/>
        <v>0</v>
      </c>
      <c r="AY271">
        <f t="shared" si="174"/>
        <v>0</v>
      </c>
      <c r="AZ271">
        <f t="shared" si="175"/>
        <v>0</v>
      </c>
      <c r="BA271">
        <f t="shared" si="176"/>
        <v>0</v>
      </c>
      <c r="BB271">
        <f t="shared" si="177"/>
        <v>0</v>
      </c>
      <c r="BC271">
        <f t="shared" si="178"/>
        <v>0</v>
      </c>
      <c r="BD271">
        <f t="shared" si="179"/>
        <v>0</v>
      </c>
      <c r="BE271">
        <f t="shared" si="180"/>
        <v>0</v>
      </c>
      <c r="BF271">
        <f t="shared" si="181"/>
        <v>0</v>
      </c>
      <c r="BG271">
        <f t="shared" si="182"/>
        <v>0</v>
      </c>
      <c r="BH271">
        <f t="shared" si="183"/>
        <v>0</v>
      </c>
      <c r="BI271">
        <f t="shared" si="184"/>
        <v>0</v>
      </c>
    </row>
    <row r="272" spans="1:61" x14ac:dyDescent="0.35">
      <c r="A272" t="s">
        <v>196</v>
      </c>
      <c r="B272" s="1">
        <v>40974</v>
      </c>
      <c r="C272" t="s">
        <v>641</v>
      </c>
      <c r="D272" t="s">
        <v>59</v>
      </c>
      <c r="E272" t="s">
        <v>642</v>
      </c>
      <c r="F272" t="s">
        <v>602</v>
      </c>
      <c r="G272" t="s">
        <v>64</v>
      </c>
      <c r="H272" s="139">
        <f t="shared" si="158"/>
        <v>1</v>
      </c>
      <c r="I272" t="s">
        <v>234</v>
      </c>
      <c r="J272" t="s">
        <v>235</v>
      </c>
      <c r="K272" s="2">
        <f t="shared" si="161"/>
        <v>1</v>
      </c>
      <c r="L272">
        <v>160000000</v>
      </c>
      <c r="M272" s="2">
        <f t="shared" si="162"/>
        <v>8.204119982655925</v>
      </c>
      <c r="N272">
        <f>L272</f>
        <v>160000000</v>
      </c>
      <c r="O272">
        <v>0</v>
      </c>
      <c r="P272" s="1">
        <v>43027</v>
      </c>
      <c r="Q272" s="89">
        <f t="shared" si="163"/>
        <v>2017</v>
      </c>
      <c r="R272" t="s">
        <v>152</v>
      </c>
      <c r="S272">
        <v>655000000</v>
      </c>
      <c r="T272" s="21">
        <f t="shared" si="154"/>
        <v>5.624657534246575</v>
      </c>
      <c r="U272">
        <v>5897.96</v>
      </c>
      <c r="V272">
        <f t="shared" si="164"/>
        <v>3.7707754512906644</v>
      </c>
      <c r="W272">
        <v>1934</v>
      </c>
      <c r="X272">
        <v>78</v>
      </c>
      <c r="Y272">
        <f t="shared" si="165"/>
        <v>1.8976270912904414</v>
      </c>
      <c r="Z272" s="45">
        <v>2.3199999999999998</v>
      </c>
      <c r="AA272" s="9">
        <f t="shared" si="155"/>
        <v>495000000</v>
      </c>
      <c r="AB272" s="15">
        <f t="shared" si="156"/>
        <v>3.09375</v>
      </c>
      <c r="AC272" s="34">
        <f t="shared" si="166"/>
        <v>0.61212131733585828</v>
      </c>
      <c r="AD272">
        <v>2315.9650000000001</v>
      </c>
      <c r="AE272">
        <f t="shared" si="159"/>
        <v>3.3647319918335836</v>
      </c>
      <c r="AF272">
        <v>3703.9029999999998</v>
      </c>
      <c r="AG272">
        <f t="shared" si="160"/>
        <v>3.568659604598353</v>
      </c>
      <c r="AH272" s="9">
        <v>132</v>
      </c>
      <c r="AI272" s="9">
        <f t="shared" si="167"/>
        <v>2.1238516409670858</v>
      </c>
      <c r="AJ272">
        <v>94.7</v>
      </c>
      <c r="AK272" s="23" t="s">
        <v>623</v>
      </c>
      <c r="AL272" s="42">
        <v>45.737088331856903</v>
      </c>
      <c r="AM272" s="24">
        <v>0.91</v>
      </c>
      <c r="AN272" s="34">
        <f t="shared" si="168"/>
        <v>0.28103336724772759</v>
      </c>
      <c r="AO272">
        <v>1986</v>
      </c>
      <c r="AP272">
        <v>26</v>
      </c>
      <c r="AQ272">
        <v>70</v>
      </c>
      <c r="AR272">
        <v>70</v>
      </c>
      <c r="AS272">
        <f t="shared" si="157"/>
        <v>0</v>
      </c>
      <c r="AT272">
        <f t="shared" si="169"/>
        <v>0</v>
      </c>
      <c r="AU272">
        <f t="shared" si="170"/>
        <v>1</v>
      </c>
      <c r="AV272">
        <f t="shared" si="171"/>
        <v>0</v>
      </c>
      <c r="AW272">
        <f t="shared" si="172"/>
        <v>0</v>
      </c>
      <c r="AX272">
        <f t="shared" si="173"/>
        <v>0</v>
      </c>
      <c r="AY272">
        <f t="shared" si="174"/>
        <v>0</v>
      </c>
      <c r="AZ272">
        <f t="shared" si="175"/>
        <v>0</v>
      </c>
      <c r="BA272">
        <f t="shared" si="176"/>
        <v>0</v>
      </c>
      <c r="BB272">
        <f t="shared" si="177"/>
        <v>0</v>
      </c>
      <c r="BC272">
        <f t="shared" si="178"/>
        <v>0</v>
      </c>
      <c r="BD272">
        <f t="shared" si="179"/>
        <v>0</v>
      </c>
      <c r="BE272">
        <f t="shared" si="180"/>
        <v>0</v>
      </c>
      <c r="BF272">
        <f t="shared" si="181"/>
        <v>0</v>
      </c>
      <c r="BG272">
        <f t="shared" si="182"/>
        <v>0</v>
      </c>
      <c r="BH272">
        <f t="shared" si="183"/>
        <v>0</v>
      </c>
      <c r="BI272">
        <f t="shared" si="184"/>
        <v>0</v>
      </c>
    </row>
    <row r="273" spans="1:61" x14ac:dyDescent="0.35">
      <c r="A273" t="s">
        <v>196</v>
      </c>
      <c r="B273" s="1">
        <v>39868</v>
      </c>
      <c r="C273" s="8" t="s">
        <v>643</v>
      </c>
      <c r="D273" t="s">
        <v>59</v>
      </c>
      <c r="E273" t="s">
        <v>644</v>
      </c>
      <c r="F273" t="s">
        <v>602</v>
      </c>
      <c r="G273" t="s">
        <v>64</v>
      </c>
      <c r="H273" s="139">
        <f t="shared" si="158"/>
        <v>1</v>
      </c>
      <c r="I273" t="s">
        <v>234</v>
      </c>
      <c r="J273" t="s">
        <v>190</v>
      </c>
      <c r="K273" s="2">
        <f t="shared" si="161"/>
        <v>2</v>
      </c>
      <c r="L273">
        <v>34770000</v>
      </c>
      <c r="M273" s="2">
        <f t="shared" si="162"/>
        <v>7.5412046906832586</v>
      </c>
      <c r="N273">
        <f>L273</f>
        <v>34770000</v>
      </c>
      <c r="O273">
        <v>0</v>
      </c>
      <c r="P273" s="1">
        <v>42055</v>
      </c>
      <c r="Q273" s="89">
        <f t="shared" si="163"/>
        <v>2015</v>
      </c>
      <c r="R273" t="s">
        <v>107</v>
      </c>
      <c r="S273">
        <v>180000000</v>
      </c>
      <c r="T273" s="21">
        <f t="shared" si="154"/>
        <v>5.9917808219178079</v>
      </c>
      <c r="U273">
        <v>5897.96</v>
      </c>
      <c r="V273">
        <f t="shared" si="164"/>
        <v>3.7707754512906644</v>
      </c>
      <c r="W273">
        <v>2007</v>
      </c>
      <c r="X273">
        <v>2</v>
      </c>
      <c r="Y273">
        <f t="shared" si="165"/>
        <v>0.47712125471966244</v>
      </c>
      <c r="Z273" s="45">
        <v>2.3199999999999998</v>
      </c>
      <c r="AA273" s="9">
        <f t="shared" si="155"/>
        <v>145230000</v>
      </c>
      <c r="AB273" s="15">
        <f t="shared" si="156"/>
        <v>4.1768766177739431</v>
      </c>
      <c r="AC273" s="34">
        <f t="shared" si="166"/>
        <v>0.71406781442004763</v>
      </c>
      <c r="AD273">
        <v>2315.9650000000001</v>
      </c>
      <c r="AE273">
        <f t="shared" si="159"/>
        <v>3.3647319918335836</v>
      </c>
      <c r="AF273">
        <v>3703.9029999999998</v>
      </c>
      <c r="AG273">
        <f t="shared" si="160"/>
        <v>3.568659604598353</v>
      </c>
      <c r="AH273" s="9">
        <v>132</v>
      </c>
      <c r="AI273" s="9">
        <f t="shared" si="167"/>
        <v>2.1238516409670858</v>
      </c>
      <c r="AJ273">
        <v>89.8</v>
      </c>
      <c r="AK273" s="23" t="s">
        <v>130</v>
      </c>
      <c r="AL273" s="42">
        <v>47.307367293927399</v>
      </c>
      <c r="AM273" s="24">
        <v>1.73</v>
      </c>
      <c r="AN273" s="34">
        <f t="shared" si="168"/>
        <v>0.43616264704075602</v>
      </c>
      <c r="AO273">
        <v>2011</v>
      </c>
      <c r="AP273">
        <v>0</v>
      </c>
      <c r="AQ273">
        <v>70</v>
      </c>
      <c r="AR273">
        <v>70</v>
      </c>
      <c r="AS273">
        <f t="shared" si="157"/>
        <v>0</v>
      </c>
      <c r="AT273">
        <f t="shared" si="169"/>
        <v>0</v>
      </c>
      <c r="AU273">
        <f t="shared" si="170"/>
        <v>1</v>
      </c>
      <c r="AV273">
        <f t="shared" si="171"/>
        <v>0</v>
      </c>
      <c r="AW273">
        <f t="shared" si="172"/>
        <v>0</v>
      </c>
      <c r="AX273">
        <f t="shared" si="173"/>
        <v>0</v>
      </c>
      <c r="AY273">
        <f t="shared" si="174"/>
        <v>0</v>
      </c>
      <c r="AZ273">
        <f t="shared" si="175"/>
        <v>0</v>
      </c>
      <c r="BA273">
        <f t="shared" si="176"/>
        <v>0</v>
      </c>
      <c r="BB273">
        <f t="shared" si="177"/>
        <v>0</v>
      </c>
      <c r="BC273">
        <f t="shared" si="178"/>
        <v>0</v>
      </c>
      <c r="BD273">
        <f t="shared" si="179"/>
        <v>0</v>
      </c>
      <c r="BE273">
        <f t="shared" si="180"/>
        <v>0</v>
      </c>
      <c r="BF273">
        <f t="shared" si="181"/>
        <v>0</v>
      </c>
      <c r="BG273">
        <f t="shared" si="182"/>
        <v>0</v>
      </c>
      <c r="BH273">
        <f t="shared" si="183"/>
        <v>0</v>
      </c>
      <c r="BI273">
        <f t="shared" si="184"/>
        <v>0</v>
      </c>
    </row>
    <row r="274" spans="1:61" x14ac:dyDescent="0.35">
      <c r="A274" t="s">
        <v>196</v>
      </c>
      <c r="B274" s="1">
        <v>37928</v>
      </c>
      <c r="C274" t="s">
        <v>645</v>
      </c>
      <c r="D274" t="s">
        <v>59</v>
      </c>
      <c r="E274" t="s">
        <v>646</v>
      </c>
      <c r="F274" t="s">
        <v>602</v>
      </c>
      <c r="G274" t="s">
        <v>64</v>
      </c>
      <c r="H274" s="139">
        <f t="shared" si="158"/>
        <v>1</v>
      </c>
      <c r="I274" t="s">
        <v>234</v>
      </c>
      <c r="J274" t="s">
        <v>248</v>
      </c>
      <c r="K274" s="2">
        <f t="shared" si="161"/>
        <v>5</v>
      </c>
      <c r="L274">
        <v>2510000000</v>
      </c>
      <c r="M274" s="2">
        <f t="shared" si="162"/>
        <v>9.3996737214810384</v>
      </c>
      <c r="N274">
        <f>L274</f>
        <v>2510000000</v>
      </c>
      <c r="O274">
        <v>0</v>
      </c>
      <c r="P274" s="1">
        <v>38722</v>
      </c>
      <c r="Q274" s="89">
        <f t="shared" si="163"/>
        <v>2006</v>
      </c>
      <c r="R274" t="s">
        <v>107</v>
      </c>
      <c r="S274">
        <v>2679000000</v>
      </c>
      <c r="T274" s="21">
        <f t="shared" si="154"/>
        <v>2.1753424657534248</v>
      </c>
      <c r="U274">
        <v>5897.96</v>
      </c>
      <c r="V274">
        <f t="shared" si="164"/>
        <v>3.7707754512906644</v>
      </c>
      <c r="W274">
        <v>1999</v>
      </c>
      <c r="X274">
        <v>4</v>
      </c>
      <c r="Y274">
        <f t="shared" si="165"/>
        <v>0.69897000433601886</v>
      </c>
      <c r="Z274" s="45">
        <v>2.3199999999999998</v>
      </c>
      <c r="AA274" s="9">
        <f t="shared" si="155"/>
        <v>169000000</v>
      </c>
      <c r="AB274" s="15">
        <f t="shared" si="156"/>
        <v>6.7330677290836638E-2</v>
      </c>
      <c r="AC274" s="34">
        <f t="shared" si="166"/>
        <v>2.8298992127170717E-2</v>
      </c>
      <c r="AD274">
        <v>2315.9650000000001</v>
      </c>
      <c r="AE274">
        <f t="shared" si="159"/>
        <v>3.3647319918335836</v>
      </c>
      <c r="AF274">
        <v>3703.9029999999998</v>
      </c>
      <c r="AG274">
        <f t="shared" si="160"/>
        <v>3.568659604598353</v>
      </c>
      <c r="AH274" s="9">
        <v>132</v>
      </c>
      <c r="AI274" s="9">
        <f t="shared" si="167"/>
        <v>2.1238516409670858</v>
      </c>
      <c r="AJ274">
        <v>85</v>
      </c>
      <c r="AK274" s="23" t="s">
        <v>246</v>
      </c>
      <c r="AL274" s="42">
        <v>38.7850112673514</v>
      </c>
      <c r="AM274" s="24">
        <v>0.2</v>
      </c>
      <c r="AN274" s="34">
        <f t="shared" si="168"/>
        <v>7.9181246047624818E-2</v>
      </c>
      <c r="AO274">
        <v>1985</v>
      </c>
      <c r="AP274">
        <v>18</v>
      </c>
      <c r="AQ274">
        <v>70</v>
      </c>
      <c r="AR274">
        <v>70</v>
      </c>
      <c r="AS274">
        <f t="shared" si="157"/>
        <v>0</v>
      </c>
      <c r="AT274">
        <f t="shared" si="169"/>
        <v>0</v>
      </c>
      <c r="AU274">
        <f t="shared" si="170"/>
        <v>1</v>
      </c>
      <c r="AV274">
        <f t="shared" si="171"/>
        <v>0</v>
      </c>
      <c r="AW274">
        <f t="shared" si="172"/>
        <v>0</v>
      </c>
      <c r="AX274">
        <f t="shared" si="173"/>
        <v>0</v>
      </c>
      <c r="AY274">
        <f t="shared" si="174"/>
        <v>0</v>
      </c>
      <c r="AZ274">
        <f t="shared" si="175"/>
        <v>0</v>
      </c>
      <c r="BA274">
        <f t="shared" si="176"/>
        <v>0</v>
      </c>
      <c r="BB274">
        <f t="shared" si="177"/>
        <v>0</v>
      </c>
      <c r="BC274">
        <f t="shared" si="178"/>
        <v>0</v>
      </c>
      <c r="BD274">
        <f t="shared" si="179"/>
        <v>0</v>
      </c>
      <c r="BE274">
        <f t="shared" si="180"/>
        <v>0</v>
      </c>
      <c r="BF274">
        <f t="shared" si="181"/>
        <v>0</v>
      </c>
      <c r="BG274">
        <f t="shared" si="182"/>
        <v>0</v>
      </c>
      <c r="BH274">
        <f t="shared" si="183"/>
        <v>0</v>
      </c>
      <c r="BI274">
        <f t="shared" si="184"/>
        <v>0</v>
      </c>
    </row>
    <row r="275" spans="1:61" x14ac:dyDescent="0.35">
      <c r="A275" t="s">
        <v>196</v>
      </c>
      <c r="B275" s="1">
        <v>38546</v>
      </c>
      <c r="C275" t="s">
        <v>647</v>
      </c>
      <c r="D275" t="s">
        <v>59</v>
      </c>
      <c r="E275" t="s">
        <v>646</v>
      </c>
      <c r="F275" t="s">
        <v>602</v>
      </c>
      <c r="G275" t="s">
        <v>64</v>
      </c>
      <c r="H275" s="139">
        <f t="shared" si="158"/>
        <v>1</v>
      </c>
      <c r="I275" t="s">
        <v>234</v>
      </c>
      <c r="J275" t="s">
        <v>248</v>
      </c>
      <c r="K275" s="2">
        <f t="shared" si="161"/>
        <v>5</v>
      </c>
      <c r="L275">
        <v>1723361008</v>
      </c>
      <c r="M275" s="2">
        <f t="shared" si="162"/>
        <v>9.2363762625668429</v>
      </c>
      <c r="N275">
        <f>L275</f>
        <v>1723361008</v>
      </c>
      <c r="O275">
        <v>0</v>
      </c>
      <c r="P275" s="1">
        <v>42066</v>
      </c>
      <c r="Q275" s="89">
        <f t="shared" si="163"/>
        <v>2015</v>
      </c>
      <c r="R275" t="s">
        <v>152</v>
      </c>
      <c r="S275">
        <v>2478020000</v>
      </c>
      <c r="T275" s="21">
        <f t="shared" si="154"/>
        <v>9.6438356164383556</v>
      </c>
      <c r="U275">
        <v>5897.96</v>
      </c>
      <c r="V275">
        <f t="shared" si="164"/>
        <v>3.7707754512906644</v>
      </c>
      <c r="W275">
        <v>1998</v>
      </c>
      <c r="X275">
        <v>7</v>
      </c>
      <c r="Y275">
        <f t="shared" si="165"/>
        <v>0.90308998699194354</v>
      </c>
      <c r="Z275" s="45">
        <v>2.3199999999999998</v>
      </c>
      <c r="AA275" s="9">
        <f t="shared" si="155"/>
        <v>754658992</v>
      </c>
      <c r="AB275" s="15">
        <f t="shared" si="156"/>
        <v>0.4378995396186891</v>
      </c>
      <c r="AC275" s="34">
        <f t="shared" si="166"/>
        <v>0.15772854466068537</v>
      </c>
      <c r="AD275">
        <v>2315.9650000000001</v>
      </c>
      <c r="AE275">
        <f t="shared" si="159"/>
        <v>3.3647319918335836</v>
      </c>
      <c r="AF275">
        <v>3703.9029999999998</v>
      </c>
      <c r="AG275">
        <f t="shared" si="160"/>
        <v>3.568659604598353</v>
      </c>
      <c r="AH275" s="9">
        <v>132</v>
      </c>
      <c r="AI275" s="9">
        <f t="shared" si="167"/>
        <v>2.1238516409670858</v>
      </c>
      <c r="AJ275">
        <v>85</v>
      </c>
      <c r="AK275" s="23" t="s">
        <v>171</v>
      </c>
      <c r="AL275" s="42">
        <v>41.286751495766303</v>
      </c>
      <c r="AM275" s="24">
        <v>0.72</v>
      </c>
      <c r="AN275" s="34">
        <f t="shared" si="168"/>
        <v>0.2355284469075489</v>
      </c>
      <c r="AO275">
        <v>1985</v>
      </c>
      <c r="AP275">
        <v>20</v>
      </c>
      <c r="AQ275">
        <v>70</v>
      </c>
      <c r="AR275">
        <v>70</v>
      </c>
      <c r="AS275">
        <f t="shared" si="157"/>
        <v>0</v>
      </c>
      <c r="AT275">
        <f t="shared" si="169"/>
        <v>0</v>
      </c>
      <c r="AU275">
        <f t="shared" si="170"/>
        <v>1</v>
      </c>
      <c r="AV275">
        <f t="shared" si="171"/>
        <v>0</v>
      </c>
      <c r="AW275">
        <f t="shared" si="172"/>
        <v>0</v>
      </c>
      <c r="AX275">
        <f t="shared" si="173"/>
        <v>0</v>
      </c>
      <c r="AY275">
        <f t="shared" si="174"/>
        <v>0</v>
      </c>
      <c r="AZ275">
        <f t="shared" si="175"/>
        <v>0</v>
      </c>
      <c r="BA275">
        <f t="shared" si="176"/>
        <v>0</v>
      </c>
      <c r="BB275">
        <f t="shared" si="177"/>
        <v>0</v>
      </c>
      <c r="BC275">
        <f t="shared" si="178"/>
        <v>0</v>
      </c>
      <c r="BD275">
        <f t="shared" si="179"/>
        <v>0</v>
      </c>
      <c r="BE275">
        <f t="shared" si="180"/>
        <v>0</v>
      </c>
      <c r="BF275">
        <f t="shared" si="181"/>
        <v>0</v>
      </c>
      <c r="BG275">
        <f t="shared" si="182"/>
        <v>0</v>
      </c>
      <c r="BH275">
        <f t="shared" si="183"/>
        <v>0</v>
      </c>
      <c r="BI275">
        <f t="shared" si="184"/>
        <v>0</v>
      </c>
    </row>
    <row r="276" spans="1:61" x14ac:dyDescent="0.35">
      <c r="A276" t="s">
        <v>196</v>
      </c>
      <c r="B276" s="1">
        <v>36685</v>
      </c>
      <c r="C276" s="8" t="s">
        <v>648</v>
      </c>
      <c r="D276" t="s">
        <v>59</v>
      </c>
      <c r="E276" t="s">
        <v>649</v>
      </c>
      <c r="F276" t="s">
        <v>602</v>
      </c>
      <c r="G276" t="s">
        <v>64</v>
      </c>
      <c r="H276" s="139">
        <f t="shared" si="158"/>
        <v>1</v>
      </c>
      <c r="I276" t="s">
        <v>234</v>
      </c>
      <c r="J276" t="s">
        <v>245</v>
      </c>
      <c r="K276" s="2">
        <f t="shared" si="161"/>
        <v>6</v>
      </c>
      <c r="L276">
        <v>60000000</v>
      </c>
      <c r="M276" s="2">
        <f t="shared" si="162"/>
        <v>7.7781512503836439</v>
      </c>
      <c r="N276">
        <f>L276</f>
        <v>60000000</v>
      </c>
      <c r="O276">
        <v>0</v>
      </c>
      <c r="P276" s="1">
        <v>37264</v>
      </c>
      <c r="Q276" s="89">
        <f t="shared" si="163"/>
        <v>2002</v>
      </c>
      <c r="R276" t="s">
        <v>107</v>
      </c>
      <c r="S276">
        <v>555000000</v>
      </c>
      <c r="T276" s="21">
        <f t="shared" si="154"/>
        <v>1.5863013698630137</v>
      </c>
      <c r="U276">
        <v>5897.96</v>
      </c>
      <c r="V276">
        <f t="shared" si="164"/>
        <v>3.7707754512906644</v>
      </c>
      <c r="W276">
        <v>1988</v>
      </c>
      <c r="X276">
        <v>12</v>
      </c>
      <c r="Y276">
        <f t="shared" si="165"/>
        <v>1.1139433523068367</v>
      </c>
      <c r="Z276" s="45">
        <v>2.3199999999999998</v>
      </c>
      <c r="AA276" s="9">
        <f t="shared" si="155"/>
        <v>495000000</v>
      </c>
      <c r="AB276" s="15">
        <f t="shared" si="156"/>
        <v>8.25</v>
      </c>
      <c r="AC276" s="34">
        <f t="shared" si="166"/>
        <v>0.96614173273903259</v>
      </c>
      <c r="AD276">
        <v>2315.9650000000001</v>
      </c>
      <c r="AE276">
        <f t="shared" si="159"/>
        <v>3.3647319918335836</v>
      </c>
      <c r="AF276">
        <v>3703.9029999999998</v>
      </c>
      <c r="AG276">
        <f t="shared" si="160"/>
        <v>3.568659604598353</v>
      </c>
      <c r="AH276" s="9">
        <v>132</v>
      </c>
      <c r="AI276" s="9">
        <f t="shared" si="167"/>
        <v>2.1238516409670858</v>
      </c>
      <c r="AJ276">
        <v>85</v>
      </c>
      <c r="AK276" s="23" t="s">
        <v>78</v>
      </c>
      <c r="AL276" s="42">
        <v>35.433808146393098</v>
      </c>
      <c r="AM276" s="24">
        <v>-0.21</v>
      </c>
      <c r="AN276" s="34">
        <f t="shared" si="168"/>
        <v>-0.10237290870955855</v>
      </c>
      <c r="AO276">
        <v>1985</v>
      </c>
      <c r="AP276">
        <v>15</v>
      </c>
      <c r="AQ276">
        <v>70</v>
      </c>
      <c r="AR276">
        <v>70</v>
      </c>
      <c r="AS276">
        <f t="shared" si="157"/>
        <v>0</v>
      </c>
      <c r="AT276">
        <f t="shared" si="169"/>
        <v>0</v>
      </c>
      <c r="AU276">
        <f t="shared" si="170"/>
        <v>1</v>
      </c>
      <c r="AV276">
        <f t="shared" si="171"/>
        <v>0</v>
      </c>
      <c r="AW276">
        <f t="shared" si="172"/>
        <v>0</v>
      </c>
      <c r="AX276">
        <f t="shared" si="173"/>
        <v>0</v>
      </c>
      <c r="AY276">
        <f t="shared" si="174"/>
        <v>0</v>
      </c>
      <c r="AZ276">
        <f t="shared" si="175"/>
        <v>0</v>
      </c>
      <c r="BA276">
        <f t="shared" si="176"/>
        <v>0</v>
      </c>
      <c r="BB276">
        <f t="shared" si="177"/>
        <v>0</v>
      </c>
      <c r="BC276">
        <f t="shared" si="178"/>
        <v>0</v>
      </c>
      <c r="BD276">
        <f t="shared" si="179"/>
        <v>0</v>
      </c>
      <c r="BE276">
        <f t="shared" si="180"/>
        <v>0</v>
      </c>
      <c r="BF276">
        <f t="shared" si="181"/>
        <v>0</v>
      </c>
      <c r="BG276">
        <f t="shared" si="182"/>
        <v>0</v>
      </c>
      <c r="BH276">
        <f t="shared" si="183"/>
        <v>0</v>
      </c>
      <c r="BI276">
        <f t="shared" si="184"/>
        <v>0</v>
      </c>
    </row>
    <row r="277" spans="1:61" x14ac:dyDescent="0.35">
      <c r="A277" t="s">
        <v>196</v>
      </c>
      <c r="B277" s="1">
        <v>38742</v>
      </c>
      <c r="C277" t="s">
        <v>650</v>
      </c>
      <c r="D277" t="s">
        <v>3</v>
      </c>
      <c r="E277" t="s">
        <v>651</v>
      </c>
      <c r="F277" t="s">
        <v>602</v>
      </c>
      <c r="G277" t="s">
        <v>64</v>
      </c>
      <c r="H277" s="139">
        <f t="shared" si="158"/>
        <v>1</v>
      </c>
      <c r="I277" t="s">
        <v>268</v>
      </c>
      <c r="J277" t="s">
        <v>186</v>
      </c>
      <c r="K277" s="2">
        <f t="shared" si="161"/>
        <v>4</v>
      </c>
      <c r="L277">
        <v>7987460000</v>
      </c>
      <c r="M277" s="2">
        <f t="shared" si="162"/>
        <v>9.9024086962903652</v>
      </c>
      <c r="N277">
        <v>6063860000</v>
      </c>
      <c r="O277">
        <v>1923600000</v>
      </c>
      <c r="P277" s="1">
        <v>41360</v>
      </c>
      <c r="Q277" s="89">
        <f t="shared" si="163"/>
        <v>2013</v>
      </c>
      <c r="R277" t="s">
        <v>49</v>
      </c>
      <c r="S277">
        <v>2035595139</v>
      </c>
      <c r="T277" s="21">
        <f t="shared" si="154"/>
        <v>7.1726027397260275</v>
      </c>
      <c r="U277">
        <v>6511.1</v>
      </c>
      <c r="V277">
        <f t="shared" si="164"/>
        <v>3.8137210609712455</v>
      </c>
      <c r="W277">
        <v>1990</v>
      </c>
      <c r="X277">
        <v>16</v>
      </c>
      <c r="Y277">
        <f t="shared" si="165"/>
        <v>1.2304489213782739</v>
      </c>
      <c r="Z277" s="45">
        <v>2.86</v>
      </c>
      <c r="AA277" s="9">
        <f t="shared" si="155"/>
        <v>-4028264861</v>
      </c>
      <c r="AB277" s="15">
        <f t="shared" si="156"/>
        <v>-0.74515113202444838</v>
      </c>
      <c r="AC277" s="34">
        <f t="shared" si="166"/>
        <v>-0.59371729118283922</v>
      </c>
      <c r="AD277">
        <v>2315.9650000000001</v>
      </c>
      <c r="AE277">
        <f t="shared" si="159"/>
        <v>3.3647319918335836</v>
      </c>
      <c r="AF277">
        <v>3703.9029999999998</v>
      </c>
      <c r="AG277">
        <f t="shared" si="160"/>
        <v>3.568659604598353</v>
      </c>
      <c r="AH277" s="9">
        <v>835.16666666666697</v>
      </c>
      <c r="AI277" s="9">
        <f t="shared" si="167"/>
        <v>2.9222928506441082</v>
      </c>
      <c r="AJ277">
        <v>94.6</v>
      </c>
      <c r="AK277" s="23" t="s">
        <v>652</v>
      </c>
      <c r="AL277" s="42">
        <v>49.829752832499103</v>
      </c>
      <c r="AM277" s="24">
        <v>0.24</v>
      </c>
      <c r="AN277" s="34">
        <f t="shared" si="168"/>
        <v>9.3421685162235063E-2</v>
      </c>
      <c r="AO277">
        <v>1985</v>
      </c>
      <c r="AP277">
        <v>21</v>
      </c>
      <c r="AQ277">
        <v>85</v>
      </c>
      <c r="AR277">
        <v>70</v>
      </c>
      <c r="AS277">
        <f t="shared" si="157"/>
        <v>0</v>
      </c>
      <c r="AT277">
        <f t="shared" si="169"/>
        <v>0</v>
      </c>
      <c r="AU277">
        <f t="shared" si="170"/>
        <v>0</v>
      </c>
      <c r="AV277">
        <f t="shared" si="171"/>
        <v>0</v>
      </c>
      <c r="AW277">
        <f t="shared" si="172"/>
        <v>1</v>
      </c>
      <c r="AX277">
        <f t="shared" si="173"/>
        <v>0</v>
      </c>
      <c r="AY277">
        <f t="shared" si="174"/>
        <v>0</v>
      </c>
      <c r="AZ277">
        <f t="shared" si="175"/>
        <v>0</v>
      </c>
      <c r="BA277">
        <f t="shared" si="176"/>
        <v>0</v>
      </c>
      <c r="BB277">
        <f t="shared" si="177"/>
        <v>0</v>
      </c>
      <c r="BC277">
        <f t="shared" si="178"/>
        <v>0</v>
      </c>
      <c r="BD277">
        <f t="shared" si="179"/>
        <v>0</v>
      </c>
      <c r="BE277">
        <f t="shared" si="180"/>
        <v>0</v>
      </c>
      <c r="BF277">
        <f t="shared" si="181"/>
        <v>0</v>
      </c>
      <c r="BG277">
        <f t="shared" si="182"/>
        <v>0</v>
      </c>
      <c r="BH277">
        <f t="shared" si="183"/>
        <v>0</v>
      </c>
      <c r="BI277">
        <f t="shared" si="184"/>
        <v>0</v>
      </c>
    </row>
    <row r="278" spans="1:61" x14ac:dyDescent="0.35">
      <c r="A278" t="s">
        <v>196</v>
      </c>
      <c r="B278" s="1">
        <v>38294</v>
      </c>
      <c r="C278" t="s">
        <v>653</v>
      </c>
      <c r="D278" t="s">
        <v>5</v>
      </c>
      <c r="E278" t="s">
        <v>646</v>
      </c>
      <c r="F278" t="s">
        <v>602</v>
      </c>
      <c r="G278" t="s">
        <v>64</v>
      </c>
      <c r="H278" s="139">
        <f t="shared" si="158"/>
        <v>1</v>
      </c>
      <c r="I278" t="s">
        <v>268</v>
      </c>
      <c r="J278" t="s">
        <v>186</v>
      </c>
      <c r="K278" s="2">
        <f t="shared" si="161"/>
        <v>4</v>
      </c>
      <c r="L278">
        <v>659570000</v>
      </c>
      <c r="M278" s="2">
        <f t="shared" si="162"/>
        <v>8.8192608938937127</v>
      </c>
      <c r="N278">
        <v>762490000</v>
      </c>
      <c r="O278">
        <v>102920000</v>
      </c>
      <c r="P278" s="1">
        <v>38700</v>
      </c>
      <c r="Q278" s="89">
        <f t="shared" si="163"/>
        <v>2005</v>
      </c>
      <c r="R278" t="s">
        <v>626</v>
      </c>
      <c r="S278">
        <v>632852000</v>
      </c>
      <c r="T278" s="21">
        <f t="shared" si="154"/>
        <v>1.1123287671232878</v>
      </c>
      <c r="U278">
        <v>6188.89</v>
      </c>
      <c r="V278">
        <f t="shared" si="164"/>
        <v>3.7916829312790057</v>
      </c>
      <c r="W278">
        <v>1998</v>
      </c>
      <c r="X278">
        <v>6</v>
      </c>
      <c r="Y278">
        <f t="shared" si="165"/>
        <v>0.84509804001425681</v>
      </c>
      <c r="Z278" s="45">
        <v>2.72</v>
      </c>
      <c r="AA278" s="9">
        <f t="shared" si="155"/>
        <v>-129638000</v>
      </c>
      <c r="AB278" s="15">
        <f t="shared" si="156"/>
        <v>-4.0508209894325131E-2</v>
      </c>
      <c r="AC278" s="34">
        <f t="shared" si="166"/>
        <v>-1.795873695462381E-2</v>
      </c>
      <c r="AD278">
        <v>2315.9650000000001</v>
      </c>
      <c r="AE278">
        <f t="shared" si="159"/>
        <v>3.3647319918335836</v>
      </c>
      <c r="AF278">
        <v>3703.9029999999998</v>
      </c>
      <c r="AG278">
        <f t="shared" si="160"/>
        <v>3.568659604598353</v>
      </c>
      <c r="AH278" s="9">
        <v>1084.3333333333301</v>
      </c>
      <c r="AI278" s="9">
        <f t="shared" si="167"/>
        <v>3.0355631414974997</v>
      </c>
      <c r="AJ278">
        <v>70</v>
      </c>
      <c r="AK278" s="23" t="s">
        <v>480</v>
      </c>
      <c r="AL278" s="42">
        <v>43.471204603938098</v>
      </c>
      <c r="AM278" s="24">
        <v>0.11</v>
      </c>
      <c r="AN278" s="34">
        <f t="shared" si="168"/>
        <v>4.5322978786657475E-2</v>
      </c>
      <c r="AO278">
        <v>1985</v>
      </c>
      <c r="AP278">
        <v>19</v>
      </c>
      <c r="AQ278">
        <v>95</v>
      </c>
      <c r="AR278">
        <v>80</v>
      </c>
      <c r="AS278">
        <f t="shared" si="157"/>
        <v>0</v>
      </c>
      <c r="AT278">
        <f t="shared" si="169"/>
        <v>0</v>
      </c>
      <c r="AU278">
        <f t="shared" si="170"/>
        <v>0</v>
      </c>
      <c r="AV278">
        <f t="shared" si="171"/>
        <v>0</v>
      </c>
      <c r="AW278">
        <f t="shared" si="172"/>
        <v>0</v>
      </c>
      <c r="AX278">
        <f t="shared" si="173"/>
        <v>0</v>
      </c>
      <c r="AY278">
        <f t="shared" si="174"/>
        <v>1</v>
      </c>
      <c r="AZ278">
        <f t="shared" si="175"/>
        <v>0</v>
      </c>
      <c r="BA278">
        <f t="shared" si="176"/>
        <v>0</v>
      </c>
      <c r="BB278">
        <f t="shared" si="177"/>
        <v>0</v>
      </c>
      <c r="BC278">
        <f t="shared" si="178"/>
        <v>0</v>
      </c>
      <c r="BD278">
        <f t="shared" si="179"/>
        <v>0</v>
      </c>
      <c r="BE278">
        <f t="shared" si="180"/>
        <v>0</v>
      </c>
      <c r="BF278">
        <f t="shared" si="181"/>
        <v>0</v>
      </c>
      <c r="BG278">
        <f t="shared" si="182"/>
        <v>0</v>
      </c>
      <c r="BH278">
        <f t="shared" si="183"/>
        <v>0</v>
      </c>
      <c r="BI278">
        <f t="shared" si="184"/>
        <v>0</v>
      </c>
    </row>
    <row r="279" spans="1:61" x14ac:dyDescent="0.35">
      <c r="A279" t="s">
        <v>196</v>
      </c>
      <c r="B279" s="1">
        <v>38352</v>
      </c>
      <c r="C279" t="s">
        <v>654</v>
      </c>
      <c r="D279" t="s">
        <v>2</v>
      </c>
      <c r="E279" t="s">
        <v>655</v>
      </c>
      <c r="F279" t="s">
        <v>602</v>
      </c>
      <c r="G279" t="s">
        <v>64</v>
      </c>
      <c r="H279" s="139">
        <f t="shared" si="158"/>
        <v>1</v>
      </c>
      <c r="I279" t="s">
        <v>234</v>
      </c>
      <c r="J279" t="s">
        <v>245</v>
      </c>
      <c r="K279" s="2">
        <f t="shared" si="161"/>
        <v>6</v>
      </c>
      <c r="L279">
        <v>1390000000</v>
      </c>
      <c r="M279" s="2">
        <f t="shared" si="162"/>
        <v>9.143014800254095</v>
      </c>
      <c r="N279">
        <f>L279</f>
        <v>1390000000</v>
      </c>
      <c r="O279">
        <v>0</v>
      </c>
      <c r="P279" s="1">
        <v>39153</v>
      </c>
      <c r="Q279" s="89">
        <f t="shared" si="163"/>
        <v>2007</v>
      </c>
      <c r="R279" t="s">
        <v>107</v>
      </c>
      <c r="S279">
        <v>1600000000</v>
      </c>
      <c r="T279" s="21">
        <f t="shared" si="154"/>
        <v>2.1945205479452055</v>
      </c>
      <c r="U279">
        <v>6815.73</v>
      </c>
      <c r="V279">
        <f t="shared" si="164"/>
        <v>3.8335760926148099</v>
      </c>
      <c r="W279">
        <v>1869</v>
      </c>
      <c r="X279">
        <v>135</v>
      </c>
      <c r="Y279">
        <f t="shared" si="165"/>
        <v>2.1335389083702174</v>
      </c>
      <c r="Z279" s="45">
        <v>2.85</v>
      </c>
      <c r="AA279" s="9">
        <f t="shared" si="155"/>
        <v>210000000</v>
      </c>
      <c r="AB279" s="15">
        <f t="shared" si="156"/>
        <v>0.15107913669064743</v>
      </c>
      <c r="AC279" s="34">
        <f t="shared" si="166"/>
        <v>6.1105182401829682E-2</v>
      </c>
      <c r="AD279">
        <v>2315.9650000000001</v>
      </c>
      <c r="AE279">
        <f t="shared" si="159"/>
        <v>3.3647319918335836</v>
      </c>
      <c r="AF279">
        <v>3703.9029999999998</v>
      </c>
      <c r="AG279">
        <f t="shared" si="160"/>
        <v>3.568659604598353</v>
      </c>
      <c r="AH279" s="9">
        <v>819</v>
      </c>
      <c r="AI279" s="9">
        <f t="shared" si="167"/>
        <v>2.9138138523837167</v>
      </c>
      <c r="AJ279">
        <v>70</v>
      </c>
      <c r="AK279" s="23" t="s">
        <v>213</v>
      </c>
      <c r="AL279" s="42">
        <v>46.312020505412598</v>
      </c>
      <c r="AM279" s="24">
        <v>0.16</v>
      </c>
      <c r="AN279" s="34">
        <f t="shared" si="168"/>
        <v>6.445798922691845E-2</v>
      </c>
      <c r="AO279">
        <v>1985</v>
      </c>
      <c r="AP279">
        <v>19</v>
      </c>
      <c r="AQ279">
        <v>70</v>
      </c>
      <c r="AR279">
        <v>70</v>
      </c>
      <c r="AS279">
        <f t="shared" si="157"/>
        <v>0</v>
      </c>
      <c r="AT279">
        <f t="shared" si="169"/>
        <v>0</v>
      </c>
      <c r="AU279">
        <f t="shared" si="170"/>
        <v>0</v>
      </c>
      <c r="AV279">
        <f t="shared" si="171"/>
        <v>0</v>
      </c>
      <c r="AW279">
        <f t="shared" si="172"/>
        <v>0</v>
      </c>
      <c r="AX279">
        <f t="shared" si="173"/>
        <v>0</v>
      </c>
      <c r="AY279">
        <f t="shared" si="174"/>
        <v>0</v>
      </c>
      <c r="AZ279">
        <f t="shared" si="175"/>
        <v>0</v>
      </c>
      <c r="BA279">
        <f t="shared" si="176"/>
        <v>0</v>
      </c>
      <c r="BB279">
        <f t="shared" si="177"/>
        <v>1</v>
      </c>
      <c r="BC279">
        <f t="shared" si="178"/>
        <v>0</v>
      </c>
      <c r="BD279">
        <f t="shared" si="179"/>
        <v>0</v>
      </c>
      <c r="BE279">
        <f t="shared" si="180"/>
        <v>0</v>
      </c>
      <c r="BF279">
        <f t="shared" si="181"/>
        <v>0</v>
      </c>
      <c r="BG279">
        <f t="shared" si="182"/>
        <v>0</v>
      </c>
      <c r="BH279">
        <f t="shared" si="183"/>
        <v>0</v>
      </c>
      <c r="BI279">
        <f t="shared" si="184"/>
        <v>0</v>
      </c>
    </row>
    <row r="280" spans="1:61" x14ac:dyDescent="0.35">
      <c r="A280" t="s">
        <v>196</v>
      </c>
      <c r="B280" s="1">
        <v>40745</v>
      </c>
      <c r="C280" t="s">
        <v>656</v>
      </c>
      <c r="D280" t="s">
        <v>2</v>
      </c>
      <c r="E280" t="s">
        <v>657</v>
      </c>
      <c r="F280" t="s">
        <v>602</v>
      </c>
      <c r="G280" t="s">
        <v>64</v>
      </c>
      <c r="H280" s="139">
        <f t="shared" si="158"/>
        <v>1</v>
      </c>
      <c r="I280" t="s">
        <v>234</v>
      </c>
      <c r="J280" t="s">
        <v>248</v>
      </c>
      <c r="K280" s="2">
        <f t="shared" si="161"/>
        <v>5</v>
      </c>
      <c r="L280">
        <v>700000000</v>
      </c>
      <c r="M280" s="2">
        <f t="shared" si="162"/>
        <v>8.8450980400142569</v>
      </c>
      <c r="N280">
        <f>L280</f>
        <v>700000000</v>
      </c>
      <c r="O280">
        <v>0</v>
      </c>
      <c r="P280" s="1">
        <v>42929</v>
      </c>
      <c r="Q280" s="89">
        <f t="shared" si="163"/>
        <v>2017</v>
      </c>
      <c r="R280" t="s">
        <v>107</v>
      </c>
      <c r="S280">
        <v>365000000</v>
      </c>
      <c r="T280" s="21">
        <f t="shared" si="154"/>
        <v>5.9835616438356167</v>
      </c>
      <c r="U280">
        <v>6815.73</v>
      </c>
      <c r="V280">
        <f t="shared" si="164"/>
        <v>3.8335760926148099</v>
      </c>
      <c r="W280">
        <v>1981</v>
      </c>
      <c r="X280">
        <v>30</v>
      </c>
      <c r="Y280">
        <f t="shared" si="165"/>
        <v>1.4913616938342726</v>
      </c>
      <c r="Z280" s="45">
        <v>2.85</v>
      </c>
      <c r="AA280" s="9">
        <f t="shared" si="155"/>
        <v>-335000000</v>
      </c>
      <c r="AB280" s="15">
        <f t="shared" si="156"/>
        <v>-0.47857142857142854</v>
      </c>
      <c r="AC280" s="34">
        <f t="shared" si="166"/>
        <v>-0.28280517555778212</v>
      </c>
      <c r="AD280">
        <v>2315.9650000000001</v>
      </c>
      <c r="AE280">
        <f t="shared" si="159"/>
        <v>3.3647319918335836</v>
      </c>
      <c r="AF280">
        <v>3703.9029999999998</v>
      </c>
      <c r="AG280">
        <f t="shared" si="160"/>
        <v>3.568659604598353</v>
      </c>
      <c r="AH280" s="9">
        <v>819</v>
      </c>
      <c r="AI280" s="9">
        <f t="shared" si="167"/>
        <v>2.9138138523837167</v>
      </c>
      <c r="AJ280">
        <v>89.6</v>
      </c>
      <c r="AK280" s="23" t="s">
        <v>365</v>
      </c>
      <c r="AL280" s="42">
        <v>44.7100017757258</v>
      </c>
      <c r="AM280" s="24">
        <v>0.82</v>
      </c>
      <c r="AN280" s="34">
        <f t="shared" si="168"/>
        <v>0.26007138798507473</v>
      </c>
      <c r="AO280">
        <v>1985</v>
      </c>
      <c r="AP280">
        <v>26</v>
      </c>
      <c r="AQ280">
        <v>70</v>
      </c>
      <c r="AR280">
        <v>70</v>
      </c>
      <c r="AS280">
        <f t="shared" si="157"/>
        <v>0</v>
      </c>
      <c r="AT280">
        <f t="shared" si="169"/>
        <v>0</v>
      </c>
      <c r="AU280">
        <f t="shared" si="170"/>
        <v>0</v>
      </c>
      <c r="AV280">
        <f t="shared" si="171"/>
        <v>0</v>
      </c>
      <c r="AW280">
        <f t="shared" si="172"/>
        <v>0</v>
      </c>
      <c r="AX280">
        <f t="shared" si="173"/>
        <v>0</v>
      </c>
      <c r="AY280">
        <f t="shared" si="174"/>
        <v>0</v>
      </c>
      <c r="AZ280">
        <f t="shared" si="175"/>
        <v>0</v>
      </c>
      <c r="BA280">
        <f t="shared" si="176"/>
        <v>0</v>
      </c>
      <c r="BB280">
        <f t="shared" si="177"/>
        <v>1</v>
      </c>
      <c r="BC280">
        <f t="shared" si="178"/>
        <v>0</v>
      </c>
      <c r="BD280">
        <f t="shared" si="179"/>
        <v>0</v>
      </c>
      <c r="BE280">
        <f t="shared" si="180"/>
        <v>0</v>
      </c>
      <c r="BF280">
        <f t="shared" si="181"/>
        <v>0</v>
      </c>
      <c r="BG280">
        <f t="shared" si="182"/>
        <v>0</v>
      </c>
      <c r="BH280">
        <f t="shared" si="183"/>
        <v>0</v>
      </c>
      <c r="BI280">
        <f t="shared" si="184"/>
        <v>0</v>
      </c>
    </row>
    <row r="281" spans="1:61" x14ac:dyDescent="0.35">
      <c r="A281" t="s">
        <v>196</v>
      </c>
      <c r="B281" s="1">
        <v>39261</v>
      </c>
      <c r="C281" t="s">
        <v>227</v>
      </c>
      <c r="D281" t="s">
        <v>2</v>
      </c>
      <c r="E281" t="s">
        <v>651</v>
      </c>
      <c r="F281" t="s">
        <v>602</v>
      </c>
      <c r="G281" t="s">
        <v>64</v>
      </c>
      <c r="H281" s="139">
        <f t="shared" si="158"/>
        <v>1</v>
      </c>
      <c r="I281" t="s">
        <v>234</v>
      </c>
      <c r="J281" t="s">
        <v>326</v>
      </c>
      <c r="K281" s="2">
        <f t="shared" si="161"/>
        <v>8</v>
      </c>
      <c r="L281">
        <v>1300000000</v>
      </c>
      <c r="M281" s="2">
        <f t="shared" si="162"/>
        <v>9.1139433523068369</v>
      </c>
      <c r="N281">
        <f>L281</f>
        <v>1300000000</v>
      </c>
      <c r="O281">
        <v>0</v>
      </c>
      <c r="P281" s="1">
        <v>41111</v>
      </c>
      <c r="Q281" s="89">
        <f t="shared" si="163"/>
        <v>2012</v>
      </c>
      <c r="R281" t="s">
        <v>107</v>
      </c>
      <c r="S281">
        <v>190000000</v>
      </c>
      <c r="T281" s="21">
        <f t="shared" si="154"/>
        <v>5.0684931506849313</v>
      </c>
      <c r="U281">
        <v>6815.73</v>
      </c>
      <c r="V281">
        <f t="shared" si="164"/>
        <v>3.8335760926148099</v>
      </c>
      <c r="W281">
        <v>1965</v>
      </c>
      <c r="X281">
        <v>42</v>
      </c>
      <c r="Y281">
        <f t="shared" si="165"/>
        <v>1.6334684555795864</v>
      </c>
      <c r="Z281" s="45">
        <v>2.85</v>
      </c>
      <c r="AA281" s="9">
        <f t="shared" si="155"/>
        <v>-1110000000</v>
      </c>
      <c r="AB281" s="15">
        <f t="shared" si="156"/>
        <v>-0.85384615384615381</v>
      </c>
      <c r="AC281" s="34">
        <f t="shared" si="166"/>
        <v>-0.83518975135400775</v>
      </c>
      <c r="AD281">
        <v>2315.9650000000001</v>
      </c>
      <c r="AE281">
        <f t="shared" si="159"/>
        <v>3.3647319918335836</v>
      </c>
      <c r="AF281">
        <v>3703.9029999999998</v>
      </c>
      <c r="AG281">
        <f t="shared" si="160"/>
        <v>3.568659604598353</v>
      </c>
      <c r="AH281" s="9">
        <v>819</v>
      </c>
      <c r="AI281" s="9">
        <f t="shared" si="167"/>
        <v>2.9138138523837167</v>
      </c>
      <c r="AJ281">
        <v>88.9</v>
      </c>
      <c r="AK281" s="23" t="s">
        <v>126</v>
      </c>
      <c r="AL281" s="42">
        <v>42.817370475444001</v>
      </c>
      <c r="AM281" s="24">
        <v>-0.1</v>
      </c>
      <c r="AN281" s="34">
        <f t="shared" si="168"/>
        <v>-4.5757490560675115E-2</v>
      </c>
      <c r="AO281">
        <v>1985</v>
      </c>
      <c r="AP281">
        <v>22</v>
      </c>
      <c r="AQ281">
        <v>70</v>
      </c>
      <c r="AR281">
        <v>70</v>
      </c>
      <c r="AS281">
        <f t="shared" si="157"/>
        <v>0</v>
      </c>
      <c r="AT281">
        <f t="shared" si="169"/>
        <v>0</v>
      </c>
      <c r="AU281">
        <f t="shared" si="170"/>
        <v>0</v>
      </c>
      <c r="AV281">
        <f t="shared" si="171"/>
        <v>0</v>
      </c>
      <c r="AW281">
        <f t="shared" si="172"/>
        <v>0</v>
      </c>
      <c r="AX281">
        <f t="shared" si="173"/>
        <v>0</v>
      </c>
      <c r="AY281">
        <f t="shared" si="174"/>
        <v>0</v>
      </c>
      <c r="AZ281">
        <f t="shared" si="175"/>
        <v>0</v>
      </c>
      <c r="BA281">
        <f t="shared" si="176"/>
        <v>0</v>
      </c>
      <c r="BB281">
        <f t="shared" si="177"/>
        <v>1</v>
      </c>
      <c r="BC281">
        <f t="shared" si="178"/>
        <v>0</v>
      </c>
      <c r="BD281">
        <f t="shared" si="179"/>
        <v>0</v>
      </c>
      <c r="BE281">
        <f t="shared" si="180"/>
        <v>0</v>
      </c>
      <c r="BF281">
        <f t="shared" si="181"/>
        <v>0</v>
      </c>
      <c r="BG281">
        <f t="shared" si="182"/>
        <v>0</v>
      </c>
      <c r="BH281">
        <f t="shared" si="183"/>
        <v>0</v>
      </c>
      <c r="BI281">
        <f t="shared" si="184"/>
        <v>0</v>
      </c>
    </row>
    <row r="282" spans="1:61" x14ac:dyDescent="0.35">
      <c r="A282" t="s">
        <v>196</v>
      </c>
      <c r="B282" s="1">
        <v>37971</v>
      </c>
      <c r="C282" t="s">
        <v>658</v>
      </c>
      <c r="D282" t="s">
        <v>2</v>
      </c>
      <c r="E282" t="s">
        <v>646</v>
      </c>
      <c r="F282" t="s">
        <v>602</v>
      </c>
      <c r="G282" t="s">
        <v>64</v>
      </c>
      <c r="H282" s="139">
        <f t="shared" si="158"/>
        <v>1</v>
      </c>
      <c r="I282" t="s">
        <v>234</v>
      </c>
      <c r="J282" t="s">
        <v>326</v>
      </c>
      <c r="K282" s="2">
        <f t="shared" si="161"/>
        <v>8</v>
      </c>
      <c r="L282">
        <f>(2216090000+435660000)</f>
        <v>2651750000</v>
      </c>
      <c r="M282" s="2">
        <f t="shared" si="162"/>
        <v>9.4235325775237104</v>
      </c>
      <c r="N282">
        <f>L282-O282</f>
        <v>2101920000</v>
      </c>
      <c r="O282">
        <v>549830000</v>
      </c>
      <c r="P282" s="1">
        <v>39216</v>
      </c>
      <c r="Q282" s="89">
        <f t="shared" si="163"/>
        <v>2007</v>
      </c>
      <c r="R282" t="s">
        <v>322</v>
      </c>
      <c r="S282">
        <v>2422600000</v>
      </c>
      <c r="T282" s="21">
        <f t="shared" si="154"/>
        <v>3.4109589041095889</v>
      </c>
      <c r="U282">
        <v>6815.73</v>
      </c>
      <c r="V282">
        <f t="shared" si="164"/>
        <v>3.8335760926148099</v>
      </c>
      <c r="W282">
        <v>1996</v>
      </c>
      <c r="X282">
        <v>7</v>
      </c>
      <c r="Y282">
        <f t="shared" si="165"/>
        <v>0.90308998699194354</v>
      </c>
      <c r="Z282" s="45">
        <v>2.85</v>
      </c>
      <c r="AA282" s="9">
        <f t="shared" si="155"/>
        <v>320680000</v>
      </c>
      <c r="AB282" s="15">
        <f t="shared" si="156"/>
        <v>-8.6414631846893575E-2</v>
      </c>
      <c r="AC282" s="34">
        <f t="shared" si="166"/>
        <v>-3.9250864638126763E-2</v>
      </c>
      <c r="AD282">
        <v>2315.9650000000001</v>
      </c>
      <c r="AE282">
        <f t="shared" si="159"/>
        <v>3.3647319918335836</v>
      </c>
      <c r="AF282">
        <v>3703.9029999999998</v>
      </c>
      <c r="AG282">
        <f t="shared" si="160"/>
        <v>3.568659604598353</v>
      </c>
      <c r="AH282" s="9">
        <v>819</v>
      </c>
      <c r="AI282" s="9">
        <f t="shared" si="167"/>
        <v>2.9138138523837167</v>
      </c>
      <c r="AJ282">
        <v>70</v>
      </c>
      <c r="AK282" s="23" t="s">
        <v>153</v>
      </c>
      <c r="AL282" s="42">
        <v>47.8156192569637</v>
      </c>
      <c r="AM282" s="24">
        <v>0.4</v>
      </c>
      <c r="AN282" s="34">
        <f t="shared" si="168"/>
        <v>0.14612803567823801</v>
      </c>
      <c r="AO282">
        <v>1985</v>
      </c>
      <c r="AP282">
        <v>18</v>
      </c>
      <c r="AQ282">
        <v>70</v>
      </c>
      <c r="AR282">
        <v>70</v>
      </c>
      <c r="AS282">
        <f t="shared" si="157"/>
        <v>0</v>
      </c>
      <c r="AT282">
        <f t="shared" si="169"/>
        <v>0</v>
      </c>
      <c r="AU282">
        <f t="shared" si="170"/>
        <v>0</v>
      </c>
      <c r="AV282">
        <f t="shared" si="171"/>
        <v>0</v>
      </c>
      <c r="AW282">
        <f t="shared" si="172"/>
        <v>0</v>
      </c>
      <c r="AX282">
        <f t="shared" si="173"/>
        <v>0</v>
      </c>
      <c r="AY282">
        <f t="shared" si="174"/>
        <v>0</v>
      </c>
      <c r="AZ282">
        <f t="shared" si="175"/>
        <v>0</v>
      </c>
      <c r="BA282">
        <f t="shared" si="176"/>
        <v>0</v>
      </c>
      <c r="BB282">
        <f t="shared" si="177"/>
        <v>1</v>
      </c>
      <c r="BC282">
        <f t="shared" si="178"/>
        <v>0</v>
      </c>
      <c r="BD282">
        <f t="shared" si="179"/>
        <v>0</v>
      </c>
      <c r="BE282">
        <f t="shared" si="180"/>
        <v>0</v>
      </c>
      <c r="BF282">
        <f t="shared" si="181"/>
        <v>0</v>
      </c>
      <c r="BG282">
        <f t="shared" si="182"/>
        <v>0</v>
      </c>
      <c r="BH282">
        <f t="shared" si="183"/>
        <v>0</v>
      </c>
      <c r="BI282">
        <f t="shared" si="184"/>
        <v>0</v>
      </c>
    </row>
    <row r="283" spans="1:61" x14ac:dyDescent="0.35">
      <c r="A283" t="s">
        <v>196</v>
      </c>
      <c r="B283" s="1">
        <v>38008</v>
      </c>
      <c r="C283" t="s">
        <v>659</v>
      </c>
      <c r="D283" t="s">
        <v>2</v>
      </c>
      <c r="E283" t="s">
        <v>646</v>
      </c>
      <c r="F283" t="s">
        <v>602</v>
      </c>
      <c r="G283" t="s">
        <v>64</v>
      </c>
      <c r="H283" s="139">
        <f t="shared" si="158"/>
        <v>1</v>
      </c>
      <c r="I283" t="s">
        <v>234</v>
      </c>
      <c r="J283" t="s">
        <v>326</v>
      </c>
      <c r="K283" s="2">
        <f t="shared" si="161"/>
        <v>8</v>
      </c>
      <c r="L283">
        <v>500000000</v>
      </c>
      <c r="M283" s="2">
        <f t="shared" si="162"/>
        <v>8.6989700043360187</v>
      </c>
      <c r="N283">
        <f t="shared" ref="N283:N295" si="185">L283</f>
        <v>500000000</v>
      </c>
      <c r="O283">
        <v>0</v>
      </c>
      <c r="P283" s="1">
        <v>39233</v>
      </c>
      <c r="Q283" s="89">
        <f t="shared" si="163"/>
        <v>2007</v>
      </c>
      <c r="R283" t="s">
        <v>107</v>
      </c>
      <c r="S283">
        <v>1450000000</v>
      </c>
      <c r="T283" s="21">
        <f t="shared" si="154"/>
        <v>3.3561643835616439</v>
      </c>
      <c r="U283">
        <v>6815.73</v>
      </c>
      <c r="V283">
        <f t="shared" si="164"/>
        <v>3.8335760926148099</v>
      </c>
      <c r="W283">
        <v>1892</v>
      </c>
      <c r="X283">
        <v>112</v>
      </c>
      <c r="Y283">
        <f t="shared" si="165"/>
        <v>2.0530784434834195</v>
      </c>
      <c r="Z283" s="45">
        <v>2.85</v>
      </c>
      <c r="AA283" s="9">
        <f t="shared" si="155"/>
        <v>950000000</v>
      </c>
      <c r="AB283" s="15">
        <f t="shared" si="156"/>
        <v>1.9</v>
      </c>
      <c r="AC283" s="34">
        <f t="shared" si="166"/>
        <v>0.46239799789895608</v>
      </c>
      <c r="AD283">
        <v>2315.9650000000001</v>
      </c>
      <c r="AE283">
        <f t="shared" si="159"/>
        <v>3.3647319918335836</v>
      </c>
      <c r="AF283">
        <v>3703.9029999999998</v>
      </c>
      <c r="AG283">
        <f t="shared" si="160"/>
        <v>3.568659604598353</v>
      </c>
      <c r="AH283" s="9">
        <v>819</v>
      </c>
      <c r="AI283" s="9">
        <f t="shared" si="167"/>
        <v>2.9138138523837167</v>
      </c>
      <c r="AJ283">
        <v>70</v>
      </c>
      <c r="AK283" s="23" t="s">
        <v>213</v>
      </c>
      <c r="AL283" s="42">
        <v>46.312020505412598</v>
      </c>
      <c r="AM283" s="24">
        <v>0.34</v>
      </c>
      <c r="AN283" s="34">
        <f t="shared" si="168"/>
        <v>0.12710479836480765</v>
      </c>
      <c r="AO283">
        <v>1985</v>
      </c>
      <c r="AP283">
        <v>19</v>
      </c>
      <c r="AQ283">
        <v>70</v>
      </c>
      <c r="AR283">
        <v>70</v>
      </c>
      <c r="AS283">
        <f t="shared" si="157"/>
        <v>0</v>
      </c>
      <c r="AT283">
        <f t="shared" si="169"/>
        <v>0</v>
      </c>
      <c r="AU283">
        <f t="shared" si="170"/>
        <v>0</v>
      </c>
      <c r="AV283">
        <f t="shared" si="171"/>
        <v>0</v>
      </c>
      <c r="AW283">
        <f t="shared" si="172"/>
        <v>0</v>
      </c>
      <c r="AX283">
        <f t="shared" si="173"/>
        <v>0</v>
      </c>
      <c r="AY283">
        <f t="shared" si="174"/>
        <v>0</v>
      </c>
      <c r="AZ283">
        <f t="shared" si="175"/>
        <v>0</v>
      </c>
      <c r="BA283">
        <f t="shared" si="176"/>
        <v>0</v>
      </c>
      <c r="BB283">
        <f t="shared" si="177"/>
        <v>1</v>
      </c>
      <c r="BC283">
        <f t="shared" si="178"/>
        <v>0</v>
      </c>
      <c r="BD283">
        <f t="shared" si="179"/>
        <v>0</v>
      </c>
      <c r="BE283">
        <f t="shared" si="180"/>
        <v>0</v>
      </c>
      <c r="BF283">
        <f t="shared" si="181"/>
        <v>0</v>
      </c>
      <c r="BG283">
        <f t="shared" si="182"/>
        <v>0</v>
      </c>
      <c r="BH283">
        <f t="shared" si="183"/>
        <v>0</v>
      </c>
      <c r="BI283">
        <f t="shared" si="184"/>
        <v>0</v>
      </c>
    </row>
    <row r="284" spans="1:61" x14ac:dyDescent="0.35">
      <c r="A284" t="s">
        <v>196</v>
      </c>
      <c r="B284" s="1">
        <v>38341</v>
      </c>
      <c r="C284" t="s">
        <v>660</v>
      </c>
      <c r="D284" t="s">
        <v>2</v>
      </c>
      <c r="E284" t="s">
        <v>646</v>
      </c>
      <c r="F284" t="s">
        <v>602</v>
      </c>
      <c r="G284" t="s">
        <v>64</v>
      </c>
      <c r="H284" s="139">
        <f t="shared" si="158"/>
        <v>1</v>
      </c>
      <c r="I284" t="s">
        <v>234</v>
      </c>
      <c r="J284" t="s">
        <v>326</v>
      </c>
      <c r="K284" s="2">
        <f t="shared" si="161"/>
        <v>8</v>
      </c>
      <c r="L284">
        <v>600000000</v>
      </c>
      <c r="M284" s="2">
        <f t="shared" si="162"/>
        <v>8.7781512503836439</v>
      </c>
      <c r="N284">
        <f t="shared" si="185"/>
        <v>600000000</v>
      </c>
      <c r="O284">
        <v>0</v>
      </c>
      <c r="P284" s="1">
        <v>39554</v>
      </c>
      <c r="Q284" s="89">
        <f t="shared" si="163"/>
        <v>2008</v>
      </c>
      <c r="R284" t="s">
        <v>322</v>
      </c>
      <c r="S284">
        <v>702523596</v>
      </c>
      <c r="T284" s="21">
        <f t="shared" si="154"/>
        <v>3.3232876712328765</v>
      </c>
      <c r="U284">
        <v>6815.73</v>
      </c>
      <c r="V284">
        <f t="shared" si="164"/>
        <v>3.8335760926148099</v>
      </c>
      <c r="W284">
        <v>1864</v>
      </c>
      <c r="X284">
        <v>140</v>
      </c>
      <c r="Y284">
        <f t="shared" si="165"/>
        <v>2.1492191126553797</v>
      </c>
      <c r="Z284" s="45">
        <v>2.85</v>
      </c>
      <c r="AA284" s="9">
        <f t="shared" si="155"/>
        <v>102523596</v>
      </c>
      <c r="AB284" s="15">
        <f t="shared" si="156"/>
        <v>0.1708726599999999</v>
      </c>
      <c r="AC284" s="34">
        <f t="shared" si="166"/>
        <v>6.8509665297384587E-2</v>
      </c>
      <c r="AD284">
        <v>2315.9650000000001</v>
      </c>
      <c r="AE284">
        <f t="shared" si="159"/>
        <v>3.3647319918335836</v>
      </c>
      <c r="AF284">
        <v>3703.9029999999998</v>
      </c>
      <c r="AG284">
        <f t="shared" si="160"/>
        <v>3.568659604598353</v>
      </c>
      <c r="AH284" s="9">
        <v>819</v>
      </c>
      <c r="AI284" s="9">
        <f t="shared" si="167"/>
        <v>2.9138138523837167</v>
      </c>
      <c r="AJ284">
        <v>70</v>
      </c>
      <c r="AK284" s="23" t="s">
        <v>213</v>
      </c>
      <c r="AL284" s="42">
        <v>46.312020505412598</v>
      </c>
      <c r="AM284" s="24">
        <v>0.14000000000000001</v>
      </c>
      <c r="AN284" s="34">
        <f t="shared" si="168"/>
        <v>5.6904851336472641E-2</v>
      </c>
      <c r="AO284">
        <v>1985</v>
      </c>
      <c r="AP284">
        <v>19</v>
      </c>
      <c r="AQ284">
        <v>70</v>
      </c>
      <c r="AR284">
        <v>70</v>
      </c>
      <c r="AS284">
        <f t="shared" si="157"/>
        <v>0</v>
      </c>
      <c r="AT284">
        <f t="shared" si="169"/>
        <v>0</v>
      </c>
      <c r="AU284">
        <f t="shared" si="170"/>
        <v>0</v>
      </c>
      <c r="AV284">
        <f t="shared" si="171"/>
        <v>0</v>
      </c>
      <c r="AW284">
        <f t="shared" si="172"/>
        <v>0</v>
      </c>
      <c r="AX284">
        <f t="shared" si="173"/>
        <v>0</v>
      </c>
      <c r="AY284">
        <f t="shared" si="174"/>
        <v>0</v>
      </c>
      <c r="AZ284">
        <f t="shared" si="175"/>
        <v>0</v>
      </c>
      <c r="BA284">
        <f t="shared" si="176"/>
        <v>0</v>
      </c>
      <c r="BB284">
        <f t="shared" si="177"/>
        <v>1</v>
      </c>
      <c r="BC284">
        <f t="shared" si="178"/>
        <v>0</v>
      </c>
      <c r="BD284">
        <f t="shared" si="179"/>
        <v>0</v>
      </c>
      <c r="BE284">
        <f t="shared" si="180"/>
        <v>0</v>
      </c>
      <c r="BF284">
        <f t="shared" si="181"/>
        <v>0</v>
      </c>
      <c r="BG284">
        <f t="shared" si="182"/>
        <v>0</v>
      </c>
      <c r="BH284">
        <f t="shared" si="183"/>
        <v>0</v>
      </c>
      <c r="BI284">
        <f t="shared" si="184"/>
        <v>0</v>
      </c>
    </row>
    <row r="285" spans="1:61" x14ac:dyDescent="0.35">
      <c r="A285" t="s">
        <v>196</v>
      </c>
      <c r="B285" s="1">
        <v>37818</v>
      </c>
      <c r="C285" t="s">
        <v>280</v>
      </c>
      <c r="D285" t="s">
        <v>2</v>
      </c>
      <c r="E285" t="s">
        <v>649</v>
      </c>
      <c r="F285" t="s">
        <v>602</v>
      </c>
      <c r="G285" t="s">
        <v>64</v>
      </c>
      <c r="H285" s="139">
        <f t="shared" si="158"/>
        <v>1</v>
      </c>
      <c r="I285" t="s">
        <v>234</v>
      </c>
      <c r="J285" t="s">
        <v>186</v>
      </c>
      <c r="K285" s="2">
        <f t="shared" si="161"/>
        <v>4</v>
      </c>
      <c r="L285">
        <v>900000000</v>
      </c>
      <c r="M285" s="2">
        <f t="shared" si="162"/>
        <v>8.9542425094393252</v>
      </c>
      <c r="N285">
        <f t="shared" si="185"/>
        <v>900000000</v>
      </c>
      <c r="O285">
        <v>0</v>
      </c>
      <c r="P285" s="1">
        <v>38833</v>
      </c>
      <c r="Q285" s="89">
        <f t="shared" si="163"/>
        <v>2006</v>
      </c>
      <c r="R285" t="s">
        <v>152</v>
      </c>
      <c r="S285">
        <v>1300000000</v>
      </c>
      <c r="T285" s="21">
        <f t="shared" si="154"/>
        <v>2.7808219178082192</v>
      </c>
      <c r="U285">
        <v>6815.73</v>
      </c>
      <c r="V285">
        <f t="shared" si="164"/>
        <v>3.8335760926148099</v>
      </c>
      <c r="W285">
        <v>2001</v>
      </c>
      <c r="X285">
        <v>2</v>
      </c>
      <c r="Y285">
        <f t="shared" si="165"/>
        <v>0.47712125471966244</v>
      </c>
      <c r="Z285" s="45">
        <v>2.85</v>
      </c>
      <c r="AA285" s="9">
        <f t="shared" si="155"/>
        <v>400000000</v>
      </c>
      <c r="AB285" s="15">
        <f t="shared" si="156"/>
        <v>0.44444444444444442</v>
      </c>
      <c r="AC285" s="34">
        <f t="shared" si="166"/>
        <v>0.15970084286751188</v>
      </c>
      <c r="AD285">
        <v>2315.9650000000001</v>
      </c>
      <c r="AE285">
        <f t="shared" si="159"/>
        <v>3.3647319918335836</v>
      </c>
      <c r="AF285">
        <v>3703.9029999999998</v>
      </c>
      <c r="AG285">
        <f t="shared" si="160"/>
        <v>3.568659604598353</v>
      </c>
      <c r="AH285" s="9">
        <v>819</v>
      </c>
      <c r="AI285" s="9">
        <f t="shared" si="167"/>
        <v>2.9138138523837167</v>
      </c>
      <c r="AJ285">
        <v>70</v>
      </c>
      <c r="AK285" s="23" t="s">
        <v>153</v>
      </c>
      <c r="AL285" s="42">
        <v>47.8156192569637</v>
      </c>
      <c r="AM285" s="24">
        <v>0.31</v>
      </c>
      <c r="AN285" s="34">
        <f t="shared" si="168"/>
        <v>0.11727129565576427</v>
      </c>
      <c r="AO285">
        <v>1985</v>
      </c>
      <c r="AP285">
        <v>18</v>
      </c>
      <c r="AQ285">
        <v>70</v>
      </c>
      <c r="AR285">
        <v>70</v>
      </c>
      <c r="AS285">
        <f t="shared" si="157"/>
        <v>0</v>
      </c>
      <c r="AT285">
        <f t="shared" si="169"/>
        <v>0</v>
      </c>
      <c r="AU285">
        <f t="shared" si="170"/>
        <v>0</v>
      </c>
      <c r="AV285">
        <f t="shared" si="171"/>
        <v>0</v>
      </c>
      <c r="AW285">
        <f t="shared" si="172"/>
        <v>0</v>
      </c>
      <c r="AX285">
        <f t="shared" si="173"/>
        <v>0</v>
      </c>
      <c r="AY285">
        <f t="shared" si="174"/>
        <v>0</v>
      </c>
      <c r="AZ285">
        <f t="shared" si="175"/>
        <v>0</v>
      </c>
      <c r="BA285">
        <f t="shared" si="176"/>
        <v>0</v>
      </c>
      <c r="BB285">
        <f t="shared" si="177"/>
        <v>1</v>
      </c>
      <c r="BC285">
        <f t="shared" si="178"/>
        <v>0</v>
      </c>
      <c r="BD285">
        <f t="shared" si="179"/>
        <v>0</v>
      </c>
      <c r="BE285">
        <f t="shared" si="180"/>
        <v>0</v>
      </c>
      <c r="BF285">
        <f t="shared" si="181"/>
        <v>0</v>
      </c>
      <c r="BG285">
        <f t="shared" si="182"/>
        <v>0</v>
      </c>
      <c r="BH285">
        <f t="shared" si="183"/>
        <v>0</v>
      </c>
      <c r="BI285">
        <f t="shared" si="184"/>
        <v>0</v>
      </c>
    </row>
    <row r="286" spans="1:61" x14ac:dyDescent="0.35">
      <c r="A286" t="s">
        <v>196</v>
      </c>
      <c r="B286" s="1">
        <v>41862</v>
      </c>
      <c r="C286" t="s">
        <v>661</v>
      </c>
      <c r="D286" t="s">
        <v>163</v>
      </c>
      <c r="E286" t="s">
        <v>657</v>
      </c>
      <c r="F286" t="s">
        <v>602</v>
      </c>
      <c r="G286" t="s">
        <v>64</v>
      </c>
      <c r="H286" s="139">
        <f t="shared" si="158"/>
        <v>1</v>
      </c>
      <c r="I286" t="s">
        <v>234</v>
      </c>
      <c r="J286" t="s">
        <v>248</v>
      </c>
      <c r="K286" s="2">
        <f t="shared" si="161"/>
        <v>5</v>
      </c>
      <c r="L286">
        <v>440000000</v>
      </c>
      <c r="M286" s="2">
        <f t="shared" si="162"/>
        <v>8.6434526764861879</v>
      </c>
      <c r="N286">
        <f t="shared" si="185"/>
        <v>440000000</v>
      </c>
      <c r="O286">
        <v>0</v>
      </c>
      <c r="P286" s="1">
        <v>43041</v>
      </c>
      <c r="Q286" s="89">
        <f t="shared" si="163"/>
        <v>2017</v>
      </c>
      <c r="R286" t="s">
        <v>107</v>
      </c>
      <c r="S286">
        <v>1688400000</v>
      </c>
      <c r="T286" s="21">
        <f t="shared" si="154"/>
        <v>3.2301369863013698</v>
      </c>
      <c r="U286">
        <v>6164.6</v>
      </c>
      <c r="V286">
        <f t="shared" si="164"/>
        <v>3.7899753459779522</v>
      </c>
      <c r="W286">
        <v>1989</v>
      </c>
      <c r="X286">
        <v>25</v>
      </c>
      <c r="Y286">
        <f t="shared" si="165"/>
        <v>1.414973347970818</v>
      </c>
      <c r="Z286" s="45">
        <v>3.18</v>
      </c>
      <c r="AA286" s="9">
        <f t="shared" si="155"/>
        <v>1248400000</v>
      </c>
      <c r="AB286" s="15">
        <f t="shared" si="156"/>
        <v>2.8372727272727274</v>
      </c>
      <c r="AC286" s="34">
        <f t="shared" si="166"/>
        <v>0.5840226669961831</v>
      </c>
      <c r="AD286">
        <v>2315.9650000000001</v>
      </c>
      <c r="AE286">
        <f t="shared" si="159"/>
        <v>3.3647319918335836</v>
      </c>
      <c r="AF286">
        <v>3703.9029999999998</v>
      </c>
      <c r="AG286">
        <f t="shared" si="160"/>
        <v>3.568659604598353</v>
      </c>
      <c r="AH286" s="9">
        <v>583.83333333333303</v>
      </c>
      <c r="AI286" s="9">
        <f t="shared" si="167"/>
        <v>2.7670321178317625</v>
      </c>
      <c r="AJ286">
        <v>79.900000000000006</v>
      </c>
      <c r="AK286" s="23" t="s">
        <v>662</v>
      </c>
      <c r="AL286" s="42">
        <v>57.213602417008403</v>
      </c>
      <c r="AM286" s="24">
        <v>0.33</v>
      </c>
      <c r="AN286" s="34">
        <f t="shared" si="168"/>
        <v>0.12385164096708581</v>
      </c>
      <c r="AO286">
        <v>1985</v>
      </c>
      <c r="AP286">
        <v>29</v>
      </c>
      <c r="AQ286">
        <v>85</v>
      </c>
      <c r="AR286">
        <v>80</v>
      </c>
      <c r="AS286">
        <f t="shared" si="157"/>
        <v>0</v>
      </c>
      <c r="AT286">
        <f t="shared" si="169"/>
        <v>0</v>
      </c>
      <c r="AU286">
        <f t="shared" si="170"/>
        <v>0</v>
      </c>
      <c r="AV286">
        <f t="shared" si="171"/>
        <v>0</v>
      </c>
      <c r="AW286">
        <f t="shared" si="172"/>
        <v>0</v>
      </c>
      <c r="AX286">
        <f t="shared" si="173"/>
        <v>0</v>
      </c>
      <c r="AY286">
        <f t="shared" si="174"/>
        <v>0</v>
      </c>
      <c r="AZ286">
        <f t="shared" si="175"/>
        <v>1</v>
      </c>
      <c r="BA286">
        <f t="shared" si="176"/>
        <v>0</v>
      </c>
      <c r="BB286">
        <f t="shared" si="177"/>
        <v>0</v>
      </c>
      <c r="BC286">
        <f t="shared" si="178"/>
        <v>0</v>
      </c>
      <c r="BD286">
        <f t="shared" si="179"/>
        <v>0</v>
      </c>
      <c r="BE286">
        <f t="shared" si="180"/>
        <v>0</v>
      </c>
      <c r="BF286">
        <f t="shared" si="181"/>
        <v>0</v>
      </c>
      <c r="BG286">
        <f t="shared" si="182"/>
        <v>0</v>
      </c>
      <c r="BH286">
        <f t="shared" si="183"/>
        <v>0</v>
      </c>
      <c r="BI286">
        <f t="shared" si="184"/>
        <v>0</v>
      </c>
    </row>
    <row r="287" spans="1:61" x14ac:dyDescent="0.35">
      <c r="A287" t="s">
        <v>196</v>
      </c>
      <c r="B287" s="1">
        <v>38581</v>
      </c>
      <c r="C287" t="s">
        <v>247</v>
      </c>
      <c r="D287" t="s">
        <v>59</v>
      </c>
      <c r="E287" t="s">
        <v>663</v>
      </c>
      <c r="F287" t="s">
        <v>163</v>
      </c>
      <c r="G287" t="s">
        <v>64</v>
      </c>
      <c r="H287" s="139">
        <f t="shared" si="158"/>
        <v>1</v>
      </c>
      <c r="I287" t="s">
        <v>234</v>
      </c>
      <c r="J287" t="s">
        <v>248</v>
      </c>
      <c r="K287" s="2">
        <f t="shared" si="161"/>
        <v>5</v>
      </c>
      <c r="L287">
        <v>800000000</v>
      </c>
      <c r="M287" s="2">
        <f t="shared" si="162"/>
        <v>8.9030899869919438</v>
      </c>
      <c r="N287">
        <f t="shared" si="185"/>
        <v>800000000</v>
      </c>
      <c r="O287">
        <v>0</v>
      </c>
      <c r="P287" s="1">
        <v>40728</v>
      </c>
      <c r="Q287" s="89">
        <f t="shared" si="163"/>
        <v>2011</v>
      </c>
      <c r="R287" t="s">
        <v>107</v>
      </c>
      <c r="S287">
        <v>637000000</v>
      </c>
      <c r="T287" s="21">
        <f t="shared" si="154"/>
        <v>5.882191780821918</v>
      </c>
      <c r="U287">
        <v>342.74</v>
      </c>
      <c r="V287">
        <f t="shared" si="164"/>
        <v>2.5362300726332561</v>
      </c>
      <c r="W287">
        <v>1995</v>
      </c>
      <c r="X287">
        <v>10</v>
      </c>
      <c r="Y287">
        <f t="shared" si="165"/>
        <v>1.0413926851582251</v>
      </c>
      <c r="Z287" s="45">
        <v>2.5499999999999998</v>
      </c>
      <c r="AA287" s="9">
        <f t="shared" si="155"/>
        <v>-163000000</v>
      </c>
      <c r="AB287" s="15">
        <f t="shared" si="156"/>
        <v>-0.20374999999999999</v>
      </c>
      <c r="AC287" s="34">
        <f t="shared" si="166"/>
        <v>-9.8950554656593151E-2</v>
      </c>
      <c r="AD287">
        <v>1213.5328018155212</v>
      </c>
      <c r="AE287">
        <f t="shared" si="159"/>
        <v>3.0840515198150036</v>
      </c>
      <c r="AF287">
        <v>8035.9222431246071</v>
      </c>
      <c r="AG287">
        <f t="shared" si="160"/>
        <v>3.905035725793323</v>
      </c>
      <c r="AH287" s="9">
        <v>569.16666666666697</v>
      </c>
      <c r="AI287" s="9">
        <f t="shared" si="167"/>
        <v>2.756001823801419</v>
      </c>
      <c r="AJ287">
        <v>85</v>
      </c>
      <c r="AK287" s="23" t="s">
        <v>171</v>
      </c>
      <c r="AL287" s="42">
        <v>41.286751495766303</v>
      </c>
      <c r="AM287" s="24">
        <v>0.1</v>
      </c>
      <c r="AN287" s="34">
        <f t="shared" si="168"/>
        <v>4.1392685158225077E-2</v>
      </c>
      <c r="AO287">
        <v>1994</v>
      </c>
      <c r="AP287">
        <v>11</v>
      </c>
      <c r="AQ287">
        <v>70</v>
      </c>
      <c r="AR287">
        <v>70</v>
      </c>
      <c r="AS287">
        <f t="shared" si="157"/>
        <v>0</v>
      </c>
      <c r="AT287">
        <f t="shared" si="169"/>
        <v>0</v>
      </c>
      <c r="AU287">
        <f t="shared" si="170"/>
        <v>1</v>
      </c>
      <c r="AV287">
        <f t="shared" si="171"/>
        <v>0</v>
      </c>
      <c r="AW287">
        <f t="shared" si="172"/>
        <v>0</v>
      </c>
      <c r="AX287">
        <f t="shared" si="173"/>
        <v>0</v>
      </c>
      <c r="AY287">
        <f t="shared" si="174"/>
        <v>0</v>
      </c>
      <c r="AZ287">
        <f t="shared" si="175"/>
        <v>0</v>
      </c>
      <c r="BA287">
        <f t="shared" si="176"/>
        <v>0</v>
      </c>
      <c r="BB287">
        <f t="shared" si="177"/>
        <v>0</v>
      </c>
      <c r="BC287">
        <f t="shared" si="178"/>
        <v>0</v>
      </c>
      <c r="BD287">
        <f t="shared" si="179"/>
        <v>0</v>
      </c>
      <c r="BE287">
        <f t="shared" si="180"/>
        <v>0</v>
      </c>
      <c r="BF287">
        <f t="shared" si="181"/>
        <v>0</v>
      </c>
      <c r="BG287">
        <f t="shared" si="182"/>
        <v>0</v>
      </c>
      <c r="BH287">
        <f t="shared" si="183"/>
        <v>0</v>
      </c>
      <c r="BI287">
        <f t="shared" si="184"/>
        <v>0</v>
      </c>
    </row>
    <row r="288" spans="1:61" x14ac:dyDescent="0.35">
      <c r="A288" t="s">
        <v>664</v>
      </c>
      <c r="B288" s="1">
        <v>37740</v>
      </c>
      <c r="C288" t="s">
        <v>665</v>
      </c>
      <c r="D288" t="s">
        <v>2</v>
      </c>
      <c r="E288" t="s">
        <v>666</v>
      </c>
      <c r="F288" t="s">
        <v>163</v>
      </c>
      <c r="G288" t="s">
        <v>64</v>
      </c>
      <c r="H288" s="139">
        <f t="shared" si="158"/>
        <v>1</v>
      </c>
      <c r="I288" t="s">
        <v>234</v>
      </c>
      <c r="J288" t="s">
        <v>269</v>
      </c>
      <c r="K288" s="2">
        <f t="shared" si="161"/>
        <v>7</v>
      </c>
      <c r="L288">
        <v>148860000</v>
      </c>
      <c r="M288" s="2">
        <f t="shared" si="162"/>
        <v>8.1727780146558526</v>
      </c>
      <c r="N288">
        <f t="shared" si="185"/>
        <v>148860000</v>
      </c>
      <c r="O288">
        <v>0</v>
      </c>
      <c r="P288" s="1">
        <v>38471</v>
      </c>
      <c r="Q288" s="89">
        <f t="shared" si="163"/>
        <v>2005</v>
      </c>
      <c r="R288" t="s">
        <v>107</v>
      </c>
      <c r="S288">
        <v>91300000</v>
      </c>
      <c r="T288" s="21">
        <f t="shared" si="154"/>
        <v>2.0027397260273974</v>
      </c>
      <c r="U288">
        <v>684.28</v>
      </c>
      <c r="V288">
        <f t="shared" si="164"/>
        <v>2.8358680570524939</v>
      </c>
      <c r="W288">
        <v>1951</v>
      </c>
      <c r="X288">
        <v>52</v>
      </c>
      <c r="Y288">
        <f t="shared" si="165"/>
        <v>1.7242758696007889</v>
      </c>
      <c r="Z288" s="45">
        <v>2.74</v>
      </c>
      <c r="AA288" s="9">
        <f t="shared" si="155"/>
        <v>-57560000</v>
      </c>
      <c r="AB288" s="15">
        <f t="shared" si="156"/>
        <v>-0.38667204084374585</v>
      </c>
      <c r="AC288" s="34">
        <f t="shared" si="166"/>
        <v>-0.21230723712155383</v>
      </c>
      <c r="AD288">
        <v>1213.5328018155212</v>
      </c>
      <c r="AE288">
        <f t="shared" si="159"/>
        <v>3.0840515198150036</v>
      </c>
      <c r="AF288">
        <v>8035.9222431246071</v>
      </c>
      <c r="AG288">
        <f t="shared" si="160"/>
        <v>3.905035725793323</v>
      </c>
      <c r="AH288" s="9">
        <v>1412.5</v>
      </c>
      <c r="AI288" s="9">
        <f t="shared" si="167"/>
        <v>3.1502958128255383</v>
      </c>
      <c r="AJ288">
        <v>70</v>
      </c>
      <c r="AK288" s="23" t="s">
        <v>153</v>
      </c>
      <c r="AL288" s="42">
        <v>47.8156192569637</v>
      </c>
      <c r="AM288" s="24">
        <v>0.26</v>
      </c>
      <c r="AN288" s="34">
        <f t="shared" si="168"/>
        <v>0.10037054511756291</v>
      </c>
      <c r="AO288">
        <v>1994</v>
      </c>
      <c r="AP288">
        <v>9</v>
      </c>
      <c r="AQ288">
        <v>70</v>
      </c>
      <c r="AR288">
        <v>70</v>
      </c>
      <c r="AS288">
        <f t="shared" si="157"/>
        <v>0</v>
      </c>
      <c r="AT288">
        <f t="shared" si="169"/>
        <v>0</v>
      </c>
      <c r="AU288">
        <f t="shared" si="170"/>
        <v>0</v>
      </c>
      <c r="AV288">
        <f t="shared" si="171"/>
        <v>0</v>
      </c>
      <c r="AW288">
        <f t="shared" si="172"/>
        <v>0</v>
      </c>
      <c r="AX288">
        <f t="shared" si="173"/>
        <v>0</v>
      </c>
      <c r="AY288">
        <f t="shared" si="174"/>
        <v>0</v>
      </c>
      <c r="AZ288">
        <f t="shared" si="175"/>
        <v>0</v>
      </c>
      <c r="BA288">
        <f t="shared" si="176"/>
        <v>0</v>
      </c>
      <c r="BB288">
        <f t="shared" si="177"/>
        <v>1</v>
      </c>
      <c r="BC288">
        <f t="shared" si="178"/>
        <v>0</v>
      </c>
      <c r="BD288">
        <f t="shared" si="179"/>
        <v>0</v>
      </c>
      <c r="BE288">
        <f t="shared" si="180"/>
        <v>0</v>
      </c>
      <c r="BF288">
        <f t="shared" si="181"/>
        <v>0</v>
      </c>
      <c r="BG288">
        <f t="shared" si="182"/>
        <v>0</v>
      </c>
      <c r="BH288">
        <f t="shared" si="183"/>
        <v>0</v>
      </c>
      <c r="BI288">
        <f t="shared" si="184"/>
        <v>0</v>
      </c>
    </row>
    <row r="289" spans="1:61" x14ac:dyDescent="0.35">
      <c r="A289" t="s">
        <v>196</v>
      </c>
      <c r="B289" s="1">
        <v>41337</v>
      </c>
      <c r="C289" t="s">
        <v>667</v>
      </c>
      <c r="D289" t="s">
        <v>6</v>
      </c>
      <c r="E289" t="s">
        <v>668</v>
      </c>
      <c r="F289" t="s">
        <v>163</v>
      </c>
      <c r="G289" t="s">
        <v>64</v>
      </c>
      <c r="H289" s="139">
        <f t="shared" si="158"/>
        <v>1</v>
      </c>
      <c r="I289" t="s">
        <v>234</v>
      </c>
      <c r="J289" t="s">
        <v>235</v>
      </c>
      <c r="K289" s="2">
        <f t="shared" si="161"/>
        <v>1</v>
      </c>
      <c r="L289">
        <v>208000000</v>
      </c>
      <c r="M289" s="2">
        <f t="shared" si="162"/>
        <v>8.318063334962762</v>
      </c>
      <c r="N289">
        <f t="shared" si="185"/>
        <v>208000000</v>
      </c>
      <c r="O289">
        <v>0</v>
      </c>
      <c r="P289" s="1">
        <v>42933</v>
      </c>
      <c r="Q289" s="89">
        <f t="shared" si="163"/>
        <v>2017</v>
      </c>
      <c r="R289" t="s">
        <v>152</v>
      </c>
      <c r="S289">
        <v>900000000</v>
      </c>
      <c r="T289" s="21">
        <f t="shared" si="154"/>
        <v>4.3726027397260276</v>
      </c>
      <c r="U289">
        <v>263.72000000000003</v>
      </c>
      <c r="V289">
        <f t="shared" si="164"/>
        <v>2.4227867541517965</v>
      </c>
      <c r="W289">
        <v>1947</v>
      </c>
      <c r="X289">
        <v>66</v>
      </c>
      <c r="Y289">
        <f t="shared" si="165"/>
        <v>1.8260748027008264</v>
      </c>
      <c r="Z289" s="45">
        <v>3.07</v>
      </c>
      <c r="AA289" s="9">
        <f t="shared" si="155"/>
        <v>692000000</v>
      </c>
      <c r="AB289" s="15">
        <f t="shared" si="156"/>
        <v>3.3269230769230766</v>
      </c>
      <c r="AC289" s="34">
        <f t="shared" si="166"/>
        <v>0.63617917447656325</v>
      </c>
      <c r="AD289">
        <v>1682.1639898562976</v>
      </c>
      <c r="AE289">
        <f t="shared" si="159"/>
        <v>3.2258683317817765</v>
      </c>
      <c r="AF289">
        <v>9152.2762951334389</v>
      </c>
      <c r="AG289">
        <f t="shared" si="160"/>
        <v>3.9615291224236637</v>
      </c>
      <c r="AH289" s="9">
        <v>847</v>
      </c>
      <c r="AI289" s="9">
        <f t="shared" si="167"/>
        <v>2.9283958522567137</v>
      </c>
      <c r="AJ289">
        <v>91.6</v>
      </c>
      <c r="AK289" s="23" t="s">
        <v>669</v>
      </c>
      <c r="AL289" s="42">
        <v>55.827525017854398</v>
      </c>
      <c r="AM289" s="24">
        <v>0.61</v>
      </c>
      <c r="AN289" s="34">
        <f t="shared" si="168"/>
        <v>0.20682587603184968</v>
      </c>
      <c r="AO289">
        <v>1998</v>
      </c>
      <c r="AP289">
        <v>15</v>
      </c>
      <c r="AQ289">
        <v>80</v>
      </c>
      <c r="AR289">
        <v>70</v>
      </c>
      <c r="AS289">
        <f t="shared" si="157"/>
        <v>0</v>
      </c>
      <c r="AT289">
        <f t="shared" si="169"/>
        <v>0</v>
      </c>
      <c r="AU289">
        <f t="shared" si="170"/>
        <v>0</v>
      </c>
      <c r="AV289">
        <f t="shared" si="171"/>
        <v>0</v>
      </c>
      <c r="AW289">
        <f t="shared" si="172"/>
        <v>0</v>
      </c>
      <c r="AX289">
        <f t="shared" si="173"/>
        <v>0</v>
      </c>
      <c r="AY289">
        <f t="shared" si="174"/>
        <v>0</v>
      </c>
      <c r="AZ289">
        <f t="shared" si="175"/>
        <v>0</v>
      </c>
      <c r="BA289">
        <f t="shared" si="176"/>
        <v>1</v>
      </c>
      <c r="BB289">
        <f t="shared" si="177"/>
        <v>0</v>
      </c>
      <c r="BC289">
        <f t="shared" si="178"/>
        <v>0</v>
      </c>
      <c r="BD289">
        <f t="shared" si="179"/>
        <v>0</v>
      </c>
      <c r="BE289">
        <f t="shared" si="180"/>
        <v>0</v>
      </c>
      <c r="BF289">
        <f t="shared" si="181"/>
        <v>0</v>
      </c>
      <c r="BG289">
        <f t="shared" si="182"/>
        <v>0</v>
      </c>
      <c r="BH289">
        <f t="shared" si="183"/>
        <v>0</v>
      </c>
      <c r="BI289">
        <f t="shared" si="184"/>
        <v>0</v>
      </c>
    </row>
    <row r="290" spans="1:61" x14ac:dyDescent="0.35">
      <c r="A290" t="s">
        <v>196</v>
      </c>
      <c r="B290" s="1">
        <v>41913</v>
      </c>
      <c r="C290" t="s">
        <v>670</v>
      </c>
      <c r="D290" t="s">
        <v>45</v>
      </c>
      <c r="E290" t="s">
        <v>671</v>
      </c>
      <c r="F290" t="s">
        <v>163</v>
      </c>
      <c r="G290" t="s">
        <v>64</v>
      </c>
      <c r="H290" s="139">
        <f t="shared" si="158"/>
        <v>1</v>
      </c>
      <c r="I290" t="s">
        <v>234</v>
      </c>
      <c r="J290" t="s">
        <v>235</v>
      </c>
      <c r="K290" s="2">
        <f t="shared" si="161"/>
        <v>1</v>
      </c>
      <c r="L290">
        <v>900000000</v>
      </c>
      <c r="M290" s="2">
        <f t="shared" si="162"/>
        <v>8.9542425094393252</v>
      </c>
      <c r="N290">
        <f t="shared" si="185"/>
        <v>900000000</v>
      </c>
      <c r="O290">
        <v>0</v>
      </c>
      <c r="P290" s="1">
        <v>42340</v>
      </c>
      <c r="Q290" s="89">
        <f t="shared" si="163"/>
        <v>2015</v>
      </c>
      <c r="R290" t="s">
        <v>107</v>
      </c>
      <c r="S290">
        <v>1000000000</v>
      </c>
      <c r="T290" s="21">
        <f t="shared" si="154"/>
        <v>1.1698630136986301</v>
      </c>
      <c r="U290">
        <v>6164.6</v>
      </c>
      <c r="V290">
        <f t="shared" si="164"/>
        <v>3.7899753459779522</v>
      </c>
      <c r="W290">
        <v>1990</v>
      </c>
      <c r="X290">
        <v>24</v>
      </c>
      <c r="Y290">
        <f t="shared" si="165"/>
        <v>1.3979400086720377</v>
      </c>
      <c r="Z290" s="45">
        <v>3.18</v>
      </c>
      <c r="AA290" s="9">
        <f t="shared" si="155"/>
        <v>100000000</v>
      </c>
      <c r="AB290" s="15">
        <f t="shared" si="156"/>
        <v>0.11111111111111116</v>
      </c>
      <c r="AC290" s="34">
        <f t="shared" si="166"/>
        <v>4.5757490560675143E-2</v>
      </c>
      <c r="AD290">
        <v>1682.1639898562976</v>
      </c>
      <c r="AE290">
        <f t="shared" si="159"/>
        <v>3.2258683317817765</v>
      </c>
      <c r="AF290">
        <v>9152.2762951334389</v>
      </c>
      <c r="AG290">
        <f t="shared" si="160"/>
        <v>3.9615291224236637</v>
      </c>
      <c r="AH290" s="9">
        <v>583.83333333333303</v>
      </c>
      <c r="AI290" s="9">
        <f t="shared" si="167"/>
        <v>2.7670321178317625</v>
      </c>
      <c r="AJ290">
        <v>89.2</v>
      </c>
      <c r="AK290" s="23" t="s">
        <v>313</v>
      </c>
      <c r="AL290" s="42">
        <v>38.344872802923099</v>
      </c>
      <c r="AM290" s="24">
        <v>7.0000000000000007E-2</v>
      </c>
      <c r="AN290" s="34">
        <f t="shared" si="168"/>
        <v>2.9383777685209667E-2</v>
      </c>
      <c r="AO290">
        <v>1998</v>
      </c>
      <c r="AP290">
        <v>16</v>
      </c>
      <c r="AQ290">
        <v>70</v>
      </c>
      <c r="AR290">
        <v>70</v>
      </c>
      <c r="AS290">
        <f t="shared" si="157"/>
        <v>0</v>
      </c>
      <c r="AT290">
        <f t="shared" si="169"/>
        <v>1</v>
      </c>
      <c r="AU290">
        <f t="shared" si="170"/>
        <v>0</v>
      </c>
      <c r="AV290">
        <f t="shared" si="171"/>
        <v>0</v>
      </c>
      <c r="AW290">
        <f t="shared" si="172"/>
        <v>0</v>
      </c>
      <c r="AX290">
        <f t="shared" si="173"/>
        <v>0</v>
      </c>
      <c r="AY290">
        <f t="shared" si="174"/>
        <v>0</v>
      </c>
      <c r="AZ290">
        <f t="shared" si="175"/>
        <v>0</v>
      </c>
      <c r="BA290">
        <f t="shared" si="176"/>
        <v>0</v>
      </c>
      <c r="BB290">
        <f t="shared" si="177"/>
        <v>0</v>
      </c>
      <c r="BC290">
        <f t="shared" si="178"/>
        <v>0</v>
      </c>
      <c r="BD290">
        <f t="shared" si="179"/>
        <v>0</v>
      </c>
      <c r="BE290">
        <f t="shared" si="180"/>
        <v>0</v>
      </c>
      <c r="BF290">
        <f t="shared" si="181"/>
        <v>0</v>
      </c>
      <c r="BG290">
        <f t="shared" si="182"/>
        <v>0</v>
      </c>
      <c r="BH290">
        <f t="shared" si="183"/>
        <v>0</v>
      </c>
      <c r="BI290">
        <f t="shared" si="184"/>
        <v>0</v>
      </c>
    </row>
    <row r="291" spans="1:61" x14ac:dyDescent="0.35">
      <c r="A291" t="s">
        <v>196</v>
      </c>
      <c r="B291" s="1">
        <v>38473</v>
      </c>
      <c r="C291" t="s">
        <v>565</v>
      </c>
      <c r="D291" t="s">
        <v>2</v>
      </c>
      <c r="E291" t="s">
        <v>672</v>
      </c>
      <c r="F291" t="s">
        <v>163</v>
      </c>
      <c r="G291" t="s">
        <v>64</v>
      </c>
      <c r="H291" s="139">
        <f t="shared" si="158"/>
        <v>1</v>
      </c>
      <c r="I291" t="s">
        <v>234</v>
      </c>
      <c r="J291" t="s">
        <v>248</v>
      </c>
      <c r="K291" s="2">
        <f t="shared" si="161"/>
        <v>5</v>
      </c>
      <c r="L291">
        <v>370000000</v>
      </c>
      <c r="M291" s="2">
        <f t="shared" si="162"/>
        <v>8.568201724066995</v>
      </c>
      <c r="N291">
        <f t="shared" si="185"/>
        <v>370000000</v>
      </c>
      <c r="O291">
        <v>0</v>
      </c>
      <c r="P291" s="1">
        <v>41486</v>
      </c>
      <c r="Q291" s="89">
        <f t="shared" si="163"/>
        <v>2013</v>
      </c>
      <c r="R291" t="s">
        <v>152</v>
      </c>
      <c r="S291">
        <v>400000000</v>
      </c>
      <c r="T291" s="21">
        <f t="shared" si="154"/>
        <v>8.2547945205479447</v>
      </c>
      <c r="U291">
        <v>684.28</v>
      </c>
      <c r="V291">
        <f t="shared" si="164"/>
        <v>2.8358680570524939</v>
      </c>
      <c r="W291">
        <v>1943</v>
      </c>
      <c r="X291">
        <v>62</v>
      </c>
      <c r="Y291">
        <f t="shared" si="165"/>
        <v>1.7993405494535817</v>
      </c>
      <c r="Z291" s="45">
        <v>2.74</v>
      </c>
      <c r="AA291" s="9">
        <f t="shared" si="155"/>
        <v>30000000</v>
      </c>
      <c r="AB291" s="15">
        <f t="shared" si="156"/>
        <v>8.1081081081081141E-2</v>
      </c>
      <c r="AC291" s="34">
        <f t="shared" si="166"/>
        <v>3.3858267260967419E-2</v>
      </c>
      <c r="AD291">
        <v>1682.1639898562976</v>
      </c>
      <c r="AE291">
        <f t="shared" si="159"/>
        <v>3.2258683317817765</v>
      </c>
      <c r="AF291">
        <v>9152.2762951334389</v>
      </c>
      <c r="AG291">
        <f t="shared" si="160"/>
        <v>3.9615291224236637</v>
      </c>
      <c r="AH291" s="9">
        <v>1412.5</v>
      </c>
      <c r="AI291" s="9">
        <f t="shared" si="167"/>
        <v>3.1502958128255383</v>
      </c>
      <c r="AJ291">
        <v>70</v>
      </c>
      <c r="AK291" s="23" t="s">
        <v>213</v>
      </c>
      <c r="AL291" s="42">
        <v>46.200073016176603</v>
      </c>
      <c r="AM291" s="24">
        <v>0.46</v>
      </c>
      <c r="AN291" s="34">
        <f t="shared" si="168"/>
        <v>0.16435285578443709</v>
      </c>
      <c r="AO291">
        <v>1998</v>
      </c>
      <c r="AP291">
        <v>7</v>
      </c>
      <c r="AQ291">
        <v>70</v>
      </c>
      <c r="AR291">
        <v>70</v>
      </c>
      <c r="AS291">
        <f t="shared" si="157"/>
        <v>0</v>
      </c>
      <c r="AT291">
        <f t="shared" si="169"/>
        <v>0</v>
      </c>
      <c r="AU291">
        <f t="shared" si="170"/>
        <v>0</v>
      </c>
      <c r="AV291">
        <f t="shared" si="171"/>
        <v>0</v>
      </c>
      <c r="AW291">
        <f t="shared" si="172"/>
        <v>0</v>
      </c>
      <c r="AX291">
        <f t="shared" si="173"/>
        <v>0</v>
      </c>
      <c r="AY291">
        <f t="shared" si="174"/>
        <v>0</v>
      </c>
      <c r="AZ291">
        <f t="shared" si="175"/>
        <v>0</v>
      </c>
      <c r="BA291">
        <f t="shared" si="176"/>
        <v>0</v>
      </c>
      <c r="BB291">
        <f t="shared" si="177"/>
        <v>1</v>
      </c>
      <c r="BC291">
        <f t="shared" si="178"/>
        <v>0</v>
      </c>
      <c r="BD291">
        <f t="shared" si="179"/>
        <v>0</v>
      </c>
      <c r="BE291">
        <f t="shared" si="180"/>
        <v>0</v>
      </c>
      <c r="BF291">
        <f t="shared" si="181"/>
        <v>0</v>
      </c>
      <c r="BG291">
        <f t="shared" si="182"/>
        <v>0</v>
      </c>
      <c r="BH291">
        <f t="shared" si="183"/>
        <v>0</v>
      </c>
      <c r="BI291">
        <f t="shared" si="184"/>
        <v>0</v>
      </c>
    </row>
    <row r="292" spans="1:61" x14ac:dyDescent="0.35">
      <c r="A292" t="s">
        <v>196</v>
      </c>
      <c r="B292" s="1">
        <v>38352</v>
      </c>
      <c r="C292" t="s">
        <v>673</v>
      </c>
      <c r="D292" t="s">
        <v>4</v>
      </c>
      <c r="E292" t="s">
        <v>674</v>
      </c>
      <c r="F292" t="s">
        <v>577</v>
      </c>
      <c r="G292" t="s">
        <v>64</v>
      </c>
      <c r="H292" s="139">
        <f t="shared" si="158"/>
        <v>1</v>
      </c>
      <c r="I292" t="s">
        <v>234</v>
      </c>
      <c r="J292" t="s">
        <v>190</v>
      </c>
      <c r="K292" s="2">
        <f t="shared" si="161"/>
        <v>2</v>
      </c>
      <c r="L292">
        <v>424180000</v>
      </c>
      <c r="M292" s="2">
        <f t="shared" si="162"/>
        <v>8.6275501877675218</v>
      </c>
      <c r="N292">
        <f t="shared" si="185"/>
        <v>424180000</v>
      </c>
      <c r="O292">
        <v>0</v>
      </c>
      <c r="P292" s="1">
        <v>39113</v>
      </c>
      <c r="Q292" s="89">
        <f t="shared" si="163"/>
        <v>2007</v>
      </c>
      <c r="R292" t="s">
        <v>152</v>
      </c>
      <c r="S292">
        <v>1285000000</v>
      </c>
      <c r="T292" s="21">
        <f t="shared" si="154"/>
        <v>2.0849315068493151</v>
      </c>
      <c r="U292">
        <v>1314.22</v>
      </c>
      <c r="V292">
        <f t="shared" si="164"/>
        <v>3.1189984043805832</v>
      </c>
      <c r="W292">
        <v>1971</v>
      </c>
      <c r="X292">
        <v>33</v>
      </c>
      <c r="Y292">
        <f t="shared" si="165"/>
        <v>1.5314789170422551</v>
      </c>
      <c r="Z292" s="45">
        <v>2.99</v>
      </c>
      <c r="AA292" s="9">
        <f t="shared" si="155"/>
        <v>860820000</v>
      </c>
      <c r="AB292" s="15">
        <f t="shared" si="156"/>
        <v>2.0293743222216984</v>
      </c>
      <c r="AC292" s="34">
        <f t="shared" si="166"/>
        <v>0.481352939899792</v>
      </c>
      <c r="AD292">
        <v>1682.1639898562976</v>
      </c>
      <c r="AE292">
        <f t="shared" si="159"/>
        <v>3.2258683317817765</v>
      </c>
      <c r="AF292">
        <v>9152.2762951334389</v>
      </c>
      <c r="AG292">
        <f t="shared" si="160"/>
        <v>3.9615291224236637</v>
      </c>
      <c r="AH292" s="9">
        <v>1177</v>
      </c>
      <c r="AI292" s="9">
        <f t="shared" si="167"/>
        <v>3.0711452904510828</v>
      </c>
      <c r="AJ292">
        <v>70</v>
      </c>
      <c r="AK292" s="23" t="s">
        <v>93</v>
      </c>
      <c r="AL292" s="42">
        <v>52.379377176281302</v>
      </c>
      <c r="AM292" s="24">
        <v>0.19</v>
      </c>
      <c r="AN292" s="34">
        <f t="shared" si="168"/>
        <v>7.554696139253074E-2</v>
      </c>
      <c r="AO292">
        <v>1997</v>
      </c>
      <c r="AP292">
        <v>7</v>
      </c>
      <c r="AQ292">
        <v>70</v>
      </c>
      <c r="AR292">
        <v>70</v>
      </c>
      <c r="AS292">
        <f t="shared" si="157"/>
        <v>0</v>
      </c>
      <c r="AT292">
        <f t="shared" si="169"/>
        <v>0</v>
      </c>
      <c r="AU292">
        <f t="shared" si="170"/>
        <v>0</v>
      </c>
      <c r="AV292">
        <f t="shared" si="171"/>
        <v>0</v>
      </c>
      <c r="AW292">
        <f t="shared" si="172"/>
        <v>0</v>
      </c>
      <c r="AX292">
        <f t="shared" si="173"/>
        <v>1</v>
      </c>
      <c r="AY292">
        <f t="shared" si="174"/>
        <v>0</v>
      </c>
      <c r="AZ292">
        <f t="shared" si="175"/>
        <v>0</v>
      </c>
      <c r="BA292">
        <f t="shared" si="176"/>
        <v>0</v>
      </c>
      <c r="BB292">
        <f t="shared" si="177"/>
        <v>0</v>
      </c>
      <c r="BC292">
        <f t="shared" si="178"/>
        <v>0</v>
      </c>
      <c r="BD292">
        <f t="shared" si="179"/>
        <v>0</v>
      </c>
      <c r="BE292">
        <f t="shared" si="180"/>
        <v>0</v>
      </c>
      <c r="BF292">
        <f t="shared" si="181"/>
        <v>0</v>
      </c>
      <c r="BG292">
        <f t="shared" si="182"/>
        <v>0</v>
      </c>
      <c r="BH292">
        <f t="shared" si="183"/>
        <v>0</v>
      </c>
      <c r="BI292">
        <f t="shared" si="184"/>
        <v>0</v>
      </c>
    </row>
    <row r="293" spans="1:61" x14ac:dyDescent="0.35">
      <c r="A293" t="s">
        <v>675</v>
      </c>
      <c r="B293" s="1">
        <v>39701</v>
      </c>
      <c r="C293" t="s">
        <v>676</v>
      </c>
      <c r="D293" t="s">
        <v>5</v>
      </c>
      <c r="E293" t="s">
        <v>677</v>
      </c>
      <c r="F293" t="s">
        <v>602</v>
      </c>
      <c r="G293" t="s">
        <v>64</v>
      </c>
      <c r="H293" s="139">
        <f t="shared" si="158"/>
        <v>1</v>
      </c>
      <c r="I293" t="s">
        <v>234</v>
      </c>
      <c r="J293" t="s">
        <v>269</v>
      </c>
      <c r="K293" s="2">
        <f t="shared" si="161"/>
        <v>7</v>
      </c>
      <c r="L293">
        <v>186740000</v>
      </c>
      <c r="M293" s="2">
        <f t="shared" si="162"/>
        <v>8.271237354470836</v>
      </c>
      <c r="N293">
        <f t="shared" si="185"/>
        <v>186740000</v>
      </c>
      <c r="O293">
        <v>0</v>
      </c>
      <c r="P293" s="1">
        <v>42822</v>
      </c>
      <c r="Q293" s="89">
        <f t="shared" si="163"/>
        <v>2017</v>
      </c>
      <c r="R293" t="s">
        <v>107</v>
      </c>
      <c r="S293">
        <v>257000000</v>
      </c>
      <c r="T293" s="21">
        <f t="shared" si="154"/>
        <v>8.5506849315068489</v>
      </c>
      <c r="U293">
        <v>6188.89</v>
      </c>
      <c r="V293">
        <f t="shared" si="164"/>
        <v>3.7916829312790057</v>
      </c>
      <c r="W293">
        <v>1930</v>
      </c>
      <c r="X293">
        <v>78</v>
      </c>
      <c r="Y293">
        <f t="shared" si="165"/>
        <v>1.8976270912904414</v>
      </c>
      <c r="Z293" s="45">
        <v>2.72</v>
      </c>
      <c r="AA293" s="9">
        <f t="shared" si="155"/>
        <v>70260000</v>
      </c>
      <c r="AB293" s="15">
        <f t="shared" si="156"/>
        <v>0.37624504658884006</v>
      </c>
      <c r="AC293" s="34">
        <f t="shared" si="166"/>
        <v>0.1386957688604587</v>
      </c>
      <c r="AD293">
        <v>1455.046</v>
      </c>
      <c r="AE293">
        <f t="shared" si="159"/>
        <v>3.1628767233771686</v>
      </c>
      <c r="AF293">
        <v>4062.5129999999999</v>
      </c>
      <c r="AG293">
        <f t="shared" si="160"/>
        <v>3.6087947637270492</v>
      </c>
      <c r="AH293" s="9">
        <v>1084.3333333333301</v>
      </c>
      <c r="AI293" s="9">
        <f t="shared" si="167"/>
        <v>3.0355631414974997</v>
      </c>
      <c r="AJ293">
        <v>88</v>
      </c>
      <c r="AK293" s="23" t="s">
        <v>678</v>
      </c>
      <c r="AL293" s="42">
        <v>43.1081369225492</v>
      </c>
      <c r="AM293" s="24">
        <v>0.91</v>
      </c>
      <c r="AN293" s="34">
        <f t="shared" si="168"/>
        <v>0.28103336724772759</v>
      </c>
      <c r="AO293">
        <v>1992</v>
      </c>
      <c r="AP293">
        <v>16</v>
      </c>
      <c r="AQ293">
        <v>70</v>
      </c>
      <c r="AR293">
        <v>90</v>
      </c>
      <c r="AS293">
        <f t="shared" si="157"/>
        <v>0</v>
      </c>
      <c r="AT293">
        <f t="shared" si="169"/>
        <v>0</v>
      </c>
      <c r="AU293">
        <f t="shared" si="170"/>
        <v>0</v>
      </c>
      <c r="AV293">
        <f t="shared" si="171"/>
        <v>0</v>
      </c>
      <c r="AW293">
        <f t="shared" si="172"/>
        <v>0</v>
      </c>
      <c r="AX293">
        <f t="shared" si="173"/>
        <v>0</v>
      </c>
      <c r="AY293">
        <f t="shared" si="174"/>
        <v>1</v>
      </c>
      <c r="AZ293">
        <f t="shared" si="175"/>
        <v>0</v>
      </c>
      <c r="BA293">
        <f t="shared" si="176"/>
        <v>0</v>
      </c>
      <c r="BB293">
        <f t="shared" si="177"/>
        <v>0</v>
      </c>
      <c r="BC293">
        <f t="shared" si="178"/>
        <v>0</v>
      </c>
      <c r="BD293">
        <f t="shared" si="179"/>
        <v>0</v>
      </c>
      <c r="BE293">
        <f t="shared" si="180"/>
        <v>0</v>
      </c>
      <c r="BF293">
        <f t="shared" si="181"/>
        <v>0</v>
      </c>
      <c r="BG293">
        <f t="shared" si="182"/>
        <v>0</v>
      </c>
      <c r="BH293">
        <f t="shared" si="183"/>
        <v>0</v>
      </c>
      <c r="BI293">
        <f t="shared" si="184"/>
        <v>0</v>
      </c>
    </row>
    <row r="294" spans="1:61" x14ac:dyDescent="0.35">
      <c r="A294" t="s">
        <v>679</v>
      </c>
      <c r="B294" s="1">
        <v>38492</v>
      </c>
      <c r="C294" t="s">
        <v>680</v>
      </c>
      <c r="D294" t="s">
        <v>2</v>
      </c>
      <c r="E294" t="s">
        <v>681</v>
      </c>
      <c r="F294" t="s">
        <v>602</v>
      </c>
      <c r="G294" t="s">
        <v>64</v>
      </c>
      <c r="H294" s="139">
        <f t="shared" si="158"/>
        <v>1</v>
      </c>
      <c r="I294" t="s">
        <v>234</v>
      </c>
      <c r="J294" t="s">
        <v>186</v>
      </c>
      <c r="K294" s="2">
        <f t="shared" si="161"/>
        <v>4</v>
      </c>
      <c r="L294">
        <v>265000000</v>
      </c>
      <c r="M294" s="2">
        <f t="shared" si="162"/>
        <v>8.423245873936807</v>
      </c>
      <c r="N294">
        <f t="shared" si="185"/>
        <v>265000000</v>
      </c>
      <c r="O294">
        <v>0</v>
      </c>
      <c r="P294" s="1">
        <v>39223</v>
      </c>
      <c r="Q294" s="89">
        <f t="shared" si="163"/>
        <v>2007</v>
      </c>
      <c r="R294" t="s">
        <v>107</v>
      </c>
      <c r="S294">
        <v>327249500</v>
      </c>
      <c r="T294" s="21">
        <f t="shared" si="154"/>
        <v>2.0027397260273974</v>
      </c>
      <c r="U294">
        <v>6815.73</v>
      </c>
      <c r="V294">
        <f t="shared" si="164"/>
        <v>3.8335760926148099</v>
      </c>
      <c r="W294">
        <v>1991</v>
      </c>
      <c r="X294">
        <v>14</v>
      </c>
      <c r="Y294">
        <f t="shared" si="165"/>
        <v>1.1760912590556813</v>
      </c>
      <c r="Z294" s="45">
        <v>2.85</v>
      </c>
      <c r="AA294" s="9">
        <f t="shared" si="155"/>
        <v>62249500</v>
      </c>
      <c r="AB294" s="15">
        <f t="shared" si="156"/>
        <v>0.23490377358490555</v>
      </c>
      <c r="AC294" s="34">
        <f t="shared" si="166"/>
        <v>9.1633117733940173E-2</v>
      </c>
      <c r="AD294">
        <v>1455.046</v>
      </c>
      <c r="AE294">
        <f t="shared" si="159"/>
        <v>3.1628767233771686</v>
      </c>
      <c r="AF294">
        <v>4062.5129999999999</v>
      </c>
      <c r="AG294">
        <f t="shared" si="160"/>
        <v>3.6087947637270492</v>
      </c>
      <c r="AH294" s="9">
        <v>819</v>
      </c>
      <c r="AI294" s="9">
        <f t="shared" si="167"/>
        <v>2.9138138523837167</v>
      </c>
      <c r="AJ294">
        <v>70</v>
      </c>
      <c r="AK294" s="23" t="s">
        <v>213</v>
      </c>
      <c r="AL294" s="42">
        <v>46.200073016176603</v>
      </c>
      <c r="AM294" s="24">
        <v>0.28000000000000003</v>
      </c>
      <c r="AN294" s="34">
        <f t="shared" si="168"/>
        <v>0.10720996964786837</v>
      </c>
      <c r="AO294">
        <v>1992</v>
      </c>
      <c r="AP294">
        <v>13</v>
      </c>
      <c r="AQ294">
        <v>70</v>
      </c>
      <c r="AR294">
        <v>70</v>
      </c>
      <c r="AS294">
        <f t="shared" si="157"/>
        <v>0</v>
      </c>
      <c r="AT294">
        <f t="shared" si="169"/>
        <v>0</v>
      </c>
      <c r="AU294">
        <f t="shared" si="170"/>
        <v>0</v>
      </c>
      <c r="AV294">
        <f t="shared" si="171"/>
        <v>0</v>
      </c>
      <c r="AW294">
        <f t="shared" si="172"/>
        <v>0</v>
      </c>
      <c r="AX294">
        <f t="shared" si="173"/>
        <v>0</v>
      </c>
      <c r="AY294">
        <f t="shared" si="174"/>
        <v>0</v>
      </c>
      <c r="AZ294">
        <f t="shared" si="175"/>
        <v>0</v>
      </c>
      <c r="BA294">
        <f t="shared" si="176"/>
        <v>0</v>
      </c>
      <c r="BB294">
        <f t="shared" si="177"/>
        <v>1</v>
      </c>
      <c r="BC294">
        <f t="shared" si="178"/>
        <v>0</v>
      </c>
      <c r="BD294">
        <f t="shared" si="179"/>
        <v>0</v>
      </c>
      <c r="BE294">
        <f t="shared" si="180"/>
        <v>0</v>
      </c>
      <c r="BF294">
        <f t="shared" si="181"/>
        <v>0</v>
      </c>
      <c r="BG294">
        <f t="shared" si="182"/>
        <v>0</v>
      </c>
      <c r="BH294">
        <f t="shared" si="183"/>
        <v>0</v>
      </c>
      <c r="BI294">
        <f t="shared" si="184"/>
        <v>0</v>
      </c>
    </row>
    <row r="295" spans="1:61" x14ac:dyDescent="0.35">
      <c r="A295" t="s">
        <v>682</v>
      </c>
      <c r="B295" s="1">
        <v>36103</v>
      </c>
      <c r="C295" t="s">
        <v>683</v>
      </c>
      <c r="D295" t="s">
        <v>497</v>
      </c>
      <c r="E295" t="s">
        <v>684</v>
      </c>
      <c r="F295" t="s">
        <v>602</v>
      </c>
      <c r="G295" t="s">
        <v>64</v>
      </c>
      <c r="H295" s="139">
        <f t="shared" si="158"/>
        <v>1</v>
      </c>
      <c r="I295" t="s">
        <v>289</v>
      </c>
      <c r="J295" t="s">
        <v>245</v>
      </c>
      <c r="K295" s="2">
        <f t="shared" si="161"/>
        <v>6</v>
      </c>
      <c r="L295">
        <v>68310000</v>
      </c>
      <c r="M295" s="2">
        <f t="shared" si="162"/>
        <v>7.8344842853348053</v>
      </c>
      <c r="N295">
        <f t="shared" si="185"/>
        <v>68310000</v>
      </c>
      <c r="O295">
        <v>0</v>
      </c>
      <c r="P295" s="1">
        <v>36851</v>
      </c>
      <c r="Q295" s="89">
        <f t="shared" si="163"/>
        <v>2000</v>
      </c>
      <c r="R295" t="s">
        <v>107</v>
      </c>
      <c r="S295">
        <v>247090770</v>
      </c>
      <c r="T295" s="21">
        <f t="shared" si="154"/>
        <v>2.0493150684931507</v>
      </c>
      <c r="U295">
        <v>5441.73</v>
      </c>
      <c r="V295">
        <f t="shared" si="164"/>
        <v>3.7358167906061537</v>
      </c>
      <c r="W295">
        <v>1975</v>
      </c>
      <c r="X295">
        <v>23</v>
      </c>
      <c r="Y295">
        <f t="shared" si="165"/>
        <v>1.3802112417116059</v>
      </c>
      <c r="Z295" s="45">
        <v>2.91</v>
      </c>
      <c r="AA295" s="9">
        <f t="shared" si="155"/>
        <v>178780770</v>
      </c>
      <c r="AB295" s="15">
        <f t="shared" si="156"/>
        <v>2.6171976284584981</v>
      </c>
      <c r="AC295" s="34">
        <f t="shared" si="166"/>
        <v>0.55837223743297271</v>
      </c>
      <c r="AD295">
        <v>1455.046</v>
      </c>
      <c r="AE295">
        <f t="shared" si="159"/>
        <v>3.1628767233771686</v>
      </c>
      <c r="AF295">
        <v>4062.5129999999999</v>
      </c>
      <c r="AG295">
        <f t="shared" si="160"/>
        <v>3.6087947637270492</v>
      </c>
      <c r="AH295" s="9">
        <v>125.833333333333</v>
      </c>
      <c r="AI295" s="9">
        <f t="shared" si="167"/>
        <v>2.103233406386928</v>
      </c>
      <c r="AJ295">
        <v>85</v>
      </c>
      <c r="AK295" s="23" t="s">
        <v>685</v>
      </c>
      <c r="AL295" s="42">
        <v>34.575632305406103</v>
      </c>
      <c r="AM295" s="24">
        <v>0.2</v>
      </c>
      <c r="AN295" s="34">
        <f t="shared" si="168"/>
        <v>7.9181246047624818E-2</v>
      </c>
      <c r="AO295">
        <v>1992</v>
      </c>
      <c r="AP295">
        <v>6</v>
      </c>
      <c r="AQ295">
        <v>70</v>
      </c>
      <c r="AR295">
        <v>70</v>
      </c>
      <c r="AS295">
        <f t="shared" si="157"/>
        <v>0</v>
      </c>
      <c r="AT295">
        <f t="shared" si="169"/>
        <v>0</v>
      </c>
      <c r="AU295">
        <f t="shared" si="170"/>
        <v>0</v>
      </c>
      <c r="AV295">
        <f t="shared" si="171"/>
        <v>0</v>
      </c>
      <c r="AW295">
        <f t="shared" si="172"/>
        <v>0</v>
      </c>
      <c r="AX295">
        <f t="shared" si="173"/>
        <v>0</v>
      </c>
      <c r="AY295">
        <f t="shared" si="174"/>
        <v>0</v>
      </c>
      <c r="AZ295">
        <f t="shared" si="175"/>
        <v>0</v>
      </c>
      <c r="BA295">
        <f t="shared" si="176"/>
        <v>0</v>
      </c>
      <c r="BB295">
        <f t="shared" si="177"/>
        <v>0</v>
      </c>
      <c r="BC295">
        <f t="shared" si="178"/>
        <v>0</v>
      </c>
      <c r="BD295">
        <f t="shared" si="179"/>
        <v>0</v>
      </c>
      <c r="BE295">
        <f t="shared" si="180"/>
        <v>0</v>
      </c>
      <c r="BF295">
        <f t="shared" si="181"/>
        <v>0</v>
      </c>
      <c r="BG295">
        <f t="shared" si="182"/>
        <v>0</v>
      </c>
      <c r="BH295">
        <f t="shared" si="183"/>
        <v>1</v>
      </c>
      <c r="BI295">
        <f t="shared" si="184"/>
        <v>0</v>
      </c>
    </row>
    <row r="296" spans="1:61" x14ac:dyDescent="0.35">
      <c r="A296" t="s">
        <v>196</v>
      </c>
      <c r="B296" s="1">
        <v>37960</v>
      </c>
      <c r="C296" t="s">
        <v>686</v>
      </c>
      <c r="D296" t="s">
        <v>59</v>
      </c>
      <c r="E296" t="s">
        <v>687</v>
      </c>
      <c r="F296" t="s">
        <v>602</v>
      </c>
      <c r="G296" t="s">
        <v>64</v>
      </c>
      <c r="H296" s="139">
        <f t="shared" si="158"/>
        <v>1</v>
      </c>
      <c r="I296" t="s">
        <v>234</v>
      </c>
      <c r="J296" t="s">
        <v>248</v>
      </c>
      <c r="K296" s="2">
        <f t="shared" si="161"/>
        <v>5</v>
      </c>
      <c r="L296">
        <v>1831500000</v>
      </c>
      <c r="M296" s="2">
        <f t="shared" si="162"/>
        <v>9.2628069230005643</v>
      </c>
      <c r="N296">
        <v>1704500000</v>
      </c>
      <c r="O296">
        <v>127000000</v>
      </c>
      <c r="P296" s="1">
        <v>40114</v>
      </c>
      <c r="Q296" s="89">
        <f t="shared" si="163"/>
        <v>2009</v>
      </c>
      <c r="R296" t="s">
        <v>322</v>
      </c>
      <c r="S296">
        <v>227300000</v>
      </c>
      <c r="T296" s="21">
        <f t="shared" si="154"/>
        <v>5.9013698630136986</v>
      </c>
      <c r="U296">
        <v>5897.96</v>
      </c>
      <c r="V296">
        <f t="shared" si="164"/>
        <v>3.7707754512906644</v>
      </c>
      <c r="W296">
        <v>1813</v>
      </c>
      <c r="X296">
        <v>190</v>
      </c>
      <c r="Y296">
        <f t="shared" si="165"/>
        <v>2.2810333672477277</v>
      </c>
      <c r="Z296" s="45">
        <v>2.3199999999999998</v>
      </c>
      <c r="AA296" s="9">
        <f t="shared" si="155"/>
        <v>-1477200000</v>
      </c>
      <c r="AB296" s="15">
        <f t="shared" si="156"/>
        <v>-0.87589407589407586</v>
      </c>
      <c r="AC296" s="34">
        <f t="shared" si="166"/>
        <v>-0.90620748727559275</v>
      </c>
      <c r="AD296">
        <v>1455.046</v>
      </c>
      <c r="AE296">
        <f t="shared" si="159"/>
        <v>3.1628767233771686</v>
      </c>
      <c r="AF296">
        <v>4062.5129999999999</v>
      </c>
      <c r="AG296">
        <f t="shared" si="160"/>
        <v>3.6087947637270492</v>
      </c>
      <c r="AH296" s="9">
        <v>132</v>
      </c>
      <c r="AI296" s="9">
        <f t="shared" si="167"/>
        <v>2.1238516409670858</v>
      </c>
      <c r="AJ296">
        <v>85</v>
      </c>
      <c r="AK296" s="23" t="s">
        <v>246</v>
      </c>
      <c r="AL296" s="42">
        <v>38.7850112673514</v>
      </c>
      <c r="AM296" s="24">
        <v>-0.02</v>
      </c>
      <c r="AN296" s="34">
        <f t="shared" si="168"/>
        <v>-8.7739243075051505E-3</v>
      </c>
      <c r="AO296">
        <v>1992</v>
      </c>
      <c r="AP296">
        <v>11</v>
      </c>
      <c r="AQ296">
        <v>70</v>
      </c>
      <c r="AR296">
        <v>70</v>
      </c>
      <c r="AS296">
        <f t="shared" si="157"/>
        <v>0</v>
      </c>
      <c r="AT296">
        <f t="shared" si="169"/>
        <v>0</v>
      </c>
      <c r="AU296">
        <f t="shared" si="170"/>
        <v>1</v>
      </c>
      <c r="AV296">
        <f t="shared" si="171"/>
        <v>0</v>
      </c>
      <c r="AW296">
        <f t="shared" si="172"/>
        <v>0</v>
      </c>
      <c r="AX296">
        <f t="shared" si="173"/>
        <v>0</v>
      </c>
      <c r="AY296">
        <f t="shared" si="174"/>
        <v>0</v>
      </c>
      <c r="AZ296">
        <f t="shared" si="175"/>
        <v>0</v>
      </c>
      <c r="BA296">
        <f t="shared" si="176"/>
        <v>0</v>
      </c>
      <c r="BB296">
        <f t="shared" si="177"/>
        <v>0</v>
      </c>
      <c r="BC296">
        <f t="shared" si="178"/>
        <v>0</v>
      </c>
      <c r="BD296">
        <f t="shared" si="179"/>
        <v>0</v>
      </c>
      <c r="BE296">
        <f t="shared" si="180"/>
        <v>0</v>
      </c>
      <c r="BF296">
        <f t="shared" si="181"/>
        <v>0</v>
      </c>
      <c r="BG296">
        <f t="shared" si="182"/>
        <v>0</v>
      </c>
      <c r="BH296">
        <f t="shared" si="183"/>
        <v>0</v>
      </c>
      <c r="BI296">
        <f t="shared" si="184"/>
        <v>0</v>
      </c>
    </row>
    <row r="297" spans="1:61" x14ac:dyDescent="0.35">
      <c r="A297" t="s">
        <v>196</v>
      </c>
      <c r="B297" s="1">
        <v>34915</v>
      </c>
      <c r="C297" t="s">
        <v>688</v>
      </c>
      <c r="D297" t="s">
        <v>59</v>
      </c>
      <c r="E297" t="s">
        <v>689</v>
      </c>
      <c r="F297" t="s">
        <v>602</v>
      </c>
      <c r="G297" t="s">
        <v>64</v>
      </c>
      <c r="H297" s="139">
        <f t="shared" si="158"/>
        <v>1</v>
      </c>
      <c r="I297" t="s">
        <v>234</v>
      </c>
      <c r="J297" t="s">
        <v>186</v>
      </c>
      <c r="K297" s="2">
        <f t="shared" si="161"/>
        <v>4</v>
      </c>
      <c r="L297">
        <v>199890000</v>
      </c>
      <c r="M297" s="2">
        <f t="shared" si="162"/>
        <v>8.3007910679877988</v>
      </c>
      <c r="N297">
        <f t="shared" ref="N297:N304" si="186">L297</f>
        <v>199890000</v>
      </c>
      <c r="O297">
        <v>0</v>
      </c>
      <c r="P297" s="1">
        <v>36452</v>
      </c>
      <c r="Q297" s="89">
        <f t="shared" si="163"/>
        <v>1999</v>
      </c>
      <c r="R297" t="s">
        <v>107</v>
      </c>
      <c r="S297">
        <v>215000000</v>
      </c>
      <c r="T297" s="21">
        <f t="shared" si="154"/>
        <v>4.2109589041095887</v>
      </c>
      <c r="U297">
        <v>5897.96</v>
      </c>
      <c r="V297">
        <f t="shared" si="164"/>
        <v>3.7707754512906644</v>
      </c>
      <c r="W297">
        <v>1995</v>
      </c>
      <c r="X297">
        <v>0</v>
      </c>
      <c r="Y297">
        <f t="shared" si="165"/>
        <v>0</v>
      </c>
      <c r="Z297" s="45">
        <v>2.3199999999999998</v>
      </c>
      <c r="AA297" s="9">
        <f t="shared" si="155"/>
        <v>15110000</v>
      </c>
      <c r="AB297" s="15">
        <f t="shared" si="156"/>
        <v>7.5591575366451558E-2</v>
      </c>
      <c r="AC297" s="34">
        <f t="shared" si="166"/>
        <v>3.1647391927806502E-2</v>
      </c>
      <c r="AD297">
        <v>1455.046</v>
      </c>
      <c r="AE297">
        <f t="shared" si="159"/>
        <v>3.1628767233771686</v>
      </c>
      <c r="AF297">
        <v>4062.5129999999999</v>
      </c>
      <c r="AG297">
        <f t="shared" si="160"/>
        <v>3.6087947637270492</v>
      </c>
      <c r="AH297" s="9">
        <v>132</v>
      </c>
      <c r="AI297" s="9">
        <f t="shared" si="167"/>
        <v>2.1238516409670858</v>
      </c>
      <c r="AJ297">
        <v>100</v>
      </c>
      <c r="AK297" s="23" t="s">
        <v>506</v>
      </c>
      <c r="AL297" s="42">
        <v>38.538703610951003</v>
      </c>
      <c r="AM297" s="24">
        <v>1.26</v>
      </c>
      <c r="AN297" s="34">
        <f t="shared" si="168"/>
        <v>0.35410843914740087</v>
      </c>
      <c r="AO297">
        <v>1992</v>
      </c>
      <c r="AP297">
        <v>3</v>
      </c>
      <c r="AQ297">
        <v>70</v>
      </c>
      <c r="AR297">
        <v>70</v>
      </c>
      <c r="AS297">
        <f t="shared" si="157"/>
        <v>0</v>
      </c>
      <c r="AT297">
        <f t="shared" si="169"/>
        <v>0</v>
      </c>
      <c r="AU297">
        <f t="shared" si="170"/>
        <v>1</v>
      </c>
      <c r="AV297">
        <f t="shared" si="171"/>
        <v>0</v>
      </c>
      <c r="AW297">
        <f t="shared" si="172"/>
        <v>0</v>
      </c>
      <c r="AX297">
        <f t="shared" si="173"/>
        <v>0</v>
      </c>
      <c r="AY297">
        <f t="shared" si="174"/>
        <v>0</v>
      </c>
      <c r="AZ297">
        <f t="shared" si="175"/>
        <v>0</v>
      </c>
      <c r="BA297">
        <f t="shared" si="176"/>
        <v>0</v>
      </c>
      <c r="BB297">
        <f t="shared" si="177"/>
        <v>0</v>
      </c>
      <c r="BC297">
        <f t="shared" si="178"/>
        <v>0</v>
      </c>
      <c r="BD297">
        <f t="shared" si="179"/>
        <v>0</v>
      </c>
      <c r="BE297">
        <f t="shared" si="180"/>
        <v>0</v>
      </c>
      <c r="BF297">
        <f t="shared" si="181"/>
        <v>0</v>
      </c>
      <c r="BG297">
        <f t="shared" si="182"/>
        <v>0</v>
      </c>
      <c r="BH297">
        <f t="shared" si="183"/>
        <v>0</v>
      </c>
      <c r="BI297">
        <f t="shared" si="184"/>
        <v>0</v>
      </c>
    </row>
    <row r="298" spans="1:61" x14ac:dyDescent="0.35">
      <c r="A298" t="s">
        <v>196</v>
      </c>
      <c r="B298" s="1">
        <v>40349</v>
      </c>
      <c r="C298" t="s">
        <v>690</v>
      </c>
      <c r="D298" t="s">
        <v>59</v>
      </c>
      <c r="E298" t="s">
        <v>691</v>
      </c>
      <c r="F298" t="s">
        <v>602</v>
      </c>
      <c r="G298" t="s">
        <v>64</v>
      </c>
      <c r="H298" s="139">
        <f t="shared" si="158"/>
        <v>1</v>
      </c>
      <c r="I298" t="s">
        <v>234</v>
      </c>
      <c r="J298" t="s">
        <v>248</v>
      </c>
      <c r="K298" s="2">
        <f t="shared" si="161"/>
        <v>5</v>
      </c>
      <c r="L298">
        <v>300000000</v>
      </c>
      <c r="M298" s="2">
        <f t="shared" si="162"/>
        <v>8.4771212547196626</v>
      </c>
      <c r="N298">
        <f t="shared" si="186"/>
        <v>300000000</v>
      </c>
      <c r="O298">
        <v>0</v>
      </c>
      <c r="P298" s="1">
        <v>41318</v>
      </c>
      <c r="Q298" s="89">
        <f t="shared" si="163"/>
        <v>2013</v>
      </c>
      <c r="R298" t="s">
        <v>338</v>
      </c>
      <c r="S298">
        <v>0</v>
      </c>
      <c r="T298" s="21">
        <f t="shared" si="154"/>
        <v>2.6547945205479451</v>
      </c>
      <c r="U298">
        <v>5897.96</v>
      </c>
      <c r="V298">
        <f t="shared" si="164"/>
        <v>3.7707754512906644</v>
      </c>
      <c r="W298">
        <v>1985</v>
      </c>
      <c r="X298">
        <v>25</v>
      </c>
      <c r="Y298">
        <f t="shared" si="165"/>
        <v>1.414973347970818</v>
      </c>
      <c r="Z298" s="45">
        <v>2.3199999999999998</v>
      </c>
      <c r="AA298" s="9">
        <f t="shared" si="155"/>
        <v>-300000000</v>
      </c>
      <c r="AB298" s="15">
        <f t="shared" si="156"/>
        <v>-1</v>
      </c>
      <c r="AC298" s="34">
        <f t="shared" si="166"/>
        <v>-1</v>
      </c>
      <c r="AD298">
        <v>1455.046</v>
      </c>
      <c r="AE298">
        <f t="shared" si="159"/>
        <v>3.1628767233771686</v>
      </c>
      <c r="AF298">
        <v>4062.5129999999999</v>
      </c>
      <c r="AG298">
        <f t="shared" si="160"/>
        <v>3.6087947637270492</v>
      </c>
      <c r="AH298" s="9">
        <v>132</v>
      </c>
      <c r="AI298" s="9">
        <f t="shared" si="167"/>
        <v>2.1238516409670858</v>
      </c>
      <c r="AJ298">
        <v>94.9</v>
      </c>
      <c r="AK298" s="23" t="s">
        <v>89</v>
      </c>
      <c r="AL298" s="42">
        <v>47.560703662314701</v>
      </c>
      <c r="AM298" s="24">
        <v>0.36</v>
      </c>
      <c r="AN298" s="34">
        <f t="shared" si="168"/>
        <v>0.13353890837021748</v>
      </c>
      <c r="AO298">
        <v>1992</v>
      </c>
      <c r="AP298">
        <v>18</v>
      </c>
      <c r="AQ298">
        <v>70</v>
      </c>
      <c r="AR298">
        <v>70</v>
      </c>
      <c r="AS298">
        <f t="shared" si="157"/>
        <v>1</v>
      </c>
      <c r="AT298">
        <f t="shared" si="169"/>
        <v>0</v>
      </c>
      <c r="AU298">
        <f t="shared" si="170"/>
        <v>1</v>
      </c>
      <c r="AV298">
        <f t="shared" si="171"/>
        <v>0</v>
      </c>
      <c r="AW298">
        <f t="shared" si="172"/>
        <v>0</v>
      </c>
      <c r="AX298">
        <f t="shared" si="173"/>
        <v>0</v>
      </c>
      <c r="AY298">
        <f t="shared" si="174"/>
        <v>0</v>
      </c>
      <c r="AZ298">
        <f t="shared" si="175"/>
        <v>0</v>
      </c>
      <c r="BA298">
        <f t="shared" si="176"/>
        <v>0</v>
      </c>
      <c r="BB298">
        <f t="shared" si="177"/>
        <v>0</v>
      </c>
      <c r="BC298">
        <f t="shared" si="178"/>
        <v>0</v>
      </c>
      <c r="BD298">
        <f t="shared" si="179"/>
        <v>0</v>
      </c>
      <c r="BE298">
        <f t="shared" si="180"/>
        <v>0</v>
      </c>
      <c r="BF298">
        <f t="shared" si="181"/>
        <v>0</v>
      </c>
      <c r="BG298">
        <f t="shared" si="182"/>
        <v>0</v>
      </c>
      <c r="BH298">
        <f t="shared" si="183"/>
        <v>0</v>
      </c>
      <c r="BI298">
        <f t="shared" si="184"/>
        <v>0</v>
      </c>
    </row>
    <row r="299" spans="1:61" x14ac:dyDescent="0.35">
      <c r="A299" t="s">
        <v>352</v>
      </c>
      <c r="B299" s="1">
        <v>38120</v>
      </c>
      <c r="C299" s="8" t="s">
        <v>692</v>
      </c>
      <c r="D299" t="s">
        <v>59</v>
      </c>
      <c r="E299" t="s">
        <v>693</v>
      </c>
      <c r="F299" t="s">
        <v>602</v>
      </c>
      <c r="G299" t="s">
        <v>64</v>
      </c>
      <c r="H299" s="139">
        <f t="shared" si="158"/>
        <v>1</v>
      </c>
      <c r="I299" t="s">
        <v>234</v>
      </c>
      <c r="J299" t="s">
        <v>178</v>
      </c>
      <c r="K299" s="2">
        <f t="shared" si="161"/>
        <v>9</v>
      </c>
      <c r="L299">
        <v>3600000</v>
      </c>
      <c r="M299" s="2">
        <f t="shared" si="162"/>
        <v>6.5563025007672868</v>
      </c>
      <c r="N299">
        <f t="shared" si="186"/>
        <v>3600000</v>
      </c>
      <c r="O299">
        <v>0</v>
      </c>
      <c r="P299" s="1">
        <v>39048</v>
      </c>
      <c r="Q299" s="89">
        <f t="shared" si="163"/>
        <v>2006</v>
      </c>
      <c r="R299" t="s">
        <v>338</v>
      </c>
      <c r="S299">
        <v>0</v>
      </c>
      <c r="T299" s="21">
        <f t="shared" si="154"/>
        <v>2.5424657534246577</v>
      </c>
      <c r="U299">
        <v>5897.96</v>
      </c>
      <c r="V299">
        <f t="shared" si="164"/>
        <v>3.7707754512906644</v>
      </c>
      <c r="W299">
        <v>1999</v>
      </c>
      <c r="X299">
        <v>5</v>
      </c>
      <c r="Y299">
        <f t="shared" si="165"/>
        <v>0.77815125038364363</v>
      </c>
      <c r="Z299" s="45">
        <v>2.3199999999999998</v>
      </c>
      <c r="AA299" s="9">
        <f t="shared" si="155"/>
        <v>-3600000</v>
      </c>
      <c r="AB299" s="15">
        <f t="shared" si="156"/>
        <v>-1</v>
      </c>
      <c r="AC299" s="34">
        <f t="shared" si="166"/>
        <v>-1</v>
      </c>
      <c r="AD299">
        <v>1455.046</v>
      </c>
      <c r="AE299">
        <f t="shared" si="159"/>
        <v>3.1628767233771686</v>
      </c>
      <c r="AF299">
        <v>4062.5129999999999</v>
      </c>
      <c r="AG299">
        <f t="shared" si="160"/>
        <v>3.6087947637270492</v>
      </c>
      <c r="AH299" s="9">
        <v>132</v>
      </c>
      <c r="AI299" s="9">
        <f t="shared" si="167"/>
        <v>2.1238516409670858</v>
      </c>
      <c r="AJ299">
        <v>85</v>
      </c>
      <c r="AK299" s="23" t="s">
        <v>89</v>
      </c>
      <c r="AL299" s="42">
        <v>40.040400531970803</v>
      </c>
      <c r="AM299" s="24">
        <v>0.26</v>
      </c>
      <c r="AN299" s="34">
        <f t="shared" si="168"/>
        <v>0.10037054511756291</v>
      </c>
      <c r="AO299">
        <v>1992</v>
      </c>
      <c r="AP299">
        <v>12</v>
      </c>
      <c r="AQ299">
        <v>70</v>
      </c>
      <c r="AR299">
        <v>70</v>
      </c>
      <c r="AS299">
        <f t="shared" si="157"/>
        <v>1</v>
      </c>
      <c r="AT299">
        <f t="shared" si="169"/>
        <v>0</v>
      </c>
      <c r="AU299">
        <f t="shared" si="170"/>
        <v>1</v>
      </c>
      <c r="AV299">
        <f t="shared" si="171"/>
        <v>0</v>
      </c>
      <c r="AW299">
        <f t="shared" si="172"/>
        <v>0</v>
      </c>
      <c r="AX299">
        <f t="shared" si="173"/>
        <v>0</v>
      </c>
      <c r="AY299">
        <f t="shared" si="174"/>
        <v>0</v>
      </c>
      <c r="AZ299">
        <f t="shared" si="175"/>
        <v>0</v>
      </c>
      <c r="BA299">
        <f t="shared" si="176"/>
        <v>0</v>
      </c>
      <c r="BB299">
        <f t="shared" si="177"/>
        <v>0</v>
      </c>
      <c r="BC299">
        <f t="shared" si="178"/>
        <v>0</v>
      </c>
      <c r="BD299">
        <f t="shared" si="179"/>
        <v>0</v>
      </c>
      <c r="BE299">
        <f t="shared" si="180"/>
        <v>0</v>
      </c>
      <c r="BF299">
        <f t="shared" si="181"/>
        <v>0</v>
      </c>
      <c r="BG299">
        <f t="shared" si="182"/>
        <v>0</v>
      </c>
      <c r="BH299">
        <f t="shared" si="183"/>
        <v>0</v>
      </c>
      <c r="BI299">
        <f t="shared" si="184"/>
        <v>0</v>
      </c>
    </row>
    <row r="300" spans="1:61" x14ac:dyDescent="0.35">
      <c r="A300" t="s">
        <v>196</v>
      </c>
      <c r="B300" s="1">
        <v>38517</v>
      </c>
      <c r="C300" t="s">
        <v>694</v>
      </c>
      <c r="D300" t="s">
        <v>7</v>
      </c>
      <c r="E300" t="s">
        <v>695</v>
      </c>
      <c r="F300" t="s">
        <v>602</v>
      </c>
      <c r="G300" t="s">
        <v>64</v>
      </c>
      <c r="H300" s="139">
        <f t="shared" si="158"/>
        <v>1</v>
      </c>
      <c r="I300" t="s">
        <v>234</v>
      </c>
      <c r="J300" t="s">
        <v>178</v>
      </c>
      <c r="K300" s="2">
        <f t="shared" si="161"/>
        <v>9</v>
      </c>
      <c r="L300">
        <v>600000000</v>
      </c>
      <c r="M300" s="2">
        <f t="shared" si="162"/>
        <v>8.7781512503836439</v>
      </c>
      <c r="N300">
        <f t="shared" si="186"/>
        <v>600000000</v>
      </c>
      <c r="O300">
        <v>0</v>
      </c>
      <c r="P300" s="1">
        <v>41456</v>
      </c>
      <c r="Q300" s="89">
        <f t="shared" si="163"/>
        <v>2013</v>
      </c>
      <c r="R300" t="s">
        <v>107</v>
      </c>
      <c r="S300">
        <v>550000000</v>
      </c>
      <c r="T300" s="21">
        <f t="shared" si="154"/>
        <v>8.0520547945205472</v>
      </c>
      <c r="U300">
        <v>6385.66</v>
      </c>
      <c r="V300">
        <f t="shared" si="164"/>
        <v>3.8052737966880943</v>
      </c>
      <c r="W300">
        <v>1996</v>
      </c>
      <c r="X300">
        <v>9</v>
      </c>
      <c r="Y300">
        <f t="shared" si="165"/>
        <v>1</v>
      </c>
      <c r="Z300" s="45">
        <v>2.99</v>
      </c>
      <c r="AA300" s="9">
        <f t="shared" si="155"/>
        <v>-50000000</v>
      </c>
      <c r="AB300" s="15">
        <f t="shared" si="156"/>
        <v>-8.333333333333337E-2</v>
      </c>
      <c r="AC300" s="34">
        <f t="shared" si="166"/>
        <v>-3.7788560889399803E-2</v>
      </c>
      <c r="AD300">
        <v>1421.558</v>
      </c>
      <c r="AE300">
        <f t="shared" si="159"/>
        <v>3.1527645837352773</v>
      </c>
      <c r="AF300">
        <v>3476.3409999999999</v>
      </c>
      <c r="AG300">
        <f t="shared" si="160"/>
        <v>3.5411223705253856</v>
      </c>
      <c r="AH300" s="9">
        <v>693.16666666666697</v>
      </c>
      <c r="AI300" s="9">
        <f t="shared" si="167"/>
        <v>2.8414637553591628</v>
      </c>
      <c r="AJ300">
        <v>85</v>
      </c>
      <c r="AK300" s="23" t="s">
        <v>696</v>
      </c>
      <c r="AL300" s="42">
        <v>43.5787105608064</v>
      </c>
      <c r="AM300" s="24">
        <v>0.34</v>
      </c>
      <c r="AN300" s="34">
        <f t="shared" si="168"/>
        <v>0.12710479836480765</v>
      </c>
      <c r="AO300">
        <v>1966</v>
      </c>
      <c r="AP300">
        <v>39</v>
      </c>
      <c r="AQ300">
        <v>90</v>
      </c>
      <c r="AR300">
        <v>70</v>
      </c>
      <c r="AS300">
        <f t="shared" si="157"/>
        <v>0</v>
      </c>
      <c r="AT300">
        <f t="shared" si="169"/>
        <v>0</v>
      </c>
      <c r="AU300">
        <f t="shared" si="170"/>
        <v>0</v>
      </c>
      <c r="AV300">
        <f t="shared" si="171"/>
        <v>0</v>
      </c>
      <c r="AW300">
        <f t="shared" si="172"/>
        <v>0</v>
      </c>
      <c r="AX300">
        <f t="shared" si="173"/>
        <v>0</v>
      </c>
      <c r="AY300">
        <f t="shared" si="174"/>
        <v>0</v>
      </c>
      <c r="AZ300">
        <f t="shared" si="175"/>
        <v>0</v>
      </c>
      <c r="BA300">
        <f t="shared" si="176"/>
        <v>0</v>
      </c>
      <c r="BB300">
        <f t="shared" si="177"/>
        <v>0</v>
      </c>
      <c r="BC300">
        <f t="shared" si="178"/>
        <v>0</v>
      </c>
      <c r="BD300">
        <f t="shared" si="179"/>
        <v>0</v>
      </c>
      <c r="BE300">
        <f t="shared" si="180"/>
        <v>1</v>
      </c>
      <c r="BF300">
        <f t="shared" si="181"/>
        <v>0</v>
      </c>
      <c r="BG300">
        <f t="shared" si="182"/>
        <v>0</v>
      </c>
      <c r="BH300">
        <f t="shared" si="183"/>
        <v>0</v>
      </c>
      <c r="BI300">
        <f t="shared" si="184"/>
        <v>0</v>
      </c>
    </row>
    <row r="301" spans="1:61" x14ac:dyDescent="0.35">
      <c r="A301" t="s">
        <v>352</v>
      </c>
      <c r="B301" s="1">
        <v>40021</v>
      </c>
      <c r="C301" t="s">
        <v>697</v>
      </c>
      <c r="D301" t="s">
        <v>2</v>
      </c>
      <c r="E301" t="s">
        <v>698</v>
      </c>
      <c r="F301" t="s">
        <v>602</v>
      </c>
      <c r="G301" t="s">
        <v>64</v>
      </c>
      <c r="H301" s="139">
        <f t="shared" si="158"/>
        <v>1</v>
      </c>
      <c r="I301" t="s">
        <v>234</v>
      </c>
      <c r="J301" t="s">
        <v>178</v>
      </c>
      <c r="K301" s="2">
        <f t="shared" si="161"/>
        <v>9</v>
      </c>
      <c r="L301">
        <v>38610000</v>
      </c>
      <c r="M301" s="2">
        <f t="shared" si="162"/>
        <v>7.5866998016240492</v>
      </c>
      <c r="N301">
        <f t="shared" si="186"/>
        <v>38610000</v>
      </c>
      <c r="O301">
        <v>0</v>
      </c>
      <c r="P301" s="1">
        <v>42735</v>
      </c>
      <c r="Q301" s="89">
        <f t="shared" si="163"/>
        <v>2016</v>
      </c>
      <c r="R301" t="s">
        <v>107</v>
      </c>
      <c r="S301">
        <v>54250000</v>
      </c>
      <c r="T301" s="21">
        <f t="shared" si="154"/>
        <v>7.4356164383561643</v>
      </c>
      <c r="U301">
        <v>6815.73</v>
      </c>
      <c r="V301">
        <f t="shared" si="164"/>
        <v>3.8335760926148099</v>
      </c>
      <c r="W301">
        <v>1959</v>
      </c>
      <c r="X301">
        <v>50</v>
      </c>
      <c r="Y301">
        <f t="shared" si="165"/>
        <v>1.7075701760979363</v>
      </c>
      <c r="Z301" s="45">
        <v>2.85</v>
      </c>
      <c r="AA301" s="9">
        <f t="shared" si="155"/>
        <v>15640000</v>
      </c>
      <c r="AB301" s="15">
        <f t="shared" si="156"/>
        <v>0.40507640507640508</v>
      </c>
      <c r="AC301" s="34">
        <f t="shared" si="166"/>
        <v>0.147699940896518</v>
      </c>
      <c r="AD301">
        <v>1421.558</v>
      </c>
      <c r="AE301">
        <f t="shared" si="159"/>
        <v>3.1527645837352773</v>
      </c>
      <c r="AF301">
        <v>3476.3409999999999</v>
      </c>
      <c r="AG301">
        <f t="shared" si="160"/>
        <v>3.5411223705253856</v>
      </c>
      <c r="AH301" s="9">
        <v>819</v>
      </c>
      <c r="AI301" s="9">
        <f t="shared" si="167"/>
        <v>2.9138138523837167</v>
      </c>
      <c r="AJ301">
        <v>90.3</v>
      </c>
      <c r="AK301" s="23" t="s">
        <v>521</v>
      </c>
      <c r="AL301" s="42">
        <v>47.576210837790804</v>
      </c>
      <c r="AM301" s="24">
        <v>1.28</v>
      </c>
      <c r="AN301" s="34">
        <f t="shared" si="168"/>
        <v>0.35793484700045386</v>
      </c>
      <c r="AO301">
        <v>1966</v>
      </c>
      <c r="AP301">
        <v>43</v>
      </c>
      <c r="AQ301">
        <v>70</v>
      </c>
      <c r="AR301">
        <v>70</v>
      </c>
      <c r="AS301">
        <f t="shared" si="157"/>
        <v>0</v>
      </c>
      <c r="AT301">
        <f t="shared" si="169"/>
        <v>0</v>
      </c>
      <c r="AU301">
        <f t="shared" si="170"/>
        <v>0</v>
      </c>
      <c r="AV301">
        <f t="shared" si="171"/>
        <v>0</v>
      </c>
      <c r="AW301">
        <f t="shared" si="172"/>
        <v>0</v>
      </c>
      <c r="AX301">
        <f t="shared" si="173"/>
        <v>0</v>
      </c>
      <c r="AY301">
        <f t="shared" si="174"/>
        <v>0</v>
      </c>
      <c r="AZ301">
        <f t="shared" si="175"/>
        <v>0</v>
      </c>
      <c r="BA301">
        <f t="shared" si="176"/>
        <v>0</v>
      </c>
      <c r="BB301">
        <f t="shared" si="177"/>
        <v>1</v>
      </c>
      <c r="BC301">
        <f t="shared" si="178"/>
        <v>0</v>
      </c>
      <c r="BD301">
        <f t="shared" si="179"/>
        <v>0</v>
      </c>
      <c r="BE301">
        <f t="shared" si="180"/>
        <v>0</v>
      </c>
      <c r="BF301">
        <f t="shared" si="181"/>
        <v>0</v>
      </c>
      <c r="BG301">
        <f t="shared" si="182"/>
        <v>0</v>
      </c>
      <c r="BH301">
        <f t="shared" si="183"/>
        <v>0</v>
      </c>
      <c r="BI301">
        <f t="shared" si="184"/>
        <v>0</v>
      </c>
    </row>
    <row r="302" spans="1:61" x14ac:dyDescent="0.35">
      <c r="A302" t="s">
        <v>196</v>
      </c>
      <c r="B302" s="1">
        <v>40207</v>
      </c>
      <c r="C302" s="8" t="s">
        <v>699</v>
      </c>
      <c r="D302" t="s">
        <v>59</v>
      </c>
      <c r="E302" t="s">
        <v>698</v>
      </c>
      <c r="F302" t="s">
        <v>602</v>
      </c>
      <c r="G302" t="s">
        <v>64</v>
      </c>
      <c r="H302" s="139">
        <f t="shared" si="158"/>
        <v>1</v>
      </c>
      <c r="I302" t="s">
        <v>234</v>
      </c>
      <c r="J302" t="s">
        <v>235</v>
      </c>
      <c r="K302" s="2">
        <f t="shared" si="161"/>
        <v>1</v>
      </c>
      <c r="L302">
        <v>280000000</v>
      </c>
      <c r="M302" s="2">
        <f t="shared" si="162"/>
        <v>8.4471580313422194</v>
      </c>
      <c r="N302">
        <f t="shared" si="186"/>
        <v>280000000</v>
      </c>
      <c r="O302">
        <v>0</v>
      </c>
      <c r="P302" s="1">
        <v>42075</v>
      </c>
      <c r="Q302" s="89">
        <f t="shared" si="163"/>
        <v>2015</v>
      </c>
      <c r="R302" t="s">
        <v>152</v>
      </c>
      <c r="S302">
        <v>680000000</v>
      </c>
      <c r="T302" s="21">
        <f t="shared" si="154"/>
        <v>5.117808219178082</v>
      </c>
      <c r="U302">
        <v>5897.96</v>
      </c>
      <c r="V302">
        <f t="shared" si="164"/>
        <v>3.7707754512906644</v>
      </c>
      <c r="W302">
        <v>1920</v>
      </c>
      <c r="X302">
        <v>90</v>
      </c>
      <c r="Y302">
        <f t="shared" si="165"/>
        <v>1.9590413923210936</v>
      </c>
      <c r="Z302" s="45">
        <v>2.3199999999999998</v>
      </c>
      <c r="AA302" s="9">
        <f t="shared" si="155"/>
        <v>400000000</v>
      </c>
      <c r="AB302" s="15">
        <f t="shared" si="156"/>
        <v>1.4285714285714284</v>
      </c>
      <c r="AC302" s="34">
        <f t="shared" si="166"/>
        <v>0.38535088136401707</v>
      </c>
      <c r="AD302">
        <v>1421.558</v>
      </c>
      <c r="AE302">
        <f t="shared" si="159"/>
        <v>3.1527645837352773</v>
      </c>
      <c r="AF302">
        <v>3476.3409999999999</v>
      </c>
      <c r="AG302">
        <f t="shared" si="160"/>
        <v>3.5411223705253856</v>
      </c>
      <c r="AH302" s="9">
        <v>132</v>
      </c>
      <c r="AI302" s="9">
        <f t="shared" si="167"/>
        <v>2.1238516409670858</v>
      </c>
      <c r="AJ302">
        <v>94.9</v>
      </c>
      <c r="AK302" s="23" t="s">
        <v>89</v>
      </c>
      <c r="AL302" s="42">
        <v>47.560703662314701</v>
      </c>
      <c r="AM302" s="24">
        <v>0.92</v>
      </c>
      <c r="AN302" s="34">
        <f t="shared" si="168"/>
        <v>0.28330122870354957</v>
      </c>
      <c r="AO302">
        <v>1966</v>
      </c>
      <c r="AP302">
        <v>44</v>
      </c>
      <c r="AQ302">
        <v>70</v>
      </c>
      <c r="AR302">
        <v>70</v>
      </c>
      <c r="AS302">
        <f t="shared" si="157"/>
        <v>0</v>
      </c>
      <c r="AT302">
        <f t="shared" si="169"/>
        <v>0</v>
      </c>
      <c r="AU302">
        <f t="shared" si="170"/>
        <v>1</v>
      </c>
      <c r="AV302">
        <f t="shared" si="171"/>
        <v>0</v>
      </c>
      <c r="AW302">
        <f t="shared" si="172"/>
        <v>0</v>
      </c>
      <c r="AX302">
        <f t="shared" si="173"/>
        <v>0</v>
      </c>
      <c r="AY302">
        <f t="shared" si="174"/>
        <v>0</v>
      </c>
      <c r="AZ302">
        <f t="shared" si="175"/>
        <v>0</v>
      </c>
      <c r="BA302">
        <f t="shared" si="176"/>
        <v>0</v>
      </c>
      <c r="BB302">
        <f t="shared" si="177"/>
        <v>0</v>
      </c>
      <c r="BC302">
        <f t="shared" si="178"/>
        <v>0</v>
      </c>
      <c r="BD302">
        <f t="shared" si="179"/>
        <v>0</v>
      </c>
      <c r="BE302">
        <f t="shared" si="180"/>
        <v>0</v>
      </c>
      <c r="BF302">
        <f t="shared" si="181"/>
        <v>0</v>
      </c>
      <c r="BG302">
        <f t="shared" si="182"/>
        <v>0</v>
      </c>
      <c r="BH302">
        <f t="shared" si="183"/>
        <v>0</v>
      </c>
      <c r="BI302">
        <f t="shared" si="184"/>
        <v>0</v>
      </c>
    </row>
    <row r="303" spans="1:61" x14ac:dyDescent="0.35">
      <c r="A303" t="s">
        <v>196</v>
      </c>
      <c r="B303" s="1">
        <v>39617</v>
      </c>
      <c r="C303" t="s">
        <v>537</v>
      </c>
      <c r="D303" t="s">
        <v>59</v>
      </c>
      <c r="E303" t="s">
        <v>698</v>
      </c>
      <c r="F303" t="s">
        <v>602</v>
      </c>
      <c r="G303" t="s">
        <v>64</v>
      </c>
      <c r="H303" s="139">
        <f t="shared" si="158"/>
        <v>1</v>
      </c>
      <c r="I303" t="s">
        <v>234</v>
      </c>
      <c r="J303" t="s">
        <v>248</v>
      </c>
      <c r="K303" s="2">
        <f t="shared" si="161"/>
        <v>5</v>
      </c>
      <c r="L303">
        <v>565000000</v>
      </c>
      <c r="M303" s="2">
        <f t="shared" si="162"/>
        <v>8.7520484478194387</v>
      </c>
      <c r="N303">
        <f t="shared" si="186"/>
        <v>565000000</v>
      </c>
      <c r="O303">
        <v>0</v>
      </c>
      <c r="P303" s="1">
        <v>42873</v>
      </c>
      <c r="Q303" s="89">
        <f t="shared" si="163"/>
        <v>2017</v>
      </c>
      <c r="R303" t="s">
        <v>152</v>
      </c>
      <c r="S303">
        <v>780000000</v>
      </c>
      <c r="T303" s="21">
        <f t="shared" si="154"/>
        <v>8.9205479452054792</v>
      </c>
      <c r="U303">
        <v>5897.96</v>
      </c>
      <c r="V303">
        <f t="shared" si="164"/>
        <v>3.7707754512906644</v>
      </c>
      <c r="W303">
        <v>1998</v>
      </c>
      <c r="X303">
        <v>10</v>
      </c>
      <c r="Y303">
        <f t="shared" si="165"/>
        <v>1.0413926851582251</v>
      </c>
      <c r="Z303" s="45">
        <v>2.3199999999999998</v>
      </c>
      <c r="AA303" s="9">
        <f t="shared" si="155"/>
        <v>215000000</v>
      </c>
      <c r="AB303" s="15">
        <f t="shared" si="156"/>
        <v>0.38053097345132736</v>
      </c>
      <c r="AC303" s="34">
        <f t="shared" si="166"/>
        <v>0.14004615487104186</v>
      </c>
      <c r="AD303">
        <v>1421.558</v>
      </c>
      <c r="AE303">
        <f t="shared" si="159"/>
        <v>3.1527645837352773</v>
      </c>
      <c r="AF303">
        <v>3476.3409999999999</v>
      </c>
      <c r="AG303">
        <f t="shared" si="160"/>
        <v>3.5411223705253856</v>
      </c>
      <c r="AH303" s="9">
        <v>132</v>
      </c>
      <c r="AI303" s="9">
        <f t="shared" si="167"/>
        <v>2.1238516409670858</v>
      </c>
      <c r="AJ303">
        <v>90.8</v>
      </c>
      <c r="AK303" s="23" t="s">
        <v>89</v>
      </c>
      <c r="AL303" s="42">
        <v>44.4007960521485</v>
      </c>
      <c r="AM303" s="24">
        <v>0.77</v>
      </c>
      <c r="AN303" s="34">
        <f t="shared" si="168"/>
        <v>0.24797326636180664</v>
      </c>
      <c r="AO303">
        <v>1966</v>
      </c>
      <c r="AP303">
        <v>42</v>
      </c>
      <c r="AQ303">
        <v>70</v>
      </c>
      <c r="AR303">
        <v>70</v>
      </c>
      <c r="AS303">
        <f t="shared" si="157"/>
        <v>0</v>
      </c>
      <c r="AT303">
        <f t="shared" si="169"/>
        <v>0</v>
      </c>
      <c r="AU303">
        <f t="shared" si="170"/>
        <v>1</v>
      </c>
      <c r="AV303">
        <f t="shared" si="171"/>
        <v>0</v>
      </c>
      <c r="AW303">
        <f t="shared" si="172"/>
        <v>0</v>
      </c>
      <c r="AX303">
        <f t="shared" si="173"/>
        <v>0</v>
      </c>
      <c r="AY303">
        <f t="shared" si="174"/>
        <v>0</v>
      </c>
      <c r="AZ303">
        <f t="shared" si="175"/>
        <v>0</v>
      </c>
      <c r="BA303">
        <f t="shared" si="176"/>
        <v>0</v>
      </c>
      <c r="BB303">
        <f t="shared" si="177"/>
        <v>0</v>
      </c>
      <c r="BC303">
        <f t="shared" si="178"/>
        <v>0</v>
      </c>
      <c r="BD303">
        <f t="shared" si="179"/>
        <v>0</v>
      </c>
      <c r="BE303">
        <f t="shared" si="180"/>
        <v>0</v>
      </c>
      <c r="BF303">
        <f t="shared" si="181"/>
        <v>0</v>
      </c>
      <c r="BG303">
        <f t="shared" si="182"/>
        <v>0</v>
      </c>
      <c r="BH303">
        <f t="shared" si="183"/>
        <v>0</v>
      </c>
      <c r="BI303">
        <f t="shared" si="184"/>
        <v>0</v>
      </c>
    </row>
    <row r="304" spans="1:61" x14ac:dyDescent="0.35">
      <c r="A304" t="s">
        <v>352</v>
      </c>
      <c r="B304" s="1">
        <v>38392</v>
      </c>
      <c r="C304" s="8" t="s">
        <v>700</v>
      </c>
      <c r="D304" t="s">
        <v>59</v>
      </c>
      <c r="E304" t="s">
        <v>695</v>
      </c>
      <c r="F304" t="s">
        <v>602</v>
      </c>
      <c r="G304" t="s">
        <v>64</v>
      </c>
      <c r="H304" s="139">
        <f t="shared" si="158"/>
        <v>1</v>
      </c>
      <c r="I304" t="s">
        <v>234</v>
      </c>
      <c r="J304" t="s">
        <v>190</v>
      </c>
      <c r="K304" s="2">
        <f t="shared" si="161"/>
        <v>2</v>
      </c>
      <c r="L304">
        <v>65000000</v>
      </c>
      <c r="M304" s="2">
        <f t="shared" si="162"/>
        <v>7.8129133566428557</v>
      </c>
      <c r="N304">
        <f t="shared" si="186"/>
        <v>65000000</v>
      </c>
      <c r="O304">
        <v>0</v>
      </c>
      <c r="P304" s="1">
        <v>40240</v>
      </c>
      <c r="Q304" s="89">
        <f t="shared" si="163"/>
        <v>2010</v>
      </c>
      <c r="R304" t="s">
        <v>701</v>
      </c>
      <c r="S304">
        <v>90700000</v>
      </c>
      <c r="T304" s="21">
        <f t="shared" si="154"/>
        <v>5.0630136986301366</v>
      </c>
      <c r="U304">
        <v>5897.96</v>
      </c>
      <c r="V304">
        <f t="shared" si="164"/>
        <v>3.7707754512906644</v>
      </c>
      <c r="W304">
        <v>2004</v>
      </c>
      <c r="X304">
        <v>1</v>
      </c>
      <c r="Y304">
        <f t="shared" si="165"/>
        <v>0.3010299956639812</v>
      </c>
      <c r="Z304" s="45">
        <v>2.3199999999999998</v>
      </c>
      <c r="AA304" s="9">
        <f t="shared" si="155"/>
        <v>25700000</v>
      </c>
      <c r="AB304" s="15">
        <f t="shared" si="156"/>
        <v>0.39538461538461545</v>
      </c>
      <c r="AC304" s="34">
        <f t="shared" si="166"/>
        <v>0.14469393041723971</v>
      </c>
      <c r="AD304">
        <v>1421.558</v>
      </c>
      <c r="AE304">
        <f t="shared" si="159"/>
        <v>3.1527645837352773</v>
      </c>
      <c r="AF304">
        <v>3476.3409999999999</v>
      </c>
      <c r="AG304">
        <f t="shared" si="160"/>
        <v>3.5411223705253856</v>
      </c>
      <c r="AH304" s="9">
        <v>132</v>
      </c>
      <c r="AI304" s="9">
        <f t="shared" si="167"/>
        <v>2.1238516409670858</v>
      </c>
      <c r="AJ304">
        <v>85</v>
      </c>
      <c r="AK304" s="23" t="s">
        <v>171</v>
      </c>
      <c r="AL304" s="42">
        <v>41.286751495766303</v>
      </c>
      <c r="AM304" s="24">
        <v>-0.06</v>
      </c>
      <c r="AN304" s="34">
        <f t="shared" si="168"/>
        <v>-2.6872146400301365E-2</v>
      </c>
      <c r="AO304">
        <v>1966</v>
      </c>
      <c r="AP304">
        <v>39</v>
      </c>
      <c r="AQ304">
        <v>70</v>
      </c>
      <c r="AR304">
        <v>70</v>
      </c>
      <c r="AS304">
        <f t="shared" si="157"/>
        <v>0</v>
      </c>
      <c r="AT304">
        <f t="shared" si="169"/>
        <v>0</v>
      </c>
      <c r="AU304">
        <f t="shared" si="170"/>
        <v>1</v>
      </c>
      <c r="AV304">
        <f t="shared" si="171"/>
        <v>0</v>
      </c>
      <c r="AW304">
        <f t="shared" si="172"/>
        <v>0</v>
      </c>
      <c r="AX304">
        <f t="shared" si="173"/>
        <v>0</v>
      </c>
      <c r="AY304">
        <f t="shared" si="174"/>
        <v>0</v>
      </c>
      <c r="AZ304">
        <f t="shared" si="175"/>
        <v>0</v>
      </c>
      <c r="BA304">
        <f t="shared" si="176"/>
        <v>0</v>
      </c>
      <c r="BB304">
        <f t="shared" si="177"/>
        <v>0</v>
      </c>
      <c r="BC304">
        <f t="shared" si="178"/>
        <v>0</v>
      </c>
      <c r="BD304">
        <f t="shared" si="179"/>
        <v>0</v>
      </c>
      <c r="BE304">
        <f t="shared" si="180"/>
        <v>0</v>
      </c>
      <c r="BF304">
        <f t="shared" si="181"/>
        <v>0</v>
      </c>
      <c r="BG304">
        <f t="shared" si="182"/>
        <v>0</v>
      </c>
      <c r="BH304">
        <f t="shared" si="183"/>
        <v>0</v>
      </c>
      <c r="BI304">
        <f t="shared" si="184"/>
        <v>0</v>
      </c>
    </row>
    <row r="305" spans="1:61" x14ac:dyDescent="0.35">
      <c r="A305" t="s">
        <v>196</v>
      </c>
      <c r="B305" s="1">
        <v>36279</v>
      </c>
      <c r="C305" t="s">
        <v>702</v>
      </c>
      <c r="D305" t="s">
        <v>59</v>
      </c>
      <c r="E305" t="s">
        <v>703</v>
      </c>
      <c r="F305" t="s">
        <v>602</v>
      </c>
      <c r="G305" t="s">
        <v>64</v>
      </c>
      <c r="H305" s="139">
        <f t="shared" si="158"/>
        <v>1</v>
      </c>
      <c r="I305" t="s">
        <v>611</v>
      </c>
      <c r="J305" t="s">
        <v>248</v>
      </c>
      <c r="K305" s="2">
        <f t="shared" si="161"/>
        <v>5</v>
      </c>
      <c r="L305">
        <v>180360000</v>
      </c>
      <c r="M305" s="2">
        <f t="shared" si="162"/>
        <v>8.2561402266345336</v>
      </c>
      <c r="N305">
        <v>168360000</v>
      </c>
      <c r="O305">
        <v>12000000</v>
      </c>
      <c r="P305" s="1">
        <v>38006</v>
      </c>
      <c r="Q305" s="89">
        <f t="shared" si="163"/>
        <v>2004</v>
      </c>
      <c r="R305" t="s">
        <v>152</v>
      </c>
      <c r="S305">
        <v>180360000</v>
      </c>
      <c r="T305" s="21">
        <f t="shared" si="154"/>
        <v>4.7315068493150685</v>
      </c>
      <c r="U305">
        <v>5897.96</v>
      </c>
      <c r="V305">
        <f t="shared" si="164"/>
        <v>3.7707754512906644</v>
      </c>
      <c r="W305">
        <v>1969</v>
      </c>
      <c r="X305">
        <v>30</v>
      </c>
      <c r="Y305">
        <f t="shared" si="165"/>
        <v>1.4913616938342726</v>
      </c>
      <c r="Z305" s="45">
        <v>2.3199999999999998</v>
      </c>
      <c r="AA305" s="9">
        <f t="shared" si="155"/>
        <v>12000000</v>
      </c>
      <c r="AB305" s="15">
        <f t="shared" si="156"/>
        <v>0</v>
      </c>
      <c r="AC305" s="34">
        <f t="shared" si="166"/>
        <v>0</v>
      </c>
      <c r="AD305">
        <v>1421.558</v>
      </c>
      <c r="AE305">
        <f t="shared" si="159"/>
        <v>3.1527645837352773</v>
      </c>
      <c r="AF305">
        <v>3476.3409999999999</v>
      </c>
      <c r="AG305">
        <f t="shared" si="160"/>
        <v>3.5411223705253856</v>
      </c>
      <c r="AH305" s="9">
        <v>132</v>
      </c>
      <c r="AI305" s="9">
        <f t="shared" si="167"/>
        <v>2.1238516409670858</v>
      </c>
      <c r="AJ305">
        <v>85</v>
      </c>
      <c r="AK305" s="23" t="s">
        <v>70</v>
      </c>
      <c r="AL305" s="42">
        <v>35.326012114535303</v>
      </c>
      <c r="AM305" s="24">
        <v>-0.15</v>
      </c>
      <c r="AN305" s="34">
        <f t="shared" si="168"/>
        <v>-7.0581074285707285E-2</v>
      </c>
      <c r="AO305">
        <v>1966</v>
      </c>
      <c r="AP305">
        <v>33</v>
      </c>
      <c r="AQ305">
        <v>70</v>
      </c>
      <c r="AR305">
        <v>70</v>
      </c>
      <c r="AS305">
        <f t="shared" si="157"/>
        <v>0</v>
      </c>
      <c r="AT305">
        <f t="shared" si="169"/>
        <v>0</v>
      </c>
      <c r="AU305">
        <f t="shared" si="170"/>
        <v>1</v>
      </c>
      <c r="AV305">
        <f t="shared" si="171"/>
        <v>0</v>
      </c>
      <c r="AW305">
        <f t="shared" si="172"/>
        <v>0</v>
      </c>
      <c r="AX305">
        <f t="shared" si="173"/>
        <v>0</v>
      </c>
      <c r="AY305">
        <f t="shared" si="174"/>
        <v>0</v>
      </c>
      <c r="AZ305">
        <f t="shared" si="175"/>
        <v>0</v>
      </c>
      <c r="BA305">
        <f t="shared" si="176"/>
        <v>0</v>
      </c>
      <c r="BB305">
        <f t="shared" si="177"/>
        <v>0</v>
      </c>
      <c r="BC305">
        <f t="shared" si="178"/>
        <v>0</v>
      </c>
      <c r="BD305">
        <f t="shared" si="179"/>
        <v>0</v>
      </c>
      <c r="BE305">
        <f t="shared" si="180"/>
        <v>0</v>
      </c>
      <c r="BF305">
        <f t="shared" si="181"/>
        <v>0</v>
      </c>
      <c r="BG305">
        <f t="shared" si="182"/>
        <v>0</v>
      </c>
      <c r="BH305">
        <f t="shared" si="183"/>
        <v>0</v>
      </c>
      <c r="BI305">
        <f t="shared" si="184"/>
        <v>0</v>
      </c>
    </row>
    <row r="306" spans="1:61" x14ac:dyDescent="0.35">
      <c r="A306" t="s">
        <v>196</v>
      </c>
      <c r="B306" s="1">
        <v>33904</v>
      </c>
      <c r="C306" s="8" t="s">
        <v>704</v>
      </c>
      <c r="D306" t="s">
        <v>59</v>
      </c>
      <c r="E306" t="s">
        <v>705</v>
      </c>
      <c r="F306" t="s">
        <v>602</v>
      </c>
      <c r="G306" t="s">
        <v>64</v>
      </c>
      <c r="H306" s="139">
        <f t="shared" si="158"/>
        <v>1</v>
      </c>
      <c r="I306" t="s">
        <v>234</v>
      </c>
      <c r="J306" t="s">
        <v>186</v>
      </c>
      <c r="K306" s="2">
        <f t="shared" si="161"/>
        <v>4</v>
      </c>
      <c r="L306">
        <v>70000000</v>
      </c>
      <c r="M306" s="2">
        <f t="shared" si="162"/>
        <v>7.8450980400142569</v>
      </c>
      <c r="N306">
        <f t="shared" ref="N306:N312" si="187">L306</f>
        <v>70000000</v>
      </c>
      <c r="O306">
        <v>0</v>
      </c>
      <c r="P306" s="1">
        <v>34596</v>
      </c>
      <c r="Q306" s="89">
        <f t="shared" si="163"/>
        <v>1994</v>
      </c>
      <c r="R306" t="s">
        <v>49</v>
      </c>
      <c r="S306">
        <v>135900000</v>
      </c>
      <c r="T306" s="21">
        <f t="shared" si="154"/>
        <v>1.8958904109589041</v>
      </c>
      <c r="U306">
        <v>5897.96</v>
      </c>
      <c r="V306">
        <f t="shared" si="164"/>
        <v>3.7707754512906644</v>
      </c>
      <c r="W306">
        <v>1992</v>
      </c>
      <c r="X306">
        <v>0</v>
      </c>
      <c r="Y306">
        <f t="shared" si="165"/>
        <v>0</v>
      </c>
      <c r="Z306" s="45">
        <v>2.3199999999999998</v>
      </c>
      <c r="AA306" s="9">
        <f t="shared" si="155"/>
        <v>65900000</v>
      </c>
      <c r="AB306" s="15">
        <f t="shared" si="156"/>
        <v>0.9414285714285715</v>
      </c>
      <c r="AC306" s="34">
        <f t="shared" si="166"/>
        <v>0.28812141671823749</v>
      </c>
      <c r="AD306">
        <v>1421.558</v>
      </c>
      <c r="AE306">
        <f t="shared" si="159"/>
        <v>3.1527645837352773</v>
      </c>
      <c r="AF306">
        <v>3476.3409999999999</v>
      </c>
      <c r="AG306">
        <f t="shared" si="160"/>
        <v>3.5411223705253856</v>
      </c>
      <c r="AH306" s="9">
        <v>132</v>
      </c>
      <c r="AI306" s="9">
        <f t="shared" si="167"/>
        <v>2.1238516409670858</v>
      </c>
      <c r="AJ306">
        <v>100</v>
      </c>
      <c r="AK306" s="23" t="s">
        <v>498</v>
      </c>
      <c r="AL306" s="42">
        <v>49.329709120205997</v>
      </c>
      <c r="AM306" s="24">
        <v>0.13</v>
      </c>
      <c r="AN306" s="34">
        <f t="shared" si="168"/>
        <v>5.3078443483419682E-2</v>
      </c>
      <c r="AO306">
        <v>1966</v>
      </c>
      <c r="AP306">
        <v>26</v>
      </c>
      <c r="AQ306">
        <v>70</v>
      </c>
      <c r="AR306">
        <v>70</v>
      </c>
      <c r="AS306">
        <f t="shared" si="157"/>
        <v>0</v>
      </c>
      <c r="AT306">
        <f t="shared" si="169"/>
        <v>0</v>
      </c>
      <c r="AU306">
        <f t="shared" si="170"/>
        <v>1</v>
      </c>
      <c r="AV306">
        <f t="shared" si="171"/>
        <v>0</v>
      </c>
      <c r="AW306">
        <f t="shared" si="172"/>
        <v>0</v>
      </c>
      <c r="AX306">
        <f t="shared" si="173"/>
        <v>0</v>
      </c>
      <c r="AY306">
        <f t="shared" si="174"/>
        <v>0</v>
      </c>
      <c r="AZ306">
        <f t="shared" si="175"/>
        <v>0</v>
      </c>
      <c r="BA306">
        <f t="shared" si="176"/>
        <v>0</v>
      </c>
      <c r="BB306">
        <f t="shared" si="177"/>
        <v>0</v>
      </c>
      <c r="BC306">
        <f t="shared" si="178"/>
        <v>0</v>
      </c>
      <c r="BD306">
        <f t="shared" si="179"/>
        <v>0</v>
      </c>
      <c r="BE306">
        <f t="shared" si="180"/>
        <v>0</v>
      </c>
      <c r="BF306">
        <f t="shared" si="181"/>
        <v>0</v>
      </c>
      <c r="BG306">
        <f t="shared" si="182"/>
        <v>0</v>
      </c>
      <c r="BH306">
        <f t="shared" si="183"/>
        <v>0</v>
      </c>
      <c r="BI306">
        <f t="shared" si="184"/>
        <v>0</v>
      </c>
    </row>
    <row r="307" spans="1:61" x14ac:dyDescent="0.35">
      <c r="A307" t="s">
        <v>196</v>
      </c>
      <c r="B307" s="1">
        <v>36265</v>
      </c>
      <c r="C307" t="s">
        <v>706</v>
      </c>
      <c r="D307" t="s">
        <v>5</v>
      </c>
      <c r="E307" t="s">
        <v>703</v>
      </c>
      <c r="F307" t="s">
        <v>602</v>
      </c>
      <c r="G307" t="s">
        <v>64</v>
      </c>
      <c r="H307" s="139">
        <f t="shared" si="158"/>
        <v>1</v>
      </c>
      <c r="I307" t="s">
        <v>234</v>
      </c>
      <c r="J307" t="s">
        <v>190</v>
      </c>
      <c r="K307" s="2">
        <f t="shared" si="161"/>
        <v>2</v>
      </c>
      <c r="L307">
        <v>33423010</v>
      </c>
      <c r="M307" s="2">
        <f t="shared" si="162"/>
        <v>7.5240455588884867</v>
      </c>
      <c r="N307">
        <f t="shared" si="187"/>
        <v>33423010</v>
      </c>
      <c r="O307">
        <v>0</v>
      </c>
      <c r="P307" s="1">
        <v>40604</v>
      </c>
      <c r="Q307" s="89">
        <f t="shared" si="163"/>
        <v>2011</v>
      </c>
      <c r="R307" t="s">
        <v>107</v>
      </c>
      <c r="S307">
        <v>979600368</v>
      </c>
      <c r="T307" s="21">
        <f t="shared" si="154"/>
        <v>11.887671232876713</v>
      </c>
      <c r="U307">
        <v>6188.89</v>
      </c>
      <c r="V307">
        <f t="shared" si="164"/>
        <v>3.7916829312790057</v>
      </c>
      <c r="W307">
        <v>1984</v>
      </c>
      <c r="X307">
        <v>15</v>
      </c>
      <c r="Y307">
        <f t="shared" si="165"/>
        <v>1.2041199826559248</v>
      </c>
      <c r="Z307" s="45">
        <v>2.72</v>
      </c>
      <c r="AA307" s="9">
        <f t="shared" si="155"/>
        <v>946177358</v>
      </c>
      <c r="AB307" s="15">
        <f t="shared" si="156"/>
        <v>28.309160605223767</v>
      </c>
      <c r="AC307" s="34">
        <f t="shared" si="166"/>
        <v>1.4670033807127596</v>
      </c>
      <c r="AD307">
        <v>1421.558</v>
      </c>
      <c r="AE307">
        <f t="shared" si="159"/>
        <v>3.1527645837352773</v>
      </c>
      <c r="AF307">
        <v>3476.3409999999999</v>
      </c>
      <c r="AG307">
        <f t="shared" si="160"/>
        <v>3.5411223705253856</v>
      </c>
      <c r="AH307" s="9">
        <v>1084.3333333333301</v>
      </c>
      <c r="AI307" s="9">
        <f t="shared" si="167"/>
        <v>3.0355631414974997</v>
      </c>
      <c r="AJ307">
        <v>70</v>
      </c>
      <c r="AK307" s="23" t="s">
        <v>584</v>
      </c>
      <c r="AL307" s="42">
        <v>43.419976684252802</v>
      </c>
      <c r="AM307" s="24">
        <v>-0.01</v>
      </c>
      <c r="AN307" s="34">
        <f t="shared" si="168"/>
        <v>-4.3648054024500883E-3</v>
      </c>
      <c r="AO307">
        <v>1966</v>
      </c>
      <c r="AP307">
        <v>33</v>
      </c>
      <c r="AQ307">
        <v>95</v>
      </c>
      <c r="AR307">
        <v>80</v>
      </c>
      <c r="AS307">
        <f t="shared" si="157"/>
        <v>0</v>
      </c>
      <c r="AT307">
        <f t="shared" si="169"/>
        <v>0</v>
      </c>
      <c r="AU307">
        <f t="shared" si="170"/>
        <v>0</v>
      </c>
      <c r="AV307">
        <f t="shared" si="171"/>
        <v>0</v>
      </c>
      <c r="AW307">
        <f t="shared" si="172"/>
        <v>0</v>
      </c>
      <c r="AX307">
        <f t="shared" si="173"/>
        <v>0</v>
      </c>
      <c r="AY307">
        <f t="shared" si="174"/>
        <v>1</v>
      </c>
      <c r="AZ307">
        <f t="shared" si="175"/>
        <v>0</v>
      </c>
      <c r="BA307">
        <f t="shared" si="176"/>
        <v>0</v>
      </c>
      <c r="BB307">
        <f t="shared" si="177"/>
        <v>0</v>
      </c>
      <c r="BC307">
        <f t="shared" si="178"/>
        <v>0</v>
      </c>
      <c r="BD307">
        <f t="shared" si="179"/>
        <v>0</v>
      </c>
      <c r="BE307">
        <f t="shared" si="180"/>
        <v>0</v>
      </c>
      <c r="BF307">
        <f t="shared" si="181"/>
        <v>0</v>
      </c>
      <c r="BG307">
        <f t="shared" si="182"/>
        <v>0</v>
      </c>
      <c r="BH307">
        <f t="shared" si="183"/>
        <v>0</v>
      </c>
      <c r="BI307">
        <f t="shared" si="184"/>
        <v>0</v>
      </c>
    </row>
    <row r="308" spans="1:61" x14ac:dyDescent="0.35">
      <c r="A308" t="s">
        <v>196</v>
      </c>
      <c r="B308" s="1">
        <v>41157</v>
      </c>
      <c r="C308" t="s">
        <v>707</v>
      </c>
      <c r="D308" t="s">
        <v>4</v>
      </c>
      <c r="E308" t="s">
        <v>708</v>
      </c>
      <c r="F308" t="s">
        <v>1</v>
      </c>
      <c r="G308" t="s">
        <v>64</v>
      </c>
      <c r="H308" s="139">
        <f t="shared" si="158"/>
        <v>1</v>
      </c>
      <c r="I308" t="s">
        <v>234</v>
      </c>
      <c r="J308" t="s">
        <v>269</v>
      </c>
      <c r="K308" s="2">
        <f t="shared" si="161"/>
        <v>7</v>
      </c>
      <c r="L308">
        <v>95490000</v>
      </c>
      <c r="M308" s="2">
        <f t="shared" si="162"/>
        <v>7.9799578933406652</v>
      </c>
      <c r="N308">
        <f t="shared" si="187"/>
        <v>95490000</v>
      </c>
      <c r="O308">
        <v>0</v>
      </c>
      <c r="P308" s="1">
        <v>42157</v>
      </c>
      <c r="Q308" s="89">
        <f t="shared" si="163"/>
        <v>2015</v>
      </c>
      <c r="R308" t="s">
        <v>107</v>
      </c>
      <c r="S308">
        <v>234676112</v>
      </c>
      <c r="T308" s="21">
        <f t="shared" si="154"/>
        <v>2.7397260273972601</v>
      </c>
      <c r="U308">
        <v>416.73</v>
      </c>
      <c r="V308">
        <f t="shared" si="164"/>
        <v>2.6208956659919629</v>
      </c>
      <c r="W308">
        <v>1996</v>
      </c>
      <c r="X308">
        <v>16</v>
      </c>
      <c r="Y308">
        <f t="shared" si="165"/>
        <v>1.2304489213782739</v>
      </c>
      <c r="Z308" s="45">
        <v>3.49</v>
      </c>
      <c r="AA308" s="9">
        <f t="shared" si="155"/>
        <v>139186112</v>
      </c>
      <c r="AB308" s="15">
        <f t="shared" si="156"/>
        <v>1.4575988271023146</v>
      </c>
      <c r="AC308" s="34">
        <f t="shared" si="166"/>
        <v>0.39051099108289822</v>
      </c>
      <c r="AD308">
        <v>2099.9405116002381</v>
      </c>
      <c r="AE308">
        <f t="shared" si="159"/>
        <v>3.3222069919483515</v>
      </c>
      <c r="AF308">
        <v>9071.9809637120761</v>
      </c>
      <c r="AG308">
        <f t="shared" si="160"/>
        <v>3.9577021302433337</v>
      </c>
      <c r="AH308" s="9">
        <v>217.833333333333</v>
      </c>
      <c r="AI308" s="9">
        <f t="shared" si="167"/>
        <v>2.3401134757058348</v>
      </c>
      <c r="AJ308">
        <v>94.6</v>
      </c>
      <c r="AK308" s="23" t="s">
        <v>97</v>
      </c>
      <c r="AL308" s="42">
        <v>51.303664454517403</v>
      </c>
      <c r="AM308" s="24">
        <v>0.5</v>
      </c>
      <c r="AN308" s="34">
        <f t="shared" si="168"/>
        <v>0.17609125905568124</v>
      </c>
      <c r="AO308">
        <v>2003</v>
      </c>
      <c r="AP308">
        <v>9</v>
      </c>
      <c r="AQ308">
        <v>70</v>
      </c>
      <c r="AR308">
        <v>70</v>
      </c>
      <c r="AS308">
        <f t="shared" si="157"/>
        <v>0</v>
      </c>
      <c r="AT308">
        <f t="shared" si="169"/>
        <v>0</v>
      </c>
      <c r="AU308">
        <f t="shared" si="170"/>
        <v>0</v>
      </c>
      <c r="AV308">
        <f t="shared" si="171"/>
        <v>0</v>
      </c>
      <c r="AW308">
        <f t="shared" si="172"/>
        <v>0</v>
      </c>
      <c r="AX308">
        <f t="shared" si="173"/>
        <v>1</v>
      </c>
      <c r="AY308">
        <f t="shared" si="174"/>
        <v>0</v>
      </c>
      <c r="AZ308">
        <f t="shared" si="175"/>
        <v>0</v>
      </c>
      <c r="BA308">
        <f t="shared" si="176"/>
        <v>0</v>
      </c>
      <c r="BB308">
        <f t="shared" si="177"/>
        <v>0</v>
      </c>
      <c r="BC308">
        <f t="shared" si="178"/>
        <v>0</v>
      </c>
      <c r="BD308">
        <f t="shared" si="179"/>
        <v>0</v>
      </c>
      <c r="BE308">
        <f t="shared" si="180"/>
        <v>0</v>
      </c>
      <c r="BF308">
        <f t="shared" si="181"/>
        <v>0</v>
      </c>
      <c r="BG308">
        <f t="shared" si="182"/>
        <v>0</v>
      </c>
      <c r="BH308">
        <f t="shared" si="183"/>
        <v>0</v>
      </c>
      <c r="BI308">
        <f t="shared" si="184"/>
        <v>0</v>
      </c>
    </row>
    <row r="309" spans="1:61" x14ac:dyDescent="0.35">
      <c r="A309" t="s">
        <v>196</v>
      </c>
      <c r="B309" s="1">
        <v>38625</v>
      </c>
      <c r="C309" t="s">
        <v>709</v>
      </c>
      <c r="D309" t="s">
        <v>7</v>
      </c>
      <c r="E309" t="s">
        <v>237</v>
      </c>
      <c r="F309" t="s">
        <v>577</v>
      </c>
      <c r="G309" t="s">
        <v>64</v>
      </c>
      <c r="H309" s="139">
        <f t="shared" si="158"/>
        <v>1</v>
      </c>
      <c r="I309" t="s">
        <v>234</v>
      </c>
      <c r="J309" t="s">
        <v>235</v>
      </c>
      <c r="K309" s="2">
        <f t="shared" si="161"/>
        <v>1</v>
      </c>
      <c r="L309">
        <v>830430000</v>
      </c>
      <c r="M309" s="2">
        <f t="shared" si="162"/>
        <v>8.9193030300505232</v>
      </c>
      <c r="N309">
        <f t="shared" si="187"/>
        <v>830430000</v>
      </c>
      <c r="O309">
        <v>0</v>
      </c>
      <c r="P309" s="1">
        <v>41890</v>
      </c>
      <c r="Q309" s="89">
        <f t="shared" si="163"/>
        <v>2014</v>
      </c>
      <c r="R309" t="s">
        <v>107</v>
      </c>
      <c r="S309">
        <v>2200000000</v>
      </c>
      <c r="T309" s="21">
        <f t="shared" si="154"/>
        <v>8.9452054794520546</v>
      </c>
      <c r="U309">
        <v>489.17</v>
      </c>
      <c r="V309">
        <f t="shared" si="164"/>
        <v>2.6903467274930635</v>
      </c>
      <c r="W309">
        <v>1920</v>
      </c>
      <c r="X309">
        <v>85</v>
      </c>
      <c r="Y309">
        <f t="shared" si="165"/>
        <v>1.9344984512435677</v>
      </c>
      <c r="Z309" s="45">
        <v>2.59</v>
      </c>
      <c r="AA309" s="9">
        <f t="shared" si="155"/>
        <v>1369570000</v>
      </c>
      <c r="AB309" s="15">
        <f t="shared" si="156"/>
        <v>1.6492299170309357</v>
      </c>
      <c r="AC309" s="34">
        <f t="shared" si="166"/>
        <v>0.42311965077168279</v>
      </c>
      <c r="AD309">
        <v>1669.0315179326171</v>
      </c>
      <c r="AE309">
        <f t="shared" si="159"/>
        <v>3.22246453795844</v>
      </c>
      <c r="AF309">
        <v>5094.7953145755328</v>
      </c>
      <c r="AG309">
        <f t="shared" si="160"/>
        <v>3.7071267407396937</v>
      </c>
      <c r="AH309" s="9">
        <v>562.5</v>
      </c>
      <c r="AI309" s="9">
        <f t="shared" si="167"/>
        <v>2.7508939203821252</v>
      </c>
      <c r="AJ309">
        <v>85</v>
      </c>
      <c r="AK309" s="23" t="s">
        <v>696</v>
      </c>
      <c r="AL309" s="42">
        <v>43.5787105608064</v>
      </c>
      <c r="AM309" s="24">
        <v>0.63</v>
      </c>
      <c r="AN309" s="34">
        <f t="shared" si="168"/>
        <v>0.21218760440395779</v>
      </c>
      <c r="AO309">
        <v>1981</v>
      </c>
      <c r="AP309">
        <v>24</v>
      </c>
      <c r="AQ309">
        <v>90</v>
      </c>
      <c r="AR309">
        <v>70</v>
      </c>
      <c r="AS309">
        <f t="shared" si="157"/>
        <v>0</v>
      </c>
      <c r="AT309">
        <f t="shared" si="169"/>
        <v>0</v>
      </c>
      <c r="AU309">
        <f t="shared" si="170"/>
        <v>0</v>
      </c>
      <c r="AV309">
        <f t="shared" si="171"/>
        <v>0</v>
      </c>
      <c r="AW309">
        <f t="shared" si="172"/>
        <v>0</v>
      </c>
      <c r="AX309">
        <f t="shared" si="173"/>
        <v>0</v>
      </c>
      <c r="AY309">
        <f t="shared" si="174"/>
        <v>0</v>
      </c>
      <c r="AZ309">
        <f t="shared" si="175"/>
        <v>0</v>
      </c>
      <c r="BA309">
        <f t="shared" si="176"/>
        <v>0</v>
      </c>
      <c r="BB309">
        <f t="shared" si="177"/>
        <v>0</v>
      </c>
      <c r="BC309">
        <f t="shared" si="178"/>
        <v>0</v>
      </c>
      <c r="BD309">
        <f t="shared" si="179"/>
        <v>0</v>
      </c>
      <c r="BE309">
        <f t="shared" si="180"/>
        <v>1</v>
      </c>
      <c r="BF309">
        <f t="shared" si="181"/>
        <v>0</v>
      </c>
      <c r="BG309">
        <f t="shared" si="182"/>
        <v>0</v>
      </c>
      <c r="BH309">
        <f t="shared" si="183"/>
        <v>0</v>
      </c>
      <c r="BI309">
        <f t="shared" si="184"/>
        <v>0</v>
      </c>
    </row>
    <row r="310" spans="1:61" x14ac:dyDescent="0.35">
      <c r="A310" t="s">
        <v>710</v>
      </c>
      <c r="B310" s="1">
        <v>39629</v>
      </c>
      <c r="C310" t="s">
        <v>711</v>
      </c>
      <c r="D310" t="s">
        <v>5</v>
      </c>
      <c r="E310" t="s">
        <v>712</v>
      </c>
      <c r="F310" t="s">
        <v>577</v>
      </c>
      <c r="G310" t="s">
        <v>64</v>
      </c>
      <c r="H310" s="139">
        <f t="shared" si="158"/>
        <v>1</v>
      </c>
      <c r="I310" t="s">
        <v>234</v>
      </c>
      <c r="J310" t="s">
        <v>269</v>
      </c>
      <c r="K310" s="2">
        <f t="shared" si="161"/>
        <v>7</v>
      </c>
      <c r="L310">
        <v>692000000</v>
      </c>
      <c r="M310" s="2">
        <f t="shared" si="162"/>
        <v>8.8401060944567575</v>
      </c>
      <c r="N310">
        <f t="shared" si="187"/>
        <v>692000000</v>
      </c>
      <c r="O310">
        <v>0</v>
      </c>
      <c r="P310" s="1">
        <v>40871</v>
      </c>
      <c r="Q310" s="89">
        <f t="shared" si="163"/>
        <v>2011</v>
      </c>
      <c r="R310" t="s">
        <v>107</v>
      </c>
      <c r="S310">
        <v>885330000</v>
      </c>
      <c r="T310" s="21">
        <f t="shared" si="154"/>
        <v>3.4027397260273973</v>
      </c>
      <c r="U310">
        <v>357.29</v>
      </c>
      <c r="V310">
        <f t="shared" si="164"/>
        <v>2.5542346870234227</v>
      </c>
      <c r="W310">
        <v>1981</v>
      </c>
      <c r="X310">
        <v>27</v>
      </c>
      <c r="Y310">
        <f t="shared" si="165"/>
        <v>1.4471580313422192</v>
      </c>
      <c r="Z310" s="45">
        <v>3.16</v>
      </c>
      <c r="AA310" s="9">
        <f t="shared" si="155"/>
        <v>193330000</v>
      </c>
      <c r="AB310" s="15">
        <f t="shared" si="156"/>
        <v>0.27937861271676301</v>
      </c>
      <c r="AC310" s="34">
        <f t="shared" si="166"/>
        <v>0.10699908637159473</v>
      </c>
      <c r="AD310">
        <v>1669.0315179326171</v>
      </c>
      <c r="AE310">
        <f t="shared" si="159"/>
        <v>3.22246453795844</v>
      </c>
      <c r="AF310">
        <v>5094.7953145755328</v>
      </c>
      <c r="AG310">
        <f t="shared" si="160"/>
        <v>3.7071267407396937</v>
      </c>
      <c r="AH310" s="9">
        <v>971</v>
      </c>
      <c r="AI310" s="9">
        <f t="shared" si="167"/>
        <v>2.9876662649262746</v>
      </c>
      <c r="AJ310">
        <v>88</v>
      </c>
      <c r="AK310" s="23" t="s">
        <v>678</v>
      </c>
      <c r="AL310" s="42">
        <v>43.1081369225492</v>
      </c>
      <c r="AM310" s="24">
        <v>-0.09</v>
      </c>
      <c r="AN310" s="34">
        <f t="shared" si="168"/>
        <v>-4.0958607678906384E-2</v>
      </c>
      <c r="AO310">
        <v>1981</v>
      </c>
      <c r="AP310">
        <v>27</v>
      </c>
      <c r="AQ310">
        <v>70</v>
      </c>
      <c r="AR310">
        <v>90</v>
      </c>
      <c r="AS310">
        <f t="shared" si="157"/>
        <v>0</v>
      </c>
      <c r="AT310">
        <f t="shared" si="169"/>
        <v>0</v>
      </c>
      <c r="AU310">
        <f t="shared" si="170"/>
        <v>0</v>
      </c>
      <c r="AV310">
        <f t="shared" si="171"/>
        <v>0</v>
      </c>
      <c r="AW310">
        <f t="shared" si="172"/>
        <v>0</v>
      </c>
      <c r="AX310">
        <f t="shared" si="173"/>
        <v>0</v>
      </c>
      <c r="AY310">
        <f t="shared" si="174"/>
        <v>1</v>
      </c>
      <c r="AZ310">
        <f t="shared" si="175"/>
        <v>0</v>
      </c>
      <c r="BA310">
        <f t="shared" si="176"/>
        <v>0</v>
      </c>
      <c r="BB310">
        <f t="shared" si="177"/>
        <v>0</v>
      </c>
      <c r="BC310">
        <f t="shared" si="178"/>
        <v>0</v>
      </c>
      <c r="BD310">
        <f t="shared" si="179"/>
        <v>0</v>
      </c>
      <c r="BE310">
        <f t="shared" si="180"/>
        <v>0</v>
      </c>
      <c r="BF310">
        <f t="shared" si="181"/>
        <v>0</v>
      </c>
      <c r="BG310">
        <f t="shared" si="182"/>
        <v>0</v>
      </c>
      <c r="BH310">
        <f t="shared" si="183"/>
        <v>0</v>
      </c>
      <c r="BI310">
        <f t="shared" si="184"/>
        <v>0</v>
      </c>
    </row>
    <row r="311" spans="1:61" x14ac:dyDescent="0.35">
      <c r="A311" t="s">
        <v>196</v>
      </c>
      <c r="B311" s="1">
        <v>36037</v>
      </c>
      <c r="C311" t="s">
        <v>713</v>
      </c>
      <c r="D311" t="s">
        <v>5</v>
      </c>
      <c r="E311" t="s">
        <v>251</v>
      </c>
      <c r="F311" t="s">
        <v>577</v>
      </c>
      <c r="G311" t="s">
        <v>64</v>
      </c>
      <c r="H311" s="139">
        <f t="shared" si="158"/>
        <v>1</v>
      </c>
      <c r="I311" t="s">
        <v>234</v>
      </c>
      <c r="J311" t="s">
        <v>269</v>
      </c>
      <c r="K311" s="2">
        <f t="shared" si="161"/>
        <v>7</v>
      </c>
      <c r="L311">
        <v>2167670000</v>
      </c>
      <c r="M311" s="2">
        <f t="shared" si="162"/>
        <v>9.3359931671248475</v>
      </c>
      <c r="N311">
        <f t="shared" si="187"/>
        <v>2167670000</v>
      </c>
      <c r="O311">
        <v>0</v>
      </c>
      <c r="P311" s="1">
        <v>36879</v>
      </c>
      <c r="Q311" s="89">
        <f t="shared" si="163"/>
        <v>2000</v>
      </c>
      <c r="R311" t="s">
        <v>107</v>
      </c>
      <c r="S311">
        <v>509650000</v>
      </c>
      <c r="T311" s="21">
        <f t="shared" si="154"/>
        <v>2.3068493150684932</v>
      </c>
      <c r="U311">
        <v>357.29</v>
      </c>
      <c r="V311">
        <f t="shared" si="164"/>
        <v>2.5542346870234227</v>
      </c>
      <c r="W311">
        <v>1575</v>
      </c>
      <c r="X311">
        <v>423</v>
      </c>
      <c r="Y311">
        <f t="shared" si="165"/>
        <v>2.6273658565927325</v>
      </c>
      <c r="Z311" s="45">
        <v>3.16</v>
      </c>
      <c r="AA311" s="9">
        <f t="shared" si="155"/>
        <v>-1658020000</v>
      </c>
      <c r="AB311" s="15">
        <f t="shared" si="156"/>
        <v>-0.76488579903767639</v>
      </c>
      <c r="AC311" s="34">
        <f t="shared" si="166"/>
        <v>-0.62872113857682677</v>
      </c>
      <c r="AD311">
        <v>1669.0315179326171</v>
      </c>
      <c r="AE311">
        <f t="shared" si="159"/>
        <v>3.22246453795844</v>
      </c>
      <c r="AF311">
        <v>5094.7953145755328</v>
      </c>
      <c r="AG311">
        <f t="shared" si="160"/>
        <v>3.7071267407396937</v>
      </c>
      <c r="AH311" s="9">
        <v>971</v>
      </c>
      <c r="AI311" s="9">
        <f t="shared" si="167"/>
        <v>2.9876662649262746</v>
      </c>
      <c r="AJ311">
        <v>70</v>
      </c>
      <c r="AK311" s="23" t="s">
        <v>714</v>
      </c>
      <c r="AL311" s="42">
        <v>44.332035658580502</v>
      </c>
      <c r="AM311" s="24">
        <v>0.27</v>
      </c>
      <c r="AN311" s="34">
        <f t="shared" si="168"/>
        <v>0.10380372095595687</v>
      </c>
      <c r="AO311">
        <v>1981</v>
      </c>
      <c r="AP311">
        <v>17</v>
      </c>
      <c r="AQ311">
        <v>95</v>
      </c>
      <c r="AR311">
        <v>80</v>
      </c>
      <c r="AS311">
        <f t="shared" si="157"/>
        <v>0</v>
      </c>
      <c r="AT311">
        <f t="shared" si="169"/>
        <v>0</v>
      </c>
      <c r="AU311">
        <f t="shared" si="170"/>
        <v>0</v>
      </c>
      <c r="AV311">
        <f t="shared" si="171"/>
        <v>0</v>
      </c>
      <c r="AW311">
        <f t="shared" si="172"/>
        <v>0</v>
      </c>
      <c r="AX311">
        <f t="shared" si="173"/>
        <v>0</v>
      </c>
      <c r="AY311">
        <f t="shared" si="174"/>
        <v>1</v>
      </c>
      <c r="AZ311">
        <f t="shared" si="175"/>
        <v>0</v>
      </c>
      <c r="BA311">
        <f t="shared" si="176"/>
        <v>0</v>
      </c>
      <c r="BB311">
        <f t="shared" si="177"/>
        <v>0</v>
      </c>
      <c r="BC311">
        <f t="shared" si="178"/>
        <v>0</v>
      </c>
      <c r="BD311">
        <f t="shared" si="179"/>
        <v>0</v>
      </c>
      <c r="BE311">
        <f t="shared" si="180"/>
        <v>0</v>
      </c>
      <c r="BF311">
        <f t="shared" si="181"/>
        <v>0</v>
      </c>
      <c r="BG311">
        <f t="shared" si="182"/>
        <v>0</v>
      </c>
      <c r="BH311">
        <f t="shared" si="183"/>
        <v>0</v>
      </c>
      <c r="BI311">
        <f t="shared" si="184"/>
        <v>0</v>
      </c>
    </row>
    <row r="312" spans="1:61" x14ac:dyDescent="0.35">
      <c r="A312" t="s">
        <v>196</v>
      </c>
      <c r="B312" s="1">
        <v>35688</v>
      </c>
      <c r="C312" t="s">
        <v>715</v>
      </c>
      <c r="D312" t="s">
        <v>5</v>
      </c>
      <c r="E312" t="s">
        <v>251</v>
      </c>
      <c r="F312" t="s">
        <v>577</v>
      </c>
      <c r="G312" t="s">
        <v>64</v>
      </c>
      <c r="H312" s="139">
        <f t="shared" si="158"/>
        <v>1</v>
      </c>
      <c r="I312" t="s">
        <v>234</v>
      </c>
      <c r="J312" t="s">
        <v>235</v>
      </c>
      <c r="K312" s="2">
        <f t="shared" si="161"/>
        <v>1</v>
      </c>
      <c r="L312">
        <v>164000000</v>
      </c>
      <c r="M312" s="2">
        <f t="shared" si="162"/>
        <v>8.214843848047698</v>
      </c>
      <c r="N312">
        <f t="shared" si="187"/>
        <v>164000000</v>
      </c>
      <c r="O312">
        <v>0</v>
      </c>
      <c r="P312" s="1">
        <v>38352</v>
      </c>
      <c r="Q312" s="89">
        <f t="shared" si="163"/>
        <v>2004</v>
      </c>
      <c r="R312" t="s">
        <v>107</v>
      </c>
      <c r="S312">
        <v>285000000</v>
      </c>
      <c r="T312" s="21">
        <f t="shared" si="154"/>
        <v>7.2986301369863016</v>
      </c>
      <c r="U312">
        <v>357.29</v>
      </c>
      <c r="V312">
        <f t="shared" si="164"/>
        <v>2.5542346870234227</v>
      </c>
      <c r="W312">
        <v>1997</v>
      </c>
      <c r="X312">
        <v>0</v>
      </c>
      <c r="Y312">
        <f t="shared" si="165"/>
        <v>0</v>
      </c>
      <c r="Z312" s="45">
        <v>3.16</v>
      </c>
      <c r="AA312" s="9">
        <f t="shared" si="155"/>
        <v>121000000</v>
      </c>
      <c r="AB312" s="15">
        <f t="shared" si="156"/>
        <v>0.73780487804878048</v>
      </c>
      <c r="AC312" s="34">
        <f t="shared" si="166"/>
        <v>0.2400010119608123</v>
      </c>
      <c r="AD312">
        <v>1669.0315179326171</v>
      </c>
      <c r="AE312">
        <f t="shared" si="159"/>
        <v>3.22246453795844</v>
      </c>
      <c r="AF312">
        <v>5094.7953145755328</v>
      </c>
      <c r="AG312">
        <f t="shared" si="160"/>
        <v>3.7071267407396937</v>
      </c>
      <c r="AH312" s="9">
        <v>971</v>
      </c>
      <c r="AI312" s="9">
        <f t="shared" si="167"/>
        <v>2.9876662649262746</v>
      </c>
      <c r="AJ312">
        <v>85</v>
      </c>
      <c r="AK312" s="23" t="s">
        <v>199</v>
      </c>
      <c r="AL312" s="42">
        <v>45.479154360161097</v>
      </c>
      <c r="AM312" s="24">
        <v>0.32</v>
      </c>
      <c r="AN312" s="34">
        <f t="shared" si="168"/>
        <v>0.12057393120584989</v>
      </c>
      <c r="AO312">
        <v>1981</v>
      </c>
      <c r="AP312">
        <v>16</v>
      </c>
      <c r="AQ312">
        <v>95</v>
      </c>
      <c r="AR312">
        <v>80</v>
      </c>
      <c r="AS312">
        <f t="shared" si="157"/>
        <v>0</v>
      </c>
      <c r="AT312">
        <f t="shared" si="169"/>
        <v>0</v>
      </c>
      <c r="AU312">
        <f t="shared" si="170"/>
        <v>0</v>
      </c>
      <c r="AV312">
        <f t="shared" si="171"/>
        <v>0</v>
      </c>
      <c r="AW312">
        <f t="shared" si="172"/>
        <v>0</v>
      </c>
      <c r="AX312">
        <f t="shared" si="173"/>
        <v>0</v>
      </c>
      <c r="AY312">
        <f t="shared" si="174"/>
        <v>1</v>
      </c>
      <c r="AZ312">
        <f t="shared" si="175"/>
        <v>0</v>
      </c>
      <c r="BA312">
        <f t="shared" si="176"/>
        <v>0</v>
      </c>
      <c r="BB312">
        <f t="shared" si="177"/>
        <v>0</v>
      </c>
      <c r="BC312">
        <f t="shared" si="178"/>
        <v>0</v>
      </c>
      <c r="BD312">
        <f t="shared" si="179"/>
        <v>0</v>
      </c>
      <c r="BE312">
        <f t="shared" si="180"/>
        <v>0</v>
      </c>
      <c r="BF312">
        <f t="shared" si="181"/>
        <v>0</v>
      </c>
      <c r="BG312">
        <f t="shared" si="182"/>
        <v>0</v>
      </c>
      <c r="BH312">
        <f t="shared" si="183"/>
        <v>0</v>
      </c>
      <c r="BI312">
        <f t="shared" si="184"/>
        <v>0</v>
      </c>
    </row>
    <row r="313" spans="1:61" x14ac:dyDescent="0.35">
      <c r="A313" t="s">
        <v>716</v>
      </c>
      <c r="B313" s="1">
        <v>36857</v>
      </c>
      <c r="C313" t="s">
        <v>717</v>
      </c>
      <c r="D313" t="s">
        <v>163</v>
      </c>
      <c r="E313" t="s">
        <v>233</v>
      </c>
      <c r="F313" t="s">
        <v>577</v>
      </c>
      <c r="G313" t="s">
        <v>64</v>
      </c>
      <c r="H313" s="139">
        <f t="shared" si="158"/>
        <v>1</v>
      </c>
      <c r="I313" t="s">
        <v>611</v>
      </c>
      <c r="J313" t="s">
        <v>326</v>
      </c>
      <c r="K313" s="2">
        <f t="shared" si="161"/>
        <v>8</v>
      </c>
      <c r="L313">
        <v>800000000</v>
      </c>
      <c r="M313" s="2">
        <f t="shared" si="162"/>
        <v>8.9030899869919438</v>
      </c>
      <c r="N313">
        <v>200000000</v>
      </c>
      <c r="O313">
        <v>600000000</v>
      </c>
      <c r="P313" s="1">
        <v>37894</v>
      </c>
      <c r="Q313" s="89">
        <f t="shared" si="163"/>
        <v>2003</v>
      </c>
      <c r="R313" t="s">
        <v>152</v>
      </c>
      <c r="S313">
        <v>210000000</v>
      </c>
      <c r="T313" s="21">
        <f t="shared" si="154"/>
        <v>2.8410958904109589</v>
      </c>
      <c r="U313">
        <v>342.74</v>
      </c>
      <c r="V313">
        <f t="shared" si="164"/>
        <v>2.5362300726332561</v>
      </c>
      <c r="W313">
        <v>1986</v>
      </c>
      <c r="X313">
        <v>14</v>
      </c>
      <c r="Y313">
        <f t="shared" si="165"/>
        <v>1.1760912590556813</v>
      </c>
      <c r="Z313" s="45">
        <v>2.3199999999999998</v>
      </c>
      <c r="AA313" s="9">
        <f t="shared" si="155"/>
        <v>10000000</v>
      </c>
      <c r="AB313" s="15">
        <f t="shared" si="156"/>
        <v>-0.73750000000000004</v>
      </c>
      <c r="AC313" s="34">
        <f t="shared" si="166"/>
        <v>-0.58087069225802435</v>
      </c>
      <c r="AD313">
        <v>1669.0315179326171</v>
      </c>
      <c r="AE313">
        <f t="shared" si="159"/>
        <v>3.22246453795844</v>
      </c>
      <c r="AF313">
        <v>5094.7953145755328</v>
      </c>
      <c r="AG313">
        <f t="shared" si="160"/>
        <v>3.7071267407396937</v>
      </c>
      <c r="AH313" s="9">
        <v>569.16666666666697</v>
      </c>
      <c r="AI313" s="9">
        <f t="shared" si="167"/>
        <v>2.756001823801419</v>
      </c>
      <c r="AJ313">
        <v>70</v>
      </c>
      <c r="AK313" s="23" t="s">
        <v>466</v>
      </c>
      <c r="AL313" s="42">
        <v>51.652289181886701</v>
      </c>
      <c r="AM313" s="24">
        <v>-0.26</v>
      </c>
      <c r="AN313" s="34">
        <f t="shared" si="168"/>
        <v>-0.13076828026902382</v>
      </c>
      <c r="AO313">
        <v>1981</v>
      </c>
      <c r="AP313">
        <v>19</v>
      </c>
      <c r="AQ313">
        <v>85</v>
      </c>
      <c r="AR313">
        <v>80</v>
      </c>
      <c r="AS313">
        <f t="shared" si="157"/>
        <v>0</v>
      </c>
      <c r="AT313">
        <f t="shared" si="169"/>
        <v>0</v>
      </c>
      <c r="AU313">
        <f t="shared" si="170"/>
        <v>0</v>
      </c>
      <c r="AV313">
        <f t="shared" si="171"/>
        <v>0</v>
      </c>
      <c r="AW313">
        <f t="shared" si="172"/>
        <v>0</v>
      </c>
      <c r="AX313">
        <f t="shared" si="173"/>
        <v>0</v>
      </c>
      <c r="AY313">
        <f t="shared" si="174"/>
        <v>0</v>
      </c>
      <c r="AZ313">
        <f t="shared" si="175"/>
        <v>1</v>
      </c>
      <c r="BA313">
        <f t="shared" si="176"/>
        <v>0</v>
      </c>
      <c r="BB313">
        <f t="shared" si="177"/>
        <v>0</v>
      </c>
      <c r="BC313">
        <f t="shared" si="178"/>
        <v>0</v>
      </c>
      <c r="BD313">
        <f t="shared" si="179"/>
        <v>0</v>
      </c>
      <c r="BE313">
        <f t="shared" si="180"/>
        <v>0</v>
      </c>
      <c r="BF313">
        <f t="shared" si="181"/>
        <v>0</v>
      </c>
      <c r="BG313">
        <f t="shared" si="182"/>
        <v>0</v>
      </c>
      <c r="BH313">
        <f t="shared" si="183"/>
        <v>0</v>
      </c>
      <c r="BI313">
        <f t="shared" si="184"/>
        <v>0</v>
      </c>
    </row>
    <row r="314" spans="1:61" x14ac:dyDescent="0.35">
      <c r="A314" t="s">
        <v>196</v>
      </c>
      <c r="B314" s="1">
        <v>39360</v>
      </c>
      <c r="C314" t="s">
        <v>578</v>
      </c>
      <c r="D314" t="s">
        <v>2</v>
      </c>
      <c r="E314" t="s">
        <v>712</v>
      </c>
      <c r="F314" t="s">
        <v>577</v>
      </c>
      <c r="G314" t="s">
        <v>64</v>
      </c>
      <c r="H314" s="139">
        <f t="shared" si="158"/>
        <v>1</v>
      </c>
      <c r="I314" t="s">
        <v>234</v>
      </c>
      <c r="J314" t="s">
        <v>248</v>
      </c>
      <c r="K314" s="2">
        <f t="shared" si="161"/>
        <v>5</v>
      </c>
      <c r="L314">
        <v>1000000000</v>
      </c>
      <c r="M314" s="2">
        <f t="shared" si="162"/>
        <v>9</v>
      </c>
      <c r="N314">
        <f>L314</f>
        <v>1000000000</v>
      </c>
      <c r="O314">
        <v>0</v>
      </c>
      <c r="P314" s="1">
        <v>40709</v>
      </c>
      <c r="Q314" s="89">
        <f t="shared" si="163"/>
        <v>2011</v>
      </c>
      <c r="R314" t="s">
        <v>152</v>
      </c>
      <c r="S314">
        <v>400000000</v>
      </c>
      <c r="T314" s="21">
        <f t="shared" si="154"/>
        <v>3.6958904109589041</v>
      </c>
      <c r="U314">
        <v>917.19</v>
      </c>
      <c r="V314">
        <f t="shared" si="164"/>
        <v>2.9629325585580042</v>
      </c>
      <c r="W314">
        <v>1979</v>
      </c>
      <c r="X314">
        <v>28</v>
      </c>
      <c r="Y314">
        <f t="shared" si="165"/>
        <v>1.4623979978989561</v>
      </c>
      <c r="Z314" s="45">
        <v>2.62</v>
      </c>
      <c r="AA314" s="9">
        <f t="shared" si="155"/>
        <v>-600000000</v>
      </c>
      <c r="AB314" s="15">
        <f t="shared" si="156"/>
        <v>-0.6</v>
      </c>
      <c r="AC314" s="34">
        <f t="shared" si="166"/>
        <v>-0.3979400086720376</v>
      </c>
      <c r="AD314">
        <v>1669.0315179326171</v>
      </c>
      <c r="AE314">
        <f t="shared" si="159"/>
        <v>3.22246453795844</v>
      </c>
      <c r="AF314">
        <v>5094.7953145755328</v>
      </c>
      <c r="AG314">
        <f t="shared" si="160"/>
        <v>3.7071267407396937</v>
      </c>
      <c r="AH314" s="9">
        <v>854.66666666666697</v>
      </c>
      <c r="AI314" s="9">
        <f t="shared" si="167"/>
        <v>2.9323046139517812</v>
      </c>
      <c r="AJ314">
        <v>88.9</v>
      </c>
      <c r="AK314" s="23" t="s">
        <v>126</v>
      </c>
      <c r="AL314" s="42">
        <v>42.817370475444001</v>
      </c>
      <c r="AM314" s="24">
        <v>-0.19</v>
      </c>
      <c r="AN314" s="34">
        <f t="shared" si="168"/>
        <v>-9.1514981121350217E-2</v>
      </c>
      <c r="AO314">
        <v>1981</v>
      </c>
      <c r="AP314">
        <v>26</v>
      </c>
      <c r="AQ314">
        <v>70</v>
      </c>
      <c r="AR314">
        <v>70</v>
      </c>
      <c r="AS314">
        <f t="shared" si="157"/>
        <v>0</v>
      </c>
      <c r="AT314">
        <f t="shared" si="169"/>
        <v>0</v>
      </c>
      <c r="AU314">
        <f t="shared" si="170"/>
        <v>0</v>
      </c>
      <c r="AV314">
        <f t="shared" si="171"/>
        <v>0</v>
      </c>
      <c r="AW314">
        <f t="shared" si="172"/>
        <v>0</v>
      </c>
      <c r="AX314">
        <f t="shared" si="173"/>
        <v>0</v>
      </c>
      <c r="AY314">
        <f t="shared" si="174"/>
        <v>0</v>
      </c>
      <c r="AZ314">
        <f t="shared" si="175"/>
        <v>0</v>
      </c>
      <c r="BA314">
        <f t="shared" si="176"/>
        <v>0</v>
      </c>
      <c r="BB314">
        <f t="shared" si="177"/>
        <v>1</v>
      </c>
      <c r="BC314">
        <f t="shared" si="178"/>
        <v>0</v>
      </c>
      <c r="BD314">
        <f t="shared" si="179"/>
        <v>0</v>
      </c>
      <c r="BE314">
        <f t="shared" si="180"/>
        <v>0</v>
      </c>
      <c r="BF314">
        <f t="shared" si="181"/>
        <v>0</v>
      </c>
      <c r="BG314">
        <f t="shared" si="182"/>
        <v>0</v>
      </c>
      <c r="BH314">
        <f t="shared" si="183"/>
        <v>0</v>
      </c>
      <c r="BI314">
        <f t="shared" si="184"/>
        <v>0</v>
      </c>
    </row>
    <row r="315" spans="1:61" x14ac:dyDescent="0.35">
      <c r="A315" t="s">
        <v>196</v>
      </c>
      <c r="B315" s="1">
        <v>40318</v>
      </c>
      <c r="C315" t="s">
        <v>718</v>
      </c>
      <c r="D315" t="s">
        <v>497</v>
      </c>
      <c r="E315" t="s">
        <v>240</v>
      </c>
      <c r="F315" t="s">
        <v>577</v>
      </c>
      <c r="G315" t="s">
        <v>64</v>
      </c>
      <c r="H315" s="139">
        <f t="shared" si="158"/>
        <v>1</v>
      </c>
      <c r="I315" t="s">
        <v>234</v>
      </c>
      <c r="J315" t="s">
        <v>245</v>
      </c>
      <c r="K315" s="2">
        <f t="shared" si="161"/>
        <v>6</v>
      </c>
      <c r="L315">
        <v>1000000000</v>
      </c>
      <c r="M315" s="2">
        <f t="shared" si="162"/>
        <v>9</v>
      </c>
      <c r="N315">
        <f>L315</f>
        <v>1000000000</v>
      </c>
      <c r="O315">
        <v>0</v>
      </c>
      <c r="P315" s="1">
        <v>42377</v>
      </c>
      <c r="Q315" s="89">
        <f t="shared" si="163"/>
        <v>2016</v>
      </c>
      <c r="R315" t="s">
        <v>107</v>
      </c>
      <c r="S315">
        <v>2345100000</v>
      </c>
      <c r="T315" s="21">
        <f t="shared" si="154"/>
        <v>5.6410958904109592</v>
      </c>
      <c r="U315">
        <v>463.97</v>
      </c>
      <c r="V315">
        <f t="shared" si="164"/>
        <v>2.6674249329872439</v>
      </c>
      <c r="W315">
        <v>2010</v>
      </c>
      <c r="X315">
        <v>0</v>
      </c>
      <c r="Y315">
        <f t="shared" si="165"/>
        <v>0</v>
      </c>
      <c r="Z315" s="45">
        <v>2.61</v>
      </c>
      <c r="AA315" s="9">
        <f t="shared" si="155"/>
        <v>1345100000</v>
      </c>
      <c r="AB315" s="15">
        <f t="shared" si="156"/>
        <v>1.3451</v>
      </c>
      <c r="AC315" s="34">
        <f t="shared" si="166"/>
        <v>0.37016136667678035</v>
      </c>
      <c r="AD315">
        <v>1669.0315179326171</v>
      </c>
      <c r="AE315">
        <f t="shared" si="159"/>
        <v>3.22246453795844</v>
      </c>
      <c r="AF315">
        <v>5094.7953145755328</v>
      </c>
      <c r="AG315">
        <f t="shared" si="160"/>
        <v>3.7071267407396937</v>
      </c>
      <c r="AH315" s="9">
        <v>193.166666666667</v>
      </c>
      <c r="AI315" s="9">
        <f t="shared" si="167"/>
        <v>2.2881746749783951</v>
      </c>
      <c r="AJ315">
        <v>92.8</v>
      </c>
      <c r="AK315" s="23" t="s">
        <v>55</v>
      </c>
      <c r="AL315" s="42">
        <v>65.041501268831993</v>
      </c>
      <c r="AM315" s="24">
        <v>0.79</v>
      </c>
      <c r="AN315" s="34">
        <f t="shared" si="168"/>
        <v>0.2528530309798932</v>
      </c>
      <c r="AO315">
        <v>1981</v>
      </c>
      <c r="AP315">
        <v>29</v>
      </c>
      <c r="AQ315">
        <v>70</v>
      </c>
      <c r="AR315">
        <v>70</v>
      </c>
      <c r="AS315">
        <f t="shared" si="157"/>
        <v>0</v>
      </c>
      <c r="AT315">
        <f t="shared" si="169"/>
        <v>0</v>
      </c>
      <c r="AU315">
        <f t="shared" si="170"/>
        <v>0</v>
      </c>
      <c r="AV315">
        <f t="shared" si="171"/>
        <v>0</v>
      </c>
      <c r="AW315">
        <f t="shared" si="172"/>
        <v>0</v>
      </c>
      <c r="AX315">
        <f t="shared" si="173"/>
        <v>0</v>
      </c>
      <c r="AY315">
        <f t="shared" si="174"/>
        <v>0</v>
      </c>
      <c r="AZ315">
        <f t="shared" si="175"/>
        <v>0</v>
      </c>
      <c r="BA315">
        <f t="shared" si="176"/>
        <v>0</v>
      </c>
      <c r="BB315">
        <f t="shared" si="177"/>
        <v>0</v>
      </c>
      <c r="BC315">
        <f t="shared" si="178"/>
        <v>0</v>
      </c>
      <c r="BD315">
        <f t="shared" si="179"/>
        <v>0</v>
      </c>
      <c r="BE315">
        <f t="shared" si="180"/>
        <v>0</v>
      </c>
      <c r="BF315">
        <f t="shared" si="181"/>
        <v>0</v>
      </c>
      <c r="BG315">
        <f t="shared" si="182"/>
        <v>0</v>
      </c>
      <c r="BH315">
        <f t="shared" si="183"/>
        <v>1</v>
      </c>
      <c r="BI315">
        <f t="shared" si="184"/>
        <v>0</v>
      </c>
    </row>
    <row r="316" spans="1:61" x14ac:dyDescent="0.35">
      <c r="A316" t="s">
        <v>196</v>
      </c>
      <c r="B316" s="1">
        <v>38593</v>
      </c>
      <c r="C316" t="s">
        <v>719</v>
      </c>
      <c r="D316" t="s">
        <v>163</v>
      </c>
      <c r="E316" t="s">
        <v>237</v>
      </c>
      <c r="F316" t="s">
        <v>577</v>
      </c>
      <c r="G316" t="s">
        <v>64</v>
      </c>
      <c r="H316" s="139">
        <f t="shared" si="158"/>
        <v>1</v>
      </c>
      <c r="I316" t="s">
        <v>234</v>
      </c>
      <c r="J316" t="s">
        <v>186</v>
      </c>
      <c r="K316" s="2">
        <f t="shared" si="161"/>
        <v>4</v>
      </c>
      <c r="L316">
        <v>450000000</v>
      </c>
      <c r="M316" s="2">
        <f t="shared" si="162"/>
        <v>8.653212513775344</v>
      </c>
      <c r="N316">
        <f>L316</f>
        <v>450000000</v>
      </c>
      <c r="O316">
        <v>0</v>
      </c>
      <c r="P316" s="1">
        <v>40120</v>
      </c>
      <c r="Q316" s="89">
        <f t="shared" si="163"/>
        <v>2009</v>
      </c>
      <c r="R316" t="s">
        <v>338</v>
      </c>
      <c r="S316">
        <v>0</v>
      </c>
      <c r="T316" s="21">
        <f t="shared" si="154"/>
        <v>4.183561643835616</v>
      </c>
      <c r="U316">
        <v>342.74</v>
      </c>
      <c r="V316">
        <f t="shared" si="164"/>
        <v>2.5362300726332561</v>
      </c>
      <c r="W316">
        <v>1996</v>
      </c>
      <c r="X316">
        <v>9</v>
      </c>
      <c r="Y316">
        <f t="shared" si="165"/>
        <v>1</v>
      </c>
      <c r="Z316" s="45">
        <v>2.3199999999999998</v>
      </c>
      <c r="AA316" s="9">
        <f t="shared" si="155"/>
        <v>-450000000</v>
      </c>
      <c r="AB316" s="15">
        <f t="shared" si="156"/>
        <v>-1</v>
      </c>
      <c r="AC316" s="34">
        <f t="shared" si="166"/>
        <v>-1</v>
      </c>
      <c r="AD316">
        <v>1669.0315179326171</v>
      </c>
      <c r="AE316">
        <f t="shared" si="159"/>
        <v>3.22246453795844</v>
      </c>
      <c r="AF316">
        <v>5094.7953145755328</v>
      </c>
      <c r="AG316">
        <f t="shared" si="160"/>
        <v>3.7071267407396937</v>
      </c>
      <c r="AH316" s="9">
        <v>569.16666666666697</v>
      </c>
      <c r="AI316" s="9">
        <f t="shared" si="167"/>
        <v>2.756001823801419</v>
      </c>
      <c r="AJ316">
        <v>70</v>
      </c>
      <c r="AK316" s="23" t="s">
        <v>430</v>
      </c>
      <c r="AL316" s="42">
        <v>53.2941466273667</v>
      </c>
      <c r="AM316" s="24">
        <v>-0.14000000000000001</v>
      </c>
      <c r="AN316" s="34">
        <f t="shared" si="168"/>
        <v>-6.5501548756432285E-2</v>
      </c>
      <c r="AO316">
        <v>1981</v>
      </c>
      <c r="AP316">
        <v>24</v>
      </c>
      <c r="AQ316">
        <v>85</v>
      </c>
      <c r="AR316">
        <v>80</v>
      </c>
      <c r="AS316">
        <f t="shared" si="157"/>
        <v>1</v>
      </c>
      <c r="AT316">
        <f t="shared" si="169"/>
        <v>0</v>
      </c>
      <c r="AU316">
        <f t="shared" si="170"/>
        <v>0</v>
      </c>
      <c r="AV316">
        <f t="shared" si="171"/>
        <v>0</v>
      </c>
      <c r="AW316">
        <f t="shared" si="172"/>
        <v>0</v>
      </c>
      <c r="AX316">
        <f t="shared" si="173"/>
        <v>0</v>
      </c>
      <c r="AY316">
        <f t="shared" si="174"/>
        <v>0</v>
      </c>
      <c r="AZ316">
        <f t="shared" si="175"/>
        <v>1</v>
      </c>
      <c r="BA316">
        <f t="shared" si="176"/>
        <v>0</v>
      </c>
      <c r="BB316">
        <f t="shared" si="177"/>
        <v>0</v>
      </c>
      <c r="BC316">
        <f t="shared" si="178"/>
        <v>0</v>
      </c>
      <c r="BD316">
        <f t="shared" si="179"/>
        <v>0</v>
      </c>
      <c r="BE316">
        <f t="shared" si="180"/>
        <v>0</v>
      </c>
      <c r="BF316">
        <f t="shared" si="181"/>
        <v>0</v>
      </c>
      <c r="BG316">
        <f t="shared" si="182"/>
        <v>0</v>
      </c>
      <c r="BH316">
        <f t="shared" si="183"/>
        <v>0</v>
      </c>
      <c r="BI316">
        <f t="shared" si="184"/>
        <v>0</v>
      </c>
    </row>
    <row r="317" spans="1:61" x14ac:dyDescent="0.35">
      <c r="A317" t="s">
        <v>352</v>
      </c>
      <c r="B317" s="1">
        <v>36843</v>
      </c>
      <c r="C317" t="s">
        <v>720</v>
      </c>
      <c r="D317" t="s">
        <v>45</v>
      </c>
      <c r="E317" t="s">
        <v>233</v>
      </c>
      <c r="F317" t="s">
        <v>577</v>
      </c>
      <c r="G317" t="s">
        <v>64</v>
      </c>
      <c r="H317" s="139">
        <f t="shared" si="158"/>
        <v>1</v>
      </c>
      <c r="I317" t="s">
        <v>234</v>
      </c>
      <c r="J317" t="s">
        <v>186</v>
      </c>
      <c r="K317" s="2">
        <f t="shared" si="161"/>
        <v>4</v>
      </c>
      <c r="L317">
        <v>30000000</v>
      </c>
      <c r="M317" s="2">
        <f t="shared" si="162"/>
        <v>7.4771212547196626</v>
      </c>
      <c r="N317">
        <f>L317</f>
        <v>30000000</v>
      </c>
      <c r="O317">
        <v>0</v>
      </c>
      <c r="P317" s="1">
        <v>37621</v>
      </c>
      <c r="Q317" s="89">
        <f t="shared" si="163"/>
        <v>2002</v>
      </c>
      <c r="R317" t="s">
        <v>338</v>
      </c>
      <c r="S317">
        <v>0</v>
      </c>
      <c r="T317" s="21">
        <f t="shared" si="154"/>
        <v>2.1315068493150684</v>
      </c>
      <c r="U317">
        <v>5897.96</v>
      </c>
      <c r="V317">
        <f t="shared" si="164"/>
        <v>3.7707754512906644</v>
      </c>
      <c r="W317">
        <v>1982</v>
      </c>
      <c r="X317">
        <v>18</v>
      </c>
      <c r="Y317">
        <f t="shared" si="165"/>
        <v>1.2787536009528289</v>
      </c>
      <c r="Z317" s="45">
        <v>2.3199999999999998</v>
      </c>
      <c r="AA317" s="9">
        <f t="shared" si="155"/>
        <v>-30000000</v>
      </c>
      <c r="AB317" s="15">
        <f t="shared" si="156"/>
        <v>-1</v>
      </c>
      <c r="AC317" s="34">
        <f t="shared" si="166"/>
        <v>-1</v>
      </c>
      <c r="AD317">
        <v>1669.0315179326171</v>
      </c>
      <c r="AE317">
        <f t="shared" si="159"/>
        <v>3.22246453795844</v>
      </c>
      <c r="AF317">
        <v>5094.7953145755328</v>
      </c>
      <c r="AG317">
        <f t="shared" si="160"/>
        <v>3.7071267407396937</v>
      </c>
      <c r="AH317" s="9">
        <v>132</v>
      </c>
      <c r="AI317" s="9">
        <f t="shared" si="167"/>
        <v>2.1238516409670858</v>
      </c>
      <c r="AJ317">
        <v>85</v>
      </c>
      <c r="AK317" s="23" t="s">
        <v>351</v>
      </c>
      <c r="AL317" s="42">
        <v>34.298950279384798</v>
      </c>
      <c r="AM317" s="24">
        <v>-0.35</v>
      </c>
      <c r="AN317" s="34">
        <f t="shared" si="168"/>
        <v>-0.18708664335714442</v>
      </c>
      <c r="AO317">
        <v>1981</v>
      </c>
      <c r="AP317">
        <v>19</v>
      </c>
      <c r="AQ317">
        <v>70</v>
      </c>
      <c r="AR317">
        <v>70</v>
      </c>
      <c r="AS317">
        <f t="shared" si="157"/>
        <v>1</v>
      </c>
      <c r="AT317">
        <f t="shared" si="169"/>
        <v>1</v>
      </c>
      <c r="AU317">
        <f t="shared" si="170"/>
        <v>0</v>
      </c>
      <c r="AV317">
        <f t="shared" si="171"/>
        <v>0</v>
      </c>
      <c r="AW317">
        <f t="shared" si="172"/>
        <v>0</v>
      </c>
      <c r="AX317">
        <f t="shared" si="173"/>
        <v>0</v>
      </c>
      <c r="AY317">
        <f t="shared" si="174"/>
        <v>0</v>
      </c>
      <c r="AZ317">
        <f t="shared" si="175"/>
        <v>0</v>
      </c>
      <c r="BA317">
        <f t="shared" si="176"/>
        <v>0</v>
      </c>
      <c r="BB317">
        <f t="shared" si="177"/>
        <v>0</v>
      </c>
      <c r="BC317">
        <f t="shared" si="178"/>
        <v>0</v>
      </c>
      <c r="BD317">
        <f t="shared" si="179"/>
        <v>0</v>
      </c>
      <c r="BE317">
        <f t="shared" si="180"/>
        <v>0</v>
      </c>
      <c r="BF317">
        <f t="shared" si="181"/>
        <v>0</v>
      </c>
      <c r="BG317">
        <f t="shared" si="182"/>
        <v>0</v>
      </c>
      <c r="BH317">
        <f t="shared" si="183"/>
        <v>0</v>
      </c>
      <c r="BI317">
        <f t="shared" si="184"/>
        <v>0</v>
      </c>
    </row>
    <row r="318" spans="1:61" x14ac:dyDescent="0.35">
      <c r="A318" t="s">
        <v>196</v>
      </c>
      <c r="B318" s="1">
        <v>41233</v>
      </c>
      <c r="C318" t="s">
        <v>721</v>
      </c>
      <c r="D318" t="s">
        <v>45</v>
      </c>
      <c r="E318" t="s">
        <v>722</v>
      </c>
      <c r="F318" t="s">
        <v>577</v>
      </c>
      <c r="G318" t="s">
        <v>64</v>
      </c>
      <c r="H318" s="139">
        <f t="shared" si="158"/>
        <v>1</v>
      </c>
      <c r="I318" t="s">
        <v>611</v>
      </c>
      <c r="J318" t="s">
        <v>186</v>
      </c>
      <c r="K318" s="2">
        <f t="shared" si="161"/>
        <v>4</v>
      </c>
      <c r="L318">
        <v>6580000000</v>
      </c>
      <c r="M318" s="2">
        <f t="shared" si="162"/>
        <v>9.8182258936139561</v>
      </c>
      <c r="N318">
        <v>1990000000</v>
      </c>
      <c r="O318">
        <v>4590000000</v>
      </c>
      <c r="P318" s="1">
        <v>42359</v>
      </c>
      <c r="Q318" s="89">
        <f t="shared" si="163"/>
        <v>2015</v>
      </c>
      <c r="R318" t="s">
        <v>107</v>
      </c>
      <c r="S318">
        <v>2899800000</v>
      </c>
      <c r="T318" s="21">
        <f t="shared" si="154"/>
        <v>3.0849315068493151</v>
      </c>
      <c r="U318">
        <v>5897.96</v>
      </c>
      <c r="V318">
        <f t="shared" si="164"/>
        <v>3.7707754512906644</v>
      </c>
      <c r="W318">
        <v>2003</v>
      </c>
      <c r="X318">
        <v>9</v>
      </c>
      <c r="Y318">
        <f t="shared" si="165"/>
        <v>1</v>
      </c>
      <c r="Z318" s="45">
        <v>2.3199999999999998</v>
      </c>
      <c r="AA318" s="9">
        <f t="shared" si="155"/>
        <v>909800000</v>
      </c>
      <c r="AB318" s="15">
        <f t="shared" si="156"/>
        <v>-0.55930091185410336</v>
      </c>
      <c r="AC318" s="34">
        <f t="shared" si="166"/>
        <v>-0.35585784809143139</v>
      </c>
      <c r="AD318">
        <v>1655.1111111111111</v>
      </c>
      <c r="AE318">
        <f t="shared" si="159"/>
        <v>3.2188271541979425</v>
      </c>
      <c r="AF318">
        <v>5715.5555555555547</v>
      </c>
      <c r="AG318">
        <f t="shared" si="160"/>
        <v>3.7570584504768405</v>
      </c>
      <c r="AH318" s="9">
        <v>132</v>
      </c>
      <c r="AI318" s="9">
        <f t="shared" si="167"/>
        <v>2.1238516409670858</v>
      </c>
      <c r="AJ318">
        <v>91.1</v>
      </c>
      <c r="AK318" s="23" t="s">
        <v>144</v>
      </c>
      <c r="AL318" s="42">
        <v>40.229046020662899</v>
      </c>
      <c r="AM318" s="24">
        <v>0.46</v>
      </c>
      <c r="AN318" s="34">
        <f t="shared" si="168"/>
        <v>0.16435285578443709</v>
      </c>
      <c r="AO318">
        <v>1986</v>
      </c>
      <c r="AP318">
        <v>26</v>
      </c>
      <c r="AQ318">
        <v>70</v>
      </c>
      <c r="AR318">
        <v>70</v>
      </c>
      <c r="AS318">
        <f t="shared" si="157"/>
        <v>0</v>
      </c>
      <c r="AT318">
        <f t="shared" si="169"/>
        <v>1</v>
      </c>
      <c r="AU318">
        <f t="shared" si="170"/>
        <v>0</v>
      </c>
      <c r="AV318">
        <f t="shared" si="171"/>
        <v>0</v>
      </c>
      <c r="AW318">
        <f t="shared" si="172"/>
        <v>0</v>
      </c>
      <c r="AX318">
        <f t="shared" si="173"/>
        <v>0</v>
      </c>
      <c r="AY318">
        <f t="shared" si="174"/>
        <v>0</v>
      </c>
      <c r="AZ318">
        <f t="shared" si="175"/>
        <v>0</v>
      </c>
      <c r="BA318">
        <f t="shared" si="176"/>
        <v>0</v>
      </c>
      <c r="BB318">
        <f t="shared" si="177"/>
        <v>0</v>
      </c>
      <c r="BC318">
        <f t="shared" si="178"/>
        <v>0</v>
      </c>
      <c r="BD318">
        <f t="shared" si="179"/>
        <v>0</v>
      </c>
      <c r="BE318">
        <f t="shared" si="180"/>
        <v>0</v>
      </c>
      <c r="BF318">
        <f t="shared" si="181"/>
        <v>0</v>
      </c>
      <c r="BG318">
        <f t="shared" si="182"/>
        <v>0</v>
      </c>
      <c r="BH318">
        <f t="shared" si="183"/>
        <v>0</v>
      </c>
      <c r="BI318">
        <f t="shared" si="184"/>
        <v>0</v>
      </c>
    </row>
    <row r="319" spans="1:61" x14ac:dyDescent="0.35">
      <c r="A319" t="s">
        <v>196</v>
      </c>
      <c r="B319" s="1">
        <v>40225</v>
      </c>
      <c r="C319" t="s">
        <v>723</v>
      </c>
      <c r="D319" t="s">
        <v>163</v>
      </c>
      <c r="E319" t="s">
        <v>724</v>
      </c>
      <c r="F319" t="s">
        <v>577</v>
      </c>
      <c r="G319" t="s">
        <v>64</v>
      </c>
      <c r="H319" s="139">
        <f t="shared" si="158"/>
        <v>1</v>
      </c>
      <c r="I319" t="s">
        <v>234</v>
      </c>
      <c r="J319" t="s">
        <v>269</v>
      </c>
      <c r="K319" s="2">
        <f t="shared" si="161"/>
        <v>7</v>
      </c>
      <c r="L319">
        <v>806407825</v>
      </c>
      <c r="M319" s="2">
        <f t="shared" si="162"/>
        <v>8.9065547333100721</v>
      </c>
      <c r="N319">
        <f t="shared" ref="N319:N330" si="188">L319</f>
        <v>806407825</v>
      </c>
      <c r="O319">
        <v>0</v>
      </c>
      <c r="P319" s="1">
        <v>41926</v>
      </c>
      <c r="Q319" s="89">
        <f t="shared" si="163"/>
        <v>2014</v>
      </c>
      <c r="R319" t="s">
        <v>107</v>
      </c>
      <c r="S319">
        <v>1011346446</v>
      </c>
      <c r="T319" s="21">
        <f t="shared" si="154"/>
        <v>4.6602739726027398</v>
      </c>
      <c r="U319">
        <v>342.74</v>
      </c>
      <c r="V319">
        <f t="shared" si="164"/>
        <v>2.5362300726332561</v>
      </c>
      <c r="W319">
        <v>2005</v>
      </c>
      <c r="X319">
        <v>5</v>
      </c>
      <c r="Y319">
        <f t="shared" si="165"/>
        <v>0.77815125038364363</v>
      </c>
      <c r="Z319" s="45">
        <v>2.3199999999999998</v>
      </c>
      <c r="AA319" s="9">
        <f t="shared" si="155"/>
        <v>204938621</v>
      </c>
      <c r="AB319" s="15">
        <f t="shared" si="156"/>
        <v>0.25413768895409716</v>
      </c>
      <c r="AC319" s="34">
        <f t="shared" si="166"/>
        <v>9.8345219325912878E-2</v>
      </c>
      <c r="AD319">
        <v>1655.1111111111111</v>
      </c>
      <c r="AE319">
        <f t="shared" si="159"/>
        <v>3.2188271541979425</v>
      </c>
      <c r="AF319">
        <v>5715.5555555555547</v>
      </c>
      <c r="AG319">
        <f t="shared" si="160"/>
        <v>3.7570584504768405</v>
      </c>
      <c r="AH319" s="9">
        <v>569.16666666666697</v>
      </c>
      <c r="AI319" s="9">
        <f t="shared" si="167"/>
        <v>2.756001823801419</v>
      </c>
      <c r="AJ319">
        <v>86.3</v>
      </c>
      <c r="AK319" s="23" t="s">
        <v>210</v>
      </c>
      <c r="AL319" s="42">
        <v>56.8818351627258</v>
      </c>
      <c r="AM319" s="24">
        <v>0.71</v>
      </c>
      <c r="AN319" s="34">
        <f t="shared" si="168"/>
        <v>0.23299611039215382</v>
      </c>
      <c r="AO319">
        <v>1986</v>
      </c>
      <c r="AP319">
        <v>24</v>
      </c>
      <c r="AQ319">
        <v>85</v>
      </c>
      <c r="AR319">
        <v>80</v>
      </c>
      <c r="AS319">
        <f t="shared" si="157"/>
        <v>0</v>
      </c>
      <c r="AT319">
        <f t="shared" si="169"/>
        <v>0</v>
      </c>
      <c r="AU319">
        <f t="shared" si="170"/>
        <v>0</v>
      </c>
      <c r="AV319">
        <f t="shared" si="171"/>
        <v>0</v>
      </c>
      <c r="AW319">
        <f t="shared" si="172"/>
        <v>0</v>
      </c>
      <c r="AX319">
        <f t="shared" si="173"/>
        <v>0</v>
      </c>
      <c r="AY319">
        <f t="shared" si="174"/>
        <v>0</v>
      </c>
      <c r="AZ319">
        <f t="shared" si="175"/>
        <v>1</v>
      </c>
      <c r="BA319">
        <f t="shared" si="176"/>
        <v>0</v>
      </c>
      <c r="BB319">
        <f t="shared" si="177"/>
        <v>0</v>
      </c>
      <c r="BC319">
        <f t="shared" si="178"/>
        <v>0</v>
      </c>
      <c r="BD319">
        <f t="shared" si="179"/>
        <v>0</v>
      </c>
      <c r="BE319">
        <f t="shared" si="180"/>
        <v>0</v>
      </c>
      <c r="BF319">
        <f t="shared" si="181"/>
        <v>0</v>
      </c>
      <c r="BG319">
        <f t="shared" si="182"/>
        <v>0</v>
      </c>
      <c r="BH319">
        <f t="shared" si="183"/>
        <v>0</v>
      </c>
      <c r="BI319">
        <f t="shared" si="184"/>
        <v>0</v>
      </c>
    </row>
    <row r="320" spans="1:61" x14ac:dyDescent="0.35">
      <c r="A320" t="s">
        <v>196</v>
      </c>
      <c r="B320" s="1">
        <v>40178</v>
      </c>
      <c r="C320" t="s">
        <v>725</v>
      </c>
      <c r="D320" t="s">
        <v>2</v>
      </c>
      <c r="E320" t="s">
        <v>724</v>
      </c>
      <c r="F320" t="s">
        <v>577</v>
      </c>
      <c r="G320" t="s">
        <v>64</v>
      </c>
      <c r="H320" s="139">
        <f t="shared" si="158"/>
        <v>1</v>
      </c>
      <c r="I320" t="s">
        <v>234</v>
      </c>
      <c r="J320" t="s">
        <v>190</v>
      </c>
      <c r="K320" s="2">
        <f t="shared" si="161"/>
        <v>2</v>
      </c>
      <c r="L320">
        <v>494351317</v>
      </c>
      <c r="M320" s="2">
        <f t="shared" si="162"/>
        <v>8.6940356954964511</v>
      </c>
      <c r="N320">
        <f t="shared" si="188"/>
        <v>494351317</v>
      </c>
      <c r="O320">
        <v>0</v>
      </c>
      <c r="P320" s="1">
        <v>42278</v>
      </c>
      <c r="Q320" s="89">
        <f t="shared" si="163"/>
        <v>2015</v>
      </c>
      <c r="R320" t="s">
        <v>152</v>
      </c>
      <c r="S320">
        <v>2011079652</v>
      </c>
      <c r="T320" s="21">
        <f t="shared" si="154"/>
        <v>5.7534246575342465</v>
      </c>
      <c r="U320">
        <v>917.19</v>
      </c>
      <c r="V320">
        <f t="shared" si="164"/>
        <v>2.9629325585580042</v>
      </c>
      <c r="W320">
        <v>1998</v>
      </c>
      <c r="X320">
        <v>11</v>
      </c>
      <c r="Y320">
        <f t="shared" si="165"/>
        <v>1.0791812460476249</v>
      </c>
      <c r="Z320" s="45">
        <v>2.62</v>
      </c>
      <c r="AA320" s="9">
        <f t="shared" si="155"/>
        <v>1516728335</v>
      </c>
      <c r="AB320" s="15">
        <f t="shared" si="156"/>
        <v>3.0681183256562461</v>
      </c>
      <c r="AC320" s="34">
        <f t="shared" si="166"/>
        <v>0.60939357636285729</v>
      </c>
      <c r="AD320">
        <v>1655.1111111111111</v>
      </c>
      <c r="AE320">
        <f t="shared" si="159"/>
        <v>3.2188271541979425</v>
      </c>
      <c r="AF320">
        <v>5715.5555555555547</v>
      </c>
      <c r="AG320">
        <f t="shared" si="160"/>
        <v>3.7570584504768405</v>
      </c>
      <c r="AH320" s="9">
        <v>854.66666666666697</v>
      </c>
      <c r="AI320" s="9">
        <f t="shared" si="167"/>
        <v>2.9323046139517812</v>
      </c>
      <c r="AJ320">
        <v>90.3</v>
      </c>
      <c r="AK320" s="23" t="s">
        <v>521</v>
      </c>
      <c r="AL320" s="42">
        <v>47.576210837790804</v>
      </c>
      <c r="AM320" s="24">
        <v>0.73</v>
      </c>
      <c r="AN320" s="34">
        <f t="shared" si="168"/>
        <v>0.2380461031287954</v>
      </c>
      <c r="AO320">
        <v>1986</v>
      </c>
      <c r="AP320">
        <v>23</v>
      </c>
      <c r="AQ320">
        <v>70</v>
      </c>
      <c r="AR320">
        <v>70</v>
      </c>
      <c r="AS320">
        <f t="shared" si="157"/>
        <v>0</v>
      </c>
      <c r="AT320">
        <f t="shared" si="169"/>
        <v>0</v>
      </c>
      <c r="AU320">
        <f t="shared" si="170"/>
        <v>0</v>
      </c>
      <c r="AV320">
        <f t="shared" si="171"/>
        <v>0</v>
      </c>
      <c r="AW320">
        <f t="shared" si="172"/>
        <v>0</v>
      </c>
      <c r="AX320">
        <f t="shared" si="173"/>
        <v>0</v>
      </c>
      <c r="AY320">
        <f t="shared" si="174"/>
        <v>0</v>
      </c>
      <c r="AZ320">
        <f t="shared" si="175"/>
        <v>0</v>
      </c>
      <c r="BA320">
        <f t="shared" si="176"/>
        <v>0</v>
      </c>
      <c r="BB320">
        <f t="shared" si="177"/>
        <v>1</v>
      </c>
      <c r="BC320">
        <f t="shared" si="178"/>
        <v>0</v>
      </c>
      <c r="BD320">
        <f t="shared" si="179"/>
        <v>0</v>
      </c>
      <c r="BE320">
        <f t="shared" si="180"/>
        <v>0</v>
      </c>
      <c r="BF320">
        <f t="shared" si="181"/>
        <v>0</v>
      </c>
      <c r="BG320">
        <f t="shared" si="182"/>
        <v>0</v>
      </c>
      <c r="BH320">
        <f t="shared" si="183"/>
        <v>0</v>
      </c>
      <c r="BI320">
        <f t="shared" si="184"/>
        <v>0</v>
      </c>
    </row>
    <row r="321" spans="1:61" x14ac:dyDescent="0.35">
      <c r="A321" t="s">
        <v>726</v>
      </c>
      <c r="B321" s="1">
        <v>39987</v>
      </c>
      <c r="C321" t="s">
        <v>727</v>
      </c>
      <c r="D321" t="s">
        <v>45</v>
      </c>
      <c r="E321" t="s">
        <v>724</v>
      </c>
      <c r="F321" t="s">
        <v>577</v>
      </c>
      <c r="G321" t="s">
        <v>64</v>
      </c>
      <c r="H321" s="139">
        <f t="shared" si="158"/>
        <v>1</v>
      </c>
      <c r="I321" t="s">
        <v>234</v>
      </c>
      <c r="J321" t="s">
        <v>248</v>
      </c>
      <c r="K321" s="2">
        <f t="shared" si="161"/>
        <v>5</v>
      </c>
      <c r="L321">
        <v>350000000</v>
      </c>
      <c r="M321" s="2">
        <f t="shared" si="162"/>
        <v>8.5440680443502757</v>
      </c>
      <c r="N321">
        <f t="shared" si="188"/>
        <v>350000000</v>
      </c>
      <c r="O321">
        <v>0</v>
      </c>
      <c r="P321" s="1">
        <v>41584</v>
      </c>
      <c r="Q321" s="89">
        <f t="shared" si="163"/>
        <v>2013</v>
      </c>
      <c r="R321" t="s">
        <v>107</v>
      </c>
      <c r="S321">
        <v>302490000</v>
      </c>
      <c r="T321" s="21">
        <f t="shared" si="154"/>
        <v>4.375342465753425</v>
      </c>
      <c r="U321">
        <v>5897.96</v>
      </c>
      <c r="V321">
        <f t="shared" si="164"/>
        <v>3.7707754512906644</v>
      </c>
      <c r="W321">
        <v>1986</v>
      </c>
      <c r="X321">
        <v>23</v>
      </c>
      <c r="Y321">
        <f t="shared" si="165"/>
        <v>1.3802112417116059</v>
      </c>
      <c r="Z321" s="45">
        <v>2.3199999999999998</v>
      </c>
      <c r="AA321" s="9">
        <f t="shared" si="155"/>
        <v>-47510000</v>
      </c>
      <c r="AB321" s="15">
        <f t="shared" si="156"/>
        <v>-0.13574285714285717</v>
      </c>
      <c r="AC321" s="34">
        <f t="shared" si="166"/>
        <v>-6.3357022441473329E-2</v>
      </c>
      <c r="AD321">
        <v>1655.1111111111111</v>
      </c>
      <c r="AE321">
        <f t="shared" si="159"/>
        <v>3.2188271541979425</v>
      </c>
      <c r="AF321">
        <v>5715.5555555555547</v>
      </c>
      <c r="AG321">
        <f t="shared" si="160"/>
        <v>3.7570584504768405</v>
      </c>
      <c r="AH321" s="9">
        <v>132</v>
      </c>
      <c r="AI321" s="9">
        <f t="shared" si="167"/>
        <v>2.1238516409670858</v>
      </c>
      <c r="AJ321">
        <v>91.9</v>
      </c>
      <c r="AK321" s="23" t="s">
        <v>174</v>
      </c>
      <c r="AL321" s="42">
        <v>43.262530407091703</v>
      </c>
      <c r="AM321" s="24">
        <v>0.98</v>
      </c>
      <c r="AN321" s="34">
        <f t="shared" si="168"/>
        <v>0.2966651902615311</v>
      </c>
      <c r="AO321">
        <v>1986</v>
      </c>
      <c r="AP321">
        <v>23</v>
      </c>
      <c r="AQ321">
        <v>70</v>
      </c>
      <c r="AR321">
        <v>70</v>
      </c>
      <c r="AS321">
        <f t="shared" si="157"/>
        <v>0</v>
      </c>
      <c r="AT321">
        <f t="shared" si="169"/>
        <v>1</v>
      </c>
      <c r="AU321">
        <f t="shared" si="170"/>
        <v>0</v>
      </c>
      <c r="AV321">
        <f t="shared" si="171"/>
        <v>0</v>
      </c>
      <c r="AW321">
        <f t="shared" si="172"/>
        <v>0</v>
      </c>
      <c r="AX321">
        <f t="shared" si="173"/>
        <v>0</v>
      </c>
      <c r="AY321">
        <f t="shared" si="174"/>
        <v>0</v>
      </c>
      <c r="AZ321">
        <f t="shared" si="175"/>
        <v>0</v>
      </c>
      <c r="BA321">
        <f t="shared" si="176"/>
        <v>0</v>
      </c>
      <c r="BB321">
        <f t="shared" si="177"/>
        <v>0</v>
      </c>
      <c r="BC321">
        <f t="shared" si="178"/>
        <v>0</v>
      </c>
      <c r="BD321">
        <f t="shared" si="179"/>
        <v>0</v>
      </c>
      <c r="BE321">
        <f t="shared" si="180"/>
        <v>0</v>
      </c>
      <c r="BF321">
        <f t="shared" si="181"/>
        <v>0</v>
      </c>
      <c r="BG321">
        <f t="shared" si="182"/>
        <v>0</v>
      </c>
      <c r="BH321">
        <f t="shared" si="183"/>
        <v>0</v>
      </c>
      <c r="BI321">
        <f t="shared" si="184"/>
        <v>0</v>
      </c>
    </row>
    <row r="322" spans="1:61" x14ac:dyDescent="0.35">
      <c r="A322" t="s">
        <v>728</v>
      </c>
      <c r="B322" s="1">
        <v>39386</v>
      </c>
      <c r="C322" t="s">
        <v>479</v>
      </c>
      <c r="D322" t="s">
        <v>5</v>
      </c>
      <c r="E322" t="s">
        <v>724</v>
      </c>
      <c r="F322" t="s">
        <v>577</v>
      </c>
      <c r="G322" t="s">
        <v>64</v>
      </c>
      <c r="H322" s="139">
        <f t="shared" si="158"/>
        <v>1</v>
      </c>
      <c r="I322" t="s">
        <v>234</v>
      </c>
      <c r="J322" t="s">
        <v>178</v>
      </c>
      <c r="K322" s="2">
        <f t="shared" si="161"/>
        <v>9</v>
      </c>
      <c r="L322">
        <v>992530499</v>
      </c>
      <c r="M322" s="2">
        <f t="shared" si="162"/>
        <v>8.996743860869806</v>
      </c>
      <c r="N322">
        <f t="shared" si="188"/>
        <v>992530499</v>
      </c>
      <c r="O322">
        <v>0</v>
      </c>
      <c r="P322" s="1">
        <v>40749</v>
      </c>
      <c r="Q322" s="89">
        <f t="shared" si="163"/>
        <v>2011</v>
      </c>
      <c r="R322" t="s">
        <v>152</v>
      </c>
      <c r="S322">
        <v>1319551618</v>
      </c>
      <c r="T322" s="21">
        <f t="shared" ref="T322:T385" si="189">YEARFRAC(B322,P322,3)</f>
        <v>3.7342465753424658</v>
      </c>
      <c r="U322">
        <v>357.29</v>
      </c>
      <c r="V322">
        <f t="shared" si="164"/>
        <v>2.5542346870234227</v>
      </c>
      <c r="W322">
        <v>1991</v>
      </c>
      <c r="X322">
        <v>16</v>
      </c>
      <c r="Y322">
        <f t="shared" si="165"/>
        <v>1.2304489213782739</v>
      </c>
      <c r="Z322" s="45">
        <v>3.16</v>
      </c>
      <c r="AA322" s="9">
        <f t="shared" ref="AA322:AA383" si="190">S322-N322</f>
        <v>327021119</v>
      </c>
      <c r="AB322" s="15">
        <f t="shared" ref="AB322:AB385" si="191">(S322/L322)-1</f>
        <v>0.32948218652170613</v>
      </c>
      <c r="AC322" s="34">
        <f t="shared" si="166"/>
        <v>0.12368252267762356</v>
      </c>
      <c r="AD322">
        <v>1655.1111111111111</v>
      </c>
      <c r="AE322">
        <f t="shared" si="159"/>
        <v>3.2188271541979425</v>
      </c>
      <c r="AF322">
        <v>5715.5555555555547</v>
      </c>
      <c r="AG322">
        <f t="shared" si="160"/>
        <v>3.7570584504768405</v>
      </c>
      <c r="AH322" s="9">
        <v>971</v>
      </c>
      <c r="AI322" s="9">
        <f t="shared" si="167"/>
        <v>2.9876662649262746</v>
      </c>
      <c r="AJ322">
        <v>88.4</v>
      </c>
      <c r="AK322" s="23" t="s">
        <v>365</v>
      </c>
      <c r="AL322" s="42">
        <v>42.337645557762798</v>
      </c>
      <c r="AM322" s="24">
        <v>-0.14000000000000001</v>
      </c>
      <c r="AN322" s="34">
        <f t="shared" si="168"/>
        <v>-6.5501548756432285E-2</v>
      </c>
      <c r="AO322">
        <v>1986</v>
      </c>
      <c r="AP322">
        <v>21</v>
      </c>
      <c r="AQ322">
        <v>70</v>
      </c>
      <c r="AR322">
        <v>90</v>
      </c>
      <c r="AS322">
        <f t="shared" ref="AS322:AS385" si="192">IF(AC322=-1,1,0)</f>
        <v>0</v>
      </c>
      <c r="AT322">
        <f t="shared" si="169"/>
        <v>0</v>
      </c>
      <c r="AU322">
        <f t="shared" si="170"/>
        <v>0</v>
      </c>
      <c r="AV322">
        <f t="shared" si="171"/>
        <v>0</v>
      </c>
      <c r="AW322">
        <f t="shared" si="172"/>
        <v>0</v>
      </c>
      <c r="AX322">
        <f t="shared" si="173"/>
        <v>0</v>
      </c>
      <c r="AY322">
        <f t="shared" si="174"/>
        <v>1</v>
      </c>
      <c r="AZ322">
        <f t="shared" si="175"/>
        <v>0</v>
      </c>
      <c r="BA322">
        <f t="shared" si="176"/>
        <v>0</v>
      </c>
      <c r="BB322">
        <f t="shared" si="177"/>
        <v>0</v>
      </c>
      <c r="BC322">
        <f t="shared" si="178"/>
        <v>0</v>
      </c>
      <c r="BD322">
        <f t="shared" si="179"/>
        <v>0</v>
      </c>
      <c r="BE322">
        <f t="shared" si="180"/>
        <v>0</v>
      </c>
      <c r="BF322">
        <f t="shared" si="181"/>
        <v>0</v>
      </c>
      <c r="BG322">
        <f t="shared" si="182"/>
        <v>0</v>
      </c>
      <c r="BH322">
        <f t="shared" si="183"/>
        <v>0</v>
      </c>
      <c r="BI322">
        <f t="shared" si="184"/>
        <v>0</v>
      </c>
    </row>
    <row r="323" spans="1:61" x14ac:dyDescent="0.35">
      <c r="A323" t="s">
        <v>196</v>
      </c>
      <c r="B323" s="1">
        <v>38283</v>
      </c>
      <c r="C323" t="s">
        <v>491</v>
      </c>
      <c r="D323" t="s">
        <v>163</v>
      </c>
      <c r="E323" t="s">
        <v>729</v>
      </c>
      <c r="F323" t="s">
        <v>577</v>
      </c>
      <c r="G323" t="s">
        <v>64</v>
      </c>
      <c r="H323" s="139">
        <f t="shared" ref="H323:H386" si="193">IF(G323="domestic",0,1)</f>
        <v>1</v>
      </c>
      <c r="I323" t="s">
        <v>234</v>
      </c>
      <c r="J323" t="s">
        <v>269</v>
      </c>
      <c r="K323" s="2">
        <f t="shared" si="161"/>
        <v>7</v>
      </c>
      <c r="L323">
        <v>1310000000</v>
      </c>
      <c r="M323" s="2">
        <f t="shared" si="162"/>
        <v>9.1172712956557636</v>
      </c>
      <c r="N323">
        <f t="shared" si="188"/>
        <v>1310000000</v>
      </c>
      <c r="O323">
        <v>0</v>
      </c>
      <c r="P323" s="1">
        <v>40527</v>
      </c>
      <c r="Q323" s="89">
        <f t="shared" si="163"/>
        <v>2010</v>
      </c>
      <c r="R323" t="s">
        <v>152</v>
      </c>
      <c r="S323">
        <v>1500000000</v>
      </c>
      <c r="T323" s="21">
        <f t="shared" si="189"/>
        <v>6.1479452054794521</v>
      </c>
      <c r="U323">
        <v>342.74</v>
      </c>
      <c r="V323">
        <f t="shared" si="164"/>
        <v>2.5362300726332561</v>
      </c>
      <c r="W323">
        <v>1906</v>
      </c>
      <c r="X323">
        <v>98</v>
      </c>
      <c r="Y323">
        <f t="shared" si="165"/>
        <v>1.9956351945975499</v>
      </c>
      <c r="Z323" s="45">
        <v>2.3199999999999998</v>
      </c>
      <c r="AA323" s="9">
        <f t="shared" si="190"/>
        <v>190000000</v>
      </c>
      <c r="AB323" s="15">
        <f t="shared" si="191"/>
        <v>0.14503816793893121</v>
      </c>
      <c r="AC323" s="34">
        <f t="shared" si="166"/>
        <v>5.881996339991695E-2</v>
      </c>
      <c r="AD323">
        <v>1655.1111111111111</v>
      </c>
      <c r="AE323">
        <f t="shared" ref="AE323:AE386" si="194">LOG(AD323)</f>
        <v>3.2188271541979425</v>
      </c>
      <c r="AF323">
        <v>5715.5555555555547</v>
      </c>
      <c r="AG323">
        <f t="shared" ref="AG323:AG386" si="195">LOG(AF323)</f>
        <v>3.7570584504768405</v>
      </c>
      <c r="AH323" s="9">
        <v>569.16666666666697</v>
      </c>
      <c r="AI323" s="9">
        <f t="shared" si="167"/>
        <v>2.756001823801419</v>
      </c>
      <c r="AJ323">
        <v>70</v>
      </c>
      <c r="AK323" s="23" t="s">
        <v>243</v>
      </c>
      <c r="AL323" s="42">
        <v>52.984855215816303</v>
      </c>
      <c r="AM323" s="24">
        <v>0.13</v>
      </c>
      <c r="AN323" s="34">
        <f t="shared" si="168"/>
        <v>5.3078443483419682E-2</v>
      </c>
      <c r="AO323">
        <v>1986</v>
      </c>
      <c r="AP323">
        <v>18</v>
      </c>
      <c r="AQ323">
        <v>85</v>
      </c>
      <c r="AR323">
        <v>80</v>
      </c>
      <c r="AS323">
        <f t="shared" si="192"/>
        <v>0</v>
      </c>
      <c r="AT323">
        <f t="shared" si="169"/>
        <v>0</v>
      </c>
      <c r="AU323">
        <f t="shared" si="170"/>
        <v>0</v>
      </c>
      <c r="AV323">
        <f t="shared" si="171"/>
        <v>0</v>
      </c>
      <c r="AW323">
        <f t="shared" si="172"/>
        <v>0</v>
      </c>
      <c r="AX323">
        <f t="shared" si="173"/>
        <v>0</v>
      </c>
      <c r="AY323">
        <f t="shared" si="174"/>
        <v>0</v>
      </c>
      <c r="AZ323">
        <f t="shared" si="175"/>
        <v>1</v>
      </c>
      <c r="BA323">
        <f t="shared" si="176"/>
        <v>0</v>
      </c>
      <c r="BB323">
        <f t="shared" si="177"/>
        <v>0</v>
      </c>
      <c r="BC323">
        <f t="shared" si="178"/>
        <v>0</v>
      </c>
      <c r="BD323">
        <f t="shared" si="179"/>
        <v>0</v>
      </c>
      <c r="BE323">
        <f t="shared" si="180"/>
        <v>0</v>
      </c>
      <c r="BF323">
        <f t="shared" si="181"/>
        <v>0</v>
      </c>
      <c r="BG323">
        <f t="shared" si="182"/>
        <v>0</v>
      </c>
      <c r="BH323">
        <f t="shared" si="183"/>
        <v>0</v>
      </c>
      <c r="BI323">
        <f t="shared" si="184"/>
        <v>0</v>
      </c>
    </row>
    <row r="324" spans="1:61" x14ac:dyDescent="0.35">
      <c r="A324" t="s">
        <v>196</v>
      </c>
      <c r="B324" s="1">
        <v>37805</v>
      </c>
      <c r="C324" t="s">
        <v>730</v>
      </c>
      <c r="D324" t="s">
        <v>2</v>
      </c>
      <c r="E324" t="s">
        <v>729</v>
      </c>
      <c r="F324" t="s">
        <v>577</v>
      </c>
      <c r="G324" t="s">
        <v>64</v>
      </c>
      <c r="H324" s="139">
        <f t="shared" si="193"/>
        <v>1</v>
      </c>
      <c r="I324" t="s">
        <v>234</v>
      </c>
      <c r="J324" t="s">
        <v>186</v>
      </c>
      <c r="K324" s="2">
        <f t="shared" si="161"/>
        <v>4</v>
      </c>
      <c r="L324">
        <v>2769360000</v>
      </c>
      <c r="M324" s="2">
        <f t="shared" si="162"/>
        <v>9.4423794150633888</v>
      </c>
      <c r="N324">
        <f t="shared" si="188"/>
        <v>2769360000</v>
      </c>
      <c r="O324">
        <v>0</v>
      </c>
      <c r="P324" s="1">
        <v>40206</v>
      </c>
      <c r="Q324" s="89">
        <f t="shared" si="163"/>
        <v>2010</v>
      </c>
      <c r="R324" t="s">
        <v>107</v>
      </c>
      <c r="S324">
        <v>3500000000</v>
      </c>
      <c r="T324" s="21">
        <f t="shared" si="189"/>
        <v>6.5780821917808217</v>
      </c>
      <c r="U324">
        <v>917.19</v>
      </c>
      <c r="V324">
        <f t="shared" si="164"/>
        <v>2.9629325585580042</v>
      </c>
      <c r="W324">
        <v>2002</v>
      </c>
      <c r="X324">
        <v>1</v>
      </c>
      <c r="Y324">
        <f t="shared" si="165"/>
        <v>0.3010299956639812</v>
      </c>
      <c r="Z324" s="45">
        <v>2.62</v>
      </c>
      <c r="AA324" s="9">
        <f t="shared" si="190"/>
        <v>730640000</v>
      </c>
      <c r="AB324" s="15">
        <f t="shared" si="191"/>
        <v>0.2638299101597481</v>
      </c>
      <c r="AC324" s="34">
        <f t="shared" si="166"/>
        <v>0.10168862928688671</v>
      </c>
      <c r="AD324">
        <v>1655.1111111111111</v>
      </c>
      <c r="AE324">
        <f t="shared" si="194"/>
        <v>3.2188271541979425</v>
      </c>
      <c r="AF324">
        <v>5715.5555555555547</v>
      </c>
      <c r="AG324">
        <f t="shared" si="195"/>
        <v>3.7570584504768405</v>
      </c>
      <c r="AH324" s="9">
        <v>854.66666666666697</v>
      </c>
      <c r="AI324" s="9">
        <f t="shared" si="167"/>
        <v>2.9323046139517812</v>
      </c>
      <c r="AJ324">
        <v>70</v>
      </c>
      <c r="AK324" s="23" t="s">
        <v>153</v>
      </c>
      <c r="AL324" s="42">
        <v>47.8156192569637</v>
      </c>
      <c r="AM324" s="24">
        <v>0.1</v>
      </c>
      <c r="AN324" s="34">
        <f t="shared" si="168"/>
        <v>4.1392685158225077E-2</v>
      </c>
      <c r="AO324">
        <v>1986</v>
      </c>
      <c r="AP324">
        <v>17</v>
      </c>
      <c r="AQ324">
        <v>70</v>
      </c>
      <c r="AR324">
        <v>70</v>
      </c>
      <c r="AS324">
        <f t="shared" si="192"/>
        <v>0</v>
      </c>
      <c r="AT324">
        <f t="shared" si="169"/>
        <v>0</v>
      </c>
      <c r="AU324">
        <f t="shared" si="170"/>
        <v>0</v>
      </c>
      <c r="AV324">
        <f t="shared" si="171"/>
        <v>0</v>
      </c>
      <c r="AW324">
        <f t="shared" si="172"/>
        <v>0</v>
      </c>
      <c r="AX324">
        <f t="shared" si="173"/>
        <v>0</v>
      </c>
      <c r="AY324">
        <f t="shared" si="174"/>
        <v>0</v>
      </c>
      <c r="AZ324">
        <f t="shared" si="175"/>
        <v>0</v>
      </c>
      <c r="BA324">
        <f t="shared" si="176"/>
        <v>0</v>
      </c>
      <c r="BB324">
        <f t="shared" si="177"/>
        <v>1</v>
      </c>
      <c r="BC324">
        <f t="shared" si="178"/>
        <v>0</v>
      </c>
      <c r="BD324">
        <f t="shared" si="179"/>
        <v>0</v>
      </c>
      <c r="BE324">
        <f t="shared" si="180"/>
        <v>0</v>
      </c>
      <c r="BF324">
        <f t="shared" si="181"/>
        <v>0</v>
      </c>
      <c r="BG324">
        <f t="shared" si="182"/>
        <v>0</v>
      </c>
      <c r="BH324">
        <f t="shared" si="183"/>
        <v>0</v>
      </c>
      <c r="BI324">
        <f t="shared" si="184"/>
        <v>0</v>
      </c>
    </row>
    <row r="325" spans="1:61" x14ac:dyDescent="0.35">
      <c r="A325" t="s">
        <v>196</v>
      </c>
      <c r="B325" s="1">
        <v>36357</v>
      </c>
      <c r="C325" t="s">
        <v>731</v>
      </c>
      <c r="D325" t="s">
        <v>2</v>
      </c>
      <c r="E325" t="s">
        <v>732</v>
      </c>
      <c r="F325" t="s">
        <v>577</v>
      </c>
      <c r="G325" t="s">
        <v>64</v>
      </c>
      <c r="H325" s="139">
        <f t="shared" si="193"/>
        <v>1</v>
      </c>
      <c r="I325" t="s">
        <v>234</v>
      </c>
      <c r="J325" t="s">
        <v>248</v>
      </c>
      <c r="K325" s="2">
        <f t="shared" si="161"/>
        <v>5</v>
      </c>
      <c r="L325">
        <v>1435279945</v>
      </c>
      <c r="M325" s="2">
        <f t="shared" si="162"/>
        <v>9.1569366165482577</v>
      </c>
      <c r="N325">
        <f t="shared" si="188"/>
        <v>1435279945</v>
      </c>
      <c r="O325">
        <v>0</v>
      </c>
      <c r="P325" s="1">
        <v>38182</v>
      </c>
      <c r="Q325" s="89">
        <f t="shared" si="163"/>
        <v>2004</v>
      </c>
      <c r="R325" t="s">
        <v>152</v>
      </c>
      <c r="S325">
        <v>1500000000</v>
      </c>
      <c r="T325" s="21">
        <f t="shared" si="189"/>
        <v>5</v>
      </c>
      <c r="U325">
        <v>917.19</v>
      </c>
      <c r="V325">
        <f t="shared" si="164"/>
        <v>2.9629325585580042</v>
      </c>
      <c r="W325">
        <v>1936</v>
      </c>
      <c r="X325">
        <v>63</v>
      </c>
      <c r="Y325">
        <f t="shared" si="165"/>
        <v>1.8061799739838871</v>
      </c>
      <c r="Z325" s="45">
        <v>2.62</v>
      </c>
      <c r="AA325" s="9">
        <f t="shared" si="190"/>
        <v>64720055</v>
      </c>
      <c r="AB325" s="15">
        <f t="shared" si="191"/>
        <v>4.5092286856972752E-2</v>
      </c>
      <c r="AC325" s="34">
        <f t="shared" si="166"/>
        <v>1.9154642507423002E-2</v>
      </c>
      <c r="AD325">
        <v>1655.1111111111111</v>
      </c>
      <c r="AE325">
        <f t="shared" si="194"/>
        <v>3.2188271541979425</v>
      </c>
      <c r="AF325">
        <v>5715.5555555555547</v>
      </c>
      <c r="AG325">
        <f t="shared" si="195"/>
        <v>3.7570584504768405</v>
      </c>
      <c r="AH325" s="9">
        <v>854.66666666666697</v>
      </c>
      <c r="AI325" s="9">
        <f t="shared" si="167"/>
        <v>2.9323046139517812</v>
      </c>
      <c r="AJ325">
        <v>70</v>
      </c>
      <c r="AK325" s="23" t="s">
        <v>374</v>
      </c>
      <c r="AL325" s="42">
        <v>47.694345434117203</v>
      </c>
      <c r="AM325" s="24">
        <v>-0.22</v>
      </c>
      <c r="AN325" s="34">
        <f t="shared" si="168"/>
        <v>-0.10790539730951958</v>
      </c>
      <c r="AO325">
        <v>1986</v>
      </c>
      <c r="AP325">
        <v>13</v>
      </c>
      <c r="AQ325">
        <v>70</v>
      </c>
      <c r="AR325">
        <v>70</v>
      </c>
      <c r="AS325">
        <f t="shared" si="192"/>
        <v>0</v>
      </c>
      <c r="AT325">
        <f t="shared" si="169"/>
        <v>0</v>
      </c>
      <c r="AU325">
        <f t="shared" si="170"/>
        <v>0</v>
      </c>
      <c r="AV325">
        <f t="shared" si="171"/>
        <v>0</v>
      </c>
      <c r="AW325">
        <f t="shared" si="172"/>
        <v>0</v>
      </c>
      <c r="AX325">
        <f t="shared" si="173"/>
        <v>0</v>
      </c>
      <c r="AY325">
        <f t="shared" si="174"/>
        <v>0</v>
      </c>
      <c r="AZ325">
        <f t="shared" si="175"/>
        <v>0</v>
      </c>
      <c r="BA325">
        <f t="shared" si="176"/>
        <v>0</v>
      </c>
      <c r="BB325">
        <f t="shared" si="177"/>
        <v>1</v>
      </c>
      <c r="BC325">
        <f t="shared" si="178"/>
        <v>0</v>
      </c>
      <c r="BD325">
        <f t="shared" si="179"/>
        <v>0</v>
      </c>
      <c r="BE325">
        <f t="shared" si="180"/>
        <v>0</v>
      </c>
      <c r="BF325">
        <f t="shared" si="181"/>
        <v>0</v>
      </c>
      <c r="BG325">
        <f t="shared" si="182"/>
        <v>0</v>
      </c>
      <c r="BH325">
        <f t="shared" si="183"/>
        <v>0</v>
      </c>
      <c r="BI325">
        <f t="shared" si="184"/>
        <v>0</v>
      </c>
    </row>
    <row r="326" spans="1:61" x14ac:dyDescent="0.35">
      <c r="A326" t="s">
        <v>196</v>
      </c>
      <c r="B326" s="1">
        <v>36168</v>
      </c>
      <c r="C326" t="s">
        <v>733</v>
      </c>
      <c r="D326" t="s">
        <v>497</v>
      </c>
      <c r="E326" t="s">
        <v>732</v>
      </c>
      <c r="F326" t="s">
        <v>577</v>
      </c>
      <c r="G326" t="s">
        <v>64</v>
      </c>
      <c r="H326" s="139">
        <f t="shared" si="193"/>
        <v>1</v>
      </c>
      <c r="I326" t="s">
        <v>234</v>
      </c>
      <c r="J326" t="s">
        <v>269</v>
      </c>
      <c r="K326" s="2">
        <f t="shared" ref="K326:K389" si="196">IF(J326="Consumer Discretionary",5,IF(J326="Industrials",1,IF(J326="Energy",3,IF(J326="Health Care",2,IF(J326="Communications",4,IF(J326="Financials",6,IF(J326="Consumer Staples",7,IF(J326="Materials",8,IF(J326="Technology",9,IF(J326="Utilities",10,""))))))))))</f>
        <v>7</v>
      </c>
      <c r="L326">
        <v>519000000</v>
      </c>
      <c r="M326" s="2">
        <f t="shared" ref="M326:M389" si="197">LOG(L326)</f>
        <v>8.7151673578484576</v>
      </c>
      <c r="N326">
        <f t="shared" si="188"/>
        <v>519000000</v>
      </c>
      <c r="O326">
        <v>0</v>
      </c>
      <c r="P326" s="1">
        <v>38121</v>
      </c>
      <c r="Q326" s="89">
        <f t="shared" ref="Q326:Q389" si="198">YEAR(P326)</f>
        <v>2004</v>
      </c>
      <c r="R326" t="s">
        <v>49</v>
      </c>
      <c r="S326">
        <v>264170000</v>
      </c>
      <c r="T326" s="21">
        <f t="shared" si="189"/>
        <v>5.3506849315068497</v>
      </c>
      <c r="U326">
        <v>463.97</v>
      </c>
      <c r="V326">
        <f t="shared" ref="V326:V389" si="199">LOG(1+U326)</f>
        <v>2.6674249329872439</v>
      </c>
      <c r="W326">
        <v>1852</v>
      </c>
      <c r="X326">
        <v>147</v>
      </c>
      <c r="Y326">
        <f t="shared" ref="Y326:Y389" si="200">LOG(1+X326)</f>
        <v>2.1702617153949575</v>
      </c>
      <c r="Z326" s="45">
        <v>2.61</v>
      </c>
      <c r="AA326" s="9">
        <f t="shared" si="190"/>
        <v>-254830000</v>
      </c>
      <c r="AB326" s="15">
        <f t="shared" si="191"/>
        <v>-0.49100192678227361</v>
      </c>
      <c r="AC326" s="34">
        <f t="shared" ref="AC326:AC389" si="201">IF(AB326=-1,LOG(0.1),LOG(1+AB326))</f>
        <v>-0.2932838616563514</v>
      </c>
      <c r="AD326">
        <v>1655.1111111111111</v>
      </c>
      <c r="AE326">
        <f t="shared" si="194"/>
        <v>3.2188271541979425</v>
      </c>
      <c r="AF326">
        <v>5715.5555555555547</v>
      </c>
      <c r="AG326">
        <f t="shared" si="195"/>
        <v>3.7570584504768405</v>
      </c>
      <c r="AH326" s="9">
        <v>193.166666666667</v>
      </c>
      <c r="AI326" s="9">
        <f t="shared" ref="AI326:AI389" si="202">IF(AH326=0,0,LOG(1+AH326))</f>
        <v>2.2881746749783951</v>
      </c>
      <c r="AJ326">
        <v>85</v>
      </c>
      <c r="AK326" s="23" t="s">
        <v>498</v>
      </c>
      <c r="AL326" s="42">
        <v>33.950689057445601</v>
      </c>
      <c r="AM326" s="24">
        <v>-0.14000000000000001</v>
      </c>
      <c r="AN326" s="34">
        <f t="shared" ref="AN326:AN389" si="203">LOG(1+AM326)</f>
        <v>-6.5501548756432285E-2</v>
      </c>
      <c r="AO326">
        <v>1986</v>
      </c>
      <c r="AP326">
        <v>13</v>
      </c>
      <c r="AQ326">
        <v>70</v>
      </c>
      <c r="AR326">
        <v>70</v>
      </c>
      <c r="AS326">
        <f t="shared" si="192"/>
        <v>0</v>
      </c>
      <c r="AT326">
        <f t="shared" ref="AT326:AT389" si="204">IF($D326="US",1,0)</f>
        <v>0</v>
      </c>
      <c r="AU326">
        <f t="shared" ref="AU326:AU389" si="205">IF($D326="UK",1,0)</f>
        <v>0</v>
      </c>
      <c r="AV326">
        <f t="shared" ref="AV326:AV389" si="206">IF($D326="Norway",1,0)</f>
        <v>0</v>
      </c>
      <c r="AW326">
        <f t="shared" ref="AW326:AW389" si="207">IF($D326="Denmark",1,0)</f>
        <v>0</v>
      </c>
      <c r="AX326">
        <f t="shared" ref="AX326:AX389" si="208">IF($D326="Sweden",1,0)</f>
        <v>0</v>
      </c>
      <c r="AY326">
        <f t="shared" ref="AY326:AY389" si="209">IF($D326="Netherlands",1,0)</f>
        <v>0</v>
      </c>
      <c r="AZ326">
        <f t="shared" ref="AZ326:AZ389" si="210">IF($D326="France",1,0)</f>
        <v>0</v>
      </c>
      <c r="BA326">
        <f t="shared" ref="BA326:BA389" si="211">IF($D326="Belgium",1,0)</f>
        <v>0</v>
      </c>
      <c r="BB326">
        <f t="shared" ref="BB326:BB389" si="212">IF($D326="Germany",1,0)</f>
        <v>0</v>
      </c>
      <c r="BC326">
        <f t="shared" ref="BC326:BC389" si="213">IF($D326="Italy",1,0)</f>
        <v>0</v>
      </c>
      <c r="BD326">
        <f t="shared" ref="BD326:BD389" si="214">IF($D326="Spain",1,0)</f>
        <v>0</v>
      </c>
      <c r="BE326">
        <f t="shared" ref="BE326:BE389" si="215">IF($D326="Luxembourg",1,0)</f>
        <v>0</v>
      </c>
      <c r="BF326">
        <f t="shared" ref="BF326:BF389" si="216">IF($D326="Portugal",1,0)</f>
        <v>0</v>
      </c>
      <c r="BG326">
        <f t="shared" ref="BG326:BG389" si="217">IF($D326="Switzerland",1,0)</f>
        <v>0</v>
      </c>
      <c r="BH326">
        <f t="shared" ref="BH326:BH389" si="218">IF($D326="Ireland",1,0)</f>
        <v>1</v>
      </c>
      <c r="BI326">
        <f t="shared" ref="BI326:BI389" si="219">IF($D326="Finland",1,0)</f>
        <v>0</v>
      </c>
    </row>
    <row r="327" spans="1:61" x14ac:dyDescent="0.35">
      <c r="A327" t="s">
        <v>196</v>
      </c>
      <c r="B327" s="1">
        <v>35489</v>
      </c>
      <c r="C327" t="s">
        <v>734</v>
      </c>
      <c r="D327" t="s">
        <v>163</v>
      </c>
      <c r="E327" t="s">
        <v>732</v>
      </c>
      <c r="F327" t="s">
        <v>577</v>
      </c>
      <c r="G327" t="s">
        <v>64</v>
      </c>
      <c r="H327" s="139">
        <f t="shared" si="193"/>
        <v>1</v>
      </c>
      <c r="I327" t="s">
        <v>234</v>
      </c>
      <c r="J327" t="s">
        <v>248</v>
      </c>
      <c r="K327" s="2">
        <f t="shared" si="196"/>
        <v>5</v>
      </c>
      <c r="L327">
        <v>703970000</v>
      </c>
      <c r="M327" s="2">
        <f t="shared" si="197"/>
        <v>8.8475541518806526</v>
      </c>
      <c r="N327">
        <f t="shared" si="188"/>
        <v>703970000</v>
      </c>
      <c r="O327">
        <v>0</v>
      </c>
      <c r="P327" s="1">
        <v>37453</v>
      </c>
      <c r="Q327" s="89">
        <f t="shared" si="198"/>
        <v>2002</v>
      </c>
      <c r="R327" t="s">
        <v>152</v>
      </c>
      <c r="S327">
        <v>1500000000</v>
      </c>
      <c r="T327" s="21">
        <f t="shared" si="189"/>
        <v>5.3808219178082188</v>
      </c>
      <c r="U327">
        <v>342.74</v>
      </c>
      <c r="V327">
        <f t="shared" si="199"/>
        <v>2.5362300726332561</v>
      </c>
      <c r="W327">
        <v>1969</v>
      </c>
      <c r="X327">
        <v>28</v>
      </c>
      <c r="Y327">
        <f t="shared" si="200"/>
        <v>1.4623979978989561</v>
      </c>
      <c r="Z327" s="45">
        <v>2.3199999999999998</v>
      </c>
      <c r="AA327" s="9">
        <f t="shared" si="190"/>
        <v>796030000</v>
      </c>
      <c r="AB327" s="15">
        <f t="shared" si="191"/>
        <v>1.1307726181513416</v>
      </c>
      <c r="AC327" s="34">
        <f t="shared" si="201"/>
        <v>0.32853710717502921</v>
      </c>
      <c r="AD327">
        <v>1655.1111111111111</v>
      </c>
      <c r="AE327">
        <f t="shared" si="194"/>
        <v>3.2188271541979425</v>
      </c>
      <c r="AF327">
        <v>5715.5555555555547</v>
      </c>
      <c r="AG327">
        <f t="shared" si="195"/>
        <v>3.7570584504768405</v>
      </c>
      <c r="AH327" s="9">
        <v>569.16666666666697</v>
      </c>
      <c r="AI327" s="9">
        <f t="shared" si="202"/>
        <v>2.756001823801419</v>
      </c>
      <c r="AJ327">
        <v>85</v>
      </c>
      <c r="AK327" s="23" t="s">
        <v>735</v>
      </c>
      <c r="AL327" s="42">
        <v>54.530673116863902</v>
      </c>
      <c r="AM327" s="24">
        <v>0.14000000000000001</v>
      </c>
      <c r="AN327" s="34">
        <f t="shared" si="203"/>
        <v>5.6904851336472641E-2</v>
      </c>
      <c r="AO327">
        <v>1986</v>
      </c>
      <c r="AP327">
        <v>11</v>
      </c>
      <c r="AQ327">
        <v>85</v>
      </c>
      <c r="AR327">
        <v>80</v>
      </c>
      <c r="AS327">
        <f t="shared" si="192"/>
        <v>0</v>
      </c>
      <c r="AT327">
        <f t="shared" si="204"/>
        <v>0</v>
      </c>
      <c r="AU327">
        <f t="shared" si="205"/>
        <v>0</v>
      </c>
      <c r="AV327">
        <f t="shared" si="206"/>
        <v>0</v>
      </c>
      <c r="AW327">
        <f t="shared" si="207"/>
        <v>0</v>
      </c>
      <c r="AX327">
        <f t="shared" si="208"/>
        <v>0</v>
      </c>
      <c r="AY327">
        <f t="shared" si="209"/>
        <v>0</v>
      </c>
      <c r="AZ327">
        <f t="shared" si="210"/>
        <v>1</v>
      </c>
      <c r="BA327">
        <f t="shared" si="211"/>
        <v>0</v>
      </c>
      <c r="BB327">
        <f t="shared" si="212"/>
        <v>0</v>
      </c>
      <c r="BC327">
        <f t="shared" si="213"/>
        <v>0</v>
      </c>
      <c r="BD327">
        <f t="shared" si="214"/>
        <v>0</v>
      </c>
      <c r="BE327">
        <f t="shared" si="215"/>
        <v>0</v>
      </c>
      <c r="BF327">
        <f t="shared" si="216"/>
        <v>0</v>
      </c>
      <c r="BG327">
        <f t="shared" si="217"/>
        <v>0</v>
      </c>
      <c r="BH327">
        <f t="shared" si="218"/>
        <v>0</v>
      </c>
      <c r="BI327">
        <f t="shared" si="219"/>
        <v>0</v>
      </c>
    </row>
    <row r="328" spans="1:61" x14ac:dyDescent="0.35">
      <c r="A328" t="s">
        <v>196</v>
      </c>
      <c r="B328" s="1">
        <v>41121</v>
      </c>
      <c r="C328" t="s">
        <v>736</v>
      </c>
      <c r="D328" t="s">
        <v>45</v>
      </c>
      <c r="E328" t="s">
        <v>737</v>
      </c>
      <c r="F328" t="s">
        <v>577</v>
      </c>
      <c r="G328" t="s">
        <v>64</v>
      </c>
      <c r="H328" s="139">
        <f t="shared" si="193"/>
        <v>1</v>
      </c>
      <c r="I328" t="s">
        <v>234</v>
      </c>
      <c r="J328" t="s">
        <v>235</v>
      </c>
      <c r="K328" s="2">
        <f t="shared" si="196"/>
        <v>1</v>
      </c>
      <c r="L328">
        <v>500000000</v>
      </c>
      <c r="M328" s="2">
        <f t="shared" si="197"/>
        <v>8.6989700043360187</v>
      </c>
      <c r="N328">
        <f t="shared" si="188"/>
        <v>500000000</v>
      </c>
      <c r="O328">
        <v>0</v>
      </c>
      <c r="P328" s="1">
        <v>42612</v>
      </c>
      <c r="Q328" s="89">
        <f t="shared" si="198"/>
        <v>2016</v>
      </c>
      <c r="R328" t="s">
        <v>107</v>
      </c>
      <c r="S328">
        <v>1500000000</v>
      </c>
      <c r="T328" s="21">
        <f t="shared" si="189"/>
        <v>4.0849315068493155</v>
      </c>
      <c r="U328">
        <v>5897.96</v>
      </c>
      <c r="V328">
        <f t="shared" si="199"/>
        <v>3.7707754512906644</v>
      </c>
      <c r="W328">
        <v>2001</v>
      </c>
      <c r="X328">
        <v>11</v>
      </c>
      <c r="Y328">
        <f t="shared" si="200"/>
        <v>1.0791812460476249</v>
      </c>
      <c r="Z328" s="45">
        <v>2.3199999999999998</v>
      </c>
      <c r="AA328" s="9">
        <f t="shared" si="190"/>
        <v>1000000000</v>
      </c>
      <c r="AB328" s="15">
        <f t="shared" si="191"/>
        <v>2</v>
      </c>
      <c r="AC328" s="34">
        <f t="shared" si="201"/>
        <v>0.47712125471966244</v>
      </c>
      <c r="AD328">
        <v>1861.7599999999995</v>
      </c>
      <c r="AE328">
        <f t="shared" si="194"/>
        <v>3.2699236952309461</v>
      </c>
      <c r="AF328">
        <v>4993.920000000001</v>
      </c>
      <c r="AG328">
        <f t="shared" si="195"/>
        <v>3.6984415808994222</v>
      </c>
      <c r="AH328" s="9">
        <v>132</v>
      </c>
      <c r="AI328" s="9">
        <f t="shared" si="202"/>
        <v>2.1238516409670858</v>
      </c>
      <c r="AJ328">
        <v>91.1</v>
      </c>
      <c r="AK328" s="23" t="s">
        <v>144</v>
      </c>
      <c r="AL328" s="42">
        <v>40.229046020662899</v>
      </c>
      <c r="AM328" s="24">
        <v>0.57999999999999996</v>
      </c>
      <c r="AN328" s="34">
        <f t="shared" si="203"/>
        <v>0.19865708695442263</v>
      </c>
      <c r="AO328">
        <v>1985</v>
      </c>
      <c r="AP328">
        <v>27</v>
      </c>
      <c r="AQ328">
        <v>70</v>
      </c>
      <c r="AR328">
        <v>70</v>
      </c>
      <c r="AS328">
        <f t="shared" si="192"/>
        <v>0</v>
      </c>
      <c r="AT328">
        <f t="shared" si="204"/>
        <v>1</v>
      </c>
      <c r="AU328">
        <f t="shared" si="205"/>
        <v>0</v>
      </c>
      <c r="AV328">
        <f t="shared" si="206"/>
        <v>0</v>
      </c>
      <c r="AW328">
        <f t="shared" si="207"/>
        <v>0</v>
      </c>
      <c r="AX328">
        <f t="shared" si="208"/>
        <v>0</v>
      </c>
      <c r="AY328">
        <f t="shared" si="209"/>
        <v>0</v>
      </c>
      <c r="AZ328">
        <f t="shared" si="210"/>
        <v>0</v>
      </c>
      <c r="BA328">
        <f t="shared" si="211"/>
        <v>0</v>
      </c>
      <c r="BB328">
        <f t="shared" si="212"/>
        <v>0</v>
      </c>
      <c r="BC328">
        <f t="shared" si="213"/>
        <v>0</v>
      </c>
      <c r="BD328">
        <f t="shared" si="214"/>
        <v>0</v>
      </c>
      <c r="BE328">
        <f t="shared" si="215"/>
        <v>0</v>
      </c>
      <c r="BF328">
        <f t="shared" si="216"/>
        <v>0</v>
      </c>
      <c r="BG328">
        <f t="shared" si="217"/>
        <v>0</v>
      </c>
      <c r="BH328">
        <f t="shared" si="218"/>
        <v>0</v>
      </c>
      <c r="BI328">
        <f t="shared" si="219"/>
        <v>0</v>
      </c>
    </row>
    <row r="329" spans="1:61" x14ac:dyDescent="0.35">
      <c r="A329" t="s">
        <v>196</v>
      </c>
      <c r="B329" s="1">
        <v>40940</v>
      </c>
      <c r="C329" t="s">
        <v>738</v>
      </c>
      <c r="D329" t="s">
        <v>45</v>
      </c>
      <c r="E329" t="s">
        <v>737</v>
      </c>
      <c r="F329" t="s">
        <v>577</v>
      </c>
      <c r="G329" t="s">
        <v>64</v>
      </c>
      <c r="H329" s="139">
        <f t="shared" si="193"/>
        <v>1</v>
      </c>
      <c r="I329" t="s">
        <v>234</v>
      </c>
      <c r="J329" t="s">
        <v>178</v>
      </c>
      <c r="K329" s="2">
        <f t="shared" si="196"/>
        <v>9</v>
      </c>
      <c r="L329">
        <v>1500000000</v>
      </c>
      <c r="M329" s="2">
        <f t="shared" si="197"/>
        <v>9.1760912590556813</v>
      </c>
      <c r="N329">
        <f t="shared" si="188"/>
        <v>1500000000</v>
      </c>
      <c r="O329">
        <v>0</v>
      </c>
      <c r="P329" s="1">
        <v>42572</v>
      </c>
      <c r="Q329" s="89">
        <f t="shared" si="198"/>
        <v>2016</v>
      </c>
      <c r="R329" t="s">
        <v>152</v>
      </c>
      <c r="S329">
        <v>900000000</v>
      </c>
      <c r="T329" s="21">
        <f t="shared" si="189"/>
        <v>4.4712328767123291</v>
      </c>
      <c r="U329">
        <v>5897.96</v>
      </c>
      <c r="V329">
        <f t="shared" si="199"/>
        <v>3.7707754512906644</v>
      </c>
      <c r="W329">
        <v>1990</v>
      </c>
      <c r="X329">
        <v>22</v>
      </c>
      <c r="Y329">
        <f t="shared" si="200"/>
        <v>1.3617278360175928</v>
      </c>
      <c r="Z329" s="45">
        <v>2.3199999999999998</v>
      </c>
      <c r="AA329" s="9">
        <f t="shared" si="190"/>
        <v>-600000000</v>
      </c>
      <c r="AB329" s="15">
        <f t="shared" si="191"/>
        <v>-0.4</v>
      </c>
      <c r="AC329" s="34">
        <f t="shared" si="201"/>
        <v>-0.22184874961635639</v>
      </c>
      <c r="AD329">
        <v>1861.7599999999995</v>
      </c>
      <c r="AE329">
        <f t="shared" si="194"/>
        <v>3.2699236952309461</v>
      </c>
      <c r="AF329">
        <v>4993.920000000001</v>
      </c>
      <c r="AG329">
        <f t="shared" si="195"/>
        <v>3.6984415808994222</v>
      </c>
      <c r="AH329" s="9">
        <v>132</v>
      </c>
      <c r="AI329" s="9">
        <f t="shared" si="202"/>
        <v>2.1238516409670858</v>
      </c>
      <c r="AJ329">
        <v>91.1</v>
      </c>
      <c r="AK329" s="23" t="s">
        <v>144</v>
      </c>
      <c r="AL329" s="42">
        <v>40.229046020662899</v>
      </c>
      <c r="AM329" s="24">
        <v>0.64</v>
      </c>
      <c r="AN329" s="34">
        <f t="shared" si="203"/>
        <v>0.21484384804769791</v>
      </c>
      <c r="AO329">
        <v>1985</v>
      </c>
      <c r="AP329">
        <v>27</v>
      </c>
      <c r="AQ329">
        <v>70</v>
      </c>
      <c r="AR329">
        <v>70</v>
      </c>
      <c r="AS329">
        <f t="shared" si="192"/>
        <v>0</v>
      </c>
      <c r="AT329">
        <f t="shared" si="204"/>
        <v>1</v>
      </c>
      <c r="AU329">
        <f t="shared" si="205"/>
        <v>0</v>
      </c>
      <c r="AV329">
        <f t="shared" si="206"/>
        <v>0</v>
      </c>
      <c r="AW329">
        <f t="shared" si="207"/>
        <v>0</v>
      </c>
      <c r="AX329">
        <f t="shared" si="208"/>
        <v>0</v>
      </c>
      <c r="AY329">
        <f t="shared" si="209"/>
        <v>0</v>
      </c>
      <c r="AZ329">
        <f t="shared" si="210"/>
        <v>0</v>
      </c>
      <c r="BA329">
        <f t="shared" si="211"/>
        <v>0</v>
      </c>
      <c r="BB329">
        <f t="shared" si="212"/>
        <v>0</v>
      </c>
      <c r="BC329">
        <f t="shared" si="213"/>
        <v>0</v>
      </c>
      <c r="BD329">
        <f t="shared" si="214"/>
        <v>0</v>
      </c>
      <c r="BE329">
        <f t="shared" si="215"/>
        <v>0</v>
      </c>
      <c r="BF329">
        <f t="shared" si="216"/>
        <v>0</v>
      </c>
      <c r="BG329">
        <f t="shared" si="217"/>
        <v>0</v>
      </c>
      <c r="BH329">
        <f t="shared" si="218"/>
        <v>0</v>
      </c>
      <c r="BI329">
        <f t="shared" si="219"/>
        <v>0</v>
      </c>
    </row>
    <row r="330" spans="1:61" x14ac:dyDescent="0.35">
      <c r="A330" t="s">
        <v>739</v>
      </c>
      <c r="B330" s="1">
        <v>40836</v>
      </c>
      <c r="C330" t="s">
        <v>740</v>
      </c>
      <c r="D330" t="s">
        <v>45</v>
      </c>
      <c r="E330" t="s">
        <v>737</v>
      </c>
      <c r="F330" t="s">
        <v>577</v>
      </c>
      <c r="G330" t="s">
        <v>64</v>
      </c>
      <c r="H330" s="139">
        <f t="shared" si="193"/>
        <v>1</v>
      </c>
      <c r="I330" t="s">
        <v>234</v>
      </c>
      <c r="J330" t="s">
        <v>178</v>
      </c>
      <c r="K330" s="2">
        <f t="shared" si="196"/>
        <v>9</v>
      </c>
      <c r="L330">
        <v>151260000</v>
      </c>
      <c r="M330" s="2">
        <f t="shared" si="197"/>
        <v>8.1797240960600899</v>
      </c>
      <c r="N330">
        <f t="shared" si="188"/>
        <v>151260000</v>
      </c>
      <c r="O330">
        <v>0</v>
      </c>
      <c r="P330" s="1">
        <v>41739</v>
      </c>
      <c r="Q330" s="89">
        <f t="shared" si="198"/>
        <v>2014</v>
      </c>
      <c r="R330" t="s">
        <v>152</v>
      </c>
      <c r="S330">
        <v>341000000</v>
      </c>
      <c r="T330" s="21">
        <f t="shared" si="189"/>
        <v>2.473972602739726</v>
      </c>
      <c r="U330">
        <v>5897.96</v>
      </c>
      <c r="V330">
        <f t="shared" si="199"/>
        <v>3.7707754512906644</v>
      </c>
      <c r="W330">
        <v>1984</v>
      </c>
      <c r="X330">
        <v>27</v>
      </c>
      <c r="Y330">
        <f t="shared" si="200"/>
        <v>1.4471580313422192</v>
      </c>
      <c r="Z330" s="45">
        <v>2.3199999999999998</v>
      </c>
      <c r="AA330" s="9">
        <f t="shared" si="190"/>
        <v>189740000</v>
      </c>
      <c r="AB330" s="15">
        <f t="shared" si="191"/>
        <v>1.2543964035435673</v>
      </c>
      <c r="AC330" s="34">
        <f t="shared" si="201"/>
        <v>0.35303028293240818</v>
      </c>
      <c r="AD330">
        <v>1861.7599999999995</v>
      </c>
      <c r="AE330">
        <f t="shared" si="194"/>
        <v>3.2699236952309461</v>
      </c>
      <c r="AF330">
        <v>4993.920000000001</v>
      </c>
      <c r="AG330">
        <f t="shared" si="195"/>
        <v>3.6984415808994222</v>
      </c>
      <c r="AH330" s="9">
        <v>132</v>
      </c>
      <c r="AI330" s="9">
        <f t="shared" si="202"/>
        <v>2.1238516409670858</v>
      </c>
      <c r="AJ330">
        <v>91</v>
      </c>
      <c r="AK330" s="23" t="s">
        <v>141</v>
      </c>
      <c r="AL330" s="42">
        <v>42.048698215007001</v>
      </c>
      <c r="AM330" s="24">
        <v>0.51</v>
      </c>
      <c r="AN330" s="34">
        <f t="shared" si="203"/>
        <v>0.17897694729316943</v>
      </c>
      <c r="AO330">
        <v>1985</v>
      </c>
      <c r="AP330">
        <v>26</v>
      </c>
      <c r="AQ330">
        <v>70</v>
      </c>
      <c r="AR330">
        <v>70</v>
      </c>
      <c r="AS330">
        <f t="shared" si="192"/>
        <v>0</v>
      </c>
      <c r="AT330">
        <f t="shared" si="204"/>
        <v>1</v>
      </c>
      <c r="AU330">
        <f t="shared" si="205"/>
        <v>0</v>
      </c>
      <c r="AV330">
        <f t="shared" si="206"/>
        <v>0</v>
      </c>
      <c r="AW330">
        <f t="shared" si="207"/>
        <v>0</v>
      </c>
      <c r="AX330">
        <f t="shared" si="208"/>
        <v>0</v>
      </c>
      <c r="AY330">
        <f t="shared" si="209"/>
        <v>0</v>
      </c>
      <c r="AZ330">
        <f t="shared" si="210"/>
        <v>0</v>
      </c>
      <c r="BA330">
        <f t="shared" si="211"/>
        <v>0</v>
      </c>
      <c r="BB330">
        <f t="shared" si="212"/>
        <v>0</v>
      </c>
      <c r="BC330">
        <f t="shared" si="213"/>
        <v>0</v>
      </c>
      <c r="BD330">
        <f t="shared" si="214"/>
        <v>0</v>
      </c>
      <c r="BE330">
        <f t="shared" si="215"/>
        <v>0</v>
      </c>
      <c r="BF330">
        <f t="shared" si="216"/>
        <v>0</v>
      </c>
      <c r="BG330">
        <f t="shared" si="217"/>
        <v>0</v>
      </c>
      <c r="BH330">
        <f t="shared" si="218"/>
        <v>0</v>
      </c>
      <c r="BI330">
        <f t="shared" si="219"/>
        <v>0</v>
      </c>
    </row>
    <row r="331" spans="1:61" x14ac:dyDescent="0.35">
      <c r="A331" t="s">
        <v>196</v>
      </c>
      <c r="B331" s="1">
        <v>39055</v>
      </c>
      <c r="C331" t="s">
        <v>741</v>
      </c>
      <c r="D331" t="s">
        <v>45</v>
      </c>
      <c r="E331" t="s">
        <v>737</v>
      </c>
      <c r="F331" t="s">
        <v>577</v>
      </c>
      <c r="G331" t="s">
        <v>64</v>
      </c>
      <c r="H331" s="139">
        <f t="shared" si="193"/>
        <v>1</v>
      </c>
      <c r="I331" t="s">
        <v>611</v>
      </c>
      <c r="J331" t="s">
        <v>178</v>
      </c>
      <c r="K331" s="2">
        <f t="shared" si="196"/>
        <v>9</v>
      </c>
      <c r="L331">
        <v>12828530000</v>
      </c>
      <c r="M331" s="2">
        <f t="shared" si="197"/>
        <v>10.108176894140763</v>
      </c>
      <c r="N331">
        <f>L331-O331</f>
        <v>13025440000</v>
      </c>
      <c r="O331">
        <v>-196910000</v>
      </c>
      <c r="P331" s="1">
        <v>40688</v>
      </c>
      <c r="Q331" s="89">
        <f t="shared" si="198"/>
        <v>2011</v>
      </c>
      <c r="R331" t="s">
        <v>107</v>
      </c>
      <c r="S331">
        <v>15354111245</v>
      </c>
      <c r="T331" s="21">
        <f t="shared" si="189"/>
        <v>4.4739726027397264</v>
      </c>
      <c r="U331">
        <v>5897.96</v>
      </c>
      <c r="V331">
        <f t="shared" si="199"/>
        <v>3.7707754512906644</v>
      </c>
      <c r="W331">
        <v>2004</v>
      </c>
      <c r="X331">
        <v>2</v>
      </c>
      <c r="Y331">
        <f t="shared" si="200"/>
        <v>0.47712125471966244</v>
      </c>
      <c r="Z331" s="45">
        <v>2.3199999999999998</v>
      </c>
      <c r="AA331" s="9">
        <f t="shared" si="190"/>
        <v>2328671245</v>
      </c>
      <c r="AB331" s="15">
        <f t="shared" si="191"/>
        <v>0.19687222503279789</v>
      </c>
      <c r="AC331" s="34">
        <f t="shared" si="201"/>
        <v>7.8047788731252177E-2</v>
      </c>
      <c r="AD331">
        <v>1861.7599999999995</v>
      </c>
      <c r="AE331">
        <f t="shared" si="194"/>
        <v>3.2699236952309461</v>
      </c>
      <c r="AF331">
        <v>4993.920000000001</v>
      </c>
      <c r="AG331">
        <f t="shared" si="195"/>
        <v>3.6984415808994222</v>
      </c>
      <c r="AH331" s="9">
        <v>132</v>
      </c>
      <c r="AI331" s="9">
        <f t="shared" si="202"/>
        <v>2.1238516409670858</v>
      </c>
      <c r="AJ331">
        <v>93.2</v>
      </c>
      <c r="AK331" s="23" t="s">
        <v>103</v>
      </c>
      <c r="AL331" s="42">
        <v>36.669158714517401</v>
      </c>
      <c r="AM331" s="24">
        <v>-0.06</v>
      </c>
      <c r="AN331" s="34">
        <f t="shared" si="203"/>
        <v>-2.6872146400301365E-2</v>
      </c>
      <c r="AO331">
        <v>1985</v>
      </c>
      <c r="AP331">
        <v>21</v>
      </c>
      <c r="AQ331">
        <v>70</v>
      </c>
      <c r="AR331">
        <v>70</v>
      </c>
      <c r="AS331">
        <f t="shared" si="192"/>
        <v>0</v>
      </c>
      <c r="AT331">
        <f t="shared" si="204"/>
        <v>1</v>
      </c>
      <c r="AU331">
        <f t="shared" si="205"/>
        <v>0</v>
      </c>
      <c r="AV331">
        <f t="shared" si="206"/>
        <v>0</v>
      </c>
      <c r="AW331">
        <f t="shared" si="207"/>
        <v>0</v>
      </c>
      <c r="AX331">
        <f t="shared" si="208"/>
        <v>0</v>
      </c>
      <c r="AY331">
        <f t="shared" si="209"/>
        <v>0</v>
      </c>
      <c r="AZ331">
        <f t="shared" si="210"/>
        <v>0</v>
      </c>
      <c r="BA331">
        <f t="shared" si="211"/>
        <v>0</v>
      </c>
      <c r="BB331">
        <f t="shared" si="212"/>
        <v>0</v>
      </c>
      <c r="BC331">
        <f t="shared" si="213"/>
        <v>0</v>
      </c>
      <c r="BD331">
        <f t="shared" si="214"/>
        <v>0</v>
      </c>
      <c r="BE331">
        <f t="shared" si="215"/>
        <v>0</v>
      </c>
      <c r="BF331">
        <f t="shared" si="216"/>
        <v>0</v>
      </c>
      <c r="BG331">
        <f t="shared" si="217"/>
        <v>0</v>
      </c>
      <c r="BH331">
        <f t="shared" si="218"/>
        <v>0</v>
      </c>
      <c r="BI331">
        <f t="shared" si="219"/>
        <v>0</v>
      </c>
    </row>
    <row r="332" spans="1:61" x14ac:dyDescent="0.35">
      <c r="A332" t="s">
        <v>196</v>
      </c>
      <c r="B332" s="1">
        <v>38807</v>
      </c>
      <c r="C332" t="s">
        <v>742</v>
      </c>
      <c r="D332" t="s">
        <v>45</v>
      </c>
      <c r="E332" t="s">
        <v>737</v>
      </c>
      <c r="F332" t="s">
        <v>577</v>
      </c>
      <c r="G332" t="s">
        <v>64</v>
      </c>
      <c r="H332" s="139">
        <f t="shared" si="193"/>
        <v>1</v>
      </c>
      <c r="I332" t="s">
        <v>234</v>
      </c>
      <c r="J332" t="s">
        <v>190</v>
      </c>
      <c r="K332" s="2">
        <f t="shared" si="196"/>
        <v>2</v>
      </c>
      <c r="L332">
        <v>765000000</v>
      </c>
      <c r="M332" s="2">
        <f t="shared" si="197"/>
        <v>8.8836614351536181</v>
      </c>
      <c r="N332">
        <f>L332</f>
        <v>765000000</v>
      </c>
      <c r="O332">
        <v>0</v>
      </c>
      <c r="P332" s="1">
        <v>39539</v>
      </c>
      <c r="Q332" s="89">
        <f t="shared" si="198"/>
        <v>2008</v>
      </c>
      <c r="R332" t="s">
        <v>107</v>
      </c>
      <c r="S332">
        <v>1200000000</v>
      </c>
      <c r="T332" s="21">
        <f t="shared" si="189"/>
        <v>2.0054794520547947</v>
      </c>
      <c r="U332">
        <v>5897.96</v>
      </c>
      <c r="V332">
        <f t="shared" si="199"/>
        <v>3.7707754512906644</v>
      </c>
      <c r="W332">
        <v>1990</v>
      </c>
      <c r="X332">
        <v>16</v>
      </c>
      <c r="Y332">
        <f t="shared" si="200"/>
        <v>1.2304489213782739</v>
      </c>
      <c r="Z332" s="45">
        <v>2.3199999999999998</v>
      </c>
      <c r="AA332" s="9">
        <f t="shared" si="190"/>
        <v>435000000</v>
      </c>
      <c r="AB332" s="15">
        <f t="shared" si="191"/>
        <v>0.56862745098039214</v>
      </c>
      <c r="AC332" s="34">
        <f t="shared" si="201"/>
        <v>0.19551981089400722</v>
      </c>
      <c r="AD332">
        <v>1861.7599999999995</v>
      </c>
      <c r="AE332">
        <f t="shared" si="194"/>
        <v>3.2699236952309461</v>
      </c>
      <c r="AF332">
        <v>4993.920000000001</v>
      </c>
      <c r="AG332">
        <f t="shared" si="195"/>
        <v>3.6984415808994222</v>
      </c>
      <c r="AH332" s="9">
        <v>132</v>
      </c>
      <c r="AI332" s="9">
        <f t="shared" si="202"/>
        <v>2.1238516409670858</v>
      </c>
      <c r="AJ332">
        <v>93.2</v>
      </c>
      <c r="AK332" s="23" t="s">
        <v>103</v>
      </c>
      <c r="AL332" s="42">
        <v>36.669158714517401</v>
      </c>
      <c r="AM332" s="24">
        <v>0.06</v>
      </c>
      <c r="AN332" s="34">
        <f t="shared" si="203"/>
        <v>2.5305865264770262E-2</v>
      </c>
      <c r="AO332">
        <v>1985</v>
      </c>
      <c r="AP332">
        <v>21</v>
      </c>
      <c r="AQ332">
        <v>70</v>
      </c>
      <c r="AR332">
        <v>70</v>
      </c>
      <c r="AS332">
        <f t="shared" si="192"/>
        <v>0</v>
      </c>
      <c r="AT332">
        <f t="shared" si="204"/>
        <v>1</v>
      </c>
      <c r="AU332">
        <f t="shared" si="205"/>
        <v>0</v>
      </c>
      <c r="AV332">
        <f t="shared" si="206"/>
        <v>0</v>
      </c>
      <c r="AW332">
        <f t="shared" si="207"/>
        <v>0</v>
      </c>
      <c r="AX332">
        <f t="shared" si="208"/>
        <v>0</v>
      </c>
      <c r="AY332">
        <f t="shared" si="209"/>
        <v>0</v>
      </c>
      <c r="AZ332">
        <f t="shared" si="210"/>
        <v>0</v>
      </c>
      <c r="BA332">
        <f t="shared" si="211"/>
        <v>0</v>
      </c>
      <c r="BB332">
        <f t="shared" si="212"/>
        <v>0</v>
      </c>
      <c r="BC332">
        <f t="shared" si="213"/>
        <v>0</v>
      </c>
      <c r="BD332">
        <f t="shared" si="214"/>
        <v>0</v>
      </c>
      <c r="BE332">
        <f t="shared" si="215"/>
        <v>0</v>
      </c>
      <c r="BF332">
        <f t="shared" si="216"/>
        <v>0</v>
      </c>
      <c r="BG332">
        <f t="shared" si="217"/>
        <v>0</v>
      </c>
      <c r="BH332">
        <f t="shared" si="218"/>
        <v>0</v>
      </c>
      <c r="BI332">
        <f t="shared" si="219"/>
        <v>0</v>
      </c>
    </row>
    <row r="333" spans="1:61" x14ac:dyDescent="0.35">
      <c r="A333" t="s">
        <v>196</v>
      </c>
      <c r="B333" s="1">
        <v>40457</v>
      </c>
      <c r="C333" t="s">
        <v>743</v>
      </c>
      <c r="D333" t="s">
        <v>497</v>
      </c>
      <c r="E333" t="s">
        <v>737</v>
      </c>
      <c r="F333" t="s">
        <v>577</v>
      </c>
      <c r="G333" t="s">
        <v>64</v>
      </c>
      <c r="H333" s="139">
        <f t="shared" si="193"/>
        <v>1</v>
      </c>
      <c r="I333" t="s">
        <v>234</v>
      </c>
      <c r="J333" t="s">
        <v>190</v>
      </c>
      <c r="K333" s="2">
        <f t="shared" si="196"/>
        <v>2</v>
      </c>
      <c r="L333">
        <v>220000000</v>
      </c>
      <c r="M333" s="2">
        <f t="shared" si="197"/>
        <v>8.3424226808222066</v>
      </c>
      <c r="N333">
        <f>L333</f>
        <v>220000000</v>
      </c>
      <c r="O333">
        <v>0</v>
      </c>
      <c r="P333" s="1">
        <v>42464</v>
      </c>
      <c r="Q333" s="89">
        <f t="shared" si="198"/>
        <v>2016</v>
      </c>
      <c r="R333" t="s">
        <v>107</v>
      </c>
      <c r="S333">
        <v>895000000</v>
      </c>
      <c r="T333" s="21">
        <f t="shared" si="189"/>
        <v>5.4986301369863018</v>
      </c>
      <c r="U333">
        <v>463.97</v>
      </c>
      <c r="V333">
        <f t="shared" si="199"/>
        <v>2.6674249329872439</v>
      </c>
      <c r="W333">
        <v>1979</v>
      </c>
      <c r="X333">
        <v>31</v>
      </c>
      <c r="Y333">
        <f t="shared" si="200"/>
        <v>1.505149978319906</v>
      </c>
      <c r="Z333" s="45">
        <v>2.61</v>
      </c>
      <c r="AA333" s="9">
        <f t="shared" si="190"/>
        <v>675000000</v>
      </c>
      <c r="AB333" s="15">
        <f t="shared" si="191"/>
        <v>3.0681818181818183</v>
      </c>
      <c r="AC333" s="34">
        <f t="shared" si="201"/>
        <v>0.60940035449370578</v>
      </c>
      <c r="AD333">
        <v>1861.7599999999995</v>
      </c>
      <c r="AE333">
        <f t="shared" si="194"/>
        <v>3.2699236952309461</v>
      </c>
      <c r="AF333">
        <v>4993.920000000001</v>
      </c>
      <c r="AG333">
        <f t="shared" si="195"/>
        <v>3.6984415808994222</v>
      </c>
      <c r="AH333" s="9">
        <v>193.166666666667</v>
      </c>
      <c r="AI333" s="9">
        <f t="shared" si="202"/>
        <v>2.2881746749783951</v>
      </c>
      <c r="AJ333">
        <v>92.8</v>
      </c>
      <c r="AK333" s="23" t="s">
        <v>55</v>
      </c>
      <c r="AL333" s="42">
        <v>65.041501268831993</v>
      </c>
      <c r="AM333" s="24">
        <v>0.78</v>
      </c>
      <c r="AN333" s="34">
        <f t="shared" si="203"/>
        <v>0.250420002308894</v>
      </c>
      <c r="AO333">
        <v>1985</v>
      </c>
      <c r="AP333">
        <v>25</v>
      </c>
      <c r="AQ333">
        <v>70</v>
      </c>
      <c r="AR333">
        <v>70</v>
      </c>
      <c r="AS333">
        <f t="shared" si="192"/>
        <v>0</v>
      </c>
      <c r="AT333">
        <f t="shared" si="204"/>
        <v>0</v>
      </c>
      <c r="AU333">
        <f t="shared" si="205"/>
        <v>0</v>
      </c>
      <c r="AV333">
        <f t="shared" si="206"/>
        <v>0</v>
      </c>
      <c r="AW333">
        <f t="shared" si="207"/>
        <v>0</v>
      </c>
      <c r="AX333">
        <f t="shared" si="208"/>
        <v>0</v>
      </c>
      <c r="AY333">
        <f t="shared" si="209"/>
        <v>0</v>
      </c>
      <c r="AZ333">
        <f t="shared" si="210"/>
        <v>0</v>
      </c>
      <c r="BA333">
        <f t="shared" si="211"/>
        <v>0</v>
      </c>
      <c r="BB333">
        <f t="shared" si="212"/>
        <v>0</v>
      </c>
      <c r="BC333">
        <f t="shared" si="213"/>
        <v>0</v>
      </c>
      <c r="BD333">
        <f t="shared" si="214"/>
        <v>0</v>
      </c>
      <c r="BE333">
        <f t="shared" si="215"/>
        <v>0</v>
      </c>
      <c r="BF333">
        <f t="shared" si="216"/>
        <v>0</v>
      </c>
      <c r="BG333">
        <f t="shared" si="217"/>
        <v>0</v>
      </c>
      <c r="BH333">
        <f t="shared" si="218"/>
        <v>1</v>
      </c>
      <c r="BI333">
        <f t="shared" si="219"/>
        <v>0</v>
      </c>
    </row>
    <row r="334" spans="1:61" x14ac:dyDescent="0.35">
      <c r="A334" t="s">
        <v>196</v>
      </c>
      <c r="B334" s="1">
        <v>41425</v>
      </c>
      <c r="C334" t="s">
        <v>744</v>
      </c>
      <c r="D334" t="s">
        <v>1</v>
      </c>
      <c r="E334" t="s">
        <v>737</v>
      </c>
      <c r="F334" t="s">
        <v>577</v>
      </c>
      <c r="G334" t="s">
        <v>64</v>
      </c>
      <c r="H334" s="139">
        <f t="shared" si="193"/>
        <v>1</v>
      </c>
      <c r="I334" t="s">
        <v>234</v>
      </c>
      <c r="J334" t="s">
        <v>190</v>
      </c>
      <c r="K334" s="2">
        <f t="shared" si="196"/>
        <v>2</v>
      </c>
      <c r="L334">
        <v>33450000</v>
      </c>
      <c r="M334" s="2">
        <f t="shared" si="197"/>
        <v>7.524396122103842</v>
      </c>
      <c r="N334">
        <f>L334</f>
        <v>33450000</v>
      </c>
      <c r="O334">
        <v>0</v>
      </c>
      <c r="P334" s="1">
        <v>42318</v>
      </c>
      <c r="Q334" s="89">
        <f t="shared" si="198"/>
        <v>2015</v>
      </c>
      <c r="R334" t="s">
        <v>107</v>
      </c>
      <c r="S334">
        <v>765000000</v>
      </c>
      <c r="T334" s="21">
        <f t="shared" si="189"/>
        <v>2.4465753424657533</v>
      </c>
      <c r="U334">
        <v>1153.8900000000001</v>
      </c>
      <c r="V334">
        <f t="shared" si="199"/>
        <v>3.0625406208792199</v>
      </c>
      <c r="W334">
        <v>2004</v>
      </c>
      <c r="X334">
        <v>9</v>
      </c>
      <c r="Y334">
        <f t="shared" si="200"/>
        <v>1</v>
      </c>
      <c r="Z334" s="45">
        <v>3.06</v>
      </c>
      <c r="AA334" s="9">
        <f t="shared" si="190"/>
        <v>731550000</v>
      </c>
      <c r="AB334" s="15">
        <f t="shared" si="191"/>
        <v>21.869955156950674</v>
      </c>
      <c r="AC334" s="34">
        <f t="shared" si="201"/>
        <v>1.3592653130497758</v>
      </c>
      <c r="AD334">
        <v>1861.7599999999995</v>
      </c>
      <c r="AE334">
        <f t="shared" si="194"/>
        <v>3.2699236952309461</v>
      </c>
      <c r="AF334">
        <v>4993.920000000001</v>
      </c>
      <c r="AG334">
        <f t="shared" si="195"/>
        <v>3.6984415808994222</v>
      </c>
      <c r="AH334" s="9">
        <v>742.83333333333303</v>
      </c>
      <c r="AI334" s="9">
        <f t="shared" si="202"/>
        <v>2.8714756364568856</v>
      </c>
      <c r="AJ334">
        <v>92.6</v>
      </c>
      <c r="AK334" s="23" t="s">
        <v>745</v>
      </c>
      <c r="AL334" s="42">
        <v>43.966315241865303</v>
      </c>
      <c r="AM334" s="24">
        <v>0.28000000000000003</v>
      </c>
      <c r="AN334" s="34">
        <f t="shared" si="203"/>
        <v>0.10720996964786837</v>
      </c>
      <c r="AO334">
        <v>1985</v>
      </c>
      <c r="AP334">
        <v>28</v>
      </c>
      <c r="AQ334">
        <v>70</v>
      </c>
      <c r="AR334">
        <v>50</v>
      </c>
      <c r="AS334">
        <f t="shared" si="192"/>
        <v>0</v>
      </c>
      <c r="AT334">
        <f t="shared" si="204"/>
        <v>0</v>
      </c>
      <c r="AU334">
        <f t="shared" si="205"/>
        <v>0</v>
      </c>
      <c r="AV334">
        <f t="shared" si="206"/>
        <v>1</v>
      </c>
      <c r="AW334">
        <f t="shared" si="207"/>
        <v>0</v>
      </c>
      <c r="AX334">
        <f t="shared" si="208"/>
        <v>0</v>
      </c>
      <c r="AY334">
        <f t="shared" si="209"/>
        <v>0</v>
      </c>
      <c r="AZ334">
        <f t="shared" si="210"/>
        <v>0</v>
      </c>
      <c r="BA334">
        <f t="shared" si="211"/>
        <v>0</v>
      </c>
      <c r="BB334">
        <f t="shared" si="212"/>
        <v>0</v>
      </c>
      <c r="BC334">
        <f t="shared" si="213"/>
        <v>0</v>
      </c>
      <c r="BD334">
        <f t="shared" si="214"/>
        <v>0</v>
      </c>
      <c r="BE334">
        <f t="shared" si="215"/>
        <v>0</v>
      </c>
      <c r="BF334">
        <f t="shared" si="216"/>
        <v>0</v>
      </c>
      <c r="BG334">
        <f t="shared" si="217"/>
        <v>0</v>
      </c>
      <c r="BH334">
        <f t="shared" si="218"/>
        <v>0</v>
      </c>
      <c r="BI334">
        <f t="shared" si="219"/>
        <v>0</v>
      </c>
    </row>
    <row r="335" spans="1:61" x14ac:dyDescent="0.35">
      <c r="A335" t="s">
        <v>746</v>
      </c>
      <c r="B335" s="1">
        <v>38146</v>
      </c>
      <c r="C335" t="s">
        <v>747</v>
      </c>
      <c r="D335" t="s">
        <v>2</v>
      </c>
      <c r="E335" t="s">
        <v>748</v>
      </c>
      <c r="F335" t="s">
        <v>577</v>
      </c>
      <c r="G335" t="s">
        <v>64</v>
      </c>
      <c r="H335" s="139">
        <f t="shared" si="193"/>
        <v>1</v>
      </c>
      <c r="I335" t="s">
        <v>611</v>
      </c>
      <c r="J335" t="s">
        <v>186</v>
      </c>
      <c r="K335" s="2">
        <f t="shared" si="196"/>
        <v>4</v>
      </c>
      <c r="L335">
        <v>598920000</v>
      </c>
      <c r="M335" s="2">
        <f t="shared" si="197"/>
        <v>8.7773688159137464</v>
      </c>
      <c r="N335">
        <v>636740000</v>
      </c>
      <c r="O335">
        <v>-37820000</v>
      </c>
      <c r="P335" s="1">
        <v>39636</v>
      </c>
      <c r="Q335" s="89">
        <f t="shared" si="198"/>
        <v>2008</v>
      </c>
      <c r="R335" t="s">
        <v>107</v>
      </c>
      <c r="S335">
        <v>1635790000</v>
      </c>
      <c r="T335" s="21">
        <f t="shared" si="189"/>
        <v>4.0821917808219181</v>
      </c>
      <c r="U335">
        <v>917.19</v>
      </c>
      <c r="V335">
        <f t="shared" si="199"/>
        <v>2.9629325585580042</v>
      </c>
      <c r="W335">
        <v>1991</v>
      </c>
      <c r="X335">
        <v>13</v>
      </c>
      <c r="Y335">
        <f t="shared" si="200"/>
        <v>1.146128035678238</v>
      </c>
      <c r="Z335" s="45">
        <v>2.62</v>
      </c>
      <c r="AA335" s="9">
        <f t="shared" si="190"/>
        <v>999050000</v>
      </c>
      <c r="AB335" s="15">
        <f t="shared" si="191"/>
        <v>1.7312328858612167</v>
      </c>
      <c r="AC335" s="34">
        <f t="shared" si="201"/>
        <v>0.43635873299666728</v>
      </c>
      <c r="AD335">
        <v>1861.7599999999995</v>
      </c>
      <c r="AE335">
        <f t="shared" si="194"/>
        <v>3.2699236952309461</v>
      </c>
      <c r="AF335">
        <v>4993.920000000001</v>
      </c>
      <c r="AG335">
        <f t="shared" si="195"/>
        <v>3.6984415808994222</v>
      </c>
      <c r="AH335" s="9">
        <v>854.66666666666697</v>
      </c>
      <c r="AI335" s="9">
        <f t="shared" si="202"/>
        <v>2.9323046139517812</v>
      </c>
      <c r="AJ335">
        <v>70</v>
      </c>
      <c r="AK335" s="23" t="s">
        <v>213</v>
      </c>
      <c r="AL335" s="42">
        <v>46.312020505412598</v>
      </c>
      <c r="AM335" s="24">
        <v>0.1</v>
      </c>
      <c r="AN335" s="34">
        <f t="shared" si="203"/>
        <v>4.1392685158225077E-2</v>
      </c>
      <c r="AO335">
        <v>1985</v>
      </c>
      <c r="AP335">
        <v>19</v>
      </c>
      <c r="AQ335">
        <v>70</v>
      </c>
      <c r="AR335">
        <v>70</v>
      </c>
      <c r="AS335">
        <f t="shared" si="192"/>
        <v>0</v>
      </c>
      <c r="AT335">
        <f t="shared" si="204"/>
        <v>0</v>
      </c>
      <c r="AU335">
        <f t="shared" si="205"/>
        <v>0</v>
      </c>
      <c r="AV335">
        <f t="shared" si="206"/>
        <v>0</v>
      </c>
      <c r="AW335">
        <f t="shared" si="207"/>
        <v>0</v>
      </c>
      <c r="AX335">
        <f t="shared" si="208"/>
        <v>0</v>
      </c>
      <c r="AY335">
        <f t="shared" si="209"/>
        <v>0</v>
      </c>
      <c r="AZ335">
        <f t="shared" si="210"/>
        <v>0</v>
      </c>
      <c r="BA335">
        <f t="shared" si="211"/>
        <v>0</v>
      </c>
      <c r="BB335">
        <f t="shared" si="212"/>
        <v>1</v>
      </c>
      <c r="BC335">
        <f t="shared" si="213"/>
        <v>0</v>
      </c>
      <c r="BD335">
        <f t="shared" si="214"/>
        <v>0</v>
      </c>
      <c r="BE335">
        <f t="shared" si="215"/>
        <v>0</v>
      </c>
      <c r="BF335">
        <f t="shared" si="216"/>
        <v>0</v>
      </c>
      <c r="BG335">
        <f t="shared" si="217"/>
        <v>0</v>
      </c>
      <c r="BH335">
        <f t="shared" si="218"/>
        <v>0</v>
      </c>
      <c r="BI335">
        <f t="shared" si="219"/>
        <v>0</v>
      </c>
    </row>
    <row r="336" spans="1:61" x14ac:dyDescent="0.35">
      <c r="A336" t="s">
        <v>196</v>
      </c>
      <c r="B336" s="1">
        <v>37672</v>
      </c>
      <c r="C336" t="s">
        <v>749</v>
      </c>
      <c r="D336" t="s">
        <v>2</v>
      </c>
      <c r="E336" t="s">
        <v>750</v>
      </c>
      <c r="F336" t="s">
        <v>577</v>
      </c>
      <c r="G336" t="s">
        <v>64</v>
      </c>
      <c r="H336" s="139">
        <f t="shared" si="193"/>
        <v>1</v>
      </c>
      <c r="I336" t="s">
        <v>234</v>
      </c>
      <c r="J336" t="s">
        <v>186</v>
      </c>
      <c r="K336" s="2">
        <f t="shared" si="196"/>
        <v>4</v>
      </c>
      <c r="L336">
        <v>200000000</v>
      </c>
      <c r="M336" s="2">
        <f t="shared" si="197"/>
        <v>8.3010299956639813</v>
      </c>
      <c r="N336">
        <f>L336</f>
        <v>200000000</v>
      </c>
      <c r="O336">
        <v>0</v>
      </c>
      <c r="P336" s="1">
        <v>39031</v>
      </c>
      <c r="Q336" s="89">
        <f t="shared" si="198"/>
        <v>2006</v>
      </c>
      <c r="R336" t="s">
        <v>322</v>
      </c>
      <c r="S336">
        <v>1286078000</v>
      </c>
      <c r="T336" s="21">
        <f t="shared" si="189"/>
        <v>3.7232876712328768</v>
      </c>
      <c r="U336">
        <v>917.19</v>
      </c>
      <c r="V336">
        <f t="shared" si="199"/>
        <v>2.9629325585580042</v>
      </c>
      <c r="W336">
        <v>1991</v>
      </c>
      <c r="X336">
        <v>12</v>
      </c>
      <c r="Y336">
        <f t="shared" si="200"/>
        <v>1.1139433523068367</v>
      </c>
      <c r="Z336" s="45">
        <v>2.62</v>
      </c>
      <c r="AA336" s="9">
        <f t="shared" si="190"/>
        <v>1086078000</v>
      </c>
      <c r="AB336" s="15">
        <f t="shared" si="191"/>
        <v>5.4303900000000001</v>
      </c>
      <c r="AC336" s="34">
        <f t="shared" si="201"/>
        <v>0.80823731347034766</v>
      </c>
      <c r="AD336">
        <v>1861.7599999999995</v>
      </c>
      <c r="AE336">
        <f t="shared" si="194"/>
        <v>3.2699236952309461</v>
      </c>
      <c r="AF336">
        <v>4993.920000000001</v>
      </c>
      <c r="AG336">
        <f t="shared" si="195"/>
        <v>3.6984415808994222</v>
      </c>
      <c r="AH336" s="9">
        <v>854.66666666666697</v>
      </c>
      <c r="AI336" s="9">
        <f t="shared" si="202"/>
        <v>2.9323046139517812</v>
      </c>
      <c r="AJ336">
        <v>70</v>
      </c>
      <c r="AK336" s="23" t="s">
        <v>153</v>
      </c>
      <c r="AL336" s="42">
        <v>47.8156192569637</v>
      </c>
      <c r="AM336" s="24">
        <v>0.65</v>
      </c>
      <c r="AN336" s="34">
        <f t="shared" si="203"/>
        <v>0.21748394421390627</v>
      </c>
      <c r="AO336">
        <v>1985</v>
      </c>
      <c r="AP336">
        <v>18</v>
      </c>
      <c r="AQ336">
        <v>70</v>
      </c>
      <c r="AR336">
        <v>70</v>
      </c>
      <c r="AS336">
        <f t="shared" si="192"/>
        <v>0</v>
      </c>
      <c r="AT336">
        <f t="shared" si="204"/>
        <v>0</v>
      </c>
      <c r="AU336">
        <f t="shared" si="205"/>
        <v>0</v>
      </c>
      <c r="AV336">
        <f t="shared" si="206"/>
        <v>0</v>
      </c>
      <c r="AW336">
        <f t="shared" si="207"/>
        <v>0</v>
      </c>
      <c r="AX336">
        <f t="shared" si="208"/>
        <v>0</v>
      </c>
      <c r="AY336">
        <f t="shared" si="209"/>
        <v>0</v>
      </c>
      <c r="AZ336">
        <f t="shared" si="210"/>
        <v>0</v>
      </c>
      <c r="BA336">
        <f t="shared" si="211"/>
        <v>0</v>
      </c>
      <c r="BB336">
        <f t="shared" si="212"/>
        <v>1</v>
      </c>
      <c r="BC336">
        <f t="shared" si="213"/>
        <v>0</v>
      </c>
      <c r="BD336">
        <f t="shared" si="214"/>
        <v>0</v>
      </c>
      <c r="BE336">
        <f t="shared" si="215"/>
        <v>0</v>
      </c>
      <c r="BF336">
        <f t="shared" si="216"/>
        <v>0</v>
      </c>
      <c r="BG336">
        <f t="shared" si="217"/>
        <v>0</v>
      </c>
      <c r="BH336">
        <f t="shared" si="218"/>
        <v>0</v>
      </c>
      <c r="BI336">
        <f t="shared" si="219"/>
        <v>0</v>
      </c>
    </row>
    <row r="337" spans="1:61" x14ac:dyDescent="0.35">
      <c r="A337" t="s">
        <v>196</v>
      </c>
      <c r="B337" s="1">
        <v>36891</v>
      </c>
      <c r="C337" t="s">
        <v>283</v>
      </c>
      <c r="D337" t="s">
        <v>2</v>
      </c>
      <c r="E337" t="s">
        <v>750</v>
      </c>
      <c r="F337" t="s">
        <v>577</v>
      </c>
      <c r="G337" t="s">
        <v>64</v>
      </c>
      <c r="H337" s="139">
        <f t="shared" si="193"/>
        <v>1</v>
      </c>
      <c r="I337" t="s">
        <v>234</v>
      </c>
      <c r="J337" t="s">
        <v>190</v>
      </c>
      <c r="K337" s="2">
        <f t="shared" si="196"/>
        <v>2</v>
      </c>
      <c r="L337">
        <v>137000000</v>
      </c>
      <c r="M337" s="2">
        <f t="shared" si="197"/>
        <v>8.1367205671564076</v>
      </c>
      <c r="N337">
        <f>L337</f>
        <v>137000000</v>
      </c>
      <c r="O337">
        <v>0</v>
      </c>
      <c r="P337" s="1">
        <v>37924</v>
      </c>
      <c r="Q337" s="89">
        <f t="shared" si="198"/>
        <v>2003</v>
      </c>
      <c r="R337" t="s">
        <v>114</v>
      </c>
      <c r="S337">
        <v>287230000</v>
      </c>
      <c r="T337" s="21">
        <f t="shared" si="189"/>
        <v>2.8301369863013699</v>
      </c>
      <c r="U337">
        <v>917.19</v>
      </c>
      <c r="V337">
        <f t="shared" si="199"/>
        <v>2.9629325585580042</v>
      </c>
      <c r="W337">
        <v>1997</v>
      </c>
      <c r="X337">
        <v>3</v>
      </c>
      <c r="Y337">
        <f t="shared" si="200"/>
        <v>0.6020599913279624</v>
      </c>
      <c r="Z337" s="45">
        <v>2.62</v>
      </c>
      <c r="AA337" s="9">
        <f t="shared" si="190"/>
        <v>150230000</v>
      </c>
      <c r="AB337" s="15">
        <f t="shared" si="191"/>
        <v>1.0965693430656933</v>
      </c>
      <c r="AC337" s="34">
        <f t="shared" si="201"/>
        <v>0.32150923106716078</v>
      </c>
      <c r="AD337">
        <v>1861.7599999999995</v>
      </c>
      <c r="AE337">
        <f t="shared" si="194"/>
        <v>3.2699236952309461</v>
      </c>
      <c r="AF337">
        <v>4993.920000000001</v>
      </c>
      <c r="AG337">
        <f t="shared" si="195"/>
        <v>3.6984415808994222</v>
      </c>
      <c r="AH337" s="9">
        <v>854.66666666666697</v>
      </c>
      <c r="AI337" s="9">
        <f t="shared" si="202"/>
        <v>2.9323046139517812</v>
      </c>
      <c r="AJ337">
        <v>70</v>
      </c>
      <c r="AK337" s="23" t="s">
        <v>374</v>
      </c>
      <c r="AL337" s="42">
        <v>44.748733746598099</v>
      </c>
      <c r="AM337" s="24">
        <v>-0.21</v>
      </c>
      <c r="AN337" s="34">
        <f t="shared" si="203"/>
        <v>-0.10237290870955855</v>
      </c>
      <c r="AO337">
        <v>1985</v>
      </c>
      <c r="AP337">
        <v>15</v>
      </c>
      <c r="AQ337">
        <v>70</v>
      </c>
      <c r="AR337">
        <v>70</v>
      </c>
      <c r="AS337">
        <f t="shared" si="192"/>
        <v>0</v>
      </c>
      <c r="AT337">
        <f t="shared" si="204"/>
        <v>0</v>
      </c>
      <c r="AU337">
        <f t="shared" si="205"/>
        <v>0</v>
      </c>
      <c r="AV337">
        <f t="shared" si="206"/>
        <v>0</v>
      </c>
      <c r="AW337">
        <f t="shared" si="207"/>
        <v>0</v>
      </c>
      <c r="AX337">
        <f t="shared" si="208"/>
        <v>0</v>
      </c>
      <c r="AY337">
        <f t="shared" si="209"/>
        <v>0</v>
      </c>
      <c r="AZ337">
        <f t="shared" si="210"/>
        <v>0</v>
      </c>
      <c r="BA337">
        <f t="shared" si="211"/>
        <v>0</v>
      </c>
      <c r="BB337">
        <f t="shared" si="212"/>
        <v>1</v>
      </c>
      <c r="BC337">
        <f t="shared" si="213"/>
        <v>0</v>
      </c>
      <c r="BD337">
        <f t="shared" si="214"/>
        <v>0</v>
      </c>
      <c r="BE337">
        <f t="shared" si="215"/>
        <v>0</v>
      </c>
      <c r="BF337">
        <f t="shared" si="216"/>
        <v>0</v>
      </c>
      <c r="BG337">
        <f t="shared" si="217"/>
        <v>0</v>
      </c>
      <c r="BH337">
        <f t="shared" si="218"/>
        <v>0</v>
      </c>
      <c r="BI337">
        <f t="shared" si="219"/>
        <v>0</v>
      </c>
    </row>
    <row r="338" spans="1:61" x14ac:dyDescent="0.35">
      <c r="A338" t="s">
        <v>196</v>
      </c>
      <c r="B338" s="1">
        <v>35761</v>
      </c>
      <c r="C338" t="s">
        <v>751</v>
      </c>
      <c r="D338" t="s">
        <v>2</v>
      </c>
      <c r="E338" t="s">
        <v>752</v>
      </c>
      <c r="F338" t="s">
        <v>577</v>
      </c>
      <c r="G338" t="s">
        <v>64</v>
      </c>
      <c r="H338" s="139">
        <f t="shared" si="193"/>
        <v>1</v>
      </c>
      <c r="I338" t="s">
        <v>335</v>
      </c>
      <c r="J338" t="s">
        <v>178</v>
      </c>
      <c r="K338" s="2">
        <f t="shared" si="196"/>
        <v>9</v>
      </c>
      <c r="L338">
        <v>24000000</v>
      </c>
      <c r="M338" s="2">
        <f t="shared" si="197"/>
        <v>7.3802112417116064</v>
      </c>
      <c r="N338">
        <f>L338</f>
        <v>24000000</v>
      </c>
      <c r="O338">
        <v>263300000</v>
      </c>
      <c r="P338" s="1">
        <v>36739</v>
      </c>
      <c r="Q338" s="89">
        <f t="shared" si="198"/>
        <v>2000</v>
      </c>
      <c r="R338" t="s">
        <v>107</v>
      </c>
      <c r="S338">
        <v>224000000</v>
      </c>
      <c r="T338" s="21">
        <f t="shared" si="189"/>
        <v>2.6794520547945204</v>
      </c>
      <c r="U338">
        <v>917.19</v>
      </c>
      <c r="V338">
        <f t="shared" si="199"/>
        <v>2.9629325585580042</v>
      </c>
      <c r="W338">
        <v>1995</v>
      </c>
      <c r="X338">
        <v>2</v>
      </c>
      <c r="Y338">
        <f t="shared" si="200"/>
        <v>0.47712125471966244</v>
      </c>
      <c r="Z338" s="45">
        <v>2.62</v>
      </c>
      <c r="AA338" s="9">
        <f t="shared" si="190"/>
        <v>200000000</v>
      </c>
      <c r="AB338" s="15">
        <f t="shared" si="191"/>
        <v>8.3333333333333339</v>
      </c>
      <c r="AC338" s="34">
        <f t="shared" si="201"/>
        <v>0.97003677662255683</v>
      </c>
      <c r="AD338">
        <v>1861.7599999999995</v>
      </c>
      <c r="AE338">
        <f t="shared" si="194"/>
        <v>3.2699236952309461</v>
      </c>
      <c r="AF338">
        <v>4993.920000000001</v>
      </c>
      <c r="AG338">
        <f t="shared" si="195"/>
        <v>3.6984415808994222</v>
      </c>
      <c r="AH338" s="9">
        <v>854.66666666666697</v>
      </c>
      <c r="AI338" s="9">
        <f t="shared" si="202"/>
        <v>2.9323046139517812</v>
      </c>
      <c r="AJ338">
        <v>70</v>
      </c>
      <c r="AK338" s="23" t="s">
        <v>753</v>
      </c>
      <c r="AL338" s="42">
        <v>48.057282584935102</v>
      </c>
      <c r="AM338" s="24">
        <v>0.51</v>
      </c>
      <c r="AN338" s="34">
        <f t="shared" si="203"/>
        <v>0.17897694729316943</v>
      </c>
      <c r="AO338">
        <v>1985</v>
      </c>
      <c r="AP338">
        <v>12</v>
      </c>
      <c r="AQ338">
        <v>70</v>
      </c>
      <c r="AR338">
        <v>70</v>
      </c>
      <c r="AS338">
        <f t="shared" si="192"/>
        <v>0</v>
      </c>
      <c r="AT338">
        <f t="shared" si="204"/>
        <v>0</v>
      </c>
      <c r="AU338">
        <f t="shared" si="205"/>
        <v>0</v>
      </c>
      <c r="AV338">
        <f t="shared" si="206"/>
        <v>0</v>
      </c>
      <c r="AW338">
        <f t="shared" si="207"/>
        <v>0</v>
      </c>
      <c r="AX338">
        <f t="shared" si="208"/>
        <v>0</v>
      </c>
      <c r="AY338">
        <f t="shared" si="209"/>
        <v>0</v>
      </c>
      <c r="AZ338">
        <f t="shared" si="210"/>
        <v>0</v>
      </c>
      <c r="BA338">
        <f t="shared" si="211"/>
        <v>0</v>
      </c>
      <c r="BB338">
        <f t="shared" si="212"/>
        <v>1</v>
      </c>
      <c r="BC338">
        <f t="shared" si="213"/>
        <v>0</v>
      </c>
      <c r="BD338">
        <f t="shared" si="214"/>
        <v>0</v>
      </c>
      <c r="BE338">
        <f t="shared" si="215"/>
        <v>0</v>
      </c>
      <c r="BF338">
        <f t="shared" si="216"/>
        <v>0</v>
      </c>
      <c r="BG338">
        <f t="shared" si="217"/>
        <v>0</v>
      </c>
      <c r="BH338">
        <f t="shared" si="218"/>
        <v>0</v>
      </c>
      <c r="BI338">
        <f t="shared" si="219"/>
        <v>0</v>
      </c>
    </row>
    <row r="339" spans="1:61" x14ac:dyDescent="0.35">
      <c r="A339" t="s">
        <v>754</v>
      </c>
      <c r="B339" s="1">
        <v>39190</v>
      </c>
      <c r="C339" t="s">
        <v>755</v>
      </c>
      <c r="D339" t="s">
        <v>163</v>
      </c>
      <c r="E339" t="s">
        <v>737</v>
      </c>
      <c r="F339" t="s">
        <v>577</v>
      </c>
      <c r="G339" t="s">
        <v>64</v>
      </c>
      <c r="H339" s="139">
        <f t="shared" si="193"/>
        <v>1</v>
      </c>
      <c r="I339" t="s">
        <v>611</v>
      </c>
      <c r="J339" t="s">
        <v>269</v>
      </c>
      <c r="K339" s="2">
        <f t="shared" si="196"/>
        <v>7</v>
      </c>
      <c r="L339">
        <v>1117760000</v>
      </c>
      <c r="M339" s="2">
        <f t="shared" si="197"/>
        <v>9.0483485639575534</v>
      </c>
      <c r="N339">
        <v>694760000</v>
      </c>
      <c r="O339">
        <v>423000000</v>
      </c>
      <c r="P339" s="1">
        <v>40869</v>
      </c>
      <c r="Q339" s="89">
        <f t="shared" si="198"/>
        <v>2011</v>
      </c>
      <c r="R339" t="s">
        <v>107</v>
      </c>
      <c r="S339">
        <v>1500000000</v>
      </c>
      <c r="T339" s="21">
        <f t="shared" si="189"/>
        <v>4.5999999999999996</v>
      </c>
      <c r="U339">
        <v>342.74</v>
      </c>
      <c r="V339">
        <f t="shared" si="199"/>
        <v>2.5362300726332561</v>
      </c>
      <c r="W339">
        <v>1927</v>
      </c>
      <c r="X339">
        <v>80</v>
      </c>
      <c r="Y339">
        <f t="shared" si="200"/>
        <v>1.9084850188786497</v>
      </c>
      <c r="Z339" s="45">
        <v>2.3199999999999998</v>
      </c>
      <c r="AA339" s="9">
        <f t="shared" si="190"/>
        <v>805240000</v>
      </c>
      <c r="AB339" s="15">
        <f t="shared" si="191"/>
        <v>0.34196965359289999</v>
      </c>
      <c r="AC339" s="34">
        <f t="shared" si="201"/>
        <v>0.12774269509812849</v>
      </c>
      <c r="AD339">
        <v>1861.7599999999995</v>
      </c>
      <c r="AE339">
        <f t="shared" si="194"/>
        <v>3.2699236952309461</v>
      </c>
      <c r="AF339">
        <v>4993.920000000001</v>
      </c>
      <c r="AG339">
        <f t="shared" si="195"/>
        <v>3.6984415808994222</v>
      </c>
      <c r="AH339" s="9">
        <v>569.16666666666697</v>
      </c>
      <c r="AI339" s="9">
        <f t="shared" si="202"/>
        <v>2.756001823801419</v>
      </c>
      <c r="AJ339">
        <v>87.2</v>
      </c>
      <c r="AK339" s="23" t="s">
        <v>164</v>
      </c>
      <c r="AL339" s="42">
        <v>52.565521078007201</v>
      </c>
      <c r="AM339" s="24">
        <v>-0.19</v>
      </c>
      <c r="AN339" s="34">
        <f t="shared" si="203"/>
        <v>-9.1514981121350217E-2</v>
      </c>
      <c r="AO339">
        <v>1985</v>
      </c>
      <c r="AP339">
        <v>22</v>
      </c>
      <c r="AQ339">
        <v>85</v>
      </c>
      <c r="AR339">
        <v>80</v>
      </c>
      <c r="AS339">
        <f t="shared" si="192"/>
        <v>0</v>
      </c>
      <c r="AT339">
        <f t="shared" si="204"/>
        <v>0</v>
      </c>
      <c r="AU339">
        <f t="shared" si="205"/>
        <v>0</v>
      </c>
      <c r="AV339">
        <f t="shared" si="206"/>
        <v>0</v>
      </c>
      <c r="AW339">
        <f t="shared" si="207"/>
        <v>0</v>
      </c>
      <c r="AX339">
        <f t="shared" si="208"/>
        <v>0</v>
      </c>
      <c r="AY339">
        <f t="shared" si="209"/>
        <v>0</v>
      </c>
      <c r="AZ339">
        <f t="shared" si="210"/>
        <v>1</v>
      </c>
      <c r="BA339">
        <f t="shared" si="211"/>
        <v>0</v>
      </c>
      <c r="BB339">
        <f t="shared" si="212"/>
        <v>0</v>
      </c>
      <c r="BC339">
        <f t="shared" si="213"/>
        <v>0</v>
      </c>
      <c r="BD339">
        <f t="shared" si="214"/>
        <v>0</v>
      </c>
      <c r="BE339">
        <f t="shared" si="215"/>
        <v>0</v>
      </c>
      <c r="BF339">
        <f t="shared" si="216"/>
        <v>0</v>
      </c>
      <c r="BG339">
        <f t="shared" si="217"/>
        <v>0</v>
      </c>
      <c r="BH339">
        <f t="shared" si="218"/>
        <v>0</v>
      </c>
      <c r="BI339">
        <f t="shared" si="219"/>
        <v>0</v>
      </c>
    </row>
    <row r="340" spans="1:61" x14ac:dyDescent="0.35">
      <c r="A340" t="s">
        <v>196</v>
      </c>
      <c r="B340" s="1">
        <v>38380</v>
      </c>
      <c r="C340" t="s">
        <v>756</v>
      </c>
      <c r="D340" t="s">
        <v>7</v>
      </c>
      <c r="E340" t="s">
        <v>748</v>
      </c>
      <c r="F340" t="s">
        <v>577</v>
      </c>
      <c r="G340" t="s">
        <v>64</v>
      </c>
      <c r="H340" s="139">
        <f t="shared" si="193"/>
        <v>1</v>
      </c>
      <c r="I340" t="s">
        <v>234</v>
      </c>
      <c r="J340" t="s">
        <v>186</v>
      </c>
      <c r="K340" s="2">
        <f t="shared" si="196"/>
        <v>4</v>
      </c>
      <c r="L340">
        <v>5000000000</v>
      </c>
      <c r="M340" s="2">
        <f t="shared" si="197"/>
        <v>9.6989700043360187</v>
      </c>
      <c r="N340">
        <f t="shared" ref="N340:N364" si="220">L340</f>
        <v>5000000000</v>
      </c>
      <c r="O340">
        <v>0</v>
      </c>
      <c r="P340" s="1">
        <v>39482</v>
      </c>
      <c r="Q340" s="89">
        <f t="shared" si="198"/>
        <v>2008</v>
      </c>
      <c r="R340" s="8" t="s">
        <v>107</v>
      </c>
      <c r="S340">
        <v>16430000000</v>
      </c>
      <c r="T340" s="21">
        <f t="shared" si="189"/>
        <v>3.0191780821917806</v>
      </c>
      <c r="U340">
        <v>489.17</v>
      </c>
      <c r="V340">
        <f t="shared" si="199"/>
        <v>2.6903467274930635</v>
      </c>
      <c r="W340">
        <v>1964</v>
      </c>
      <c r="X340">
        <v>41</v>
      </c>
      <c r="Y340">
        <f t="shared" si="200"/>
        <v>1.6232492903979006</v>
      </c>
      <c r="Z340" s="45">
        <v>2.59</v>
      </c>
      <c r="AA340" s="9">
        <f t="shared" si="190"/>
        <v>11430000000</v>
      </c>
      <c r="AB340" s="15">
        <f t="shared" si="191"/>
        <v>2.286</v>
      </c>
      <c r="AC340" s="34">
        <f t="shared" si="201"/>
        <v>0.51666755909904294</v>
      </c>
      <c r="AD340">
        <v>1861.7599999999995</v>
      </c>
      <c r="AE340">
        <f t="shared" si="194"/>
        <v>3.2699236952309461</v>
      </c>
      <c r="AF340">
        <v>4993.920000000001</v>
      </c>
      <c r="AG340">
        <f t="shared" si="195"/>
        <v>3.6984415808994222</v>
      </c>
      <c r="AH340" s="9">
        <v>562.5</v>
      </c>
      <c r="AI340" s="9">
        <f t="shared" si="202"/>
        <v>2.7508939203821252</v>
      </c>
      <c r="AJ340">
        <v>85</v>
      </c>
      <c r="AK340" s="23" t="s">
        <v>696</v>
      </c>
      <c r="AL340" s="42">
        <v>43.5787105608064</v>
      </c>
      <c r="AM340" s="24">
        <v>0.18</v>
      </c>
      <c r="AN340" s="34">
        <f t="shared" si="203"/>
        <v>7.1882007306125359E-2</v>
      </c>
      <c r="AO340">
        <v>1985</v>
      </c>
      <c r="AP340">
        <v>20</v>
      </c>
      <c r="AQ340">
        <v>90</v>
      </c>
      <c r="AR340">
        <v>70</v>
      </c>
      <c r="AS340">
        <f t="shared" si="192"/>
        <v>0</v>
      </c>
      <c r="AT340">
        <f t="shared" si="204"/>
        <v>0</v>
      </c>
      <c r="AU340">
        <f t="shared" si="205"/>
        <v>0</v>
      </c>
      <c r="AV340">
        <f t="shared" si="206"/>
        <v>0</v>
      </c>
      <c r="AW340">
        <f t="shared" si="207"/>
        <v>0</v>
      </c>
      <c r="AX340">
        <f t="shared" si="208"/>
        <v>0</v>
      </c>
      <c r="AY340">
        <f t="shared" si="209"/>
        <v>0</v>
      </c>
      <c r="AZ340">
        <f t="shared" si="210"/>
        <v>0</v>
      </c>
      <c r="BA340">
        <f t="shared" si="211"/>
        <v>0</v>
      </c>
      <c r="BB340">
        <f t="shared" si="212"/>
        <v>0</v>
      </c>
      <c r="BC340">
        <f t="shared" si="213"/>
        <v>0</v>
      </c>
      <c r="BD340">
        <f t="shared" si="214"/>
        <v>0</v>
      </c>
      <c r="BE340">
        <f t="shared" si="215"/>
        <v>1</v>
      </c>
      <c r="BF340">
        <f t="shared" si="216"/>
        <v>0</v>
      </c>
      <c r="BG340">
        <f t="shared" si="217"/>
        <v>0</v>
      </c>
      <c r="BH340">
        <f t="shared" si="218"/>
        <v>0</v>
      </c>
      <c r="BI340">
        <f t="shared" si="219"/>
        <v>0</v>
      </c>
    </row>
    <row r="341" spans="1:61" x14ac:dyDescent="0.35">
      <c r="A341" t="s">
        <v>196</v>
      </c>
      <c r="B341" s="1">
        <v>40750</v>
      </c>
      <c r="C341" t="s">
        <v>757</v>
      </c>
      <c r="D341" t="s">
        <v>163</v>
      </c>
      <c r="E341" t="s">
        <v>758</v>
      </c>
      <c r="F341" t="s">
        <v>577</v>
      </c>
      <c r="G341" t="s">
        <v>64</v>
      </c>
      <c r="H341" s="139">
        <f t="shared" si="193"/>
        <v>1</v>
      </c>
      <c r="I341" t="s">
        <v>234</v>
      </c>
      <c r="J341" t="s">
        <v>245</v>
      </c>
      <c r="K341" s="2">
        <f t="shared" si="196"/>
        <v>6</v>
      </c>
      <c r="L341">
        <v>1629390589</v>
      </c>
      <c r="M341" s="2">
        <f t="shared" si="197"/>
        <v>9.2120252035929049</v>
      </c>
      <c r="N341">
        <f t="shared" si="220"/>
        <v>1629390589</v>
      </c>
      <c r="O341">
        <v>0</v>
      </c>
      <c r="P341" s="1">
        <v>42530</v>
      </c>
      <c r="Q341" s="89">
        <f t="shared" si="198"/>
        <v>2016</v>
      </c>
      <c r="R341" t="s">
        <v>152</v>
      </c>
      <c r="S341">
        <v>2023910812</v>
      </c>
      <c r="T341" s="21">
        <f t="shared" si="189"/>
        <v>4.8767123287671232</v>
      </c>
      <c r="U341">
        <v>342.74</v>
      </c>
      <c r="V341">
        <f t="shared" si="199"/>
        <v>2.5362300726332561</v>
      </c>
      <c r="W341">
        <v>1972</v>
      </c>
      <c r="X341">
        <v>39</v>
      </c>
      <c r="Y341">
        <f t="shared" si="200"/>
        <v>1.6020599913279623</v>
      </c>
      <c r="Z341" s="45">
        <v>2.3199999999999998</v>
      </c>
      <c r="AA341" s="9">
        <f t="shared" si="190"/>
        <v>394520223</v>
      </c>
      <c r="AB341" s="15">
        <f t="shared" si="191"/>
        <v>0.24212747125422363</v>
      </c>
      <c r="AC341" s="34">
        <f t="shared" si="201"/>
        <v>9.4166166872442655E-2</v>
      </c>
      <c r="AD341">
        <v>1801.108033240997</v>
      </c>
      <c r="AE341">
        <f t="shared" si="194"/>
        <v>3.25553976325445</v>
      </c>
      <c r="AF341">
        <v>8416.6204986149605</v>
      </c>
      <c r="AG341">
        <f t="shared" si="195"/>
        <v>3.9251377454872847</v>
      </c>
      <c r="AH341" s="9">
        <v>569.16666666666697</v>
      </c>
      <c r="AI341" s="9">
        <f t="shared" si="202"/>
        <v>2.756001823801419</v>
      </c>
      <c r="AJ341">
        <v>85.6</v>
      </c>
      <c r="AK341" s="23" t="s">
        <v>520</v>
      </c>
      <c r="AL341" s="42">
        <v>56.2907330998475</v>
      </c>
      <c r="AM341" s="24">
        <v>0.59</v>
      </c>
      <c r="AN341" s="34">
        <f t="shared" si="203"/>
        <v>0.20139712432045145</v>
      </c>
      <c r="AO341">
        <v>1984</v>
      </c>
      <c r="AP341">
        <v>27</v>
      </c>
      <c r="AQ341">
        <v>85</v>
      </c>
      <c r="AR341">
        <v>80</v>
      </c>
      <c r="AS341">
        <f t="shared" si="192"/>
        <v>0</v>
      </c>
      <c r="AT341">
        <f t="shared" si="204"/>
        <v>0</v>
      </c>
      <c r="AU341">
        <f t="shared" si="205"/>
        <v>0</v>
      </c>
      <c r="AV341">
        <f t="shared" si="206"/>
        <v>0</v>
      </c>
      <c r="AW341">
        <f t="shared" si="207"/>
        <v>0</v>
      </c>
      <c r="AX341">
        <f t="shared" si="208"/>
        <v>0</v>
      </c>
      <c r="AY341">
        <f t="shared" si="209"/>
        <v>0</v>
      </c>
      <c r="AZ341">
        <f t="shared" si="210"/>
        <v>1</v>
      </c>
      <c r="BA341">
        <f t="shared" si="211"/>
        <v>0</v>
      </c>
      <c r="BB341">
        <f t="shared" si="212"/>
        <v>0</v>
      </c>
      <c r="BC341">
        <f t="shared" si="213"/>
        <v>0</v>
      </c>
      <c r="BD341">
        <f t="shared" si="214"/>
        <v>0</v>
      </c>
      <c r="BE341">
        <f t="shared" si="215"/>
        <v>0</v>
      </c>
      <c r="BF341">
        <f t="shared" si="216"/>
        <v>0</v>
      </c>
      <c r="BG341">
        <f t="shared" si="217"/>
        <v>0</v>
      </c>
      <c r="BH341">
        <f t="shared" si="218"/>
        <v>0</v>
      </c>
      <c r="BI341">
        <f t="shared" si="219"/>
        <v>0</v>
      </c>
    </row>
    <row r="342" spans="1:61" x14ac:dyDescent="0.35">
      <c r="A342" t="s">
        <v>196</v>
      </c>
      <c r="B342" s="1">
        <v>39232</v>
      </c>
      <c r="C342" t="s">
        <v>759</v>
      </c>
      <c r="D342" t="s">
        <v>163</v>
      </c>
      <c r="E342" t="s">
        <v>760</v>
      </c>
      <c r="F342" t="s">
        <v>577</v>
      </c>
      <c r="G342" t="s">
        <v>64</v>
      </c>
      <c r="H342" s="139">
        <f t="shared" si="193"/>
        <v>1</v>
      </c>
      <c r="I342" t="s">
        <v>234</v>
      </c>
      <c r="J342" t="s">
        <v>235</v>
      </c>
      <c r="K342" s="2">
        <f t="shared" si="196"/>
        <v>1</v>
      </c>
      <c r="L342">
        <v>343000000</v>
      </c>
      <c r="M342" s="2">
        <f t="shared" si="197"/>
        <v>8.5352941200427708</v>
      </c>
      <c r="N342">
        <f t="shared" si="220"/>
        <v>343000000</v>
      </c>
      <c r="O342">
        <v>0</v>
      </c>
      <c r="P342" s="1">
        <v>41578</v>
      </c>
      <c r="Q342" s="89">
        <f t="shared" si="198"/>
        <v>2013</v>
      </c>
      <c r="R342" t="s">
        <v>107</v>
      </c>
      <c r="S342">
        <v>600000000</v>
      </c>
      <c r="T342" s="21">
        <f t="shared" si="189"/>
        <v>6.4273972602739722</v>
      </c>
      <c r="U342">
        <v>342.74</v>
      </c>
      <c r="V342">
        <f t="shared" si="199"/>
        <v>2.5362300726332561</v>
      </c>
      <c r="W342">
        <v>1974</v>
      </c>
      <c r="X342">
        <v>33</v>
      </c>
      <c r="Y342">
        <f t="shared" si="200"/>
        <v>1.5314789170422551</v>
      </c>
      <c r="Z342" s="45">
        <v>2.3199999999999998</v>
      </c>
      <c r="AA342" s="9">
        <f t="shared" si="190"/>
        <v>257000000</v>
      </c>
      <c r="AB342" s="15">
        <f t="shared" si="191"/>
        <v>0.74927113702623904</v>
      </c>
      <c r="AC342" s="34">
        <f t="shared" si="201"/>
        <v>0.24285713034087314</v>
      </c>
      <c r="AD342">
        <v>1801.108033240997</v>
      </c>
      <c r="AE342">
        <f t="shared" si="194"/>
        <v>3.25553976325445</v>
      </c>
      <c r="AF342">
        <v>8416.6204986149605</v>
      </c>
      <c r="AG342">
        <f t="shared" si="195"/>
        <v>3.9251377454872847</v>
      </c>
      <c r="AH342" s="9">
        <v>569.16666666666697</v>
      </c>
      <c r="AI342" s="9">
        <f t="shared" si="202"/>
        <v>2.756001823801419</v>
      </c>
      <c r="AJ342">
        <v>87.2</v>
      </c>
      <c r="AK342" s="23" t="s">
        <v>164</v>
      </c>
      <c r="AL342" s="42">
        <v>52.565521078007201</v>
      </c>
      <c r="AM342" s="24">
        <v>0.15</v>
      </c>
      <c r="AN342" s="34">
        <f t="shared" si="203"/>
        <v>6.069784035361165E-2</v>
      </c>
      <c r="AO342">
        <v>1984</v>
      </c>
      <c r="AP342">
        <v>23</v>
      </c>
      <c r="AQ342">
        <v>85</v>
      </c>
      <c r="AR342">
        <v>80</v>
      </c>
      <c r="AS342">
        <f t="shared" si="192"/>
        <v>0</v>
      </c>
      <c r="AT342">
        <f t="shared" si="204"/>
        <v>0</v>
      </c>
      <c r="AU342">
        <f t="shared" si="205"/>
        <v>0</v>
      </c>
      <c r="AV342">
        <f t="shared" si="206"/>
        <v>0</v>
      </c>
      <c r="AW342">
        <f t="shared" si="207"/>
        <v>0</v>
      </c>
      <c r="AX342">
        <f t="shared" si="208"/>
        <v>0</v>
      </c>
      <c r="AY342">
        <f t="shared" si="209"/>
        <v>0</v>
      </c>
      <c r="AZ342">
        <f t="shared" si="210"/>
        <v>1</v>
      </c>
      <c r="BA342">
        <f t="shared" si="211"/>
        <v>0</v>
      </c>
      <c r="BB342">
        <f t="shared" si="212"/>
        <v>0</v>
      </c>
      <c r="BC342">
        <f t="shared" si="213"/>
        <v>0</v>
      </c>
      <c r="BD342">
        <f t="shared" si="214"/>
        <v>0</v>
      </c>
      <c r="BE342">
        <f t="shared" si="215"/>
        <v>0</v>
      </c>
      <c r="BF342">
        <f t="shared" si="216"/>
        <v>0</v>
      </c>
      <c r="BG342">
        <f t="shared" si="217"/>
        <v>0</v>
      </c>
      <c r="BH342">
        <f t="shared" si="218"/>
        <v>0</v>
      </c>
      <c r="BI342">
        <f t="shared" si="219"/>
        <v>0</v>
      </c>
    </row>
    <row r="343" spans="1:61" x14ac:dyDescent="0.35">
      <c r="A343" t="s">
        <v>196</v>
      </c>
      <c r="B343" s="1">
        <v>36891</v>
      </c>
      <c r="C343" t="s">
        <v>761</v>
      </c>
      <c r="D343" t="s">
        <v>163</v>
      </c>
      <c r="E343" t="s">
        <v>762</v>
      </c>
      <c r="F343" t="s">
        <v>577</v>
      </c>
      <c r="G343" t="s">
        <v>64</v>
      </c>
      <c r="H343" s="139">
        <f t="shared" si="193"/>
        <v>1</v>
      </c>
      <c r="I343" t="s">
        <v>234</v>
      </c>
      <c r="J343" t="s">
        <v>248</v>
      </c>
      <c r="K343" s="2">
        <f t="shared" si="196"/>
        <v>5</v>
      </c>
      <c r="L343">
        <v>266804219</v>
      </c>
      <c r="M343" s="2">
        <f t="shared" si="197"/>
        <v>8.4261926928379598</v>
      </c>
      <c r="N343">
        <f t="shared" si="220"/>
        <v>266804219</v>
      </c>
      <c r="O343">
        <v>0</v>
      </c>
      <c r="P343" s="1">
        <v>38379</v>
      </c>
      <c r="Q343" s="89">
        <f t="shared" si="198"/>
        <v>2005</v>
      </c>
      <c r="R343" t="s">
        <v>107</v>
      </c>
      <c r="S343">
        <v>453212477</v>
      </c>
      <c r="T343" s="21">
        <f t="shared" si="189"/>
        <v>4.0767123287671234</v>
      </c>
      <c r="U343">
        <v>342.74</v>
      </c>
      <c r="V343">
        <f t="shared" si="199"/>
        <v>2.5362300726332561</v>
      </c>
      <c r="W343">
        <v>1960</v>
      </c>
      <c r="X343">
        <v>40</v>
      </c>
      <c r="Y343">
        <f t="shared" si="200"/>
        <v>1.6127838567197355</v>
      </c>
      <c r="Z343" s="45">
        <v>2.3199999999999998</v>
      </c>
      <c r="AA343" s="9">
        <f t="shared" si="190"/>
        <v>186408258</v>
      </c>
      <c r="AB343" s="15">
        <f t="shared" si="191"/>
        <v>0.69867057836892754</v>
      </c>
      <c r="AC343" s="34">
        <f t="shared" si="201"/>
        <v>0.23010916470304998</v>
      </c>
      <c r="AD343">
        <v>1801.108033240997</v>
      </c>
      <c r="AE343">
        <f t="shared" si="194"/>
        <v>3.25553976325445</v>
      </c>
      <c r="AF343">
        <v>8416.6204986149605</v>
      </c>
      <c r="AG343">
        <f t="shared" si="195"/>
        <v>3.9251377454872847</v>
      </c>
      <c r="AH343" s="9">
        <v>569.16666666666697</v>
      </c>
      <c r="AI343" s="9">
        <f t="shared" si="202"/>
        <v>2.756001823801419</v>
      </c>
      <c r="AJ343">
        <v>70</v>
      </c>
      <c r="AK343" s="23" t="s">
        <v>466</v>
      </c>
      <c r="AL343" s="42">
        <v>51.652289181886701</v>
      </c>
      <c r="AM343" s="24">
        <v>-0.11</v>
      </c>
      <c r="AN343" s="34">
        <f t="shared" si="203"/>
        <v>-5.0609993355087209E-2</v>
      </c>
      <c r="AO343">
        <v>1996</v>
      </c>
      <c r="AP343">
        <v>4</v>
      </c>
      <c r="AQ343">
        <v>85</v>
      </c>
      <c r="AR343">
        <v>80</v>
      </c>
      <c r="AS343">
        <f t="shared" si="192"/>
        <v>0</v>
      </c>
      <c r="AT343">
        <f t="shared" si="204"/>
        <v>0</v>
      </c>
      <c r="AU343">
        <f t="shared" si="205"/>
        <v>0</v>
      </c>
      <c r="AV343">
        <f t="shared" si="206"/>
        <v>0</v>
      </c>
      <c r="AW343">
        <f t="shared" si="207"/>
        <v>0</v>
      </c>
      <c r="AX343">
        <f t="shared" si="208"/>
        <v>0</v>
      </c>
      <c r="AY343">
        <f t="shared" si="209"/>
        <v>0</v>
      </c>
      <c r="AZ343">
        <f t="shared" si="210"/>
        <v>1</v>
      </c>
      <c r="BA343">
        <f t="shared" si="211"/>
        <v>0</v>
      </c>
      <c r="BB343">
        <f t="shared" si="212"/>
        <v>0</v>
      </c>
      <c r="BC343">
        <f t="shared" si="213"/>
        <v>0</v>
      </c>
      <c r="BD343">
        <f t="shared" si="214"/>
        <v>0</v>
      </c>
      <c r="BE343">
        <f t="shared" si="215"/>
        <v>0</v>
      </c>
      <c r="BF343">
        <f t="shared" si="216"/>
        <v>0</v>
      </c>
      <c r="BG343">
        <f t="shared" si="217"/>
        <v>0</v>
      </c>
      <c r="BH343">
        <f t="shared" si="218"/>
        <v>0</v>
      </c>
      <c r="BI343">
        <f t="shared" si="219"/>
        <v>0</v>
      </c>
    </row>
    <row r="344" spans="1:61" x14ac:dyDescent="0.35">
      <c r="A344" t="s">
        <v>196</v>
      </c>
      <c r="B344" s="1">
        <v>36341</v>
      </c>
      <c r="C344" t="s">
        <v>763</v>
      </c>
      <c r="D344" t="s">
        <v>163</v>
      </c>
      <c r="E344" s="8" t="s">
        <v>764</v>
      </c>
      <c r="F344" t="s">
        <v>577</v>
      </c>
      <c r="G344" t="s">
        <v>64</v>
      </c>
      <c r="H344" s="139">
        <f t="shared" si="193"/>
        <v>1</v>
      </c>
      <c r="I344" t="s">
        <v>234</v>
      </c>
      <c r="J344" t="s">
        <v>248</v>
      </c>
      <c r="K344" s="2">
        <f t="shared" si="196"/>
        <v>5</v>
      </c>
      <c r="L344">
        <v>44000000</v>
      </c>
      <c r="M344" s="2">
        <f t="shared" si="197"/>
        <v>7.6434526764861879</v>
      </c>
      <c r="N344">
        <f t="shared" si="220"/>
        <v>44000000</v>
      </c>
      <c r="O344">
        <v>0</v>
      </c>
      <c r="P344" s="1">
        <v>38182</v>
      </c>
      <c r="Q344" s="89">
        <f t="shared" si="198"/>
        <v>2004</v>
      </c>
      <c r="R344" t="s">
        <v>152</v>
      </c>
      <c r="S344">
        <v>100000000</v>
      </c>
      <c r="T344" s="21">
        <f t="shared" si="189"/>
        <v>5.043835616438356</v>
      </c>
      <c r="U344">
        <v>342.74</v>
      </c>
      <c r="V344">
        <f t="shared" si="199"/>
        <v>2.5362300726332561</v>
      </c>
      <c r="W344">
        <v>1995</v>
      </c>
      <c r="X344">
        <v>4</v>
      </c>
      <c r="Y344">
        <f t="shared" si="200"/>
        <v>0.69897000433601886</v>
      </c>
      <c r="Z344" s="45">
        <v>2.3199999999999998</v>
      </c>
      <c r="AA344" s="9">
        <f t="shared" si="190"/>
        <v>56000000</v>
      </c>
      <c r="AB344" s="15">
        <f t="shared" si="191"/>
        <v>1.2727272727272729</v>
      </c>
      <c r="AC344" s="34">
        <f t="shared" si="201"/>
        <v>0.35654732351381263</v>
      </c>
      <c r="AD344">
        <v>1801.108033240997</v>
      </c>
      <c r="AE344">
        <f t="shared" si="194"/>
        <v>3.25553976325445</v>
      </c>
      <c r="AF344">
        <v>8416.6204986149605</v>
      </c>
      <c r="AG344">
        <f t="shared" si="195"/>
        <v>3.9251377454872847</v>
      </c>
      <c r="AH344" s="9">
        <v>569.16666666666697</v>
      </c>
      <c r="AI344" s="9">
        <f t="shared" si="202"/>
        <v>2.756001823801419</v>
      </c>
      <c r="AJ344">
        <v>85</v>
      </c>
      <c r="AK344" s="23" t="s">
        <v>383</v>
      </c>
      <c r="AL344" s="42">
        <v>52.629944775121203</v>
      </c>
      <c r="AM344" s="24">
        <v>-0.19</v>
      </c>
      <c r="AN344" s="34">
        <f t="shared" si="203"/>
        <v>-9.1514981121350217E-2</v>
      </c>
      <c r="AO344">
        <v>1984</v>
      </c>
      <c r="AP344">
        <v>15</v>
      </c>
      <c r="AQ344">
        <v>85</v>
      </c>
      <c r="AR344">
        <v>80</v>
      </c>
      <c r="AS344">
        <f t="shared" si="192"/>
        <v>0</v>
      </c>
      <c r="AT344">
        <f t="shared" si="204"/>
        <v>0</v>
      </c>
      <c r="AU344">
        <f t="shared" si="205"/>
        <v>0</v>
      </c>
      <c r="AV344">
        <f t="shared" si="206"/>
        <v>0</v>
      </c>
      <c r="AW344">
        <f t="shared" si="207"/>
        <v>0</v>
      </c>
      <c r="AX344">
        <f t="shared" si="208"/>
        <v>0</v>
      </c>
      <c r="AY344">
        <f t="shared" si="209"/>
        <v>0</v>
      </c>
      <c r="AZ344">
        <f t="shared" si="210"/>
        <v>1</v>
      </c>
      <c r="BA344">
        <f t="shared" si="211"/>
        <v>0</v>
      </c>
      <c r="BB344">
        <f t="shared" si="212"/>
        <v>0</v>
      </c>
      <c r="BC344">
        <f t="shared" si="213"/>
        <v>0</v>
      </c>
      <c r="BD344">
        <f t="shared" si="214"/>
        <v>0</v>
      </c>
      <c r="BE344">
        <f t="shared" si="215"/>
        <v>0</v>
      </c>
      <c r="BF344">
        <f t="shared" si="216"/>
        <v>0</v>
      </c>
      <c r="BG344">
        <f t="shared" si="217"/>
        <v>0</v>
      </c>
      <c r="BH344">
        <f t="shared" si="218"/>
        <v>0</v>
      </c>
      <c r="BI344">
        <f t="shared" si="219"/>
        <v>0</v>
      </c>
    </row>
    <row r="345" spans="1:61" x14ac:dyDescent="0.35">
      <c r="A345" t="s">
        <v>196</v>
      </c>
      <c r="B345" s="1">
        <v>36160</v>
      </c>
      <c r="C345" t="s">
        <v>765</v>
      </c>
      <c r="D345" t="s">
        <v>163</v>
      </c>
      <c r="E345" s="8" t="s">
        <v>764</v>
      </c>
      <c r="F345" t="s">
        <v>577</v>
      </c>
      <c r="G345" t="s">
        <v>64</v>
      </c>
      <c r="H345" s="139">
        <f t="shared" si="193"/>
        <v>1</v>
      </c>
      <c r="I345" t="s">
        <v>234</v>
      </c>
      <c r="J345" t="s">
        <v>186</v>
      </c>
      <c r="K345" s="2">
        <f t="shared" si="196"/>
        <v>4</v>
      </c>
      <c r="L345">
        <v>25000000</v>
      </c>
      <c r="M345" s="2">
        <f t="shared" si="197"/>
        <v>7.3979400086720375</v>
      </c>
      <c r="N345">
        <f t="shared" si="220"/>
        <v>25000000</v>
      </c>
      <c r="O345">
        <v>0</v>
      </c>
      <c r="P345" s="1">
        <v>38735</v>
      </c>
      <c r="Q345" s="89">
        <f t="shared" si="198"/>
        <v>2006</v>
      </c>
      <c r="R345" t="s">
        <v>107</v>
      </c>
      <c r="S345">
        <v>70000000</v>
      </c>
      <c r="T345" s="21">
        <f t="shared" si="189"/>
        <v>7.0547945205479454</v>
      </c>
      <c r="U345">
        <v>342.74</v>
      </c>
      <c r="V345">
        <f t="shared" si="199"/>
        <v>2.5362300726332561</v>
      </c>
      <c r="W345">
        <v>1983</v>
      </c>
      <c r="X345">
        <v>15</v>
      </c>
      <c r="Y345">
        <f t="shared" si="200"/>
        <v>1.2041199826559248</v>
      </c>
      <c r="Z345" s="45">
        <v>2.3199999999999998</v>
      </c>
      <c r="AA345" s="9">
        <f t="shared" si="190"/>
        <v>45000000</v>
      </c>
      <c r="AB345" s="15">
        <f t="shared" si="191"/>
        <v>1.7999999999999998</v>
      </c>
      <c r="AC345" s="34">
        <f t="shared" si="201"/>
        <v>0.44715803134221921</v>
      </c>
      <c r="AD345">
        <v>1801.108033240997</v>
      </c>
      <c r="AE345">
        <f t="shared" si="194"/>
        <v>3.25553976325445</v>
      </c>
      <c r="AF345">
        <v>8416.6204986149605</v>
      </c>
      <c r="AG345">
        <f t="shared" si="195"/>
        <v>3.9251377454872847</v>
      </c>
      <c r="AH345" s="9">
        <v>569.16666666666697</v>
      </c>
      <c r="AI345" s="9">
        <f t="shared" si="202"/>
        <v>2.756001823801419</v>
      </c>
      <c r="AJ345">
        <v>85</v>
      </c>
      <c r="AK345" s="23" t="s">
        <v>620</v>
      </c>
      <c r="AL345" s="42">
        <v>52.924485315438503</v>
      </c>
      <c r="AM345" s="24">
        <v>0.04</v>
      </c>
      <c r="AN345" s="34">
        <f t="shared" si="203"/>
        <v>1.703333929878037E-2</v>
      </c>
      <c r="AO345">
        <v>1984</v>
      </c>
      <c r="AP345">
        <v>14</v>
      </c>
      <c r="AQ345">
        <v>85</v>
      </c>
      <c r="AR345">
        <v>80</v>
      </c>
      <c r="AS345">
        <f t="shared" si="192"/>
        <v>0</v>
      </c>
      <c r="AT345">
        <f t="shared" si="204"/>
        <v>0</v>
      </c>
      <c r="AU345">
        <f t="shared" si="205"/>
        <v>0</v>
      </c>
      <c r="AV345">
        <f t="shared" si="206"/>
        <v>0</v>
      </c>
      <c r="AW345">
        <f t="shared" si="207"/>
        <v>0</v>
      </c>
      <c r="AX345">
        <f t="shared" si="208"/>
        <v>0</v>
      </c>
      <c r="AY345">
        <f t="shared" si="209"/>
        <v>0</v>
      </c>
      <c r="AZ345">
        <f t="shared" si="210"/>
        <v>1</v>
      </c>
      <c r="BA345">
        <f t="shared" si="211"/>
        <v>0</v>
      </c>
      <c r="BB345">
        <f t="shared" si="212"/>
        <v>0</v>
      </c>
      <c r="BC345">
        <f t="shared" si="213"/>
        <v>0</v>
      </c>
      <c r="BD345">
        <f t="shared" si="214"/>
        <v>0</v>
      </c>
      <c r="BE345">
        <f t="shared" si="215"/>
        <v>0</v>
      </c>
      <c r="BF345">
        <f t="shared" si="216"/>
        <v>0</v>
      </c>
      <c r="BG345">
        <f t="shared" si="217"/>
        <v>0</v>
      </c>
      <c r="BH345">
        <f t="shared" si="218"/>
        <v>0</v>
      </c>
      <c r="BI345">
        <f t="shared" si="219"/>
        <v>0</v>
      </c>
    </row>
    <row r="346" spans="1:61" x14ac:dyDescent="0.35">
      <c r="A346" t="s">
        <v>196</v>
      </c>
      <c r="B346" s="1">
        <v>40617</v>
      </c>
      <c r="C346" t="s">
        <v>766</v>
      </c>
      <c r="D346" t="s">
        <v>2</v>
      </c>
      <c r="E346" t="s">
        <v>758</v>
      </c>
      <c r="F346" t="s">
        <v>577</v>
      </c>
      <c r="G346" t="s">
        <v>64</v>
      </c>
      <c r="H346" s="139">
        <f t="shared" si="193"/>
        <v>1</v>
      </c>
      <c r="I346" t="s">
        <v>234</v>
      </c>
      <c r="J346" t="s">
        <v>326</v>
      </c>
      <c r="K346" s="2">
        <f t="shared" si="196"/>
        <v>8</v>
      </c>
      <c r="L346">
        <v>336786189</v>
      </c>
      <c r="M346" s="2">
        <f t="shared" si="197"/>
        <v>8.5273542735518628</v>
      </c>
      <c r="N346">
        <f t="shared" si="220"/>
        <v>336786189</v>
      </c>
      <c r="O346">
        <v>0</v>
      </c>
      <c r="P346" s="1">
        <v>41820</v>
      </c>
      <c r="Q346" s="89">
        <f t="shared" si="198"/>
        <v>2014</v>
      </c>
      <c r="R346" t="s">
        <v>152</v>
      </c>
      <c r="S346">
        <v>800000000</v>
      </c>
      <c r="T346" s="21">
        <f t="shared" si="189"/>
        <v>3.2958904109589042</v>
      </c>
      <c r="U346">
        <v>917.19</v>
      </c>
      <c r="V346">
        <f t="shared" si="199"/>
        <v>2.9629325585580042</v>
      </c>
      <c r="W346">
        <v>2003</v>
      </c>
      <c r="X346">
        <v>8</v>
      </c>
      <c r="Y346">
        <f t="shared" si="200"/>
        <v>0.95424250943932487</v>
      </c>
      <c r="Z346" s="45">
        <v>2.62</v>
      </c>
      <c r="AA346" s="9">
        <f t="shared" si="190"/>
        <v>463213811</v>
      </c>
      <c r="AB346" s="15">
        <f t="shared" si="191"/>
        <v>1.3753943187973188</v>
      </c>
      <c r="AC346" s="34">
        <f t="shared" si="201"/>
        <v>0.375735713440081</v>
      </c>
      <c r="AD346">
        <v>1801.108033240997</v>
      </c>
      <c r="AE346">
        <f t="shared" si="194"/>
        <v>3.25553976325445</v>
      </c>
      <c r="AF346">
        <v>8416.6204986149605</v>
      </c>
      <c r="AG346">
        <f t="shared" si="195"/>
        <v>3.9251377454872847</v>
      </c>
      <c r="AH346" s="9">
        <v>854.66666666666697</v>
      </c>
      <c r="AI346" s="9">
        <f t="shared" si="202"/>
        <v>2.9323046139517812</v>
      </c>
      <c r="AJ346">
        <v>89.6</v>
      </c>
      <c r="AK346" s="23" t="s">
        <v>365</v>
      </c>
      <c r="AL346" s="42">
        <v>44.7100017757258</v>
      </c>
      <c r="AM346" s="24">
        <v>0.53</v>
      </c>
      <c r="AN346" s="34">
        <f t="shared" si="203"/>
        <v>0.18469143081759881</v>
      </c>
      <c r="AO346">
        <v>1984</v>
      </c>
      <c r="AP346">
        <v>27</v>
      </c>
      <c r="AQ346">
        <v>70</v>
      </c>
      <c r="AR346">
        <v>70</v>
      </c>
      <c r="AS346">
        <f t="shared" si="192"/>
        <v>0</v>
      </c>
      <c r="AT346">
        <f t="shared" si="204"/>
        <v>0</v>
      </c>
      <c r="AU346">
        <f t="shared" si="205"/>
        <v>0</v>
      </c>
      <c r="AV346">
        <f t="shared" si="206"/>
        <v>0</v>
      </c>
      <c r="AW346">
        <f t="shared" si="207"/>
        <v>0</v>
      </c>
      <c r="AX346">
        <f t="shared" si="208"/>
        <v>0</v>
      </c>
      <c r="AY346">
        <f t="shared" si="209"/>
        <v>0</v>
      </c>
      <c r="AZ346">
        <f t="shared" si="210"/>
        <v>0</v>
      </c>
      <c r="BA346">
        <f t="shared" si="211"/>
        <v>0</v>
      </c>
      <c r="BB346">
        <f t="shared" si="212"/>
        <v>1</v>
      </c>
      <c r="BC346">
        <f t="shared" si="213"/>
        <v>0</v>
      </c>
      <c r="BD346">
        <f t="shared" si="214"/>
        <v>0</v>
      </c>
      <c r="BE346">
        <f t="shared" si="215"/>
        <v>0</v>
      </c>
      <c r="BF346">
        <f t="shared" si="216"/>
        <v>0</v>
      </c>
      <c r="BG346">
        <f t="shared" si="217"/>
        <v>0</v>
      </c>
      <c r="BH346">
        <f t="shared" si="218"/>
        <v>0</v>
      </c>
      <c r="BI346">
        <f t="shared" si="219"/>
        <v>0</v>
      </c>
    </row>
    <row r="347" spans="1:61" x14ac:dyDescent="0.35">
      <c r="A347" t="s">
        <v>196</v>
      </c>
      <c r="B347" s="1">
        <v>38694</v>
      </c>
      <c r="C347" t="s">
        <v>767</v>
      </c>
      <c r="D347" t="s">
        <v>45</v>
      </c>
      <c r="E347" t="s">
        <v>760</v>
      </c>
      <c r="F347" t="s">
        <v>577</v>
      </c>
      <c r="G347" t="s">
        <v>64</v>
      </c>
      <c r="H347" s="139">
        <f t="shared" si="193"/>
        <v>1</v>
      </c>
      <c r="I347" t="s">
        <v>234</v>
      </c>
      <c r="J347" t="s">
        <v>248</v>
      </c>
      <c r="K347" s="2">
        <f t="shared" si="196"/>
        <v>5</v>
      </c>
      <c r="L347">
        <v>946310000</v>
      </c>
      <c r="M347" s="2">
        <f t="shared" si="197"/>
        <v>8.9760334294622268</v>
      </c>
      <c r="N347">
        <f t="shared" si="220"/>
        <v>946310000</v>
      </c>
      <c r="O347">
        <v>0</v>
      </c>
      <c r="P347" s="1">
        <v>40749</v>
      </c>
      <c r="Q347" s="89">
        <f t="shared" si="198"/>
        <v>2011</v>
      </c>
      <c r="R347" t="s">
        <v>114</v>
      </c>
      <c r="S347">
        <v>950000000</v>
      </c>
      <c r="T347" s="21">
        <f t="shared" si="189"/>
        <v>5.6301369863013697</v>
      </c>
      <c r="U347">
        <v>5897.96</v>
      </c>
      <c r="V347">
        <f t="shared" si="199"/>
        <v>3.7707754512906644</v>
      </c>
      <c r="W347">
        <v>1979</v>
      </c>
      <c r="X347">
        <v>26</v>
      </c>
      <c r="Y347">
        <f t="shared" si="200"/>
        <v>1.4313637641589874</v>
      </c>
      <c r="Z347" s="45">
        <v>2.3199999999999998</v>
      </c>
      <c r="AA347" s="9">
        <f t="shared" si="190"/>
        <v>3690000</v>
      </c>
      <c r="AB347" s="15">
        <f t="shared" si="191"/>
        <v>3.8993564476756948E-3</v>
      </c>
      <c r="AC347" s="34">
        <f t="shared" si="201"/>
        <v>1.6901758266215719E-3</v>
      </c>
      <c r="AD347">
        <v>1801.108033240997</v>
      </c>
      <c r="AE347">
        <f t="shared" si="194"/>
        <v>3.25553976325445</v>
      </c>
      <c r="AF347">
        <v>8416.6204986149605</v>
      </c>
      <c r="AG347">
        <f t="shared" si="195"/>
        <v>3.9251377454872847</v>
      </c>
      <c r="AH347" s="9">
        <v>132</v>
      </c>
      <c r="AI347" s="9">
        <f t="shared" si="202"/>
        <v>2.1238516409670858</v>
      </c>
      <c r="AJ347">
        <v>85</v>
      </c>
      <c r="AK347" s="23" t="s">
        <v>100</v>
      </c>
      <c r="AL347" s="42">
        <v>36.959146749272797</v>
      </c>
      <c r="AM347" s="24">
        <v>0.06</v>
      </c>
      <c r="AN347" s="34">
        <f t="shared" si="203"/>
        <v>2.5305865264770262E-2</v>
      </c>
      <c r="AO347">
        <v>1984</v>
      </c>
      <c r="AP347">
        <v>21</v>
      </c>
      <c r="AQ347">
        <v>70</v>
      </c>
      <c r="AR347">
        <v>70</v>
      </c>
      <c r="AS347">
        <f t="shared" si="192"/>
        <v>0</v>
      </c>
      <c r="AT347">
        <f t="shared" si="204"/>
        <v>1</v>
      </c>
      <c r="AU347">
        <f t="shared" si="205"/>
        <v>0</v>
      </c>
      <c r="AV347">
        <f t="shared" si="206"/>
        <v>0</v>
      </c>
      <c r="AW347">
        <f t="shared" si="207"/>
        <v>0</v>
      </c>
      <c r="AX347">
        <f t="shared" si="208"/>
        <v>0</v>
      </c>
      <c r="AY347">
        <f t="shared" si="209"/>
        <v>0</v>
      </c>
      <c r="AZ347">
        <f t="shared" si="210"/>
        <v>0</v>
      </c>
      <c r="BA347">
        <f t="shared" si="211"/>
        <v>0</v>
      </c>
      <c r="BB347">
        <f t="shared" si="212"/>
        <v>0</v>
      </c>
      <c r="BC347">
        <f t="shared" si="213"/>
        <v>0</v>
      </c>
      <c r="BD347">
        <f t="shared" si="214"/>
        <v>0</v>
      </c>
      <c r="BE347">
        <f t="shared" si="215"/>
        <v>0</v>
      </c>
      <c r="BF347">
        <f t="shared" si="216"/>
        <v>0</v>
      </c>
      <c r="BG347">
        <f t="shared" si="217"/>
        <v>0</v>
      </c>
      <c r="BH347">
        <f t="shared" si="218"/>
        <v>0</v>
      </c>
      <c r="BI347">
        <f t="shared" si="219"/>
        <v>0</v>
      </c>
    </row>
    <row r="348" spans="1:61" x14ac:dyDescent="0.35">
      <c r="A348" t="s">
        <v>196</v>
      </c>
      <c r="B348" s="1">
        <v>41974</v>
      </c>
      <c r="C348" t="s">
        <v>768</v>
      </c>
      <c r="D348" t="s">
        <v>4</v>
      </c>
      <c r="E348" t="s">
        <v>410</v>
      </c>
      <c r="F348" t="s">
        <v>4</v>
      </c>
      <c r="G348" t="s">
        <v>47</v>
      </c>
      <c r="H348" s="139">
        <f t="shared" si="193"/>
        <v>0</v>
      </c>
      <c r="I348" t="s">
        <v>234</v>
      </c>
      <c r="J348" t="s">
        <v>245</v>
      </c>
      <c r="K348" s="2">
        <f t="shared" si="196"/>
        <v>6</v>
      </c>
      <c r="L348">
        <v>243540000</v>
      </c>
      <c r="M348" s="2">
        <f t="shared" si="197"/>
        <v>8.3865703017009299</v>
      </c>
      <c r="N348">
        <f t="shared" si="220"/>
        <v>243540000</v>
      </c>
      <c r="O348">
        <v>0</v>
      </c>
      <c r="P348" s="1">
        <v>43053</v>
      </c>
      <c r="Q348" s="89">
        <f t="shared" si="198"/>
        <v>2017</v>
      </c>
      <c r="R348" t="s">
        <v>107</v>
      </c>
      <c r="S348">
        <v>1500000000</v>
      </c>
      <c r="T348" s="21">
        <f t="shared" si="189"/>
        <v>2.956164383561644</v>
      </c>
      <c r="U348">
        <v>0</v>
      </c>
      <c r="V348">
        <f t="shared" si="199"/>
        <v>0</v>
      </c>
      <c r="W348">
        <v>1983</v>
      </c>
      <c r="X348">
        <v>31</v>
      </c>
      <c r="Y348">
        <f t="shared" si="200"/>
        <v>1.505149978319906</v>
      </c>
      <c r="Z348" s="45">
        <v>3.59</v>
      </c>
      <c r="AA348" s="9">
        <f t="shared" si="190"/>
        <v>1256460000</v>
      </c>
      <c r="AB348" s="15">
        <f t="shared" si="191"/>
        <v>5.1591525006159156</v>
      </c>
      <c r="AC348" s="34">
        <f t="shared" si="201"/>
        <v>0.78952095735475225</v>
      </c>
      <c r="AD348">
        <v>1630.2786555587475</v>
      </c>
      <c r="AE348">
        <f t="shared" si="194"/>
        <v>3.212261842580872</v>
      </c>
      <c r="AF348">
        <v>8569.3766159149673</v>
      </c>
      <c r="AG348">
        <f t="shared" si="195"/>
        <v>3.9329492300777744</v>
      </c>
      <c r="AH348" s="9">
        <v>0</v>
      </c>
      <c r="AI348" s="9">
        <f t="shared" si="202"/>
        <v>0</v>
      </c>
      <c r="AJ348">
        <v>91.1</v>
      </c>
      <c r="AK348" s="23" t="s">
        <v>97</v>
      </c>
      <c r="AL348" s="42">
        <v>51.076866471704001</v>
      </c>
      <c r="AM348" s="24">
        <v>0.26</v>
      </c>
      <c r="AN348" s="34">
        <f t="shared" si="203"/>
        <v>0.10037054511756291</v>
      </c>
      <c r="AO348">
        <v>1989</v>
      </c>
      <c r="AP348">
        <v>25</v>
      </c>
      <c r="AQ348">
        <v>70</v>
      </c>
      <c r="AR348">
        <v>70</v>
      </c>
      <c r="AS348">
        <f t="shared" si="192"/>
        <v>0</v>
      </c>
      <c r="AT348">
        <f t="shared" si="204"/>
        <v>0</v>
      </c>
      <c r="AU348">
        <f t="shared" si="205"/>
        <v>0</v>
      </c>
      <c r="AV348">
        <f t="shared" si="206"/>
        <v>0</v>
      </c>
      <c r="AW348">
        <f t="shared" si="207"/>
        <v>0</v>
      </c>
      <c r="AX348">
        <f t="shared" si="208"/>
        <v>1</v>
      </c>
      <c r="AY348">
        <f t="shared" si="209"/>
        <v>0</v>
      </c>
      <c r="AZ348">
        <f t="shared" si="210"/>
        <v>0</v>
      </c>
      <c r="BA348">
        <f t="shared" si="211"/>
        <v>0</v>
      </c>
      <c r="BB348">
        <f t="shared" si="212"/>
        <v>0</v>
      </c>
      <c r="BC348">
        <f t="shared" si="213"/>
        <v>0</v>
      </c>
      <c r="BD348">
        <f t="shared" si="214"/>
        <v>0</v>
      </c>
      <c r="BE348">
        <f t="shared" si="215"/>
        <v>0</v>
      </c>
      <c r="BF348">
        <f t="shared" si="216"/>
        <v>0</v>
      </c>
      <c r="BG348">
        <f t="shared" si="217"/>
        <v>0</v>
      </c>
      <c r="BH348">
        <f t="shared" si="218"/>
        <v>0</v>
      </c>
      <c r="BI348">
        <f t="shared" si="219"/>
        <v>0</v>
      </c>
    </row>
    <row r="349" spans="1:61" x14ac:dyDescent="0.35">
      <c r="A349" t="s">
        <v>769</v>
      </c>
      <c r="B349" s="1">
        <v>42317</v>
      </c>
      <c r="C349" t="s">
        <v>770</v>
      </c>
      <c r="D349" t="s">
        <v>1</v>
      </c>
      <c r="E349" t="s">
        <v>771</v>
      </c>
      <c r="F349" t="s">
        <v>1</v>
      </c>
      <c r="G349" t="s">
        <v>47</v>
      </c>
      <c r="H349" s="139">
        <f t="shared" si="193"/>
        <v>0</v>
      </c>
      <c r="I349" t="s">
        <v>234</v>
      </c>
      <c r="J349" t="s">
        <v>186</v>
      </c>
      <c r="K349" s="2">
        <f t="shared" si="196"/>
        <v>4</v>
      </c>
      <c r="L349">
        <v>81330000</v>
      </c>
      <c r="M349" s="2">
        <f t="shared" si="197"/>
        <v>7.9102507723001478</v>
      </c>
      <c r="N349">
        <f t="shared" si="220"/>
        <v>81330000</v>
      </c>
      <c r="O349">
        <v>0</v>
      </c>
      <c r="P349" s="1">
        <v>42825</v>
      </c>
      <c r="Q349" s="89">
        <f t="shared" si="198"/>
        <v>2017</v>
      </c>
      <c r="R349" t="s">
        <v>107</v>
      </c>
      <c r="S349">
        <v>144210000</v>
      </c>
      <c r="T349" s="21">
        <f t="shared" si="189"/>
        <v>1.3917808219178083</v>
      </c>
      <c r="U349">
        <v>0</v>
      </c>
      <c r="V349">
        <f t="shared" si="199"/>
        <v>0</v>
      </c>
      <c r="W349">
        <v>2008</v>
      </c>
      <c r="X349">
        <v>7</v>
      </c>
      <c r="Y349">
        <f t="shared" si="200"/>
        <v>0.90308998699194354</v>
      </c>
      <c r="Z349" s="45">
        <v>3.42</v>
      </c>
      <c r="AA349" s="9">
        <f t="shared" si="190"/>
        <v>62880000</v>
      </c>
      <c r="AB349" s="15">
        <f t="shared" si="191"/>
        <v>0.77314644042788649</v>
      </c>
      <c r="AC349" s="34">
        <f t="shared" si="201"/>
        <v>0.24874460454816136</v>
      </c>
      <c r="AD349">
        <v>1818.3524113342091</v>
      </c>
      <c r="AE349">
        <f t="shared" si="194"/>
        <v>3.2596780568098533</v>
      </c>
      <c r="AF349">
        <v>10000</v>
      </c>
      <c r="AG349">
        <f t="shared" si="195"/>
        <v>4</v>
      </c>
      <c r="AH349" s="9">
        <v>0</v>
      </c>
      <c r="AI349" s="9">
        <f t="shared" si="202"/>
        <v>0</v>
      </c>
      <c r="AJ349">
        <v>92.1</v>
      </c>
      <c r="AK349" s="23" t="s">
        <v>554</v>
      </c>
      <c r="AL349" s="42">
        <v>48.799820147807203</v>
      </c>
      <c r="AM349" s="24">
        <v>0.14000000000000001</v>
      </c>
      <c r="AN349" s="34">
        <f t="shared" si="203"/>
        <v>5.6904851336472641E-2</v>
      </c>
      <c r="AO349">
        <v>1991</v>
      </c>
      <c r="AP349">
        <v>24</v>
      </c>
      <c r="AQ349">
        <v>70</v>
      </c>
      <c r="AR349">
        <v>50</v>
      </c>
      <c r="AS349">
        <f t="shared" si="192"/>
        <v>0</v>
      </c>
      <c r="AT349">
        <f t="shared" si="204"/>
        <v>0</v>
      </c>
      <c r="AU349">
        <f t="shared" si="205"/>
        <v>0</v>
      </c>
      <c r="AV349">
        <f t="shared" si="206"/>
        <v>1</v>
      </c>
      <c r="AW349">
        <f t="shared" si="207"/>
        <v>0</v>
      </c>
      <c r="AX349">
        <f t="shared" si="208"/>
        <v>0</v>
      </c>
      <c r="AY349">
        <f t="shared" si="209"/>
        <v>0</v>
      </c>
      <c r="AZ349">
        <f t="shared" si="210"/>
        <v>0</v>
      </c>
      <c r="BA349">
        <f t="shared" si="211"/>
        <v>0</v>
      </c>
      <c r="BB349">
        <f t="shared" si="212"/>
        <v>0</v>
      </c>
      <c r="BC349">
        <f t="shared" si="213"/>
        <v>0</v>
      </c>
      <c r="BD349">
        <f t="shared" si="214"/>
        <v>0</v>
      </c>
      <c r="BE349">
        <f t="shared" si="215"/>
        <v>0</v>
      </c>
      <c r="BF349">
        <f t="shared" si="216"/>
        <v>0</v>
      </c>
      <c r="BG349">
        <f t="shared" si="217"/>
        <v>0</v>
      </c>
      <c r="BH349">
        <f t="shared" si="218"/>
        <v>0</v>
      </c>
      <c r="BI349">
        <f t="shared" si="219"/>
        <v>0</v>
      </c>
    </row>
    <row r="350" spans="1:61" x14ac:dyDescent="0.35">
      <c r="A350" t="s">
        <v>196</v>
      </c>
      <c r="B350" s="1">
        <v>42048</v>
      </c>
      <c r="C350" t="s">
        <v>772</v>
      </c>
      <c r="D350" t="s">
        <v>419</v>
      </c>
      <c r="E350" t="s">
        <v>773</v>
      </c>
      <c r="F350" t="s">
        <v>59</v>
      </c>
      <c r="G350" t="s">
        <v>64</v>
      </c>
      <c r="H350" s="139">
        <f t="shared" si="193"/>
        <v>1</v>
      </c>
      <c r="I350" t="s">
        <v>234</v>
      </c>
      <c r="J350" t="s">
        <v>326</v>
      </c>
      <c r="K350" s="2">
        <f t="shared" si="196"/>
        <v>8</v>
      </c>
      <c r="L350">
        <v>700000000</v>
      </c>
      <c r="M350" s="2">
        <f t="shared" si="197"/>
        <v>8.8450980400142569</v>
      </c>
      <c r="N350">
        <f t="shared" si="220"/>
        <v>700000000</v>
      </c>
      <c r="O350">
        <v>0</v>
      </c>
      <c r="P350" s="1">
        <v>43136</v>
      </c>
      <c r="Q350" s="89">
        <f t="shared" si="198"/>
        <v>2018</v>
      </c>
      <c r="R350" t="s">
        <v>482</v>
      </c>
      <c r="S350">
        <v>900000000</v>
      </c>
      <c r="T350" s="21">
        <f t="shared" si="189"/>
        <v>2.9808219178082194</v>
      </c>
      <c r="U350">
        <v>1821.34</v>
      </c>
      <c r="V350">
        <f t="shared" si="199"/>
        <v>3.2606294079543621</v>
      </c>
      <c r="W350">
        <v>1938</v>
      </c>
      <c r="X350">
        <v>77</v>
      </c>
      <c r="Y350">
        <f t="shared" si="200"/>
        <v>1.8920946026904804</v>
      </c>
      <c r="Z350" s="45">
        <v>3.18</v>
      </c>
      <c r="AA350" s="9">
        <f t="shared" si="190"/>
        <v>200000000</v>
      </c>
      <c r="AB350" s="15">
        <f t="shared" si="191"/>
        <v>0.28571428571428581</v>
      </c>
      <c r="AC350" s="34">
        <f t="shared" si="201"/>
        <v>0.10914446942506807</v>
      </c>
      <c r="AD350">
        <v>1669.0315179326171</v>
      </c>
      <c r="AE350">
        <f t="shared" si="194"/>
        <v>3.22246453795844</v>
      </c>
      <c r="AF350">
        <v>5094.7953145755328</v>
      </c>
      <c r="AG350">
        <f t="shared" si="195"/>
        <v>3.7071267407396937</v>
      </c>
      <c r="AH350" s="9">
        <v>528.16666666666697</v>
      </c>
      <c r="AI350" s="9">
        <f t="shared" si="202"/>
        <v>2.7235924792443509</v>
      </c>
      <c r="AJ350">
        <v>92.6</v>
      </c>
      <c r="AK350" s="23" t="s">
        <v>502</v>
      </c>
      <c r="AL350" s="42">
        <v>57.041609510745303</v>
      </c>
      <c r="AM350" s="24">
        <v>0.26</v>
      </c>
      <c r="AN350" s="34">
        <f t="shared" si="203"/>
        <v>0.10037054511756291</v>
      </c>
      <c r="AO350">
        <v>1981</v>
      </c>
      <c r="AP350">
        <v>34</v>
      </c>
      <c r="AQ350">
        <v>90</v>
      </c>
      <c r="AR350">
        <v>80</v>
      </c>
      <c r="AS350">
        <f t="shared" si="192"/>
        <v>0</v>
      </c>
      <c r="AT350">
        <f t="shared" si="204"/>
        <v>0</v>
      </c>
      <c r="AU350">
        <f t="shared" si="205"/>
        <v>0</v>
      </c>
      <c r="AV350">
        <f t="shared" si="206"/>
        <v>0</v>
      </c>
      <c r="AW350">
        <f t="shared" si="207"/>
        <v>0</v>
      </c>
      <c r="AX350">
        <f t="shared" si="208"/>
        <v>0</v>
      </c>
      <c r="AY350">
        <f t="shared" si="209"/>
        <v>0</v>
      </c>
      <c r="AZ350">
        <f t="shared" si="210"/>
        <v>0</v>
      </c>
      <c r="BA350">
        <f t="shared" si="211"/>
        <v>0</v>
      </c>
      <c r="BB350">
        <f t="shared" si="212"/>
        <v>0</v>
      </c>
      <c r="BC350">
        <f t="shared" si="213"/>
        <v>0</v>
      </c>
      <c r="BD350">
        <f t="shared" si="214"/>
        <v>0</v>
      </c>
      <c r="BE350">
        <f t="shared" si="215"/>
        <v>0</v>
      </c>
      <c r="BF350">
        <f t="shared" si="216"/>
        <v>0</v>
      </c>
      <c r="BG350">
        <f t="shared" si="217"/>
        <v>0</v>
      </c>
      <c r="BH350">
        <f t="shared" si="218"/>
        <v>0</v>
      </c>
      <c r="BI350">
        <f t="shared" si="219"/>
        <v>1</v>
      </c>
    </row>
    <row r="351" spans="1:61" x14ac:dyDescent="0.35">
      <c r="A351" t="s">
        <v>196</v>
      </c>
      <c r="B351" s="1">
        <v>41247</v>
      </c>
      <c r="C351" t="s">
        <v>774</v>
      </c>
      <c r="D351" t="s">
        <v>497</v>
      </c>
      <c r="E351" s="8" t="s">
        <v>775</v>
      </c>
      <c r="F351" t="s">
        <v>45</v>
      </c>
      <c r="G351" t="s">
        <v>64</v>
      </c>
      <c r="H351" s="139">
        <f t="shared" si="193"/>
        <v>1</v>
      </c>
      <c r="I351" t="s">
        <v>234</v>
      </c>
      <c r="J351" t="s">
        <v>178</v>
      </c>
      <c r="K351" s="2">
        <f t="shared" si="196"/>
        <v>9</v>
      </c>
      <c r="L351">
        <v>19500000</v>
      </c>
      <c r="M351" s="2">
        <f t="shared" si="197"/>
        <v>7.2900346113625183</v>
      </c>
      <c r="N351">
        <f t="shared" si="220"/>
        <v>19500000</v>
      </c>
      <c r="O351">
        <v>0</v>
      </c>
      <c r="P351" s="1">
        <v>42208</v>
      </c>
      <c r="Q351" s="89">
        <f t="shared" si="198"/>
        <v>2015</v>
      </c>
      <c r="R351" t="s">
        <v>107</v>
      </c>
      <c r="S351">
        <v>70000000</v>
      </c>
      <c r="T351" s="21">
        <f t="shared" si="189"/>
        <v>2.6328767123287671</v>
      </c>
      <c r="U351">
        <v>5441.73</v>
      </c>
      <c r="V351">
        <f t="shared" si="199"/>
        <v>3.7358167906061537</v>
      </c>
      <c r="W351">
        <v>2006</v>
      </c>
      <c r="X351">
        <v>6</v>
      </c>
      <c r="Y351">
        <f t="shared" si="200"/>
        <v>0.84509804001425681</v>
      </c>
      <c r="Z351" s="45">
        <v>2.91</v>
      </c>
      <c r="AA351" s="9">
        <f t="shared" si="190"/>
        <v>50500000</v>
      </c>
      <c r="AB351" s="15">
        <f t="shared" si="191"/>
        <v>2.5897435897435899</v>
      </c>
      <c r="AC351" s="34">
        <f t="shared" si="201"/>
        <v>0.55506342865173885</v>
      </c>
      <c r="AD351">
        <v>1944.4444444444441</v>
      </c>
      <c r="AE351">
        <f t="shared" si="194"/>
        <v>3.2887955392469697</v>
      </c>
      <c r="AF351">
        <v>8472.2222222222208</v>
      </c>
      <c r="AG351">
        <f t="shared" si="195"/>
        <v>3.9279973385794986</v>
      </c>
      <c r="AH351" s="9">
        <v>125.833333333333</v>
      </c>
      <c r="AI351" s="9">
        <f t="shared" si="202"/>
        <v>2.103233406386928</v>
      </c>
      <c r="AJ351">
        <v>92.8</v>
      </c>
      <c r="AK351" s="23" t="s">
        <v>776</v>
      </c>
      <c r="AL351" s="42">
        <v>42.012447889189502</v>
      </c>
      <c r="AM351" s="24">
        <v>0.49</v>
      </c>
      <c r="AN351" s="34">
        <f t="shared" si="203"/>
        <v>0.17318626841227402</v>
      </c>
      <c r="AO351">
        <v>2002</v>
      </c>
      <c r="AP351">
        <v>10</v>
      </c>
      <c r="AQ351">
        <v>70</v>
      </c>
      <c r="AR351">
        <v>70</v>
      </c>
      <c r="AS351">
        <f t="shared" si="192"/>
        <v>0</v>
      </c>
      <c r="AT351">
        <f t="shared" si="204"/>
        <v>0</v>
      </c>
      <c r="AU351">
        <f t="shared" si="205"/>
        <v>0</v>
      </c>
      <c r="AV351">
        <f t="shared" si="206"/>
        <v>0</v>
      </c>
      <c r="AW351">
        <f t="shared" si="207"/>
        <v>0</v>
      </c>
      <c r="AX351">
        <f t="shared" si="208"/>
        <v>0</v>
      </c>
      <c r="AY351">
        <f t="shared" si="209"/>
        <v>0</v>
      </c>
      <c r="AZ351">
        <f t="shared" si="210"/>
        <v>0</v>
      </c>
      <c r="BA351">
        <f t="shared" si="211"/>
        <v>0</v>
      </c>
      <c r="BB351">
        <f t="shared" si="212"/>
        <v>0</v>
      </c>
      <c r="BC351">
        <f t="shared" si="213"/>
        <v>0</v>
      </c>
      <c r="BD351">
        <f t="shared" si="214"/>
        <v>0</v>
      </c>
      <c r="BE351">
        <f t="shared" si="215"/>
        <v>0</v>
      </c>
      <c r="BF351">
        <f t="shared" si="216"/>
        <v>0</v>
      </c>
      <c r="BG351">
        <f t="shared" si="217"/>
        <v>0</v>
      </c>
      <c r="BH351">
        <f t="shared" si="218"/>
        <v>1</v>
      </c>
      <c r="BI351">
        <f t="shared" si="219"/>
        <v>0</v>
      </c>
    </row>
    <row r="352" spans="1:61" x14ac:dyDescent="0.35">
      <c r="A352" t="s">
        <v>196</v>
      </c>
      <c r="B352" s="1">
        <v>40754</v>
      </c>
      <c r="C352" t="s">
        <v>777</v>
      </c>
      <c r="D352" t="s">
        <v>59</v>
      </c>
      <c r="E352" t="s">
        <v>657</v>
      </c>
      <c r="F352" t="s">
        <v>45</v>
      </c>
      <c r="G352" t="s">
        <v>64</v>
      </c>
      <c r="H352" s="139">
        <f t="shared" si="193"/>
        <v>1</v>
      </c>
      <c r="I352" t="s">
        <v>234</v>
      </c>
      <c r="J352" t="s">
        <v>269</v>
      </c>
      <c r="K352" s="2">
        <f t="shared" si="196"/>
        <v>7</v>
      </c>
      <c r="L352">
        <v>120000000</v>
      </c>
      <c r="M352" s="2">
        <f t="shared" si="197"/>
        <v>8.0791812460476251</v>
      </c>
      <c r="N352">
        <f t="shared" si="220"/>
        <v>120000000</v>
      </c>
      <c r="O352">
        <v>0</v>
      </c>
      <c r="P352" s="1">
        <v>43336</v>
      </c>
      <c r="Q352" s="89">
        <f t="shared" si="198"/>
        <v>2018</v>
      </c>
      <c r="R352" t="s">
        <v>107</v>
      </c>
      <c r="S352">
        <v>100000000</v>
      </c>
      <c r="T352" s="21">
        <f t="shared" si="189"/>
        <v>7.0739726027397261</v>
      </c>
      <c r="U352">
        <v>5897.96</v>
      </c>
      <c r="V352">
        <f t="shared" si="199"/>
        <v>3.7707754512906644</v>
      </c>
      <c r="W352">
        <v>2006</v>
      </c>
      <c r="X352">
        <v>5</v>
      </c>
      <c r="Y352">
        <f t="shared" si="200"/>
        <v>0.77815125038364363</v>
      </c>
      <c r="Z352" s="45">
        <v>2.3199999999999998</v>
      </c>
      <c r="AA352" s="9">
        <f t="shared" si="190"/>
        <v>-20000000</v>
      </c>
      <c r="AB352" s="15">
        <f t="shared" si="191"/>
        <v>-0.16666666666666663</v>
      </c>
      <c r="AC352" s="34">
        <f t="shared" si="201"/>
        <v>-7.9181246047624804E-2</v>
      </c>
      <c r="AD352">
        <v>2315.9649266087058</v>
      </c>
      <c r="AE352">
        <f t="shared" si="194"/>
        <v>3.3647319780710983</v>
      </c>
      <c r="AF352">
        <v>3703.9030655807082</v>
      </c>
      <c r="AG352">
        <f t="shared" si="195"/>
        <v>3.5686596122879011</v>
      </c>
      <c r="AH352" s="9">
        <v>132</v>
      </c>
      <c r="AI352" s="9">
        <f t="shared" si="202"/>
        <v>2.1238516409670858</v>
      </c>
      <c r="AJ352">
        <v>94.6</v>
      </c>
      <c r="AK352" s="23" t="s">
        <v>516</v>
      </c>
      <c r="AL352" s="42">
        <v>45.921427555082097</v>
      </c>
      <c r="AM352" s="24">
        <v>1.22</v>
      </c>
      <c r="AN352" s="34">
        <f t="shared" si="203"/>
        <v>0.34635297445063856</v>
      </c>
      <c r="AO352">
        <v>1985</v>
      </c>
      <c r="AP352">
        <v>26</v>
      </c>
      <c r="AQ352">
        <v>70</v>
      </c>
      <c r="AR352">
        <v>70</v>
      </c>
      <c r="AS352">
        <f t="shared" si="192"/>
        <v>0</v>
      </c>
      <c r="AT352">
        <f t="shared" si="204"/>
        <v>0</v>
      </c>
      <c r="AU352">
        <f t="shared" si="205"/>
        <v>1</v>
      </c>
      <c r="AV352">
        <f t="shared" si="206"/>
        <v>0</v>
      </c>
      <c r="AW352">
        <f t="shared" si="207"/>
        <v>0</v>
      </c>
      <c r="AX352">
        <f t="shared" si="208"/>
        <v>0</v>
      </c>
      <c r="AY352">
        <f t="shared" si="209"/>
        <v>0</v>
      </c>
      <c r="AZ352">
        <f t="shared" si="210"/>
        <v>0</v>
      </c>
      <c r="BA352">
        <f t="shared" si="211"/>
        <v>0</v>
      </c>
      <c r="BB352">
        <f t="shared" si="212"/>
        <v>0</v>
      </c>
      <c r="BC352">
        <f t="shared" si="213"/>
        <v>0</v>
      </c>
      <c r="BD352">
        <f t="shared" si="214"/>
        <v>0</v>
      </c>
      <c r="BE352">
        <f t="shared" si="215"/>
        <v>0</v>
      </c>
      <c r="BF352">
        <f t="shared" si="216"/>
        <v>0</v>
      </c>
      <c r="BG352">
        <f t="shared" si="217"/>
        <v>0</v>
      </c>
      <c r="BH352">
        <f t="shared" si="218"/>
        <v>0</v>
      </c>
      <c r="BI352">
        <f t="shared" si="219"/>
        <v>0</v>
      </c>
    </row>
    <row r="353" spans="1:61" x14ac:dyDescent="0.35">
      <c r="A353" t="s">
        <v>196</v>
      </c>
      <c r="B353" s="1">
        <v>41781</v>
      </c>
      <c r="C353" t="s">
        <v>778</v>
      </c>
      <c r="D353" t="s">
        <v>59</v>
      </c>
      <c r="E353" t="s">
        <v>779</v>
      </c>
      <c r="F353" t="s">
        <v>59</v>
      </c>
      <c r="G353" t="s">
        <v>47</v>
      </c>
      <c r="H353" s="139">
        <f t="shared" si="193"/>
        <v>0</v>
      </c>
      <c r="I353" t="s">
        <v>234</v>
      </c>
      <c r="J353" t="s">
        <v>245</v>
      </c>
      <c r="K353" s="2">
        <f t="shared" si="196"/>
        <v>6</v>
      </c>
      <c r="L353">
        <v>143000000</v>
      </c>
      <c r="M353" s="2">
        <f t="shared" si="197"/>
        <v>8.1553360374650623</v>
      </c>
      <c r="N353">
        <f t="shared" si="220"/>
        <v>143000000</v>
      </c>
      <c r="O353">
        <v>0</v>
      </c>
      <c r="P353" s="1">
        <v>42765</v>
      </c>
      <c r="Q353" s="89">
        <f t="shared" si="198"/>
        <v>2017</v>
      </c>
      <c r="R353" t="s">
        <v>107</v>
      </c>
      <c r="S353">
        <v>340000000</v>
      </c>
      <c r="T353" s="21">
        <f t="shared" si="189"/>
        <v>2.6958904109589041</v>
      </c>
      <c r="U353">
        <v>0</v>
      </c>
      <c r="V353">
        <f t="shared" si="199"/>
        <v>0</v>
      </c>
      <c r="W353">
        <v>1975</v>
      </c>
      <c r="X353">
        <v>39</v>
      </c>
      <c r="Y353">
        <f t="shared" si="200"/>
        <v>1.6020599913279623</v>
      </c>
      <c r="Z353" s="45">
        <v>3.29</v>
      </c>
      <c r="AA353" s="9">
        <f t="shared" si="190"/>
        <v>197000000</v>
      </c>
      <c r="AB353" s="15">
        <f t="shared" si="191"/>
        <v>1.3776223776223775</v>
      </c>
      <c r="AC353" s="34">
        <f t="shared" si="201"/>
        <v>0.37614287957719328</v>
      </c>
      <c r="AD353">
        <v>2058.8235294117644</v>
      </c>
      <c r="AE353">
        <f t="shared" si="194"/>
        <v>3.3136191229720016</v>
      </c>
      <c r="AF353">
        <v>10000</v>
      </c>
      <c r="AG353">
        <f t="shared" si="195"/>
        <v>4</v>
      </c>
      <c r="AH353" s="9">
        <v>0</v>
      </c>
      <c r="AI353" s="9">
        <f t="shared" si="202"/>
        <v>0</v>
      </c>
      <c r="AJ353">
        <v>92</v>
      </c>
      <c r="AK353" s="23" t="s">
        <v>780</v>
      </c>
      <c r="AL353" s="42">
        <v>43.012424801889097</v>
      </c>
      <c r="AM353" s="24">
        <v>0.21</v>
      </c>
      <c r="AN353" s="34">
        <f t="shared" si="203"/>
        <v>8.2785370316450071E-2</v>
      </c>
      <c r="AO353">
        <v>1997</v>
      </c>
      <c r="AP353">
        <v>17</v>
      </c>
      <c r="AQ353">
        <v>70</v>
      </c>
      <c r="AR353">
        <v>70</v>
      </c>
      <c r="AS353">
        <f t="shared" si="192"/>
        <v>0</v>
      </c>
      <c r="AT353">
        <f t="shared" si="204"/>
        <v>0</v>
      </c>
      <c r="AU353">
        <f t="shared" si="205"/>
        <v>1</v>
      </c>
      <c r="AV353">
        <f t="shared" si="206"/>
        <v>0</v>
      </c>
      <c r="AW353">
        <f t="shared" si="207"/>
        <v>0</v>
      </c>
      <c r="AX353">
        <f t="shared" si="208"/>
        <v>0</v>
      </c>
      <c r="AY353">
        <f t="shared" si="209"/>
        <v>0</v>
      </c>
      <c r="AZ353">
        <f t="shared" si="210"/>
        <v>0</v>
      </c>
      <c r="BA353">
        <f t="shared" si="211"/>
        <v>0</v>
      </c>
      <c r="BB353">
        <f t="shared" si="212"/>
        <v>0</v>
      </c>
      <c r="BC353">
        <f t="shared" si="213"/>
        <v>0</v>
      </c>
      <c r="BD353">
        <f t="shared" si="214"/>
        <v>0</v>
      </c>
      <c r="BE353">
        <f t="shared" si="215"/>
        <v>0</v>
      </c>
      <c r="BF353">
        <f t="shared" si="216"/>
        <v>0</v>
      </c>
      <c r="BG353">
        <f t="shared" si="217"/>
        <v>0</v>
      </c>
      <c r="BH353">
        <f t="shared" si="218"/>
        <v>0</v>
      </c>
      <c r="BI353">
        <f t="shared" si="219"/>
        <v>0</v>
      </c>
    </row>
    <row r="354" spans="1:61" x14ac:dyDescent="0.35">
      <c r="A354" t="s">
        <v>196</v>
      </c>
      <c r="B354" s="1">
        <v>41939</v>
      </c>
      <c r="C354" s="8" t="s">
        <v>781</v>
      </c>
      <c r="D354" t="s">
        <v>59</v>
      </c>
      <c r="E354" t="s">
        <v>782</v>
      </c>
      <c r="F354" t="s">
        <v>59</v>
      </c>
      <c r="G354" t="s">
        <v>47</v>
      </c>
      <c r="H354" s="139">
        <f t="shared" si="193"/>
        <v>0</v>
      </c>
      <c r="I354" t="s">
        <v>234</v>
      </c>
      <c r="J354" t="s">
        <v>248</v>
      </c>
      <c r="K354" s="2">
        <f t="shared" si="196"/>
        <v>5</v>
      </c>
      <c r="L354">
        <v>100000000</v>
      </c>
      <c r="M354" s="2">
        <f t="shared" si="197"/>
        <v>8</v>
      </c>
      <c r="N354">
        <f t="shared" si="220"/>
        <v>100000000</v>
      </c>
      <c r="O354">
        <v>0</v>
      </c>
      <c r="P354" s="1">
        <v>43255</v>
      </c>
      <c r="Q354" s="89">
        <f t="shared" si="198"/>
        <v>2018</v>
      </c>
      <c r="R354" t="s">
        <v>152</v>
      </c>
      <c r="S354">
        <v>200000000</v>
      </c>
      <c r="T354" s="21">
        <f t="shared" si="189"/>
        <v>3.6054794520547944</v>
      </c>
      <c r="U354">
        <v>0</v>
      </c>
      <c r="V354">
        <f t="shared" si="199"/>
        <v>0</v>
      </c>
      <c r="W354">
        <v>1994</v>
      </c>
      <c r="X354">
        <v>20</v>
      </c>
      <c r="Y354">
        <f t="shared" si="200"/>
        <v>1.3222192947339193</v>
      </c>
      <c r="Z354" s="45">
        <v>3.29</v>
      </c>
      <c r="AA354" s="9">
        <f t="shared" si="190"/>
        <v>100000000</v>
      </c>
      <c r="AB354" s="15">
        <f t="shared" si="191"/>
        <v>1</v>
      </c>
      <c r="AC354" s="34">
        <f t="shared" si="201"/>
        <v>0.3010299956639812</v>
      </c>
      <c r="AD354">
        <v>2094.0408163265306</v>
      </c>
      <c r="AE354">
        <f t="shared" si="194"/>
        <v>3.3209851425446502</v>
      </c>
      <c r="AF354">
        <v>9886.3673469387759</v>
      </c>
      <c r="AG354">
        <f t="shared" si="195"/>
        <v>3.9950367434689285</v>
      </c>
      <c r="AH354" s="9">
        <v>0</v>
      </c>
      <c r="AI354" s="9">
        <f t="shared" si="202"/>
        <v>0</v>
      </c>
      <c r="AJ354">
        <v>92</v>
      </c>
      <c r="AK354" s="23" t="s">
        <v>780</v>
      </c>
      <c r="AL354" s="42">
        <v>43.012424801889097</v>
      </c>
      <c r="AM354" s="24">
        <v>0.4</v>
      </c>
      <c r="AN354" s="34">
        <f t="shared" si="203"/>
        <v>0.14612803567823801</v>
      </c>
      <c r="AO354">
        <v>2011</v>
      </c>
      <c r="AP354">
        <v>3</v>
      </c>
      <c r="AQ354">
        <v>70</v>
      </c>
      <c r="AR354">
        <v>70</v>
      </c>
      <c r="AS354">
        <f t="shared" si="192"/>
        <v>0</v>
      </c>
      <c r="AT354">
        <f t="shared" si="204"/>
        <v>0</v>
      </c>
      <c r="AU354">
        <f t="shared" si="205"/>
        <v>1</v>
      </c>
      <c r="AV354">
        <f t="shared" si="206"/>
        <v>0</v>
      </c>
      <c r="AW354">
        <f t="shared" si="207"/>
        <v>0</v>
      </c>
      <c r="AX354">
        <f t="shared" si="208"/>
        <v>0</v>
      </c>
      <c r="AY354">
        <f t="shared" si="209"/>
        <v>0</v>
      </c>
      <c r="AZ354">
        <f t="shared" si="210"/>
        <v>0</v>
      </c>
      <c r="BA354">
        <f t="shared" si="211"/>
        <v>0</v>
      </c>
      <c r="BB354">
        <f t="shared" si="212"/>
        <v>0</v>
      </c>
      <c r="BC354">
        <f t="shared" si="213"/>
        <v>0</v>
      </c>
      <c r="BD354">
        <f t="shared" si="214"/>
        <v>0</v>
      </c>
      <c r="BE354">
        <f t="shared" si="215"/>
        <v>0</v>
      </c>
      <c r="BF354">
        <f t="shared" si="216"/>
        <v>0</v>
      </c>
      <c r="BG354">
        <f t="shared" si="217"/>
        <v>0</v>
      </c>
      <c r="BH354">
        <f t="shared" si="218"/>
        <v>0</v>
      </c>
      <c r="BI354">
        <f t="shared" si="219"/>
        <v>0</v>
      </c>
    </row>
    <row r="355" spans="1:61" x14ac:dyDescent="0.35">
      <c r="A355" t="s">
        <v>196</v>
      </c>
      <c r="B355" s="1">
        <v>41530</v>
      </c>
      <c r="C355" t="s">
        <v>783</v>
      </c>
      <c r="D355" t="s">
        <v>59</v>
      </c>
      <c r="E355" t="s">
        <v>782</v>
      </c>
      <c r="F355" t="s">
        <v>59</v>
      </c>
      <c r="G355" t="s">
        <v>47</v>
      </c>
      <c r="H355" s="139">
        <f t="shared" si="193"/>
        <v>0</v>
      </c>
      <c r="I355" t="s">
        <v>234</v>
      </c>
      <c r="J355" t="s">
        <v>269</v>
      </c>
      <c r="K355" s="2">
        <f t="shared" si="196"/>
        <v>7</v>
      </c>
      <c r="L355">
        <v>75720000</v>
      </c>
      <c r="M355" s="2">
        <f t="shared" si="197"/>
        <v>7.8792106052917594</v>
      </c>
      <c r="N355">
        <f t="shared" si="220"/>
        <v>75720000</v>
      </c>
      <c r="O355">
        <v>0</v>
      </c>
      <c r="P355" s="1">
        <v>42872</v>
      </c>
      <c r="Q355" s="89">
        <f t="shared" si="198"/>
        <v>2017</v>
      </c>
      <c r="R355" t="s">
        <v>107</v>
      </c>
      <c r="S355">
        <v>20000000</v>
      </c>
      <c r="T355" s="21">
        <f t="shared" si="189"/>
        <v>3.6767123287671235</v>
      </c>
      <c r="U355">
        <v>0</v>
      </c>
      <c r="V355">
        <f t="shared" si="199"/>
        <v>0</v>
      </c>
      <c r="W355">
        <v>1886</v>
      </c>
      <c r="X355">
        <v>127</v>
      </c>
      <c r="Y355">
        <f t="shared" si="200"/>
        <v>2.1072099696478683</v>
      </c>
      <c r="Z355" s="45">
        <v>3.29</v>
      </c>
      <c r="AA355" s="9">
        <f t="shared" si="190"/>
        <v>-55720000</v>
      </c>
      <c r="AB355" s="15">
        <f t="shared" si="191"/>
        <v>-0.73586899101954573</v>
      </c>
      <c r="AC355" s="34">
        <f t="shared" si="201"/>
        <v>-0.57818060962777795</v>
      </c>
      <c r="AD355">
        <v>2094.0408163265306</v>
      </c>
      <c r="AE355">
        <f t="shared" si="194"/>
        <v>3.3209851425446502</v>
      </c>
      <c r="AF355">
        <v>9886.3673469387759</v>
      </c>
      <c r="AG355">
        <f t="shared" si="195"/>
        <v>3.9950367434689285</v>
      </c>
      <c r="AH355" s="9">
        <v>0</v>
      </c>
      <c r="AI355" s="9">
        <f t="shared" si="202"/>
        <v>0</v>
      </c>
      <c r="AJ355">
        <v>94.1</v>
      </c>
      <c r="AK355" s="23" t="s">
        <v>70</v>
      </c>
      <c r="AL355" s="42">
        <v>43.9397801796012</v>
      </c>
      <c r="AM355" s="24">
        <v>0.4</v>
      </c>
      <c r="AN355" s="34">
        <f t="shared" si="203"/>
        <v>0.14612803567823801</v>
      </c>
      <c r="AO355">
        <v>2011</v>
      </c>
      <c r="AP355">
        <v>2</v>
      </c>
      <c r="AQ355">
        <v>70</v>
      </c>
      <c r="AR355">
        <v>70</v>
      </c>
      <c r="AS355">
        <f t="shared" si="192"/>
        <v>0</v>
      </c>
      <c r="AT355">
        <f t="shared" si="204"/>
        <v>0</v>
      </c>
      <c r="AU355">
        <f t="shared" si="205"/>
        <v>1</v>
      </c>
      <c r="AV355">
        <f t="shared" si="206"/>
        <v>0</v>
      </c>
      <c r="AW355">
        <f t="shared" si="207"/>
        <v>0</v>
      </c>
      <c r="AX355">
        <f t="shared" si="208"/>
        <v>0</v>
      </c>
      <c r="AY355">
        <f t="shared" si="209"/>
        <v>0</v>
      </c>
      <c r="AZ355">
        <f t="shared" si="210"/>
        <v>0</v>
      </c>
      <c r="BA355">
        <f t="shared" si="211"/>
        <v>0</v>
      </c>
      <c r="BB355">
        <f t="shared" si="212"/>
        <v>0</v>
      </c>
      <c r="BC355">
        <f t="shared" si="213"/>
        <v>0</v>
      </c>
      <c r="BD355">
        <f t="shared" si="214"/>
        <v>0</v>
      </c>
      <c r="BE355">
        <f t="shared" si="215"/>
        <v>0</v>
      </c>
      <c r="BF355">
        <f t="shared" si="216"/>
        <v>0</v>
      </c>
      <c r="BG355">
        <f t="shared" si="217"/>
        <v>0</v>
      </c>
      <c r="BH355">
        <f t="shared" si="218"/>
        <v>0</v>
      </c>
      <c r="BI355">
        <f t="shared" si="219"/>
        <v>0</v>
      </c>
    </row>
    <row r="356" spans="1:61" x14ac:dyDescent="0.35">
      <c r="A356" t="s">
        <v>196</v>
      </c>
      <c r="B356" s="1">
        <v>40652</v>
      </c>
      <c r="C356" t="s">
        <v>784</v>
      </c>
      <c r="D356" t="s">
        <v>59</v>
      </c>
      <c r="E356" t="s">
        <v>782</v>
      </c>
      <c r="F356" t="s">
        <v>59</v>
      </c>
      <c r="G356" t="s">
        <v>47</v>
      </c>
      <c r="H356" s="139">
        <f t="shared" si="193"/>
        <v>0</v>
      </c>
      <c r="I356" t="s">
        <v>234</v>
      </c>
      <c r="J356" t="s">
        <v>186</v>
      </c>
      <c r="K356" s="2">
        <f t="shared" si="196"/>
        <v>4</v>
      </c>
      <c r="L356">
        <v>119000000</v>
      </c>
      <c r="M356" s="2">
        <f t="shared" si="197"/>
        <v>8.075546961392531</v>
      </c>
      <c r="N356">
        <f t="shared" si="220"/>
        <v>119000000</v>
      </c>
      <c r="O356">
        <v>0</v>
      </c>
      <c r="P356" s="1">
        <v>42262</v>
      </c>
      <c r="Q356" s="89">
        <f t="shared" si="198"/>
        <v>2015</v>
      </c>
      <c r="R356" t="s">
        <v>107</v>
      </c>
      <c r="S356">
        <v>259000000</v>
      </c>
      <c r="T356" s="21">
        <f t="shared" si="189"/>
        <v>4.4109589041095889</v>
      </c>
      <c r="U356">
        <v>0</v>
      </c>
      <c r="V356">
        <f t="shared" si="199"/>
        <v>0</v>
      </c>
      <c r="W356">
        <v>1990</v>
      </c>
      <c r="X356">
        <v>21</v>
      </c>
      <c r="Y356">
        <f t="shared" si="200"/>
        <v>1.3424226808222062</v>
      </c>
      <c r="Z356" s="45">
        <v>3.29</v>
      </c>
      <c r="AA356" s="9">
        <f t="shared" si="190"/>
        <v>140000000</v>
      </c>
      <c r="AB356" s="15">
        <f t="shared" si="191"/>
        <v>1.1764705882352939</v>
      </c>
      <c r="AC356" s="34">
        <f t="shared" si="201"/>
        <v>0.33775280268872104</v>
      </c>
      <c r="AD356">
        <v>2094.0408163265306</v>
      </c>
      <c r="AE356">
        <f t="shared" si="194"/>
        <v>3.3209851425446502</v>
      </c>
      <c r="AF356">
        <v>9886.3673469387759</v>
      </c>
      <c r="AG356">
        <f t="shared" si="195"/>
        <v>3.9950367434689285</v>
      </c>
      <c r="AH356" s="9">
        <v>0</v>
      </c>
      <c r="AI356" s="9">
        <f t="shared" si="202"/>
        <v>0</v>
      </c>
      <c r="AJ356">
        <v>94.6</v>
      </c>
      <c r="AK356" s="23" t="s">
        <v>516</v>
      </c>
      <c r="AL356" s="42">
        <v>45.921427555082097</v>
      </c>
      <c r="AM356" s="24">
        <v>0.51</v>
      </c>
      <c r="AN356" s="34">
        <f t="shared" si="203"/>
        <v>0.17897694729316943</v>
      </c>
      <c r="AO356">
        <v>2011</v>
      </c>
      <c r="AP356">
        <v>0</v>
      </c>
      <c r="AQ356">
        <v>70</v>
      </c>
      <c r="AR356">
        <v>70</v>
      </c>
      <c r="AS356">
        <f t="shared" si="192"/>
        <v>0</v>
      </c>
      <c r="AT356">
        <f t="shared" si="204"/>
        <v>0</v>
      </c>
      <c r="AU356">
        <f t="shared" si="205"/>
        <v>1</v>
      </c>
      <c r="AV356">
        <f t="shared" si="206"/>
        <v>0</v>
      </c>
      <c r="AW356">
        <f t="shared" si="207"/>
        <v>0</v>
      </c>
      <c r="AX356">
        <f t="shared" si="208"/>
        <v>0</v>
      </c>
      <c r="AY356">
        <f t="shared" si="209"/>
        <v>0</v>
      </c>
      <c r="AZ356">
        <f t="shared" si="210"/>
        <v>0</v>
      </c>
      <c r="BA356">
        <f t="shared" si="211"/>
        <v>0</v>
      </c>
      <c r="BB356">
        <f t="shared" si="212"/>
        <v>0</v>
      </c>
      <c r="BC356">
        <f t="shared" si="213"/>
        <v>0</v>
      </c>
      <c r="BD356">
        <f t="shared" si="214"/>
        <v>0</v>
      </c>
      <c r="BE356">
        <f t="shared" si="215"/>
        <v>0</v>
      </c>
      <c r="BF356">
        <f t="shared" si="216"/>
        <v>0</v>
      </c>
      <c r="BG356">
        <f t="shared" si="217"/>
        <v>0</v>
      </c>
      <c r="BH356">
        <f t="shared" si="218"/>
        <v>0</v>
      </c>
      <c r="BI356">
        <f t="shared" si="219"/>
        <v>0</v>
      </c>
    </row>
    <row r="357" spans="1:61" x14ac:dyDescent="0.35">
      <c r="A357" t="s">
        <v>196</v>
      </c>
      <c r="B357" s="1">
        <v>41474</v>
      </c>
      <c r="C357" t="s">
        <v>785</v>
      </c>
      <c r="D357" t="s">
        <v>59</v>
      </c>
      <c r="E357" t="s">
        <v>461</v>
      </c>
      <c r="F357" t="s">
        <v>59</v>
      </c>
      <c r="G357" t="s">
        <v>47</v>
      </c>
      <c r="H357" s="139">
        <f t="shared" si="193"/>
        <v>0</v>
      </c>
      <c r="I357" t="s">
        <v>234</v>
      </c>
      <c r="J357" t="s">
        <v>186</v>
      </c>
      <c r="K357" s="2">
        <f t="shared" si="196"/>
        <v>4</v>
      </c>
      <c r="L357">
        <v>438000000</v>
      </c>
      <c r="M357" s="2">
        <f t="shared" si="197"/>
        <v>8.6414741105040989</v>
      </c>
      <c r="N357">
        <f t="shared" si="220"/>
        <v>438000000</v>
      </c>
      <c r="O357">
        <v>0</v>
      </c>
      <c r="P357" s="1">
        <v>42828</v>
      </c>
      <c r="Q357" s="89">
        <f t="shared" si="198"/>
        <v>2017</v>
      </c>
      <c r="R357" t="s">
        <v>107</v>
      </c>
      <c r="S357">
        <v>1437033602</v>
      </c>
      <c r="T357" s="21">
        <f t="shared" si="189"/>
        <v>3.7095890410958905</v>
      </c>
      <c r="U357">
        <v>0</v>
      </c>
      <c r="V357">
        <f t="shared" si="199"/>
        <v>0</v>
      </c>
      <c r="W357">
        <v>1997</v>
      </c>
      <c r="X357">
        <v>16</v>
      </c>
      <c r="Y357">
        <f t="shared" si="200"/>
        <v>1.2304489213782739</v>
      </c>
      <c r="Z357" s="45">
        <v>3.29</v>
      </c>
      <c r="AA357" s="9">
        <f t="shared" si="190"/>
        <v>999033602</v>
      </c>
      <c r="AB357" s="15">
        <f t="shared" si="191"/>
        <v>2.2808986347031963</v>
      </c>
      <c r="AC357" s="34">
        <f t="shared" si="201"/>
        <v>0.51599281280936371</v>
      </c>
      <c r="AD357">
        <v>1519.5854290504496</v>
      </c>
      <c r="AE357">
        <f t="shared" si="194"/>
        <v>3.1817251205543564</v>
      </c>
      <c r="AF357">
        <v>8383.6305441243712</v>
      </c>
      <c r="AG357">
        <f t="shared" si="195"/>
        <v>3.9234321312589846</v>
      </c>
      <c r="AH357" s="9">
        <v>0</v>
      </c>
      <c r="AI357" s="9">
        <f t="shared" si="202"/>
        <v>0</v>
      </c>
      <c r="AJ357">
        <v>94.1</v>
      </c>
      <c r="AK357" s="23" t="s">
        <v>70</v>
      </c>
      <c r="AL357" s="42">
        <v>43.9397801796012</v>
      </c>
      <c r="AM357" s="24">
        <v>0.39</v>
      </c>
      <c r="AN357" s="34">
        <f t="shared" si="203"/>
        <v>0.14301480025409513</v>
      </c>
      <c r="AO357">
        <v>1977</v>
      </c>
      <c r="AP357">
        <v>36</v>
      </c>
      <c r="AQ357">
        <v>70</v>
      </c>
      <c r="AR357">
        <v>70</v>
      </c>
      <c r="AS357">
        <f t="shared" si="192"/>
        <v>0</v>
      </c>
      <c r="AT357">
        <f t="shared" si="204"/>
        <v>0</v>
      </c>
      <c r="AU357">
        <f t="shared" si="205"/>
        <v>1</v>
      </c>
      <c r="AV357">
        <f t="shared" si="206"/>
        <v>0</v>
      </c>
      <c r="AW357">
        <f t="shared" si="207"/>
        <v>0</v>
      </c>
      <c r="AX357">
        <f t="shared" si="208"/>
        <v>0</v>
      </c>
      <c r="AY357">
        <f t="shared" si="209"/>
        <v>0</v>
      </c>
      <c r="AZ357">
        <f t="shared" si="210"/>
        <v>0</v>
      </c>
      <c r="BA357">
        <f t="shared" si="211"/>
        <v>0</v>
      </c>
      <c r="BB357">
        <f t="shared" si="212"/>
        <v>0</v>
      </c>
      <c r="BC357">
        <f t="shared" si="213"/>
        <v>0</v>
      </c>
      <c r="BD357">
        <f t="shared" si="214"/>
        <v>0</v>
      </c>
      <c r="BE357">
        <f t="shared" si="215"/>
        <v>0</v>
      </c>
      <c r="BF357">
        <f t="shared" si="216"/>
        <v>0</v>
      </c>
      <c r="BG357">
        <f t="shared" si="217"/>
        <v>0</v>
      </c>
      <c r="BH357">
        <f t="shared" si="218"/>
        <v>0</v>
      </c>
      <c r="BI357">
        <f t="shared" si="219"/>
        <v>0</v>
      </c>
    </row>
    <row r="358" spans="1:61" x14ac:dyDescent="0.35">
      <c r="A358" t="s">
        <v>196</v>
      </c>
      <c r="B358" s="1">
        <v>41686</v>
      </c>
      <c r="C358" t="s">
        <v>786</v>
      </c>
      <c r="D358" t="s">
        <v>59</v>
      </c>
      <c r="E358" t="s">
        <v>787</v>
      </c>
      <c r="F358" t="s">
        <v>59</v>
      </c>
      <c r="G358" t="s">
        <v>47</v>
      </c>
      <c r="H358" s="139">
        <f t="shared" si="193"/>
        <v>0</v>
      </c>
      <c r="I358" t="s">
        <v>234</v>
      </c>
      <c r="J358" t="s">
        <v>178</v>
      </c>
      <c r="K358" s="2">
        <f t="shared" si="196"/>
        <v>9</v>
      </c>
      <c r="L358">
        <v>400000000</v>
      </c>
      <c r="M358" s="2">
        <f t="shared" si="197"/>
        <v>8.6020599913279625</v>
      </c>
      <c r="N358">
        <f t="shared" si="220"/>
        <v>400000000</v>
      </c>
      <c r="O358">
        <v>0</v>
      </c>
      <c r="P358" s="1">
        <v>43270</v>
      </c>
      <c r="Q358" s="89">
        <f t="shared" si="198"/>
        <v>2018</v>
      </c>
      <c r="R358" t="s">
        <v>107</v>
      </c>
      <c r="S358">
        <v>1000000000</v>
      </c>
      <c r="T358" s="21">
        <f t="shared" si="189"/>
        <v>4.3397260273972602</v>
      </c>
      <c r="U358">
        <v>0</v>
      </c>
      <c r="V358">
        <f t="shared" si="199"/>
        <v>0</v>
      </c>
      <c r="W358">
        <v>2000</v>
      </c>
      <c r="X358">
        <v>14</v>
      </c>
      <c r="Y358">
        <f t="shared" si="200"/>
        <v>1.1760912590556813</v>
      </c>
      <c r="Z358" s="45">
        <v>3.29</v>
      </c>
      <c r="AA358" s="9">
        <f t="shared" si="190"/>
        <v>600000000</v>
      </c>
      <c r="AB358" s="15">
        <f t="shared" si="191"/>
        <v>1.5</v>
      </c>
      <c r="AC358" s="34">
        <f t="shared" si="201"/>
        <v>0.3979400086720376</v>
      </c>
      <c r="AD358">
        <v>1447.5557664926437</v>
      </c>
      <c r="AE358">
        <f t="shared" si="194"/>
        <v>3.1606353037386858</v>
      </c>
      <c r="AF358">
        <v>9478.5929515126791</v>
      </c>
      <c r="AG358">
        <f t="shared" si="195"/>
        <v>3.9767438733352263</v>
      </c>
      <c r="AH358" s="9">
        <v>0</v>
      </c>
      <c r="AI358" s="9">
        <f t="shared" si="202"/>
        <v>0</v>
      </c>
      <c r="AJ358">
        <v>92</v>
      </c>
      <c r="AK358" s="23" t="s">
        <v>780</v>
      </c>
      <c r="AL358" s="42">
        <v>43.012424801889097</v>
      </c>
      <c r="AM358" s="24">
        <v>0.5</v>
      </c>
      <c r="AN358" s="34">
        <f t="shared" si="203"/>
        <v>0.17609125905568124</v>
      </c>
      <c r="AO358">
        <v>1980</v>
      </c>
      <c r="AP358">
        <v>34</v>
      </c>
      <c r="AQ358">
        <v>70</v>
      </c>
      <c r="AR358">
        <v>70</v>
      </c>
      <c r="AS358">
        <f t="shared" si="192"/>
        <v>0</v>
      </c>
      <c r="AT358">
        <f t="shared" si="204"/>
        <v>0</v>
      </c>
      <c r="AU358">
        <f t="shared" si="205"/>
        <v>1</v>
      </c>
      <c r="AV358">
        <f t="shared" si="206"/>
        <v>0</v>
      </c>
      <c r="AW358">
        <f t="shared" si="207"/>
        <v>0</v>
      </c>
      <c r="AX358">
        <f t="shared" si="208"/>
        <v>0</v>
      </c>
      <c r="AY358">
        <f t="shared" si="209"/>
        <v>0</v>
      </c>
      <c r="AZ358">
        <f t="shared" si="210"/>
        <v>0</v>
      </c>
      <c r="BA358">
        <f t="shared" si="211"/>
        <v>0</v>
      </c>
      <c r="BB358">
        <f t="shared" si="212"/>
        <v>0</v>
      </c>
      <c r="BC358">
        <f t="shared" si="213"/>
        <v>0</v>
      </c>
      <c r="BD358">
        <f t="shared" si="214"/>
        <v>0</v>
      </c>
      <c r="BE358">
        <f t="shared" si="215"/>
        <v>0</v>
      </c>
      <c r="BF358">
        <f t="shared" si="216"/>
        <v>0</v>
      </c>
      <c r="BG358">
        <f t="shared" si="217"/>
        <v>0</v>
      </c>
      <c r="BH358">
        <f t="shared" si="218"/>
        <v>0</v>
      </c>
      <c r="BI358">
        <f t="shared" si="219"/>
        <v>0</v>
      </c>
    </row>
    <row r="359" spans="1:61" x14ac:dyDescent="0.35">
      <c r="A359" t="s">
        <v>196</v>
      </c>
      <c r="B359" s="1">
        <v>41214</v>
      </c>
      <c r="C359" t="s">
        <v>788</v>
      </c>
      <c r="D359" t="s">
        <v>59</v>
      </c>
      <c r="E359" t="s">
        <v>787</v>
      </c>
      <c r="F359" t="s">
        <v>59</v>
      </c>
      <c r="G359" t="s">
        <v>47</v>
      </c>
      <c r="H359" s="139">
        <f t="shared" si="193"/>
        <v>0</v>
      </c>
      <c r="I359" t="s">
        <v>234</v>
      </c>
      <c r="J359" t="s">
        <v>245</v>
      </c>
      <c r="K359" s="2">
        <f t="shared" si="196"/>
        <v>6</v>
      </c>
      <c r="L359">
        <v>867807686</v>
      </c>
      <c r="M359" s="2">
        <f t="shared" si="197"/>
        <v>8.9384234922700383</v>
      </c>
      <c r="N359">
        <f t="shared" si="220"/>
        <v>867807686</v>
      </c>
      <c r="O359">
        <v>0</v>
      </c>
      <c r="P359" s="1">
        <v>42017</v>
      </c>
      <c r="Q359" s="89">
        <f t="shared" si="198"/>
        <v>2015</v>
      </c>
      <c r="R359" t="s">
        <v>152</v>
      </c>
      <c r="S359">
        <v>462000000</v>
      </c>
      <c r="T359" s="21">
        <f t="shared" si="189"/>
        <v>2.2000000000000002</v>
      </c>
      <c r="U359">
        <v>0</v>
      </c>
      <c r="V359">
        <f t="shared" si="199"/>
        <v>0</v>
      </c>
      <c r="W359">
        <v>1986</v>
      </c>
      <c r="X359">
        <v>26</v>
      </c>
      <c r="Y359">
        <f t="shared" si="200"/>
        <v>1.4313637641589874</v>
      </c>
      <c r="Z359" s="45">
        <v>3.29</v>
      </c>
      <c r="AA359" s="9">
        <f t="shared" si="190"/>
        <v>-405807686</v>
      </c>
      <c r="AB359" s="15">
        <f t="shared" si="191"/>
        <v>-0.46762398230245683</v>
      </c>
      <c r="AC359" s="34">
        <f t="shared" si="201"/>
        <v>-0.27378151671391243</v>
      </c>
      <c r="AD359">
        <v>1447.5557664926437</v>
      </c>
      <c r="AE359">
        <f t="shared" si="194"/>
        <v>3.1606353037386858</v>
      </c>
      <c r="AF359">
        <v>9478.5929515126791</v>
      </c>
      <c r="AG359">
        <f t="shared" si="195"/>
        <v>3.9767438733352263</v>
      </c>
      <c r="AH359" s="9">
        <v>0</v>
      </c>
      <c r="AI359" s="9">
        <f t="shared" si="202"/>
        <v>0</v>
      </c>
      <c r="AJ359">
        <v>94.7</v>
      </c>
      <c r="AK359" s="23" t="s">
        <v>623</v>
      </c>
      <c r="AL359" s="42">
        <v>45.737088331856903</v>
      </c>
      <c r="AM359" s="24">
        <v>0.42</v>
      </c>
      <c r="AN359" s="34">
        <f t="shared" si="203"/>
        <v>0.15228834438305647</v>
      </c>
      <c r="AO359">
        <v>1980</v>
      </c>
      <c r="AP359">
        <v>32</v>
      </c>
      <c r="AQ359">
        <v>70</v>
      </c>
      <c r="AR359">
        <v>70</v>
      </c>
      <c r="AS359">
        <f t="shared" si="192"/>
        <v>0</v>
      </c>
      <c r="AT359">
        <f t="shared" si="204"/>
        <v>0</v>
      </c>
      <c r="AU359">
        <f t="shared" si="205"/>
        <v>1</v>
      </c>
      <c r="AV359">
        <f t="shared" si="206"/>
        <v>0</v>
      </c>
      <c r="AW359">
        <f t="shared" si="207"/>
        <v>0</v>
      </c>
      <c r="AX359">
        <f t="shared" si="208"/>
        <v>0</v>
      </c>
      <c r="AY359">
        <f t="shared" si="209"/>
        <v>0</v>
      </c>
      <c r="AZ359">
        <f t="shared" si="210"/>
        <v>0</v>
      </c>
      <c r="BA359">
        <f t="shared" si="211"/>
        <v>0</v>
      </c>
      <c r="BB359">
        <f t="shared" si="212"/>
        <v>0</v>
      </c>
      <c r="BC359">
        <f t="shared" si="213"/>
        <v>0</v>
      </c>
      <c r="BD359">
        <f t="shared" si="214"/>
        <v>0</v>
      </c>
      <c r="BE359">
        <f t="shared" si="215"/>
        <v>0</v>
      </c>
      <c r="BF359">
        <f t="shared" si="216"/>
        <v>0</v>
      </c>
      <c r="BG359">
        <f t="shared" si="217"/>
        <v>0</v>
      </c>
      <c r="BH359">
        <f t="shared" si="218"/>
        <v>0</v>
      </c>
      <c r="BI359">
        <f t="shared" si="219"/>
        <v>0</v>
      </c>
    </row>
    <row r="360" spans="1:61" x14ac:dyDescent="0.35">
      <c r="A360" t="s">
        <v>196</v>
      </c>
      <c r="B360" s="1">
        <v>41152</v>
      </c>
      <c r="C360" s="8" t="s">
        <v>789</v>
      </c>
      <c r="D360" t="s">
        <v>59</v>
      </c>
      <c r="E360" t="s">
        <v>790</v>
      </c>
      <c r="F360" t="s">
        <v>45</v>
      </c>
      <c r="G360" t="s">
        <v>64</v>
      </c>
      <c r="H360" s="139">
        <f t="shared" si="193"/>
        <v>1</v>
      </c>
      <c r="I360" t="s">
        <v>234</v>
      </c>
      <c r="J360" t="s">
        <v>186</v>
      </c>
      <c r="K360" s="2">
        <f t="shared" si="196"/>
        <v>4</v>
      </c>
      <c r="L360">
        <v>1100000000</v>
      </c>
      <c r="M360" s="2">
        <f t="shared" si="197"/>
        <v>9.0413926851582254</v>
      </c>
      <c r="N360">
        <f t="shared" si="220"/>
        <v>1100000000</v>
      </c>
      <c r="O360">
        <v>0</v>
      </c>
      <c r="P360" s="1">
        <v>42143</v>
      </c>
      <c r="Q360" s="89">
        <f t="shared" si="198"/>
        <v>2015</v>
      </c>
      <c r="R360" t="s">
        <v>107</v>
      </c>
      <c r="S360">
        <v>1850000000</v>
      </c>
      <c r="T360" s="21">
        <f t="shared" si="189"/>
        <v>2.7150684931506848</v>
      </c>
      <c r="U360">
        <v>5897.96</v>
      </c>
      <c r="V360">
        <f t="shared" si="199"/>
        <v>3.7707754512906644</v>
      </c>
      <c r="W360">
        <v>1973</v>
      </c>
      <c r="X360">
        <v>39</v>
      </c>
      <c r="Y360">
        <f t="shared" si="200"/>
        <v>1.6020599913279623</v>
      </c>
      <c r="Z360" s="45">
        <v>2.3199999999999998</v>
      </c>
      <c r="AA360" s="9">
        <f t="shared" si="190"/>
        <v>750000000</v>
      </c>
      <c r="AB360" s="15">
        <f t="shared" si="191"/>
        <v>0.68181818181818188</v>
      </c>
      <c r="AC360" s="34">
        <f t="shared" si="201"/>
        <v>0.22577904324478879</v>
      </c>
      <c r="AD360">
        <v>2108.7257617728528</v>
      </c>
      <c r="AE360">
        <f t="shared" si="194"/>
        <v>3.3240201037352737</v>
      </c>
      <c r="AF360">
        <v>5865.6509695290861</v>
      </c>
      <c r="AG360">
        <f t="shared" si="195"/>
        <v>3.7683162170970865</v>
      </c>
      <c r="AH360" s="9">
        <v>132</v>
      </c>
      <c r="AI360" s="9">
        <f t="shared" si="202"/>
        <v>2.1238516409670858</v>
      </c>
      <c r="AJ360">
        <v>94.7</v>
      </c>
      <c r="AK360" s="23" t="s">
        <v>623</v>
      </c>
      <c r="AL360" s="42">
        <v>45.737088331856903</v>
      </c>
      <c r="AM360" s="24">
        <v>0.51</v>
      </c>
      <c r="AN360" s="34">
        <f t="shared" si="203"/>
        <v>0.17897694729316943</v>
      </c>
      <c r="AO360">
        <v>1984</v>
      </c>
      <c r="AP360">
        <v>28</v>
      </c>
      <c r="AQ360">
        <v>70</v>
      </c>
      <c r="AR360">
        <v>70</v>
      </c>
      <c r="AS360">
        <f t="shared" si="192"/>
        <v>0</v>
      </c>
      <c r="AT360">
        <f t="shared" si="204"/>
        <v>0</v>
      </c>
      <c r="AU360">
        <f t="shared" si="205"/>
        <v>1</v>
      </c>
      <c r="AV360">
        <f t="shared" si="206"/>
        <v>0</v>
      </c>
      <c r="AW360">
        <f t="shared" si="207"/>
        <v>0</v>
      </c>
      <c r="AX360">
        <f t="shared" si="208"/>
        <v>0</v>
      </c>
      <c r="AY360">
        <f t="shared" si="209"/>
        <v>0</v>
      </c>
      <c r="AZ360">
        <f t="shared" si="210"/>
        <v>0</v>
      </c>
      <c r="BA360">
        <f t="shared" si="211"/>
        <v>0</v>
      </c>
      <c r="BB360">
        <f t="shared" si="212"/>
        <v>0</v>
      </c>
      <c r="BC360">
        <f t="shared" si="213"/>
        <v>0</v>
      </c>
      <c r="BD360">
        <f t="shared" si="214"/>
        <v>0</v>
      </c>
      <c r="BE360">
        <f t="shared" si="215"/>
        <v>0</v>
      </c>
      <c r="BF360">
        <f t="shared" si="216"/>
        <v>0</v>
      </c>
      <c r="BG360">
        <f t="shared" si="217"/>
        <v>0</v>
      </c>
      <c r="BH360">
        <f t="shared" si="218"/>
        <v>0</v>
      </c>
      <c r="BI360">
        <f t="shared" si="219"/>
        <v>0</v>
      </c>
    </row>
    <row r="361" spans="1:61" x14ac:dyDescent="0.35">
      <c r="A361" t="s">
        <v>196</v>
      </c>
      <c r="B361" s="1">
        <v>41607</v>
      </c>
      <c r="C361" s="8" t="s">
        <v>791</v>
      </c>
      <c r="D361" t="s">
        <v>59</v>
      </c>
      <c r="E361" t="s">
        <v>792</v>
      </c>
      <c r="F361" t="s">
        <v>489</v>
      </c>
      <c r="G361" t="s">
        <v>64</v>
      </c>
      <c r="H361" s="139">
        <f t="shared" si="193"/>
        <v>1</v>
      </c>
      <c r="I361" t="s">
        <v>234</v>
      </c>
      <c r="J361" t="s">
        <v>178</v>
      </c>
      <c r="K361" s="2">
        <f t="shared" si="196"/>
        <v>9</v>
      </c>
      <c r="L361">
        <v>20000000</v>
      </c>
      <c r="M361" s="2">
        <f t="shared" si="197"/>
        <v>7.3010299956639813</v>
      </c>
      <c r="N361">
        <f t="shared" si="220"/>
        <v>20000000</v>
      </c>
      <c r="O361">
        <v>0</v>
      </c>
      <c r="P361" s="1">
        <v>43327</v>
      </c>
      <c r="Q361" s="89">
        <f t="shared" si="198"/>
        <v>2018</v>
      </c>
      <c r="R361" t="s">
        <v>107</v>
      </c>
      <c r="S361">
        <v>172924407</v>
      </c>
      <c r="T361" s="21">
        <f t="shared" si="189"/>
        <v>4.7123287671232879</v>
      </c>
      <c r="U361">
        <v>776.05</v>
      </c>
      <c r="V361">
        <f t="shared" si="199"/>
        <v>2.8904489647796185</v>
      </c>
      <c r="W361">
        <v>1999</v>
      </c>
      <c r="X361">
        <v>14</v>
      </c>
      <c r="Y361">
        <f t="shared" si="200"/>
        <v>1.1760912590556813</v>
      </c>
      <c r="Z361" s="45">
        <v>3.18</v>
      </c>
      <c r="AA361" s="9">
        <f t="shared" si="190"/>
        <v>152924407</v>
      </c>
      <c r="AB361" s="15">
        <f t="shared" si="191"/>
        <v>7.6462203500000001</v>
      </c>
      <c r="AC361" s="34">
        <f t="shared" si="201"/>
        <v>0.93682629938750739</v>
      </c>
      <c r="AD361">
        <v>3194.0595168108393</v>
      </c>
      <c r="AE361">
        <f t="shared" si="194"/>
        <v>3.5043430043452655</v>
      </c>
      <c r="AF361">
        <v>4711.794182693654</v>
      </c>
      <c r="AG361">
        <f t="shared" si="195"/>
        <v>3.6731863116447854</v>
      </c>
      <c r="AH361" s="9">
        <v>254.166666666667</v>
      </c>
      <c r="AI361" s="9">
        <f t="shared" si="202"/>
        <v>2.4068239403146179</v>
      </c>
      <c r="AJ361">
        <v>94.1</v>
      </c>
      <c r="AK361" s="23" t="s">
        <v>70</v>
      </c>
      <c r="AL361" s="42">
        <v>43.9397801796012</v>
      </c>
      <c r="AM361" s="24">
        <v>0.56000000000000005</v>
      </c>
      <c r="AN361" s="34">
        <f t="shared" si="203"/>
        <v>0.19312459835446161</v>
      </c>
      <c r="AO361">
        <v>1996</v>
      </c>
      <c r="AP361">
        <v>17</v>
      </c>
      <c r="AQ361">
        <v>70</v>
      </c>
      <c r="AR361">
        <v>70</v>
      </c>
      <c r="AS361">
        <f t="shared" si="192"/>
        <v>0</v>
      </c>
      <c r="AT361">
        <f t="shared" si="204"/>
        <v>0</v>
      </c>
      <c r="AU361">
        <f t="shared" si="205"/>
        <v>1</v>
      </c>
      <c r="AV361">
        <f t="shared" si="206"/>
        <v>0</v>
      </c>
      <c r="AW361">
        <f t="shared" si="207"/>
        <v>0</v>
      </c>
      <c r="AX361">
        <f t="shared" si="208"/>
        <v>0</v>
      </c>
      <c r="AY361">
        <f t="shared" si="209"/>
        <v>0</v>
      </c>
      <c r="AZ361">
        <f t="shared" si="210"/>
        <v>0</v>
      </c>
      <c r="BA361">
        <f t="shared" si="211"/>
        <v>0</v>
      </c>
      <c r="BB361">
        <f t="shared" si="212"/>
        <v>0</v>
      </c>
      <c r="BC361">
        <f t="shared" si="213"/>
        <v>0</v>
      </c>
      <c r="BD361">
        <f t="shared" si="214"/>
        <v>0</v>
      </c>
      <c r="BE361">
        <f t="shared" si="215"/>
        <v>0</v>
      </c>
      <c r="BF361">
        <f t="shared" si="216"/>
        <v>0</v>
      </c>
      <c r="BG361">
        <f t="shared" si="217"/>
        <v>0</v>
      </c>
      <c r="BH361">
        <f t="shared" si="218"/>
        <v>0</v>
      </c>
      <c r="BI361">
        <f t="shared" si="219"/>
        <v>0</v>
      </c>
    </row>
    <row r="362" spans="1:61" x14ac:dyDescent="0.35">
      <c r="A362" t="s">
        <v>196</v>
      </c>
      <c r="B362" s="1">
        <v>41996</v>
      </c>
      <c r="C362" s="8" t="s">
        <v>793</v>
      </c>
      <c r="D362" t="s">
        <v>59</v>
      </c>
      <c r="E362" t="s">
        <v>794</v>
      </c>
      <c r="F362" t="s">
        <v>59</v>
      </c>
      <c r="G362" t="s">
        <v>47</v>
      </c>
      <c r="H362" s="139">
        <f t="shared" si="193"/>
        <v>0</v>
      </c>
      <c r="I362" t="s">
        <v>234</v>
      </c>
      <c r="J362" t="s">
        <v>248</v>
      </c>
      <c r="K362" s="2">
        <f t="shared" si="196"/>
        <v>5</v>
      </c>
      <c r="L362">
        <v>130000000</v>
      </c>
      <c r="M362" s="2">
        <f t="shared" si="197"/>
        <v>8.1139433523068369</v>
      </c>
      <c r="N362">
        <f t="shared" si="220"/>
        <v>130000000</v>
      </c>
      <c r="O362">
        <v>0</v>
      </c>
      <c r="P362" s="1">
        <v>43083</v>
      </c>
      <c r="Q362" s="89">
        <f t="shared" si="198"/>
        <v>2017</v>
      </c>
      <c r="R362" t="s">
        <v>152</v>
      </c>
      <c r="S362">
        <v>250000000</v>
      </c>
      <c r="T362" s="21">
        <f t="shared" si="189"/>
        <v>2.978082191780822</v>
      </c>
      <c r="U362">
        <v>0</v>
      </c>
      <c r="V362">
        <f t="shared" si="199"/>
        <v>0</v>
      </c>
      <c r="W362">
        <v>1984</v>
      </c>
      <c r="X362">
        <v>30</v>
      </c>
      <c r="Y362">
        <f t="shared" si="200"/>
        <v>1.4913616938342726</v>
      </c>
      <c r="Z362" s="45">
        <v>3.29</v>
      </c>
      <c r="AA362" s="9">
        <f t="shared" si="190"/>
        <v>120000000</v>
      </c>
      <c r="AB362" s="15">
        <f t="shared" si="191"/>
        <v>0.92307692307692313</v>
      </c>
      <c r="AC362" s="34">
        <f t="shared" si="201"/>
        <v>0.28399665636520083</v>
      </c>
      <c r="AD362">
        <v>3072.916666666667</v>
      </c>
      <c r="AE362">
        <f t="shared" si="194"/>
        <v>3.4875507829385946</v>
      </c>
      <c r="AF362">
        <v>10000</v>
      </c>
      <c r="AG362">
        <f t="shared" si="195"/>
        <v>4</v>
      </c>
      <c r="AH362" s="9">
        <v>0</v>
      </c>
      <c r="AI362" s="9">
        <f t="shared" si="202"/>
        <v>0</v>
      </c>
      <c r="AJ362">
        <v>92</v>
      </c>
      <c r="AK362" s="23" t="s">
        <v>780</v>
      </c>
      <c r="AL362" s="42">
        <v>43.012424801889097</v>
      </c>
      <c r="AM362" s="24">
        <v>0.27</v>
      </c>
      <c r="AN362" s="34">
        <f t="shared" si="203"/>
        <v>0.10380372095595687</v>
      </c>
      <c r="AO362">
        <v>2001</v>
      </c>
      <c r="AP362">
        <v>13</v>
      </c>
      <c r="AQ362">
        <v>70</v>
      </c>
      <c r="AR362">
        <v>70</v>
      </c>
      <c r="AS362">
        <f t="shared" si="192"/>
        <v>0</v>
      </c>
      <c r="AT362">
        <f t="shared" si="204"/>
        <v>0</v>
      </c>
      <c r="AU362">
        <f t="shared" si="205"/>
        <v>1</v>
      </c>
      <c r="AV362">
        <f t="shared" si="206"/>
        <v>0</v>
      </c>
      <c r="AW362">
        <f t="shared" si="207"/>
        <v>0</v>
      </c>
      <c r="AX362">
        <f t="shared" si="208"/>
        <v>0</v>
      </c>
      <c r="AY362">
        <f t="shared" si="209"/>
        <v>0</v>
      </c>
      <c r="AZ362">
        <f t="shared" si="210"/>
        <v>0</v>
      </c>
      <c r="BA362">
        <f t="shared" si="211"/>
        <v>0</v>
      </c>
      <c r="BB362">
        <f t="shared" si="212"/>
        <v>0</v>
      </c>
      <c r="BC362">
        <f t="shared" si="213"/>
        <v>0</v>
      </c>
      <c r="BD362">
        <f t="shared" si="214"/>
        <v>0</v>
      </c>
      <c r="BE362">
        <f t="shared" si="215"/>
        <v>0</v>
      </c>
      <c r="BF362">
        <f t="shared" si="216"/>
        <v>0</v>
      </c>
      <c r="BG362">
        <f t="shared" si="217"/>
        <v>0</v>
      </c>
      <c r="BH362">
        <f t="shared" si="218"/>
        <v>0</v>
      </c>
      <c r="BI362">
        <f t="shared" si="219"/>
        <v>0</v>
      </c>
    </row>
    <row r="363" spans="1:61" x14ac:dyDescent="0.35">
      <c r="A363" t="s">
        <v>196</v>
      </c>
      <c r="B363" s="1">
        <v>41516</v>
      </c>
      <c r="C363" t="s">
        <v>795</v>
      </c>
      <c r="D363" t="s">
        <v>59</v>
      </c>
      <c r="E363" t="s">
        <v>794</v>
      </c>
      <c r="F363" t="s">
        <v>59</v>
      </c>
      <c r="G363" t="s">
        <v>47</v>
      </c>
      <c r="H363" s="139">
        <f t="shared" si="193"/>
        <v>0</v>
      </c>
      <c r="I363" t="s">
        <v>234</v>
      </c>
      <c r="J363" t="s">
        <v>245</v>
      </c>
      <c r="K363" s="2">
        <f t="shared" si="196"/>
        <v>6</v>
      </c>
      <c r="L363">
        <v>33000000</v>
      </c>
      <c r="M363" s="2">
        <f t="shared" si="197"/>
        <v>7.5185139398778871</v>
      </c>
      <c r="N363">
        <f t="shared" si="220"/>
        <v>33000000</v>
      </c>
      <c r="O363">
        <v>0</v>
      </c>
      <c r="P363" s="1">
        <v>42954</v>
      </c>
      <c r="Q363" s="89">
        <f t="shared" si="198"/>
        <v>2017</v>
      </c>
      <c r="R363" t="s">
        <v>107</v>
      </c>
      <c r="S363">
        <v>208000000</v>
      </c>
      <c r="T363" s="21">
        <f t="shared" si="189"/>
        <v>3.9397260273972603</v>
      </c>
      <c r="U363">
        <v>0</v>
      </c>
      <c r="V363">
        <f t="shared" si="199"/>
        <v>0</v>
      </c>
      <c r="W363">
        <v>1990</v>
      </c>
      <c r="X363">
        <v>23</v>
      </c>
      <c r="Y363">
        <f t="shared" si="200"/>
        <v>1.3802112417116059</v>
      </c>
      <c r="Z363" s="45">
        <v>3.29</v>
      </c>
      <c r="AA363" s="9">
        <f t="shared" si="190"/>
        <v>175000000</v>
      </c>
      <c r="AB363" s="15">
        <f t="shared" si="191"/>
        <v>5.3030303030303028</v>
      </c>
      <c r="AC363" s="34">
        <f t="shared" si="201"/>
        <v>0.7995493950848741</v>
      </c>
      <c r="AD363">
        <v>3072.916666666667</v>
      </c>
      <c r="AE363">
        <f t="shared" si="194"/>
        <v>3.4875507829385946</v>
      </c>
      <c r="AF363">
        <v>10000</v>
      </c>
      <c r="AG363">
        <f t="shared" si="195"/>
        <v>4</v>
      </c>
      <c r="AH363" s="9">
        <v>0</v>
      </c>
      <c r="AI363" s="9">
        <f t="shared" si="202"/>
        <v>0</v>
      </c>
      <c r="AJ363">
        <v>94.1</v>
      </c>
      <c r="AK363" s="23" t="s">
        <v>70</v>
      </c>
      <c r="AL363" s="42">
        <v>43.9397801796012</v>
      </c>
      <c r="AM363" s="24">
        <v>0.52</v>
      </c>
      <c r="AN363" s="34">
        <f t="shared" si="203"/>
        <v>0.18184358794477254</v>
      </c>
      <c r="AO363">
        <v>2001</v>
      </c>
      <c r="AP363">
        <v>12</v>
      </c>
      <c r="AQ363">
        <v>70</v>
      </c>
      <c r="AR363">
        <v>70</v>
      </c>
      <c r="AS363">
        <f t="shared" si="192"/>
        <v>0</v>
      </c>
      <c r="AT363">
        <f t="shared" si="204"/>
        <v>0</v>
      </c>
      <c r="AU363">
        <f t="shared" si="205"/>
        <v>1</v>
      </c>
      <c r="AV363">
        <f t="shared" si="206"/>
        <v>0</v>
      </c>
      <c r="AW363">
        <f t="shared" si="207"/>
        <v>0</v>
      </c>
      <c r="AX363">
        <f t="shared" si="208"/>
        <v>0</v>
      </c>
      <c r="AY363">
        <f t="shared" si="209"/>
        <v>0</v>
      </c>
      <c r="AZ363">
        <f t="shared" si="210"/>
        <v>0</v>
      </c>
      <c r="BA363">
        <f t="shared" si="211"/>
        <v>0</v>
      </c>
      <c r="BB363">
        <f t="shared" si="212"/>
        <v>0</v>
      </c>
      <c r="BC363">
        <f t="shared" si="213"/>
        <v>0</v>
      </c>
      <c r="BD363">
        <f t="shared" si="214"/>
        <v>0</v>
      </c>
      <c r="BE363">
        <f t="shared" si="215"/>
        <v>0</v>
      </c>
      <c r="BF363">
        <f t="shared" si="216"/>
        <v>0</v>
      </c>
      <c r="BG363">
        <f t="shared" si="217"/>
        <v>0</v>
      </c>
      <c r="BH363">
        <f t="shared" si="218"/>
        <v>0</v>
      </c>
      <c r="BI363">
        <f t="shared" si="219"/>
        <v>0</v>
      </c>
    </row>
    <row r="364" spans="1:61" x14ac:dyDescent="0.35">
      <c r="A364" t="s">
        <v>196</v>
      </c>
      <c r="B364" s="1">
        <v>41815</v>
      </c>
      <c r="C364" t="s">
        <v>796</v>
      </c>
      <c r="D364" t="s">
        <v>59</v>
      </c>
      <c r="E364" t="s">
        <v>797</v>
      </c>
      <c r="F364" t="s">
        <v>59</v>
      </c>
      <c r="G364" t="s">
        <v>47</v>
      </c>
      <c r="H364" s="139">
        <f t="shared" si="193"/>
        <v>0</v>
      </c>
      <c r="I364" t="s">
        <v>234</v>
      </c>
      <c r="J364" t="s">
        <v>248</v>
      </c>
      <c r="K364" s="2">
        <f t="shared" si="196"/>
        <v>5</v>
      </c>
      <c r="L364">
        <v>80000000</v>
      </c>
      <c r="M364" s="2">
        <f t="shared" si="197"/>
        <v>7.9030899869919438</v>
      </c>
      <c r="N364">
        <f t="shared" si="220"/>
        <v>80000000</v>
      </c>
      <c r="O364">
        <v>0</v>
      </c>
      <c r="P364" s="1">
        <v>42949</v>
      </c>
      <c r="Q364" s="89">
        <f t="shared" si="198"/>
        <v>2017</v>
      </c>
      <c r="R364" t="s">
        <v>107</v>
      </c>
      <c r="S364">
        <v>205770000</v>
      </c>
      <c r="T364" s="21">
        <f t="shared" si="189"/>
        <v>3.106849315068493</v>
      </c>
      <c r="U364">
        <v>0</v>
      </c>
      <c r="V364">
        <f t="shared" si="199"/>
        <v>0</v>
      </c>
      <c r="W364">
        <v>1975</v>
      </c>
      <c r="X364">
        <v>39</v>
      </c>
      <c r="Y364">
        <f t="shared" si="200"/>
        <v>1.6020599913279623</v>
      </c>
      <c r="Z364" s="45">
        <v>3.29</v>
      </c>
      <c r="AA364" s="9">
        <f t="shared" si="190"/>
        <v>125770000</v>
      </c>
      <c r="AB364" s="15">
        <f t="shared" si="191"/>
        <v>1.5721250000000002</v>
      </c>
      <c r="AC364" s="34">
        <f t="shared" si="201"/>
        <v>0.41029207058620576</v>
      </c>
      <c r="AD364">
        <v>2482.4229313142241</v>
      </c>
      <c r="AE364">
        <f t="shared" si="194"/>
        <v>3.3948757743780882</v>
      </c>
      <c r="AF364">
        <v>9113.0340724716079</v>
      </c>
      <c r="AG364">
        <f t="shared" si="195"/>
        <v>3.9596629940481844</v>
      </c>
      <c r="AH364" s="9">
        <v>0</v>
      </c>
      <c r="AI364" s="9">
        <f t="shared" si="202"/>
        <v>0</v>
      </c>
      <c r="AJ364">
        <v>92</v>
      </c>
      <c r="AK364" s="23" t="s">
        <v>780</v>
      </c>
      <c r="AL364" s="42">
        <v>43.012424801889097</v>
      </c>
      <c r="AM364" s="24">
        <v>0.26</v>
      </c>
      <c r="AN364" s="34">
        <f t="shared" si="203"/>
        <v>0.10037054511756291</v>
      </c>
      <c r="AO364">
        <v>2006</v>
      </c>
      <c r="AP364">
        <v>8</v>
      </c>
      <c r="AQ364">
        <v>70</v>
      </c>
      <c r="AR364">
        <v>70</v>
      </c>
      <c r="AS364">
        <f t="shared" si="192"/>
        <v>0</v>
      </c>
      <c r="AT364">
        <f t="shared" si="204"/>
        <v>0</v>
      </c>
      <c r="AU364">
        <f t="shared" si="205"/>
        <v>1</v>
      </c>
      <c r="AV364">
        <f t="shared" si="206"/>
        <v>0</v>
      </c>
      <c r="AW364">
        <f t="shared" si="207"/>
        <v>0</v>
      </c>
      <c r="AX364">
        <f t="shared" si="208"/>
        <v>0</v>
      </c>
      <c r="AY364">
        <f t="shared" si="209"/>
        <v>0</v>
      </c>
      <c r="AZ364">
        <f t="shared" si="210"/>
        <v>0</v>
      </c>
      <c r="BA364">
        <f t="shared" si="211"/>
        <v>0</v>
      </c>
      <c r="BB364">
        <f t="shared" si="212"/>
        <v>0</v>
      </c>
      <c r="BC364">
        <f t="shared" si="213"/>
        <v>0</v>
      </c>
      <c r="BD364">
        <f t="shared" si="214"/>
        <v>0</v>
      </c>
      <c r="BE364">
        <f t="shared" si="215"/>
        <v>0</v>
      </c>
      <c r="BF364">
        <f t="shared" si="216"/>
        <v>0</v>
      </c>
      <c r="BG364">
        <f t="shared" si="217"/>
        <v>0</v>
      </c>
      <c r="BH364">
        <f t="shared" si="218"/>
        <v>0</v>
      </c>
      <c r="BI364">
        <f t="shared" si="219"/>
        <v>0</v>
      </c>
    </row>
    <row r="365" spans="1:61" x14ac:dyDescent="0.35">
      <c r="A365" t="s">
        <v>196</v>
      </c>
      <c r="B365" s="1">
        <v>41183</v>
      </c>
      <c r="C365" t="s">
        <v>798</v>
      </c>
      <c r="D365" t="s">
        <v>45</v>
      </c>
      <c r="E365" t="s">
        <v>799</v>
      </c>
      <c r="F365" t="s">
        <v>45</v>
      </c>
      <c r="G365" t="s">
        <v>47</v>
      </c>
      <c r="H365" s="139">
        <f t="shared" si="193"/>
        <v>0</v>
      </c>
      <c r="I365" t="s">
        <v>611</v>
      </c>
      <c r="J365" t="s">
        <v>190</v>
      </c>
      <c r="K365" s="2">
        <f t="shared" si="196"/>
        <v>2</v>
      </c>
      <c r="L365">
        <v>1394200000</v>
      </c>
      <c r="M365" s="2">
        <f t="shared" si="197"/>
        <v>9.1443250784004881</v>
      </c>
      <c r="N365">
        <v>1858310000</v>
      </c>
      <c r="O365">
        <v>75890000</v>
      </c>
      <c r="P365" s="1">
        <v>42275</v>
      </c>
      <c r="Q365" s="89">
        <f t="shared" si="198"/>
        <v>2015</v>
      </c>
      <c r="R365" t="s">
        <v>107</v>
      </c>
      <c r="S365">
        <v>8090000000</v>
      </c>
      <c r="T365" s="21">
        <f t="shared" si="189"/>
        <v>2.9917808219178084</v>
      </c>
      <c r="U365">
        <v>0</v>
      </c>
      <c r="V365">
        <f t="shared" si="199"/>
        <v>0</v>
      </c>
      <c r="W365">
        <v>1978</v>
      </c>
      <c r="X365">
        <v>34</v>
      </c>
      <c r="Y365">
        <f t="shared" si="200"/>
        <v>1.5440680443502757</v>
      </c>
      <c r="Z365" s="45">
        <v>2.95</v>
      </c>
      <c r="AA365" s="9">
        <f t="shared" si="190"/>
        <v>6231690000</v>
      </c>
      <c r="AB365" s="15">
        <f t="shared" si="191"/>
        <v>4.8026108162387029</v>
      </c>
      <c r="AC365" s="34">
        <f t="shared" si="201"/>
        <v>0.76362344321178399</v>
      </c>
      <c r="AD365">
        <v>1455.046</v>
      </c>
      <c r="AE365">
        <f t="shared" si="194"/>
        <v>3.1628767233771686</v>
      </c>
      <c r="AF365">
        <v>4062.5129999999999</v>
      </c>
      <c r="AG365">
        <f t="shared" si="195"/>
        <v>3.6087947637270492</v>
      </c>
      <c r="AH365" s="9">
        <v>0</v>
      </c>
      <c r="AI365" s="9">
        <f t="shared" si="202"/>
        <v>0</v>
      </c>
      <c r="AJ365">
        <v>91.1</v>
      </c>
      <c r="AK365" s="23" t="s">
        <v>144</v>
      </c>
      <c r="AL365" s="42">
        <v>40.229046020662899</v>
      </c>
      <c r="AM365" s="24">
        <v>0.3</v>
      </c>
      <c r="AN365" s="34">
        <f t="shared" si="203"/>
        <v>0.11394335230683679</v>
      </c>
      <c r="AO365">
        <v>1992</v>
      </c>
      <c r="AP365">
        <v>20</v>
      </c>
      <c r="AQ365">
        <v>70</v>
      </c>
      <c r="AR365">
        <v>70</v>
      </c>
      <c r="AS365">
        <f t="shared" si="192"/>
        <v>0</v>
      </c>
      <c r="AT365">
        <f t="shared" si="204"/>
        <v>1</v>
      </c>
      <c r="AU365">
        <f t="shared" si="205"/>
        <v>0</v>
      </c>
      <c r="AV365">
        <f t="shared" si="206"/>
        <v>0</v>
      </c>
      <c r="AW365">
        <f t="shared" si="207"/>
        <v>0</v>
      </c>
      <c r="AX365">
        <f t="shared" si="208"/>
        <v>0</v>
      </c>
      <c r="AY365">
        <f t="shared" si="209"/>
        <v>0</v>
      </c>
      <c r="AZ365">
        <f t="shared" si="210"/>
        <v>0</v>
      </c>
      <c r="BA365">
        <f t="shared" si="211"/>
        <v>0</v>
      </c>
      <c r="BB365">
        <f t="shared" si="212"/>
        <v>0</v>
      </c>
      <c r="BC365">
        <f t="shared" si="213"/>
        <v>0</v>
      </c>
      <c r="BD365">
        <f t="shared" si="214"/>
        <v>0</v>
      </c>
      <c r="BE365">
        <f t="shared" si="215"/>
        <v>0</v>
      </c>
      <c r="BF365">
        <f t="shared" si="216"/>
        <v>0</v>
      </c>
      <c r="BG365">
        <f t="shared" si="217"/>
        <v>0</v>
      </c>
      <c r="BH365">
        <f t="shared" si="218"/>
        <v>0</v>
      </c>
      <c r="BI365">
        <f t="shared" si="219"/>
        <v>0</v>
      </c>
    </row>
    <row r="366" spans="1:61" x14ac:dyDescent="0.35">
      <c r="A366" t="s">
        <v>196</v>
      </c>
      <c r="B366" s="1">
        <v>42147</v>
      </c>
      <c r="C366" t="s">
        <v>800</v>
      </c>
      <c r="D366" t="s">
        <v>45</v>
      </c>
      <c r="E366" t="s">
        <v>801</v>
      </c>
      <c r="F366" t="s">
        <v>45</v>
      </c>
      <c r="G366" t="s">
        <v>47</v>
      </c>
      <c r="H366" s="139">
        <f t="shared" si="193"/>
        <v>0</v>
      </c>
      <c r="I366" t="s">
        <v>234</v>
      </c>
      <c r="J366" t="s">
        <v>248</v>
      </c>
      <c r="K366" s="2">
        <f t="shared" si="196"/>
        <v>5</v>
      </c>
      <c r="L366">
        <v>400000000</v>
      </c>
      <c r="M366" s="2">
        <f t="shared" si="197"/>
        <v>8.6020599913279625</v>
      </c>
      <c r="N366">
        <f>L366</f>
        <v>400000000</v>
      </c>
      <c r="O366">
        <v>0</v>
      </c>
      <c r="P366" s="1">
        <v>42802</v>
      </c>
      <c r="Q366" s="89">
        <f t="shared" si="198"/>
        <v>2017</v>
      </c>
      <c r="R366" t="s">
        <v>49</v>
      </c>
      <c r="S366">
        <v>162900000</v>
      </c>
      <c r="T366" s="21">
        <f t="shared" si="189"/>
        <v>1.7945205479452055</v>
      </c>
      <c r="U366">
        <v>0</v>
      </c>
      <c r="V366">
        <f t="shared" si="199"/>
        <v>0</v>
      </c>
      <c r="W366">
        <v>1959</v>
      </c>
      <c r="X366">
        <v>56</v>
      </c>
      <c r="Y366">
        <f t="shared" si="200"/>
        <v>1.7558748556724915</v>
      </c>
      <c r="Z366" s="45">
        <v>2.95</v>
      </c>
      <c r="AA366" s="9">
        <f t="shared" si="190"/>
        <v>-237100000</v>
      </c>
      <c r="AB366" s="15">
        <f t="shared" si="191"/>
        <v>-0.59275</v>
      </c>
      <c r="AC366" s="34">
        <f t="shared" si="201"/>
        <v>-0.39013890701945303</v>
      </c>
      <c r="AD366">
        <v>1636.7346938775511</v>
      </c>
      <c r="AE366">
        <f t="shared" si="194"/>
        <v>3.21397828825565</v>
      </c>
      <c r="AF366">
        <v>5016.3265306122448</v>
      </c>
      <c r="AG366">
        <f t="shared" si="195"/>
        <v>3.7003857985219217</v>
      </c>
      <c r="AH366" s="9">
        <v>0</v>
      </c>
      <c r="AI366" s="9">
        <f t="shared" si="202"/>
        <v>0</v>
      </c>
      <c r="AJ366">
        <v>88.8</v>
      </c>
      <c r="AK366" s="23" t="s">
        <v>50</v>
      </c>
      <c r="AL366" s="42">
        <v>37.927180176051799</v>
      </c>
      <c r="AM366" s="24">
        <v>0.11</v>
      </c>
      <c r="AN366" s="34">
        <f t="shared" si="203"/>
        <v>4.5322978786657475E-2</v>
      </c>
      <c r="AO366">
        <v>2005</v>
      </c>
      <c r="AP366">
        <v>10</v>
      </c>
      <c r="AQ366">
        <v>70</v>
      </c>
      <c r="AR366">
        <v>70</v>
      </c>
      <c r="AS366">
        <f t="shared" si="192"/>
        <v>0</v>
      </c>
      <c r="AT366">
        <f t="shared" si="204"/>
        <v>1</v>
      </c>
      <c r="AU366">
        <f t="shared" si="205"/>
        <v>0</v>
      </c>
      <c r="AV366">
        <f t="shared" si="206"/>
        <v>0</v>
      </c>
      <c r="AW366">
        <f t="shared" si="207"/>
        <v>0</v>
      </c>
      <c r="AX366">
        <f t="shared" si="208"/>
        <v>0</v>
      </c>
      <c r="AY366">
        <f t="shared" si="209"/>
        <v>0</v>
      </c>
      <c r="AZ366">
        <f t="shared" si="210"/>
        <v>0</v>
      </c>
      <c r="BA366">
        <f t="shared" si="211"/>
        <v>0</v>
      </c>
      <c r="BB366">
        <f t="shared" si="212"/>
        <v>0</v>
      </c>
      <c r="BC366">
        <f t="shared" si="213"/>
        <v>0</v>
      </c>
      <c r="BD366">
        <f t="shared" si="214"/>
        <v>0</v>
      </c>
      <c r="BE366">
        <f t="shared" si="215"/>
        <v>0</v>
      </c>
      <c r="BF366">
        <f t="shared" si="216"/>
        <v>0</v>
      </c>
      <c r="BG366">
        <f t="shared" si="217"/>
        <v>0</v>
      </c>
      <c r="BH366">
        <f t="shared" si="218"/>
        <v>0</v>
      </c>
      <c r="BI366">
        <f t="shared" si="219"/>
        <v>0</v>
      </c>
    </row>
    <row r="367" spans="1:61" x14ac:dyDescent="0.35">
      <c r="A367" t="s">
        <v>196</v>
      </c>
      <c r="B367" s="1">
        <v>41834</v>
      </c>
      <c r="C367" t="s">
        <v>802</v>
      </c>
      <c r="D367" t="s">
        <v>45</v>
      </c>
      <c r="E367" t="s">
        <v>803</v>
      </c>
      <c r="F367" t="s">
        <v>45</v>
      </c>
      <c r="G367" t="s">
        <v>47</v>
      </c>
      <c r="H367" s="139">
        <f t="shared" si="193"/>
        <v>0</v>
      </c>
      <c r="I367" t="s">
        <v>234</v>
      </c>
      <c r="J367" t="s">
        <v>178</v>
      </c>
      <c r="K367" s="2">
        <f t="shared" si="196"/>
        <v>9</v>
      </c>
      <c r="L367">
        <v>310000000</v>
      </c>
      <c r="M367" s="2">
        <f t="shared" si="197"/>
        <v>8.4913616938342731</v>
      </c>
      <c r="N367">
        <f>L367</f>
        <v>310000000</v>
      </c>
      <c r="O367">
        <v>0</v>
      </c>
      <c r="P367" s="1">
        <v>43367</v>
      </c>
      <c r="Q367" s="89">
        <f t="shared" si="198"/>
        <v>2018</v>
      </c>
      <c r="R367" t="s">
        <v>152</v>
      </c>
      <c r="S367">
        <v>740000000</v>
      </c>
      <c r="T367" s="21">
        <f t="shared" si="189"/>
        <v>4.2</v>
      </c>
      <c r="U367">
        <v>0</v>
      </c>
      <c r="V367">
        <f t="shared" si="199"/>
        <v>0</v>
      </c>
      <c r="W367">
        <v>1998</v>
      </c>
      <c r="X367">
        <v>16</v>
      </c>
      <c r="Y367">
        <f t="shared" si="200"/>
        <v>1.2304489213782739</v>
      </c>
      <c r="Z367" s="45">
        <v>2.95</v>
      </c>
      <c r="AA367" s="9">
        <f t="shared" si="190"/>
        <v>430000000</v>
      </c>
      <c r="AB367" s="15">
        <f t="shared" si="191"/>
        <v>1.3870967741935485</v>
      </c>
      <c r="AC367" s="34">
        <f t="shared" si="201"/>
        <v>0.37787002589670354</v>
      </c>
      <c r="AD367">
        <v>3287.5739644970417</v>
      </c>
      <c r="AE367">
        <f t="shared" si="194"/>
        <v>3.5168755324519045</v>
      </c>
      <c r="AF367">
        <v>6440.2366863905318</v>
      </c>
      <c r="AG367">
        <f t="shared" si="195"/>
        <v>3.8089018284940463</v>
      </c>
      <c r="AH367" s="9">
        <v>0</v>
      </c>
      <c r="AI367" s="9">
        <f t="shared" si="202"/>
        <v>0</v>
      </c>
      <c r="AJ367">
        <v>89.2</v>
      </c>
      <c r="AK367" s="23" t="s">
        <v>313</v>
      </c>
      <c r="AL367" s="42">
        <v>38.344872802923099</v>
      </c>
      <c r="AM367" s="24">
        <v>0.48</v>
      </c>
      <c r="AN367" s="34">
        <f t="shared" si="203"/>
        <v>0.17026171539495738</v>
      </c>
      <c r="AO367">
        <v>1999</v>
      </c>
      <c r="AP367">
        <v>15</v>
      </c>
      <c r="AQ367">
        <v>70</v>
      </c>
      <c r="AR367">
        <v>70</v>
      </c>
      <c r="AS367">
        <f t="shared" si="192"/>
        <v>0</v>
      </c>
      <c r="AT367">
        <f t="shared" si="204"/>
        <v>1</v>
      </c>
      <c r="AU367">
        <f t="shared" si="205"/>
        <v>0</v>
      </c>
      <c r="AV367">
        <f t="shared" si="206"/>
        <v>0</v>
      </c>
      <c r="AW367">
        <f t="shared" si="207"/>
        <v>0</v>
      </c>
      <c r="AX367">
        <f t="shared" si="208"/>
        <v>0</v>
      </c>
      <c r="AY367">
        <f t="shared" si="209"/>
        <v>0</v>
      </c>
      <c r="AZ367">
        <f t="shared" si="210"/>
        <v>0</v>
      </c>
      <c r="BA367">
        <f t="shared" si="211"/>
        <v>0</v>
      </c>
      <c r="BB367">
        <f t="shared" si="212"/>
        <v>0</v>
      </c>
      <c r="BC367">
        <f t="shared" si="213"/>
        <v>0</v>
      </c>
      <c r="BD367">
        <f t="shared" si="214"/>
        <v>0</v>
      </c>
      <c r="BE367">
        <f t="shared" si="215"/>
        <v>0</v>
      </c>
      <c r="BF367">
        <f t="shared" si="216"/>
        <v>0</v>
      </c>
      <c r="BG367">
        <f t="shared" si="217"/>
        <v>0</v>
      </c>
      <c r="BH367">
        <f t="shared" si="218"/>
        <v>0</v>
      </c>
      <c r="BI367">
        <f t="shared" si="219"/>
        <v>0</v>
      </c>
    </row>
    <row r="368" spans="1:61" x14ac:dyDescent="0.35">
      <c r="A368" t="s">
        <v>196</v>
      </c>
      <c r="B368" s="1">
        <v>41708</v>
      </c>
      <c r="C368" t="s">
        <v>804</v>
      </c>
      <c r="D368" t="s">
        <v>45</v>
      </c>
      <c r="E368" t="s">
        <v>805</v>
      </c>
      <c r="F368" t="s">
        <v>45</v>
      </c>
      <c r="G368" t="s">
        <v>47</v>
      </c>
      <c r="H368" s="139">
        <f t="shared" si="193"/>
        <v>0</v>
      </c>
      <c r="I368" t="s">
        <v>234</v>
      </c>
      <c r="J368" t="s">
        <v>178</v>
      </c>
      <c r="K368" s="2">
        <f t="shared" si="196"/>
        <v>9</v>
      </c>
      <c r="L368">
        <v>90000000</v>
      </c>
      <c r="M368" s="2">
        <f t="shared" si="197"/>
        <v>7.9542425094393252</v>
      </c>
      <c r="N368">
        <f>L368</f>
        <v>90000000</v>
      </c>
      <c r="O368">
        <v>0</v>
      </c>
      <c r="P368" s="1">
        <v>42492</v>
      </c>
      <c r="Q368" s="89">
        <f t="shared" si="198"/>
        <v>2016</v>
      </c>
      <c r="R368" t="s">
        <v>107</v>
      </c>
      <c r="S368">
        <v>540000000</v>
      </c>
      <c r="T368" s="21">
        <f t="shared" si="189"/>
        <v>2.1479452054794521</v>
      </c>
      <c r="U368">
        <v>0</v>
      </c>
      <c r="V368">
        <f t="shared" si="199"/>
        <v>0</v>
      </c>
      <c r="W368">
        <v>1980</v>
      </c>
      <c r="X368">
        <v>34</v>
      </c>
      <c r="Y368">
        <f t="shared" si="200"/>
        <v>1.5440680443502757</v>
      </c>
      <c r="Z368" s="45">
        <v>2.95</v>
      </c>
      <c r="AA368" s="9">
        <f t="shared" si="190"/>
        <v>450000000</v>
      </c>
      <c r="AB368" s="15">
        <f t="shared" si="191"/>
        <v>5</v>
      </c>
      <c r="AC368" s="34">
        <f t="shared" si="201"/>
        <v>0.77815125038364363</v>
      </c>
      <c r="AD368">
        <v>2799.9999999999995</v>
      </c>
      <c r="AE368">
        <f t="shared" si="194"/>
        <v>3.447158031342219</v>
      </c>
      <c r="AF368">
        <v>8432.6530612244896</v>
      </c>
      <c r="AG368">
        <f t="shared" si="195"/>
        <v>3.9259642328190694</v>
      </c>
      <c r="AH368" s="9">
        <v>0</v>
      </c>
      <c r="AI368" s="9">
        <f t="shared" si="202"/>
        <v>0</v>
      </c>
      <c r="AJ368">
        <v>89.2</v>
      </c>
      <c r="AK368" s="23" t="s">
        <v>313</v>
      </c>
      <c r="AL368" s="42">
        <v>38.344872802923099</v>
      </c>
      <c r="AM368" s="24">
        <v>0.11</v>
      </c>
      <c r="AN368" s="34">
        <f t="shared" si="203"/>
        <v>4.5322978786657475E-2</v>
      </c>
      <c r="AO368">
        <v>2007</v>
      </c>
      <c r="AP368">
        <v>7</v>
      </c>
      <c r="AQ368">
        <v>70</v>
      </c>
      <c r="AR368">
        <v>70</v>
      </c>
      <c r="AS368">
        <f t="shared" si="192"/>
        <v>0</v>
      </c>
      <c r="AT368">
        <f t="shared" si="204"/>
        <v>1</v>
      </c>
      <c r="AU368">
        <f t="shared" si="205"/>
        <v>0</v>
      </c>
      <c r="AV368">
        <f t="shared" si="206"/>
        <v>0</v>
      </c>
      <c r="AW368">
        <f t="shared" si="207"/>
        <v>0</v>
      </c>
      <c r="AX368">
        <f t="shared" si="208"/>
        <v>0</v>
      </c>
      <c r="AY368">
        <f t="shared" si="209"/>
        <v>0</v>
      </c>
      <c r="AZ368">
        <f t="shared" si="210"/>
        <v>0</v>
      </c>
      <c r="BA368">
        <f t="shared" si="211"/>
        <v>0</v>
      </c>
      <c r="BB368">
        <f t="shared" si="212"/>
        <v>0</v>
      </c>
      <c r="BC368">
        <f t="shared" si="213"/>
        <v>0</v>
      </c>
      <c r="BD368">
        <f t="shared" si="214"/>
        <v>0</v>
      </c>
      <c r="BE368">
        <f t="shared" si="215"/>
        <v>0</v>
      </c>
      <c r="BF368">
        <f t="shared" si="216"/>
        <v>0</v>
      </c>
      <c r="BG368">
        <f t="shared" si="217"/>
        <v>0</v>
      </c>
      <c r="BH368">
        <f t="shared" si="218"/>
        <v>0</v>
      </c>
      <c r="BI368">
        <f t="shared" si="219"/>
        <v>0</v>
      </c>
    </row>
    <row r="369" spans="1:61" x14ac:dyDescent="0.35">
      <c r="A369" t="s">
        <v>196</v>
      </c>
      <c r="B369" s="1">
        <v>41060</v>
      </c>
      <c r="C369" t="s">
        <v>806</v>
      </c>
      <c r="D369" t="s">
        <v>45</v>
      </c>
      <c r="E369" t="s">
        <v>787</v>
      </c>
      <c r="F369" t="s">
        <v>45</v>
      </c>
      <c r="G369" t="s">
        <v>47</v>
      </c>
      <c r="H369" s="139">
        <f t="shared" si="193"/>
        <v>0</v>
      </c>
      <c r="I369" t="s">
        <v>234</v>
      </c>
      <c r="J369" t="s">
        <v>178</v>
      </c>
      <c r="K369" s="2">
        <f t="shared" si="196"/>
        <v>9</v>
      </c>
      <c r="L369">
        <v>675000000</v>
      </c>
      <c r="M369" s="2">
        <f t="shared" si="197"/>
        <v>8.8293037728310253</v>
      </c>
      <c r="N369">
        <f>L369</f>
        <v>675000000</v>
      </c>
      <c r="O369">
        <v>0</v>
      </c>
      <c r="P369" s="1">
        <v>42711</v>
      </c>
      <c r="Q369" s="89">
        <f t="shared" si="198"/>
        <v>2016</v>
      </c>
      <c r="R369" t="s">
        <v>107</v>
      </c>
      <c r="S369">
        <v>2000000000</v>
      </c>
      <c r="T369" s="21">
        <f t="shared" si="189"/>
        <v>4.5232876712328771</v>
      </c>
      <c r="U369">
        <v>0</v>
      </c>
      <c r="V369">
        <f t="shared" si="199"/>
        <v>0</v>
      </c>
      <c r="W369">
        <v>1967</v>
      </c>
      <c r="X369">
        <v>45</v>
      </c>
      <c r="Y369">
        <f t="shared" si="200"/>
        <v>1.6627578316815741</v>
      </c>
      <c r="Z369" s="45">
        <v>2.95</v>
      </c>
      <c r="AA369" s="9">
        <f t="shared" si="190"/>
        <v>1325000000</v>
      </c>
      <c r="AB369" s="15">
        <f t="shared" si="191"/>
        <v>1.9629629629629628</v>
      </c>
      <c r="AC369" s="34">
        <f t="shared" si="201"/>
        <v>0.47172622283295623</v>
      </c>
      <c r="AD369">
        <v>1447.5557664926437</v>
      </c>
      <c r="AE369">
        <f t="shared" si="194"/>
        <v>3.1606353037386858</v>
      </c>
      <c r="AF369">
        <v>9478.5929515126791</v>
      </c>
      <c r="AG369">
        <f t="shared" si="195"/>
        <v>3.9767438733352263</v>
      </c>
      <c r="AH369" s="9">
        <v>0</v>
      </c>
      <c r="AI369" s="9">
        <f t="shared" si="202"/>
        <v>0</v>
      </c>
      <c r="AJ369">
        <v>91.1</v>
      </c>
      <c r="AK369" s="23" t="s">
        <v>144</v>
      </c>
      <c r="AL369" s="42">
        <v>40.229046020662899</v>
      </c>
      <c r="AM369" s="24">
        <v>0.71</v>
      </c>
      <c r="AN369" s="34">
        <f t="shared" si="203"/>
        <v>0.23299611039215382</v>
      </c>
      <c r="AO369">
        <v>1980</v>
      </c>
      <c r="AP369">
        <v>32</v>
      </c>
      <c r="AQ369">
        <v>70</v>
      </c>
      <c r="AR369">
        <v>70</v>
      </c>
      <c r="AS369">
        <f t="shared" si="192"/>
        <v>0</v>
      </c>
      <c r="AT369">
        <f t="shared" si="204"/>
        <v>1</v>
      </c>
      <c r="AU369">
        <f t="shared" si="205"/>
        <v>0</v>
      </c>
      <c r="AV369">
        <f t="shared" si="206"/>
        <v>0</v>
      </c>
      <c r="AW369">
        <f t="shared" si="207"/>
        <v>0</v>
      </c>
      <c r="AX369">
        <f t="shared" si="208"/>
        <v>0</v>
      </c>
      <c r="AY369">
        <f t="shared" si="209"/>
        <v>0</v>
      </c>
      <c r="AZ369">
        <f t="shared" si="210"/>
        <v>0</v>
      </c>
      <c r="BA369">
        <f t="shared" si="211"/>
        <v>0</v>
      </c>
      <c r="BB369">
        <f t="shared" si="212"/>
        <v>0</v>
      </c>
      <c r="BC369">
        <f t="shared" si="213"/>
        <v>0</v>
      </c>
      <c r="BD369">
        <f t="shared" si="214"/>
        <v>0</v>
      </c>
      <c r="BE369">
        <f t="shared" si="215"/>
        <v>0</v>
      </c>
      <c r="BF369">
        <f t="shared" si="216"/>
        <v>0</v>
      </c>
      <c r="BG369">
        <f t="shared" si="217"/>
        <v>0</v>
      </c>
      <c r="BH369">
        <f t="shared" si="218"/>
        <v>0</v>
      </c>
      <c r="BI369">
        <f t="shared" si="219"/>
        <v>0</v>
      </c>
    </row>
    <row r="370" spans="1:61" x14ac:dyDescent="0.35">
      <c r="A370" t="s">
        <v>196</v>
      </c>
      <c r="B370" s="1">
        <v>41492</v>
      </c>
      <c r="C370" t="s">
        <v>807</v>
      </c>
      <c r="D370" t="s">
        <v>45</v>
      </c>
      <c r="E370" t="s">
        <v>787</v>
      </c>
      <c r="F370" t="s">
        <v>45</v>
      </c>
      <c r="G370" t="s">
        <v>47</v>
      </c>
      <c r="H370" s="139">
        <f t="shared" si="193"/>
        <v>0</v>
      </c>
      <c r="I370" t="s">
        <v>234</v>
      </c>
      <c r="J370" t="s">
        <v>190</v>
      </c>
      <c r="K370" s="2">
        <f t="shared" si="196"/>
        <v>2</v>
      </c>
      <c r="L370">
        <v>200000000</v>
      </c>
      <c r="M370" s="2">
        <f t="shared" si="197"/>
        <v>8.3010299956639813</v>
      </c>
      <c r="N370">
        <f>L370</f>
        <v>200000000</v>
      </c>
      <c r="O370">
        <v>0</v>
      </c>
      <c r="P370" s="1">
        <v>42383</v>
      </c>
      <c r="Q370" s="89">
        <f t="shared" si="198"/>
        <v>2016</v>
      </c>
      <c r="R370" t="s">
        <v>107</v>
      </c>
      <c r="S370">
        <v>539700000</v>
      </c>
      <c r="T370" s="21">
        <f t="shared" si="189"/>
        <v>2.441095890410959</v>
      </c>
      <c r="U370">
        <v>0</v>
      </c>
      <c r="V370">
        <f t="shared" si="199"/>
        <v>0</v>
      </c>
      <c r="W370">
        <v>2013</v>
      </c>
      <c r="X370">
        <v>0</v>
      </c>
      <c r="Y370">
        <f t="shared" si="200"/>
        <v>0</v>
      </c>
      <c r="Z370" s="45">
        <v>2.95</v>
      </c>
      <c r="AA370" s="9">
        <f t="shared" si="190"/>
        <v>339700000</v>
      </c>
      <c r="AB370" s="15">
        <f t="shared" si="191"/>
        <v>1.6985000000000001</v>
      </c>
      <c r="AC370" s="34">
        <f t="shared" si="201"/>
        <v>0.43112242240123261</v>
      </c>
      <c r="AD370">
        <v>1447.5557664926437</v>
      </c>
      <c r="AE370">
        <f t="shared" si="194"/>
        <v>3.1606353037386858</v>
      </c>
      <c r="AF370">
        <v>9478.5929515126791</v>
      </c>
      <c r="AG370">
        <f t="shared" si="195"/>
        <v>3.9767438733352263</v>
      </c>
      <c r="AH370" s="9">
        <v>0</v>
      </c>
      <c r="AI370" s="9">
        <f t="shared" si="202"/>
        <v>0</v>
      </c>
      <c r="AJ370">
        <v>90.5</v>
      </c>
      <c r="AK370" s="23" t="s">
        <v>222</v>
      </c>
      <c r="AL370" s="42">
        <v>39.010023979360902</v>
      </c>
      <c r="AM370" s="24">
        <v>0.13</v>
      </c>
      <c r="AN370" s="34">
        <f t="shared" si="203"/>
        <v>5.3078443483419682E-2</v>
      </c>
      <c r="AO370">
        <v>1980</v>
      </c>
      <c r="AP370">
        <v>33</v>
      </c>
      <c r="AQ370">
        <v>70</v>
      </c>
      <c r="AR370">
        <v>70</v>
      </c>
      <c r="AS370">
        <f t="shared" si="192"/>
        <v>0</v>
      </c>
      <c r="AT370">
        <f t="shared" si="204"/>
        <v>1</v>
      </c>
      <c r="AU370">
        <f t="shared" si="205"/>
        <v>0</v>
      </c>
      <c r="AV370">
        <f t="shared" si="206"/>
        <v>0</v>
      </c>
      <c r="AW370">
        <f t="shared" si="207"/>
        <v>0</v>
      </c>
      <c r="AX370">
        <f t="shared" si="208"/>
        <v>0</v>
      </c>
      <c r="AY370">
        <f t="shared" si="209"/>
        <v>0</v>
      </c>
      <c r="AZ370">
        <f t="shared" si="210"/>
        <v>0</v>
      </c>
      <c r="BA370">
        <f t="shared" si="211"/>
        <v>0</v>
      </c>
      <c r="BB370">
        <f t="shared" si="212"/>
        <v>0</v>
      </c>
      <c r="BC370">
        <f t="shared" si="213"/>
        <v>0</v>
      </c>
      <c r="BD370">
        <f t="shared" si="214"/>
        <v>0</v>
      </c>
      <c r="BE370">
        <f t="shared" si="215"/>
        <v>0</v>
      </c>
      <c r="BF370">
        <f t="shared" si="216"/>
        <v>0</v>
      </c>
      <c r="BG370">
        <f t="shared" si="217"/>
        <v>0</v>
      </c>
      <c r="BH370">
        <f t="shared" si="218"/>
        <v>0</v>
      </c>
      <c r="BI370">
        <f t="shared" si="219"/>
        <v>0</v>
      </c>
    </row>
    <row r="371" spans="1:61" x14ac:dyDescent="0.35">
      <c r="A371" t="s">
        <v>196</v>
      </c>
      <c r="B371" s="1">
        <v>41095</v>
      </c>
      <c r="C371" t="s">
        <v>808</v>
      </c>
      <c r="D371" t="s">
        <v>45</v>
      </c>
      <c r="E371" t="s">
        <v>809</v>
      </c>
      <c r="F371" t="s">
        <v>45</v>
      </c>
      <c r="G371" t="s">
        <v>47</v>
      </c>
      <c r="H371" s="139">
        <f t="shared" si="193"/>
        <v>0</v>
      </c>
      <c r="I371" t="s">
        <v>611</v>
      </c>
      <c r="J371" t="s">
        <v>178</v>
      </c>
      <c r="K371" s="2">
        <f t="shared" si="196"/>
        <v>9</v>
      </c>
      <c r="L371">
        <v>375550000</v>
      </c>
      <c r="M371" s="2">
        <f t="shared" si="197"/>
        <v>8.5746677663162263</v>
      </c>
      <c r="N371">
        <v>393930000</v>
      </c>
      <c r="O371">
        <v>18380000</v>
      </c>
      <c r="P371" s="1">
        <v>42493</v>
      </c>
      <c r="Q371" s="89">
        <f t="shared" si="198"/>
        <v>2016</v>
      </c>
      <c r="R371" t="s">
        <v>701</v>
      </c>
      <c r="S371">
        <v>1800000000</v>
      </c>
      <c r="T371" s="21">
        <f t="shared" si="189"/>
        <v>3.8301369863013699</v>
      </c>
      <c r="U371">
        <v>0</v>
      </c>
      <c r="V371">
        <f t="shared" si="199"/>
        <v>0</v>
      </c>
      <c r="W371">
        <v>1972</v>
      </c>
      <c r="X371">
        <v>40</v>
      </c>
      <c r="Y371">
        <f t="shared" si="200"/>
        <v>1.6127838567197355</v>
      </c>
      <c r="Z371" s="45">
        <v>2.95</v>
      </c>
      <c r="AA371" s="9">
        <f t="shared" si="190"/>
        <v>1406070000</v>
      </c>
      <c r="AB371" s="15">
        <f t="shared" si="191"/>
        <v>3.7929703102116896</v>
      </c>
      <c r="AC371" s="34">
        <f t="shared" si="201"/>
        <v>0.68060473878707939</v>
      </c>
      <c r="AD371">
        <v>1423.0371900826444</v>
      </c>
      <c r="AE371">
        <f t="shared" si="194"/>
        <v>3.1532162502154288</v>
      </c>
      <c r="AF371">
        <v>3292.8719008264461</v>
      </c>
      <c r="AG371">
        <f t="shared" si="195"/>
        <v>3.5175748361336181</v>
      </c>
      <c r="AH371" s="9">
        <v>0</v>
      </c>
      <c r="AI371" s="9">
        <f t="shared" si="202"/>
        <v>0</v>
      </c>
      <c r="AJ371">
        <v>91.1</v>
      </c>
      <c r="AK371" s="23" t="s">
        <v>144</v>
      </c>
      <c r="AL371" s="42">
        <v>40.229046020662899</v>
      </c>
      <c r="AM371" s="24">
        <v>0.51</v>
      </c>
      <c r="AN371" s="34">
        <f t="shared" si="203"/>
        <v>0.17897694729316943</v>
      </c>
      <c r="AO371">
        <v>1988</v>
      </c>
      <c r="AP371">
        <v>24</v>
      </c>
      <c r="AQ371">
        <v>70</v>
      </c>
      <c r="AR371">
        <v>70</v>
      </c>
      <c r="AS371">
        <f t="shared" si="192"/>
        <v>0</v>
      </c>
      <c r="AT371">
        <f t="shared" si="204"/>
        <v>1</v>
      </c>
      <c r="AU371">
        <f t="shared" si="205"/>
        <v>0</v>
      </c>
      <c r="AV371">
        <f t="shared" si="206"/>
        <v>0</v>
      </c>
      <c r="AW371">
        <f t="shared" si="207"/>
        <v>0</v>
      </c>
      <c r="AX371">
        <f t="shared" si="208"/>
        <v>0</v>
      </c>
      <c r="AY371">
        <f t="shared" si="209"/>
        <v>0</v>
      </c>
      <c r="AZ371">
        <f t="shared" si="210"/>
        <v>0</v>
      </c>
      <c r="BA371">
        <f t="shared" si="211"/>
        <v>0</v>
      </c>
      <c r="BB371">
        <f t="shared" si="212"/>
        <v>0</v>
      </c>
      <c r="BC371">
        <f t="shared" si="213"/>
        <v>0</v>
      </c>
      <c r="BD371">
        <f t="shared" si="214"/>
        <v>0</v>
      </c>
      <c r="BE371">
        <f t="shared" si="215"/>
        <v>0</v>
      </c>
      <c r="BF371">
        <f t="shared" si="216"/>
        <v>0</v>
      </c>
      <c r="BG371">
        <f t="shared" si="217"/>
        <v>0</v>
      </c>
      <c r="BH371">
        <f t="shared" si="218"/>
        <v>0</v>
      </c>
      <c r="BI371">
        <f t="shared" si="219"/>
        <v>0</v>
      </c>
    </row>
    <row r="372" spans="1:61" x14ac:dyDescent="0.35">
      <c r="A372" t="s">
        <v>196</v>
      </c>
      <c r="B372" s="1">
        <v>41520</v>
      </c>
      <c r="C372" t="s">
        <v>810</v>
      </c>
      <c r="D372" t="s">
        <v>45</v>
      </c>
      <c r="E372" t="s">
        <v>809</v>
      </c>
      <c r="F372" t="s">
        <v>45</v>
      </c>
      <c r="G372" t="s">
        <v>47</v>
      </c>
      <c r="H372" s="139">
        <f t="shared" si="193"/>
        <v>0</v>
      </c>
      <c r="I372" t="s">
        <v>234</v>
      </c>
      <c r="J372" t="s">
        <v>245</v>
      </c>
      <c r="K372" s="2">
        <f t="shared" si="196"/>
        <v>6</v>
      </c>
      <c r="L372">
        <v>412500000</v>
      </c>
      <c r="M372" s="2">
        <f t="shared" si="197"/>
        <v>8.6154239528859442</v>
      </c>
      <c r="N372">
        <f t="shared" ref="N372:N377" si="221">L372</f>
        <v>412500000</v>
      </c>
      <c r="O372">
        <v>0</v>
      </c>
      <c r="P372" s="1">
        <v>42674</v>
      </c>
      <c r="Q372" s="89">
        <f t="shared" si="198"/>
        <v>2016</v>
      </c>
      <c r="R372" t="s">
        <v>107</v>
      </c>
      <c r="S372">
        <v>780000000</v>
      </c>
      <c r="T372" s="21">
        <f t="shared" si="189"/>
        <v>3.1616438356164385</v>
      </c>
      <c r="U372">
        <v>0</v>
      </c>
      <c r="V372">
        <f t="shared" si="199"/>
        <v>0</v>
      </c>
      <c r="W372">
        <v>2008</v>
      </c>
      <c r="X372">
        <v>5</v>
      </c>
      <c r="Y372">
        <f t="shared" si="200"/>
        <v>0.77815125038364363</v>
      </c>
      <c r="Z372" s="45">
        <v>2.95</v>
      </c>
      <c r="AA372" s="9">
        <f t="shared" si="190"/>
        <v>367500000</v>
      </c>
      <c r="AB372" s="15">
        <f t="shared" si="191"/>
        <v>0.89090909090909087</v>
      </c>
      <c r="AC372" s="34">
        <f t="shared" si="201"/>
        <v>0.27667064980453648</v>
      </c>
      <c r="AD372">
        <v>1423.0371900826444</v>
      </c>
      <c r="AE372">
        <f t="shared" si="194"/>
        <v>3.1532162502154288</v>
      </c>
      <c r="AF372">
        <v>3292.8719008264461</v>
      </c>
      <c r="AG372">
        <f t="shared" si="195"/>
        <v>3.5175748361336181</v>
      </c>
      <c r="AH372" s="9">
        <v>0</v>
      </c>
      <c r="AI372" s="9">
        <f t="shared" si="202"/>
        <v>0</v>
      </c>
      <c r="AJ372">
        <v>90.5</v>
      </c>
      <c r="AK372" s="23" t="s">
        <v>222</v>
      </c>
      <c r="AL372" s="42">
        <v>39.010023979360902</v>
      </c>
      <c r="AM372" s="24">
        <v>0.3</v>
      </c>
      <c r="AN372" s="34">
        <f t="shared" si="203"/>
        <v>0.11394335230683679</v>
      </c>
      <c r="AO372">
        <v>1988</v>
      </c>
      <c r="AP372">
        <v>25</v>
      </c>
      <c r="AQ372">
        <v>70</v>
      </c>
      <c r="AR372">
        <v>70</v>
      </c>
      <c r="AS372">
        <f t="shared" si="192"/>
        <v>0</v>
      </c>
      <c r="AT372">
        <f t="shared" si="204"/>
        <v>1</v>
      </c>
      <c r="AU372">
        <f t="shared" si="205"/>
        <v>0</v>
      </c>
      <c r="AV372">
        <f t="shared" si="206"/>
        <v>0</v>
      </c>
      <c r="AW372">
        <f t="shared" si="207"/>
        <v>0</v>
      </c>
      <c r="AX372">
        <f t="shared" si="208"/>
        <v>0</v>
      </c>
      <c r="AY372">
        <f t="shared" si="209"/>
        <v>0</v>
      </c>
      <c r="AZ372">
        <f t="shared" si="210"/>
        <v>0</v>
      </c>
      <c r="BA372">
        <f t="shared" si="211"/>
        <v>0</v>
      </c>
      <c r="BB372">
        <f t="shared" si="212"/>
        <v>0</v>
      </c>
      <c r="BC372">
        <f t="shared" si="213"/>
        <v>0</v>
      </c>
      <c r="BD372">
        <f t="shared" si="214"/>
        <v>0</v>
      </c>
      <c r="BE372">
        <f t="shared" si="215"/>
        <v>0</v>
      </c>
      <c r="BF372">
        <f t="shared" si="216"/>
        <v>0</v>
      </c>
      <c r="BG372">
        <f t="shared" si="217"/>
        <v>0</v>
      </c>
      <c r="BH372">
        <f t="shared" si="218"/>
        <v>0</v>
      </c>
      <c r="BI372">
        <f t="shared" si="219"/>
        <v>0</v>
      </c>
    </row>
    <row r="373" spans="1:61" x14ac:dyDescent="0.35">
      <c r="A373" t="s">
        <v>196</v>
      </c>
      <c r="B373" s="1">
        <v>41816</v>
      </c>
      <c r="C373" t="s">
        <v>811</v>
      </c>
      <c r="D373" t="s">
        <v>59</v>
      </c>
      <c r="E373" t="s">
        <v>812</v>
      </c>
      <c r="F373" t="s">
        <v>59</v>
      </c>
      <c r="G373" t="s">
        <v>47</v>
      </c>
      <c r="H373" s="139">
        <f t="shared" si="193"/>
        <v>0</v>
      </c>
      <c r="I373" t="s">
        <v>234</v>
      </c>
      <c r="J373" t="s">
        <v>813</v>
      </c>
      <c r="K373" s="2" t="str">
        <f t="shared" si="196"/>
        <v/>
      </c>
      <c r="L373">
        <v>90000000</v>
      </c>
      <c r="M373" s="2">
        <f t="shared" si="197"/>
        <v>7.9542425094393252</v>
      </c>
      <c r="N373">
        <f t="shared" si="221"/>
        <v>90000000</v>
      </c>
      <c r="O373">
        <v>0</v>
      </c>
      <c r="P373" s="1">
        <v>43224</v>
      </c>
      <c r="Q373" s="89">
        <f t="shared" si="198"/>
        <v>2018</v>
      </c>
      <c r="R373" t="s">
        <v>338</v>
      </c>
      <c r="S373">
        <v>0</v>
      </c>
      <c r="T373" s="21">
        <f t="shared" si="189"/>
        <v>3.8575342465753426</v>
      </c>
      <c r="U373">
        <v>0</v>
      </c>
      <c r="V373">
        <f t="shared" si="199"/>
        <v>0</v>
      </c>
      <c r="W373">
        <v>1976</v>
      </c>
      <c r="X373">
        <v>38</v>
      </c>
      <c r="Y373">
        <f t="shared" si="200"/>
        <v>1.5910646070264991</v>
      </c>
      <c r="Z373" s="45">
        <v>3.29</v>
      </c>
      <c r="AA373" s="9">
        <f t="shared" si="190"/>
        <v>-90000000</v>
      </c>
      <c r="AB373" s="15">
        <f t="shared" si="191"/>
        <v>-1</v>
      </c>
      <c r="AC373" s="34">
        <f t="shared" si="201"/>
        <v>-1</v>
      </c>
      <c r="AD373">
        <v>1851.8518518518517</v>
      </c>
      <c r="AE373">
        <f t="shared" si="194"/>
        <v>3.2676062401770314</v>
      </c>
      <c r="AF373">
        <v>9216.4064891337621</v>
      </c>
      <c r="AG373">
        <f t="shared" si="195"/>
        <v>3.9645616210373218</v>
      </c>
      <c r="AH373" s="9">
        <v>0</v>
      </c>
      <c r="AI373" s="9">
        <f t="shared" si="202"/>
        <v>0</v>
      </c>
      <c r="AJ373">
        <v>92</v>
      </c>
      <c r="AK373" s="23" t="s">
        <v>780</v>
      </c>
      <c r="AL373" s="42">
        <v>43.012424801889097</v>
      </c>
      <c r="AM373" s="24">
        <v>0.36</v>
      </c>
      <c r="AN373" s="34">
        <f t="shared" si="203"/>
        <v>0.13353890837021748</v>
      </c>
      <c r="AO373">
        <v>1986</v>
      </c>
      <c r="AP373">
        <v>28</v>
      </c>
      <c r="AQ373">
        <v>70</v>
      </c>
      <c r="AR373">
        <v>70</v>
      </c>
      <c r="AS373">
        <f t="shared" si="192"/>
        <v>1</v>
      </c>
      <c r="AT373">
        <f t="shared" si="204"/>
        <v>0</v>
      </c>
      <c r="AU373">
        <f t="shared" si="205"/>
        <v>1</v>
      </c>
      <c r="AV373">
        <f t="shared" si="206"/>
        <v>0</v>
      </c>
      <c r="AW373">
        <f t="shared" si="207"/>
        <v>0</v>
      </c>
      <c r="AX373">
        <f t="shared" si="208"/>
        <v>0</v>
      </c>
      <c r="AY373">
        <f t="shared" si="209"/>
        <v>0</v>
      </c>
      <c r="AZ373">
        <f t="shared" si="210"/>
        <v>0</v>
      </c>
      <c r="BA373">
        <f t="shared" si="211"/>
        <v>0</v>
      </c>
      <c r="BB373">
        <f t="shared" si="212"/>
        <v>0</v>
      </c>
      <c r="BC373">
        <f t="shared" si="213"/>
        <v>0</v>
      </c>
      <c r="BD373">
        <f t="shared" si="214"/>
        <v>0</v>
      </c>
      <c r="BE373">
        <f t="shared" si="215"/>
        <v>0</v>
      </c>
      <c r="BF373">
        <f t="shared" si="216"/>
        <v>0</v>
      </c>
      <c r="BG373">
        <f t="shared" si="217"/>
        <v>0</v>
      </c>
      <c r="BH373">
        <f t="shared" si="218"/>
        <v>0</v>
      </c>
      <c r="BI373">
        <f t="shared" si="219"/>
        <v>0</v>
      </c>
    </row>
    <row r="374" spans="1:61" ht="13.5" customHeight="1" x14ac:dyDescent="0.35">
      <c r="A374" t="s">
        <v>196</v>
      </c>
      <c r="B374" s="1">
        <v>41786</v>
      </c>
      <c r="C374" t="s">
        <v>814</v>
      </c>
      <c r="D374" t="s">
        <v>5</v>
      </c>
      <c r="E374" t="s">
        <v>815</v>
      </c>
      <c r="F374" t="s">
        <v>5</v>
      </c>
      <c r="G374" t="s">
        <v>47</v>
      </c>
      <c r="H374" s="139">
        <f t="shared" si="193"/>
        <v>0</v>
      </c>
      <c r="I374" t="s">
        <v>234</v>
      </c>
      <c r="J374" t="s">
        <v>235</v>
      </c>
      <c r="K374" s="2">
        <f t="shared" si="196"/>
        <v>1</v>
      </c>
      <c r="L374">
        <v>170000000</v>
      </c>
      <c r="M374" s="2">
        <f t="shared" si="197"/>
        <v>8.2304489213782741</v>
      </c>
      <c r="N374">
        <f t="shared" si="221"/>
        <v>170000000</v>
      </c>
      <c r="O374">
        <v>0</v>
      </c>
      <c r="P374" s="1">
        <v>43265</v>
      </c>
      <c r="Q374" s="89">
        <f t="shared" si="198"/>
        <v>2018</v>
      </c>
      <c r="R374" t="s">
        <v>107</v>
      </c>
      <c r="S374">
        <v>402000000</v>
      </c>
      <c r="T374" s="21">
        <f t="shared" si="189"/>
        <v>4.0520547945205481</v>
      </c>
      <c r="U374">
        <v>0</v>
      </c>
      <c r="V374">
        <f t="shared" si="199"/>
        <v>0</v>
      </c>
      <c r="W374">
        <v>1929</v>
      </c>
      <c r="X374">
        <v>85</v>
      </c>
      <c r="Y374">
        <f t="shared" si="200"/>
        <v>1.9344984512435677</v>
      </c>
      <c r="Z374" s="45">
        <v>3.28</v>
      </c>
      <c r="AA374" s="9">
        <f t="shared" si="190"/>
        <v>232000000</v>
      </c>
      <c r="AB374" s="15">
        <f t="shared" si="191"/>
        <v>1.3647058823529412</v>
      </c>
      <c r="AC374" s="34">
        <f t="shared" si="201"/>
        <v>0.37377713170619614</v>
      </c>
      <c r="AD374">
        <v>2908.1632653061233</v>
      </c>
      <c r="AE374">
        <f t="shared" si="194"/>
        <v>3.4636187843160156</v>
      </c>
      <c r="AF374">
        <v>9311.2244897959172</v>
      </c>
      <c r="AG374">
        <f t="shared" si="195"/>
        <v>3.9690067974360175</v>
      </c>
      <c r="AH374" s="9">
        <v>0</v>
      </c>
      <c r="AI374" s="9">
        <f t="shared" si="202"/>
        <v>0</v>
      </c>
      <c r="AJ374">
        <v>89.7</v>
      </c>
      <c r="AK374" s="23" t="s">
        <v>284</v>
      </c>
      <c r="AL374" s="42">
        <v>45.741556971826803</v>
      </c>
      <c r="AM374" s="24">
        <v>0.46</v>
      </c>
      <c r="AN374" s="34">
        <f t="shared" si="203"/>
        <v>0.16435285578443709</v>
      </c>
      <c r="AO374">
        <v>1999</v>
      </c>
      <c r="AP374">
        <v>15</v>
      </c>
      <c r="AQ374">
        <v>70</v>
      </c>
      <c r="AR374">
        <v>90</v>
      </c>
      <c r="AS374">
        <f t="shared" si="192"/>
        <v>0</v>
      </c>
      <c r="AT374">
        <f t="shared" si="204"/>
        <v>0</v>
      </c>
      <c r="AU374">
        <f t="shared" si="205"/>
        <v>0</v>
      </c>
      <c r="AV374">
        <f t="shared" si="206"/>
        <v>0</v>
      </c>
      <c r="AW374">
        <f t="shared" si="207"/>
        <v>0</v>
      </c>
      <c r="AX374">
        <f t="shared" si="208"/>
        <v>0</v>
      </c>
      <c r="AY374">
        <f t="shared" si="209"/>
        <v>1</v>
      </c>
      <c r="AZ374">
        <f t="shared" si="210"/>
        <v>0</v>
      </c>
      <c r="BA374">
        <f t="shared" si="211"/>
        <v>0</v>
      </c>
      <c r="BB374">
        <f t="shared" si="212"/>
        <v>0</v>
      </c>
      <c r="BC374">
        <f t="shared" si="213"/>
        <v>0</v>
      </c>
      <c r="BD374">
        <f t="shared" si="214"/>
        <v>0</v>
      </c>
      <c r="BE374">
        <f t="shared" si="215"/>
        <v>0</v>
      </c>
      <c r="BF374">
        <f t="shared" si="216"/>
        <v>0</v>
      </c>
      <c r="BG374">
        <f t="shared" si="217"/>
        <v>0</v>
      </c>
      <c r="BH374">
        <f t="shared" si="218"/>
        <v>0</v>
      </c>
      <c r="BI374">
        <f t="shared" si="219"/>
        <v>0</v>
      </c>
    </row>
    <row r="375" spans="1:61" s="35" customFormat="1" ht="14.25" customHeight="1" x14ac:dyDescent="0.35">
      <c r="A375" s="35" t="s">
        <v>816</v>
      </c>
      <c r="B375" s="36">
        <v>39882</v>
      </c>
      <c r="C375" s="90" t="s">
        <v>817</v>
      </c>
      <c r="D375" s="35" t="s">
        <v>5</v>
      </c>
      <c r="E375" s="35" t="s">
        <v>818</v>
      </c>
      <c r="F375" s="35" t="s">
        <v>5</v>
      </c>
      <c r="G375" s="35" t="s">
        <v>47</v>
      </c>
      <c r="H375" s="139">
        <f t="shared" si="193"/>
        <v>0</v>
      </c>
      <c r="I375" s="35" t="s">
        <v>234</v>
      </c>
      <c r="J375" s="35" t="s">
        <v>183</v>
      </c>
      <c r="K375" s="2">
        <f t="shared" si="196"/>
        <v>3</v>
      </c>
      <c r="L375" s="35">
        <v>36000000</v>
      </c>
      <c r="M375" s="2">
        <f t="shared" si="197"/>
        <v>7.5563025007672868</v>
      </c>
      <c r="N375" s="35">
        <f t="shared" si="221"/>
        <v>36000000</v>
      </c>
      <c r="O375" s="35">
        <v>0</v>
      </c>
      <c r="P375" s="36">
        <v>42171</v>
      </c>
      <c r="Q375" s="89">
        <f t="shared" si="198"/>
        <v>2015</v>
      </c>
      <c r="R375" s="35" t="s">
        <v>107</v>
      </c>
      <c r="S375" s="35">
        <v>15000000</v>
      </c>
      <c r="T375" s="21">
        <f t="shared" si="189"/>
        <v>6.2712328767123289</v>
      </c>
      <c r="U375" s="35">
        <v>0</v>
      </c>
      <c r="V375" s="35">
        <f t="shared" si="199"/>
        <v>0</v>
      </c>
      <c r="W375" s="35">
        <v>2006</v>
      </c>
      <c r="X375" s="35">
        <v>3</v>
      </c>
      <c r="Y375" s="35">
        <f t="shared" si="200"/>
        <v>0.6020599913279624</v>
      </c>
      <c r="Z375" s="45">
        <v>3.28</v>
      </c>
      <c r="AA375" s="37">
        <f t="shared" si="190"/>
        <v>-21000000</v>
      </c>
      <c r="AB375" s="15">
        <f t="shared" si="191"/>
        <v>-0.58333333333333326</v>
      </c>
      <c r="AC375" s="34">
        <f t="shared" si="201"/>
        <v>-0.38021124171160592</v>
      </c>
      <c r="AD375" s="35">
        <v>1851.8518518518517</v>
      </c>
      <c r="AE375">
        <f t="shared" si="194"/>
        <v>3.2676062401770314</v>
      </c>
      <c r="AF375" s="35">
        <v>9216.4064891337621</v>
      </c>
      <c r="AG375">
        <f t="shared" si="195"/>
        <v>3.9645616210373218</v>
      </c>
      <c r="AH375" s="37">
        <v>0</v>
      </c>
      <c r="AI375" s="9">
        <f t="shared" si="202"/>
        <v>0</v>
      </c>
      <c r="AJ375" s="35">
        <v>86.5</v>
      </c>
      <c r="AK375" s="38" t="s">
        <v>126</v>
      </c>
      <c r="AL375" s="43">
        <v>47.583389080759602</v>
      </c>
      <c r="AM375" s="39">
        <v>1.91</v>
      </c>
      <c r="AN375" s="34">
        <f t="shared" si="203"/>
        <v>0.46389298898590731</v>
      </c>
      <c r="AO375" s="35">
        <v>1999</v>
      </c>
      <c r="AP375" s="35">
        <v>10</v>
      </c>
      <c r="AQ375" s="35">
        <v>70</v>
      </c>
      <c r="AR375" s="35">
        <v>90</v>
      </c>
      <c r="AS375">
        <f t="shared" si="192"/>
        <v>0</v>
      </c>
      <c r="AT375">
        <f t="shared" si="204"/>
        <v>0</v>
      </c>
      <c r="AU375">
        <f t="shared" si="205"/>
        <v>0</v>
      </c>
      <c r="AV375">
        <f t="shared" si="206"/>
        <v>0</v>
      </c>
      <c r="AW375">
        <f t="shared" si="207"/>
        <v>0</v>
      </c>
      <c r="AX375">
        <f t="shared" si="208"/>
        <v>0</v>
      </c>
      <c r="AY375">
        <f t="shared" si="209"/>
        <v>1</v>
      </c>
      <c r="AZ375">
        <f t="shared" si="210"/>
        <v>0</v>
      </c>
      <c r="BA375">
        <f t="shared" si="211"/>
        <v>0</v>
      </c>
      <c r="BB375">
        <f t="shared" si="212"/>
        <v>0</v>
      </c>
      <c r="BC375">
        <f t="shared" si="213"/>
        <v>0</v>
      </c>
      <c r="BD375">
        <f t="shared" si="214"/>
        <v>0</v>
      </c>
      <c r="BE375">
        <f t="shared" si="215"/>
        <v>0</v>
      </c>
      <c r="BF375">
        <f t="shared" si="216"/>
        <v>0</v>
      </c>
      <c r="BG375">
        <f t="shared" si="217"/>
        <v>0</v>
      </c>
      <c r="BH375">
        <f t="shared" si="218"/>
        <v>0</v>
      </c>
      <c r="BI375">
        <f t="shared" si="219"/>
        <v>0</v>
      </c>
    </row>
    <row r="376" spans="1:61" ht="16.5" customHeight="1" x14ac:dyDescent="0.35">
      <c r="A376" t="s">
        <v>196</v>
      </c>
      <c r="B376" s="1">
        <v>39329</v>
      </c>
      <c r="C376" s="8" t="s">
        <v>819</v>
      </c>
      <c r="D376" t="s">
        <v>2</v>
      </c>
      <c r="E376" t="s">
        <v>820</v>
      </c>
      <c r="F376" t="s">
        <v>2</v>
      </c>
      <c r="G376" t="s">
        <v>47</v>
      </c>
      <c r="H376" s="139">
        <f t="shared" si="193"/>
        <v>0</v>
      </c>
      <c r="I376" t="s">
        <v>234</v>
      </c>
      <c r="J376" t="s">
        <v>235</v>
      </c>
      <c r="K376" s="2">
        <f t="shared" si="196"/>
        <v>1</v>
      </c>
      <c r="L376">
        <v>1560000000</v>
      </c>
      <c r="M376" s="2">
        <f t="shared" si="197"/>
        <v>9.1931245983544621</v>
      </c>
      <c r="N376">
        <f t="shared" si="221"/>
        <v>1560000000</v>
      </c>
      <c r="O376">
        <v>0</v>
      </c>
      <c r="P376" s="1">
        <v>41583</v>
      </c>
      <c r="Q376" s="89">
        <f t="shared" si="198"/>
        <v>2013</v>
      </c>
      <c r="R376" t="s">
        <v>152</v>
      </c>
      <c r="S376">
        <v>650000000</v>
      </c>
      <c r="T376" s="21">
        <f t="shared" si="189"/>
        <v>6.1753424657534248</v>
      </c>
      <c r="U376">
        <v>0</v>
      </c>
      <c r="V376">
        <f t="shared" si="199"/>
        <v>0</v>
      </c>
      <c r="W376">
        <v>1998</v>
      </c>
      <c r="X376">
        <v>9</v>
      </c>
      <c r="Y376">
        <f t="shared" si="200"/>
        <v>1</v>
      </c>
      <c r="Z376" s="45">
        <v>3.5</v>
      </c>
      <c r="AA376" s="9">
        <f t="shared" si="190"/>
        <v>-910000000</v>
      </c>
      <c r="AB376" s="15">
        <f t="shared" si="191"/>
        <v>-0.58333333333333326</v>
      </c>
      <c r="AC376" s="34">
        <f t="shared" si="201"/>
        <v>-0.38021124171160592</v>
      </c>
      <c r="AD376">
        <v>9311.2244897959172</v>
      </c>
      <c r="AE376">
        <f t="shared" si="194"/>
        <v>3.9690067974360175</v>
      </c>
      <c r="AF376">
        <v>4594.3867743175706</v>
      </c>
      <c r="AG376">
        <f t="shared" si="195"/>
        <v>3.6622275530882837</v>
      </c>
      <c r="AH376" s="9">
        <v>0</v>
      </c>
      <c r="AI376" s="9">
        <f t="shared" si="202"/>
        <v>0</v>
      </c>
      <c r="AJ376">
        <v>88.9</v>
      </c>
      <c r="AK376" s="23" t="s">
        <v>126</v>
      </c>
      <c r="AL376" s="42">
        <v>42.817370475444001</v>
      </c>
      <c r="AM376" s="24">
        <v>0.18</v>
      </c>
      <c r="AN376" s="34">
        <f t="shared" si="203"/>
        <v>7.1882007306125359E-2</v>
      </c>
      <c r="AO376">
        <v>1998</v>
      </c>
      <c r="AP376">
        <v>9</v>
      </c>
      <c r="AQ376">
        <v>70</v>
      </c>
      <c r="AR376">
        <v>70</v>
      </c>
      <c r="AS376">
        <f t="shared" si="192"/>
        <v>0</v>
      </c>
      <c r="AT376">
        <f t="shared" si="204"/>
        <v>0</v>
      </c>
      <c r="AU376">
        <f t="shared" si="205"/>
        <v>0</v>
      </c>
      <c r="AV376">
        <f t="shared" si="206"/>
        <v>0</v>
      </c>
      <c r="AW376">
        <f t="shared" si="207"/>
        <v>0</v>
      </c>
      <c r="AX376">
        <f t="shared" si="208"/>
        <v>0</v>
      </c>
      <c r="AY376">
        <f t="shared" si="209"/>
        <v>0</v>
      </c>
      <c r="AZ376">
        <f t="shared" si="210"/>
        <v>0</v>
      </c>
      <c r="BA376">
        <f t="shared" si="211"/>
        <v>0</v>
      </c>
      <c r="BB376">
        <f t="shared" si="212"/>
        <v>1</v>
      </c>
      <c r="BC376">
        <f t="shared" si="213"/>
        <v>0</v>
      </c>
      <c r="BD376">
        <f t="shared" si="214"/>
        <v>0</v>
      </c>
      <c r="BE376">
        <f t="shared" si="215"/>
        <v>0</v>
      </c>
      <c r="BF376">
        <f t="shared" si="216"/>
        <v>0</v>
      </c>
      <c r="BG376">
        <f t="shared" si="217"/>
        <v>0</v>
      </c>
      <c r="BH376">
        <f t="shared" si="218"/>
        <v>0</v>
      </c>
      <c r="BI376">
        <f t="shared" si="219"/>
        <v>0</v>
      </c>
    </row>
    <row r="377" spans="1:61" x14ac:dyDescent="0.35">
      <c r="A377" t="s">
        <v>196</v>
      </c>
      <c r="B377" s="1">
        <v>39265</v>
      </c>
      <c r="C377" t="s">
        <v>821</v>
      </c>
      <c r="D377" t="s">
        <v>489</v>
      </c>
      <c r="E377" t="s">
        <v>820</v>
      </c>
      <c r="F377" t="s">
        <v>2</v>
      </c>
      <c r="G377" t="s">
        <v>64</v>
      </c>
      <c r="H377" s="139">
        <f t="shared" si="193"/>
        <v>1</v>
      </c>
      <c r="I377" t="s">
        <v>234</v>
      </c>
      <c r="J377" t="s">
        <v>235</v>
      </c>
      <c r="K377" s="2">
        <f t="shared" si="196"/>
        <v>1</v>
      </c>
      <c r="L377">
        <v>1146822805</v>
      </c>
      <c r="M377" s="2">
        <f t="shared" si="197"/>
        <v>9.0594963204683658</v>
      </c>
      <c r="N377">
        <f t="shared" si="221"/>
        <v>1146822805</v>
      </c>
      <c r="O377">
        <v>0</v>
      </c>
      <c r="P377" s="1">
        <v>42349</v>
      </c>
      <c r="Q377" s="89">
        <f t="shared" si="198"/>
        <v>2015</v>
      </c>
      <c r="R377" t="s">
        <v>152</v>
      </c>
      <c r="S377" s="8">
        <v>700000000</v>
      </c>
      <c r="T377" s="21">
        <f t="shared" si="189"/>
        <v>8.4493150684931511</v>
      </c>
      <c r="U377">
        <v>670.54</v>
      </c>
      <c r="V377">
        <f t="shared" si="199"/>
        <v>2.8270718863448598</v>
      </c>
      <c r="W377">
        <v>1957</v>
      </c>
      <c r="X377">
        <v>50</v>
      </c>
      <c r="Y377">
        <f t="shared" si="200"/>
        <v>1.7075701760979363</v>
      </c>
      <c r="Z377" s="45">
        <v>3.25</v>
      </c>
      <c r="AA377" s="9">
        <f t="shared" si="190"/>
        <v>-446822805</v>
      </c>
      <c r="AB377" s="15">
        <f t="shared" si="191"/>
        <v>-0.38961799769930461</v>
      </c>
      <c r="AC377" s="34">
        <f t="shared" si="201"/>
        <v>-0.21439828045410877</v>
      </c>
      <c r="AD377">
        <v>9311.2244897959172</v>
      </c>
      <c r="AE377">
        <f t="shared" si="194"/>
        <v>3.9690067974360175</v>
      </c>
      <c r="AF377">
        <v>4594.3867743175706</v>
      </c>
      <c r="AG377">
        <f t="shared" si="195"/>
        <v>3.6622275530882837</v>
      </c>
      <c r="AH377" s="9">
        <v>520.5</v>
      </c>
      <c r="AI377" s="9">
        <f t="shared" si="202"/>
        <v>2.7172543127625497</v>
      </c>
      <c r="AJ377">
        <v>84.1</v>
      </c>
      <c r="AK377" s="23" t="s">
        <v>822</v>
      </c>
      <c r="AL377" s="42">
        <v>49.329709120205997</v>
      </c>
      <c r="AM377" s="24">
        <v>0.32</v>
      </c>
      <c r="AN377" s="34">
        <f t="shared" si="203"/>
        <v>0.12057393120584989</v>
      </c>
      <c r="AO377">
        <v>1998</v>
      </c>
      <c r="AP377">
        <v>9</v>
      </c>
      <c r="AQ377">
        <v>70</v>
      </c>
      <c r="AR377">
        <v>70</v>
      </c>
      <c r="AS377">
        <f t="shared" si="192"/>
        <v>0</v>
      </c>
      <c r="AT377">
        <f t="shared" si="204"/>
        <v>0</v>
      </c>
      <c r="AU377">
        <f t="shared" si="205"/>
        <v>0</v>
      </c>
      <c r="AV377">
        <f t="shared" si="206"/>
        <v>0</v>
      </c>
      <c r="AW377">
        <f t="shared" si="207"/>
        <v>0</v>
      </c>
      <c r="AX377">
        <f t="shared" si="208"/>
        <v>0</v>
      </c>
      <c r="AY377">
        <f t="shared" si="209"/>
        <v>0</v>
      </c>
      <c r="AZ377">
        <f t="shared" si="210"/>
        <v>0</v>
      </c>
      <c r="BA377">
        <f t="shared" si="211"/>
        <v>0</v>
      </c>
      <c r="BB377">
        <f t="shared" si="212"/>
        <v>0</v>
      </c>
      <c r="BC377">
        <f t="shared" si="213"/>
        <v>0</v>
      </c>
      <c r="BD377">
        <f t="shared" si="214"/>
        <v>0</v>
      </c>
      <c r="BE377">
        <f t="shared" si="215"/>
        <v>0</v>
      </c>
      <c r="BF377">
        <f t="shared" si="216"/>
        <v>0</v>
      </c>
      <c r="BG377">
        <f t="shared" si="217"/>
        <v>1</v>
      </c>
      <c r="BH377">
        <f t="shared" si="218"/>
        <v>0</v>
      </c>
      <c r="BI377">
        <f t="shared" si="219"/>
        <v>0</v>
      </c>
    </row>
    <row r="378" spans="1:61" x14ac:dyDescent="0.35">
      <c r="A378" t="s">
        <v>196</v>
      </c>
      <c r="B378" s="1">
        <v>42487</v>
      </c>
      <c r="C378" t="s">
        <v>823</v>
      </c>
      <c r="D378" t="s">
        <v>45</v>
      </c>
      <c r="E378" t="s">
        <v>824</v>
      </c>
      <c r="F378" t="s">
        <v>489</v>
      </c>
      <c r="G378" t="s">
        <v>64</v>
      </c>
      <c r="H378" s="139">
        <f t="shared" si="193"/>
        <v>1</v>
      </c>
      <c r="I378" t="s">
        <v>234</v>
      </c>
      <c r="J378" t="s">
        <v>183</v>
      </c>
      <c r="K378" s="2">
        <f t="shared" si="196"/>
        <v>3</v>
      </c>
      <c r="L378">
        <v>100000000</v>
      </c>
      <c r="M378" s="2">
        <f t="shared" si="197"/>
        <v>8</v>
      </c>
      <c r="N378">
        <v>100000000</v>
      </c>
      <c r="O378">
        <v>0</v>
      </c>
      <c r="P378" s="1">
        <v>43188</v>
      </c>
      <c r="Q378" s="89">
        <f t="shared" si="198"/>
        <v>2018</v>
      </c>
      <c r="R378" t="s">
        <v>825</v>
      </c>
      <c r="S378" s="8">
        <v>217000000</v>
      </c>
      <c r="T378" s="21">
        <f t="shared" si="189"/>
        <v>1.9205479452054794</v>
      </c>
      <c r="U378">
        <v>6651.37</v>
      </c>
      <c r="V378">
        <f t="shared" si="199"/>
        <v>3.8229763963637051</v>
      </c>
      <c r="W378">
        <v>2010</v>
      </c>
      <c r="X378">
        <v>6</v>
      </c>
      <c r="Y378">
        <f t="shared" si="200"/>
        <v>0.84509804001425681</v>
      </c>
      <c r="Z378" s="45">
        <v>3.03</v>
      </c>
      <c r="AA378" s="9">
        <f t="shared" si="190"/>
        <v>117000000</v>
      </c>
      <c r="AB378" s="15">
        <f t="shared" si="191"/>
        <v>1.17</v>
      </c>
      <c r="AC378" s="34">
        <f t="shared" si="201"/>
        <v>0.33645973384852951</v>
      </c>
      <c r="AD378">
        <v>1423.0371900826444</v>
      </c>
      <c r="AE378">
        <f t="shared" si="194"/>
        <v>3.1532162502154288</v>
      </c>
      <c r="AF378">
        <v>3292.8719008264461</v>
      </c>
      <c r="AG378">
        <f t="shared" si="195"/>
        <v>3.5175748361336181</v>
      </c>
      <c r="AH378" s="9">
        <v>513.5</v>
      </c>
      <c r="AI378" s="9">
        <f t="shared" si="202"/>
        <v>2.7113853790984517</v>
      </c>
      <c r="AJ378">
        <v>84.7</v>
      </c>
      <c r="AK378" s="23" t="s">
        <v>100</v>
      </c>
      <c r="AL378" s="42">
        <v>38.207924771594499</v>
      </c>
      <c r="AM378" s="24">
        <v>0.26</v>
      </c>
      <c r="AN378" s="34">
        <f t="shared" si="203"/>
        <v>0.10037054511756291</v>
      </c>
      <c r="AO378">
        <v>1996</v>
      </c>
      <c r="AP378">
        <v>20</v>
      </c>
      <c r="AQ378">
        <v>70</v>
      </c>
      <c r="AR378">
        <v>70</v>
      </c>
      <c r="AS378">
        <f t="shared" si="192"/>
        <v>0</v>
      </c>
      <c r="AT378">
        <f t="shared" si="204"/>
        <v>1</v>
      </c>
      <c r="AU378">
        <f t="shared" si="205"/>
        <v>0</v>
      </c>
      <c r="AV378">
        <f t="shared" si="206"/>
        <v>0</v>
      </c>
      <c r="AW378">
        <f t="shared" si="207"/>
        <v>0</v>
      </c>
      <c r="AX378">
        <f t="shared" si="208"/>
        <v>0</v>
      </c>
      <c r="AY378">
        <f t="shared" si="209"/>
        <v>0</v>
      </c>
      <c r="AZ378">
        <f t="shared" si="210"/>
        <v>0</v>
      </c>
      <c r="BA378">
        <f t="shared" si="211"/>
        <v>0</v>
      </c>
      <c r="BB378">
        <f t="shared" si="212"/>
        <v>0</v>
      </c>
      <c r="BC378">
        <f t="shared" si="213"/>
        <v>0</v>
      </c>
      <c r="BD378">
        <f t="shared" si="214"/>
        <v>0</v>
      </c>
      <c r="BE378">
        <f t="shared" si="215"/>
        <v>0</v>
      </c>
      <c r="BF378">
        <f t="shared" si="216"/>
        <v>0</v>
      </c>
      <c r="BG378">
        <f t="shared" si="217"/>
        <v>0</v>
      </c>
      <c r="BH378">
        <f t="shared" si="218"/>
        <v>0</v>
      </c>
      <c r="BI378">
        <f t="shared" si="219"/>
        <v>0</v>
      </c>
    </row>
    <row r="379" spans="1:61" x14ac:dyDescent="0.35">
      <c r="A379" t="s">
        <v>196</v>
      </c>
      <c r="B379" s="1">
        <v>41988</v>
      </c>
      <c r="C379" t="s">
        <v>826</v>
      </c>
      <c r="D379" t="s">
        <v>45</v>
      </c>
      <c r="E379" t="s">
        <v>827</v>
      </c>
      <c r="F379" t="s">
        <v>489</v>
      </c>
      <c r="G379" t="s">
        <v>64</v>
      </c>
      <c r="H379" s="139">
        <f t="shared" si="193"/>
        <v>1</v>
      </c>
      <c r="I379" t="s">
        <v>234</v>
      </c>
      <c r="J379" t="s">
        <v>248</v>
      </c>
      <c r="K379" s="2">
        <f t="shared" si="196"/>
        <v>5</v>
      </c>
      <c r="L379">
        <v>1500000000</v>
      </c>
      <c r="M379" s="2">
        <f t="shared" si="197"/>
        <v>9.1760912590556813</v>
      </c>
      <c r="N379">
        <f t="shared" ref="N379:N397" si="222">L379</f>
        <v>1500000000</v>
      </c>
      <c r="O379">
        <v>0</v>
      </c>
      <c r="P379" s="1">
        <v>43270</v>
      </c>
      <c r="Q379" s="89">
        <f t="shared" si="198"/>
        <v>2018</v>
      </c>
      <c r="R379" t="s">
        <v>152</v>
      </c>
      <c r="S379">
        <v>2159640000</v>
      </c>
      <c r="T379" s="21">
        <f t="shared" si="189"/>
        <v>3.5123287671232877</v>
      </c>
      <c r="U379">
        <v>6651.37</v>
      </c>
      <c r="V379">
        <f t="shared" si="199"/>
        <v>3.8229763963637051</v>
      </c>
      <c r="W379">
        <v>1974</v>
      </c>
      <c r="X379">
        <v>40</v>
      </c>
      <c r="Y379">
        <f t="shared" si="200"/>
        <v>1.6127838567197355</v>
      </c>
      <c r="Z379" s="45">
        <v>3.03</v>
      </c>
      <c r="AA379" s="9">
        <f t="shared" si="190"/>
        <v>659640000</v>
      </c>
      <c r="AB379" s="15">
        <f t="shared" si="191"/>
        <v>0.43975999999999993</v>
      </c>
      <c r="AC379" s="34">
        <f t="shared" si="201"/>
        <v>0.15829010364906099</v>
      </c>
      <c r="AD379">
        <v>1423.0371900826444</v>
      </c>
      <c r="AE379">
        <f t="shared" si="194"/>
        <v>3.1532162502154288</v>
      </c>
      <c r="AF379">
        <v>3292.8719008264461</v>
      </c>
      <c r="AG379">
        <f t="shared" si="195"/>
        <v>3.5175748361336181</v>
      </c>
      <c r="AH379" s="9">
        <v>513.5</v>
      </c>
      <c r="AI379" s="9">
        <f t="shared" si="202"/>
        <v>2.7113853790984517</v>
      </c>
      <c r="AJ379">
        <v>89.2</v>
      </c>
      <c r="AK379" s="23" t="s">
        <v>313</v>
      </c>
      <c r="AL379" s="42">
        <v>38.344872802923099</v>
      </c>
      <c r="AM379" s="24">
        <v>0.39</v>
      </c>
      <c r="AN379" s="34">
        <f t="shared" si="203"/>
        <v>0.14301480025409513</v>
      </c>
      <c r="AO379">
        <v>1996</v>
      </c>
      <c r="AP379">
        <v>18</v>
      </c>
      <c r="AQ379">
        <v>70</v>
      </c>
      <c r="AR379">
        <v>70</v>
      </c>
      <c r="AS379">
        <f t="shared" si="192"/>
        <v>0</v>
      </c>
      <c r="AT379">
        <f t="shared" si="204"/>
        <v>1</v>
      </c>
      <c r="AU379">
        <f t="shared" si="205"/>
        <v>0</v>
      </c>
      <c r="AV379">
        <f t="shared" si="206"/>
        <v>0</v>
      </c>
      <c r="AW379">
        <f t="shared" si="207"/>
        <v>0</v>
      </c>
      <c r="AX379">
        <f t="shared" si="208"/>
        <v>0</v>
      </c>
      <c r="AY379">
        <f t="shared" si="209"/>
        <v>0</v>
      </c>
      <c r="AZ379">
        <f t="shared" si="210"/>
        <v>0</v>
      </c>
      <c r="BA379">
        <f t="shared" si="211"/>
        <v>0</v>
      </c>
      <c r="BB379">
        <f t="shared" si="212"/>
        <v>0</v>
      </c>
      <c r="BC379">
        <f t="shared" si="213"/>
        <v>0</v>
      </c>
      <c r="BD379">
        <f t="shared" si="214"/>
        <v>0</v>
      </c>
      <c r="BE379">
        <f t="shared" si="215"/>
        <v>0</v>
      </c>
      <c r="BF379">
        <f t="shared" si="216"/>
        <v>0</v>
      </c>
      <c r="BG379">
        <f t="shared" si="217"/>
        <v>0</v>
      </c>
      <c r="BH379">
        <f t="shared" si="218"/>
        <v>0</v>
      </c>
      <c r="BI379">
        <f t="shared" si="219"/>
        <v>0</v>
      </c>
    </row>
    <row r="380" spans="1:61" x14ac:dyDescent="0.35">
      <c r="A380" t="s">
        <v>196</v>
      </c>
      <c r="B380" s="1">
        <v>41729</v>
      </c>
      <c r="C380" t="s">
        <v>194</v>
      </c>
      <c r="D380" t="s">
        <v>45</v>
      </c>
      <c r="E380" t="s">
        <v>827</v>
      </c>
      <c r="F380" t="s">
        <v>489</v>
      </c>
      <c r="G380" t="s">
        <v>64</v>
      </c>
      <c r="H380" s="139">
        <f t="shared" si="193"/>
        <v>1</v>
      </c>
      <c r="I380" t="s">
        <v>234</v>
      </c>
      <c r="J380" t="s">
        <v>190</v>
      </c>
      <c r="K380" s="2">
        <f t="shared" si="196"/>
        <v>2</v>
      </c>
      <c r="L380">
        <v>3191180520</v>
      </c>
      <c r="M380" s="2">
        <f t="shared" si="197"/>
        <v>9.5039513722356226</v>
      </c>
      <c r="N380">
        <f t="shared" si="222"/>
        <v>3191180520</v>
      </c>
      <c r="O380">
        <v>0</v>
      </c>
      <c r="P380" s="1">
        <v>42495</v>
      </c>
      <c r="Q380" s="89">
        <f t="shared" si="198"/>
        <v>2016</v>
      </c>
      <c r="R380" t="s">
        <v>152</v>
      </c>
      <c r="S380">
        <v>6807047784</v>
      </c>
      <c r="T380" s="21">
        <f t="shared" si="189"/>
        <v>2.0986301369863014</v>
      </c>
      <c r="U380">
        <v>6651.37</v>
      </c>
      <c r="V380">
        <f t="shared" si="199"/>
        <v>3.8229763963637051</v>
      </c>
      <c r="W380">
        <v>1980</v>
      </c>
      <c r="X380">
        <v>34</v>
      </c>
      <c r="Y380">
        <f t="shared" si="200"/>
        <v>1.5440680443502757</v>
      </c>
      <c r="Z380" s="45">
        <v>3.03</v>
      </c>
      <c r="AA380" s="9">
        <f t="shared" si="190"/>
        <v>3615867264</v>
      </c>
      <c r="AB380" s="15">
        <f t="shared" si="191"/>
        <v>1.1330813914594842</v>
      </c>
      <c r="AC380" s="34">
        <f t="shared" si="201"/>
        <v>0.32900742703280411</v>
      </c>
      <c r="AD380">
        <v>1423.0371900826444</v>
      </c>
      <c r="AE380">
        <f t="shared" si="194"/>
        <v>3.1532162502154288</v>
      </c>
      <c r="AF380">
        <v>3292.8719008264461</v>
      </c>
      <c r="AG380">
        <f t="shared" si="195"/>
        <v>3.5175748361336181</v>
      </c>
      <c r="AH380" s="9">
        <v>513.5</v>
      </c>
      <c r="AI380" s="9">
        <f t="shared" si="202"/>
        <v>2.7113853790984517</v>
      </c>
      <c r="AJ380">
        <v>89.2</v>
      </c>
      <c r="AK380" s="23" t="s">
        <v>313</v>
      </c>
      <c r="AL380" s="42">
        <v>38.344872802923099</v>
      </c>
      <c r="AM380" s="24">
        <v>0.1</v>
      </c>
      <c r="AN380" s="34">
        <f t="shared" si="203"/>
        <v>4.1392685158225077E-2</v>
      </c>
      <c r="AO380">
        <v>1996</v>
      </c>
      <c r="AP380">
        <v>18</v>
      </c>
      <c r="AQ380">
        <v>70</v>
      </c>
      <c r="AR380">
        <v>70</v>
      </c>
      <c r="AS380">
        <f t="shared" si="192"/>
        <v>0</v>
      </c>
      <c r="AT380">
        <f t="shared" si="204"/>
        <v>1</v>
      </c>
      <c r="AU380">
        <f t="shared" si="205"/>
        <v>0</v>
      </c>
      <c r="AV380">
        <f t="shared" si="206"/>
        <v>0</v>
      </c>
      <c r="AW380">
        <f t="shared" si="207"/>
        <v>0</v>
      </c>
      <c r="AX380">
        <f t="shared" si="208"/>
        <v>0</v>
      </c>
      <c r="AY380">
        <f t="shared" si="209"/>
        <v>0</v>
      </c>
      <c r="AZ380">
        <f t="shared" si="210"/>
        <v>0</v>
      </c>
      <c r="BA380">
        <f t="shared" si="211"/>
        <v>0</v>
      </c>
      <c r="BB380">
        <f t="shared" si="212"/>
        <v>0</v>
      </c>
      <c r="BC380">
        <f t="shared" si="213"/>
        <v>0</v>
      </c>
      <c r="BD380">
        <f t="shared" si="214"/>
        <v>0</v>
      </c>
      <c r="BE380">
        <f t="shared" si="215"/>
        <v>0</v>
      </c>
      <c r="BF380">
        <f t="shared" si="216"/>
        <v>0</v>
      </c>
      <c r="BG380">
        <f t="shared" si="217"/>
        <v>0</v>
      </c>
      <c r="BH380">
        <f t="shared" si="218"/>
        <v>0</v>
      </c>
      <c r="BI380">
        <f t="shared" si="219"/>
        <v>0</v>
      </c>
    </row>
    <row r="381" spans="1:61" ht="15.75" customHeight="1" x14ac:dyDescent="0.35">
      <c r="A381" t="s">
        <v>196</v>
      </c>
      <c r="B381" s="1">
        <v>41681</v>
      </c>
      <c r="C381" t="s">
        <v>828</v>
      </c>
      <c r="D381" t="s">
        <v>489</v>
      </c>
      <c r="E381" t="s">
        <v>827</v>
      </c>
      <c r="F381" t="s">
        <v>489</v>
      </c>
      <c r="G381" t="s">
        <v>47</v>
      </c>
      <c r="H381" s="139">
        <f t="shared" si="193"/>
        <v>0</v>
      </c>
      <c r="I381" t="s">
        <v>234</v>
      </c>
      <c r="J381" t="s">
        <v>235</v>
      </c>
      <c r="K381" s="2">
        <f t="shared" si="196"/>
        <v>1</v>
      </c>
      <c r="L381">
        <v>654633497</v>
      </c>
      <c r="M381" s="2">
        <f t="shared" si="197"/>
        <v>8.8159982239937715</v>
      </c>
      <c r="N381">
        <f t="shared" si="222"/>
        <v>654633497</v>
      </c>
      <c r="O381">
        <v>0</v>
      </c>
      <c r="P381" s="1">
        <v>43006</v>
      </c>
      <c r="Q381" s="89">
        <f t="shared" si="198"/>
        <v>2017</v>
      </c>
      <c r="R381" t="s">
        <v>322</v>
      </c>
      <c r="S381">
        <v>1659618537</v>
      </c>
      <c r="T381" s="21">
        <f t="shared" si="189"/>
        <v>3.6301369863013697</v>
      </c>
      <c r="U381">
        <v>0</v>
      </c>
      <c r="V381">
        <f t="shared" si="199"/>
        <v>0</v>
      </c>
      <c r="W381">
        <v>1965</v>
      </c>
      <c r="X381">
        <v>49</v>
      </c>
      <c r="Y381">
        <f t="shared" si="200"/>
        <v>1.6989700043360187</v>
      </c>
      <c r="Z381" s="14">
        <v>0</v>
      </c>
      <c r="AA381" s="9">
        <f t="shared" si="190"/>
        <v>1004985040</v>
      </c>
      <c r="AB381" s="15">
        <f t="shared" si="191"/>
        <v>1.5351873141315897</v>
      </c>
      <c r="AC381" s="34">
        <f t="shared" si="201"/>
        <v>0.40401005301388143</v>
      </c>
      <c r="AD381">
        <v>1423.0371900826444</v>
      </c>
      <c r="AE381">
        <f t="shared" si="194"/>
        <v>3.1532162502154288</v>
      </c>
      <c r="AF381">
        <v>3292.8719008264461</v>
      </c>
      <c r="AG381">
        <f t="shared" si="195"/>
        <v>3.5175748361336181</v>
      </c>
      <c r="AH381" s="9">
        <v>0</v>
      </c>
      <c r="AI381" s="9">
        <f t="shared" si="202"/>
        <v>0</v>
      </c>
      <c r="AJ381">
        <v>75.400000000000006</v>
      </c>
      <c r="AK381" s="23" t="s">
        <v>829</v>
      </c>
      <c r="AL381" s="42">
        <v>49.329709120205997</v>
      </c>
      <c r="AM381" s="24">
        <v>0.38</v>
      </c>
      <c r="AN381" s="34">
        <f t="shared" si="203"/>
        <v>0.13987908640123647</v>
      </c>
      <c r="AO381">
        <v>1996</v>
      </c>
      <c r="AP381">
        <v>18</v>
      </c>
      <c r="AQ381">
        <v>70</v>
      </c>
      <c r="AR381">
        <v>70</v>
      </c>
      <c r="AS381">
        <f t="shared" si="192"/>
        <v>0</v>
      </c>
      <c r="AT381">
        <f t="shared" si="204"/>
        <v>0</v>
      </c>
      <c r="AU381">
        <f t="shared" si="205"/>
        <v>0</v>
      </c>
      <c r="AV381">
        <f t="shared" si="206"/>
        <v>0</v>
      </c>
      <c r="AW381">
        <f t="shared" si="207"/>
        <v>0</v>
      </c>
      <c r="AX381">
        <f t="shared" si="208"/>
        <v>0</v>
      </c>
      <c r="AY381">
        <f t="shared" si="209"/>
        <v>0</v>
      </c>
      <c r="AZ381">
        <f t="shared" si="210"/>
        <v>0</v>
      </c>
      <c r="BA381">
        <f t="shared" si="211"/>
        <v>0</v>
      </c>
      <c r="BB381">
        <f t="shared" si="212"/>
        <v>0</v>
      </c>
      <c r="BC381">
        <f t="shared" si="213"/>
        <v>0</v>
      </c>
      <c r="BD381">
        <f t="shared" si="214"/>
        <v>0</v>
      </c>
      <c r="BE381">
        <f t="shared" si="215"/>
        <v>0</v>
      </c>
      <c r="BF381">
        <f t="shared" si="216"/>
        <v>0</v>
      </c>
      <c r="BG381">
        <f t="shared" si="217"/>
        <v>1</v>
      </c>
      <c r="BH381">
        <f t="shared" si="218"/>
        <v>0</v>
      </c>
      <c r="BI381">
        <f t="shared" si="219"/>
        <v>0</v>
      </c>
    </row>
    <row r="382" spans="1:61" x14ac:dyDescent="0.35">
      <c r="A382" t="s">
        <v>196</v>
      </c>
      <c r="B382" s="1">
        <v>40639</v>
      </c>
      <c r="C382" t="s">
        <v>830</v>
      </c>
      <c r="D382" t="s">
        <v>59</v>
      </c>
      <c r="E382" t="s">
        <v>831</v>
      </c>
      <c r="F382" t="s">
        <v>489</v>
      </c>
      <c r="G382" t="s">
        <v>64</v>
      </c>
      <c r="H382" s="139">
        <f t="shared" si="193"/>
        <v>1</v>
      </c>
      <c r="I382" t="s">
        <v>234</v>
      </c>
      <c r="J382" t="s">
        <v>245</v>
      </c>
      <c r="K382" s="2">
        <f t="shared" si="196"/>
        <v>6</v>
      </c>
      <c r="L382">
        <v>90000000</v>
      </c>
      <c r="M382" s="2">
        <f t="shared" si="197"/>
        <v>7.9542425094393252</v>
      </c>
      <c r="N382">
        <f t="shared" si="222"/>
        <v>90000000</v>
      </c>
      <c r="O382">
        <v>0</v>
      </c>
      <c r="P382" s="1">
        <v>41409</v>
      </c>
      <c r="Q382" s="89">
        <f t="shared" si="198"/>
        <v>2013</v>
      </c>
      <c r="R382" t="s">
        <v>107</v>
      </c>
      <c r="S382">
        <v>800000000</v>
      </c>
      <c r="T382" s="21">
        <f t="shared" si="189"/>
        <v>2.1095890410958904</v>
      </c>
      <c r="U382">
        <v>776.05</v>
      </c>
      <c r="V382">
        <f t="shared" si="199"/>
        <v>2.8904489647796185</v>
      </c>
      <c r="W382">
        <v>1998</v>
      </c>
      <c r="X382">
        <v>13</v>
      </c>
      <c r="Y382">
        <f t="shared" si="200"/>
        <v>1.146128035678238</v>
      </c>
      <c r="Z382" s="45">
        <v>3.18</v>
      </c>
      <c r="AA382" s="9">
        <f t="shared" si="190"/>
        <v>710000000</v>
      </c>
      <c r="AB382" s="15">
        <f t="shared" si="191"/>
        <v>7.8888888888888893</v>
      </c>
      <c r="AC382" s="34">
        <f t="shared" si="201"/>
        <v>0.94884747755261878</v>
      </c>
      <c r="AD382">
        <v>1423.0371900826444</v>
      </c>
      <c r="AE382">
        <f t="shared" si="194"/>
        <v>3.1532162502154288</v>
      </c>
      <c r="AF382">
        <v>3292.8719008264461</v>
      </c>
      <c r="AG382">
        <f t="shared" si="195"/>
        <v>3.5175748361336181</v>
      </c>
      <c r="AH382" s="9">
        <v>254.166666666667</v>
      </c>
      <c r="AI382" s="9">
        <f t="shared" si="202"/>
        <v>2.4068239403146179</v>
      </c>
      <c r="AJ382">
        <v>94.6</v>
      </c>
      <c r="AK382" s="23" t="s">
        <v>516</v>
      </c>
      <c r="AL382" s="42">
        <v>45.921427555082097</v>
      </c>
      <c r="AM382" s="24">
        <v>0.24</v>
      </c>
      <c r="AN382" s="34">
        <f t="shared" si="203"/>
        <v>9.3421685162235063E-2</v>
      </c>
      <c r="AO382">
        <v>1996</v>
      </c>
      <c r="AP382">
        <v>15</v>
      </c>
      <c r="AQ382">
        <v>70</v>
      </c>
      <c r="AR382">
        <v>70</v>
      </c>
      <c r="AS382">
        <f t="shared" si="192"/>
        <v>0</v>
      </c>
      <c r="AT382">
        <f t="shared" si="204"/>
        <v>0</v>
      </c>
      <c r="AU382">
        <f t="shared" si="205"/>
        <v>1</v>
      </c>
      <c r="AV382">
        <f t="shared" si="206"/>
        <v>0</v>
      </c>
      <c r="AW382">
        <f t="shared" si="207"/>
        <v>0</v>
      </c>
      <c r="AX382">
        <f t="shared" si="208"/>
        <v>0</v>
      </c>
      <c r="AY382">
        <f t="shared" si="209"/>
        <v>0</v>
      </c>
      <c r="AZ382">
        <f t="shared" si="210"/>
        <v>0</v>
      </c>
      <c r="BA382">
        <f t="shared" si="211"/>
        <v>0</v>
      </c>
      <c r="BB382">
        <f t="shared" si="212"/>
        <v>0</v>
      </c>
      <c r="BC382">
        <f t="shared" si="213"/>
        <v>0</v>
      </c>
      <c r="BD382">
        <f t="shared" si="214"/>
        <v>0</v>
      </c>
      <c r="BE382">
        <f t="shared" si="215"/>
        <v>0</v>
      </c>
      <c r="BF382">
        <f t="shared" si="216"/>
        <v>0</v>
      </c>
      <c r="BG382">
        <f t="shared" si="217"/>
        <v>0</v>
      </c>
      <c r="BH382">
        <f t="shared" si="218"/>
        <v>0</v>
      </c>
      <c r="BI382">
        <f t="shared" si="219"/>
        <v>0</v>
      </c>
    </row>
    <row r="383" spans="1:61" x14ac:dyDescent="0.35">
      <c r="A383" t="s">
        <v>196</v>
      </c>
      <c r="B383" s="1">
        <v>39318</v>
      </c>
      <c r="C383" t="s">
        <v>832</v>
      </c>
      <c r="D383" t="s">
        <v>163</v>
      </c>
      <c r="E383" t="s">
        <v>833</v>
      </c>
      <c r="F383" t="s">
        <v>489</v>
      </c>
      <c r="G383" t="s">
        <v>64</v>
      </c>
      <c r="H383" s="139">
        <f t="shared" si="193"/>
        <v>1</v>
      </c>
      <c r="I383" t="s">
        <v>234</v>
      </c>
      <c r="J383" t="s">
        <v>178</v>
      </c>
      <c r="K383" s="2">
        <f t="shared" si="196"/>
        <v>9</v>
      </c>
      <c r="L383">
        <v>7210000</v>
      </c>
      <c r="M383" s="2">
        <f t="shared" si="197"/>
        <v>6.8579352647194289</v>
      </c>
      <c r="N383">
        <f t="shared" si="222"/>
        <v>7210000</v>
      </c>
      <c r="O383">
        <v>0</v>
      </c>
      <c r="P383" s="1">
        <v>39923</v>
      </c>
      <c r="Q383" s="89">
        <f t="shared" si="198"/>
        <v>2009</v>
      </c>
      <c r="R383" t="s">
        <v>107</v>
      </c>
      <c r="S383">
        <v>58450000</v>
      </c>
      <c r="T383" s="21">
        <f t="shared" si="189"/>
        <v>1.6575342465753424</v>
      </c>
      <c r="U383">
        <v>488.05</v>
      </c>
      <c r="V383">
        <f t="shared" si="199"/>
        <v>2.6893532632422525</v>
      </c>
      <c r="W383">
        <v>2001</v>
      </c>
      <c r="X383">
        <v>6</v>
      </c>
      <c r="Y383">
        <f t="shared" si="200"/>
        <v>0.84509804001425681</v>
      </c>
      <c r="Z383" s="45">
        <v>3.03</v>
      </c>
      <c r="AA383" s="9">
        <f t="shared" si="190"/>
        <v>51240000</v>
      </c>
      <c r="AB383" s="15">
        <f t="shared" si="191"/>
        <v>7.1067961165048548</v>
      </c>
      <c r="AC383" s="34">
        <f t="shared" si="201"/>
        <v>0.90884925077842993</v>
      </c>
      <c r="AD383">
        <v>1423.0371900826444</v>
      </c>
      <c r="AE383">
        <f t="shared" si="194"/>
        <v>3.1532162502154288</v>
      </c>
      <c r="AF383">
        <v>3292.8719008264461</v>
      </c>
      <c r="AG383">
        <f t="shared" si="195"/>
        <v>3.5175748361336181</v>
      </c>
      <c r="AH383" s="9">
        <v>995</v>
      </c>
      <c r="AI383" s="9">
        <f t="shared" si="202"/>
        <v>2.9982593384236988</v>
      </c>
      <c r="AJ383">
        <v>87.2</v>
      </c>
      <c r="AK383" s="23" t="s">
        <v>164</v>
      </c>
      <c r="AL383" s="42">
        <v>52.565521078007201</v>
      </c>
      <c r="AM383" s="24">
        <v>-0.44</v>
      </c>
      <c r="AN383" s="34">
        <f t="shared" si="203"/>
        <v>-0.25181197299379954</v>
      </c>
      <c r="AO383">
        <v>1996</v>
      </c>
      <c r="AP383">
        <v>11</v>
      </c>
      <c r="AQ383">
        <v>85</v>
      </c>
      <c r="AR383">
        <v>80</v>
      </c>
      <c r="AS383">
        <f t="shared" si="192"/>
        <v>0</v>
      </c>
      <c r="AT383">
        <f t="shared" si="204"/>
        <v>0</v>
      </c>
      <c r="AU383">
        <f t="shared" si="205"/>
        <v>0</v>
      </c>
      <c r="AV383">
        <f t="shared" si="206"/>
        <v>0</v>
      </c>
      <c r="AW383">
        <f t="shared" si="207"/>
        <v>0</v>
      </c>
      <c r="AX383">
        <f t="shared" si="208"/>
        <v>0</v>
      </c>
      <c r="AY383">
        <f t="shared" si="209"/>
        <v>0</v>
      </c>
      <c r="AZ383">
        <f t="shared" si="210"/>
        <v>1</v>
      </c>
      <c r="BA383">
        <f t="shared" si="211"/>
        <v>0</v>
      </c>
      <c r="BB383">
        <f t="shared" si="212"/>
        <v>0</v>
      </c>
      <c r="BC383">
        <f t="shared" si="213"/>
        <v>0</v>
      </c>
      <c r="BD383">
        <f t="shared" si="214"/>
        <v>0</v>
      </c>
      <c r="BE383">
        <f t="shared" si="215"/>
        <v>0</v>
      </c>
      <c r="BF383">
        <f t="shared" si="216"/>
        <v>0</v>
      </c>
      <c r="BG383">
        <f t="shared" si="217"/>
        <v>0</v>
      </c>
      <c r="BH383">
        <f t="shared" si="218"/>
        <v>0</v>
      </c>
      <c r="BI383">
        <f t="shared" si="219"/>
        <v>0</v>
      </c>
    </row>
    <row r="384" spans="1:61" x14ac:dyDescent="0.35">
      <c r="A384" t="s">
        <v>352</v>
      </c>
      <c r="B384" s="1">
        <v>37355</v>
      </c>
      <c r="C384" s="8" t="s">
        <v>834</v>
      </c>
      <c r="D384" t="s">
        <v>489</v>
      </c>
      <c r="E384" t="s">
        <v>833</v>
      </c>
      <c r="F384" t="s">
        <v>489</v>
      </c>
      <c r="G384" t="s">
        <v>47</v>
      </c>
      <c r="H384" s="139">
        <f t="shared" si="193"/>
        <v>0</v>
      </c>
      <c r="I384" t="s">
        <v>234</v>
      </c>
      <c r="J384" t="s">
        <v>178</v>
      </c>
      <c r="K384" s="2">
        <f t="shared" si="196"/>
        <v>9</v>
      </c>
      <c r="L384">
        <v>10000000</v>
      </c>
      <c r="M384" s="2">
        <f t="shared" si="197"/>
        <v>7</v>
      </c>
      <c r="N384">
        <f t="shared" si="222"/>
        <v>10000000</v>
      </c>
      <c r="O384">
        <v>0</v>
      </c>
      <c r="P384" s="1">
        <v>38623</v>
      </c>
      <c r="Q384" s="89">
        <f t="shared" si="198"/>
        <v>2005</v>
      </c>
      <c r="R384" t="s">
        <v>49</v>
      </c>
      <c r="S384">
        <v>81020000</v>
      </c>
      <c r="T384" s="21">
        <f t="shared" si="189"/>
        <v>3.473972602739726</v>
      </c>
      <c r="U384">
        <v>0</v>
      </c>
      <c r="V384">
        <f t="shared" si="199"/>
        <v>0</v>
      </c>
      <c r="W384">
        <v>1999</v>
      </c>
      <c r="X384">
        <v>3</v>
      </c>
      <c r="Y384">
        <f t="shared" si="200"/>
        <v>0.6020599913279624</v>
      </c>
      <c r="Z384" s="14">
        <v>0</v>
      </c>
      <c r="AB384" s="15">
        <f t="shared" si="191"/>
        <v>7.1020000000000003</v>
      </c>
      <c r="AC384" s="34">
        <f t="shared" si="201"/>
        <v>0.90859223884756946</v>
      </c>
      <c r="AD384">
        <v>1423.0371900826444</v>
      </c>
      <c r="AE384">
        <f t="shared" si="194"/>
        <v>3.1532162502154288</v>
      </c>
      <c r="AF384">
        <v>3292.8719008264461</v>
      </c>
      <c r="AG384">
        <f t="shared" si="195"/>
        <v>3.5175748361336181</v>
      </c>
      <c r="AH384" s="9">
        <v>0</v>
      </c>
      <c r="AI384" s="9">
        <f t="shared" si="202"/>
        <v>0</v>
      </c>
      <c r="AJ384">
        <v>70</v>
      </c>
      <c r="AK384" s="23" t="s">
        <v>490</v>
      </c>
      <c r="AL384" s="42">
        <v>49.329709120205997</v>
      </c>
      <c r="AM384" s="24">
        <v>0.09</v>
      </c>
      <c r="AN384" s="34">
        <f t="shared" si="203"/>
        <v>3.7426497940623665E-2</v>
      </c>
      <c r="AO384">
        <v>1996</v>
      </c>
      <c r="AP384">
        <v>6</v>
      </c>
      <c r="AQ384">
        <v>70</v>
      </c>
      <c r="AR384">
        <v>70</v>
      </c>
      <c r="AS384">
        <f t="shared" si="192"/>
        <v>0</v>
      </c>
      <c r="AT384">
        <f t="shared" si="204"/>
        <v>0</v>
      </c>
      <c r="AU384">
        <f t="shared" si="205"/>
        <v>0</v>
      </c>
      <c r="AV384">
        <f t="shared" si="206"/>
        <v>0</v>
      </c>
      <c r="AW384">
        <f t="shared" si="207"/>
        <v>0</v>
      </c>
      <c r="AX384">
        <f t="shared" si="208"/>
        <v>0</v>
      </c>
      <c r="AY384">
        <f t="shared" si="209"/>
        <v>0</v>
      </c>
      <c r="AZ384">
        <f t="shared" si="210"/>
        <v>0</v>
      </c>
      <c r="BA384">
        <f t="shared" si="211"/>
        <v>0</v>
      </c>
      <c r="BB384">
        <f t="shared" si="212"/>
        <v>0</v>
      </c>
      <c r="BC384">
        <f t="shared" si="213"/>
        <v>0</v>
      </c>
      <c r="BD384">
        <f t="shared" si="214"/>
        <v>0</v>
      </c>
      <c r="BE384">
        <f t="shared" si="215"/>
        <v>0</v>
      </c>
      <c r="BF384">
        <f t="shared" si="216"/>
        <v>0</v>
      </c>
      <c r="BG384">
        <f t="shared" si="217"/>
        <v>1</v>
      </c>
      <c r="BH384">
        <f t="shared" si="218"/>
        <v>0</v>
      </c>
      <c r="BI384">
        <f t="shared" si="219"/>
        <v>0</v>
      </c>
    </row>
    <row r="385" spans="1:61" x14ac:dyDescent="0.35">
      <c r="A385" t="s">
        <v>816</v>
      </c>
      <c r="B385" s="1">
        <v>37035</v>
      </c>
      <c r="C385" t="s">
        <v>835</v>
      </c>
      <c r="D385" t="s">
        <v>45</v>
      </c>
      <c r="E385" t="s">
        <v>833</v>
      </c>
      <c r="F385" t="s">
        <v>489</v>
      </c>
      <c r="G385" t="s">
        <v>64</v>
      </c>
      <c r="H385" s="139">
        <f t="shared" si="193"/>
        <v>1</v>
      </c>
      <c r="I385" t="s">
        <v>234</v>
      </c>
      <c r="J385" t="s">
        <v>248</v>
      </c>
      <c r="K385" s="2">
        <f t="shared" si="196"/>
        <v>5</v>
      </c>
      <c r="L385">
        <v>40000000</v>
      </c>
      <c r="M385" s="2">
        <f t="shared" si="197"/>
        <v>7.6020599913279625</v>
      </c>
      <c r="N385">
        <f t="shared" si="222"/>
        <v>40000000</v>
      </c>
      <c r="O385">
        <v>0</v>
      </c>
      <c r="P385" s="1">
        <v>37403</v>
      </c>
      <c r="Q385" s="89">
        <f t="shared" si="198"/>
        <v>2002</v>
      </c>
      <c r="R385" t="s">
        <v>338</v>
      </c>
      <c r="S385">
        <v>0</v>
      </c>
      <c r="T385" s="21">
        <f t="shared" si="189"/>
        <v>1.0082191780821919</v>
      </c>
      <c r="U385">
        <v>6651.37</v>
      </c>
      <c r="V385">
        <f t="shared" si="199"/>
        <v>3.8229763963637051</v>
      </c>
      <c r="W385">
        <v>1999</v>
      </c>
      <c r="X385">
        <v>2</v>
      </c>
      <c r="Y385">
        <f t="shared" si="200"/>
        <v>0.47712125471966244</v>
      </c>
      <c r="Z385" s="45">
        <v>3.03</v>
      </c>
      <c r="AA385" s="9">
        <f t="shared" ref="AA385:AA416" si="223">S385-N385</f>
        <v>-40000000</v>
      </c>
      <c r="AB385" s="15">
        <f t="shared" si="191"/>
        <v>-1</v>
      </c>
      <c r="AC385" s="34">
        <f t="shared" si="201"/>
        <v>-1</v>
      </c>
      <c r="AD385">
        <v>1423.0371900826444</v>
      </c>
      <c r="AE385">
        <f t="shared" si="194"/>
        <v>3.1532162502154288</v>
      </c>
      <c r="AF385">
        <v>3292.8719008264461</v>
      </c>
      <c r="AG385">
        <f t="shared" si="195"/>
        <v>3.5175748361336181</v>
      </c>
      <c r="AH385" s="9">
        <v>513.5</v>
      </c>
      <c r="AI385" s="9">
        <f t="shared" si="202"/>
        <v>2.7113853790984517</v>
      </c>
      <c r="AJ385">
        <v>85</v>
      </c>
      <c r="AK385" s="23" t="s">
        <v>305</v>
      </c>
      <c r="AL385" s="42">
        <v>35.608384832026097</v>
      </c>
      <c r="AM385" s="24">
        <v>-0.16</v>
      </c>
      <c r="AN385" s="34">
        <f t="shared" si="203"/>
        <v>-7.5720713938118356E-2</v>
      </c>
      <c r="AO385">
        <v>1996</v>
      </c>
      <c r="AP385">
        <v>5</v>
      </c>
      <c r="AQ385">
        <v>70</v>
      </c>
      <c r="AR385">
        <v>70</v>
      </c>
      <c r="AS385">
        <f t="shared" si="192"/>
        <v>1</v>
      </c>
      <c r="AT385">
        <f t="shared" si="204"/>
        <v>1</v>
      </c>
      <c r="AU385">
        <f t="shared" si="205"/>
        <v>0</v>
      </c>
      <c r="AV385">
        <f t="shared" si="206"/>
        <v>0</v>
      </c>
      <c r="AW385">
        <f t="shared" si="207"/>
        <v>0</v>
      </c>
      <c r="AX385">
        <f t="shared" si="208"/>
        <v>0</v>
      </c>
      <c r="AY385">
        <f t="shared" si="209"/>
        <v>0</v>
      </c>
      <c r="AZ385">
        <f t="shared" si="210"/>
        <v>0</v>
      </c>
      <c r="BA385">
        <f t="shared" si="211"/>
        <v>0</v>
      </c>
      <c r="BB385">
        <f t="shared" si="212"/>
        <v>0</v>
      </c>
      <c r="BC385">
        <f t="shared" si="213"/>
        <v>0</v>
      </c>
      <c r="BD385">
        <f t="shared" si="214"/>
        <v>0</v>
      </c>
      <c r="BE385">
        <f t="shared" si="215"/>
        <v>0</v>
      </c>
      <c r="BF385">
        <f t="shared" si="216"/>
        <v>0</v>
      </c>
      <c r="BG385">
        <f t="shared" si="217"/>
        <v>0</v>
      </c>
      <c r="BH385">
        <f t="shared" si="218"/>
        <v>0</v>
      </c>
      <c r="BI385">
        <f t="shared" si="219"/>
        <v>0</v>
      </c>
    </row>
    <row r="386" spans="1:61" ht="15" customHeight="1" x14ac:dyDescent="0.35">
      <c r="A386" t="s">
        <v>352</v>
      </c>
      <c r="B386" s="1">
        <v>36822</v>
      </c>
      <c r="C386" s="8" t="s">
        <v>836</v>
      </c>
      <c r="D386" t="s">
        <v>489</v>
      </c>
      <c r="E386" t="s">
        <v>833</v>
      </c>
      <c r="F386" t="s">
        <v>489</v>
      </c>
      <c r="G386" t="s">
        <v>47</v>
      </c>
      <c r="H386" s="139">
        <f t="shared" si="193"/>
        <v>0</v>
      </c>
      <c r="I386" t="s">
        <v>234</v>
      </c>
      <c r="J386" t="s">
        <v>190</v>
      </c>
      <c r="K386" s="2">
        <f t="shared" si="196"/>
        <v>2</v>
      </c>
      <c r="L386">
        <v>23000000</v>
      </c>
      <c r="M386" s="2">
        <f t="shared" si="197"/>
        <v>7.3617278360175931</v>
      </c>
      <c r="N386">
        <f t="shared" si="222"/>
        <v>23000000</v>
      </c>
      <c r="O386">
        <v>0</v>
      </c>
      <c r="P386" s="1">
        <v>38475</v>
      </c>
      <c r="Q386" s="89">
        <f t="shared" si="198"/>
        <v>2005</v>
      </c>
      <c r="R386" t="s">
        <v>49</v>
      </c>
      <c r="S386">
        <v>81640000</v>
      </c>
      <c r="T386" s="21">
        <f t="shared" ref="T386:T449" si="224">YEARFRAC(B386,P386,3)</f>
        <v>4.5287671232876709</v>
      </c>
      <c r="U386">
        <v>0</v>
      </c>
      <c r="V386">
        <f t="shared" si="199"/>
        <v>0</v>
      </c>
      <c r="W386">
        <v>2004</v>
      </c>
      <c r="X386">
        <v>0</v>
      </c>
      <c r="Y386">
        <f t="shared" si="200"/>
        <v>0</v>
      </c>
      <c r="Z386" s="14">
        <v>0</v>
      </c>
      <c r="AA386" s="9">
        <f t="shared" si="223"/>
        <v>58640000</v>
      </c>
      <c r="AB386" s="15">
        <f t="shared" ref="AB386:AB449" si="225">(S386/L386)-1</f>
        <v>2.5495652173913044</v>
      </c>
      <c r="AC386" s="34">
        <f t="shared" si="201"/>
        <v>0.55017516002644007</v>
      </c>
      <c r="AD386">
        <v>1423.0371900826444</v>
      </c>
      <c r="AE386">
        <f t="shared" si="194"/>
        <v>3.1532162502154288</v>
      </c>
      <c r="AF386">
        <v>3292.8719008264461</v>
      </c>
      <c r="AG386">
        <f t="shared" si="195"/>
        <v>3.5175748361336181</v>
      </c>
      <c r="AH386" s="9">
        <v>0</v>
      </c>
      <c r="AI386" s="9">
        <f t="shared" si="202"/>
        <v>0</v>
      </c>
      <c r="AJ386">
        <v>70</v>
      </c>
      <c r="AK386" s="23" t="s">
        <v>837</v>
      </c>
      <c r="AL386" s="42">
        <v>49.329709120205997</v>
      </c>
      <c r="AM386" s="24">
        <v>-0.17</v>
      </c>
      <c r="AN386" s="34">
        <f t="shared" si="203"/>
        <v>-8.092190762392612E-2</v>
      </c>
      <c r="AO386">
        <v>1996</v>
      </c>
      <c r="AP386">
        <v>4</v>
      </c>
      <c r="AQ386">
        <v>70</v>
      </c>
      <c r="AR386">
        <v>70</v>
      </c>
      <c r="AS386">
        <f t="shared" ref="AS386:AS449" si="226">IF(AC386=-1,1,0)</f>
        <v>0</v>
      </c>
      <c r="AT386">
        <f t="shared" si="204"/>
        <v>0</v>
      </c>
      <c r="AU386">
        <f t="shared" si="205"/>
        <v>0</v>
      </c>
      <c r="AV386">
        <f t="shared" si="206"/>
        <v>0</v>
      </c>
      <c r="AW386">
        <f t="shared" si="207"/>
        <v>0</v>
      </c>
      <c r="AX386">
        <f t="shared" si="208"/>
        <v>0</v>
      </c>
      <c r="AY386">
        <f t="shared" si="209"/>
        <v>0</v>
      </c>
      <c r="AZ386">
        <f t="shared" si="210"/>
        <v>0</v>
      </c>
      <c r="BA386">
        <f t="shared" si="211"/>
        <v>0</v>
      </c>
      <c r="BB386">
        <f t="shared" si="212"/>
        <v>0</v>
      </c>
      <c r="BC386">
        <f t="shared" si="213"/>
        <v>0</v>
      </c>
      <c r="BD386">
        <f t="shared" si="214"/>
        <v>0</v>
      </c>
      <c r="BE386">
        <f t="shared" si="215"/>
        <v>0</v>
      </c>
      <c r="BF386">
        <f t="shared" si="216"/>
        <v>0</v>
      </c>
      <c r="BG386">
        <f t="shared" si="217"/>
        <v>1</v>
      </c>
      <c r="BH386">
        <f t="shared" si="218"/>
        <v>0</v>
      </c>
      <c r="BI386">
        <f t="shared" si="219"/>
        <v>0</v>
      </c>
    </row>
    <row r="387" spans="1:61" x14ac:dyDescent="0.35">
      <c r="A387" t="s">
        <v>352</v>
      </c>
      <c r="B387" s="1">
        <v>36039</v>
      </c>
      <c r="C387" t="s">
        <v>838</v>
      </c>
      <c r="D387" t="s">
        <v>5</v>
      </c>
      <c r="E387" t="s">
        <v>839</v>
      </c>
      <c r="F387" t="s">
        <v>6</v>
      </c>
      <c r="G387" t="s">
        <v>64</v>
      </c>
      <c r="H387" s="139">
        <f t="shared" ref="H387:H450" si="227">IF(G387="domestic",0,1)</f>
        <v>1</v>
      </c>
      <c r="I387" t="s">
        <v>234</v>
      </c>
      <c r="J387" t="s">
        <v>190</v>
      </c>
      <c r="K387" s="2">
        <f t="shared" si="196"/>
        <v>2</v>
      </c>
      <c r="L387">
        <v>23833625</v>
      </c>
      <c r="M387" s="2">
        <f t="shared" si="197"/>
        <v>7.3771901018415083</v>
      </c>
      <c r="N387">
        <f t="shared" si="222"/>
        <v>23833625</v>
      </c>
      <c r="O387">
        <v>0</v>
      </c>
      <c r="P387" s="1">
        <v>36805</v>
      </c>
      <c r="Q387" s="89">
        <f t="shared" si="198"/>
        <v>2000</v>
      </c>
      <c r="R387" t="s">
        <v>49</v>
      </c>
      <c r="S387">
        <v>80000000</v>
      </c>
      <c r="T387" s="21">
        <f t="shared" si="224"/>
        <v>2.0986301369863014</v>
      </c>
      <c r="U387">
        <v>173.83</v>
      </c>
      <c r="V387">
        <f t="shared" si="199"/>
        <v>2.2426159575692655</v>
      </c>
      <c r="W387">
        <v>1990</v>
      </c>
      <c r="X387">
        <v>8</v>
      </c>
      <c r="Y387">
        <f t="shared" si="200"/>
        <v>0.95424250943932487</v>
      </c>
      <c r="Z387" s="45">
        <v>2.9</v>
      </c>
      <c r="AA387" s="9">
        <f t="shared" si="223"/>
        <v>56166375</v>
      </c>
      <c r="AB387" s="15">
        <f t="shared" si="225"/>
        <v>2.3566022793427353</v>
      </c>
      <c r="AC387" s="34">
        <f t="shared" si="201"/>
        <v>0.52589988515043506</v>
      </c>
      <c r="AD387">
        <v>1623.1404958677685</v>
      </c>
      <c r="AE387">
        <f t="shared" ref="AE387:AE450" si="228">LOG(AD387)</f>
        <v>3.2103561131344809</v>
      </c>
      <c r="AF387">
        <v>4591.735537190084</v>
      </c>
      <c r="AG387">
        <f t="shared" ref="AG387:AG450" si="229">LOG(AF387)</f>
        <v>3.6619768667491281</v>
      </c>
      <c r="AH387" s="9">
        <v>294.5</v>
      </c>
      <c r="AI387" s="9">
        <f t="shared" si="202"/>
        <v>2.4705574852172743</v>
      </c>
      <c r="AJ387">
        <v>70</v>
      </c>
      <c r="AK387" s="23" t="s">
        <v>714</v>
      </c>
      <c r="AL387" s="42">
        <v>44.332035658580502</v>
      </c>
      <c r="AM387" s="24">
        <v>0.42</v>
      </c>
      <c r="AN387" s="34">
        <f t="shared" si="203"/>
        <v>0.15228834438305647</v>
      </c>
      <c r="AO387">
        <v>1980</v>
      </c>
      <c r="AP387">
        <v>18</v>
      </c>
      <c r="AQ387">
        <v>95</v>
      </c>
      <c r="AR387">
        <v>80</v>
      </c>
      <c r="AS387">
        <f t="shared" si="226"/>
        <v>0</v>
      </c>
      <c r="AT387">
        <f t="shared" si="204"/>
        <v>0</v>
      </c>
      <c r="AU387">
        <f t="shared" si="205"/>
        <v>0</v>
      </c>
      <c r="AV387">
        <f t="shared" si="206"/>
        <v>0</v>
      </c>
      <c r="AW387">
        <f t="shared" si="207"/>
        <v>0</v>
      </c>
      <c r="AX387">
        <f t="shared" si="208"/>
        <v>0</v>
      </c>
      <c r="AY387">
        <f t="shared" si="209"/>
        <v>1</v>
      </c>
      <c r="AZ387">
        <f t="shared" si="210"/>
        <v>0</v>
      </c>
      <c r="BA387">
        <f t="shared" si="211"/>
        <v>0</v>
      </c>
      <c r="BB387">
        <f t="shared" si="212"/>
        <v>0</v>
      </c>
      <c r="BC387">
        <f t="shared" si="213"/>
        <v>0</v>
      </c>
      <c r="BD387">
        <f t="shared" si="214"/>
        <v>0</v>
      </c>
      <c r="BE387">
        <f t="shared" si="215"/>
        <v>0</v>
      </c>
      <c r="BF387">
        <f t="shared" si="216"/>
        <v>0</v>
      </c>
      <c r="BG387">
        <f t="shared" si="217"/>
        <v>0</v>
      </c>
      <c r="BH387">
        <f t="shared" si="218"/>
        <v>0</v>
      </c>
      <c r="BI387">
        <f t="shared" si="219"/>
        <v>0</v>
      </c>
    </row>
    <row r="388" spans="1:61" ht="14.25" customHeight="1" x14ac:dyDescent="0.35">
      <c r="A388" t="s">
        <v>352</v>
      </c>
      <c r="B388" s="1">
        <v>39975</v>
      </c>
      <c r="C388" s="8" t="s">
        <v>840</v>
      </c>
      <c r="D388" t="s">
        <v>59</v>
      </c>
      <c r="E388" t="s">
        <v>841</v>
      </c>
      <c r="F388" t="s">
        <v>59</v>
      </c>
      <c r="G388" t="s">
        <v>47</v>
      </c>
      <c r="H388" s="139">
        <f t="shared" si="227"/>
        <v>0</v>
      </c>
      <c r="I388" t="s">
        <v>234</v>
      </c>
      <c r="J388" t="s">
        <v>178</v>
      </c>
      <c r="K388" s="2">
        <f t="shared" si="196"/>
        <v>9</v>
      </c>
      <c r="L388">
        <v>17300000</v>
      </c>
      <c r="M388" s="2">
        <f t="shared" si="197"/>
        <v>7.238046103128795</v>
      </c>
      <c r="N388">
        <f t="shared" si="222"/>
        <v>17300000</v>
      </c>
      <c r="O388">
        <v>0</v>
      </c>
      <c r="P388" s="1">
        <v>42094</v>
      </c>
      <c r="Q388" s="89">
        <f t="shared" si="198"/>
        <v>2015</v>
      </c>
      <c r="R388" t="s">
        <v>107</v>
      </c>
      <c r="S388">
        <v>44000000</v>
      </c>
      <c r="T388" s="21">
        <f t="shared" si="224"/>
        <v>5.8054794520547945</v>
      </c>
      <c r="U388">
        <v>0</v>
      </c>
      <c r="V388">
        <f t="shared" si="199"/>
        <v>0</v>
      </c>
      <c r="W388">
        <v>2006</v>
      </c>
      <c r="X388">
        <v>3</v>
      </c>
      <c r="Y388">
        <f t="shared" si="200"/>
        <v>0.6020599913279624</v>
      </c>
      <c r="Z388" s="45">
        <v>3.29</v>
      </c>
      <c r="AA388" s="9">
        <f t="shared" si="223"/>
        <v>26700000</v>
      </c>
      <c r="AB388" s="15">
        <f t="shared" si="225"/>
        <v>1.5433526011560694</v>
      </c>
      <c r="AC388" s="34">
        <f t="shared" si="201"/>
        <v>0.40540657335739205</v>
      </c>
      <c r="AD388">
        <v>2207.03125</v>
      </c>
      <c r="AE388">
        <f t="shared" si="228"/>
        <v>3.3438084825075891</v>
      </c>
      <c r="AF388">
        <v>7753.90625</v>
      </c>
      <c r="AG388">
        <f t="shared" si="229"/>
        <v>3.8895205457872843</v>
      </c>
      <c r="AH388" s="9">
        <v>0</v>
      </c>
      <c r="AI388" s="9">
        <f t="shared" si="202"/>
        <v>0</v>
      </c>
      <c r="AJ388">
        <v>89.8</v>
      </c>
      <c r="AK388" s="23" t="s">
        <v>130</v>
      </c>
      <c r="AL388" s="42">
        <v>47.307367293927399</v>
      </c>
      <c r="AM388" s="24">
        <v>1.19</v>
      </c>
      <c r="AN388" s="34">
        <f t="shared" si="203"/>
        <v>0.34044411484011833</v>
      </c>
      <c r="AO388">
        <v>2002</v>
      </c>
      <c r="AP388">
        <v>7</v>
      </c>
      <c r="AQ388">
        <v>70</v>
      </c>
      <c r="AR388">
        <v>70</v>
      </c>
      <c r="AS388">
        <f t="shared" si="226"/>
        <v>0</v>
      </c>
      <c r="AT388">
        <f t="shared" si="204"/>
        <v>0</v>
      </c>
      <c r="AU388">
        <f t="shared" si="205"/>
        <v>1</v>
      </c>
      <c r="AV388">
        <f t="shared" si="206"/>
        <v>0</v>
      </c>
      <c r="AW388">
        <f t="shared" si="207"/>
        <v>0</v>
      </c>
      <c r="AX388">
        <f t="shared" si="208"/>
        <v>0</v>
      </c>
      <c r="AY388">
        <f t="shared" si="209"/>
        <v>0</v>
      </c>
      <c r="AZ388">
        <f t="shared" si="210"/>
        <v>0</v>
      </c>
      <c r="BA388">
        <f t="shared" si="211"/>
        <v>0</v>
      </c>
      <c r="BB388">
        <f t="shared" si="212"/>
        <v>0</v>
      </c>
      <c r="BC388">
        <f t="shared" si="213"/>
        <v>0</v>
      </c>
      <c r="BD388">
        <f t="shared" si="214"/>
        <v>0</v>
      </c>
      <c r="BE388">
        <f t="shared" si="215"/>
        <v>0</v>
      </c>
      <c r="BF388">
        <f t="shared" si="216"/>
        <v>0</v>
      </c>
      <c r="BG388">
        <f t="shared" si="217"/>
        <v>0</v>
      </c>
      <c r="BH388">
        <f t="shared" si="218"/>
        <v>0</v>
      </c>
      <c r="BI388">
        <f t="shared" si="219"/>
        <v>0</v>
      </c>
    </row>
    <row r="389" spans="1:61" x14ac:dyDescent="0.35">
      <c r="A389" t="s">
        <v>196</v>
      </c>
      <c r="B389" s="1">
        <v>39254</v>
      </c>
      <c r="C389" t="s">
        <v>842</v>
      </c>
      <c r="D389" t="s">
        <v>5</v>
      </c>
      <c r="E389" t="s">
        <v>843</v>
      </c>
      <c r="F389" t="s">
        <v>59</v>
      </c>
      <c r="G389" t="s">
        <v>64</v>
      </c>
      <c r="H389" s="139">
        <f t="shared" si="227"/>
        <v>1</v>
      </c>
      <c r="I389" t="s">
        <v>234</v>
      </c>
      <c r="J389" t="s">
        <v>248</v>
      </c>
      <c r="K389" s="2">
        <f t="shared" si="196"/>
        <v>5</v>
      </c>
      <c r="L389">
        <v>82520000</v>
      </c>
      <c r="M389" s="2">
        <f t="shared" si="197"/>
        <v>7.9165592193011136</v>
      </c>
      <c r="N389">
        <f t="shared" si="222"/>
        <v>82520000</v>
      </c>
      <c r="O389">
        <v>0</v>
      </c>
      <c r="P389" s="1">
        <v>41142</v>
      </c>
      <c r="Q389" s="89">
        <f t="shared" si="198"/>
        <v>2012</v>
      </c>
      <c r="R389" t="s">
        <v>107</v>
      </c>
      <c r="S389">
        <v>180000000</v>
      </c>
      <c r="T389" s="21">
        <f t="shared" si="224"/>
        <v>5.1726027397260275</v>
      </c>
      <c r="U389">
        <v>357.29</v>
      </c>
      <c r="V389">
        <f t="shared" si="199"/>
        <v>2.5542346870234227</v>
      </c>
      <c r="W389">
        <v>1935</v>
      </c>
      <c r="X389">
        <v>72</v>
      </c>
      <c r="Y389">
        <f t="shared" si="200"/>
        <v>1.8633228601204559</v>
      </c>
      <c r="Z389" s="45">
        <v>3.16</v>
      </c>
      <c r="AA389" s="9">
        <f t="shared" si="223"/>
        <v>97480000</v>
      </c>
      <c r="AB389" s="15">
        <f t="shared" si="225"/>
        <v>1.1812893843916625</v>
      </c>
      <c r="AC389" s="34">
        <f t="shared" si="201"/>
        <v>0.33871328580219212</v>
      </c>
      <c r="AD389">
        <v>2207.03125</v>
      </c>
      <c r="AE389">
        <f t="shared" si="228"/>
        <v>3.3438084825075891</v>
      </c>
      <c r="AF389">
        <v>7753.90625</v>
      </c>
      <c r="AG389">
        <f t="shared" si="229"/>
        <v>3.8895205457872843</v>
      </c>
      <c r="AH389" s="9">
        <v>971</v>
      </c>
      <c r="AI389" s="9">
        <f t="shared" si="202"/>
        <v>2.9876662649262746</v>
      </c>
      <c r="AJ389">
        <v>88.4</v>
      </c>
      <c r="AK389" s="23" t="s">
        <v>365</v>
      </c>
      <c r="AL389" s="42">
        <v>42.337645557762798</v>
      </c>
      <c r="AM389" s="24">
        <v>-7.0000000000000007E-2</v>
      </c>
      <c r="AN389" s="34">
        <f t="shared" si="203"/>
        <v>-3.1517051446064911E-2</v>
      </c>
      <c r="AO389">
        <v>2002</v>
      </c>
      <c r="AP389">
        <v>5</v>
      </c>
      <c r="AQ389">
        <v>70</v>
      </c>
      <c r="AR389">
        <v>90</v>
      </c>
      <c r="AS389">
        <f t="shared" si="226"/>
        <v>0</v>
      </c>
      <c r="AT389">
        <f t="shared" si="204"/>
        <v>0</v>
      </c>
      <c r="AU389">
        <f t="shared" si="205"/>
        <v>0</v>
      </c>
      <c r="AV389">
        <f t="shared" si="206"/>
        <v>0</v>
      </c>
      <c r="AW389">
        <f t="shared" si="207"/>
        <v>0</v>
      </c>
      <c r="AX389">
        <f t="shared" si="208"/>
        <v>0</v>
      </c>
      <c r="AY389">
        <f t="shared" si="209"/>
        <v>1</v>
      </c>
      <c r="AZ389">
        <f t="shared" si="210"/>
        <v>0</v>
      </c>
      <c r="BA389">
        <f t="shared" si="211"/>
        <v>0</v>
      </c>
      <c r="BB389">
        <f t="shared" si="212"/>
        <v>0</v>
      </c>
      <c r="BC389">
        <f t="shared" si="213"/>
        <v>0</v>
      </c>
      <c r="BD389">
        <f t="shared" si="214"/>
        <v>0</v>
      </c>
      <c r="BE389">
        <f t="shared" si="215"/>
        <v>0</v>
      </c>
      <c r="BF389">
        <f t="shared" si="216"/>
        <v>0</v>
      </c>
      <c r="BG389">
        <f t="shared" si="217"/>
        <v>0</v>
      </c>
      <c r="BH389">
        <f t="shared" si="218"/>
        <v>0</v>
      </c>
      <c r="BI389">
        <f t="shared" si="219"/>
        <v>0</v>
      </c>
    </row>
    <row r="390" spans="1:61" ht="20.25" customHeight="1" x14ac:dyDescent="0.35">
      <c r="A390" t="s">
        <v>844</v>
      </c>
      <c r="B390" s="1">
        <v>39240</v>
      </c>
      <c r="C390" t="s">
        <v>845</v>
      </c>
      <c r="D390" t="s">
        <v>59</v>
      </c>
      <c r="E390" t="s">
        <v>843</v>
      </c>
      <c r="F390" t="s">
        <v>59</v>
      </c>
      <c r="G390" t="s">
        <v>47</v>
      </c>
      <c r="H390" s="139">
        <f t="shared" si="227"/>
        <v>0</v>
      </c>
      <c r="I390" t="s">
        <v>234</v>
      </c>
      <c r="J390" t="s">
        <v>248</v>
      </c>
      <c r="K390" s="2">
        <f t="shared" ref="K390:K453" si="230">IF(J390="Consumer Discretionary",5,IF(J390="Industrials",1,IF(J390="Energy",3,IF(J390="Health Care",2,IF(J390="Communications",4,IF(J390="Financials",6,IF(J390="Consumer Staples",7,IF(J390="Materials",8,IF(J390="Technology",9,IF(J390="Utilities",10,""))))))))))</f>
        <v>5</v>
      </c>
      <c r="L390">
        <v>88399000</v>
      </c>
      <c r="M390" s="2">
        <f t="shared" ref="M390:M453" si="231">LOG(L390)</f>
        <v>7.9464473521517798</v>
      </c>
      <c r="N390">
        <f t="shared" si="222"/>
        <v>88399000</v>
      </c>
      <c r="O390">
        <v>0</v>
      </c>
      <c r="P390" s="1">
        <v>43100</v>
      </c>
      <c r="Q390" s="89">
        <f t="shared" ref="Q390:Q453" si="232">YEAR(P390)</f>
        <v>2017</v>
      </c>
      <c r="R390" t="s">
        <v>152</v>
      </c>
      <c r="S390">
        <v>796088000</v>
      </c>
      <c r="T390" s="21">
        <f t="shared" si="224"/>
        <v>10.575342465753424</v>
      </c>
      <c r="U390">
        <v>0</v>
      </c>
      <c r="V390">
        <f t="shared" ref="V390:V453" si="233">LOG(1+U390)</f>
        <v>0</v>
      </c>
      <c r="W390">
        <v>1983</v>
      </c>
      <c r="X390">
        <v>24</v>
      </c>
      <c r="Y390">
        <f t="shared" ref="Y390:Y453" si="234">LOG(1+X390)</f>
        <v>1.3979400086720377</v>
      </c>
      <c r="Z390" s="45">
        <v>3.29</v>
      </c>
      <c r="AA390" s="9">
        <f t="shared" si="223"/>
        <v>707689000</v>
      </c>
      <c r="AB390" s="15">
        <f t="shared" si="225"/>
        <v>8.0056222355456512</v>
      </c>
      <c r="AC390" s="34">
        <f t="shared" ref="AC390:AC453" si="235">IF(AB390=-1,LOG(0.1),LOG(1+AB390))</f>
        <v>0.95451372538741597</v>
      </c>
      <c r="AD390">
        <v>2207.03125</v>
      </c>
      <c r="AE390">
        <f t="shared" si="228"/>
        <v>3.3438084825075891</v>
      </c>
      <c r="AF390">
        <v>7753.90625</v>
      </c>
      <c r="AG390">
        <f t="shared" si="229"/>
        <v>3.8895205457872843</v>
      </c>
      <c r="AH390" s="9">
        <v>0</v>
      </c>
      <c r="AI390" s="9">
        <f t="shared" ref="AI390:AI453" si="236">IF(AH390=0,0,LOG(1+AH390))</f>
        <v>0</v>
      </c>
      <c r="AJ390">
        <v>91.2</v>
      </c>
      <c r="AK390" s="23" t="s">
        <v>191</v>
      </c>
      <c r="AL390" s="42">
        <v>40.902544500539101</v>
      </c>
      <c r="AM390" s="24">
        <v>0.79</v>
      </c>
      <c r="AN390" s="34">
        <f t="shared" ref="AN390:AN453" si="237">LOG(1+AM390)</f>
        <v>0.2528530309798932</v>
      </c>
      <c r="AO390">
        <v>2002</v>
      </c>
      <c r="AP390">
        <v>5</v>
      </c>
      <c r="AQ390">
        <v>70</v>
      </c>
      <c r="AR390">
        <v>70</v>
      </c>
      <c r="AS390">
        <f t="shared" si="226"/>
        <v>0</v>
      </c>
      <c r="AT390">
        <f t="shared" ref="AT390:AT453" si="238">IF($D390="US",1,0)</f>
        <v>0</v>
      </c>
      <c r="AU390">
        <f t="shared" ref="AU390:AU453" si="239">IF($D390="UK",1,0)</f>
        <v>1</v>
      </c>
      <c r="AV390">
        <f t="shared" ref="AV390:AV453" si="240">IF($D390="Norway",1,0)</f>
        <v>0</v>
      </c>
      <c r="AW390">
        <f t="shared" ref="AW390:AW453" si="241">IF($D390="Denmark",1,0)</f>
        <v>0</v>
      </c>
      <c r="AX390">
        <f t="shared" ref="AX390:AX453" si="242">IF($D390="Sweden",1,0)</f>
        <v>0</v>
      </c>
      <c r="AY390">
        <f t="shared" ref="AY390:AY453" si="243">IF($D390="Netherlands",1,0)</f>
        <v>0</v>
      </c>
      <c r="AZ390">
        <f t="shared" ref="AZ390:AZ453" si="244">IF($D390="France",1,0)</f>
        <v>0</v>
      </c>
      <c r="BA390">
        <f t="shared" ref="BA390:BA453" si="245">IF($D390="Belgium",1,0)</f>
        <v>0</v>
      </c>
      <c r="BB390">
        <f t="shared" ref="BB390:BB453" si="246">IF($D390="Germany",1,0)</f>
        <v>0</v>
      </c>
      <c r="BC390">
        <f t="shared" ref="BC390:BC453" si="247">IF($D390="Italy",1,0)</f>
        <v>0</v>
      </c>
      <c r="BD390">
        <f t="shared" ref="BD390:BD453" si="248">IF($D390="Spain",1,0)</f>
        <v>0</v>
      </c>
      <c r="BE390">
        <f t="shared" ref="BE390:BE453" si="249">IF($D390="Luxembourg",1,0)</f>
        <v>0</v>
      </c>
      <c r="BF390">
        <f t="shared" ref="BF390:BF453" si="250">IF($D390="Portugal",1,0)</f>
        <v>0</v>
      </c>
      <c r="BG390">
        <f t="shared" ref="BG390:BG453" si="251">IF($D390="Switzerland",1,0)</f>
        <v>0</v>
      </c>
      <c r="BH390">
        <f t="shared" ref="BH390:BH453" si="252">IF($D390="Ireland",1,0)</f>
        <v>0</v>
      </c>
      <c r="BI390">
        <f t="shared" ref="BI390:BI453" si="253">IF($D390="Finland",1,0)</f>
        <v>0</v>
      </c>
    </row>
    <row r="391" spans="1:61" ht="18" customHeight="1" x14ac:dyDescent="0.35">
      <c r="A391" t="s">
        <v>196</v>
      </c>
      <c r="B391" s="1">
        <v>38579</v>
      </c>
      <c r="C391" t="s">
        <v>846</v>
      </c>
      <c r="D391" t="s">
        <v>59</v>
      </c>
      <c r="E391" t="s">
        <v>847</v>
      </c>
      <c r="F391" t="s">
        <v>59</v>
      </c>
      <c r="G391" t="s">
        <v>47</v>
      </c>
      <c r="H391" s="139">
        <f t="shared" si="227"/>
        <v>0</v>
      </c>
      <c r="I391" t="s">
        <v>234</v>
      </c>
      <c r="J391" t="s">
        <v>245</v>
      </c>
      <c r="K391" s="2">
        <f t="shared" si="230"/>
        <v>6</v>
      </c>
      <c r="L391">
        <v>288650000</v>
      </c>
      <c r="M391" s="2">
        <f t="shared" si="231"/>
        <v>8.4603715618346502</v>
      </c>
      <c r="N391">
        <f t="shared" si="222"/>
        <v>288650000</v>
      </c>
      <c r="O391">
        <v>0</v>
      </c>
      <c r="P391" s="1">
        <v>39090</v>
      </c>
      <c r="Q391" s="89">
        <f t="shared" si="232"/>
        <v>2007</v>
      </c>
      <c r="R391" t="s">
        <v>107</v>
      </c>
      <c r="S391">
        <v>570000000</v>
      </c>
      <c r="T391" s="21">
        <f t="shared" si="224"/>
        <v>1.4</v>
      </c>
      <c r="U391">
        <v>0</v>
      </c>
      <c r="V391">
        <f t="shared" si="233"/>
        <v>0</v>
      </c>
      <c r="W391">
        <v>1994</v>
      </c>
      <c r="X391">
        <v>11</v>
      </c>
      <c r="Y391">
        <f t="shared" si="234"/>
        <v>1.0791812460476249</v>
      </c>
      <c r="Z391" s="45">
        <v>3.29</v>
      </c>
      <c r="AA391" s="9">
        <f t="shared" si="223"/>
        <v>281350000</v>
      </c>
      <c r="AB391" s="15">
        <f t="shared" si="225"/>
        <v>0.97470985622726491</v>
      </c>
      <c r="AC391" s="34">
        <f t="shared" si="235"/>
        <v>0.29550329383784157</v>
      </c>
      <c r="AD391">
        <v>2207.03125</v>
      </c>
      <c r="AE391">
        <f t="shared" si="228"/>
        <v>3.3438084825075891</v>
      </c>
      <c r="AF391">
        <v>7753.90625</v>
      </c>
      <c r="AG391">
        <f t="shared" si="229"/>
        <v>3.8895205457872843</v>
      </c>
      <c r="AH391" s="9">
        <v>0</v>
      </c>
      <c r="AI391" s="9">
        <f t="shared" si="236"/>
        <v>0</v>
      </c>
      <c r="AJ391">
        <v>85</v>
      </c>
      <c r="AK391" s="23" t="s">
        <v>171</v>
      </c>
      <c r="AL391" s="42">
        <v>41.286751495766303</v>
      </c>
      <c r="AM391" s="24">
        <v>0.15</v>
      </c>
      <c r="AN391" s="34">
        <f t="shared" si="237"/>
        <v>6.069784035361165E-2</v>
      </c>
      <c r="AO391">
        <v>2002</v>
      </c>
      <c r="AP391">
        <v>3</v>
      </c>
      <c r="AQ391">
        <v>70</v>
      </c>
      <c r="AR391">
        <v>70</v>
      </c>
      <c r="AS391">
        <f t="shared" si="226"/>
        <v>0</v>
      </c>
      <c r="AT391">
        <f t="shared" si="238"/>
        <v>0</v>
      </c>
      <c r="AU391">
        <f t="shared" si="239"/>
        <v>1</v>
      </c>
      <c r="AV391">
        <f t="shared" si="240"/>
        <v>0</v>
      </c>
      <c r="AW391">
        <f t="shared" si="241"/>
        <v>0</v>
      </c>
      <c r="AX391">
        <f t="shared" si="242"/>
        <v>0</v>
      </c>
      <c r="AY391">
        <f t="shared" si="243"/>
        <v>0</v>
      </c>
      <c r="AZ391">
        <f t="shared" si="244"/>
        <v>0</v>
      </c>
      <c r="BA391">
        <f t="shared" si="245"/>
        <v>0</v>
      </c>
      <c r="BB391">
        <f t="shared" si="246"/>
        <v>0</v>
      </c>
      <c r="BC391">
        <f t="shared" si="247"/>
        <v>0</v>
      </c>
      <c r="BD391">
        <f t="shared" si="248"/>
        <v>0</v>
      </c>
      <c r="BE391">
        <f t="shared" si="249"/>
        <v>0</v>
      </c>
      <c r="BF391">
        <f t="shared" si="250"/>
        <v>0</v>
      </c>
      <c r="BG391">
        <f t="shared" si="251"/>
        <v>0</v>
      </c>
      <c r="BH391">
        <f t="shared" si="252"/>
        <v>0</v>
      </c>
      <c r="BI391">
        <f t="shared" si="253"/>
        <v>0</v>
      </c>
    </row>
    <row r="392" spans="1:61" x14ac:dyDescent="0.35">
      <c r="A392" t="s">
        <v>848</v>
      </c>
      <c r="B392" s="1">
        <v>38383</v>
      </c>
      <c r="C392" t="s">
        <v>849</v>
      </c>
      <c r="D392" t="s">
        <v>5</v>
      </c>
      <c r="E392" t="s">
        <v>847</v>
      </c>
      <c r="F392" t="s">
        <v>59</v>
      </c>
      <c r="G392" t="s">
        <v>64</v>
      </c>
      <c r="H392" s="139">
        <f t="shared" si="227"/>
        <v>1</v>
      </c>
      <c r="I392" t="s">
        <v>234</v>
      </c>
      <c r="J392" t="s">
        <v>245</v>
      </c>
      <c r="K392" s="2">
        <f t="shared" si="230"/>
        <v>6</v>
      </c>
      <c r="L392">
        <v>30300000</v>
      </c>
      <c r="M392" s="2">
        <f t="shared" si="231"/>
        <v>7.4814426285023048</v>
      </c>
      <c r="N392">
        <f t="shared" si="222"/>
        <v>30300000</v>
      </c>
      <c r="O392">
        <v>0</v>
      </c>
      <c r="P392" s="1">
        <v>39082</v>
      </c>
      <c r="Q392" s="89">
        <f t="shared" si="232"/>
        <v>2006</v>
      </c>
      <c r="R392" t="s">
        <v>107</v>
      </c>
      <c r="S392" s="8">
        <v>96300000</v>
      </c>
      <c r="T392" s="21">
        <f t="shared" si="224"/>
        <v>1.9150684931506849</v>
      </c>
      <c r="U392">
        <v>357.29</v>
      </c>
      <c r="V392">
        <f t="shared" si="233"/>
        <v>2.5542346870234227</v>
      </c>
      <c r="W392">
        <v>1998</v>
      </c>
      <c r="X392">
        <v>7</v>
      </c>
      <c r="Y392">
        <f t="shared" si="234"/>
        <v>0.90308998699194354</v>
      </c>
      <c r="Z392" s="45">
        <v>3.16</v>
      </c>
      <c r="AA392" s="9">
        <f t="shared" si="223"/>
        <v>66000000</v>
      </c>
      <c r="AB392" s="15">
        <f t="shared" si="225"/>
        <v>2.1782178217821784</v>
      </c>
      <c r="AC392" s="34">
        <f t="shared" si="235"/>
        <v>0.50218365862222958</v>
      </c>
      <c r="AD392">
        <v>2207.03125</v>
      </c>
      <c r="AE392">
        <f t="shared" si="228"/>
        <v>3.3438084825075891</v>
      </c>
      <c r="AF392">
        <v>7753.90625</v>
      </c>
      <c r="AG392">
        <f t="shared" si="229"/>
        <v>3.8895205457872843</v>
      </c>
      <c r="AH392" s="9">
        <v>971</v>
      </c>
      <c r="AI392" s="9">
        <f t="shared" si="236"/>
        <v>2.9876662649262746</v>
      </c>
      <c r="AJ392">
        <v>70</v>
      </c>
      <c r="AK392" s="23" t="s">
        <v>84</v>
      </c>
      <c r="AL392" s="42">
        <v>42.243452783984999</v>
      </c>
      <c r="AM392" s="24">
        <v>0.2</v>
      </c>
      <c r="AN392" s="34">
        <f t="shared" si="237"/>
        <v>7.9181246047624818E-2</v>
      </c>
      <c r="AO392">
        <v>2002</v>
      </c>
      <c r="AP392">
        <v>3</v>
      </c>
      <c r="AQ392">
        <v>95</v>
      </c>
      <c r="AR392">
        <v>80</v>
      </c>
      <c r="AS392">
        <f t="shared" si="226"/>
        <v>0</v>
      </c>
      <c r="AT392">
        <f t="shared" si="238"/>
        <v>0</v>
      </c>
      <c r="AU392">
        <f t="shared" si="239"/>
        <v>0</v>
      </c>
      <c r="AV392">
        <f t="shared" si="240"/>
        <v>0</v>
      </c>
      <c r="AW392">
        <f t="shared" si="241"/>
        <v>0</v>
      </c>
      <c r="AX392">
        <f t="shared" si="242"/>
        <v>0</v>
      </c>
      <c r="AY392">
        <f t="shared" si="243"/>
        <v>1</v>
      </c>
      <c r="AZ392">
        <f t="shared" si="244"/>
        <v>0</v>
      </c>
      <c r="BA392">
        <f t="shared" si="245"/>
        <v>0</v>
      </c>
      <c r="BB392">
        <f t="shared" si="246"/>
        <v>0</v>
      </c>
      <c r="BC392">
        <f t="shared" si="247"/>
        <v>0</v>
      </c>
      <c r="BD392">
        <f t="shared" si="248"/>
        <v>0</v>
      </c>
      <c r="BE392">
        <f t="shared" si="249"/>
        <v>0</v>
      </c>
      <c r="BF392">
        <f t="shared" si="250"/>
        <v>0</v>
      </c>
      <c r="BG392">
        <f t="shared" si="251"/>
        <v>0</v>
      </c>
      <c r="BH392">
        <f t="shared" si="252"/>
        <v>0</v>
      </c>
      <c r="BI392">
        <f t="shared" si="253"/>
        <v>0</v>
      </c>
    </row>
    <row r="393" spans="1:61" ht="16.5" customHeight="1" x14ac:dyDescent="0.35">
      <c r="A393" t="s">
        <v>196</v>
      </c>
      <c r="B393" s="1">
        <v>38180</v>
      </c>
      <c r="C393" t="s">
        <v>850</v>
      </c>
      <c r="D393" t="s">
        <v>59</v>
      </c>
      <c r="E393" t="s">
        <v>847</v>
      </c>
      <c r="F393" t="s">
        <v>59</v>
      </c>
      <c r="G393" t="s">
        <v>47</v>
      </c>
      <c r="H393" s="139">
        <f t="shared" si="227"/>
        <v>0</v>
      </c>
      <c r="I393" t="s">
        <v>234</v>
      </c>
      <c r="J393" t="s">
        <v>248</v>
      </c>
      <c r="K393" s="2">
        <f t="shared" si="230"/>
        <v>5</v>
      </c>
      <c r="L393">
        <v>207210000</v>
      </c>
      <c r="M393" s="2">
        <f t="shared" si="231"/>
        <v>8.3164107107258101</v>
      </c>
      <c r="N393">
        <f t="shared" si="222"/>
        <v>207210000</v>
      </c>
      <c r="O393">
        <v>0</v>
      </c>
      <c r="P393" s="1">
        <v>39577</v>
      </c>
      <c r="Q393" s="89">
        <f t="shared" si="232"/>
        <v>2008</v>
      </c>
      <c r="R393" t="s">
        <v>107</v>
      </c>
      <c r="S393">
        <v>355000000</v>
      </c>
      <c r="T393" s="21">
        <f t="shared" si="224"/>
        <v>3.8273972602739725</v>
      </c>
      <c r="U393">
        <v>0</v>
      </c>
      <c r="V393">
        <f t="shared" si="233"/>
        <v>0</v>
      </c>
      <c r="W393">
        <v>1996</v>
      </c>
      <c r="X393">
        <v>8</v>
      </c>
      <c r="Y393">
        <f t="shared" si="234"/>
        <v>0.95424250943932487</v>
      </c>
      <c r="Z393" s="45">
        <v>3.29</v>
      </c>
      <c r="AA393" s="9">
        <f t="shared" si="223"/>
        <v>147790000</v>
      </c>
      <c r="AB393" s="15">
        <f t="shared" si="225"/>
        <v>0.7132377780995125</v>
      </c>
      <c r="AC393" s="34">
        <f t="shared" si="235"/>
        <v>0.2338176423292847</v>
      </c>
      <c r="AD393">
        <v>2207.03125</v>
      </c>
      <c r="AE393">
        <f t="shared" si="228"/>
        <v>3.3438084825075891</v>
      </c>
      <c r="AF393">
        <v>7753.90625</v>
      </c>
      <c r="AG393">
        <f t="shared" si="229"/>
        <v>3.8895205457872843</v>
      </c>
      <c r="AH393" s="9">
        <v>0</v>
      </c>
      <c r="AI393" s="9">
        <f t="shared" si="236"/>
        <v>0</v>
      </c>
      <c r="AJ393">
        <v>85</v>
      </c>
      <c r="AK393" s="23" t="s">
        <v>89</v>
      </c>
      <c r="AL393" s="42">
        <v>40.040400531970803</v>
      </c>
      <c r="AM393" s="24">
        <v>0.25</v>
      </c>
      <c r="AN393" s="34">
        <f t="shared" si="237"/>
        <v>9.691001300805642E-2</v>
      </c>
      <c r="AO393">
        <v>2002</v>
      </c>
      <c r="AP393">
        <v>2</v>
      </c>
      <c r="AQ393">
        <v>70</v>
      </c>
      <c r="AR393">
        <v>70</v>
      </c>
      <c r="AS393">
        <f t="shared" si="226"/>
        <v>0</v>
      </c>
      <c r="AT393">
        <f t="shared" si="238"/>
        <v>0</v>
      </c>
      <c r="AU393">
        <f t="shared" si="239"/>
        <v>1</v>
      </c>
      <c r="AV393">
        <f t="shared" si="240"/>
        <v>0</v>
      </c>
      <c r="AW393">
        <f t="shared" si="241"/>
        <v>0</v>
      </c>
      <c r="AX393">
        <f t="shared" si="242"/>
        <v>0</v>
      </c>
      <c r="AY393">
        <f t="shared" si="243"/>
        <v>0</v>
      </c>
      <c r="AZ393">
        <f t="shared" si="244"/>
        <v>0</v>
      </c>
      <c r="BA393">
        <f t="shared" si="245"/>
        <v>0</v>
      </c>
      <c r="BB393">
        <f t="shared" si="246"/>
        <v>0</v>
      </c>
      <c r="BC393">
        <f t="shared" si="247"/>
        <v>0</v>
      </c>
      <c r="BD393">
        <f t="shared" si="248"/>
        <v>0</v>
      </c>
      <c r="BE393">
        <f t="shared" si="249"/>
        <v>0</v>
      </c>
      <c r="BF393">
        <f t="shared" si="250"/>
        <v>0</v>
      </c>
      <c r="BG393">
        <f t="shared" si="251"/>
        <v>0</v>
      </c>
      <c r="BH393">
        <f t="shared" si="252"/>
        <v>0</v>
      </c>
      <c r="BI393">
        <f t="shared" si="253"/>
        <v>0</v>
      </c>
    </row>
    <row r="394" spans="1:61" ht="19.5" customHeight="1" x14ac:dyDescent="0.35">
      <c r="A394" t="s">
        <v>196</v>
      </c>
      <c r="B394" s="1">
        <v>41464</v>
      </c>
      <c r="C394" t="s">
        <v>851</v>
      </c>
      <c r="D394" t="s">
        <v>45</v>
      </c>
      <c r="E394" t="s">
        <v>852</v>
      </c>
      <c r="F394" t="s">
        <v>497</v>
      </c>
      <c r="G394" t="s">
        <v>64</v>
      </c>
      <c r="H394" s="139">
        <f t="shared" si="227"/>
        <v>1</v>
      </c>
      <c r="I394" t="s">
        <v>234</v>
      </c>
      <c r="J394" t="s">
        <v>269</v>
      </c>
      <c r="K394" s="2">
        <f t="shared" si="230"/>
        <v>7</v>
      </c>
      <c r="L394">
        <v>518059000</v>
      </c>
      <c r="M394" s="2">
        <f t="shared" si="231"/>
        <v>8.7143792229021759</v>
      </c>
      <c r="N394">
        <f t="shared" si="222"/>
        <v>518059000</v>
      </c>
      <c r="O394">
        <v>0</v>
      </c>
      <c r="P394" s="1">
        <v>42955</v>
      </c>
      <c r="Q394" s="89">
        <f t="shared" si="232"/>
        <v>2017</v>
      </c>
      <c r="R394" t="s">
        <v>107</v>
      </c>
      <c r="S394">
        <v>876440000</v>
      </c>
      <c r="T394" s="21">
        <f t="shared" si="224"/>
        <v>4.0849315068493155</v>
      </c>
      <c r="U394">
        <v>5441.73</v>
      </c>
      <c r="V394">
        <f t="shared" si="233"/>
        <v>3.7358167906061537</v>
      </c>
      <c r="W394">
        <v>1962</v>
      </c>
      <c r="X394">
        <v>51</v>
      </c>
      <c r="Y394">
        <f t="shared" si="234"/>
        <v>1.7160033436347992</v>
      </c>
      <c r="Z394" s="45">
        <v>2.81</v>
      </c>
      <c r="AA394" s="9">
        <f t="shared" si="223"/>
        <v>358381000</v>
      </c>
      <c r="AB394" s="15">
        <f t="shared" si="225"/>
        <v>0.69177641928815059</v>
      </c>
      <c r="AC394" s="34">
        <f t="shared" si="235"/>
        <v>0.22834296728139425</v>
      </c>
      <c r="AD394">
        <v>2445.7102171591318</v>
      </c>
      <c r="AE394">
        <f t="shared" si="228"/>
        <v>3.3884049978579722</v>
      </c>
      <c r="AF394">
        <v>7210.2229667110805</v>
      </c>
      <c r="AG394">
        <f t="shared" si="229"/>
        <v>3.8579486949156889</v>
      </c>
      <c r="AH394" s="9">
        <v>125.833333333333</v>
      </c>
      <c r="AI394" s="9">
        <f t="shared" si="236"/>
        <v>2.103233406386928</v>
      </c>
      <c r="AJ394">
        <v>90.5</v>
      </c>
      <c r="AK394" s="23" t="s">
        <v>222</v>
      </c>
      <c r="AL394" s="42">
        <v>39.010023979360902</v>
      </c>
      <c r="AM394" s="24">
        <v>0.5</v>
      </c>
      <c r="AN394" s="34">
        <f t="shared" si="237"/>
        <v>0.17609125905568124</v>
      </c>
      <c r="AO394">
        <v>2003</v>
      </c>
      <c r="AP394">
        <v>10</v>
      </c>
      <c r="AQ394">
        <v>70</v>
      </c>
      <c r="AR394">
        <v>70</v>
      </c>
      <c r="AS394">
        <f t="shared" si="226"/>
        <v>0</v>
      </c>
      <c r="AT394">
        <f t="shared" si="238"/>
        <v>1</v>
      </c>
      <c r="AU394">
        <f t="shared" si="239"/>
        <v>0</v>
      </c>
      <c r="AV394">
        <f t="shared" si="240"/>
        <v>0</v>
      </c>
      <c r="AW394">
        <f t="shared" si="241"/>
        <v>0</v>
      </c>
      <c r="AX394">
        <f t="shared" si="242"/>
        <v>0</v>
      </c>
      <c r="AY394">
        <f t="shared" si="243"/>
        <v>0</v>
      </c>
      <c r="AZ394">
        <f t="shared" si="244"/>
        <v>0</v>
      </c>
      <c r="BA394">
        <f t="shared" si="245"/>
        <v>0</v>
      </c>
      <c r="BB394">
        <f t="shared" si="246"/>
        <v>0</v>
      </c>
      <c r="BC394">
        <f t="shared" si="247"/>
        <v>0</v>
      </c>
      <c r="BD394">
        <f t="shared" si="248"/>
        <v>0</v>
      </c>
      <c r="BE394">
        <f t="shared" si="249"/>
        <v>0</v>
      </c>
      <c r="BF394">
        <f t="shared" si="250"/>
        <v>0</v>
      </c>
      <c r="BG394">
        <f t="shared" si="251"/>
        <v>0</v>
      </c>
      <c r="BH394">
        <f t="shared" si="252"/>
        <v>0</v>
      </c>
      <c r="BI394">
        <f t="shared" si="253"/>
        <v>0</v>
      </c>
    </row>
    <row r="395" spans="1:61" x14ac:dyDescent="0.35">
      <c r="A395" t="s">
        <v>853</v>
      </c>
      <c r="B395" s="1">
        <v>40420</v>
      </c>
      <c r="C395" s="8" t="s">
        <v>854</v>
      </c>
      <c r="D395" t="s">
        <v>45</v>
      </c>
      <c r="E395" t="s">
        <v>852</v>
      </c>
      <c r="F395" t="s">
        <v>497</v>
      </c>
      <c r="G395" t="s">
        <v>64</v>
      </c>
      <c r="H395" s="139">
        <f t="shared" si="227"/>
        <v>1</v>
      </c>
      <c r="I395" t="s">
        <v>234</v>
      </c>
      <c r="J395" t="s">
        <v>245</v>
      </c>
      <c r="K395" s="2">
        <f t="shared" si="230"/>
        <v>6</v>
      </c>
      <c r="L395">
        <v>61120000</v>
      </c>
      <c r="M395" s="2">
        <f t="shared" si="231"/>
        <v>7.7861833455676335</v>
      </c>
      <c r="N395">
        <f t="shared" si="222"/>
        <v>61120000</v>
      </c>
      <c r="O395">
        <v>0</v>
      </c>
      <c r="P395" s="1">
        <v>43299</v>
      </c>
      <c r="Q395" s="89">
        <f t="shared" si="232"/>
        <v>2018</v>
      </c>
      <c r="R395" t="s">
        <v>107</v>
      </c>
      <c r="S395">
        <v>522320000</v>
      </c>
      <c r="T395" s="21">
        <f t="shared" si="224"/>
        <v>7.8876712328767127</v>
      </c>
      <c r="U395">
        <v>5441.73</v>
      </c>
      <c r="V395">
        <f t="shared" si="233"/>
        <v>3.7358167906061537</v>
      </c>
      <c r="W395">
        <v>2010</v>
      </c>
      <c r="X395">
        <v>0</v>
      </c>
      <c r="Y395">
        <f t="shared" si="234"/>
        <v>0</v>
      </c>
      <c r="Z395" s="45">
        <v>2.81</v>
      </c>
      <c r="AA395" s="9">
        <f t="shared" si="223"/>
        <v>461200000</v>
      </c>
      <c r="AB395" s="15">
        <f t="shared" si="225"/>
        <v>7.5458115183246068</v>
      </c>
      <c r="AC395" s="34">
        <f t="shared" si="235"/>
        <v>0.93175331002877337</v>
      </c>
      <c r="AD395">
        <v>2445.7102171591318</v>
      </c>
      <c r="AE395">
        <f t="shared" si="228"/>
        <v>3.3884049978579722</v>
      </c>
      <c r="AF395">
        <v>7210.2229667110805</v>
      </c>
      <c r="AG395">
        <f t="shared" si="229"/>
        <v>3.8579486949156889</v>
      </c>
      <c r="AH395" s="9">
        <v>125.833333333333</v>
      </c>
      <c r="AI395" s="9">
        <f t="shared" si="236"/>
        <v>2.103233406386928</v>
      </c>
      <c r="AJ395">
        <v>91.3</v>
      </c>
      <c r="AK395" s="23" t="s">
        <v>136</v>
      </c>
      <c r="AL395" s="42">
        <v>43.1672842383418</v>
      </c>
      <c r="AM395" s="24">
        <v>1.68</v>
      </c>
      <c r="AN395" s="34">
        <f t="shared" si="237"/>
        <v>0.42813479402878879</v>
      </c>
      <c r="AO395">
        <v>2003</v>
      </c>
      <c r="AP395">
        <v>7</v>
      </c>
      <c r="AQ395">
        <v>70</v>
      </c>
      <c r="AR395">
        <v>70</v>
      </c>
      <c r="AS395">
        <f t="shared" si="226"/>
        <v>0</v>
      </c>
      <c r="AT395">
        <f t="shared" si="238"/>
        <v>1</v>
      </c>
      <c r="AU395">
        <f t="shared" si="239"/>
        <v>0</v>
      </c>
      <c r="AV395">
        <f t="shared" si="240"/>
        <v>0</v>
      </c>
      <c r="AW395">
        <f t="shared" si="241"/>
        <v>0</v>
      </c>
      <c r="AX395">
        <f t="shared" si="242"/>
        <v>0</v>
      </c>
      <c r="AY395">
        <f t="shared" si="243"/>
        <v>0</v>
      </c>
      <c r="AZ395">
        <f t="shared" si="244"/>
        <v>0</v>
      </c>
      <c r="BA395">
        <f t="shared" si="245"/>
        <v>0</v>
      </c>
      <c r="BB395">
        <f t="shared" si="246"/>
        <v>0</v>
      </c>
      <c r="BC395">
        <f t="shared" si="247"/>
        <v>0</v>
      </c>
      <c r="BD395">
        <f t="shared" si="248"/>
        <v>0</v>
      </c>
      <c r="BE395">
        <f t="shared" si="249"/>
        <v>0</v>
      </c>
      <c r="BF395">
        <f t="shared" si="250"/>
        <v>0</v>
      </c>
      <c r="BG395">
        <f t="shared" si="251"/>
        <v>0</v>
      </c>
      <c r="BH395">
        <f t="shared" si="252"/>
        <v>0</v>
      </c>
      <c r="BI395">
        <f t="shared" si="253"/>
        <v>0</v>
      </c>
    </row>
    <row r="396" spans="1:61" x14ac:dyDescent="0.35">
      <c r="A396" t="s">
        <v>196</v>
      </c>
      <c r="B396" s="1">
        <v>39113</v>
      </c>
      <c r="C396" t="s">
        <v>855</v>
      </c>
      <c r="D396" t="s">
        <v>45</v>
      </c>
      <c r="E396" t="s">
        <v>856</v>
      </c>
      <c r="F396" t="s">
        <v>497</v>
      </c>
      <c r="G396" t="s">
        <v>64</v>
      </c>
      <c r="H396" s="139">
        <f t="shared" si="227"/>
        <v>1</v>
      </c>
      <c r="I396" t="s">
        <v>234</v>
      </c>
      <c r="J396" t="s">
        <v>248</v>
      </c>
      <c r="K396" s="2">
        <f t="shared" si="230"/>
        <v>5</v>
      </c>
      <c r="L396">
        <v>450000000</v>
      </c>
      <c r="M396" s="2">
        <f t="shared" si="231"/>
        <v>8.653212513775344</v>
      </c>
      <c r="N396">
        <f t="shared" si="222"/>
        <v>450000000</v>
      </c>
      <c r="O396">
        <v>0</v>
      </c>
      <c r="P396" s="1">
        <v>40637</v>
      </c>
      <c r="Q396" s="89">
        <f t="shared" si="232"/>
        <v>2011</v>
      </c>
      <c r="R396" t="s">
        <v>338</v>
      </c>
      <c r="S396">
        <v>0</v>
      </c>
      <c r="T396" s="21">
        <f t="shared" si="224"/>
        <v>4.1753424657534248</v>
      </c>
      <c r="U396">
        <v>5441.73</v>
      </c>
      <c r="V396">
        <f t="shared" si="233"/>
        <v>3.7358167906061537</v>
      </c>
      <c r="W396">
        <v>1956</v>
      </c>
      <c r="X396">
        <v>51</v>
      </c>
      <c r="Y396">
        <f t="shared" si="234"/>
        <v>1.7160033436347992</v>
      </c>
      <c r="Z396" s="45">
        <v>2.81</v>
      </c>
      <c r="AA396" s="9">
        <f t="shared" si="223"/>
        <v>-450000000</v>
      </c>
      <c r="AB396" s="15">
        <f t="shared" si="225"/>
        <v>-1</v>
      </c>
      <c r="AC396" s="34">
        <f t="shared" si="235"/>
        <v>-1</v>
      </c>
      <c r="AD396">
        <v>2445.7102171591318</v>
      </c>
      <c r="AE396">
        <f t="shared" si="228"/>
        <v>3.3884049978579722</v>
      </c>
      <c r="AF396">
        <v>7210.2229667110805</v>
      </c>
      <c r="AG396">
        <f t="shared" si="229"/>
        <v>3.8579486949156889</v>
      </c>
      <c r="AH396" s="9">
        <v>125.833333333333</v>
      </c>
      <c r="AI396" s="9">
        <f t="shared" si="236"/>
        <v>2.103233406386928</v>
      </c>
      <c r="AJ396">
        <v>91.4</v>
      </c>
      <c r="AK396" s="23" t="s">
        <v>103</v>
      </c>
      <c r="AL396" s="42">
        <v>37.425715444240403</v>
      </c>
      <c r="AM396" s="24">
        <v>-7.0000000000000007E-2</v>
      </c>
      <c r="AN396" s="34">
        <f t="shared" si="237"/>
        <v>-3.1517051446064911E-2</v>
      </c>
      <c r="AO396">
        <v>2003</v>
      </c>
      <c r="AP396">
        <v>4</v>
      </c>
      <c r="AQ396">
        <v>70</v>
      </c>
      <c r="AR396">
        <v>70</v>
      </c>
      <c r="AS396">
        <f t="shared" si="226"/>
        <v>1</v>
      </c>
      <c r="AT396">
        <f t="shared" si="238"/>
        <v>1</v>
      </c>
      <c r="AU396">
        <f t="shared" si="239"/>
        <v>0</v>
      </c>
      <c r="AV396">
        <f t="shared" si="240"/>
        <v>0</v>
      </c>
      <c r="AW396">
        <f t="shared" si="241"/>
        <v>0</v>
      </c>
      <c r="AX396">
        <f t="shared" si="242"/>
        <v>0</v>
      </c>
      <c r="AY396">
        <f t="shared" si="243"/>
        <v>0</v>
      </c>
      <c r="AZ396">
        <f t="shared" si="244"/>
        <v>0</v>
      </c>
      <c r="BA396">
        <f t="shared" si="245"/>
        <v>0</v>
      </c>
      <c r="BB396">
        <f t="shared" si="246"/>
        <v>0</v>
      </c>
      <c r="BC396">
        <f t="shared" si="247"/>
        <v>0</v>
      </c>
      <c r="BD396">
        <f t="shared" si="248"/>
        <v>0</v>
      </c>
      <c r="BE396">
        <f t="shared" si="249"/>
        <v>0</v>
      </c>
      <c r="BF396">
        <f t="shared" si="250"/>
        <v>0</v>
      </c>
      <c r="BG396">
        <f t="shared" si="251"/>
        <v>0</v>
      </c>
      <c r="BH396">
        <f t="shared" si="252"/>
        <v>0</v>
      </c>
      <c r="BI396">
        <f t="shared" si="253"/>
        <v>0</v>
      </c>
    </row>
    <row r="397" spans="1:61" x14ac:dyDescent="0.35">
      <c r="A397" t="s">
        <v>196</v>
      </c>
      <c r="B397" s="1">
        <v>38656</v>
      </c>
      <c r="C397" t="s">
        <v>857</v>
      </c>
      <c r="D397" t="s">
        <v>45</v>
      </c>
      <c r="E397" t="s">
        <v>856</v>
      </c>
      <c r="F397" t="s">
        <v>497</v>
      </c>
      <c r="G397" t="s">
        <v>64</v>
      </c>
      <c r="H397" s="139">
        <f t="shared" si="227"/>
        <v>1</v>
      </c>
      <c r="I397" t="s">
        <v>234</v>
      </c>
      <c r="J397" t="s">
        <v>186</v>
      </c>
      <c r="K397" s="2">
        <f t="shared" si="230"/>
        <v>4</v>
      </c>
      <c r="L397">
        <v>520000000</v>
      </c>
      <c r="M397" s="2">
        <f t="shared" si="231"/>
        <v>8.7160033436347994</v>
      </c>
      <c r="N397">
        <f t="shared" si="222"/>
        <v>520000000</v>
      </c>
      <c r="O397">
        <v>0</v>
      </c>
      <c r="P397" s="1">
        <v>41222</v>
      </c>
      <c r="Q397" s="89">
        <f t="shared" si="232"/>
        <v>2012</v>
      </c>
      <c r="R397" t="s">
        <v>107</v>
      </c>
      <c r="S397">
        <v>585250000</v>
      </c>
      <c r="T397" s="21">
        <f t="shared" si="224"/>
        <v>7.0301369863013701</v>
      </c>
      <c r="U397">
        <v>0</v>
      </c>
      <c r="V397">
        <f t="shared" si="233"/>
        <v>0</v>
      </c>
      <c r="W397">
        <v>2005</v>
      </c>
      <c r="X397">
        <v>0</v>
      </c>
      <c r="Y397">
        <f t="shared" si="234"/>
        <v>0</v>
      </c>
      <c r="Z397" s="45">
        <v>2.81</v>
      </c>
      <c r="AA397" s="9">
        <f t="shared" si="223"/>
        <v>65250000</v>
      </c>
      <c r="AB397" s="15">
        <f t="shared" si="225"/>
        <v>0.12548076923076934</v>
      </c>
      <c r="AC397" s="34">
        <f t="shared" si="235"/>
        <v>5.1338078733862841E-2</v>
      </c>
      <c r="AD397">
        <v>2445.7102171591318</v>
      </c>
      <c r="AE397">
        <f t="shared" si="228"/>
        <v>3.3884049978579722</v>
      </c>
      <c r="AF397">
        <v>7210.2229667110805</v>
      </c>
      <c r="AG397">
        <f t="shared" si="229"/>
        <v>3.8579486949156889</v>
      </c>
      <c r="AH397" s="9">
        <v>125.833333333333</v>
      </c>
      <c r="AI397" s="9">
        <f t="shared" si="236"/>
        <v>2.103233406386928</v>
      </c>
      <c r="AJ397">
        <v>85</v>
      </c>
      <c r="AK397" s="23" t="s">
        <v>100</v>
      </c>
      <c r="AL397" s="42">
        <v>36.959146749272797</v>
      </c>
      <c r="AM397" s="24">
        <v>0.14000000000000001</v>
      </c>
      <c r="AN397" s="34">
        <f t="shared" si="237"/>
        <v>5.6904851336472641E-2</v>
      </c>
      <c r="AO397">
        <v>2003</v>
      </c>
      <c r="AP397">
        <v>2</v>
      </c>
      <c r="AQ397">
        <v>70</v>
      </c>
      <c r="AR397">
        <v>70</v>
      </c>
      <c r="AS397">
        <f t="shared" si="226"/>
        <v>0</v>
      </c>
      <c r="AT397">
        <f t="shared" si="238"/>
        <v>1</v>
      </c>
      <c r="AU397">
        <f t="shared" si="239"/>
        <v>0</v>
      </c>
      <c r="AV397">
        <f t="shared" si="240"/>
        <v>0</v>
      </c>
      <c r="AW397">
        <f t="shared" si="241"/>
        <v>0</v>
      </c>
      <c r="AX397">
        <f t="shared" si="242"/>
        <v>0</v>
      </c>
      <c r="AY397">
        <f t="shared" si="243"/>
        <v>0</v>
      </c>
      <c r="AZ397">
        <f t="shared" si="244"/>
        <v>0</v>
      </c>
      <c r="BA397">
        <f t="shared" si="245"/>
        <v>0</v>
      </c>
      <c r="BB397">
        <f t="shared" si="246"/>
        <v>0</v>
      </c>
      <c r="BC397">
        <f t="shared" si="247"/>
        <v>0</v>
      </c>
      <c r="BD397">
        <f t="shared" si="248"/>
        <v>0</v>
      </c>
      <c r="BE397">
        <f t="shared" si="249"/>
        <v>0</v>
      </c>
      <c r="BF397">
        <f t="shared" si="250"/>
        <v>0</v>
      </c>
      <c r="BG397">
        <f t="shared" si="251"/>
        <v>0</v>
      </c>
      <c r="BH397">
        <f t="shared" si="252"/>
        <v>0</v>
      </c>
      <c r="BI397">
        <f t="shared" si="253"/>
        <v>0</v>
      </c>
    </row>
    <row r="398" spans="1:61" x14ac:dyDescent="0.35">
      <c r="A398" t="s">
        <v>196</v>
      </c>
      <c r="B398" s="1">
        <v>37391</v>
      </c>
      <c r="C398" t="s">
        <v>858</v>
      </c>
      <c r="D398" t="s">
        <v>45</v>
      </c>
      <c r="E398" t="s">
        <v>859</v>
      </c>
      <c r="F398" t="s">
        <v>497</v>
      </c>
      <c r="G398" t="s">
        <v>64</v>
      </c>
      <c r="H398" s="139">
        <f t="shared" si="227"/>
        <v>1</v>
      </c>
      <c r="I398" t="s">
        <v>611</v>
      </c>
      <c r="J398" t="s">
        <v>248</v>
      </c>
      <c r="K398" s="2">
        <f t="shared" si="230"/>
        <v>5</v>
      </c>
      <c r="L398">
        <v>60390000</v>
      </c>
      <c r="M398" s="2">
        <f t="shared" si="231"/>
        <v>7.7809650296083168</v>
      </c>
      <c r="N398">
        <v>110960000</v>
      </c>
      <c r="O398">
        <v>-50570000</v>
      </c>
      <c r="P398" s="1">
        <v>38868</v>
      </c>
      <c r="Q398" s="89">
        <f t="shared" si="232"/>
        <v>2006</v>
      </c>
      <c r="R398" t="s">
        <v>107</v>
      </c>
      <c r="S398">
        <v>600000000</v>
      </c>
      <c r="T398" s="21">
        <f t="shared" si="224"/>
        <v>4.0465753424657533</v>
      </c>
      <c r="U398">
        <v>5441.73</v>
      </c>
      <c r="V398">
        <f t="shared" si="233"/>
        <v>3.7358167906061537</v>
      </c>
      <c r="W398">
        <v>1983</v>
      </c>
      <c r="X398">
        <v>19</v>
      </c>
      <c r="Y398">
        <f t="shared" si="234"/>
        <v>1.3010299956639813</v>
      </c>
      <c r="Z398" s="45">
        <v>2.81</v>
      </c>
      <c r="AA398" s="9">
        <f t="shared" si="223"/>
        <v>489040000</v>
      </c>
      <c r="AB398" s="15">
        <f t="shared" si="225"/>
        <v>8.9354197714853445</v>
      </c>
      <c r="AC398" s="34">
        <f t="shared" si="235"/>
        <v>0.9971862207753267</v>
      </c>
      <c r="AD398">
        <v>2445.7102171591318</v>
      </c>
      <c r="AE398">
        <f t="shared" si="228"/>
        <v>3.3884049978579722</v>
      </c>
      <c r="AF398">
        <v>7210.2229667110805</v>
      </c>
      <c r="AG398">
        <f t="shared" si="229"/>
        <v>3.8579486949156889</v>
      </c>
      <c r="AH398" s="9">
        <v>125.833333333333</v>
      </c>
      <c r="AI398" s="9">
        <f t="shared" si="236"/>
        <v>2.103233406386928</v>
      </c>
      <c r="AJ398">
        <v>85</v>
      </c>
      <c r="AK398" s="23" t="s">
        <v>57</v>
      </c>
      <c r="AL398" s="42">
        <v>36.710134890601303</v>
      </c>
      <c r="AM398" s="24">
        <v>0.16</v>
      </c>
      <c r="AN398" s="34">
        <f t="shared" si="237"/>
        <v>6.445798922691845E-2</v>
      </c>
      <c r="AO398">
        <v>2003</v>
      </c>
      <c r="AP398">
        <v>0</v>
      </c>
      <c r="AQ398">
        <v>70</v>
      </c>
      <c r="AR398">
        <v>70</v>
      </c>
      <c r="AS398">
        <f t="shared" si="226"/>
        <v>0</v>
      </c>
      <c r="AT398">
        <f t="shared" si="238"/>
        <v>1</v>
      </c>
      <c r="AU398">
        <f t="shared" si="239"/>
        <v>0</v>
      </c>
      <c r="AV398">
        <f t="shared" si="240"/>
        <v>0</v>
      </c>
      <c r="AW398">
        <f t="shared" si="241"/>
        <v>0</v>
      </c>
      <c r="AX398">
        <f t="shared" si="242"/>
        <v>0</v>
      </c>
      <c r="AY398">
        <f t="shared" si="243"/>
        <v>0</v>
      </c>
      <c r="AZ398">
        <f t="shared" si="244"/>
        <v>0</v>
      </c>
      <c r="BA398">
        <f t="shared" si="245"/>
        <v>0</v>
      </c>
      <c r="BB398">
        <f t="shared" si="246"/>
        <v>0</v>
      </c>
      <c r="BC398">
        <f t="shared" si="247"/>
        <v>0</v>
      </c>
      <c r="BD398">
        <f t="shared" si="248"/>
        <v>0</v>
      </c>
      <c r="BE398">
        <f t="shared" si="249"/>
        <v>0</v>
      </c>
      <c r="BF398">
        <f t="shared" si="250"/>
        <v>0</v>
      </c>
      <c r="BG398">
        <f t="shared" si="251"/>
        <v>0</v>
      </c>
      <c r="BH398">
        <f t="shared" si="252"/>
        <v>0</v>
      </c>
      <c r="BI398">
        <f t="shared" si="253"/>
        <v>0</v>
      </c>
    </row>
    <row r="399" spans="1:61" x14ac:dyDescent="0.35">
      <c r="A399" t="s">
        <v>196</v>
      </c>
      <c r="B399" s="1">
        <v>36981</v>
      </c>
      <c r="C399" t="s">
        <v>860</v>
      </c>
      <c r="D399" t="s">
        <v>59</v>
      </c>
      <c r="E399" t="s">
        <v>859</v>
      </c>
      <c r="F399" t="s">
        <v>497</v>
      </c>
      <c r="G399" t="s">
        <v>64</v>
      </c>
      <c r="H399" s="139">
        <f t="shared" si="227"/>
        <v>1</v>
      </c>
      <c r="I399" t="s">
        <v>234</v>
      </c>
      <c r="J399" t="s">
        <v>248</v>
      </c>
      <c r="K399" s="2">
        <f t="shared" si="230"/>
        <v>5</v>
      </c>
      <c r="L399">
        <v>68000000</v>
      </c>
      <c r="M399" s="2">
        <f t="shared" si="231"/>
        <v>7.8325089127062366</v>
      </c>
      <c r="N399">
        <f t="shared" ref="N399:N440" si="254">L399</f>
        <v>68000000</v>
      </c>
      <c r="O399">
        <v>0</v>
      </c>
      <c r="P399" s="1">
        <v>37959</v>
      </c>
      <c r="Q399" s="89">
        <f t="shared" si="232"/>
        <v>2003</v>
      </c>
      <c r="R399" t="s">
        <v>107</v>
      </c>
      <c r="S399">
        <v>406650000</v>
      </c>
      <c r="T399" s="21">
        <f t="shared" si="224"/>
        <v>2.6794520547945204</v>
      </c>
      <c r="U399">
        <v>463.97</v>
      </c>
      <c r="V399">
        <f t="shared" si="233"/>
        <v>2.6674249329872439</v>
      </c>
      <c r="W399">
        <v>1987</v>
      </c>
      <c r="X399">
        <v>14</v>
      </c>
      <c r="Y399">
        <f t="shared" si="234"/>
        <v>1.1760912590556813</v>
      </c>
      <c r="Z399" s="45">
        <v>2.81</v>
      </c>
      <c r="AA399" s="9">
        <f t="shared" si="223"/>
        <v>338650000</v>
      </c>
      <c r="AB399" s="15">
        <f t="shared" si="225"/>
        <v>4.9801470588235297</v>
      </c>
      <c r="AC399" s="34">
        <f t="shared" si="235"/>
        <v>0.77671186392993052</v>
      </c>
      <c r="AD399">
        <v>2445.7102171591318</v>
      </c>
      <c r="AE399">
        <f t="shared" si="228"/>
        <v>3.3884049978579722</v>
      </c>
      <c r="AF399">
        <v>7210.2229667110805</v>
      </c>
      <c r="AG399">
        <f t="shared" si="229"/>
        <v>3.8579486949156889</v>
      </c>
      <c r="AH399" s="9">
        <v>193.166666666667</v>
      </c>
      <c r="AI399" s="9">
        <f t="shared" si="236"/>
        <v>2.2881746749783951</v>
      </c>
      <c r="AJ399">
        <v>85</v>
      </c>
      <c r="AK399" s="23" t="s">
        <v>861</v>
      </c>
      <c r="AL399" s="42">
        <v>36.544739309553499</v>
      </c>
      <c r="AM399" s="24">
        <v>-0.08</v>
      </c>
      <c r="AN399" s="34">
        <f t="shared" si="237"/>
        <v>-3.6212172654444715E-2</v>
      </c>
      <c r="AO399">
        <v>2003</v>
      </c>
      <c r="AP399">
        <v>0</v>
      </c>
      <c r="AQ399">
        <v>70</v>
      </c>
      <c r="AR399">
        <v>70</v>
      </c>
      <c r="AS399">
        <f t="shared" si="226"/>
        <v>0</v>
      </c>
      <c r="AT399">
        <f t="shared" si="238"/>
        <v>0</v>
      </c>
      <c r="AU399">
        <f t="shared" si="239"/>
        <v>1</v>
      </c>
      <c r="AV399">
        <f t="shared" si="240"/>
        <v>0</v>
      </c>
      <c r="AW399">
        <f t="shared" si="241"/>
        <v>0</v>
      </c>
      <c r="AX399">
        <f t="shared" si="242"/>
        <v>0</v>
      </c>
      <c r="AY399">
        <f t="shared" si="243"/>
        <v>0</v>
      </c>
      <c r="AZ399">
        <f t="shared" si="244"/>
        <v>0</v>
      </c>
      <c r="BA399">
        <f t="shared" si="245"/>
        <v>0</v>
      </c>
      <c r="BB399">
        <f t="shared" si="246"/>
        <v>0</v>
      </c>
      <c r="BC399">
        <f t="shared" si="247"/>
        <v>0</v>
      </c>
      <c r="BD399">
        <f t="shared" si="248"/>
        <v>0</v>
      </c>
      <c r="BE399">
        <f t="shared" si="249"/>
        <v>0</v>
      </c>
      <c r="BF399">
        <f t="shared" si="250"/>
        <v>0</v>
      </c>
      <c r="BG399">
        <f t="shared" si="251"/>
        <v>0</v>
      </c>
      <c r="BH399">
        <f t="shared" si="252"/>
        <v>0</v>
      </c>
      <c r="BI399">
        <f t="shared" si="253"/>
        <v>0</v>
      </c>
    </row>
    <row r="400" spans="1:61" x14ac:dyDescent="0.35">
      <c r="A400" t="s">
        <v>196</v>
      </c>
      <c r="B400" s="1">
        <v>36950</v>
      </c>
      <c r="C400" t="s">
        <v>862</v>
      </c>
      <c r="D400" t="s">
        <v>45</v>
      </c>
      <c r="E400" t="s">
        <v>859</v>
      </c>
      <c r="F400" t="s">
        <v>497</v>
      </c>
      <c r="G400" t="s">
        <v>64</v>
      </c>
      <c r="H400" s="139">
        <f t="shared" si="227"/>
        <v>1</v>
      </c>
      <c r="I400" t="s">
        <v>234</v>
      </c>
      <c r="J400" t="s">
        <v>326</v>
      </c>
      <c r="K400" s="2">
        <f t="shared" si="230"/>
        <v>8</v>
      </c>
      <c r="L400">
        <v>1372000000</v>
      </c>
      <c r="M400" s="2">
        <f t="shared" si="231"/>
        <v>9.1373541113707333</v>
      </c>
      <c r="N400">
        <f t="shared" si="254"/>
        <v>1372000000</v>
      </c>
      <c r="O400">
        <v>0</v>
      </c>
      <c r="P400" s="1">
        <v>38141</v>
      </c>
      <c r="Q400" s="89">
        <f t="shared" si="232"/>
        <v>2004</v>
      </c>
      <c r="R400" t="s">
        <v>107</v>
      </c>
      <c r="S400">
        <v>1840000000</v>
      </c>
      <c r="T400" s="21">
        <f t="shared" si="224"/>
        <v>3.2630136986301368</v>
      </c>
      <c r="U400">
        <v>5441.73</v>
      </c>
      <c r="V400">
        <f t="shared" si="233"/>
        <v>3.7358167906061537</v>
      </c>
      <c r="W400">
        <v>2000</v>
      </c>
      <c r="X400">
        <v>1</v>
      </c>
      <c r="Y400">
        <f t="shared" si="234"/>
        <v>0.3010299956639812</v>
      </c>
      <c r="Z400" s="45">
        <v>2.81</v>
      </c>
      <c r="AA400" s="9">
        <f t="shared" si="223"/>
        <v>468000000</v>
      </c>
      <c r="AB400" s="15">
        <f t="shared" si="225"/>
        <v>0.34110787172011658</v>
      </c>
      <c r="AC400" s="34">
        <f t="shared" si="235"/>
        <v>0.12746371163880357</v>
      </c>
      <c r="AD400">
        <v>2445.7102171591318</v>
      </c>
      <c r="AE400">
        <f t="shared" si="228"/>
        <v>3.3884049978579722</v>
      </c>
      <c r="AF400">
        <v>7210.2229667110805</v>
      </c>
      <c r="AG400">
        <f t="shared" si="229"/>
        <v>3.8579486949156889</v>
      </c>
      <c r="AH400" s="9">
        <v>125.833333333333</v>
      </c>
      <c r="AI400" s="9">
        <f t="shared" si="236"/>
        <v>2.103233406386928</v>
      </c>
      <c r="AJ400">
        <v>85</v>
      </c>
      <c r="AK400" s="23" t="s">
        <v>305</v>
      </c>
      <c r="AL400" s="42">
        <v>35.608384832026097</v>
      </c>
      <c r="AM400" s="24">
        <v>-0.1</v>
      </c>
      <c r="AN400" s="34">
        <f t="shared" si="237"/>
        <v>-4.5757490560675115E-2</v>
      </c>
      <c r="AO400">
        <v>2003</v>
      </c>
      <c r="AP400">
        <v>0</v>
      </c>
      <c r="AQ400">
        <v>70</v>
      </c>
      <c r="AR400">
        <v>70</v>
      </c>
      <c r="AS400">
        <f t="shared" si="226"/>
        <v>0</v>
      </c>
      <c r="AT400">
        <f t="shared" si="238"/>
        <v>1</v>
      </c>
      <c r="AU400">
        <f t="shared" si="239"/>
        <v>0</v>
      </c>
      <c r="AV400">
        <f t="shared" si="240"/>
        <v>0</v>
      </c>
      <c r="AW400">
        <f t="shared" si="241"/>
        <v>0</v>
      </c>
      <c r="AX400">
        <f t="shared" si="242"/>
        <v>0</v>
      </c>
      <c r="AY400">
        <f t="shared" si="243"/>
        <v>0</v>
      </c>
      <c r="AZ400">
        <f t="shared" si="244"/>
        <v>0</v>
      </c>
      <c r="BA400">
        <f t="shared" si="245"/>
        <v>0</v>
      </c>
      <c r="BB400">
        <f t="shared" si="246"/>
        <v>0</v>
      </c>
      <c r="BC400">
        <f t="shared" si="247"/>
        <v>0</v>
      </c>
      <c r="BD400">
        <f t="shared" si="248"/>
        <v>0</v>
      </c>
      <c r="BE400">
        <f t="shared" si="249"/>
        <v>0</v>
      </c>
      <c r="BF400">
        <f t="shared" si="250"/>
        <v>0</v>
      </c>
      <c r="BG400">
        <f t="shared" si="251"/>
        <v>0</v>
      </c>
      <c r="BH400">
        <f t="shared" si="252"/>
        <v>0</v>
      </c>
      <c r="BI400">
        <f t="shared" si="253"/>
        <v>0</v>
      </c>
    </row>
    <row r="401" spans="1:61" x14ac:dyDescent="0.35">
      <c r="A401" t="s">
        <v>853</v>
      </c>
      <c r="B401" s="1">
        <v>36864</v>
      </c>
      <c r="C401" t="s">
        <v>863</v>
      </c>
      <c r="D401" t="s">
        <v>45</v>
      </c>
      <c r="E401" t="s">
        <v>859</v>
      </c>
      <c r="F401" t="s">
        <v>497</v>
      </c>
      <c r="G401" t="s">
        <v>64</v>
      </c>
      <c r="H401" s="139">
        <f t="shared" si="227"/>
        <v>1</v>
      </c>
      <c r="I401" t="s">
        <v>234</v>
      </c>
      <c r="J401" t="s">
        <v>864</v>
      </c>
      <c r="K401" s="2" t="str">
        <f t="shared" si="230"/>
        <v/>
      </c>
      <c r="L401">
        <v>150000000</v>
      </c>
      <c r="M401" s="2">
        <f t="shared" si="231"/>
        <v>8.1760912590556813</v>
      </c>
      <c r="N401">
        <f t="shared" si="254"/>
        <v>150000000</v>
      </c>
      <c r="O401">
        <v>0</v>
      </c>
      <c r="P401" s="1">
        <v>38055</v>
      </c>
      <c r="Q401" s="89">
        <f t="shared" si="232"/>
        <v>2004</v>
      </c>
      <c r="R401" t="s">
        <v>322</v>
      </c>
      <c r="S401">
        <v>363110000</v>
      </c>
      <c r="T401" s="21">
        <f t="shared" si="224"/>
        <v>3.2630136986301368</v>
      </c>
      <c r="U401">
        <v>5441.73</v>
      </c>
      <c r="V401">
        <f t="shared" si="233"/>
        <v>3.7358167906061537</v>
      </c>
      <c r="W401">
        <v>1892</v>
      </c>
      <c r="X401">
        <v>108</v>
      </c>
      <c r="Y401">
        <f t="shared" si="234"/>
        <v>2.0374264979406238</v>
      </c>
      <c r="Z401" s="45">
        <v>2.81</v>
      </c>
      <c r="AA401" s="9">
        <f t="shared" si="223"/>
        <v>213110000</v>
      </c>
      <c r="AB401" s="15">
        <f t="shared" si="225"/>
        <v>1.4207333333333332</v>
      </c>
      <c r="AC401" s="34">
        <f t="shared" si="235"/>
        <v>0.38394695043285532</v>
      </c>
      <c r="AD401">
        <v>2445.7102171591318</v>
      </c>
      <c r="AE401">
        <f t="shared" si="228"/>
        <v>3.3884049978579722</v>
      </c>
      <c r="AF401">
        <v>7210.2229667110805</v>
      </c>
      <c r="AG401">
        <f t="shared" si="229"/>
        <v>3.8579486949156889</v>
      </c>
      <c r="AH401" s="9">
        <v>125.833333333333</v>
      </c>
      <c r="AI401" s="9">
        <f t="shared" si="236"/>
        <v>2.103233406386928</v>
      </c>
      <c r="AJ401">
        <v>85</v>
      </c>
      <c r="AK401" s="23" t="s">
        <v>351</v>
      </c>
      <c r="AL401" s="42">
        <v>34.298950279384798</v>
      </c>
      <c r="AM401" s="24">
        <v>-0.14000000000000001</v>
      </c>
      <c r="AN401" s="34">
        <f t="shared" si="237"/>
        <v>-6.5501548756432285E-2</v>
      </c>
      <c r="AO401">
        <v>2003</v>
      </c>
      <c r="AP401">
        <v>0</v>
      </c>
      <c r="AQ401">
        <v>70</v>
      </c>
      <c r="AR401">
        <v>70</v>
      </c>
      <c r="AS401">
        <f t="shared" si="226"/>
        <v>0</v>
      </c>
      <c r="AT401">
        <f t="shared" si="238"/>
        <v>1</v>
      </c>
      <c r="AU401">
        <f t="shared" si="239"/>
        <v>0</v>
      </c>
      <c r="AV401">
        <f t="shared" si="240"/>
        <v>0</v>
      </c>
      <c r="AW401">
        <f t="shared" si="241"/>
        <v>0</v>
      </c>
      <c r="AX401">
        <f t="shared" si="242"/>
        <v>0</v>
      </c>
      <c r="AY401">
        <f t="shared" si="243"/>
        <v>0</v>
      </c>
      <c r="AZ401">
        <f t="shared" si="244"/>
        <v>0</v>
      </c>
      <c r="BA401">
        <f t="shared" si="245"/>
        <v>0</v>
      </c>
      <c r="BB401">
        <f t="shared" si="246"/>
        <v>0</v>
      </c>
      <c r="BC401">
        <f t="shared" si="247"/>
        <v>0</v>
      </c>
      <c r="BD401">
        <f t="shared" si="248"/>
        <v>0</v>
      </c>
      <c r="BE401">
        <f t="shared" si="249"/>
        <v>0</v>
      </c>
      <c r="BF401">
        <f t="shared" si="250"/>
        <v>0</v>
      </c>
      <c r="BG401">
        <f t="shared" si="251"/>
        <v>0</v>
      </c>
      <c r="BH401">
        <f t="shared" si="252"/>
        <v>0</v>
      </c>
      <c r="BI401">
        <f t="shared" si="253"/>
        <v>0</v>
      </c>
    </row>
    <row r="402" spans="1:61" x14ac:dyDescent="0.35">
      <c r="A402" t="s">
        <v>196</v>
      </c>
      <c r="B402" s="1">
        <v>36693</v>
      </c>
      <c r="C402" t="s">
        <v>230</v>
      </c>
      <c r="D402" t="s">
        <v>59</v>
      </c>
      <c r="E402" t="s">
        <v>859</v>
      </c>
      <c r="F402" t="s">
        <v>497</v>
      </c>
      <c r="G402" t="s">
        <v>64</v>
      </c>
      <c r="H402" s="139">
        <f t="shared" si="227"/>
        <v>1</v>
      </c>
      <c r="I402" t="s">
        <v>234</v>
      </c>
      <c r="J402" t="s">
        <v>269</v>
      </c>
      <c r="K402" s="2">
        <f t="shared" si="230"/>
        <v>7</v>
      </c>
      <c r="L402">
        <v>2254990000</v>
      </c>
      <c r="M402" s="2">
        <f t="shared" si="231"/>
        <v>9.3531446202918289</v>
      </c>
      <c r="N402">
        <f t="shared" si="254"/>
        <v>2254990000</v>
      </c>
      <c r="O402">
        <v>0</v>
      </c>
      <c r="P402" s="1">
        <v>39064</v>
      </c>
      <c r="Q402" s="89">
        <f t="shared" si="232"/>
        <v>2006</v>
      </c>
      <c r="R402" t="s">
        <v>152</v>
      </c>
      <c r="S402">
        <v>3500000000</v>
      </c>
      <c r="T402" s="21">
        <f t="shared" si="224"/>
        <v>6.4958904109589044</v>
      </c>
      <c r="U402">
        <v>463.97</v>
      </c>
      <c r="V402">
        <f t="shared" si="233"/>
        <v>2.6674249329872439</v>
      </c>
      <c r="W402">
        <v>1948</v>
      </c>
      <c r="X402">
        <v>52</v>
      </c>
      <c r="Y402">
        <f t="shared" si="234"/>
        <v>1.7242758696007889</v>
      </c>
      <c r="Z402" s="45">
        <v>2.81</v>
      </c>
      <c r="AA402" s="9">
        <f t="shared" si="223"/>
        <v>1245010000</v>
      </c>
      <c r="AB402" s="15">
        <f t="shared" si="225"/>
        <v>0.55211331314107825</v>
      </c>
      <c r="AC402" s="34">
        <f t="shared" si="235"/>
        <v>0.19092342405844648</v>
      </c>
      <c r="AD402">
        <v>2445.7102171591318</v>
      </c>
      <c r="AE402">
        <f t="shared" si="228"/>
        <v>3.3884049978579722</v>
      </c>
      <c r="AF402">
        <v>7210.2229667110805</v>
      </c>
      <c r="AG402">
        <f t="shared" si="229"/>
        <v>3.8579486949156889</v>
      </c>
      <c r="AH402" s="9">
        <v>193.166666666667</v>
      </c>
      <c r="AI402" s="9">
        <f t="shared" si="236"/>
        <v>2.2881746749783951</v>
      </c>
      <c r="AJ402">
        <v>85</v>
      </c>
      <c r="AK402" s="23" t="s">
        <v>78</v>
      </c>
      <c r="AL402" s="42">
        <v>35.433808146393098</v>
      </c>
      <c r="AM402" s="24">
        <v>-0.03</v>
      </c>
      <c r="AN402" s="34">
        <f t="shared" si="237"/>
        <v>-1.322826573375516E-2</v>
      </c>
      <c r="AO402">
        <v>2003</v>
      </c>
      <c r="AP402">
        <v>0</v>
      </c>
      <c r="AQ402">
        <v>70</v>
      </c>
      <c r="AR402">
        <v>70</v>
      </c>
      <c r="AS402">
        <f t="shared" si="226"/>
        <v>0</v>
      </c>
      <c r="AT402">
        <f t="shared" si="238"/>
        <v>0</v>
      </c>
      <c r="AU402">
        <f t="shared" si="239"/>
        <v>1</v>
      </c>
      <c r="AV402">
        <f t="shared" si="240"/>
        <v>0</v>
      </c>
      <c r="AW402">
        <f t="shared" si="241"/>
        <v>0</v>
      </c>
      <c r="AX402">
        <f t="shared" si="242"/>
        <v>0</v>
      </c>
      <c r="AY402">
        <f t="shared" si="243"/>
        <v>0</v>
      </c>
      <c r="AZ402">
        <f t="shared" si="244"/>
        <v>0</v>
      </c>
      <c r="BA402">
        <f t="shared" si="245"/>
        <v>0</v>
      </c>
      <c r="BB402">
        <f t="shared" si="246"/>
        <v>0</v>
      </c>
      <c r="BC402">
        <f t="shared" si="247"/>
        <v>0</v>
      </c>
      <c r="BD402">
        <f t="shared" si="248"/>
        <v>0</v>
      </c>
      <c r="BE402">
        <f t="shared" si="249"/>
        <v>0</v>
      </c>
      <c r="BF402">
        <f t="shared" si="250"/>
        <v>0</v>
      </c>
      <c r="BG402">
        <f t="shared" si="251"/>
        <v>0</v>
      </c>
      <c r="BH402">
        <f t="shared" si="252"/>
        <v>0</v>
      </c>
      <c r="BI402">
        <f t="shared" si="253"/>
        <v>0</v>
      </c>
    </row>
    <row r="403" spans="1:61" x14ac:dyDescent="0.35">
      <c r="A403" t="s">
        <v>196</v>
      </c>
      <c r="B403" s="1">
        <v>41494</v>
      </c>
      <c r="C403" t="s">
        <v>865</v>
      </c>
      <c r="D403" t="s">
        <v>434</v>
      </c>
      <c r="E403" t="s">
        <v>866</v>
      </c>
      <c r="F403" t="s">
        <v>45</v>
      </c>
      <c r="G403" t="s">
        <v>64</v>
      </c>
      <c r="H403" s="139">
        <f t="shared" si="227"/>
        <v>1</v>
      </c>
      <c r="I403" t="s">
        <v>234</v>
      </c>
      <c r="J403" t="s">
        <v>178</v>
      </c>
      <c r="K403" s="2">
        <f t="shared" si="230"/>
        <v>9</v>
      </c>
      <c r="L403">
        <v>119600000</v>
      </c>
      <c r="M403" s="2">
        <f t="shared" si="231"/>
        <v>8.0777311796523925</v>
      </c>
      <c r="N403">
        <f t="shared" si="254"/>
        <v>119600000</v>
      </c>
      <c r="O403">
        <v>0</v>
      </c>
      <c r="P403" s="1">
        <v>42536</v>
      </c>
      <c r="Q403" s="89">
        <f t="shared" si="232"/>
        <v>2016</v>
      </c>
      <c r="R403" t="s">
        <v>107</v>
      </c>
      <c r="S403">
        <v>240600000</v>
      </c>
      <c r="T403" s="21">
        <f t="shared" si="224"/>
        <v>2.8547945205479452</v>
      </c>
      <c r="U403">
        <v>7216.98</v>
      </c>
      <c r="V403">
        <f t="shared" si="233"/>
        <v>3.8584156743566731</v>
      </c>
      <c r="W403">
        <v>1980</v>
      </c>
      <c r="X403">
        <v>33</v>
      </c>
      <c r="Y403">
        <f t="shared" si="234"/>
        <v>1.5314789170422551</v>
      </c>
      <c r="Z403" s="45">
        <v>2.66</v>
      </c>
      <c r="AA403" s="9">
        <f t="shared" si="223"/>
        <v>121000000</v>
      </c>
      <c r="AB403" s="15">
        <f t="shared" si="225"/>
        <v>1.011705685618729</v>
      </c>
      <c r="AC403" s="34">
        <f t="shared" si="235"/>
        <v>0.3035644433514339</v>
      </c>
      <c r="AD403">
        <v>1537.2400756143668</v>
      </c>
      <c r="AE403">
        <f t="shared" si="228"/>
        <v>3.1867416979308154</v>
      </c>
      <c r="AF403">
        <v>4542.1550094517952</v>
      </c>
      <c r="AG403">
        <f t="shared" si="229"/>
        <v>3.6572619512401316</v>
      </c>
      <c r="AH403" s="9">
        <v>649.83333333333303</v>
      </c>
      <c r="AI403" s="9">
        <f t="shared" si="236"/>
        <v>2.8134697878296753</v>
      </c>
      <c r="AJ403">
        <v>76.900000000000006</v>
      </c>
      <c r="AK403" s="23" t="s">
        <v>513</v>
      </c>
      <c r="AL403" s="42">
        <v>51.064530698041601</v>
      </c>
      <c r="AM403" s="24">
        <v>0.22</v>
      </c>
      <c r="AN403" s="34">
        <f t="shared" si="237"/>
        <v>8.6359830674748214E-2</v>
      </c>
      <c r="AO403">
        <v>2001</v>
      </c>
      <c r="AP403">
        <v>12</v>
      </c>
      <c r="AQ403">
        <v>90</v>
      </c>
      <c r="AR403">
        <v>70</v>
      </c>
      <c r="AS403">
        <f t="shared" si="226"/>
        <v>0</v>
      </c>
      <c r="AT403">
        <f t="shared" si="238"/>
        <v>0</v>
      </c>
      <c r="AU403">
        <f t="shared" si="239"/>
        <v>0</v>
      </c>
      <c r="AV403">
        <f t="shared" si="240"/>
        <v>0</v>
      </c>
      <c r="AW403">
        <f t="shared" si="241"/>
        <v>0</v>
      </c>
      <c r="AX403">
        <f t="shared" si="242"/>
        <v>0</v>
      </c>
      <c r="AY403">
        <f t="shared" si="243"/>
        <v>0</v>
      </c>
      <c r="AZ403">
        <f t="shared" si="244"/>
        <v>0</v>
      </c>
      <c r="BA403">
        <f t="shared" si="245"/>
        <v>0</v>
      </c>
      <c r="BB403">
        <f t="shared" si="246"/>
        <v>0</v>
      </c>
      <c r="BC403">
        <f t="shared" si="247"/>
        <v>1</v>
      </c>
      <c r="BD403">
        <f t="shared" si="248"/>
        <v>0</v>
      </c>
      <c r="BE403">
        <f t="shared" si="249"/>
        <v>0</v>
      </c>
      <c r="BF403">
        <f t="shared" si="250"/>
        <v>0</v>
      </c>
      <c r="BG403">
        <f t="shared" si="251"/>
        <v>0</v>
      </c>
      <c r="BH403">
        <f t="shared" si="252"/>
        <v>0</v>
      </c>
      <c r="BI403">
        <f t="shared" si="253"/>
        <v>0</v>
      </c>
    </row>
    <row r="404" spans="1:61" x14ac:dyDescent="0.35">
      <c r="A404" t="s">
        <v>867</v>
      </c>
      <c r="B404" s="1">
        <v>39082</v>
      </c>
      <c r="C404" t="s">
        <v>868</v>
      </c>
      <c r="D404" t="s">
        <v>434</v>
      </c>
      <c r="E404" t="s">
        <v>869</v>
      </c>
      <c r="F404" t="s">
        <v>45</v>
      </c>
      <c r="G404" t="s">
        <v>64</v>
      </c>
      <c r="H404" s="139">
        <f t="shared" si="227"/>
        <v>1</v>
      </c>
      <c r="I404" t="s">
        <v>289</v>
      </c>
      <c r="J404" t="s">
        <v>248</v>
      </c>
      <c r="K404" s="2">
        <f t="shared" si="230"/>
        <v>5</v>
      </c>
      <c r="L404">
        <v>740000000</v>
      </c>
      <c r="M404" s="2">
        <f t="shared" si="231"/>
        <v>8.8692317197309762</v>
      </c>
      <c r="N404">
        <f t="shared" si="254"/>
        <v>740000000</v>
      </c>
      <c r="O404">
        <v>0</v>
      </c>
      <c r="P404" s="1">
        <v>39519</v>
      </c>
      <c r="Q404" s="89">
        <f t="shared" si="232"/>
        <v>2008</v>
      </c>
      <c r="R404" t="s">
        <v>107</v>
      </c>
      <c r="S404">
        <v>835500000</v>
      </c>
      <c r="T404" s="21">
        <f t="shared" si="224"/>
        <v>1.1972602739726028</v>
      </c>
      <c r="U404">
        <v>7216.98</v>
      </c>
      <c r="V404">
        <f t="shared" si="233"/>
        <v>3.8584156743566731</v>
      </c>
      <c r="W404">
        <v>1890</v>
      </c>
      <c r="X404">
        <v>116</v>
      </c>
      <c r="Y404">
        <f t="shared" si="234"/>
        <v>2.0681858617461617</v>
      </c>
      <c r="Z404" s="45">
        <v>2.66</v>
      </c>
      <c r="AA404" s="9">
        <f t="shared" si="223"/>
        <v>95500000</v>
      </c>
      <c r="AB404" s="15">
        <f t="shared" si="225"/>
        <v>0.12905405405405412</v>
      </c>
      <c r="AC404" s="34">
        <f t="shared" si="235"/>
        <v>5.2714734498433974E-2</v>
      </c>
      <c r="AD404">
        <v>1537.2400756143668</v>
      </c>
      <c r="AE404">
        <f t="shared" si="228"/>
        <v>3.1867416979308154</v>
      </c>
      <c r="AF404">
        <v>4542.1550094517952</v>
      </c>
      <c r="AG404">
        <f t="shared" si="229"/>
        <v>3.6572619512401316</v>
      </c>
      <c r="AH404" s="9">
        <v>649.83333333333303</v>
      </c>
      <c r="AI404" s="9">
        <f t="shared" si="236"/>
        <v>2.8134697878296753</v>
      </c>
      <c r="AJ404">
        <v>78.400000000000006</v>
      </c>
      <c r="AK404" s="23" t="s">
        <v>454</v>
      </c>
      <c r="AL404" s="42">
        <v>47.629620244041597</v>
      </c>
      <c r="AM404" s="24">
        <v>-0.08</v>
      </c>
      <c r="AN404" s="34">
        <f t="shared" si="237"/>
        <v>-3.6212172654444715E-2</v>
      </c>
      <c r="AO404">
        <v>2001</v>
      </c>
      <c r="AP404">
        <v>5</v>
      </c>
      <c r="AQ404">
        <v>90</v>
      </c>
      <c r="AR404">
        <v>70</v>
      </c>
      <c r="AS404">
        <f t="shared" si="226"/>
        <v>0</v>
      </c>
      <c r="AT404">
        <f t="shared" si="238"/>
        <v>0</v>
      </c>
      <c r="AU404">
        <f t="shared" si="239"/>
        <v>0</v>
      </c>
      <c r="AV404">
        <f t="shared" si="240"/>
        <v>0</v>
      </c>
      <c r="AW404">
        <f t="shared" si="241"/>
        <v>0</v>
      </c>
      <c r="AX404">
        <f t="shared" si="242"/>
        <v>0</v>
      </c>
      <c r="AY404">
        <f t="shared" si="243"/>
        <v>0</v>
      </c>
      <c r="AZ404">
        <f t="shared" si="244"/>
        <v>0</v>
      </c>
      <c r="BA404">
        <f t="shared" si="245"/>
        <v>0</v>
      </c>
      <c r="BB404">
        <f t="shared" si="246"/>
        <v>0</v>
      </c>
      <c r="BC404">
        <f t="shared" si="247"/>
        <v>1</v>
      </c>
      <c r="BD404">
        <f t="shared" si="248"/>
        <v>0</v>
      </c>
      <c r="BE404">
        <f t="shared" si="249"/>
        <v>0</v>
      </c>
      <c r="BF404">
        <f t="shared" si="250"/>
        <v>0</v>
      </c>
      <c r="BG404">
        <f t="shared" si="251"/>
        <v>0</v>
      </c>
      <c r="BH404">
        <f t="shared" si="252"/>
        <v>0</v>
      </c>
      <c r="BI404">
        <f t="shared" si="253"/>
        <v>0</v>
      </c>
    </row>
    <row r="405" spans="1:61" x14ac:dyDescent="0.35">
      <c r="A405" t="s">
        <v>196</v>
      </c>
      <c r="B405" s="1">
        <v>38119</v>
      </c>
      <c r="C405" t="s">
        <v>870</v>
      </c>
      <c r="D405" t="s">
        <v>163</v>
      </c>
      <c r="E405" t="s">
        <v>871</v>
      </c>
      <c r="F405" t="s">
        <v>45</v>
      </c>
      <c r="G405" t="s">
        <v>64</v>
      </c>
      <c r="H405" s="139">
        <f t="shared" si="227"/>
        <v>1</v>
      </c>
      <c r="I405" t="s">
        <v>234</v>
      </c>
      <c r="J405" t="s">
        <v>326</v>
      </c>
      <c r="K405" s="2">
        <f t="shared" si="230"/>
        <v>8</v>
      </c>
      <c r="L405">
        <v>243000000</v>
      </c>
      <c r="M405" s="2">
        <f t="shared" si="231"/>
        <v>8.385606273598313</v>
      </c>
      <c r="N405">
        <f t="shared" si="254"/>
        <v>243000000</v>
      </c>
      <c r="O405">
        <v>0</v>
      </c>
      <c r="P405" s="1">
        <v>39238</v>
      </c>
      <c r="Q405" s="89">
        <f t="shared" si="232"/>
        <v>2007</v>
      </c>
      <c r="R405" t="s">
        <v>107</v>
      </c>
      <c r="S405">
        <v>565000000</v>
      </c>
      <c r="T405" s="21">
        <f t="shared" si="224"/>
        <v>3.0657534246575344</v>
      </c>
      <c r="U405">
        <v>6164.6</v>
      </c>
      <c r="V405">
        <f t="shared" si="233"/>
        <v>3.7899753459779522</v>
      </c>
      <c r="W405">
        <v>1945</v>
      </c>
      <c r="X405">
        <v>59</v>
      </c>
      <c r="Y405">
        <f t="shared" si="234"/>
        <v>1.7781512503836436</v>
      </c>
      <c r="Z405" s="45">
        <v>3.18</v>
      </c>
      <c r="AA405" s="9">
        <f t="shared" si="223"/>
        <v>322000000</v>
      </c>
      <c r="AB405" s="15">
        <f t="shared" si="225"/>
        <v>1.3251028806584362</v>
      </c>
      <c r="AC405" s="34">
        <f t="shared" si="235"/>
        <v>0.36644217422112635</v>
      </c>
      <c r="AD405">
        <v>5644.4444444444434</v>
      </c>
      <c r="AE405">
        <f t="shared" si="228"/>
        <v>3.7516212028445941</v>
      </c>
      <c r="AF405">
        <v>4755.5555555555557</v>
      </c>
      <c r="AG405">
        <f t="shared" si="229"/>
        <v>3.677201259573847</v>
      </c>
      <c r="AH405" s="9">
        <v>583.83333333333303</v>
      </c>
      <c r="AI405" s="9">
        <f t="shared" si="236"/>
        <v>2.7670321178317625</v>
      </c>
      <c r="AJ405">
        <v>70</v>
      </c>
      <c r="AK405" s="23" t="s">
        <v>243</v>
      </c>
      <c r="AL405" s="42">
        <v>52.984855215816303</v>
      </c>
      <c r="AM405" s="24">
        <v>0.4</v>
      </c>
      <c r="AN405" s="34">
        <f t="shared" si="237"/>
        <v>0.14612803567823801</v>
      </c>
      <c r="AO405">
        <v>1998</v>
      </c>
      <c r="AP405">
        <v>6</v>
      </c>
      <c r="AQ405">
        <v>85</v>
      </c>
      <c r="AR405">
        <v>80</v>
      </c>
      <c r="AS405">
        <f t="shared" si="226"/>
        <v>0</v>
      </c>
      <c r="AT405">
        <f t="shared" si="238"/>
        <v>0</v>
      </c>
      <c r="AU405">
        <f t="shared" si="239"/>
        <v>0</v>
      </c>
      <c r="AV405">
        <f t="shared" si="240"/>
        <v>0</v>
      </c>
      <c r="AW405">
        <f t="shared" si="241"/>
        <v>0</v>
      </c>
      <c r="AX405">
        <f t="shared" si="242"/>
        <v>0</v>
      </c>
      <c r="AY405">
        <f t="shared" si="243"/>
        <v>0</v>
      </c>
      <c r="AZ405">
        <f t="shared" si="244"/>
        <v>1</v>
      </c>
      <c r="BA405">
        <f t="shared" si="245"/>
        <v>0</v>
      </c>
      <c r="BB405">
        <f t="shared" si="246"/>
        <v>0</v>
      </c>
      <c r="BC405">
        <f t="shared" si="247"/>
        <v>0</v>
      </c>
      <c r="BD405">
        <f t="shared" si="248"/>
        <v>0</v>
      </c>
      <c r="BE405">
        <f t="shared" si="249"/>
        <v>0</v>
      </c>
      <c r="BF405">
        <f t="shared" si="250"/>
        <v>0</v>
      </c>
      <c r="BG405">
        <f t="shared" si="251"/>
        <v>0</v>
      </c>
      <c r="BH405">
        <f t="shared" si="252"/>
        <v>0</v>
      </c>
      <c r="BI405">
        <f t="shared" si="253"/>
        <v>0</v>
      </c>
    </row>
    <row r="406" spans="1:61" x14ac:dyDescent="0.35">
      <c r="A406" t="s">
        <v>853</v>
      </c>
      <c r="B406" s="1">
        <v>32386</v>
      </c>
      <c r="C406" s="8" t="s">
        <v>872</v>
      </c>
      <c r="D406" t="s">
        <v>4</v>
      </c>
      <c r="E406" t="s">
        <v>873</v>
      </c>
      <c r="F406" t="s">
        <v>45</v>
      </c>
      <c r="G406" t="s">
        <v>64</v>
      </c>
      <c r="H406" s="139">
        <f t="shared" si="227"/>
        <v>1</v>
      </c>
      <c r="I406" t="s">
        <v>234</v>
      </c>
      <c r="J406" t="s">
        <v>178</v>
      </c>
      <c r="K406" s="2">
        <f t="shared" si="230"/>
        <v>9</v>
      </c>
      <c r="L406">
        <v>7200000</v>
      </c>
      <c r="M406" s="2">
        <f t="shared" si="231"/>
        <v>6.8573324964312681</v>
      </c>
      <c r="N406">
        <f t="shared" si="254"/>
        <v>7200000</v>
      </c>
      <c r="O406">
        <v>0</v>
      </c>
      <c r="P406" s="1">
        <v>33056</v>
      </c>
      <c r="Q406" s="89">
        <f t="shared" si="232"/>
        <v>1990</v>
      </c>
      <c r="R406" t="s">
        <v>107</v>
      </c>
      <c r="S406">
        <v>55000000</v>
      </c>
      <c r="T406" s="21">
        <f t="shared" si="224"/>
        <v>1.8356164383561644</v>
      </c>
      <c r="U406">
        <v>6635.86</v>
      </c>
      <c r="V406">
        <f t="shared" si="233"/>
        <v>3.8219626565950726</v>
      </c>
      <c r="W406">
        <v>1991</v>
      </c>
      <c r="X406">
        <v>0</v>
      </c>
      <c r="Y406">
        <f t="shared" si="234"/>
        <v>0</v>
      </c>
      <c r="Z406" s="45">
        <v>3.03</v>
      </c>
      <c r="AA406" s="9">
        <f t="shared" si="223"/>
        <v>47800000</v>
      </c>
      <c r="AB406" s="15">
        <f t="shared" si="225"/>
        <v>6.6388888888888893</v>
      </c>
      <c r="AC406" s="34">
        <f t="shared" si="235"/>
        <v>0.88303019306297537</v>
      </c>
      <c r="AD406">
        <v>2387.5432525951551</v>
      </c>
      <c r="AE406">
        <f t="shared" si="228"/>
        <v>3.3779512479807074</v>
      </c>
      <c r="AF406">
        <v>5847.7508650519039</v>
      </c>
      <c r="AG406">
        <f t="shared" si="229"/>
        <v>3.7669888618571257</v>
      </c>
      <c r="AH406" s="9">
        <v>808</v>
      </c>
      <c r="AI406" s="9">
        <f t="shared" si="236"/>
        <v>2.9079485216122722</v>
      </c>
      <c r="AJ406">
        <v>70</v>
      </c>
      <c r="AK406" s="23" t="s">
        <v>270</v>
      </c>
      <c r="AL406" s="42">
        <v>40.994444916013499</v>
      </c>
      <c r="AM406" s="24">
        <v>0.37</v>
      </c>
      <c r="AN406" s="34">
        <f t="shared" si="237"/>
        <v>0.13672056715640679</v>
      </c>
      <c r="AO406">
        <v>1931</v>
      </c>
      <c r="AP406">
        <v>57</v>
      </c>
      <c r="AQ406">
        <v>70</v>
      </c>
      <c r="AR406">
        <v>50</v>
      </c>
      <c r="AS406">
        <f t="shared" si="226"/>
        <v>0</v>
      </c>
      <c r="AT406">
        <f t="shared" si="238"/>
        <v>0</v>
      </c>
      <c r="AU406">
        <f t="shared" si="239"/>
        <v>0</v>
      </c>
      <c r="AV406">
        <f t="shared" si="240"/>
        <v>0</v>
      </c>
      <c r="AW406">
        <f t="shared" si="241"/>
        <v>0</v>
      </c>
      <c r="AX406">
        <f t="shared" si="242"/>
        <v>1</v>
      </c>
      <c r="AY406">
        <f t="shared" si="243"/>
        <v>0</v>
      </c>
      <c r="AZ406">
        <f t="shared" si="244"/>
        <v>0</v>
      </c>
      <c r="BA406">
        <f t="shared" si="245"/>
        <v>0</v>
      </c>
      <c r="BB406">
        <f t="shared" si="246"/>
        <v>0</v>
      </c>
      <c r="BC406">
        <f t="shared" si="247"/>
        <v>0</v>
      </c>
      <c r="BD406">
        <f t="shared" si="248"/>
        <v>0</v>
      </c>
      <c r="BE406">
        <f t="shared" si="249"/>
        <v>0</v>
      </c>
      <c r="BF406">
        <f t="shared" si="250"/>
        <v>0</v>
      </c>
      <c r="BG406">
        <f t="shared" si="251"/>
        <v>0</v>
      </c>
      <c r="BH406">
        <f t="shared" si="252"/>
        <v>0</v>
      </c>
      <c r="BI406">
        <f t="shared" si="253"/>
        <v>0</v>
      </c>
    </row>
    <row r="407" spans="1:61" s="35" customFormat="1" ht="18" customHeight="1" x14ac:dyDescent="0.35">
      <c r="A407" s="35" t="s">
        <v>196</v>
      </c>
      <c r="B407" s="36">
        <v>40515</v>
      </c>
      <c r="C407" s="35" t="s">
        <v>504</v>
      </c>
      <c r="D407" s="35" t="s">
        <v>59</v>
      </c>
      <c r="E407" s="35" t="s">
        <v>874</v>
      </c>
      <c r="F407" s="35" t="s">
        <v>45</v>
      </c>
      <c r="G407" s="35" t="s">
        <v>64</v>
      </c>
      <c r="H407" s="139">
        <f t="shared" si="227"/>
        <v>1</v>
      </c>
      <c r="I407" s="35" t="s">
        <v>289</v>
      </c>
      <c r="J407" s="35" t="s">
        <v>245</v>
      </c>
      <c r="K407" s="2">
        <f t="shared" si="230"/>
        <v>6</v>
      </c>
      <c r="L407" s="35">
        <v>2100000000</v>
      </c>
      <c r="M407" s="2">
        <f t="shared" si="231"/>
        <v>9.3222192947339195</v>
      </c>
      <c r="N407" s="35">
        <f t="shared" si="254"/>
        <v>2100000000</v>
      </c>
      <c r="O407" s="35">
        <v>0</v>
      </c>
      <c r="P407" s="36">
        <v>42110</v>
      </c>
      <c r="Q407" s="89">
        <f t="shared" si="232"/>
        <v>2015</v>
      </c>
      <c r="R407" s="35" t="s">
        <v>107</v>
      </c>
      <c r="S407" s="35">
        <v>2500000000</v>
      </c>
      <c r="T407" s="21">
        <f t="shared" si="224"/>
        <v>4.3698630136986303</v>
      </c>
      <c r="U407" s="35">
        <v>5897.96</v>
      </c>
      <c r="V407" s="35">
        <f t="shared" si="233"/>
        <v>3.7707754512906644</v>
      </c>
      <c r="W407" s="35">
        <v>1994</v>
      </c>
      <c r="X407" s="35">
        <v>16</v>
      </c>
      <c r="Y407" s="35">
        <f t="shared" si="234"/>
        <v>1.2304489213782739</v>
      </c>
      <c r="Z407" s="45">
        <v>2.3199999999999998</v>
      </c>
      <c r="AA407" s="37">
        <f t="shared" si="223"/>
        <v>400000000</v>
      </c>
      <c r="AB407" s="15">
        <f t="shared" si="225"/>
        <v>0.19047619047619047</v>
      </c>
      <c r="AC407" s="34">
        <f t="shared" si="235"/>
        <v>7.5720713938118342E-2</v>
      </c>
      <c r="AD407" s="35">
        <v>2387.5432525951551</v>
      </c>
      <c r="AE407">
        <f t="shared" si="228"/>
        <v>3.3779512479807074</v>
      </c>
      <c r="AF407" s="35">
        <v>5847.7508650519039</v>
      </c>
      <c r="AG407">
        <f t="shared" si="229"/>
        <v>3.7669888618571257</v>
      </c>
      <c r="AH407" s="37">
        <v>132</v>
      </c>
      <c r="AI407" s="9">
        <f t="shared" si="236"/>
        <v>2.1238516409670858</v>
      </c>
      <c r="AJ407" s="35">
        <v>94.9</v>
      </c>
      <c r="AK407" s="38" t="s">
        <v>89</v>
      </c>
      <c r="AL407" s="43">
        <v>47.560703662314701</v>
      </c>
      <c r="AM407" s="39">
        <v>0.72</v>
      </c>
      <c r="AN407" s="34">
        <f t="shared" si="237"/>
        <v>0.2355284469075489</v>
      </c>
      <c r="AO407" s="35">
        <v>1931</v>
      </c>
      <c r="AP407" s="35">
        <v>79</v>
      </c>
      <c r="AQ407" s="35">
        <v>70</v>
      </c>
      <c r="AR407" s="35">
        <v>70</v>
      </c>
      <c r="AS407">
        <f t="shared" si="226"/>
        <v>0</v>
      </c>
      <c r="AT407">
        <f t="shared" si="238"/>
        <v>0</v>
      </c>
      <c r="AU407">
        <f t="shared" si="239"/>
        <v>1</v>
      </c>
      <c r="AV407">
        <f t="shared" si="240"/>
        <v>0</v>
      </c>
      <c r="AW407">
        <f t="shared" si="241"/>
        <v>0</v>
      </c>
      <c r="AX407">
        <f t="shared" si="242"/>
        <v>0</v>
      </c>
      <c r="AY407">
        <f t="shared" si="243"/>
        <v>0</v>
      </c>
      <c r="AZ407">
        <f t="shared" si="244"/>
        <v>0</v>
      </c>
      <c r="BA407">
        <f t="shared" si="245"/>
        <v>0</v>
      </c>
      <c r="BB407">
        <f t="shared" si="246"/>
        <v>0</v>
      </c>
      <c r="BC407">
        <f t="shared" si="247"/>
        <v>0</v>
      </c>
      <c r="BD407">
        <f t="shared" si="248"/>
        <v>0</v>
      </c>
      <c r="BE407">
        <f t="shared" si="249"/>
        <v>0</v>
      </c>
      <c r="BF407">
        <f t="shared" si="250"/>
        <v>0</v>
      </c>
      <c r="BG407">
        <f t="shared" si="251"/>
        <v>0</v>
      </c>
      <c r="BH407">
        <f t="shared" si="252"/>
        <v>0</v>
      </c>
      <c r="BI407">
        <f t="shared" si="253"/>
        <v>0</v>
      </c>
    </row>
    <row r="408" spans="1:61" s="35" customFormat="1" ht="18" customHeight="1" x14ac:dyDescent="0.35">
      <c r="A408" s="35" t="s">
        <v>196</v>
      </c>
      <c r="B408" s="36">
        <v>41331</v>
      </c>
      <c r="C408" s="35" t="s">
        <v>875</v>
      </c>
      <c r="D408" s="35" t="s">
        <v>45</v>
      </c>
      <c r="E408" s="35" t="s">
        <v>876</v>
      </c>
      <c r="F408" s="35" t="s">
        <v>59</v>
      </c>
      <c r="G408" s="35" t="s">
        <v>47</v>
      </c>
      <c r="H408" s="139">
        <f t="shared" si="227"/>
        <v>0</v>
      </c>
      <c r="I408" s="35" t="s">
        <v>234</v>
      </c>
      <c r="J408" s="35" t="s">
        <v>245</v>
      </c>
      <c r="K408" s="2">
        <f t="shared" si="230"/>
        <v>6</v>
      </c>
      <c r="L408" s="35">
        <v>138000000</v>
      </c>
      <c r="M408" s="2">
        <f t="shared" si="231"/>
        <v>8.1398790864012369</v>
      </c>
      <c r="N408" s="35">
        <f t="shared" si="254"/>
        <v>138000000</v>
      </c>
      <c r="O408" s="35">
        <v>0</v>
      </c>
      <c r="P408" s="36">
        <v>42744</v>
      </c>
      <c r="Q408" s="89">
        <f t="shared" si="232"/>
        <v>2017</v>
      </c>
      <c r="R408" s="35" t="s">
        <v>107</v>
      </c>
      <c r="S408" s="35">
        <v>365000000</v>
      </c>
      <c r="T408" s="21">
        <f t="shared" si="224"/>
        <v>3.871232876712329</v>
      </c>
      <c r="U408" s="35">
        <v>5897.96</v>
      </c>
      <c r="V408" s="35">
        <f t="shared" si="233"/>
        <v>3.7707754512906644</v>
      </c>
      <c r="W408" s="35">
        <v>1982</v>
      </c>
      <c r="X408" s="35">
        <v>31</v>
      </c>
      <c r="Y408" s="35">
        <f t="shared" si="234"/>
        <v>1.505149978319906</v>
      </c>
      <c r="Z408" s="45">
        <v>2.3199999999999998</v>
      </c>
      <c r="AA408" s="37">
        <f t="shared" si="223"/>
        <v>227000000</v>
      </c>
      <c r="AB408" s="15">
        <f t="shared" si="225"/>
        <v>1.6449275362318843</v>
      </c>
      <c r="AC408" s="34">
        <f t="shared" si="235"/>
        <v>0.42241377805523822</v>
      </c>
      <c r="AD408" s="35">
        <v>2777.7777777777774</v>
      </c>
      <c r="AE408">
        <f t="shared" si="228"/>
        <v>3.4436974992327127</v>
      </c>
      <c r="AF408" s="35">
        <v>7222.2222222222235</v>
      </c>
      <c r="AG408">
        <f t="shared" si="229"/>
        <v>3.8586708472035309</v>
      </c>
      <c r="AH408" s="37">
        <v>132</v>
      </c>
      <c r="AI408" s="9">
        <f t="shared" si="236"/>
        <v>2.1238516409670858</v>
      </c>
      <c r="AJ408" s="35">
        <v>90.5</v>
      </c>
      <c r="AK408" s="38" t="s">
        <v>222</v>
      </c>
      <c r="AL408" s="43">
        <v>39.010023979360902</v>
      </c>
      <c r="AM408" s="39">
        <v>0.52</v>
      </c>
      <c r="AN408" s="34">
        <f t="shared" si="237"/>
        <v>0.18184358794477254</v>
      </c>
      <c r="AO408" s="35">
        <v>1982</v>
      </c>
      <c r="AP408" s="35">
        <v>31</v>
      </c>
      <c r="AQ408" s="35">
        <v>70</v>
      </c>
      <c r="AR408" s="35">
        <v>70</v>
      </c>
      <c r="AS408">
        <f t="shared" si="226"/>
        <v>0</v>
      </c>
      <c r="AT408">
        <f t="shared" si="238"/>
        <v>1</v>
      </c>
      <c r="AU408">
        <f t="shared" si="239"/>
        <v>0</v>
      </c>
      <c r="AV408">
        <f t="shared" si="240"/>
        <v>0</v>
      </c>
      <c r="AW408">
        <f t="shared" si="241"/>
        <v>0</v>
      </c>
      <c r="AX408">
        <f t="shared" si="242"/>
        <v>0</v>
      </c>
      <c r="AY408">
        <f t="shared" si="243"/>
        <v>0</v>
      </c>
      <c r="AZ408">
        <f t="shared" si="244"/>
        <v>0</v>
      </c>
      <c r="BA408">
        <f t="shared" si="245"/>
        <v>0</v>
      </c>
      <c r="BB408">
        <f t="shared" si="246"/>
        <v>0</v>
      </c>
      <c r="BC408">
        <f t="shared" si="247"/>
        <v>0</v>
      </c>
      <c r="BD408">
        <f t="shared" si="248"/>
        <v>0</v>
      </c>
      <c r="BE408">
        <f t="shared" si="249"/>
        <v>0</v>
      </c>
      <c r="BF408">
        <f t="shared" si="250"/>
        <v>0</v>
      </c>
      <c r="BG408">
        <f t="shared" si="251"/>
        <v>0</v>
      </c>
      <c r="BH408">
        <f t="shared" si="252"/>
        <v>0</v>
      </c>
      <c r="BI408">
        <f t="shared" si="253"/>
        <v>0</v>
      </c>
    </row>
    <row r="409" spans="1:61" ht="20.25" customHeight="1" x14ac:dyDescent="0.35">
      <c r="A409" t="s">
        <v>352</v>
      </c>
      <c r="B409" s="1">
        <v>38555</v>
      </c>
      <c r="C409" t="s">
        <v>877</v>
      </c>
      <c r="D409" t="s">
        <v>45</v>
      </c>
      <c r="E409" t="s">
        <v>878</v>
      </c>
      <c r="F409" t="s">
        <v>59</v>
      </c>
      <c r="G409" t="s">
        <v>47</v>
      </c>
      <c r="H409" s="139">
        <f t="shared" si="227"/>
        <v>0</v>
      </c>
      <c r="I409" t="s">
        <v>234</v>
      </c>
      <c r="J409" t="s">
        <v>248</v>
      </c>
      <c r="K409" s="2">
        <f t="shared" si="230"/>
        <v>5</v>
      </c>
      <c r="L409">
        <v>17800000</v>
      </c>
      <c r="M409" s="2">
        <f t="shared" si="231"/>
        <v>7.2504200023088936</v>
      </c>
      <c r="N409">
        <f t="shared" si="254"/>
        <v>17800000</v>
      </c>
      <c r="O409">
        <v>0</v>
      </c>
      <c r="P409" s="1">
        <v>39720</v>
      </c>
      <c r="Q409" s="89">
        <f t="shared" si="232"/>
        <v>2008</v>
      </c>
      <c r="R409" t="s">
        <v>152</v>
      </c>
      <c r="S409">
        <v>63100000</v>
      </c>
      <c r="T409" s="21">
        <f t="shared" si="224"/>
        <v>3.1917808219178081</v>
      </c>
      <c r="U409">
        <v>5897.96</v>
      </c>
      <c r="V409">
        <f t="shared" si="233"/>
        <v>3.7707754512906644</v>
      </c>
      <c r="W409">
        <v>1997</v>
      </c>
      <c r="X409">
        <v>8</v>
      </c>
      <c r="Y409">
        <f t="shared" si="234"/>
        <v>0.95424250943932487</v>
      </c>
      <c r="Z409" s="45">
        <v>2.3199999999999998</v>
      </c>
      <c r="AA409" s="9">
        <f t="shared" si="223"/>
        <v>45300000</v>
      </c>
      <c r="AB409" s="15">
        <f t="shared" si="225"/>
        <v>2.5449438202247192</v>
      </c>
      <c r="AC409" s="34">
        <f t="shared" si="235"/>
        <v>0.54960935693524038</v>
      </c>
      <c r="AD409">
        <v>2777.7777777777774</v>
      </c>
      <c r="AE409">
        <f t="shared" si="228"/>
        <v>3.4436974992327127</v>
      </c>
      <c r="AF409">
        <v>7222.2222222222235</v>
      </c>
      <c r="AG409">
        <f t="shared" si="229"/>
        <v>3.8586708472035309</v>
      </c>
      <c r="AH409" s="9">
        <v>132</v>
      </c>
      <c r="AI409" s="9">
        <f t="shared" si="236"/>
        <v>2.1238516409670858</v>
      </c>
      <c r="AJ409">
        <v>85</v>
      </c>
      <c r="AK409" s="23" t="s">
        <v>100</v>
      </c>
      <c r="AL409" s="42">
        <v>36.959146749272797</v>
      </c>
      <c r="AM409" s="24">
        <v>-0.1</v>
      </c>
      <c r="AN409" s="34">
        <f t="shared" si="237"/>
        <v>-4.5757490560675115E-2</v>
      </c>
      <c r="AO409">
        <v>1982</v>
      </c>
      <c r="AP409">
        <v>23</v>
      </c>
      <c r="AQ409">
        <v>70</v>
      </c>
      <c r="AR409">
        <v>70</v>
      </c>
      <c r="AS409">
        <f t="shared" si="226"/>
        <v>0</v>
      </c>
      <c r="AT409">
        <f t="shared" si="238"/>
        <v>1</v>
      </c>
      <c r="AU409">
        <f t="shared" si="239"/>
        <v>0</v>
      </c>
      <c r="AV409">
        <f t="shared" si="240"/>
        <v>0</v>
      </c>
      <c r="AW409">
        <f t="shared" si="241"/>
        <v>0</v>
      </c>
      <c r="AX409">
        <f t="shared" si="242"/>
        <v>0</v>
      </c>
      <c r="AY409">
        <f t="shared" si="243"/>
        <v>0</v>
      </c>
      <c r="AZ409">
        <f t="shared" si="244"/>
        <v>0</v>
      </c>
      <c r="BA409">
        <f t="shared" si="245"/>
        <v>0</v>
      </c>
      <c r="BB409">
        <f t="shared" si="246"/>
        <v>0</v>
      </c>
      <c r="BC409">
        <f t="shared" si="247"/>
        <v>0</v>
      </c>
      <c r="BD409">
        <f t="shared" si="248"/>
        <v>0</v>
      </c>
      <c r="BE409">
        <f t="shared" si="249"/>
        <v>0</v>
      </c>
      <c r="BF409">
        <f t="shared" si="250"/>
        <v>0</v>
      </c>
      <c r="BG409">
        <f t="shared" si="251"/>
        <v>0</v>
      </c>
      <c r="BH409">
        <f t="shared" si="252"/>
        <v>0</v>
      </c>
      <c r="BI409">
        <f t="shared" si="253"/>
        <v>0</v>
      </c>
    </row>
    <row r="410" spans="1:61" x14ac:dyDescent="0.35">
      <c r="A410" t="s">
        <v>196</v>
      </c>
      <c r="B410" s="1">
        <v>41548</v>
      </c>
      <c r="C410" t="s">
        <v>879</v>
      </c>
      <c r="D410" t="s">
        <v>59</v>
      </c>
      <c r="E410" t="s">
        <v>880</v>
      </c>
      <c r="F410" t="s">
        <v>45</v>
      </c>
      <c r="G410" t="s">
        <v>64</v>
      </c>
      <c r="H410" s="139">
        <f t="shared" si="227"/>
        <v>1</v>
      </c>
      <c r="I410" t="s">
        <v>234</v>
      </c>
      <c r="J410" t="s">
        <v>186</v>
      </c>
      <c r="K410" s="2">
        <f t="shared" si="230"/>
        <v>4</v>
      </c>
      <c r="L410">
        <v>148800000</v>
      </c>
      <c r="M410" s="2">
        <f t="shared" si="231"/>
        <v>8.1726029312098607</v>
      </c>
      <c r="N410">
        <f t="shared" si="254"/>
        <v>148800000</v>
      </c>
      <c r="O410">
        <v>0</v>
      </c>
      <c r="P410" s="1">
        <v>43389</v>
      </c>
      <c r="Q410" s="89">
        <f t="shared" si="232"/>
        <v>2018</v>
      </c>
      <c r="R410" t="s">
        <v>107</v>
      </c>
      <c r="S410">
        <v>450000000</v>
      </c>
      <c r="T410" s="21">
        <f t="shared" si="224"/>
        <v>5.043835616438356</v>
      </c>
      <c r="U410">
        <v>5897.96</v>
      </c>
      <c r="V410">
        <f t="shared" si="233"/>
        <v>3.7707754512906644</v>
      </c>
      <c r="W410">
        <v>1993</v>
      </c>
      <c r="X410">
        <v>20</v>
      </c>
      <c r="Y410">
        <f t="shared" si="234"/>
        <v>1.3222192947339193</v>
      </c>
      <c r="Z410" s="45">
        <v>2.3199999999999998</v>
      </c>
      <c r="AA410" s="9">
        <f t="shared" si="223"/>
        <v>301200000</v>
      </c>
      <c r="AB410" s="15">
        <f t="shared" si="225"/>
        <v>2.024193548387097</v>
      </c>
      <c r="AC410" s="34">
        <f t="shared" si="235"/>
        <v>0.48060958256548381</v>
      </c>
      <c r="AD410">
        <v>1490.3353057199211</v>
      </c>
      <c r="AE410">
        <f t="shared" si="228"/>
        <v>3.17328398991646</v>
      </c>
      <c r="AF410">
        <v>6649.5726495726503</v>
      </c>
      <c r="AG410">
        <f t="shared" si="229"/>
        <v>3.8227937352435273</v>
      </c>
      <c r="AH410" s="9">
        <v>132</v>
      </c>
      <c r="AI410" s="9">
        <f t="shared" si="236"/>
        <v>2.1238516409670858</v>
      </c>
      <c r="AJ410">
        <v>94.1</v>
      </c>
      <c r="AK410" s="23" t="s">
        <v>70</v>
      </c>
      <c r="AL410" s="42">
        <v>43.9397801796012</v>
      </c>
      <c r="AM410" s="24">
        <v>0.66</v>
      </c>
      <c r="AN410" s="34">
        <f t="shared" si="237"/>
        <v>0.22010808804005513</v>
      </c>
      <c r="AO410">
        <v>1995</v>
      </c>
      <c r="AP410">
        <v>18</v>
      </c>
      <c r="AQ410">
        <v>70</v>
      </c>
      <c r="AR410">
        <v>70</v>
      </c>
      <c r="AS410">
        <f t="shared" si="226"/>
        <v>0</v>
      </c>
      <c r="AT410">
        <f t="shared" si="238"/>
        <v>0</v>
      </c>
      <c r="AU410">
        <f t="shared" si="239"/>
        <v>1</v>
      </c>
      <c r="AV410">
        <f t="shared" si="240"/>
        <v>0</v>
      </c>
      <c r="AW410">
        <f t="shared" si="241"/>
        <v>0</v>
      </c>
      <c r="AX410">
        <f t="shared" si="242"/>
        <v>0</v>
      </c>
      <c r="AY410">
        <f t="shared" si="243"/>
        <v>0</v>
      </c>
      <c r="AZ410">
        <f t="shared" si="244"/>
        <v>0</v>
      </c>
      <c r="BA410">
        <f t="shared" si="245"/>
        <v>0</v>
      </c>
      <c r="BB410">
        <f t="shared" si="246"/>
        <v>0</v>
      </c>
      <c r="BC410">
        <f t="shared" si="247"/>
        <v>0</v>
      </c>
      <c r="BD410">
        <f t="shared" si="248"/>
        <v>0</v>
      </c>
      <c r="BE410">
        <f t="shared" si="249"/>
        <v>0</v>
      </c>
      <c r="BF410">
        <f t="shared" si="250"/>
        <v>0</v>
      </c>
      <c r="BG410">
        <f t="shared" si="251"/>
        <v>0</v>
      </c>
      <c r="BH410">
        <f t="shared" si="252"/>
        <v>0</v>
      </c>
      <c r="BI410">
        <f t="shared" si="253"/>
        <v>0</v>
      </c>
    </row>
    <row r="411" spans="1:61" x14ac:dyDescent="0.35">
      <c r="A411" t="s">
        <v>196</v>
      </c>
      <c r="B411" s="1">
        <v>40603</v>
      </c>
      <c r="C411" t="s">
        <v>881</v>
      </c>
      <c r="D411" t="s">
        <v>59</v>
      </c>
      <c r="E411" t="s">
        <v>882</v>
      </c>
      <c r="F411" t="s">
        <v>45</v>
      </c>
      <c r="G411" t="s">
        <v>64</v>
      </c>
      <c r="H411" s="139">
        <f t="shared" si="227"/>
        <v>1</v>
      </c>
      <c r="I411" t="s">
        <v>234</v>
      </c>
      <c r="J411" t="s">
        <v>326</v>
      </c>
      <c r="K411" s="2">
        <f t="shared" si="230"/>
        <v>8</v>
      </c>
      <c r="L411">
        <v>65000000</v>
      </c>
      <c r="M411" s="2">
        <f t="shared" si="231"/>
        <v>7.8129133566428557</v>
      </c>
      <c r="N411">
        <f t="shared" si="254"/>
        <v>65000000</v>
      </c>
      <c r="O411">
        <v>0</v>
      </c>
      <c r="P411" s="1">
        <v>41395</v>
      </c>
      <c r="Q411" s="89">
        <f t="shared" si="232"/>
        <v>2013</v>
      </c>
      <c r="R411" t="s">
        <v>107</v>
      </c>
      <c r="S411">
        <v>160000000</v>
      </c>
      <c r="T411" s="21">
        <f t="shared" si="224"/>
        <v>2.1698630136986301</v>
      </c>
      <c r="U411">
        <v>5897.96</v>
      </c>
      <c r="V411">
        <f t="shared" si="233"/>
        <v>3.7707754512906644</v>
      </c>
      <c r="W411">
        <v>1999</v>
      </c>
      <c r="X411">
        <v>12</v>
      </c>
      <c r="Y411">
        <f t="shared" si="234"/>
        <v>1.1139433523068367</v>
      </c>
      <c r="Z411" s="45">
        <v>2.3199999999999998</v>
      </c>
      <c r="AA411" s="9">
        <f t="shared" si="223"/>
        <v>95000000</v>
      </c>
      <c r="AB411" s="15">
        <f t="shared" si="225"/>
        <v>1.4615384615384617</v>
      </c>
      <c r="AC411" s="34">
        <f t="shared" si="235"/>
        <v>0.39120662601306921</v>
      </c>
      <c r="AD411">
        <v>1490.3353057199211</v>
      </c>
      <c r="AE411">
        <f t="shared" si="228"/>
        <v>3.17328398991646</v>
      </c>
      <c r="AF411">
        <v>6649.5726495726503</v>
      </c>
      <c r="AG411">
        <f t="shared" si="229"/>
        <v>3.8227937352435273</v>
      </c>
      <c r="AH411" s="9">
        <v>132</v>
      </c>
      <c r="AI411" s="9">
        <f t="shared" si="236"/>
        <v>2.1238516409670858</v>
      </c>
      <c r="AJ411">
        <v>94.6</v>
      </c>
      <c r="AK411" s="23" t="s">
        <v>516</v>
      </c>
      <c r="AL411" s="42">
        <v>45.921427555082097</v>
      </c>
      <c r="AM411" s="24">
        <v>0.21</v>
      </c>
      <c r="AN411" s="34">
        <f t="shared" si="237"/>
        <v>8.2785370316450071E-2</v>
      </c>
      <c r="AO411">
        <v>1995</v>
      </c>
      <c r="AP411">
        <v>16</v>
      </c>
      <c r="AQ411">
        <v>70</v>
      </c>
      <c r="AR411">
        <v>70</v>
      </c>
      <c r="AS411">
        <f t="shared" si="226"/>
        <v>0</v>
      </c>
      <c r="AT411">
        <f t="shared" si="238"/>
        <v>0</v>
      </c>
      <c r="AU411">
        <f t="shared" si="239"/>
        <v>1</v>
      </c>
      <c r="AV411">
        <f t="shared" si="240"/>
        <v>0</v>
      </c>
      <c r="AW411">
        <f t="shared" si="241"/>
        <v>0</v>
      </c>
      <c r="AX411">
        <f t="shared" si="242"/>
        <v>0</v>
      </c>
      <c r="AY411">
        <f t="shared" si="243"/>
        <v>0</v>
      </c>
      <c r="AZ411">
        <f t="shared" si="244"/>
        <v>0</v>
      </c>
      <c r="BA411">
        <f t="shared" si="245"/>
        <v>0</v>
      </c>
      <c r="BB411">
        <f t="shared" si="246"/>
        <v>0</v>
      </c>
      <c r="BC411">
        <f t="shared" si="247"/>
        <v>0</v>
      </c>
      <c r="BD411">
        <f t="shared" si="248"/>
        <v>0</v>
      </c>
      <c r="BE411">
        <f t="shared" si="249"/>
        <v>0</v>
      </c>
      <c r="BF411">
        <f t="shared" si="250"/>
        <v>0</v>
      </c>
      <c r="BG411">
        <f t="shared" si="251"/>
        <v>0</v>
      </c>
      <c r="BH411">
        <f t="shared" si="252"/>
        <v>0</v>
      </c>
      <c r="BI411">
        <f t="shared" si="253"/>
        <v>0</v>
      </c>
    </row>
    <row r="412" spans="1:61" x14ac:dyDescent="0.35">
      <c r="A412" t="s">
        <v>196</v>
      </c>
      <c r="B412" s="1">
        <v>39569</v>
      </c>
      <c r="C412" t="s">
        <v>883</v>
      </c>
      <c r="D412" t="s">
        <v>6</v>
      </c>
      <c r="E412" t="s">
        <v>882</v>
      </c>
      <c r="F412" t="s">
        <v>45</v>
      </c>
      <c r="G412" t="s">
        <v>64</v>
      </c>
      <c r="H412" s="139">
        <f t="shared" si="227"/>
        <v>1</v>
      </c>
      <c r="I412" t="s">
        <v>234</v>
      </c>
      <c r="J412" t="s">
        <v>235</v>
      </c>
      <c r="K412" s="2">
        <f t="shared" si="230"/>
        <v>1</v>
      </c>
      <c r="L412">
        <v>155000000</v>
      </c>
      <c r="M412" s="2">
        <f t="shared" si="231"/>
        <v>8.1903316981702918</v>
      </c>
      <c r="N412">
        <f t="shared" si="254"/>
        <v>155000000</v>
      </c>
      <c r="O412">
        <v>0</v>
      </c>
      <c r="P412" s="1">
        <v>40940</v>
      </c>
      <c r="Q412" s="89">
        <f t="shared" si="232"/>
        <v>2012</v>
      </c>
      <c r="R412" t="s">
        <v>107</v>
      </c>
      <c r="S412">
        <v>275000000</v>
      </c>
      <c r="T412" s="21">
        <f t="shared" si="224"/>
        <v>3.7561643835616438</v>
      </c>
      <c r="U412">
        <v>6216.38</v>
      </c>
      <c r="V412">
        <f t="shared" si="233"/>
        <v>3.7936074118204202</v>
      </c>
      <c r="W412">
        <v>2008</v>
      </c>
      <c r="X412">
        <v>0</v>
      </c>
      <c r="Y412">
        <f t="shared" si="234"/>
        <v>0</v>
      </c>
      <c r="Z412" s="45">
        <v>2.92</v>
      </c>
      <c r="AA412" s="9">
        <f t="shared" si="223"/>
        <v>120000000</v>
      </c>
      <c r="AB412" s="15">
        <f t="shared" si="225"/>
        <v>0.77419354838709675</v>
      </c>
      <c r="AC412" s="34">
        <f t="shared" si="235"/>
        <v>0.24900099565997116</v>
      </c>
      <c r="AD412">
        <v>1490.3353057199211</v>
      </c>
      <c r="AE412">
        <f t="shared" si="228"/>
        <v>3.17328398991646</v>
      </c>
      <c r="AF412">
        <v>6649.5726495726503</v>
      </c>
      <c r="AG412">
        <f t="shared" si="229"/>
        <v>3.8227937352435273</v>
      </c>
      <c r="AH412" s="9">
        <v>544.83333333333303</v>
      </c>
      <c r="AI412" s="9">
        <f t="shared" si="236"/>
        <v>2.7370600539441581</v>
      </c>
      <c r="AJ412">
        <v>93.7</v>
      </c>
      <c r="AK412" s="23" t="s">
        <v>520</v>
      </c>
      <c r="AL412" s="42">
        <v>50.280752820308301</v>
      </c>
      <c r="AM412" s="24">
        <v>-0.06</v>
      </c>
      <c r="AN412" s="34">
        <f t="shared" si="237"/>
        <v>-2.6872146400301365E-2</v>
      </c>
      <c r="AO412">
        <v>1995</v>
      </c>
      <c r="AP412">
        <v>13</v>
      </c>
      <c r="AQ412">
        <v>90</v>
      </c>
      <c r="AR412">
        <v>80</v>
      </c>
      <c r="AS412">
        <f t="shared" si="226"/>
        <v>0</v>
      </c>
      <c r="AT412">
        <f t="shared" si="238"/>
        <v>0</v>
      </c>
      <c r="AU412">
        <f t="shared" si="239"/>
        <v>0</v>
      </c>
      <c r="AV412">
        <f t="shared" si="240"/>
        <v>0</v>
      </c>
      <c r="AW412">
        <f t="shared" si="241"/>
        <v>0</v>
      </c>
      <c r="AX412">
        <f t="shared" si="242"/>
        <v>0</v>
      </c>
      <c r="AY412">
        <f t="shared" si="243"/>
        <v>0</v>
      </c>
      <c r="AZ412">
        <f t="shared" si="244"/>
        <v>0</v>
      </c>
      <c r="BA412">
        <f t="shared" si="245"/>
        <v>1</v>
      </c>
      <c r="BB412">
        <f t="shared" si="246"/>
        <v>0</v>
      </c>
      <c r="BC412">
        <f t="shared" si="247"/>
        <v>0</v>
      </c>
      <c r="BD412">
        <f t="shared" si="248"/>
        <v>0</v>
      </c>
      <c r="BE412">
        <f t="shared" si="249"/>
        <v>0</v>
      </c>
      <c r="BF412">
        <f t="shared" si="250"/>
        <v>0</v>
      </c>
      <c r="BG412">
        <f t="shared" si="251"/>
        <v>0</v>
      </c>
      <c r="BH412">
        <f t="shared" si="252"/>
        <v>0</v>
      </c>
      <c r="BI412">
        <f t="shared" si="253"/>
        <v>0</v>
      </c>
    </row>
    <row r="413" spans="1:61" x14ac:dyDescent="0.35">
      <c r="A413" t="s">
        <v>196</v>
      </c>
      <c r="B413" s="1">
        <v>38021</v>
      </c>
      <c r="C413" t="s">
        <v>884</v>
      </c>
      <c r="D413" t="s">
        <v>2</v>
      </c>
      <c r="E413" t="s">
        <v>885</v>
      </c>
      <c r="F413" t="s">
        <v>45</v>
      </c>
      <c r="G413" t="s">
        <v>64</v>
      </c>
      <c r="H413" s="139">
        <f t="shared" si="227"/>
        <v>1</v>
      </c>
      <c r="I413" t="s">
        <v>234</v>
      </c>
      <c r="J413" t="s">
        <v>235</v>
      </c>
      <c r="K413" s="2">
        <f t="shared" si="230"/>
        <v>1</v>
      </c>
      <c r="L413">
        <v>175100000</v>
      </c>
      <c r="M413" s="2">
        <f t="shared" si="231"/>
        <v>8.243286146083447</v>
      </c>
      <c r="N413">
        <f t="shared" si="254"/>
        <v>175100000</v>
      </c>
      <c r="O413">
        <v>0</v>
      </c>
      <c r="P413" s="1">
        <v>38721</v>
      </c>
      <c r="Q413" s="89">
        <f t="shared" si="232"/>
        <v>2006</v>
      </c>
      <c r="R413" t="s">
        <v>107</v>
      </c>
      <c r="S413">
        <v>592190000</v>
      </c>
      <c r="T413" s="21">
        <f t="shared" si="224"/>
        <v>1.9178082191780821</v>
      </c>
      <c r="U413">
        <v>6815.73</v>
      </c>
      <c r="V413">
        <f t="shared" si="233"/>
        <v>3.8335760926148099</v>
      </c>
      <c r="W413">
        <v>1890</v>
      </c>
      <c r="X413">
        <v>114</v>
      </c>
      <c r="Y413">
        <f t="shared" si="234"/>
        <v>2.0606978403536118</v>
      </c>
      <c r="Z413" s="45">
        <v>2.85</v>
      </c>
      <c r="AA413" s="9">
        <f t="shared" si="223"/>
        <v>417090000</v>
      </c>
      <c r="AB413" s="15">
        <f t="shared" si="225"/>
        <v>2.3820102798400913</v>
      </c>
      <c r="AC413" s="34">
        <f t="shared" si="235"/>
        <v>0.52917492333003802</v>
      </c>
      <c r="AD413">
        <v>1490.3353057199211</v>
      </c>
      <c r="AE413">
        <f t="shared" si="228"/>
        <v>3.17328398991646</v>
      </c>
      <c r="AF413">
        <v>6649.5726495726503</v>
      </c>
      <c r="AG413">
        <f t="shared" si="229"/>
        <v>3.8227937352435273</v>
      </c>
      <c r="AH413" s="9">
        <v>819</v>
      </c>
      <c r="AI413" s="9">
        <f t="shared" si="236"/>
        <v>2.9138138523837167</v>
      </c>
      <c r="AJ413">
        <v>70</v>
      </c>
      <c r="AK413" s="23" t="s">
        <v>213</v>
      </c>
      <c r="AL413" s="42">
        <v>46.312020505412598</v>
      </c>
      <c r="AM413" s="24">
        <v>0.13</v>
      </c>
      <c r="AN413" s="34">
        <f t="shared" si="237"/>
        <v>5.3078443483419682E-2</v>
      </c>
      <c r="AO413">
        <v>1995</v>
      </c>
      <c r="AP413">
        <v>9</v>
      </c>
      <c r="AQ413">
        <v>70</v>
      </c>
      <c r="AR413">
        <v>70</v>
      </c>
      <c r="AS413">
        <f t="shared" si="226"/>
        <v>0</v>
      </c>
      <c r="AT413">
        <f t="shared" si="238"/>
        <v>0</v>
      </c>
      <c r="AU413">
        <f t="shared" si="239"/>
        <v>0</v>
      </c>
      <c r="AV413">
        <f t="shared" si="240"/>
        <v>0</v>
      </c>
      <c r="AW413">
        <f t="shared" si="241"/>
        <v>0</v>
      </c>
      <c r="AX413">
        <f t="shared" si="242"/>
        <v>0</v>
      </c>
      <c r="AY413">
        <f t="shared" si="243"/>
        <v>0</v>
      </c>
      <c r="AZ413">
        <f t="shared" si="244"/>
        <v>0</v>
      </c>
      <c r="BA413">
        <f t="shared" si="245"/>
        <v>0</v>
      </c>
      <c r="BB413">
        <f t="shared" si="246"/>
        <v>1</v>
      </c>
      <c r="BC413">
        <f t="shared" si="247"/>
        <v>0</v>
      </c>
      <c r="BD413">
        <f t="shared" si="248"/>
        <v>0</v>
      </c>
      <c r="BE413">
        <f t="shared" si="249"/>
        <v>0</v>
      </c>
      <c r="BF413">
        <f t="shared" si="250"/>
        <v>0</v>
      </c>
      <c r="BG413">
        <f t="shared" si="251"/>
        <v>0</v>
      </c>
      <c r="BH413">
        <f t="shared" si="252"/>
        <v>0</v>
      </c>
      <c r="BI413">
        <f t="shared" si="253"/>
        <v>0</v>
      </c>
    </row>
    <row r="414" spans="1:61" s="35" customFormat="1" ht="15.75" customHeight="1" x14ac:dyDescent="0.35">
      <c r="A414" s="35" t="s">
        <v>196</v>
      </c>
      <c r="B414" s="36">
        <v>42368</v>
      </c>
      <c r="C414" s="35" t="s">
        <v>886</v>
      </c>
      <c r="D414" s="35" t="s">
        <v>447</v>
      </c>
      <c r="E414" s="35" t="s">
        <v>887</v>
      </c>
      <c r="F414" s="35" t="s">
        <v>45</v>
      </c>
      <c r="G414" s="35" t="s">
        <v>64</v>
      </c>
      <c r="H414" s="139">
        <f t="shared" si="227"/>
        <v>1</v>
      </c>
      <c r="I414" s="35" t="s">
        <v>234</v>
      </c>
      <c r="J414" s="35" t="s">
        <v>269</v>
      </c>
      <c r="K414" s="2">
        <f t="shared" si="230"/>
        <v>7</v>
      </c>
      <c r="L414" s="35">
        <v>60465000</v>
      </c>
      <c r="M414" s="2">
        <f t="shared" si="231"/>
        <v>7.7815040572087328</v>
      </c>
      <c r="N414" s="35">
        <f t="shared" si="254"/>
        <v>60465000</v>
      </c>
      <c r="O414" s="35">
        <v>0</v>
      </c>
      <c r="P414" s="36">
        <v>43423</v>
      </c>
      <c r="Q414" s="89">
        <f t="shared" si="232"/>
        <v>2018</v>
      </c>
      <c r="R414" s="35" t="s">
        <v>107</v>
      </c>
      <c r="S414" s="35">
        <v>272605000</v>
      </c>
      <c r="T414" s="21">
        <f t="shared" si="224"/>
        <v>2.8904109589041096</v>
      </c>
      <c r="U414" s="35">
        <v>6087.84</v>
      </c>
      <c r="V414">
        <f t="shared" si="233"/>
        <v>3.7845345619950592</v>
      </c>
      <c r="W414" s="35">
        <v>1971</v>
      </c>
      <c r="X414" s="35">
        <v>44</v>
      </c>
      <c r="Y414">
        <f t="shared" si="234"/>
        <v>1.6532125137753437</v>
      </c>
      <c r="Z414" s="45">
        <v>2.81</v>
      </c>
      <c r="AA414" s="37">
        <f t="shared" si="223"/>
        <v>212140000</v>
      </c>
      <c r="AB414" s="15">
        <f t="shared" si="225"/>
        <v>3.5084759778384189</v>
      </c>
      <c r="AC414" s="34">
        <f t="shared" si="235"/>
        <v>0.65402975999973634</v>
      </c>
      <c r="AD414" s="35">
        <v>1699.2429587536469</v>
      </c>
      <c r="AE414">
        <f t="shared" si="228"/>
        <v>3.2302554789881364</v>
      </c>
      <c r="AF414" s="35">
        <v>5842.1845502564765</v>
      </c>
      <c r="AG414">
        <f t="shared" si="229"/>
        <v>3.7665752718932795</v>
      </c>
      <c r="AH414" s="37">
        <v>824.83333333333303</v>
      </c>
      <c r="AI414" s="9">
        <f t="shared" si="236"/>
        <v>2.9168924084376502</v>
      </c>
      <c r="AJ414" s="35">
        <v>77.5</v>
      </c>
      <c r="AK414" s="38" t="s">
        <v>888</v>
      </c>
      <c r="AL414" s="43">
        <v>43.725055842540201</v>
      </c>
      <c r="AM414" s="39">
        <v>0.3</v>
      </c>
      <c r="AN414" s="34">
        <f t="shared" si="237"/>
        <v>0.11394335230683679</v>
      </c>
      <c r="AO414" s="35">
        <v>1988</v>
      </c>
      <c r="AP414" s="35">
        <v>27</v>
      </c>
      <c r="AQ414" s="35">
        <v>70</v>
      </c>
      <c r="AR414" s="35">
        <v>50</v>
      </c>
      <c r="AS414">
        <f t="shared" si="226"/>
        <v>0</v>
      </c>
      <c r="AT414">
        <f t="shared" si="238"/>
        <v>0</v>
      </c>
      <c r="AU414">
        <f t="shared" si="239"/>
        <v>0</v>
      </c>
      <c r="AV414">
        <f t="shared" si="240"/>
        <v>0</v>
      </c>
      <c r="AW414">
        <f t="shared" si="241"/>
        <v>0</v>
      </c>
      <c r="AX414">
        <f t="shared" si="242"/>
        <v>0</v>
      </c>
      <c r="AY414">
        <f t="shared" si="243"/>
        <v>0</v>
      </c>
      <c r="AZ414">
        <f t="shared" si="244"/>
        <v>0</v>
      </c>
      <c r="BA414">
        <f t="shared" si="245"/>
        <v>0</v>
      </c>
      <c r="BB414">
        <f t="shared" si="246"/>
        <v>0</v>
      </c>
      <c r="BC414">
        <f t="shared" si="247"/>
        <v>0</v>
      </c>
      <c r="BD414">
        <f t="shared" si="248"/>
        <v>1</v>
      </c>
      <c r="BE414">
        <f t="shared" si="249"/>
        <v>0</v>
      </c>
      <c r="BF414">
        <f t="shared" si="250"/>
        <v>0</v>
      </c>
      <c r="BG414">
        <f t="shared" si="251"/>
        <v>0</v>
      </c>
      <c r="BH414">
        <f t="shared" si="252"/>
        <v>0</v>
      </c>
      <c r="BI414">
        <f t="shared" si="253"/>
        <v>0</v>
      </c>
    </row>
    <row r="415" spans="1:61" x14ac:dyDescent="0.35">
      <c r="A415" t="s">
        <v>196</v>
      </c>
      <c r="B415" s="1">
        <v>41281</v>
      </c>
      <c r="C415" t="s">
        <v>889</v>
      </c>
      <c r="D415" t="s">
        <v>3</v>
      </c>
      <c r="E415" t="s">
        <v>890</v>
      </c>
      <c r="F415" t="s">
        <v>59</v>
      </c>
      <c r="G415" t="s">
        <v>64</v>
      </c>
      <c r="H415" s="139">
        <f t="shared" si="227"/>
        <v>1</v>
      </c>
      <c r="I415" t="s">
        <v>234</v>
      </c>
      <c r="J415" t="s">
        <v>235</v>
      </c>
      <c r="K415" s="2">
        <f t="shared" si="230"/>
        <v>1</v>
      </c>
      <c r="L415">
        <v>180090000</v>
      </c>
      <c r="M415" s="2">
        <f t="shared" si="231"/>
        <v>8.2554895980755365</v>
      </c>
      <c r="N415">
        <f t="shared" si="254"/>
        <v>180090000</v>
      </c>
      <c r="O415">
        <v>0</v>
      </c>
      <c r="P415" s="1">
        <v>42614</v>
      </c>
      <c r="Q415" s="89">
        <f t="shared" si="232"/>
        <v>2016</v>
      </c>
      <c r="R415" t="s">
        <v>107</v>
      </c>
      <c r="S415">
        <v>340000000</v>
      </c>
      <c r="T415" s="21">
        <f t="shared" si="224"/>
        <v>3.6520547945205482</v>
      </c>
      <c r="U415">
        <v>955.95</v>
      </c>
      <c r="V415">
        <f t="shared" si="233"/>
        <v>2.9808892467722719</v>
      </c>
      <c r="W415">
        <v>1947</v>
      </c>
      <c r="X415">
        <v>66</v>
      </c>
      <c r="Y415">
        <f t="shared" si="234"/>
        <v>1.8260748027008264</v>
      </c>
      <c r="Z415" s="45">
        <v>3.13</v>
      </c>
      <c r="AA415" s="9">
        <f t="shared" si="223"/>
        <v>159910000</v>
      </c>
      <c r="AB415" s="15">
        <f t="shared" si="225"/>
        <v>0.88794491643067364</v>
      </c>
      <c r="AC415" s="34">
        <f t="shared" si="235"/>
        <v>0.27598931896671886</v>
      </c>
      <c r="AD415">
        <v>2417.5229853975125</v>
      </c>
      <c r="AE415">
        <f t="shared" si="228"/>
        <v>3.3833706119727633</v>
      </c>
      <c r="AF415">
        <v>9545.7003785830148</v>
      </c>
      <c r="AG415">
        <f t="shared" si="229"/>
        <v>3.9798077985646683</v>
      </c>
      <c r="AH415" s="9">
        <v>541.5</v>
      </c>
      <c r="AI415" s="9">
        <f t="shared" si="236"/>
        <v>2.7343997425205671</v>
      </c>
      <c r="AJ415">
        <v>98.4</v>
      </c>
      <c r="AK415" s="23" t="s">
        <v>411</v>
      </c>
      <c r="AL415" s="42">
        <v>55.820378229102602</v>
      </c>
      <c r="AM415" s="24">
        <v>0.48</v>
      </c>
      <c r="AN415" s="34">
        <f t="shared" si="237"/>
        <v>0.17026171539495738</v>
      </c>
      <c r="AO415">
        <v>1985</v>
      </c>
      <c r="AP415">
        <v>28</v>
      </c>
      <c r="AQ415">
        <v>85</v>
      </c>
      <c r="AR415">
        <v>70</v>
      </c>
      <c r="AS415">
        <f t="shared" si="226"/>
        <v>0</v>
      </c>
      <c r="AT415">
        <f t="shared" si="238"/>
        <v>0</v>
      </c>
      <c r="AU415">
        <f t="shared" si="239"/>
        <v>0</v>
      </c>
      <c r="AV415">
        <f t="shared" si="240"/>
        <v>0</v>
      </c>
      <c r="AW415">
        <f t="shared" si="241"/>
        <v>1</v>
      </c>
      <c r="AX415">
        <f t="shared" si="242"/>
        <v>0</v>
      </c>
      <c r="AY415">
        <f t="shared" si="243"/>
        <v>0</v>
      </c>
      <c r="AZ415">
        <f t="shared" si="244"/>
        <v>0</v>
      </c>
      <c r="BA415">
        <f t="shared" si="245"/>
        <v>0</v>
      </c>
      <c r="BB415">
        <f t="shared" si="246"/>
        <v>0</v>
      </c>
      <c r="BC415">
        <f t="shared" si="247"/>
        <v>0</v>
      </c>
      <c r="BD415">
        <f t="shared" si="248"/>
        <v>0</v>
      </c>
      <c r="BE415">
        <f t="shared" si="249"/>
        <v>0</v>
      </c>
      <c r="BF415">
        <f t="shared" si="250"/>
        <v>0</v>
      </c>
      <c r="BG415">
        <f t="shared" si="251"/>
        <v>0</v>
      </c>
      <c r="BH415">
        <f t="shared" si="252"/>
        <v>0</v>
      </c>
      <c r="BI415">
        <f t="shared" si="253"/>
        <v>0</v>
      </c>
    </row>
    <row r="416" spans="1:61" ht="21.75" customHeight="1" x14ac:dyDescent="0.35">
      <c r="A416" t="s">
        <v>196</v>
      </c>
      <c r="B416" s="1">
        <v>40527</v>
      </c>
      <c r="C416" s="8" t="s">
        <v>891</v>
      </c>
      <c r="D416" t="s">
        <v>59</v>
      </c>
      <c r="E416" t="s">
        <v>890</v>
      </c>
      <c r="F416" t="s">
        <v>59</v>
      </c>
      <c r="G416" t="s">
        <v>47</v>
      </c>
      <c r="H416" s="139">
        <f t="shared" si="227"/>
        <v>0</v>
      </c>
      <c r="I416" t="s">
        <v>234</v>
      </c>
      <c r="J416" t="s">
        <v>245</v>
      </c>
      <c r="K416" s="2">
        <f t="shared" si="230"/>
        <v>6</v>
      </c>
      <c r="L416">
        <v>200000000</v>
      </c>
      <c r="M416" s="2">
        <f t="shared" si="231"/>
        <v>8.3010299956639813</v>
      </c>
      <c r="N416">
        <f t="shared" si="254"/>
        <v>200000000</v>
      </c>
      <c r="O416">
        <v>0</v>
      </c>
      <c r="P416" s="1">
        <v>42342</v>
      </c>
      <c r="Q416" s="89">
        <f t="shared" si="232"/>
        <v>2015</v>
      </c>
      <c r="R416" t="s">
        <v>107</v>
      </c>
      <c r="S416">
        <v>256000000</v>
      </c>
      <c r="T416" s="21">
        <f t="shared" si="224"/>
        <v>4.9726027397260273</v>
      </c>
      <c r="U416">
        <v>0</v>
      </c>
      <c r="V416">
        <f t="shared" si="233"/>
        <v>0</v>
      </c>
      <c r="W416">
        <v>1981</v>
      </c>
      <c r="X416">
        <v>29</v>
      </c>
      <c r="Y416">
        <f t="shared" si="234"/>
        <v>1.4771212547196624</v>
      </c>
      <c r="Z416" s="45">
        <v>3.29</v>
      </c>
      <c r="AA416" s="9">
        <f t="shared" si="223"/>
        <v>56000000</v>
      </c>
      <c r="AB416" s="15">
        <f t="shared" si="225"/>
        <v>0.28000000000000003</v>
      </c>
      <c r="AC416" s="34">
        <f t="shared" si="235"/>
        <v>0.10720996964786837</v>
      </c>
      <c r="AD416">
        <v>2417.5229853975125</v>
      </c>
      <c r="AE416">
        <f t="shared" si="228"/>
        <v>3.3833706119727633</v>
      </c>
      <c r="AF416">
        <v>9545.7003785830148</v>
      </c>
      <c r="AG416">
        <f t="shared" si="229"/>
        <v>3.9798077985646683</v>
      </c>
      <c r="AH416" s="9">
        <v>0</v>
      </c>
      <c r="AI416" s="9">
        <f t="shared" si="236"/>
        <v>0</v>
      </c>
      <c r="AJ416">
        <v>94.9</v>
      </c>
      <c r="AK416" s="23" t="s">
        <v>89</v>
      </c>
      <c r="AL416" s="42">
        <v>47.560703662314701</v>
      </c>
      <c r="AM416" s="24">
        <v>0.69</v>
      </c>
      <c r="AN416" s="34">
        <f t="shared" si="237"/>
        <v>0.22788670461367352</v>
      </c>
      <c r="AO416">
        <v>1985</v>
      </c>
      <c r="AP416">
        <v>25</v>
      </c>
      <c r="AQ416">
        <v>70</v>
      </c>
      <c r="AR416">
        <v>70</v>
      </c>
      <c r="AS416">
        <f t="shared" si="226"/>
        <v>0</v>
      </c>
      <c r="AT416">
        <f t="shared" si="238"/>
        <v>0</v>
      </c>
      <c r="AU416">
        <f t="shared" si="239"/>
        <v>1</v>
      </c>
      <c r="AV416">
        <f t="shared" si="240"/>
        <v>0</v>
      </c>
      <c r="AW416">
        <f t="shared" si="241"/>
        <v>0</v>
      </c>
      <c r="AX416">
        <f t="shared" si="242"/>
        <v>0</v>
      </c>
      <c r="AY416">
        <f t="shared" si="243"/>
        <v>0</v>
      </c>
      <c r="AZ416">
        <f t="shared" si="244"/>
        <v>0</v>
      </c>
      <c r="BA416">
        <f t="shared" si="245"/>
        <v>0</v>
      </c>
      <c r="BB416">
        <f t="shared" si="246"/>
        <v>0</v>
      </c>
      <c r="BC416">
        <f t="shared" si="247"/>
        <v>0</v>
      </c>
      <c r="BD416">
        <f t="shared" si="248"/>
        <v>0</v>
      </c>
      <c r="BE416">
        <f t="shared" si="249"/>
        <v>0</v>
      </c>
      <c r="BF416">
        <f t="shared" si="250"/>
        <v>0</v>
      </c>
      <c r="BG416">
        <f t="shared" si="251"/>
        <v>0</v>
      </c>
      <c r="BH416">
        <f t="shared" si="252"/>
        <v>0</v>
      </c>
      <c r="BI416">
        <f t="shared" si="253"/>
        <v>0</v>
      </c>
    </row>
    <row r="417" spans="1:61" x14ac:dyDescent="0.35">
      <c r="A417" t="s">
        <v>196</v>
      </c>
      <c r="B417" s="1">
        <v>40045</v>
      </c>
      <c r="C417" t="s">
        <v>892</v>
      </c>
      <c r="D417" t="s">
        <v>2</v>
      </c>
      <c r="E417" t="s">
        <v>890</v>
      </c>
      <c r="F417" t="s">
        <v>59</v>
      </c>
      <c r="G417" t="s">
        <v>64</v>
      </c>
      <c r="H417" s="139">
        <f t="shared" si="227"/>
        <v>1</v>
      </c>
      <c r="I417" t="s">
        <v>234</v>
      </c>
      <c r="J417" t="s">
        <v>235</v>
      </c>
      <c r="K417" s="2">
        <f t="shared" si="230"/>
        <v>1</v>
      </c>
      <c r="L417">
        <v>193114000</v>
      </c>
      <c r="M417" s="2">
        <f t="shared" si="231"/>
        <v>8.2858137595502335</v>
      </c>
      <c r="N417">
        <f t="shared" si="254"/>
        <v>193114000</v>
      </c>
      <c r="O417">
        <v>0</v>
      </c>
      <c r="P417" s="1">
        <v>42551</v>
      </c>
      <c r="Q417" s="89">
        <f t="shared" si="232"/>
        <v>2016</v>
      </c>
      <c r="R417" t="s">
        <v>107</v>
      </c>
      <c r="S417">
        <v>411551000</v>
      </c>
      <c r="T417" s="21">
        <f t="shared" si="224"/>
        <v>6.8657534246575347</v>
      </c>
      <c r="U417">
        <v>917.19</v>
      </c>
      <c r="V417">
        <f t="shared" si="233"/>
        <v>2.9629325585580042</v>
      </c>
      <c r="W417">
        <v>1863</v>
      </c>
      <c r="X417">
        <v>146</v>
      </c>
      <c r="Y417">
        <f t="shared" si="234"/>
        <v>2.167317334748176</v>
      </c>
      <c r="Z417" s="45">
        <v>2.62</v>
      </c>
      <c r="AA417" s="9">
        <f t="shared" ref="AA417:AA433" si="255">S417-N417</f>
        <v>218437000</v>
      </c>
      <c r="AB417" s="15">
        <f t="shared" si="225"/>
        <v>1.1311297989788414</v>
      </c>
      <c r="AC417" s="34">
        <f t="shared" si="235"/>
        <v>0.32860990173839816</v>
      </c>
      <c r="AD417">
        <v>2417.5229853975125</v>
      </c>
      <c r="AE417">
        <f t="shared" si="228"/>
        <v>3.3833706119727633</v>
      </c>
      <c r="AF417">
        <v>9545.7003785830148</v>
      </c>
      <c r="AG417">
        <f t="shared" si="229"/>
        <v>3.9798077985646683</v>
      </c>
      <c r="AH417" s="9">
        <v>854.66666666666697</v>
      </c>
      <c r="AI417" s="9">
        <f t="shared" si="236"/>
        <v>2.9323046139517812</v>
      </c>
      <c r="AJ417">
        <v>90.3</v>
      </c>
      <c r="AK417" s="23" t="s">
        <v>521</v>
      </c>
      <c r="AL417" s="42">
        <v>47.576210837790804</v>
      </c>
      <c r="AM417" s="24">
        <v>1.08</v>
      </c>
      <c r="AN417" s="34">
        <f t="shared" si="237"/>
        <v>0.31806333496276157</v>
      </c>
      <c r="AO417">
        <v>1985</v>
      </c>
      <c r="AP417">
        <v>24</v>
      </c>
      <c r="AQ417">
        <v>70</v>
      </c>
      <c r="AR417">
        <v>70</v>
      </c>
      <c r="AS417">
        <f t="shared" si="226"/>
        <v>0</v>
      </c>
      <c r="AT417">
        <f t="shared" si="238"/>
        <v>0</v>
      </c>
      <c r="AU417">
        <f t="shared" si="239"/>
        <v>0</v>
      </c>
      <c r="AV417">
        <f t="shared" si="240"/>
        <v>0</v>
      </c>
      <c r="AW417">
        <f t="shared" si="241"/>
        <v>0</v>
      </c>
      <c r="AX417">
        <f t="shared" si="242"/>
        <v>0</v>
      </c>
      <c r="AY417">
        <f t="shared" si="243"/>
        <v>0</v>
      </c>
      <c r="AZ417">
        <f t="shared" si="244"/>
        <v>0</v>
      </c>
      <c r="BA417">
        <f t="shared" si="245"/>
        <v>0</v>
      </c>
      <c r="BB417">
        <f t="shared" si="246"/>
        <v>1</v>
      </c>
      <c r="BC417">
        <f t="shared" si="247"/>
        <v>0</v>
      </c>
      <c r="BD417">
        <f t="shared" si="248"/>
        <v>0</v>
      </c>
      <c r="BE417">
        <f t="shared" si="249"/>
        <v>0</v>
      </c>
      <c r="BF417">
        <f t="shared" si="250"/>
        <v>0</v>
      </c>
      <c r="BG417">
        <f t="shared" si="251"/>
        <v>0</v>
      </c>
      <c r="BH417">
        <f t="shared" si="252"/>
        <v>0</v>
      </c>
      <c r="BI417">
        <f t="shared" si="253"/>
        <v>0</v>
      </c>
    </row>
    <row r="418" spans="1:61" x14ac:dyDescent="0.35">
      <c r="A418" t="s">
        <v>196</v>
      </c>
      <c r="B418" s="1">
        <v>38254</v>
      </c>
      <c r="C418" t="s">
        <v>893</v>
      </c>
      <c r="D418" t="s">
        <v>2</v>
      </c>
      <c r="E418" t="s">
        <v>894</v>
      </c>
      <c r="F418" t="s">
        <v>59</v>
      </c>
      <c r="G418" t="s">
        <v>64</v>
      </c>
      <c r="H418" s="139">
        <f t="shared" si="227"/>
        <v>1</v>
      </c>
      <c r="I418" t="s">
        <v>234</v>
      </c>
      <c r="J418" t="s">
        <v>190</v>
      </c>
      <c r="K418" s="2">
        <f t="shared" si="230"/>
        <v>2</v>
      </c>
      <c r="L418">
        <v>110000000</v>
      </c>
      <c r="M418" s="2">
        <f t="shared" si="231"/>
        <v>8.0413926851582254</v>
      </c>
      <c r="N418">
        <f t="shared" si="254"/>
        <v>110000000</v>
      </c>
      <c r="O418">
        <v>0</v>
      </c>
      <c r="P418" s="1">
        <v>40659</v>
      </c>
      <c r="Q418" s="89">
        <f t="shared" si="232"/>
        <v>2011</v>
      </c>
      <c r="R418" t="s">
        <v>107</v>
      </c>
      <c r="S418">
        <v>170000000</v>
      </c>
      <c r="T418" s="21">
        <f t="shared" si="224"/>
        <v>6.5890410958904111</v>
      </c>
      <c r="U418">
        <v>917.19</v>
      </c>
      <c r="V418">
        <f t="shared" si="233"/>
        <v>2.9629325585580042</v>
      </c>
      <c r="W418">
        <v>2004</v>
      </c>
      <c r="X418">
        <v>0</v>
      </c>
      <c r="Y418">
        <f t="shared" si="234"/>
        <v>0</v>
      </c>
      <c r="Z418" s="45">
        <v>2.62</v>
      </c>
      <c r="AA418" s="9">
        <f t="shared" si="255"/>
        <v>60000000</v>
      </c>
      <c r="AB418" s="15">
        <f t="shared" si="225"/>
        <v>0.54545454545454541</v>
      </c>
      <c r="AC418" s="34">
        <f t="shared" si="235"/>
        <v>0.18905623622004888</v>
      </c>
      <c r="AD418">
        <v>2417.5229853975125</v>
      </c>
      <c r="AE418">
        <f t="shared" si="228"/>
        <v>3.3833706119727633</v>
      </c>
      <c r="AF418">
        <v>9545.7003785830148</v>
      </c>
      <c r="AG418">
        <f t="shared" si="229"/>
        <v>3.9798077985646683</v>
      </c>
      <c r="AH418" s="9">
        <v>854.66666666666697</v>
      </c>
      <c r="AI418" s="9">
        <f t="shared" si="236"/>
        <v>2.9323046139517812</v>
      </c>
      <c r="AJ418">
        <v>70</v>
      </c>
      <c r="AK418" s="23" t="s">
        <v>213</v>
      </c>
      <c r="AL418" s="42">
        <v>46.312020505412598</v>
      </c>
      <c r="AM418" s="24">
        <v>0.21</v>
      </c>
      <c r="AN418" s="34">
        <f t="shared" si="237"/>
        <v>8.2785370316450071E-2</v>
      </c>
      <c r="AO418">
        <v>1985</v>
      </c>
      <c r="AP418">
        <v>19</v>
      </c>
      <c r="AQ418">
        <v>70</v>
      </c>
      <c r="AR418">
        <v>70</v>
      </c>
      <c r="AS418">
        <f t="shared" si="226"/>
        <v>0</v>
      </c>
      <c r="AT418">
        <f t="shared" si="238"/>
        <v>0</v>
      </c>
      <c r="AU418">
        <f t="shared" si="239"/>
        <v>0</v>
      </c>
      <c r="AV418">
        <f t="shared" si="240"/>
        <v>0</v>
      </c>
      <c r="AW418">
        <f t="shared" si="241"/>
        <v>0</v>
      </c>
      <c r="AX418">
        <f t="shared" si="242"/>
        <v>0</v>
      </c>
      <c r="AY418">
        <f t="shared" si="243"/>
        <v>0</v>
      </c>
      <c r="AZ418">
        <f t="shared" si="244"/>
        <v>0</v>
      </c>
      <c r="BA418">
        <f t="shared" si="245"/>
        <v>0</v>
      </c>
      <c r="BB418">
        <f t="shared" si="246"/>
        <v>1</v>
      </c>
      <c r="BC418">
        <f t="shared" si="247"/>
        <v>0</v>
      </c>
      <c r="BD418">
        <f t="shared" si="248"/>
        <v>0</v>
      </c>
      <c r="BE418">
        <f t="shared" si="249"/>
        <v>0</v>
      </c>
      <c r="BF418">
        <f t="shared" si="250"/>
        <v>0</v>
      </c>
      <c r="BG418">
        <f t="shared" si="251"/>
        <v>0</v>
      </c>
      <c r="BH418">
        <f t="shared" si="252"/>
        <v>0</v>
      </c>
      <c r="BI418">
        <f t="shared" si="253"/>
        <v>0</v>
      </c>
    </row>
    <row r="419" spans="1:61" ht="21" customHeight="1" x14ac:dyDescent="0.35">
      <c r="A419" t="s">
        <v>196</v>
      </c>
      <c r="B419" s="1">
        <v>37085</v>
      </c>
      <c r="C419" t="s">
        <v>895</v>
      </c>
      <c r="D419" t="s">
        <v>59</v>
      </c>
      <c r="E419" t="s">
        <v>894</v>
      </c>
      <c r="F419" t="s">
        <v>59</v>
      </c>
      <c r="G419" t="s">
        <v>47</v>
      </c>
      <c r="H419" s="139">
        <f t="shared" si="227"/>
        <v>0</v>
      </c>
      <c r="I419" t="s">
        <v>234</v>
      </c>
      <c r="J419" t="s">
        <v>248</v>
      </c>
      <c r="K419" s="2">
        <f t="shared" si="230"/>
        <v>5</v>
      </c>
      <c r="L419">
        <v>54000000</v>
      </c>
      <c r="M419" s="2">
        <f t="shared" si="231"/>
        <v>7.7323937598229682</v>
      </c>
      <c r="N419">
        <f t="shared" si="254"/>
        <v>54000000</v>
      </c>
      <c r="O419">
        <v>0</v>
      </c>
      <c r="P419" s="1">
        <v>37941</v>
      </c>
      <c r="Q419" s="89">
        <f t="shared" si="232"/>
        <v>2003</v>
      </c>
      <c r="R419" t="s">
        <v>107</v>
      </c>
      <c r="S419">
        <v>152000000</v>
      </c>
      <c r="T419" s="21">
        <f t="shared" si="224"/>
        <v>2.3452054794520549</v>
      </c>
      <c r="U419">
        <v>0</v>
      </c>
      <c r="V419">
        <f t="shared" si="233"/>
        <v>0</v>
      </c>
      <c r="W419">
        <v>1998</v>
      </c>
      <c r="X419">
        <v>3</v>
      </c>
      <c r="Y419">
        <f t="shared" si="234"/>
        <v>0.6020599913279624</v>
      </c>
      <c r="Z419" s="45">
        <v>3.29</v>
      </c>
      <c r="AA419" s="9">
        <f t="shared" si="255"/>
        <v>98000000</v>
      </c>
      <c r="AB419" s="15">
        <f t="shared" si="225"/>
        <v>1.8148148148148149</v>
      </c>
      <c r="AC419" s="34">
        <f t="shared" si="235"/>
        <v>0.44944982812180406</v>
      </c>
      <c r="AD419">
        <v>2417.5229853975125</v>
      </c>
      <c r="AE419">
        <f t="shared" si="228"/>
        <v>3.3833706119727633</v>
      </c>
      <c r="AF419">
        <v>9545.7003785830148</v>
      </c>
      <c r="AG419">
        <f t="shared" si="229"/>
        <v>3.9798077985646683</v>
      </c>
      <c r="AH419" s="9">
        <v>0</v>
      </c>
      <c r="AI419" s="9">
        <f t="shared" si="236"/>
        <v>0</v>
      </c>
      <c r="AJ419">
        <v>85</v>
      </c>
      <c r="AK419" s="23" t="s">
        <v>861</v>
      </c>
      <c r="AL419" s="42">
        <v>36.544739309553499</v>
      </c>
      <c r="AM419" s="24">
        <v>-0.14000000000000001</v>
      </c>
      <c r="AN419" s="34">
        <f t="shared" si="237"/>
        <v>-6.5501548756432285E-2</v>
      </c>
      <c r="AO419">
        <v>1985</v>
      </c>
      <c r="AP419">
        <v>16</v>
      </c>
      <c r="AQ419">
        <v>70</v>
      </c>
      <c r="AR419">
        <v>70</v>
      </c>
      <c r="AS419">
        <f t="shared" si="226"/>
        <v>0</v>
      </c>
      <c r="AT419">
        <f t="shared" si="238"/>
        <v>0</v>
      </c>
      <c r="AU419">
        <f t="shared" si="239"/>
        <v>1</v>
      </c>
      <c r="AV419">
        <f t="shared" si="240"/>
        <v>0</v>
      </c>
      <c r="AW419">
        <f t="shared" si="241"/>
        <v>0</v>
      </c>
      <c r="AX419">
        <f t="shared" si="242"/>
        <v>0</v>
      </c>
      <c r="AY419">
        <f t="shared" si="243"/>
        <v>0</v>
      </c>
      <c r="AZ419">
        <f t="shared" si="244"/>
        <v>0</v>
      </c>
      <c r="BA419">
        <f t="shared" si="245"/>
        <v>0</v>
      </c>
      <c r="BB419">
        <f t="shared" si="246"/>
        <v>0</v>
      </c>
      <c r="BC419">
        <f t="shared" si="247"/>
        <v>0</v>
      </c>
      <c r="BD419">
        <f t="shared" si="248"/>
        <v>0</v>
      </c>
      <c r="BE419">
        <f t="shared" si="249"/>
        <v>0</v>
      </c>
      <c r="BF419">
        <f t="shared" si="250"/>
        <v>0</v>
      </c>
      <c r="BG419">
        <f t="shared" si="251"/>
        <v>0</v>
      </c>
      <c r="BH419">
        <f t="shared" si="252"/>
        <v>0</v>
      </c>
      <c r="BI419">
        <f t="shared" si="253"/>
        <v>0</v>
      </c>
    </row>
    <row r="420" spans="1:61" ht="19.5" customHeight="1" x14ac:dyDescent="0.35">
      <c r="A420" t="s">
        <v>196</v>
      </c>
      <c r="B420" s="1">
        <v>36891</v>
      </c>
      <c r="C420" t="s">
        <v>896</v>
      </c>
      <c r="D420" t="s">
        <v>59</v>
      </c>
      <c r="E420" t="s">
        <v>894</v>
      </c>
      <c r="F420" t="s">
        <v>59</v>
      </c>
      <c r="G420" t="s">
        <v>47</v>
      </c>
      <c r="H420" s="139">
        <f t="shared" si="227"/>
        <v>0</v>
      </c>
      <c r="I420" t="s">
        <v>234</v>
      </c>
      <c r="J420" t="s">
        <v>248</v>
      </c>
      <c r="K420" s="2">
        <f t="shared" si="230"/>
        <v>5</v>
      </c>
      <c r="L420">
        <v>23000000</v>
      </c>
      <c r="M420" s="2">
        <f t="shared" si="231"/>
        <v>7.3617278360175931</v>
      </c>
      <c r="N420">
        <f t="shared" si="254"/>
        <v>23000000</v>
      </c>
      <c r="O420">
        <v>0</v>
      </c>
      <c r="P420" s="1">
        <v>38460</v>
      </c>
      <c r="Q420" s="89">
        <f t="shared" si="232"/>
        <v>2005</v>
      </c>
      <c r="R420" t="s">
        <v>107</v>
      </c>
      <c r="S420">
        <v>520000000</v>
      </c>
      <c r="T420" s="21">
        <f t="shared" si="224"/>
        <v>4.2986301369863016</v>
      </c>
      <c r="U420">
        <v>0</v>
      </c>
      <c r="V420">
        <f t="shared" si="233"/>
        <v>0</v>
      </c>
      <c r="W420">
        <v>1864</v>
      </c>
      <c r="X420">
        <v>136</v>
      </c>
      <c r="Y420">
        <f t="shared" si="234"/>
        <v>2.1367205671564067</v>
      </c>
      <c r="Z420" s="45">
        <v>3.29</v>
      </c>
      <c r="AA420" s="9">
        <f t="shared" si="255"/>
        <v>497000000</v>
      </c>
      <c r="AB420" s="15">
        <f t="shared" si="225"/>
        <v>21.608695652173914</v>
      </c>
      <c r="AC420" s="34">
        <f t="shared" si="235"/>
        <v>1.3542755076172064</v>
      </c>
      <c r="AD420">
        <v>2417.5229853975125</v>
      </c>
      <c r="AE420">
        <f t="shared" si="228"/>
        <v>3.3833706119727633</v>
      </c>
      <c r="AF420">
        <v>9545.7003785830148</v>
      </c>
      <c r="AG420">
        <f t="shared" si="229"/>
        <v>3.9798077985646683</v>
      </c>
      <c r="AH420" s="9">
        <v>0</v>
      </c>
      <c r="AI420" s="9">
        <f t="shared" si="236"/>
        <v>0</v>
      </c>
      <c r="AJ420">
        <v>85</v>
      </c>
      <c r="AK420" s="23" t="s">
        <v>78</v>
      </c>
      <c r="AL420" s="42">
        <v>35.433808146393098</v>
      </c>
      <c r="AM420" s="24">
        <v>-0.13</v>
      </c>
      <c r="AN420" s="34">
        <f t="shared" si="237"/>
        <v>-6.0480747381381476E-2</v>
      </c>
      <c r="AO420">
        <v>1985</v>
      </c>
      <c r="AP420">
        <v>15</v>
      </c>
      <c r="AQ420">
        <v>70</v>
      </c>
      <c r="AR420">
        <v>70</v>
      </c>
      <c r="AS420">
        <f t="shared" si="226"/>
        <v>0</v>
      </c>
      <c r="AT420">
        <f t="shared" si="238"/>
        <v>0</v>
      </c>
      <c r="AU420">
        <f t="shared" si="239"/>
        <v>1</v>
      </c>
      <c r="AV420">
        <f t="shared" si="240"/>
        <v>0</v>
      </c>
      <c r="AW420">
        <f t="shared" si="241"/>
        <v>0</v>
      </c>
      <c r="AX420">
        <f t="shared" si="242"/>
        <v>0</v>
      </c>
      <c r="AY420">
        <f t="shared" si="243"/>
        <v>0</v>
      </c>
      <c r="AZ420">
        <f t="shared" si="244"/>
        <v>0</v>
      </c>
      <c r="BA420">
        <f t="shared" si="245"/>
        <v>0</v>
      </c>
      <c r="BB420">
        <f t="shared" si="246"/>
        <v>0</v>
      </c>
      <c r="BC420">
        <f t="shared" si="247"/>
        <v>0</v>
      </c>
      <c r="BD420">
        <f t="shared" si="248"/>
        <v>0</v>
      </c>
      <c r="BE420">
        <f t="shared" si="249"/>
        <v>0</v>
      </c>
      <c r="BF420">
        <f t="shared" si="250"/>
        <v>0</v>
      </c>
      <c r="BG420">
        <f t="shared" si="251"/>
        <v>0</v>
      </c>
      <c r="BH420">
        <f t="shared" si="252"/>
        <v>0</v>
      </c>
      <c r="BI420">
        <f t="shared" si="253"/>
        <v>0</v>
      </c>
    </row>
    <row r="421" spans="1:61" ht="16.5" customHeight="1" x14ac:dyDescent="0.35">
      <c r="A421" t="s">
        <v>196</v>
      </c>
      <c r="B421" s="1">
        <v>36725</v>
      </c>
      <c r="C421" t="s">
        <v>897</v>
      </c>
      <c r="D421" t="s">
        <v>59</v>
      </c>
      <c r="E421" t="s">
        <v>894</v>
      </c>
      <c r="F421" t="s">
        <v>59</v>
      </c>
      <c r="G421" t="s">
        <v>47</v>
      </c>
      <c r="H421" s="139">
        <f t="shared" si="227"/>
        <v>0</v>
      </c>
      <c r="I421" t="s">
        <v>234</v>
      </c>
      <c r="J421" t="s">
        <v>248</v>
      </c>
      <c r="K421" s="2">
        <f t="shared" si="230"/>
        <v>5</v>
      </c>
      <c r="L421">
        <v>50000000</v>
      </c>
      <c r="M421" s="2">
        <f t="shared" si="231"/>
        <v>7.6989700043360187</v>
      </c>
      <c r="N421">
        <f t="shared" si="254"/>
        <v>50000000</v>
      </c>
      <c r="O421">
        <v>0</v>
      </c>
      <c r="P421" s="1">
        <v>38529</v>
      </c>
      <c r="Q421" s="89">
        <f t="shared" si="232"/>
        <v>2005</v>
      </c>
      <c r="R421" t="s">
        <v>107</v>
      </c>
      <c r="S421">
        <v>262000000</v>
      </c>
      <c r="T421" s="21">
        <f t="shared" si="224"/>
        <v>4.9424657534246572</v>
      </c>
      <c r="U421">
        <v>0</v>
      </c>
      <c r="V421">
        <f t="shared" si="233"/>
        <v>0</v>
      </c>
      <c r="W421">
        <v>2000</v>
      </c>
      <c r="X421">
        <v>0</v>
      </c>
      <c r="Y421">
        <f t="shared" si="234"/>
        <v>0</v>
      </c>
      <c r="Z421" s="45">
        <v>3.29</v>
      </c>
      <c r="AA421" s="9">
        <f t="shared" si="255"/>
        <v>212000000</v>
      </c>
      <c r="AB421" s="15">
        <f t="shared" si="225"/>
        <v>4.24</v>
      </c>
      <c r="AC421" s="34">
        <f t="shared" si="235"/>
        <v>0.71933128698372661</v>
      </c>
      <c r="AD421">
        <v>2417.5229853975125</v>
      </c>
      <c r="AE421">
        <f t="shared" si="228"/>
        <v>3.3833706119727633</v>
      </c>
      <c r="AF421">
        <v>9545.7003785830148</v>
      </c>
      <c r="AG421">
        <f t="shared" si="229"/>
        <v>3.9798077985646683</v>
      </c>
      <c r="AH421" s="9">
        <v>0</v>
      </c>
      <c r="AI421" s="9">
        <f t="shared" si="236"/>
        <v>0</v>
      </c>
      <c r="AJ421">
        <v>85</v>
      </c>
      <c r="AK421" s="23" t="s">
        <v>78</v>
      </c>
      <c r="AL421" s="42">
        <v>35.433808146393098</v>
      </c>
      <c r="AM421" s="24">
        <v>-0.2</v>
      </c>
      <c r="AN421" s="34">
        <f t="shared" si="237"/>
        <v>-9.6910013008056392E-2</v>
      </c>
      <c r="AO421">
        <v>1985</v>
      </c>
      <c r="AP421">
        <v>15</v>
      </c>
      <c r="AQ421">
        <v>70</v>
      </c>
      <c r="AR421">
        <v>70</v>
      </c>
      <c r="AS421">
        <f t="shared" si="226"/>
        <v>0</v>
      </c>
      <c r="AT421">
        <f t="shared" si="238"/>
        <v>0</v>
      </c>
      <c r="AU421">
        <f t="shared" si="239"/>
        <v>1</v>
      </c>
      <c r="AV421">
        <f t="shared" si="240"/>
        <v>0</v>
      </c>
      <c r="AW421">
        <f t="shared" si="241"/>
        <v>0</v>
      </c>
      <c r="AX421">
        <f t="shared" si="242"/>
        <v>0</v>
      </c>
      <c r="AY421">
        <f t="shared" si="243"/>
        <v>0</v>
      </c>
      <c r="AZ421">
        <f t="shared" si="244"/>
        <v>0</v>
      </c>
      <c r="BA421">
        <f t="shared" si="245"/>
        <v>0</v>
      </c>
      <c r="BB421">
        <f t="shared" si="246"/>
        <v>0</v>
      </c>
      <c r="BC421">
        <f t="shared" si="247"/>
        <v>0</v>
      </c>
      <c r="BD421">
        <f t="shared" si="248"/>
        <v>0</v>
      </c>
      <c r="BE421">
        <f t="shared" si="249"/>
        <v>0</v>
      </c>
      <c r="BF421">
        <f t="shared" si="250"/>
        <v>0</v>
      </c>
      <c r="BG421">
        <f t="shared" si="251"/>
        <v>0</v>
      </c>
      <c r="BH421">
        <f t="shared" si="252"/>
        <v>0</v>
      </c>
      <c r="BI421">
        <f t="shared" si="253"/>
        <v>0</v>
      </c>
    </row>
    <row r="422" spans="1:61" x14ac:dyDescent="0.35">
      <c r="A422" t="s">
        <v>196</v>
      </c>
      <c r="B422" s="1">
        <v>36341</v>
      </c>
      <c r="C422" t="s">
        <v>898</v>
      </c>
      <c r="D422" t="s">
        <v>163</v>
      </c>
      <c r="E422" t="s">
        <v>894</v>
      </c>
      <c r="F422" t="s">
        <v>59</v>
      </c>
      <c r="G422" t="s">
        <v>64</v>
      </c>
      <c r="H422" s="139">
        <f t="shared" si="227"/>
        <v>1</v>
      </c>
      <c r="I422" t="s">
        <v>234</v>
      </c>
      <c r="J422" t="s">
        <v>248</v>
      </c>
      <c r="K422" s="2">
        <f t="shared" si="230"/>
        <v>5</v>
      </c>
      <c r="L422">
        <v>77000000</v>
      </c>
      <c r="M422" s="2">
        <f t="shared" si="231"/>
        <v>7.8864907251724823</v>
      </c>
      <c r="N422">
        <f t="shared" si="254"/>
        <v>77000000</v>
      </c>
      <c r="O422">
        <v>0</v>
      </c>
      <c r="P422" s="1">
        <v>37322</v>
      </c>
      <c r="Q422" s="89">
        <f t="shared" si="232"/>
        <v>2002</v>
      </c>
      <c r="R422" t="s">
        <v>107</v>
      </c>
      <c r="S422">
        <v>400000000</v>
      </c>
      <c r="T422" s="21">
        <f t="shared" si="224"/>
        <v>2.6876712328767125</v>
      </c>
      <c r="U422">
        <v>342.74</v>
      </c>
      <c r="V422">
        <f t="shared" si="233"/>
        <v>2.5362300726332561</v>
      </c>
      <c r="W422">
        <v>1999</v>
      </c>
      <c r="X422">
        <v>0</v>
      </c>
      <c r="Y422">
        <f t="shared" si="234"/>
        <v>0</v>
      </c>
      <c r="Z422" s="45">
        <v>2.3199999999999998</v>
      </c>
      <c r="AA422" s="9">
        <f t="shared" si="255"/>
        <v>323000000</v>
      </c>
      <c r="AB422" s="15">
        <f t="shared" si="225"/>
        <v>4.1948051948051948</v>
      </c>
      <c r="AC422" s="34">
        <f t="shared" si="235"/>
        <v>0.71556926615548055</v>
      </c>
      <c r="AD422">
        <v>2417.5229853975125</v>
      </c>
      <c r="AE422">
        <f t="shared" si="228"/>
        <v>3.3833706119727633</v>
      </c>
      <c r="AF422">
        <v>9545.7003785830148</v>
      </c>
      <c r="AG422">
        <f t="shared" si="229"/>
        <v>3.9798077985646683</v>
      </c>
      <c r="AH422" s="9">
        <v>569.16666666666697</v>
      </c>
      <c r="AI422" s="9">
        <f t="shared" si="236"/>
        <v>2.756001823801419</v>
      </c>
      <c r="AJ422">
        <v>85</v>
      </c>
      <c r="AK422" s="23" t="s">
        <v>383</v>
      </c>
      <c r="AL422" s="42">
        <v>52.629944775121203</v>
      </c>
      <c r="AM422" s="24">
        <v>-0.16</v>
      </c>
      <c r="AN422" s="34">
        <f t="shared" si="237"/>
        <v>-7.5720713938118356E-2</v>
      </c>
      <c r="AO422">
        <v>1985</v>
      </c>
      <c r="AP422">
        <v>14</v>
      </c>
      <c r="AQ422">
        <v>85</v>
      </c>
      <c r="AR422">
        <v>80</v>
      </c>
      <c r="AS422">
        <f t="shared" si="226"/>
        <v>0</v>
      </c>
      <c r="AT422">
        <f t="shared" si="238"/>
        <v>0</v>
      </c>
      <c r="AU422">
        <f t="shared" si="239"/>
        <v>0</v>
      </c>
      <c r="AV422">
        <f t="shared" si="240"/>
        <v>0</v>
      </c>
      <c r="AW422">
        <f t="shared" si="241"/>
        <v>0</v>
      </c>
      <c r="AX422">
        <f t="shared" si="242"/>
        <v>0</v>
      </c>
      <c r="AY422">
        <f t="shared" si="243"/>
        <v>0</v>
      </c>
      <c r="AZ422">
        <f t="shared" si="244"/>
        <v>1</v>
      </c>
      <c r="BA422">
        <f t="shared" si="245"/>
        <v>0</v>
      </c>
      <c r="BB422">
        <f t="shared" si="246"/>
        <v>0</v>
      </c>
      <c r="BC422">
        <f t="shared" si="247"/>
        <v>0</v>
      </c>
      <c r="BD422">
        <f t="shared" si="248"/>
        <v>0</v>
      </c>
      <c r="BE422">
        <f t="shared" si="249"/>
        <v>0</v>
      </c>
      <c r="BF422">
        <f t="shared" si="250"/>
        <v>0</v>
      </c>
      <c r="BG422">
        <f t="shared" si="251"/>
        <v>0</v>
      </c>
      <c r="BH422">
        <f t="shared" si="252"/>
        <v>0</v>
      </c>
      <c r="BI422">
        <f t="shared" si="253"/>
        <v>0</v>
      </c>
    </row>
    <row r="423" spans="1:61" ht="15" customHeight="1" x14ac:dyDescent="0.35">
      <c r="A423" t="s">
        <v>196</v>
      </c>
      <c r="B423" s="1">
        <v>36160</v>
      </c>
      <c r="C423" t="s">
        <v>899</v>
      </c>
      <c r="D423" t="s">
        <v>59</v>
      </c>
      <c r="E423" t="s">
        <v>894</v>
      </c>
      <c r="F423" t="s">
        <v>59</v>
      </c>
      <c r="G423" t="s">
        <v>47</v>
      </c>
      <c r="H423" s="139">
        <f t="shared" si="227"/>
        <v>0</v>
      </c>
      <c r="I423" t="s">
        <v>234</v>
      </c>
      <c r="J423" t="s">
        <v>248</v>
      </c>
      <c r="K423" s="2">
        <f t="shared" si="230"/>
        <v>5</v>
      </c>
      <c r="L423">
        <v>20600000</v>
      </c>
      <c r="M423" s="2">
        <f t="shared" si="231"/>
        <v>7.3138672203691533</v>
      </c>
      <c r="N423">
        <f t="shared" si="254"/>
        <v>20600000</v>
      </c>
      <c r="O423">
        <v>0</v>
      </c>
      <c r="P423" s="1">
        <v>37081</v>
      </c>
      <c r="Q423" s="89">
        <f t="shared" si="232"/>
        <v>2001</v>
      </c>
      <c r="R423" t="s">
        <v>107</v>
      </c>
      <c r="S423">
        <v>23400000</v>
      </c>
      <c r="T423" s="21">
        <f t="shared" si="224"/>
        <v>2.5232876712328767</v>
      </c>
      <c r="U423">
        <v>0</v>
      </c>
      <c r="V423">
        <f t="shared" si="233"/>
        <v>0</v>
      </c>
      <c r="W423">
        <v>1983</v>
      </c>
      <c r="X423">
        <v>15</v>
      </c>
      <c r="Y423">
        <f t="shared" si="234"/>
        <v>1.2041199826559248</v>
      </c>
      <c r="Z423" s="45">
        <v>3.29</v>
      </c>
      <c r="AA423" s="9">
        <f t="shared" si="255"/>
        <v>2800000</v>
      </c>
      <c r="AB423" s="15">
        <f t="shared" si="225"/>
        <v>0.13592233009708732</v>
      </c>
      <c r="AC423" s="34">
        <f t="shared" si="235"/>
        <v>5.5348637040989412E-2</v>
      </c>
      <c r="AD423">
        <v>2417.5229853975125</v>
      </c>
      <c r="AE423">
        <f t="shared" si="228"/>
        <v>3.3833706119727633</v>
      </c>
      <c r="AF423">
        <v>9545.7003785830148</v>
      </c>
      <c r="AG423">
        <f t="shared" si="229"/>
        <v>3.9798077985646683</v>
      </c>
      <c r="AH423" s="9">
        <v>0</v>
      </c>
      <c r="AI423" s="9">
        <f t="shared" si="236"/>
        <v>0</v>
      </c>
      <c r="AJ423">
        <v>85</v>
      </c>
      <c r="AK423" s="23" t="s">
        <v>249</v>
      </c>
      <c r="AL423" s="42">
        <v>35.516899069648296</v>
      </c>
      <c r="AM423" s="24">
        <v>-0.02</v>
      </c>
      <c r="AN423" s="34">
        <f t="shared" si="237"/>
        <v>-8.7739243075051505E-3</v>
      </c>
      <c r="AO423">
        <v>1985</v>
      </c>
      <c r="AP423">
        <v>13</v>
      </c>
      <c r="AQ423">
        <v>70</v>
      </c>
      <c r="AR423">
        <v>70</v>
      </c>
      <c r="AS423">
        <f t="shared" si="226"/>
        <v>0</v>
      </c>
      <c r="AT423">
        <f t="shared" si="238"/>
        <v>0</v>
      </c>
      <c r="AU423">
        <f t="shared" si="239"/>
        <v>1</v>
      </c>
      <c r="AV423">
        <f t="shared" si="240"/>
        <v>0</v>
      </c>
      <c r="AW423">
        <f t="shared" si="241"/>
        <v>0</v>
      </c>
      <c r="AX423">
        <f t="shared" si="242"/>
        <v>0</v>
      </c>
      <c r="AY423">
        <f t="shared" si="243"/>
        <v>0</v>
      </c>
      <c r="AZ423">
        <f t="shared" si="244"/>
        <v>0</v>
      </c>
      <c r="BA423">
        <f t="shared" si="245"/>
        <v>0</v>
      </c>
      <c r="BB423">
        <f t="shared" si="246"/>
        <v>0</v>
      </c>
      <c r="BC423">
        <f t="shared" si="247"/>
        <v>0</v>
      </c>
      <c r="BD423">
        <f t="shared" si="248"/>
        <v>0</v>
      </c>
      <c r="BE423">
        <f t="shared" si="249"/>
        <v>0</v>
      </c>
      <c r="BF423">
        <f t="shared" si="250"/>
        <v>0</v>
      </c>
      <c r="BG423">
        <f t="shared" si="251"/>
        <v>0</v>
      </c>
      <c r="BH423">
        <f t="shared" si="252"/>
        <v>0</v>
      </c>
      <c r="BI423">
        <f t="shared" si="253"/>
        <v>0</v>
      </c>
    </row>
    <row r="424" spans="1:61" x14ac:dyDescent="0.35">
      <c r="A424" t="s">
        <v>196</v>
      </c>
      <c r="B424" s="1">
        <v>36160</v>
      </c>
      <c r="C424" t="s">
        <v>900</v>
      </c>
      <c r="D424" t="s">
        <v>163</v>
      </c>
      <c r="E424" t="s">
        <v>894</v>
      </c>
      <c r="F424" t="s">
        <v>59</v>
      </c>
      <c r="G424" t="s">
        <v>64</v>
      </c>
      <c r="H424" s="139">
        <f t="shared" si="227"/>
        <v>1</v>
      </c>
      <c r="I424" t="s">
        <v>234</v>
      </c>
      <c r="J424" t="s">
        <v>235</v>
      </c>
      <c r="K424" s="2">
        <f t="shared" si="230"/>
        <v>1</v>
      </c>
      <c r="L424">
        <v>78000000</v>
      </c>
      <c r="M424" s="2">
        <f t="shared" si="231"/>
        <v>7.8920946026904808</v>
      </c>
      <c r="N424">
        <f t="shared" si="254"/>
        <v>78000000</v>
      </c>
      <c r="O424">
        <v>0</v>
      </c>
      <c r="P424" s="1">
        <v>38852</v>
      </c>
      <c r="Q424" s="89">
        <f t="shared" si="232"/>
        <v>2006</v>
      </c>
      <c r="R424" t="s">
        <v>152</v>
      </c>
      <c r="S424">
        <v>117300000</v>
      </c>
      <c r="T424" s="21">
        <f t="shared" si="224"/>
        <v>7.375342465753425</v>
      </c>
      <c r="U424">
        <v>342.74</v>
      </c>
      <c r="V424">
        <f t="shared" si="233"/>
        <v>2.5362300726332561</v>
      </c>
      <c r="W424">
        <v>1981</v>
      </c>
      <c r="X424">
        <v>17</v>
      </c>
      <c r="Y424">
        <f t="shared" si="234"/>
        <v>1.255272505103306</v>
      </c>
      <c r="Z424" s="45">
        <v>2.3199999999999998</v>
      </c>
      <c r="AA424" s="9">
        <f t="shared" si="255"/>
        <v>39300000</v>
      </c>
      <c r="AB424" s="15">
        <f t="shared" si="225"/>
        <v>0.50384615384615383</v>
      </c>
      <c r="AC424" s="34">
        <f t="shared" si="235"/>
        <v>0.17720340942504884</v>
      </c>
      <c r="AD424">
        <v>2417.5229853975125</v>
      </c>
      <c r="AE424">
        <f t="shared" si="228"/>
        <v>3.3833706119727633</v>
      </c>
      <c r="AF424">
        <v>9545.7003785830148</v>
      </c>
      <c r="AG424">
        <f t="shared" si="229"/>
        <v>3.9798077985646683</v>
      </c>
      <c r="AH424" s="9">
        <v>569.16666666666697</v>
      </c>
      <c r="AI424" s="9">
        <f t="shared" si="236"/>
        <v>2.756001823801419</v>
      </c>
      <c r="AJ424">
        <v>85</v>
      </c>
      <c r="AK424" s="23" t="s">
        <v>620</v>
      </c>
      <c r="AL424" s="42">
        <v>52.924485315438503</v>
      </c>
      <c r="AM424" s="24">
        <v>0.05</v>
      </c>
      <c r="AN424" s="34">
        <f t="shared" si="237"/>
        <v>2.1189299069938092E-2</v>
      </c>
      <c r="AO424">
        <v>1985</v>
      </c>
      <c r="AP424">
        <v>13</v>
      </c>
      <c r="AQ424">
        <v>85</v>
      </c>
      <c r="AR424">
        <v>80</v>
      </c>
      <c r="AS424">
        <f t="shared" si="226"/>
        <v>0</v>
      </c>
      <c r="AT424">
        <f t="shared" si="238"/>
        <v>0</v>
      </c>
      <c r="AU424">
        <f t="shared" si="239"/>
        <v>0</v>
      </c>
      <c r="AV424">
        <f t="shared" si="240"/>
        <v>0</v>
      </c>
      <c r="AW424">
        <f t="shared" si="241"/>
        <v>0</v>
      </c>
      <c r="AX424">
        <f t="shared" si="242"/>
        <v>0</v>
      </c>
      <c r="AY424">
        <f t="shared" si="243"/>
        <v>0</v>
      </c>
      <c r="AZ424">
        <f t="shared" si="244"/>
        <v>1</v>
      </c>
      <c r="BA424">
        <f t="shared" si="245"/>
        <v>0</v>
      </c>
      <c r="BB424">
        <f t="shared" si="246"/>
        <v>0</v>
      </c>
      <c r="BC424">
        <f t="shared" si="247"/>
        <v>0</v>
      </c>
      <c r="BD424">
        <f t="shared" si="248"/>
        <v>0</v>
      </c>
      <c r="BE424">
        <f t="shared" si="249"/>
        <v>0</v>
      </c>
      <c r="BF424">
        <f t="shared" si="250"/>
        <v>0</v>
      </c>
      <c r="BG424">
        <f t="shared" si="251"/>
        <v>0</v>
      </c>
      <c r="BH424">
        <f t="shared" si="252"/>
        <v>0</v>
      </c>
      <c r="BI424">
        <f t="shared" si="253"/>
        <v>0</v>
      </c>
    </row>
    <row r="425" spans="1:61" ht="14.25" customHeight="1" x14ac:dyDescent="0.35">
      <c r="A425" t="s">
        <v>196</v>
      </c>
      <c r="B425" s="1">
        <v>35795</v>
      </c>
      <c r="C425" t="s">
        <v>901</v>
      </c>
      <c r="D425" t="s">
        <v>59</v>
      </c>
      <c r="E425" t="s">
        <v>894</v>
      </c>
      <c r="F425" t="s">
        <v>59</v>
      </c>
      <c r="G425" t="s">
        <v>47</v>
      </c>
      <c r="H425" s="139">
        <f t="shared" si="227"/>
        <v>0</v>
      </c>
      <c r="I425" t="s">
        <v>234</v>
      </c>
      <c r="J425" t="s">
        <v>248</v>
      </c>
      <c r="K425" s="2">
        <f t="shared" si="230"/>
        <v>5</v>
      </c>
      <c r="L425">
        <v>279000000</v>
      </c>
      <c r="M425" s="2">
        <f t="shared" si="231"/>
        <v>8.4456042032735983</v>
      </c>
      <c r="N425">
        <f t="shared" si="254"/>
        <v>279000000</v>
      </c>
      <c r="O425">
        <v>0</v>
      </c>
      <c r="P425" s="1">
        <v>37659</v>
      </c>
      <c r="Q425" s="89">
        <f t="shared" si="232"/>
        <v>2003</v>
      </c>
      <c r="R425" t="s">
        <v>152</v>
      </c>
      <c r="S425">
        <v>1240000000</v>
      </c>
      <c r="T425" s="21">
        <f t="shared" si="224"/>
        <v>5.1068493150684935</v>
      </c>
      <c r="U425">
        <v>0</v>
      </c>
      <c r="V425">
        <f t="shared" si="233"/>
        <v>0</v>
      </c>
      <c r="W425">
        <v>1997</v>
      </c>
      <c r="X425">
        <v>0</v>
      </c>
      <c r="Y425">
        <f t="shared" si="234"/>
        <v>0</v>
      </c>
      <c r="Z425" s="45">
        <v>3.29</v>
      </c>
      <c r="AA425" s="9">
        <f t="shared" si="255"/>
        <v>961000000</v>
      </c>
      <c r="AB425" s="15">
        <f t="shared" si="225"/>
        <v>3.4444444444444446</v>
      </c>
      <c r="AC425" s="34">
        <f t="shared" si="235"/>
        <v>0.64781748188863753</v>
      </c>
      <c r="AD425">
        <v>2417.5229853975125</v>
      </c>
      <c r="AE425">
        <f t="shared" si="228"/>
        <v>3.3833706119727633</v>
      </c>
      <c r="AF425">
        <v>9545.7003785830148</v>
      </c>
      <c r="AG425">
        <f t="shared" si="229"/>
        <v>3.9798077985646683</v>
      </c>
      <c r="AH425" s="9">
        <v>0</v>
      </c>
      <c r="AI425" s="9">
        <f t="shared" si="236"/>
        <v>0</v>
      </c>
      <c r="AJ425">
        <v>85</v>
      </c>
      <c r="AK425" s="23" t="s">
        <v>61</v>
      </c>
      <c r="AL425" s="42">
        <v>35.807885111275297</v>
      </c>
      <c r="AM425" s="24">
        <v>-0.15</v>
      </c>
      <c r="AN425" s="34">
        <f t="shared" si="237"/>
        <v>-7.0581074285707285E-2</v>
      </c>
      <c r="AO425">
        <v>1985</v>
      </c>
      <c r="AP425">
        <v>12</v>
      </c>
      <c r="AQ425">
        <v>70</v>
      </c>
      <c r="AR425">
        <v>70</v>
      </c>
      <c r="AS425">
        <f t="shared" si="226"/>
        <v>0</v>
      </c>
      <c r="AT425">
        <f t="shared" si="238"/>
        <v>0</v>
      </c>
      <c r="AU425">
        <f t="shared" si="239"/>
        <v>1</v>
      </c>
      <c r="AV425">
        <f t="shared" si="240"/>
        <v>0</v>
      </c>
      <c r="AW425">
        <f t="shared" si="241"/>
        <v>0</v>
      </c>
      <c r="AX425">
        <f t="shared" si="242"/>
        <v>0</v>
      </c>
      <c r="AY425">
        <f t="shared" si="243"/>
        <v>0</v>
      </c>
      <c r="AZ425">
        <f t="shared" si="244"/>
        <v>0</v>
      </c>
      <c r="BA425">
        <f t="shared" si="245"/>
        <v>0</v>
      </c>
      <c r="BB425">
        <f t="shared" si="246"/>
        <v>0</v>
      </c>
      <c r="BC425">
        <f t="shared" si="247"/>
        <v>0</v>
      </c>
      <c r="BD425">
        <f t="shared" si="248"/>
        <v>0</v>
      </c>
      <c r="BE425">
        <f t="shared" si="249"/>
        <v>0</v>
      </c>
      <c r="BF425">
        <f t="shared" si="250"/>
        <v>0</v>
      </c>
      <c r="BG425">
        <f t="shared" si="251"/>
        <v>0</v>
      </c>
      <c r="BH425">
        <f t="shared" si="252"/>
        <v>0</v>
      </c>
      <c r="BI425">
        <f t="shared" si="253"/>
        <v>0</v>
      </c>
    </row>
    <row r="426" spans="1:61" ht="18.75" customHeight="1" x14ac:dyDescent="0.35">
      <c r="A426" t="s">
        <v>196</v>
      </c>
      <c r="B426" s="1">
        <v>35430</v>
      </c>
      <c r="C426" t="s">
        <v>902</v>
      </c>
      <c r="D426" t="s">
        <v>59</v>
      </c>
      <c r="E426" t="s">
        <v>894</v>
      </c>
      <c r="F426" t="s">
        <v>59</v>
      </c>
      <c r="G426" t="s">
        <v>47</v>
      </c>
      <c r="H426" s="139">
        <f t="shared" si="227"/>
        <v>0</v>
      </c>
      <c r="I426" t="s">
        <v>234</v>
      </c>
      <c r="J426" t="s">
        <v>248</v>
      </c>
      <c r="K426" s="2">
        <f t="shared" si="230"/>
        <v>5</v>
      </c>
      <c r="L426">
        <v>171000000</v>
      </c>
      <c r="M426" s="2">
        <f t="shared" si="231"/>
        <v>8.2329961103921541</v>
      </c>
      <c r="N426">
        <f t="shared" si="254"/>
        <v>171000000</v>
      </c>
      <c r="O426">
        <v>0</v>
      </c>
      <c r="P426" s="1">
        <v>36842</v>
      </c>
      <c r="Q426" s="89">
        <f t="shared" si="232"/>
        <v>2000</v>
      </c>
      <c r="R426" t="s">
        <v>107</v>
      </c>
      <c r="S426">
        <v>200000000</v>
      </c>
      <c r="T426" s="21">
        <f t="shared" si="224"/>
        <v>3.8684931506849316</v>
      </c>
      <c r="U426">
        <v>0</v>
      </c>
      <c r="V426">
        <f t="shared" si="233"/>
        <v>0</v>
      </c>
      <c r="W426">
        <v>1996</v>
      </c>
      <c r="X426">
        <v>0</v>
      </c>
      <c r="Y426">
        <f t="shared" si="234"/>
        <v>0</v>
      </c>
      <c r="Z426" s="45">
        <v>3.29</v>
      </c>
      <c r="AA426" s="9">
        <f t="shared" si="255"/>
        <v>29000000</v>
      </c>
      <c r="AB426" s="15">
        <f t="shared" si="225"/>
        <v>0.16959064327485374</v>
      </c>
      <c r="AC426" s="34">
        <f t="shared" si="235"/>
        <v>6.8033885271827341E-2</v>
      </c>
      <c r="AD426">
        <v>2417.5229853975125</v>
      </c>
      <c r="AE426">
        <f t="shared" si="228"/>
        <v>3.3833706119727633</v>
      </c>
      <c r="AF426">
        <v>9545.7003785830148</v>
      </c>
      <c r="AG426">
        <f t="shared" si="229"/>
        <v>3.9798077985646683</v>
      </c>
      <c r="AH426" s="9">
        <v>0</v>
      </c>
      <c r="AI426" s="9">
        <f t="shared" si="236"/>
        <v>0</v>
      </c>
      <c r="AJ426">
        <v>85</v>
      </c>
      <c r="AK426" s="23" t="s">
        <v>340</v>
      </c>
      <c r="AL426" s="42">
        <v>36.913126831903199</v>
      </c>
      <c r="AM426" s="24">
        <v>0.84</v>
      </c>
      <c r="AN426" s="34">
        <f t="shared" si="237"/>
        <v>0.26481782300953643</v>
      </c>
      <c r="AO426">
        <v>1985</v>
      </c>
      <c r="AP426">
        <v>11</v>
      </c>
      <c r="AQ426">
        <v>70</v>
      </c>
      <c r="AR426">
        <v>90</v>
      </c>
      <c r="AS426">
        <f t="shared" si="226"/>
        <v>0</v>
      </c>
      <c r="AT426">
        <f t="shared" si="238"/>
        <v>0</v>
      </c>
      <c r="AU426">
        <f t="shared" si="239"/>
        <v>1</v>
      </c>
      <c r="AV426">
        <f t="shared" si="240"/>
        <v>0</v>
      </c>
      <c r="AW426">
        <f t="shared" si="241"/>
        <v>0</v>
      </c>
      <c r="AX426">
        <f t="shared" si="242"/>
        <v>0</v>
      </c>
      <c r="AY426">
        <f t="shared" si="243"/>
        <v>0</v>
      </c>
      <c r="AZ426">
        <f t="shared" si="244"/>
        <v>0</v>
      </c>
      <c r="BA426">
        <f t="shared" si="245"/>
        <v>0</v>
      </c>
      <c r="BB426">
        <f t="shared" si="246"/>
        <v>0</v>
      </c>
      <c r="BC426">
        <f t="shared" si="247"/>
        <v>0</v>
      </c>
      <c r="BD426">
        <f t="shared" si="248"/>
        <v>0</v>
      </c>
      <c r="BE426">
        <f t="shared" si="249"/>
        <v>0</v>
      </c>
      <c r="BF426">
        <f t="shared" si="250"/>
        <v>0</v>
      </c>
      <c r="BG426">
        <f t="shared" si="251"/>
        <v>0</v>
      </c>
      <c r="BH426">
        <f t="shared" si="252"/>
        <v>0</v>
      </c>
      <c r="BI426">
        <f t="shared" si="253"/>
        <v>0</v>
      </c>
    </row>
    <row r="427" spans="1:61" ht="18" customHeight="1" x14ac:dyDescent="0.35">
      <c r="A427" t="s">
        <v>196</v>
      </c>
      <c r="B427" s="1">
        <v>37575</v>
      </c>
      <c r="C427" s="8" t="s">
        <v>903</v>
      </c>
      <c r="D427" t="s">
        <v>59</v>
      </c>
      <c r="E427" t="s">
        <v>904</v>
      </c>
      <c r="F427" t="s">
        <v>59</v>
      </c>
      <c r="G427" t="s">
        <v>47</v>
      </c>
      <c r="H427" s="139">
        <f t="shared" si="227"/>
        <v>0</v>
      </c>
      <c r="I427" t="s">
        <v>234</v>
      </c>
      <c r="J427" t="s">
        <v>183</v>
      </c>
      <c r="K427" s="2">
        <f t="shared" si="230"/>
        <v>3</v>
      </c>
      <c r="L427">
        <v>23000000</v>
      </c>
      <c r="M427" s="2">
        <f t="shared" si="231"/>
        <v>7.3617278360175931</v>
      </c>
      <c r="N427">
        <f t="shared" si="254"/>
        <v>23000000</v>
      </c>
      <c r="O427">
        <v>0</v>
      </c>
      <c r="P427" s="1">
        <v>38990</v>
      </c>
      <c r="Q427" s="89">
        <f t="shared" si="232"/>
        <v>2006</v>
      </c>
      <c r="R427" t="s">
        <v>107</v>
      </c>
      <c r="S427">
        <v>265000000</v>
      </c>
      <c r="T427" s="21">
        <f t="shared" si="224"/>
        <v>3.8767123287671232</v>
      </c>
      <c r="U427">
        <v>0</v>
      </c>
      <c r="V427">
        <f t="shared" si="233"/>
        <v>0</v>
      </c>
      <c r="W427">
        <v>1992</v>
      </c>
      <c r="X427">
        <v>10</v>
      </c>
      <c r="Y427">
        <f t="shared" si="234"/>
        <v>1.0413926851582251</v>
      </c>
      <c r="Z427" s="45">
        <v>3.29</v>
      </c>
      <c r="AA427" s="9">
        <f t="shared" si="255"/>
        <v>242000000</v>
      </c>
      <c r="AB427" s="15">
        <f t="shared" si="225"/>
        <v>10.521739130434783</v>
      </c>
      <c r="AC427" s="34">
        <f t="shared" si="235"/>
        <v>1.0615180379192151</v>
      </c>
      <c r="AD427">
        <v>1954.7325102880657</v>
      </c>
      <c r="AE427">
        <f t="shared" si="228"/>
        <v>3.2910873360265542</v>
      </c>
      <c r="AF427">
        <v>6872.4279835390944</v>
      </c>
      <c r="AG427">
        <f t="shared" si="229"/>
        <v>3.8371101975492712</v>
      </c>
      <c r="AH427" s="9">
        <v>0</v>
      </c>
      <c r="AI427" s="9">
        <f t="shared" si="236"/>
        <v>0</v>
      </c>
      <c r="AJ427">
        <v>85</v>
      </c>
      <c r="AK427" s="23" t="s">
        <v>249</v>
      </c>
      <c r="AL427" s="42">
        <v>37.589394702761602</v>
      </c>
      <c r="AM427" s="24">
        <v>0.47</v>
      </c>
      <c r="AN427" s="34">
        <f t="shared" si="237"/>
        <v>0.16731733474817609</v>
      </c>
      <c r="AO427">
        <v>1988</v>
      </c>
      <c r="AP427">
        <v>14</v>
      </c>
      <c r="AQ427">
        <v>70</v>
      </c>
      <c r="AR427">
        <v>70</v>
      </c>
      <c r="AS427">
        <f t="shared" si="226"/>
        <v>0</v>
      </c>
      <c r="AT427">
        <f t="shared" si="238"/>
        <v>0</v>
      </c>
      <c r="AU427">
        <f t="shared" si="239"/>
        <v>1</v>
      </c>
      <c r="AV427">
        <f t="shared" si="240"/>
        <v>0</v>
      </c>
      <c r="AW427">
        <f t="shared" si="241"/>
        <v>0</v>
      </c>
      <c r="AX427">
        <f t="shared" si="242"/>
        <v>0</v>
      </c>
      <c r="AY427">
        <f t="shared" si="243"/>
        <v>0</v>
      </c>
      <c r="AZ427">
        <f t="shared" si="244"/>
        <v>0</v>
      </c>
      <c r="BA427">
        <f t="shared" si="245"/>
        <v>0</v>
      </c>
      <c r="BB427">
        <f t="shared" si="246"/>
        <v>0</v>
      </c>
      <c r="BC427">
        <f t="shared" si="247"/>
        <v>0</v>
      </c>
      <c r="BD427">
        <f t="shared" si="248"/>
        <v>0</v>
      </c>
      <c r="BE427">
        <f t="shared" si="249"/>
        <v>0</v>
      </c>
      <c r="BF427">
        <f t="shared" si="250"/>
        <v>0</v>
      </c>
      <c r="BG427">
        <f t="shared" si="251"/>
        <v>0</v>
      </c>
      <c r="BH427">
        <f t="shared" si="252"/>
        <v>0</v>
      </c>
      <c r="BI427">
        <f t="shared" si="253"/>
        <v>0</v>
      </c>
    </row>
    <row r="428" spans="1:61" s="35" customFormat="1" ht="17.25" customHeight="1" x14ac:dyDescent="0.35">
      <c r="A428" s="35" t="s">
        <v>905</v>
      </c>
      <c r="B428" s="36">
        <v>41163</v>
      </c>
      <c r="C428" s="35" t="s">
        <v>906</v>
      </c>
      <c r="D428" s="35" t="s">
        <v>59</v>
      </c>
      <c r="E428" s="35" t="s">
        <v>907</v>
      </c>
      <c r="F428" s="35" t="s">
        <v>59</v>
      </c>
      <c r="G428" s="35" t="s">
        <v>47</v>
      </c>
      <c r="H428" s="139">
        <f t="shared" si="227"/>
        <v>0</v>
      </c>
      <c r="I428" s="35" t="s">
        <v>234</v>
      </c>
      <c r="J428" s="35" t="s">
        <v>248</v>
      </c>
      <c r="K428" s="2">
        <f t="shared" si="230"/>
        <v>5</v>
      </c>
      <c r="L428" s="35">
        <v>50000000</v>
      </c>
      <c r="M428" s="2">
        <f t="shared" si="231"/>
        <v>7.6989700043360187</v>
      </c>
      <c r="N428" s="35">
        <f t="shared" si="254"/>
        <v>50000000</v>
      </c>
      <c r="O428" s="35">
        <v>0</v>
      </c>
      <c r="P428" s="36">
        <v>42331</v>
      </c>
      <c r="Q428" s="89">
        <f t="shared" si="232"/>
        <v>2015</v>
      </c>
      <c r="R428" s="35" t="s">
        <v>338</v>
      </c>
      <c r="S428" s="35">
        <v>0</v>
      </c>
      <c r="T428" s="21">
        <f t="shared" si="224"/>
        <v>3.2</v>
      </c>
      <c r="U428" s="35">
        <v>0</v>
      </c>
      <c r="V428">
        <f t="shared" si="233"/>
        <v>0</v>
      </c>
      <c r="W428" s="35">
        <v>2002</v>
      </c>
      <c r="X428" s="35">
        <v>10</v>
      </c>
      <c r="Y428">
        <f t="shared" si="234"/>
        <v>1.0413926851582251</v>
      </c>
      <c r="Z428" s="45">
        <v>3.29</v>
      </c>
      <c r="AA428" s="37">
        <f t="shared" si="255"/>
        <v>-50000000</v>
      </c>
      <c r="AB428" s="15">
        <f t="shared" si="225"/>
        <v>-1</v>
      </c>
      <c r="AC428" s="34">
        <f t="shared" si="235"/>
        <v>-1</v>
      </c>
      <c r="AD428" s="35">
        <v>3425.6694367497698</v>
      </c>
      <c r="AE428">
        <f t="shared" si="228"/>
        <v>3.5347454529897258</v>
      </c>
      <c r="AF428" s="35">
        <v>9322.8685749461365</v>
      </c>
      <c r="AG428">
        <f t="shared" si="229"/>
        <v>3.9695495619878729</v>
      </c>
      <c r="AH428" s="37">
        <v>0</v>
      </c>
      <c r="AI428" s="9">
        <f t="shared" si="236"/>
        <v>0</v>
      </c>
      <c r="AJ428" s="35">
        <v>94.7</v>
      </c>
      <c r="AK428" s="38" t="s">
        <v>623</v>
      </c>
      <c r="AL428" s="43">
        <v>45.737088331856903</v>
      </c>
      <c r="AM428" s="39">
        <v>0.46</v>
      </c>
      <c r="AN428" s="34">
        <f t="shared" si="237"/>
        <v>0.16435285578443709</v>
      </c>
      <c r="AO428" s="35">
        <v>1988</v>
      </c>
      <c r="AP428" s="35">
        <v>24</v>
      </c>
      <c r="AQ428" s="35">
        <v>70</v>
      </c>
      <c r="AR428" s="35">
        <v>70</v>
      </c>
      <c r="AS428">
        <f t="shared" si="226"/>
        <v>1</v>
      </c>
      <c r="AT428">
        <f t="shared" si="238"/>
        <v>0</v>
      </c>
      <c r="AU428">
        <f t="shared" si="239"/>
        <v>1</v>
      </c>
      <c r="AV428">
        <f t="shared" si="240"/>
        <v>0</v>
      </c>
      <c r="AW428">
        <f t="shared" si="241"/>
        <v>0</v>
      </c>
      <c r="AX428">
        <f t="shared" si="242"/>
        <v>0</v>
      </c>
      <c r="AY428">
        <f t="shared" si="243"/>
        <v>0</v>
      </c>
      <c r="AZ428">
        <f t="shared" si="244"/>
        <v>0</v>
      </c>
      <c r="BA428">
        <f t="shared" si="245"/>
        <v>0</v>
      </c>
      <c r="BB428">
        <f t="shared" si="246"/>
        <v>0</v>
      </c>
      <c r="BC428">
        <f t="shared" si="247"/>
        <v>0</v>
      </c>
      <c r="BD428">
        <f t="shared" si="248"/>
        <v>0</v>
      </c>
      <c r="BE428">
        <f t="shared" si="249"/>
        <v>0</v>
      </c>
      <c r="BF428">
        <f t="shared" si="250"/>
        <v>0</v>
      </c>
      <c r="BG428">
        <f t="shared" si="251"/>
        <v>0</v>
      </c>
      <c r="BH428">
        <f t="shared" si="252"/>
        <v>0</v>
      </c>
      <c r="BI428">
        <f t="shared" si="253"/>
        <v>0</v>
      </c>
    </row>
    <row r="429" spans="1:61" s="35" customFormat="1" ht="17.25" customHeight="1" x14ac:dyDescent="0.35">
      <c r="A429" s="35" t="s">
        <v>196</v>
      </c>
      <c r="B429" s="36">
        <v>40629</v>
      </c>
      <c r="C429" s="35" t="s">
        <v>908</v>
      </c>
      <c r="D429" s="35" t="s">
        <v>59</v>
      </c>
      <c r="E429" s="35" t="s">
        <v>907</v>
      </c>
      <c r="F429" s="35" t="s">
        <v>59</v>
      </c>
      <c r="G429" s="35" t="s">
        <v>47</v>
      </c>
      <c r="H429" s="139">
        <f t="shared" si="227"/>
        <v>0</v>
      </c>
      <c r="I429" s="35" t="s">
        <v>234</v>
      </c>
      <c r="J429" s="35" t="s">
        <v>248</v>
      </c>
      <c r="K429" s="2">
        <f t="shared" si="230"/>
        <v>5</v>
      </c>
      <c r="L429" s="35">
        <v>215000000</v>
      </c>
      <c r="M429" s="2">
        <f t="shared" si="231"/>
        <v>8.3324384599156058</v>
      </c>
      <c r="N429" s="35">
        <f t="shared" si="254"/>
        <v>215000000</v>
      </c>
      <c r="O429" s="35">
        <v>0</v>
      </c>
      <c r="P429" s="36">
        <v>43403</v>
      </c>
      <c r="Q429" s="89">
        <f t="shared" si="232"/>
        <v>2018</v>
      </c>
      <c r="R429" s="35" t="s">
        <v>107</v>
      </c>
      <c r="S429" s="35">
        <v>559000000</v>
      </c>
      <c r="T429" s="21">
        <f t="shared" si="224"/>
        <v>7.6</v>
      </c>
      <c r="U429" s="35">
        <v>0</v>
      </c>
      <c r="V429">
        <f t="shared" si="233"/>
        <v>0</v>
      </c>
      <c r="W429" s="35">
        <v>1996</v>
      </c>
      <c r="X429" s="35">
        <v>15</v>
      </c>
      <c r="Y429">
        <f t="shared" si="234"/>
        <v>1.2041199826559248</v>
      </c>
      <c r="Z429" s="45">
        <v>3.29</v>
      </c>
      <c r="AA429" s="37">
        <f t="shared" si="255"/>
        <v>344000000</v>
      </c>
      <c r="AB429" s="15">
        <f t="shared" si="225"/>
        <v>1.6</v>
      </c>
      <c r="AC429" s="34">
        <f t="shared" si="235"/>
        <v>0.41497334797081797</v>
      </c>
      <c r="AD429" s="35">
        <v>3425.6694367497698</v>
      </c>
      <c r="AE429">
        <f t="shared" si="228"/>
        <v>3.5347454529897258</v>
      </c>
      <c r="AF429" s="35">
        <v>9322.8685749461365</v>
      </c>
      <c r="AG429">
        <f t="shared" si="229"/>
        <v>3.9695495619878729</v>
      </c>
      <c r="AH429" s="37">
        <v>0</v>
      </c>
      <c r="AI429" s="9">
        <f t="shared" si="236"/>
        <v>0</v>
      </c>
      <c r="AJ429" s="35">
        <v>94.6</v>
      </c>
      <c r="AK429" s="38" t="s">
        <v>516</v>
      </c>
      <c r="AL429" s="43">
        <v>45.921427555082097</v>
      </c>
      <c r="AM429" s="39">
        <v>1.04</v>
      </c>
      <c r="AN429" s="34">
        <f t="shared" si="237"/>
        <v>0.30963016742589877</v>
      </c>
      <c r="AO429" s="35">
        <v>1988</v>
      </c>
      <c r="AP429" s="35">
        <v>23</v>
      </c>
      <c r="AQ429" s="35">
        <v>70</v>
      </c>
      <c r="AR429" s="35">
        <v>70</v>
      </c>
      <c r="AS429">
        <f t="shared" si="226"/>
        <v>0</v>
      </c>
      <c r="AT429">
        <f t="shared" si="238"/>
        <v>0</v>
      </c>
      <c r="AU429">
        <f t="shared" si="239"/>
        <v>1</v>
      </c>
      <c r="AV429">
        <f t="shared" si="240"/>
        <v>0</v>
      </c>
      <c r="AW429">
        <f t="shared" si="241"/>
        <v>0</v>
      </c>
      <c r="AX429">
        <f t="shared" si="242"/>
        <v>0</v>
      </c>
      <c r="AY429">
        <f t="shared" si="243"/>
        <v>0</v>
      </c>
      <c r="AZ429">
        <f t="shared" si="244"/>
        <v>0</v>
      </c>
      <c r="BA429">
        <f t="shared" si="245"/>
        <v>0</v>
      </c>
      <c r="BB429">
        <f t="shared" si="246"/>
        <v>0</v>
      </c>
      <c r="BC429">
        <f t="shared" si="247"/>
        <v>0</v>
      </c>
      <c r="BD429">
        <f t="shared" si="248"/>
        <v>0</v>
      </c>
      <c r="BE429">
        <f t="shared" si="249"/>
        <v>0</v>
      </c>
      <c r="BF429">
        <f t="shared" si="250"/>
        <v>0</v>
      </c>
      <c r="BG429">
        <f t="shared" si="251"/>
        <v>0</v>
      </c>
      <c r="BH429">
        <f t="shared" si="252"/>
        <v>0</v>
      </c>
      <c r="BI429">
        <f t="shared" si="253"/>
        <v>0</v>
      </c>
    </row>
    <row r="430" spans="1:61" s="35" customFormat="1" ht="17.25" customHeight="1" x14ac:dyDescent="0.35">
      <c r="A430" s="35" t="s">
        <v>196</v>
      </c>
      <c r="B430" s="36">
        <v>40609</v>
      </c>
      <c r="C430" s="35" t="s">
        <v>909</v>
      </c>
      <c r="D430" s="35" t="s">
        <v>59</v>
      </c>
      <c r="E430" s="35" t="s">
        <v>907</v>
      </c>
      <c r="F430" s="35" t="s">
        <v>59</v>
      </c>
      <c r="G430" s="35" t="s">
        <v>47</v>
      </c>
      <c r="H430" s="139">
        <f t="shared" si="227"/>
        <v>0</v>
      </c>
      <c r="I430" s="35" t="s">
        <v>234</v>
      </c>
      <c r="J430" s="35" t="s">
        <v>248</v>
      </c>
      <c r="K430" s="2">
        <f t="shared" si="230"/>
        <v>5</v>
      </c>
      <c r="L430" s="35">
        <v>10000000</v>
      </c>
      <c r="M430" s="2">
        <f t="shared" si="231"/>
        <v>7</v>
      </c>
      <c r="N430" s="35">
        <f t="shared" si="254"/>
        <v>10000000</v>
      </c>
      <c r="O430" s="35">
        <v>0</v>
      </c>
      <c r="P430" s="36">
        <v>41736</v>
      </c>
      <c r="Q430" s="89">
        <f t="shared" si="232"/>
        <v>2014</v>
      </c>
      <c r="R430" s="35" t="s">
        <v>107</v>
      </c>
      <c r="S430" s="35">
        <v>14250000</v>
      </c>
      <c r="T430" s="21">
        <f t="shared" si="224"/>
        <v>3.0876712328767124</v>
      </c>
      <c r="U430" s="35">
        <v>0</v>
      </c>
      <c r="V430">
        <f t="shared" si="233"/>
        <v>0</v>
      </c>
      <c r="W430" s="35">
        <v>2005</v>
      </c>
      <c r="X430" s="35">
        <v>6</v>
      </c>
      <c r="Y430">
        <f t="shared" si="234"/>
        <v>0.84509804001425681</v>
      </c>
      <c r="Z430" s="45">
        <v>3.29</v>
      </c>
      <c r="AA430" s="37">
        <f t="shared" si="255"/>
        <v>4250000</v>
      </c>
      <c r="AB430" s="15">
        <f t="shared" si="225"/>
        <v>0.42500000000000004</v>
      </c>
      <c r="AC430" s="34">
        <f t="shared" si="235"/>
        <v>0.15381486434452901</v>
      </c>
      <c r="AD430" s="35">
        <v>3425.6694367497698</v>
      </c>
      <c r="AE430">
        <f t="shared" si="228"/>
        <v>3.5347454529897258</v>
      </c>
      <c r="AF430" s="35">
        <v>9322.8685749461365</v>
      </c>
      <c r="AG430">
        <f t="shared" si="229"/>
        <v>3.9695495619878729</v>
      </c>
      <c r="AH430" s="37">
        <v>0</v>
      </c>
      <c r="AI430" s="9">
        <f t="shared" si="236"/>
        <v>0</v>
      </c>
      <c r="AJ430" s="35">
        <v>94.6</v>
      </c>
      <c r="AK430" s="38" t="s">
        <v>516</v>
      </c>
      <c r="AL430" s="43">
        <v>45.921427555082097</v>
      </c>
      <c r="AM430" s="39">
        <v>0.41</v>
      </c>
      <c r="AN430" s="34">
        <f t="shared" si="237"/>
        <v>0.14921911265537988</v>
      </c>
      <c r="AO430" s="35">
        <v>1988</v>
      </c>
      <c r="AP430" s="35">
        <v>23</v>
      </c>
      <c r="AQ430" s="35">
        <v>70</v>
      </c>
      <c r="AR430" s="35">
        <v>70</v>
      </c>
      <c r="AS430">
        <f t="shared" si="226"/>
        <v>0</v>
      </c>
      <c r="AT430">
        <f t="shared" si="238"/>
        <v>0</v>
      </c>
      <c r="AU430">
        <f t="shared" si="239"/>
        <v>1</v>
      </c>
      <c r="AV430">
        <f t="shared" si="240"/>
        <v>0</v>
      </c>
      <c r="AW430">
        <f t="shared" si="241"/>
        <v>0</v>
      </c>
      <c r="AX430">
        <f t="shared" si="242"/>
        <v>0</v>
      </c>
      <c r="AY430">
        <f t="shared" si="243"/>
        <v>0</v>
      </c>
      <c r="AZ430">
        <f t="shared" si="244"/>
        <v>0</v>
      </c>
      <c r="BA430">
        <f t="shared" si="245"/>
        <v>0</v>
      </c>
      <c r="BB430">
        <f t="shared" si="246"/>
        <v>0</v>
      </c>
      <c r="BC430">
        <f t="shared" si="247"/>
        <v>0</v>
      </c>
      <c r="BD430">
        <f t="shared" si="248"/>
        <v>0</v>
      </c>
      <c r="BE430">
        <f t="shared" si="249"/>
        <v>0</v>
      </c>
      <c r="BF430">
        <f t="shared" si="250"/>
        <v>0</v>
      </c>
      <c r="BG430">
        <f t="shared" si="251"/>
        <v>0</v>
      </c>
      <c r="BH430">
        <f t="shared" si="252"/>
        <v>0</v>
      </c>
      <c r="BI430">
        <f t="shared" si="253"/>
        <v>0</v>
      </c>
    </row>
    <row r="431" spans="1:61" s="35" customFormat="1" ht="17.25" customHeight="1" x14ac:dyDescent="0.35">
      <c r="A431" s="35" t="s">
        <v>196</v>
      </c>
      <c r="B431" s="36">
        <v>40300</v>
      </c>
      <c r="C431" s="35" t="s">
        <v>910</v>
      </c>
      <c r="D431" s="35" t="s">
        <v>59</v>
      </c>
      <c r="E431" s="35" t="s">
        <v>907</v>
      </c>
      <c r="F431" s="35" t="s">
        <v>59</v>
      </c>
      <c r="G431" s="35" t="s">
        <v>47</v>
      </c>
      <c r="H431" s="139">
        <f t="shared" si="227"/>
        <v>0</v>
      </c>
      <c r="I431" s="35" t="s">
        <v>234</v>
      </c>
      <c r="J431" s="35" t="s">
        <v>248</v>
      </c>
      <c r="K431" s="2">
        <f t="shared" si="230"/>
        <v>5</v>
      </c>
      <c r="L431" s="35">
        <v>95286000</v>
      </c>
      <c r="M431" s="2">
        <f t="shared" si="231"/>
        <v>7.9790290961326695</v>
      </c>
      <c r="N431" s="35">
        <f t="shared" si="254"/>
        <v>95286000</v>
      </c>
      <c r="O431" s="35">
        <v>0</v>
      </c>
      <c r="P431" s="36">
        <v>42377</v>
      </c>
      <c r="Q431" s="89">
        <f t="shared" si="232"/>
        <v>2016</v>
      </c>
      <c r="R431" s="35" t="s">
        <v>152</v>
      </c>
      <c r="S431" s="35">
        <v>35000000</v>
      </c>
      <c r="T431" s="21">
        <f t="shared" si="224"/>
        <v>5.6904109589041099</v>
      </c>
      <c r="U431" s="35">
        <v>0</v>
      </c>
      <c r="V431">
        <f t="shared" si="233"/>
        <v>0</v>
      </c>
      <c r="W431" s="35">
        <v>1989</v>
      </c>
      <c r="X431" s="35">
        <v>21</v>
      </c>
      <c r="Y431">
        <f t="shared" si="234"/>
        <v>1.3424226808222062</v>
      </c>
      <c r="Z431" s="45">
        <v>3.29</v>
      </c>
      <c r="AA431" s="37">
        <f t="shared" si="255"/>
        <v>-60286000</v>
      </c>
      <c r="AB431" s="15">
        <f t="shared" si="225"/>
        <v>-0.63268475956593839</v>
      </c>
      <c r="AC431" s="34">
        <f t="shared" si="235"/>
        <v>-0.43496105178239375</v>
      </c>
      <c r="AD431" s="35">
        <v>3425.6694367497698</v>
      </c>
      <c r="AE431">
        <f t="shared" si="228"/>
        <v>3.5347454529897258</v>
      </c>
      <c r="AF431" s="35">
        <v>9322.8685749461365</v>
      </c>
      <c r="AG431">
        <f t="shared" si="229"/>
        <v>3.9695495619878729</v>
      </c>
      <c r="AH431" s="37">
        <v>0</v>
      </c>
      <c r="AI431" s="9">
        <f t="shared" si="236"/>
        <v>0</v>
      </c>
      <c r="AJ431" s="35">
        <v>94.9</v>
      </c>
      <c r="AK431" s="38" t="s">
        <v>89</v>
      </c>
      <c r="AL431" s="43">
        <v>47.560703662314701</v>
      </c>
      <c r="AM431" s="39">
        <v>0.62</v>
      </c>
      <c r="AN431" s="34">
        <f t="shared" si="237"/>
        <v>0.20951501454263097</v>
      </c>
      <c r="AO431" s="35">
        <v>1988</v>
      </c>
      <c r="AP431" s="35">
        <v>22</v>
      </c>
      <c r="AQ431" s="35">
        <v>70</v>
      </c>
      <c r="AR431" s="35">
        <v>70</v>
      </c>
      <c r="AS431">
        <f t="shared" si="226"/>
        <v>0</v>
      </c>
      <c r="AT431">
        <f t="shared" si="238"/>
        <v>0</v>
      </c>
      <c r="AU431">
        <f t="shared" si="239"/>
        <v>1</v>
      </c>
      <c r="AV431">
        <f t="shared" si="240"/>
        <v>0</v>
      </c>
      <c r="AW431">
        <f t="shared" si="241"/>
        <v>0</v>
      </c>
      <c r="AX431">
        <f t="shared" si="242"/>
        <v>0</v>
      </c>
      <c r="AY431">
        <f t="shared" si="243"/>
        <v>0</v>
      </c>
      <c r="AZ431">
        <f t="shared" si="244"/>
        <v>0</v>
      </c>
      <c r="BA431">
        <f t="shared" si="245"/>
        <v>0</v>
      </c>
      <c r="BB431">
        <f t="shared" si="246"/>
        <v>0</v>
      </c>
      <c r="BC431">
        <f t="shared" si="247"/>
        <v>0</v>
      </c>
      <c r="BD431">
        <f t="shared" si="248"/>
        <v>0</v>
      </c>
      <c r="BE431">
        <f t="shared" si="249"/>
        <v>0</v>
      </c>
      <c r="BF431">
        <f t="shared" si="250"/>
        <v>0</v>
      </c>
      <c r="BG431">
        <f t="shared" si="251"/>
        <v>0</v>
      </c>
      <c r="BH431">
        <f t="shared" si="252"/>
        <v>0</v>
      </c>
      <c r="BI431">
        <f t="shared" si="253"/>
        <v>0</v>
      </c>
    </row>
    <row r="432" spans="1:61" ht="15" customHeight="1" x14ac:dyDescent="0.35">
      <c r="A432" t="s">
        <v>196</v>
      </c>
      <c r="B432" s="1">
        <v>39350</v>
      </c>
      <c r="C432" t="s">
        <v>911</v>
      </c>
      <c r="D432" t="s">
        <v>59</v>
      </c>
      <c r="E432" t="s">
        <v>907</v>
      </c>
      <c r="F432" t="s">
        <v>59</v>
      </c>
      <c r="G432" t="s">
        <v>47</v>
      </c>
      <c r="H432" s="139">
        <f t="shared" si="227"/>
        <v>0</v>
      </c>
      <c r="I432" t="s">
        <v>234</v>
      </c>
      <c r="J432" t="s">
        <v>190</v>
      </c>
      <c r="K432" s="2">
        <f t="shared" si="230"/>
        <v>2</v>
      </c>
      <c r="L432">
        <v>122500000</v>
      </c>
      <c r="M432" s="2">
        <f t="shared" si="231"/>
        <v>8.0881360887005513</v>
      </c>
      <c r="N432">
        <f t="shared" si="254"/>
        <v>122500000</v>
      </c>
      <c r="O432">
        <v>0</v>
      </c>
      <c r="P432" s="1">
        <v>41364</v>
      </c>
      <c r="Q432" s="89">
        <f t="shared" si="232"/>
        <v>2013</v>
      </c>
      <c r="R432" t="s">
        <v>152</v>
      </c>
      <c r="S432">
        <v>218910000</v>
      </c>
      <c r="T432" s="21">
        <f t="shared" si="224"/>
        <v>5.5178082191780824</v>
      </c>
      <c r="U432">
        <v>0</v>
      </c>
      <c r="V432">
        <f t="shared" si="233"/>
        <v>0</v>
      </c>
      <c r="W432">
        <v>1996</v>
      </c>
      <c r="X432">
        <v>11</v>
      </c>
      <c r="Y432">
        <f t="shared" si="234"/>
        <v>1.0791812460476249</v>
      </c>
      <c r="Z432" s="45">
        <v>3.29</v>
      </c>
      <c r="AA432" s="9">
        <f t="shared" si="255"/>
        <v>96410000</v>
      </c>
      <c r="AB432" s="15">
        <f t="shared" si="225"/>
        <v>0.78702040816326524</v>
      </c>
      <c r="AC432" s="34">
        <f t="shared" si="235"/>
        <v>0.2521295122717786</v>
      </c>
      <c r="AD432" s="35">
        <v>3425.6694367497698</v>
      </c>
      <c r="AE432">
        <f t="shared" si="228"/>
        <v>3.5347454529897258</v>
      </c>
      <c r="AF432" s="35">
        <v>9322.8685749461365</v>
      </c>
      <c r="AG432">
        <f t="shared" si="229"/>
        <v>3.9695495619878729</v>
      </c>
      <c r="AH432" s="9">
        <v>0</v>
      </c>
      <c r="AI432" s="9">
        <f t="shared" si="236"/>
        <v>0</v>
      </c>
      <c r="AJ432">
        <v>91.2</v>
      </c>
      <c r="AK432" s="23" t="s">
        <v>191</v>
      </c>
      <c r="AL432" s="42">
        <v>40.902544500539101</v>
      </c>
      <c r="AM432" s="24">
        <v>0.03</v>
      </c>
      <c r="AN432" s="34">
        <f t="shared" si="237"/>
        <v>1.2837224705172217E-2</v>
      </c>
      <c r="AO432">
        <v>1988</v>
      </c>
      <c r="AP432">
        <v>19</v>
      </c>
      <c r="AQ432">
        <v>70</v>
      </c>
      <c r="AR432">
        <v>70</v>
      </c>
      <c r="AS432">
        <f t="shared" si="226"/>
        <v>0</v>
      </c>
      <c r="AT432">
        <f t="shared" si="238"/>
        <v>0</v>
      </c>
      <c r="AU432">
        <f t="shared" si="239"/>
        <v>1</v>
      </c>
      <c r="AV432">
        <f t="shared" si="240"/>
        <v>0</v>
      </c>
      <c r="AW432">
        <f t="shared" si="241"/>
        <v>0</v>
      </c>
      <c r="AX432">
        <f t="shared" si="242"/>
        <v>0</v>
      </c>
      <c r="AY432">
        <f t="shared" si="243"/>
        <v>0</v>
      </c>
      <c r="AZ432">
        <f t="shared" si="244"/>
        <v>0</v>
      </c>
      <c r="BA432">
        <f t="shared" si="245"/>
        <v>0</v>
      </c>
      <c r="BB432">
        <f t="shared" si="246"/>
        <v>0</v>
      </c>
      <c r="BC432">
        <f t="shared" si="247"/>
        <v>0</v>
      </c>
      <c r="BD432">
        <f t="shared" si="248"/>
        <v>0</v>
      </c>
      <c r="BE432">
        <f t="shared" si="249"/>
        <v>0</v>
      </c>
      <c r="BF432">
        <f t="shared" si="250"/>
        <v>0</v>
      </c>
      <c r="BG432">
        <f t="shared" si="251"/>
        <v>0</v>
      </c>
      <c r="BH432">
        <f t="shared" si="252"/>
        <v>0</v>
      </c>
      <c r="BI432">
        <f t="shared" si="253"/>
        <v>0</v>
      </c>
    </row>
    <row r="433" spans="1:61" ht="20.25" customHeight="1" x14ac:dyDescent="0.35">
      <c r="A433" t="s">
        <v>196</v>
      </c>
      <c r="B433" s="1">
        <v>39159</v>
      </c>
      <c r="C433" t="s">
        <v>912</v>
      </c>
      <c r="D433" t="s">
        <v>59</v>
      </c>
      <c r="E433" t="s">
        <v>907</v>
      </c>
      <c r="F433" t="s">
        <v>59</v>
      </c>
      <c r="G433" t="s">
        <v>47</v>
      </c>
      <c r="H433" s="139">
        <f t="shared" si="227"/>
        <v>0</v>
      </c>
      <c r="I433" t="s">
        <v>234</v>
      </c>
      <c r="J433" t="s">
        <v>269</v>
      </c>
      <c r="K433" s="2">
        <f t="shared" si="230"/>
        <v>7</v>
      </c>
      <c r="L433">
        <v>200000000</v>
      </c>
      <c r="M433" s="2">
        <f t="shared" si="231"/>
        <v>8.3010299956639813</v>
      </c>
      <c r="N433">
        <f t="shared" si="254"/>
        <v>200000000</v>
      </c>
      <c r="O433">
        <v>0</v>
      </c>
      <c r="P433" s="1">
        <v>40086</v>
      </c>
      <c r="Q433" s="89">
        <f t="shared" si="232"/>
        <v>2009</v>
      </c>
      <c r="R433" t="s">
        <v>152</v>
      </c>
      <c r="S433">
        <v>350000000</v>
      </c>
      <c r="T433" s="21">
        <f t="shared" si="224"/>
        <v>2.5397260273972604</v>
      </c>
      <c r="U433">
        <v>0</v>
      </c>
      <c r="V433">
        <f t="shared" si="233"/>
        <v>0</v>
      </c>
      <c r="W433">
        <v>1935</v>
      </c>
      <c r="X433">
        <v>72</v>
      </c>
      <c r="Y433">
        <f t="shared" si="234"/>
        <v>1.8633228601204559</v>
      </c>
      <c r="Z433" s="45">
        <v>3.29</v>
      </c>
      <c r="AA433" s="9">
        <f t="shared" si="255"/>
        <v>150000000</v>
      </c>
      <c r="AB433" s="15">
        <f t="shared" si="225"/>
        <v>0.75</v>
      </c>
      <c r="AC433" s="34">
        <f t="shared" si="235"/>
        <v>0.24303804868629444</v>
      </c>
      <c r="AD433" s="35">
        <v>3425.6694367497698</v>
      </c>
      <c r="AE433">
        <f t="shared" si="228"/>
        <v>3.5347454529897258</v>
      </c>
      <c r="AF433" s="35">
        <v>9322.8685749461365</v>
      </c>
      <c r="AG433">
        <f t="shared" si="229"/>
        <v>3.9695495619878729</v>
      </c>
      <c r="AH433" s="9">
        <v>0</v>
      </c>
      <c r="AI433" s="9">
        <f t="shared" si="236"/>
        <v>0</v>
      </c>
      <c r="AJ433">
        <v>91.2</v>
      </c>
      <c r="AK433" s="23" t="s">
        <v>191</v>
      </c>
      <c r="AL433" s="42">
        <v>40.902544500539101</v>
      </c>
      <c r="AM433" s="24">
        <v>-0.24</v>
      </c>
      <c r="AN433" s="34">
        <f t="shared" si="237"/>
        <v>-0.11918640771920865</v>
      </c>
      <c r="AO433">
        <v>1988</v>
      </c>
      <c r="AP433">
        <v>19</v>
      </c>
      <c r="AQ433">
        <v>70</v>
      </c>
      <c r="AR433">
        <v>70</v>
      </c>
      <c r="AS433">
        <f t="shared" si="226"/>
        <v>0</v>
      </c>
      <c r="AT433">
        <f t="shared" si="238"/>
        <v>0</v>
      </c>
      <c r="AU433">
        <f t="shared" si="239"/>
        <v>1</v>
      </c>
      <c r="AV433">
        <f t="shared" si="240"/>
        <v>0</v>
      </c>
      <c r="AW433">
        <f t="shared" si="241"/>
        <v>0</v>
      </c>
      <c r="AX433">
        <f t="shared" si="242"/>
        <v>0</v>
      </c>
      <c r="AY433">
        <f t="shared" si="243"/>
        <v>0</v>
      </c>
      <c r="AZ433">
        <f t="shared" si="244"/>
        <v>0</v>
      </c>
      <c r="BA433">
        <f t="shared" si="245"/>
        <v>0</v>
      </c>
      <c r="BB433">
        <f t="shared" si="246"/>
        <v>0</v>
      </c>
      <c r="BC433">
        <f t="shared" si="247"/>
        <v>0</v>
      </c>
      <c r="BD433">
        <f t="shared" si="248"/>
        <v>0</v>
      </c>
      <c r="BE433">
        <f t="shared" si="249"/>
        <v>0</v>
      </c>
      <c r="BF433">
        <f t="shared" si="250"/>
        <v>0</v>
      </c>
      <c r="BG433">
        <f t="shared" si="251"/>
        <v>0</v>
      </c>
      <c r="BH433">
        <f t="shared" si="252"/>
        <v>0</v>
      </c>
      <c r="BI433">
        <f t="shared" si="253"/>
        <v>0</v>
      </c>
    </row>
    <row r="434" spans="1:61" x14ac:dyDescent="0.35">
      <c r="A434" t="s">
        <v>51</v>
      </c>
      <c r="B434" s="1">
        <v>38455</v>
      </c>
      <c r="C434" t="s">
        <v>913</v>
      </c>
      <c r="D434" t="s">
        <v>59</v>
      </c>
      <c r="E434" t="s">
        <v>914</v>
      </c>
      <c r="F434" t="s">
        <v>59</v>
      </c>
      <c r="G434" t="s">
        <v>47</v>
      </c>
      <c r="H434" s="139">
        <f t="shared" si="227"/>
        <v>0</v>
      </c>
      <c r="I434" t="s">
        <v>234</v>
      </c>
      <c r="J434" t="s">
        <v>248</v>
      </c>
      <c r="K434" s="2">
        <f t="shared" si="230"/>
        <v>5</v>
      </c>
      <c r="L434">
        <v>124000000</v>
      </c>
      <c r="M434" s="2">
        <f t="shared" si="231"/>
        <v>8.0934216851622356</v>
      </c>
      <c r="N434">
        <f t="shared" si="254"/>
        <v>124000000</v>
      </c>
      <c r="O434">
        <v>0</v>
      </c>
      <c r="P434" s="1">
        <v>40209</v>
      </c>
      <c r="Q434" s="89">
        <f t="shared" si="232"/>
        <v>2010</v>
      </c>
      <c r="R434" t="s">
        <v>152</v>
      </c>
      <c r="S434" s="35">
        <v>190000000</v>
      </c>
      <c r="T434" s="21">
        <f t="shared" si="224"/>
        <v>4.8054794520547945</v>
      </c>
      <c r="U434">
        <v>0</v>
      </c>
      <c r="V434">
        <f t="shared" si="233"/>
        <v>0</v>
      </c>
      <c r="W434">
        <v>2005</v>
      </c>
      <c r="X434">
        <v>0</v>
      </c>
      <c r="Y434">
        <f t="shared" si="234"/>
        <v>0</v>
      </c>
      <c r="Z434" s="45">
        <v>3.29</v>
      </c>
      <c r="AB434" s="15">
        <f t="shared" si="225"/>
        <v>0.532258064516129</v>
      </c>
      <c r="AC434" s="34">
        <f t="shared" si="235"/>
        <v>0.18533191579059388</v>
      </c>
      <c r="AD434" s="35">
        <v>3425.6694367497698</v>
      </c>
      <c r="AE434">
        <f t="shared" si="228"/>
        <v>3.5347454529897258</v>
      </c>
      <c r="AF434" s="35">
        <v>9322.8685749461365</v>
      </c>
      <c r="AG434">
        <f t="shared" si="229"/>
        <v>3.9695495619878729</v>
      </c>
      <c r="AH434" s="9">
        <v>0</v>
      </c>
      <c r="AI434" s="9">
        <f t="shared" si="236"/>
        <v>0</v>
      </c>
      <c r="AJ434">
        <v>85</v>
      </c>
      <c r="AK434" s="23" t="s">
        <v>171</v>
      </c>
      <c r="AL434" s="42">
        <v>41.286751495766303</v>
      </c>
      <c r="AM434" s="24">
        <v>-0.09</v>
      </c>
      <c r="AN434" s="34">
        <f t="shared" si="237"/>
        <v>-4.0958607678906384E-2</v>
      </c>
      <c r="AO434">
        <v>1988</v>
      </c>
      <c r="AP434">
        <v>17</v>
      </c>
      <c r="AQ434">
        <v>70</v>
      </c>
      <c r="AR434">
        <v>70</v>
      </c>
      <c r="AS434">
        <f t="shared" si="226"/>
        <v>0</v>
      </c>
      <c r="AT434">
        <f t="shared" si="238"/>
        <v>0</v>
      </c>
      <c r="AU434">
        <f t="shared" si="239"/>
        <v>1</v>
      </c>
      <c r="AV434">
        <f t="shared" si="240"/>
        <v>0</v>
      </c>
      <c r="AW434">
        <f t="shared" si="241"/>
        <v>0</v>
      </c>
      <c r="AX434">
        <f t="shared" si="242"/>
        <v>0</v>
      </c>
      <c r="AY434">
        <f t="shared" si="243"/>
        <v>0</v>
      </c>
      <c r="AZ434">
        <f t="shared" si="244"/>
        <v>0</v>
      </c>
      <c r="BA434">
        <f t="shared" si="245"/>
        <v>0</v>
      </c>
      <c r="BB434">
        <f t="shared" si="246"/>
        <v>0</v>
      </c>
      <c r="BC434">
        <f t="shared" si="247"/>
        <v>0</v>
      </c>
      <c r="BD434">
        <f t="shared" si="248"/>
        <v>0</v>
      </c>
      <c r="BE434">
        <f t="shared" si="249"/>
        <v>0</v>
      </c>
      <c r="BF434">
        <f t="shared" si="250"/>
        <v>0</v>
      </c>
      <c r="BG434">
        <f t="shared" si="251"/>
        <v>0</v>
      </c>
      <c r="BH434">
        <f t="shared" si="252"/>
        <v>0</v>
      </c>
      <c r="BI434">
        <f t="shared" si="253"/>
        <v>0</v>
      </c>
    </row>
    <row r="435" spans="1:61" x14ac:dyDescent="0.35">
      <c r="A435" t="s">
        <v>51</v>
      </c>
      <c r="B435" s="1">
        <v>38347</v>
      </c>
      <c r="C435" t="s">
        <v>915</v>
      </c>
      <c r="D435" t="s">
        <v>59</v>
      </c>
      <c r="E435" t="s">
        <v>914</v>
      </c>
      <c r="F435" t="s">
        <v>59</v>
      </c>
      <c r="G435" t="s">
        <v>47</v>
      </c>
      <c r="H435" s="139">
        <f t="shared" si="227"/>
        <v>0</v>
      </c>
      <c r="I435" t="s">
        <v>597</v>
      </c>
      <c r="J435" t="s">
        <v>190</v>
      </c>
      <c r="K435" s="2">
        <f t="shared" si="230"/>
        <v>2</v>
      </c>
      <c r="L435">
        <v>75000000</v>
      </c>
      <c r="M435" s="2">
        <f t="shared" si="231"/>
        <v>7.8750612633917001</v>
      </c>
      <c r="N435">
        <f t="shared" si="254"/>
        <v>75000000</v>
      </c>
      <c r="O435">
        <v>0</v>
      </c>
      <c r="P435" s="1">
        <v>40250</v>
      </c>
      <c r="Q435" s="89">
        <f t="shared" si="232"/>
        <v>2010</v>
      </c>
      <c r="R435" t="s">
        <v>916</v>
      </c>
      <c r="S435" s="35">
        <v>100000000</v>
      </c>
      <c r="T435" s="21">
        <f t="shared" si="224"/>
        <v>5.2136986301369861</v>
      </c>
      <c r="U435">
        <v>0</v>
      </c>
      <c r="V435">
        <f t="shared" si="233"/>
        <v>0</v>
      </c>
      <c r="W435">
        <v>2003</v>
      </c>
      <c r="X435">
        <v>1</v>
      </c>
      <c r="Y435">
        <f t="shared" si="234"/>
        <v>0.3010299956639812</v>
      </c>
      <c r="Z435" s="45">
        <v>3.29</v>
      </c>
      <c r="AB435" s="15">
        <f t="shared" si="225"/>
        <v>0.33333333333333326</v>
      </c>
      <c r="AC435" s="34">
        <f t="shared" si="235"/>
        <v>0.12493873660829993</v>
      </c>
      <c r="AD435" s="35">
        <v>3425.6694367497698</v>
      </c>
      <c r="AE435">
        <f t="shared" si="228"/>
        <v>3.5347454529897258</v>
      </c>
      <c r="AF435" s="35">
        <v>9322.8685749461365</v>
      </c>
      <c r="AG435">
        <f t="shared" si="229"/>
        <v>3.9695495619878729</v>
      </c>
      <c r="AH435" s="9">
        <v>0</v>
      </c>
      <c r="AI435" s="9">
        <f t="shared" si="236"/>
        <v>0</v>
      </c>
      <c r="AJ435">
        <v>85</v>
      </c>
      <c r="AK435" s="23" t="s">
        <v>89</v>
      </c>
      <c r="AL435" s="42">
        <v>40.040400531970803</v>
      </c>
      <c r="AM435" s="24">
        <v>-0.05</v>
      </c>
      <c r="AN435" s="34">
        <f t="shared" si="237"/>
        <v>-2.2276394711152253E-2</v>
      </c>
      <c r="AO435">
        <v>1988</v>
      </c>
      <c r="AP435">
        <v>16</v>
      </c>
      <c r="AQ435">
        <v>70</v>
      </c>
      <c r="AR435">
        <v>70</v>
      </c>
      <c r="AS435">
        <f t="shared" si="226"/>
        <v>0</v>
      </c>
      <c r="AT435">
        <f t="shared" si="238"/>
        <v>0</v>
      </c>
      <c r="AU435">
        <f t="shared" si="239"/>
        <v>1</v>
      </c>
      <c r="AV435">
        <f t="shared" si="240"/>
        <v>0</v>
      </c>
      <c r="AW435">
        <f t="shared" si="241"/>
        <v>0</v>
      </c>
      <c r="AX435">
        <f t="shared" si="242"/>
        <v>0</v>
      </c>
      <c r="AY435">
        <f t="shared" si="243"/>
        <v>0</v>
      </c>
      <c r="AZ435">
        <f t="shared" si="244"/>
        <v>0</v>
      </c>
      <c r="BA435">
        <f t="shared" si="245"/>
        <v>0</v>
      </c>
      <c r="BB435">
        <f t="shared" si="246"/>
        <v>0</v>
      </c>
      <c r="BC435">
        <f t="shared" si="247"/>
        <v>0</v>
      </c>
      <c r="BD435">
        <f t="shared" si="248"/>
        <v>0</v>
      </c>
      <c r="BE435">
        <f t="shared" si="249"/>
        <v>0</v>
      </c>
      <c r="BF435">
        <f t="shared" si="250"/>
        <v>0</v>
      </c>
      <c r="BG435">
        <f t="shared" si="251"/>
        <v>0</v>
      </c>
      <c r="BH435">
        <f t="shared" si="252"/>
        <v>0</v>
      </c>
      <c r="BI435">
        <f t="shared" si="253"/>
        <v>0</v>
      </c>
    </row>
    <row r="436" spans="1:61" x14ac:dyDescent="0.35">
      <c r="A436" t="s">
        <v>196</v>
      </c>
      <c r="B436" s="1">
        <v>38182</v>
      </c>
      <c r="C436" t="s">
        <v>763</v>
      </c>
      <c r="D436" t="s">
        <v>163</v>
      </c>
      <c r="E436" t="s">
        <v>914</v>
      </c>
      <c r="F436" t="s">
        <v>59</v>
      </c>
      <c r="G436" t="s">
        <v>64</v>
      </c>
      <c r="H436" s="139">
        <f t="shared" si="227"/>
        <v>1</v>
      </c>
      <c r="I436" t="s">
        <v>234</v>
      </c>
      <c r="J436" t="s">
        <v>248</v>
      </c>
      <c r="K436" s="2">
        <f t="shared" si="230"/>
        <v>5</v>
      </c>
      <c r="L436">
        <v>68985000</v>
      </c>
      <c r="M436" s="2">
        <f t="shared" si="231"/>
        <v>7.8387546686297185</v>
      </c>
      <c r="N436">
        <f t="shared" si="254"/>
        <v>68985000</v>
      </c>
      <c r="O436">
        <v>0</v>
      </c>
      <c r="P436" s="1">
        <v>41170</v>
      </c>
      <c r="Q436" s="89">
        <f t="shared" si="232"/>
        <v>2012</v>
      </c>
      <c r="R436" t="s">
        <v>338</v>
      </c>
      <c r="S436">
        <v>690562000</v>
      </c>
      <c r="T436" s="21">
        <f t="shared" si="224"/>
        <v>8.1863013698630134</v>
      </c>
      <c r="U436">
        <v>342.74</v>
      </c>
      <c r="V436">
        <f t="shared" si="233"/>
        <v>2.5362300726332561</v>
      </c>
      <c r="W436">
        <v>1995</v>
      </c>
      <c r="X436">
        <v>9</v>
      </c>
      <c r="Y436">
        <f t="shared" si="234"/>
        <v>1</v>
      </c>
      <c r="Z436" s="45">
        <v>2.3199999999999998</v>
      </c>
      <c r="AA436" s="9">
        <f t="shared" ref="AA436:AA499" si="256">S436-N436</f>
        <v>621577000</v>
      </c>
      <c r="AB436" s="15">
        <f t="shared" si="225"/>
        <v>9.0103210842936878</v>
      </c>
      <c r="AC436" s="34">
        <f t="shared" si="235"/>
        <v>1.0004480078390166</v>
      </c>
      <c r="AD436" s="35">
        <v>3425.6694367497698</v>
      </c>
      <c r="AE436">
        <f t="shared" si="228"/>
        <v>3.5347454529897258</v>
      </c>
      <c r="AF436" s="35">
        <v>9322.8685749461365</v>
      </c>
      <c r="AG436">
        <f t="shared" si="229"/>
        <v>3.9695495619878729</v>
      </c>
      <c r="AH436" s="9">
        <v>569.16666666666697</v>
      </c>
      <c r="AI436" s="9">
        <f t="shared" si="236"/>
        <v>2.756001823801419</v>
      </c>
      <c r="AJ436">
        <v>70</v>
      </c>
      <c r="AK436" s="23" t="s">
        <v>243</v>
      </c>
      <c r="AL436" s="42">
        <v>52.984855215816303</v>
      </c>
      <c r="AM436" s="24">
        <v>0.31</v>
      </c>
      <c r="AN436" s="34">
        <f t="shared" si="237"/>
        <v>0.11727129565576427</v>
      </c>
      <c r="AO436">
        <v>1988</v>
      </c>
      <c r="AP436">
        <v>16</v>
      </c>
      <c r="AQ436">
        <v>85</v>
      </c>
      <c r="AR436">
        <v>80</v>
      </c>
      <c r="AS436">
        <f t="shared" si="226"/>
        <v>0</v>
      </c>
      <c r="AT436">
        <f t="shared" si="238"/>
        <v>0</v>
      </c>
      <c r="AU436">
        <f t="shared" si="239"/>
        <v>0</v>
      </c>
      <c r="AV436">
        <f t="shared" si="240"/>
        <v>0</v>
      </c>
      <c r="AW436">
        <f t="shared" si="241"/>
        <v>0</v>
      </c>
      <c r="AX436">
        <f t="shared" si="242"/>
        <v>0</v>
      </c>
      <c r="AY436">
        <f t="shared" si="243"/>
        <v>0</v>
      </c>
      <c r="AZ436">
        <f t="shared" si="244"/>
        <v>1</v>
      </c>
      <c r="BA436">
        <f t="shared" si="245"/>
        <v>0</v>
      </c>
      <c r="BB436">
        <f t="shared" si="246"/>
        <v>0</v>
      </c>
      <c r="BC436">
        <f t="shared" si="247"/>
        <v>0</v>
      </c>
      <c r="BD436">
        <f t="shared" si="248"/>
        <v>0</v>
      </c>
      <c r="BE436">
        <f t="shared" si="249"/>
        <v>0</v>
      </c>
      <c r="BF436">
        <f t="shared" si="250"/>
        <v>0</v>
      </c>
      <c r="BG436">
        <f t="shared" si="251"/>
        <v>0</v>
      </c>
      <c r="BH436">
        <f t="shared" si="252"/>
        <v>0</v>
      </c>
      <c r="BI436">
        <f t="shared" si="253"/>
        <v>0</v>
      </c>
    </row>
    <row r="437" spans="1:61" ht="15" customHeight="1" x14ac:dyDescent="0.35">
      <c r="A437" t="s">
        <v>196</v>
      </c>
      <c r="B437" s="1">
        <v>37948</v>
      </c>
      <c r="C437" t="s">
        <v>917</v>
      </c>
      <c r="D437" t="s">
        <v>59</v>
      </c>
      <c r="E437" t="s">
        <v>914</v>
      </c>
      <c r="F437" t="s">
        <v>59</v>
      </c>
      <c r="G437" t="s">
        <v>47</v>
      </c>
      <c r="H437" s="139">
        <f t="shared" si="227"/>
        <v>0</v>
      </c>
      <c r="I437" t="s">
        <v>234</v>
      </c>
      <c r="J437" t="s">
        <v>269</v>
      </c>
      <c r="K437" s="2">
        <f t="shared" si="230"/>
        <v>7</v>
      </c>
      <c r="L437">
        <v>225000000</v>
      </c>
      <c r="M437" s="2">
        <f t="shared" si="231"/>
        <v>8.3521825181113627</v>
      </c>
      <c r="N437">
        <f t="shared" si="254"/>
        <v>225000000</v>
      </c>
      <c r="O437">
        <v>0</v>
      </c>
      <c r="P437" s="1">
        <v>40165</v>
      </c>
      <c r="Q437" s="89">
        <f t="shared" si="232"/>
        <v>2009</v>
      </c>
      <c r="R437" t="s">
        <v>107</v>
      </c>
      <c r="S437">
        <v>809678000</v>
      </c>
      <c r="T437" s="21">
        <f t="shared" si="224"/>
        <v>6.0739726027397261</v>
      </c>
      <c r="U437">
        <v>0</v>
      </c>
      <c r="V437">
        <f t="shared" si="233"/>
        <v>0</v>
      </c>
      <c r="W437">
        <v>2000</v>
      </c>
      <c r="X437">
        <v>3</v>
      </c>
      <c r="Y437">
        <f t="shared" si="234"/>
        <v>0.6020599913279624</v>
      </c>
      <c r="Z437" s="45">
        <v>3.29</v>
      </c>
      <c r="AA437" s="9">
        <f t="shared" si="256"/>
        <v>584678000</v>
      </c>
      <c r="AB437" s="15">
        <f t="shared" si="225"/>
        <v>2.5985688888888889</v>
      </c>
      <c r="AC437" s="34">
        <f t="shared" si="235"/>
        <v>0.5561298209815333</v>
      </c>
      <c r="AD437" s="35">
        <v>3425.6694367497698</v>
      </c>
      <c r="AE437">
        <f t="shared" si="228"/>
        <v>3.5347454529897258</v>
      </c>
      <c r="AF437" s="35">
        <v>9322.8685749461365</v>
      </c>
      <c r="AG437">
        <f t="shared" si="229"/>
        <v>3.9695495619878729</v>
      </c>
      <c r="AH437" s="9">
        <v>0</v>
      </c>
      <c r="AI437" s="9">
        <f t="shared" si="236"/>
        <v>0</v>
      </c>
      <c r="AJ437">
        <v>85</v>
      </c>
      <c r="AK437" s="23" t="s">
        <v>246</v>
      </c>
      <c r="AL437" s="42">
        <v>38.7850112673514</v>
      </c>
      <c r="AM437" s="24">
        <v>0.06</v>
      </c>
      <c r="AN437" s="34">
        <f t="shared" si="237"/>
        <v>2.5305865264770262E-2</v>
      </c>
      <c r="AO437">
        <v>1988</v>
      </c>
      <c r="AP437">
        <v>15</v>
      </c>
      <c r="AQ437">
        <v>70</v>
      </c>
      <c r="AR437">
        <v>70</v>
      </c>
      <c r="AS437">
        <f t="shared" si="226"/>
        <v>0</v>
      </c>
      <c r="AT437">
        <f t="shared" si="238"/>
        <v>0</v>
      </c>
      <c r="AU437">
        <f t="shared" si="239"/>
        <v>1</v>
      </c>
      <c r="AV437">
        <f t="shared" si="240"/>
        <v>0</v>
      </c>
      <c r="AW437">
        <f t="shared" si="241"/>
        <v>0</v>
      </c>
      <c r="AX437">
        <f t="shared" si="242"/>
        <v>0</v>
      </c>
      <c r="AY437">
        <f t="shared" si="243"/>
        <v>0</v>
      </c>
      <c r="AZ437">
        <f t="shared" si="244"/>
        <v>0</v>
      </c>
      <c r="BA437">
        <f t="shared" si="245"/>
        <v>0</v>
      </c>
      <c r="BB437">
        <f t="shared" si="246"/>
        <v>0</v>
      </c>
      <c r="BC437">
        <f t="shared" si="247"/>
        <v>0</v>
      </c>
      <c r="BD437">
        <f t="shared" si="248"/>
        <v>0</v>
      </c>
      <c r="BE437">
        <f t="shared" si="249"/>
        <v>0</v>
      </c>
      <c r="BF437">
        <f t="shared" si="250"/>
        <v>0</v>
      </c>
      <c r="BG437">
        <f t="shared" si="251"/>
        <v>0</v>
      </c>
      <c r="BH437">
        <f t="shared" si="252"/>
        <v>0</v>
      </c>
      <c r="BI437">
        <f t="shared" si="253"/>
        <v>0</v>
      </c>
    </row>
    <row r="438" spans="1:61" x14ac:dyDescent="0.35">
      <c r="A438" t="s">
        <v>196</v>
      </c>
      <c r="B438" s="1">
        <v>37833</v>
      </c>
      <c r="C438" t="s">
        <v>208</v>
      </c>
      <c r="D438" t="s">
        <v>163</v>
      </c>
      <c r="E438" t="s">
        <v>914</v>
      </c>
      <c r="F438" t="s">
        <v>59</v>
      </c>
      <c r="G438" t="s">
        <v>64</v>
      </c>
      <c r="H438" s="139">
        <f t="shared" si="227"/>
        <v>1</v>
      </c>
      <c r="I438" t="s">
        <v>234</v>
      </c>
      <c r="J438" t="s">
        <v>248</v>
      </c>
      <c r="K438" s="2">
        <f t="shared" si="230"/>
        <v>5</v>
      </c>
      <c r="L438">
        <v>138552000</v>
      </c>
      <c r="M438" s="2">
        <f t="shared" si="231"/>
        <v>8.1416127992102378</v>
      </c>
      <c r="N438">
        <f t="shared" si="254"/>
        <v>138552000</v>
      </c>
      <c r="O438">
        <v>0</v>
      </c>
      <c r="P438" s="1">
        <v>38546</v>
      </c>
      <c r="Q438" s="89">
        <f t="shared" si="232"/>
        <v>2005</v>
      </c>
      <c r="R438" t="s">
        <v>107</v>
      </c>
      <c r="S438">
        <v>263679000</v>
      </c>
      <c r="T438" s="21">
        <f t="shared" si="224"/>
        <v>1.9534246575342467</v>
      </c>
      <c r="U438">
        <v>342.74</v>
      </c>
      <c r="V438">
        <f t="shared" si="233"/>
        <v>2.5362300726332561</v>
      </c>
      <c r="W438">
        <v>1990</v>
      </c>
      <c r="X438">
        <v>13</v>
      </c>
      <c r="Y438">
        <f t="shared" si="234"/>
        <v>1.146128035678238</v>
      </c>
      <c r="Z438" s="45">
        <v>2.3199999999999998</v>
      </c>
      <c r="AA438" s="9">
        <f t="shared" si="256"/>
        <v>125127000</v>
      </c>
      <c r="AB438" s="15">
        <f t="shared" si="225"/>
        <v>0.90310497141867319</v>
      </c>
      <c r="AC438" s="34">
        <f t="shared" si="235"/>
        <v>0.27946274375238006</v>
      </c>
      <c r="AD438" s="35">
        <v>3425.6694367497698</v>
      </c>
      <c r="AE438">
        <f t="shared" si="228"/>
        <v>3.5347454529897258</v>
      </c>
      <c r="AF438" s="35">
        <v>9322.8685749461365</v>
      </c>
      <c r="AG438">
        <f t="shared" si="229"/>
        <v>3.9695495619878729</v>
      </c>
      <c r="AH438" s="9">
        <v>569.16666666666697</v>
      </c>
      <c r="AI438" s="9">
        <f t="shared" si="236"/>
        <v>2.756001823801419</v>
      </c>
      <c r="AJ438">
        <v>70</v>
      </c>
      <c r="AK438" s="23" t="s">
        <v>166</v>
      </c>
      <c r="AL438" s="42">
        <v>53.270504198897903</v>
      </c>
      <c r="AM438" s="24">
        <v>0.24</v>
      </c>
      <c r="AN438" s="34">
        <f t="shared" si="237"/>
        <v>9.3421685162235063E-2</v>
      </c>
      <c r="AO438">
        <v>1988</v>
      </c>
      <c r="AP438">
        <v>15</v>
      </c>
      <c r="AQ438">
        <v>85</v>
      </c>
      <c r="AR438">
        <v>80</v>
      </c>
      <c r="AS438">
        <f t="shared" si="226"/>
        <v>0</v>
      </c>
      <c r="AT438">
        <f t="shared" si="238"/>
        <v>0</v>
      </c>
      <c r="AU438">
        <f t="shared" si="239"/>
        <v>0</v>
      </c>
      <c r="AV438">
        <f t="shared" si="240"/>
        <v>0</v>
      </c>
      <c r="AW438">
        <f t="shared" si="241"/>
        <v>0</v>
      </c>
      <c r="AX438">
        <f t="shared" si="242"/>
        <v>0</v>
      </c>
      <c r="AY438">
        <f t="shared" si="243"/>
        <v>0</v>
      </c>
      <c r="AZ438">
        <f t="shared" si="244"/>
        <v>1</v>
      </c>
      <c r="BA438">
        <f t="shared" si="245"/>
        <v>0</v>
      </c>
      <c r="BB438">
        <f t="shared" si="246"/>
        <v>0</v>
      </c>
      <c r="BC438">
        <f t="shared" si="247"/>
        <v>0</v>
      </c>
      <c r="BD438">
        <f t="shared" si="248"/>
        <v>0</v>
      </c>
      <c r="BE438">
        <f t="shared" si="249"/>
        <v>0</v>
      </c>
      <c r="BF438">
        <f t="shared" si="250"/>
        <v>0</v>
      </c>
      <c r="BG438">
        <f t="shared" si="251"/>
        <v>0</v>
      </c>
      <c r="BH438">
        <f t="shared" si="252"/>
        <v>0</v>
      </c>
      <c r="BI438">
        <f t="shared" si="253"/>
        <v>0</v>
      </c>
    </row>
    <row r="439" spans="1:61" ht="19.5" customHeight="1" x14ac:dyDescent="0.35">
      <c r="A439" t="s">
        <v>114</v>
      </c>
      <c r="B439" s="1">
        <v>37641</v>
      </c>
      <c r="C439" t="s">
        <v>918</v>
      </c>
      <c r="D439" t="s">
        <v>59</v>
      </c>
      <c r="E439" t="s">
        <v>914</v>
      </c>
      <c r="F439" t="s">
        <v>59</v>
      </c>
      <c r="G439" t="s">
        <v>47</v>
      </c>
      <c r="H439" s="139">
        <f t="shared" si="227"/>
        <v>0</v>
      </c>
      <c r="I439" t="s">
        <v>234</v>
      </c>
      <c r="J439" t="s">
        <v>248</v>
      </c>
      <c r="K439" s="2">
        <f t="shared" si="230"/>
        <v>5</v>
      </c>
      <c r="L439">
        <v>31984000</v>
      </c>
      <c r="M439" s="2">
        <f t="shared" si="231"/>
        <v>7.5049327767740417</v>
      </c>
      <c r="N439">
        <f t="shared" si="254"/>
        <v>31984000</v>
      </c>
      <c r="O439">
        <v>0</v>
      </c>
      <c r="P439" s="1">
        <v>38678</v>
      </c>
      <c r="Q439" s="89">
        <f t="shared" si="232"/>
        <v>2005</v>
      </c>
      <c r="R439" t="s">
        <v>152</v>
      </c>
      <c r="S439">
        <v>75800000</v>
      </c>
      <c r="T439" s="21">
        <f t="shared" si="224"/>
        <v>2.8410958904109589</v>
      </c>
      <c r="U439">
        <v>0</v>
      </c>
      <c r="V439">
        <f t="shared" si="233"/>
        <v>0</v>
      </c>
      <c r="W439">
        <v>1994</v>
      </c>
      <c r="X439">
        <v>9</v>
      </c>
      <c r="Y439">
        <f t="shared" si="234"/>
        <v>1</v>
      </c>
      <c r="Z439" s="45">
        <v>3.29</v>
      </c>
      <c r="AA439" s="9">
        <f t="shared" si="256"/>
        <v>43816000</v>
      </c>
      <c r="AB439" s="15">
        <f t="shared" si="225"/>
        <v>1.3699349674837418</v>
      </c>
      <c r="AC439" s="34">
        <f t="shared" si="235"/>
        <v>0.37473642885801178</v>
      </c>
      <c r="AD439" s="35">
        <v>3425.6694367497698</v>
      </c>
      <c r="AE439">
        <f t="shared" si="228"/>
        <v>3.5347454529897258</v>
      </c>
      <c r="AF439" s="35">
        <v>9322.8685749461365</v>
      </c>
      <c r="AG439">
        <f t="shared" si="229"/>
        <v>3.9695495619878729</v>
      </c>
      <c r="AH439" s="9">
        <v>0</v>
      </c>
      <c r="AI439" s="9">
        <f t="shared" si="236"/>
        <v>0</v>
      </c>
      <c r="AJ439">
        <v>85</v>
      </c>
      <c r="AK439" s="23" t="s">
        <v>246</v>
      </c>
      <c r="AL439" s="42">
        <v>38.7850112673514</v>
      </c>
      <c r="AM439" s="24">
        <v>0.4</v>
      </c>
      <c r="AN439" s="34">
        <f t="shared" si="237"/>
        <v>0.14612803567823801</v>
      </c>
      <c r="AO439">
        <v>1988</v>
      </c>
      <c r="AP439">
        <v>15</v>
      </c>
      <c r="AQ439">
        <v>70</v>
      </c>
      <c r="AR439">
        <v>70</v>
      </c>
      <c r="AS439">
        <f t="shared" si="226"/>
        <v>0</v>
      </c>
      <c r="AT439">
        <f t="shared" si="238"/>
        <v>0</v>
      </c>
      <c r="AU439">
        <f t="shared" si="239"/>
        <v>1</v>
      </c>
      <c r="AV439">
        <f t="shared" si="240"/>
        <v>0</v>
      </c>
      <c r="AW439">
        <f t="shared" si="241"/>
        <v>0</v>
      </c>
      <c r="AX439">
        <f t="shared" si="242"/>
        <v>0</v>
      </c>
      <c r="AY439">
        <f t="shared" si="243"/>
        <v>0</v>
      </c>
      <c r="AZ439">
        <f t="shared" si="244"/>
        <v>0</v>
      </c>
      <c r="BA439">
        <f t="shared" si="245"/>
        <v>0</v>
      </c>
      <c r="BB439">
        <f t="shared" si="246"/>
        <v>0</v>
      </c>
      <c r="BC439">
        <f t="shared" si="247"/>
        <v>0</v>
      </c>
      <c r="BD439">
        <f t="shared" si="248"/>
        <v>0</v>
      </c>
      <c r="BE439">
        <f t="shared" si="249"/>
        <v>0</v>
      </c>
      <c r="BF439">
        <f t="shared" si="250"/>
        <v>0</v>
      </c>
      <c r="BG439">
        <f t="shared" si="251"/>
        <v>0</v>
      </c>
      <c r="BH439">
        <f t="shared" si="252"/>
        <v>0</v>
      </c>
      <c r="BI439">
        <f t="shared" si="253"/>
        <v>0</v>
      </c>
    </row>
    <row r="440" spans="1:61" ht="15.75" customHeight="1" x14ac:dyDescent="0.35">
      <c r="A440" t="s">
        <v>196</v>
      </c>
      <c r="B440" s="1">
        <v>36881</v>
      </c>
      <c r="C440" s="8" t="s">
        <v>919</v>
      </c>
      <c r="D440" t="s">
        <v>59</v>
      </c>
      <c r="E440" t="s">
        <v>920</v>
      </c>
      <c r="F440" t="s">
        <v>59</v>
      </c>
      <c r="G440" t="s">
        <v>47</v>
      </c>
      <c r="H440" s="139">
        <f t="shared" si="227"/>
        <v>0</v>
      </c>
      <c r="I440" t="s">
        <v>234</v>
      </c>
      <c r="J440" t="s">
        <v>248</v>
      </c>
      <c r="K440" s="2">
        <f t="shared" si="230"/>
        <v>5</v>
      </c>
      <c r="L440">
        <v>175750000</v>
      </c>
      <c r="M440" s="2">
        <f t="shared" si="231"/>
        <v>8.2448953336918613</v>
      </c>
      <c r="N440">
        <f t="shared" si="254"/>
        <v>175750000</v>
      </c>
      <c r="O440">
        <v>0</v>
      </c>
      <c r="P440" s="1">
        <v>38394</v>
      </c>
      <c r="Q440" s="89">
        <f t="shared" si="232"/>
        <v>2005</v>
      </c>
      <c r="R440" t="s">
        <v>107</v>
      </c>
      <c r="S440">
        <v>950000000</v>
      </c>
      <c r="T440" s="21">
        <f t="shared" si="224"/>
        <v>4.1452054794520548</v>
      </c>
      <c r="U440">
        <v>0</v>
      </c>
      <c r="V440">
        <f t="shared" si="233"/>
        <v>0</v>
      </c>
      <c r="W440">
        <v>1854</v>
      </c>
      <c r="X440">
        <v>146</v>
      </c>
      <c r="Y440">
        <f t="shared" si="234"/>
        <v>2.167317334748176</v>
      </c>
      <c r="Z440" s="45">
        <v>3.29</v>
      </c>
      <c r="AA440" s="9">
        <f t="shared" si="256"/>
        <v>774250000</v>
      </c>
      <c r="AB440" s="15">
        <f t="shared" si="225"/>
        <v>4.4054054054054053</v>
      </c>
      <c r="AC440" s="34">
        <f t="shared" si="235"/>
        <v>0.73282827159698616</v>
      </c>
      <c r="AD440" s="35">
        <v>3425.6694367497698</v>
      </c>
      <c r="AE440">
        <f t="shared" si="228"/>
        <v>3.5347454529897258</v>
      </c>
      <c r="AF440" s="35">
        <v>9322.8685749461365</v>
      </c>
      <c r="AG440">
        <f t="shared" si="229"/>
        <v>3.9695495619878729</v>
      </c>
      <c r="AH440" s="9">
        <v>0</v>
      </c>
      <c r="AI440" s="9">
        <f t="shared" si="236"/>
        <v>0</v>
      </c>
      <c r="AJ440">
        <v>85</v>
      </c>
      <c r="AK440" s="23" t="s">
        <v>78</v>
      </c>
      <c r="AL440" s="42">
        <v>35.433808146393098</v>
      </c>
      <c r="AM440" s="24">
        <v>-0.05</v>
      </c>
      <c r="AN440" s="34">
        <f t="shared" si="237"/>
        <v>-2.2276394711152253E-2</v>
      </c>
      <c r="AO440">
        <v>1988</v>
      </c>
      <c r="AP440">
        <v>12</v>
      </c>
      <c r="AQ440">
        <v>70</v>
      </c>
      <c r="AR440">
        <v>70</v>
      </c>
      <c r="AS440">
        <f t="shared" si="226"/>
        <v>0</v>
      </c>
      <c r="AT440">
        <f t="shared" si="238"/>
        <v>0</v>
      </c>
      <c r="AU440">
        <f t="shared" si="239"/>
        <v>1</v>
      </c>
      <c r="AV440">
        <f t="shared" si="240"/>
        <v>0</v>
      </c>
      <c r="AW440">
        <f t="shared" si="241"/>
        <v>0</v>
      </c>
      <c r="AX440">
        <f t="shared" si="242"/>
        <v>0</v>
      </c>
      <c r="AY440">
        <f t="shared" si="243"/>
        <v>0</v>
      </c>
      <c r="AZ440">
        <f t="shared" si="244"/>
        <v>0</v>
      </c>
      <c r="BA440">
        <f t="shared" si="245"/>
        <v>0</v>
      </c>
      <c r="BB440">
        <f t="shared" si="246"/>
        <v>0</v>
      </c>
      <c r="BC440">
        <f t="shared" si="247"/>
        <v>0</v>
      </c>
      <c r="BD440">
        <f t="shared" si="248"/>
        <v>0</v>
      </c>
      <c r="BE440">
        <f t="shared" si="249"/>
        <v>0</v>
      </c>
      <c r="BF440">
        <f t="shared" si="250"/>
        <v>0</v>
      </c>
      <c r="BG440">
        <f t="shared" si="251"/>
        <v>0</v>
      </c>
      <c r="BH440">
        <f t="shared" si="252"/>
        <v>0</v>
      </c>
      <c r="BI440">
        <f t="shared" si="253"/>
        <v>0</v>
      </c>
    </row>
    <row r="441" spans="1:61" ht="15" customHeight="1" x14ac:dyDescent="0.35">
      <c r="A441" t="s">
        <v>196</v>
      </c>
      <c r="B441" s="1">
        <v>36626</v>
      </c>
      <c r="C441" t="s">
        <v>921</v>
      </c>
      <c r="D441" t="s">
        <v>163</v>
      </c>
      <c r="E441" t="s">
        <v>920</v>
      </c>
      <c r="F441" t="s">
        <v>59</v>
      </c>
      <c r="G441" t="s">
        <v>64</v>
      </c>
      <c r="H441" s="139">
        <f t="shared" si="227"/>
        <v>1</v>
      </c>
      <c r="I441" t="s">
        <v>611</v>
      </c>
      <c r="J441" t="s">
        <v>269</v>
      </c>
      <c r="K441" s="2">
        <f t="shared" si="230"/>
        <v>7</v>
      </c>
      <c r="L441">
        <v>120910000</v>
      </c>
      <c r="M441" s="2">
        <f t="shared" si="231"/>
        <v>8.0824622211686297</v>
      </c>
      <c r="N441">
        <f>L441-O441</f>
        <v>52270000</v>
      </c>
      <c r="O441">
        <v>68640000</v>
      </c>
      <c r="P441" s="1">
        <v>38824</v>
      </c>
      <c r="Q441" s="89">
        <f t="shared" si="232"/>
        <v>2006</v>
      </c>
      <c r="R441" t="s">
        <v>107</v>
      </c>
      <c r="S441">
        <v>223940000</v>
      </c>
      <c r="T441" s="21">
        <f t="shared" si="224"/>
        <v>6.021917808219178</v>
      </c>
      <c r="U441">
        <v>342.74</v>
      </c>
      <c r="V441">
        <f t="shared" si="233"/>
        <v>2.5362300726332561</v>
      </c>
      <c r="W441">
        <v>1755</v>
      </c>
      <c r="X441">
        <v>245</v>
      </c>
      <c r="Y441">
        <f t="shared" si="234"/>
        <v>2.3909351071033793</v>
      </c>
      <c r="Z441" s="45">
        <v>2.3199999999999998</v>
      </c>
      <c r="AA441" s="9">
        <f t="shared" si="256"/>
        <v>171670000</v>
      </c>
      <c r="AB441" s="15">
        <f t="shared" si="225"/>
        <v>0.85212141262095775</v>
      </c>
      <c r="AC441" s="34">
        <f t="shared" si="235"/>
        <v>0.26766945270390896</v>
      </c>
      <c r="AD441" s="35">
        <v>3425.6694367497698</v>
      </c>
      <c r="AE441">
        <f t="shared" si="228"/>
        <v>3.5347454529897258</v>
      </c>
      <c r="AF441" s="35">
        <v>9322.8685749461365</v>
      </c>
      <c r="AG441">
        <f t="shared" si="229"/>
        <v>3.9695495619878729</v>
      </c>
      <c r="AH441" s="9">
        <v>569.16666666666697</v>
      </c>
      <c r="AI441" s="9">
        <f t="shared" si="236"/>
        <v>2.756001823801419</v>
      </c>
      <c r="AJ441">
        <v>70</v>
      </c>
      <c r="AK441" s="23" t="s">
        <v>466</v>
      </c>
      <c r="AL441" s="42">
        <v>51.652289181886701</v>
      </c>
      <c r="AM441" s="24">
        <v>-0.15</v>
      </c>
      <c r="AN441" s="34">
        <f t="shared" si="237"/>
        <v>-7.0581074285707285E-2</v>
      </c>
      <c r="AO441">
        <v>1988</v>
      </c>
      <c r="AP441">
        <v>12</v>
      </c>
      <c r="AQ441">
        <v>85</v>
      </c>
      <c r="AR441">
        <v>80</v>
      </c>
      <c r="AS441">
        <f t="shared" si="226"/>
        <v>0</v>
      </c>
      <c r="AT441">
        <f t="shared" si="238"/>
        <v>0</v>
      </c>
      <c r="AU441">
        <f t="shared" si="239"/>
        <v>0</v>
      </c>
      <c r="AV441">
        <f t="shared" si="240"/>
        <v>0</v>
      </c>
      <c r="AW441">
        <f t="shared" si="241"/>
        <v>0</v>
      </c>
      <c r="AX441">
        <f t="shared" si="242"/>
        <v>0</v>
      </c>
      <c r="AY441">
        <f t="shared" si="243"/>
        <v>0</v>
      </c>
      <c r="AZ441">
        <f t="shared" si="244"/>
        <v>1</v>
      </c>
      <c r="BA441">
        <f t="shared" si="245"/>
        <v>0</v>
      </c>
      <c r="BB441">
        <f t="shared" si="246"/>
        <v>0</v>
      </c>
      <c r="BC441">
        <f t="shared" si="247"/>
        <v>0</v>
      </c>
      <c r="BD441">
        <f t="shared" si="248"/>
        <v>0</v>
      </c>
      <c r="BE441">
        <f t="shared" si="249"/>
        <v>0</v>
      </c>
      <c r="BF441">
        <f t="shared" si="250"/>
        <v>0</v>
      </c>
      <c r="BG441">
        <f t="shared" si="251"/>
        <v>0</v>
      </c>
      <c r="BH441">
        <f t="shared" si="252"/>
        <v>0</v>
      </c>
      <c r="BI441">
        <f t="shared" si="253"/>
        <v>0</v>
      </c>
    </row>
    <row r="442" spans="1:61" ht="20.25" customHeight="1" x14ac:dyDescent="0.35">
      <c r="A442" t="s">
        <v>196</v>
      </c>
      <c r="B442" s="1">
        <v>36410</v>
      </c>
      <c r="C442" t="s">
        <v>922</v>
      </c>
      <c r="D442" t="s">
        <v>59</v>
      </c>
      <c r="E442" t="s">
        <v>920</v>
      </c>
      <c r="F442" t="s">
        <v>59</v>
      </c>
      <c r="G442" t="s">
        <v>47</v>
      </c>
      <c r="H442" s="139">
        <f t="shared" si="227"/>
        <v>0</v>
      </c>
      <c r="I442" t="s">
        <v>234</v>
      </c>
      <c r="J442" t="s">
        <v>248</v>
      </c>
      <c r="K442" s="2">
        <f t="shared" si="230"/>
        <v>5</v>
      </c>
      <c r="L442">
        <v>111500000</v>
      </c>
      <c r="M442" s="2">
        <f t="shared" si="231"/>
        <v>8.0472748673841803</v>
      </c>
      <c r="N442">
        <f t="shared" ref="N442:N461" si="257">L442</f>
        <v>111500000</v>
      </c>
      <c r="O442">
        <v>0</v>
      </c>
      <c r="P442" s="1">
        <v>37928</v>
      </c>
      <c r="Q442" s="89">
        <f t="shared" si="232"/>
        <v>2003</v>
      </c>
      <c r="R442" t="s">
        <v>107</v>
      </c>
      <c r="S442">
        <v>23000000</v>
      </c>
      <c r="T442" s="21">
        <f t="shared" si="224"/>
        <v>4.1589041095890407</v>
      </c>
      <c r="U442">
        <v>0</v>
      </c>
      <c r="V442">
        <f t="shared" si="233"/>
        <v>0</v>
      </c>
      <c r="W442">
        <v>1999</v>
      </c>
      <c r="X442">
        <v>0</v>
      </c>
      <c r="Y442">
        <f t="shared" si="234"/>
        <v>0</v>
      </c>
      <c r="Z442" s="45">
        <v>3.29</v>
      </c>
      <c r="AA442" s="9">
        <f t="shared" si="256"/>
        <v>-88500000</v>
      </c>
      <c r="AB442" s="15">
        <f t="shared" si="225"/>
        <v>-0.79372197309417036</v>
      </c>
      <c r="AC442" s="34">
        <f t="shared" si="235"/>
        <v>-0.68554703136658657</v>
      </c>
      <c r="AD442" s="35">
        <v>3425.6694367497698</v>
      </c>
      <c r="AE442">
        <f t="shared" si="228"/>
        <v>3.5347454529897258</v>
      </c>
      <c r="AF442" s="35">
        <v>9322.8685749461365</v>
      </c>
      <c r="AG442">
        <f t="shared" si="229"/>
        <v>3.9695495619878729</v>
      </c>
      <c r="AH442" s="9">
        <v>0</v>
      </c>
      <c r="AI442" s="9">
        <f t="shared" si="236"/>
        <v>0</v>
      </c>
      <c r="AJ442">
        <v>85</v>
      </c>
      <c r="AK442" s="23" t="s">
        <v>70</v>
      </c>
      <c r="AL442" s="42">
        <v>35.326012114535303</v>
      </c>
      <c r="AM442" s="24">
        <v>-0.22</v>
      </c>
      <c r="AN442" s="34">
        <f t="shared" si="237"/>
        <v>-0.10790539730951958</v>
      </c>
      <c r="AO442">
        <v>1988</v>
      </c>
      <c r="AP442">
        <v>11</v>
      </c>
      <c r="AQ442">
        <v>70</v>
      </c>
      <c r="AR442">
        <v>70</v>
      </c>
      <c r="AS442">
        <f t="shared" si="226"/>
        <v>0</v>
      </c>
      <c r="AT442">
        <f t="shared" si="238"/>
        <v>0</v>
      </c>
      <c r="AU442">
        <f t="shared" si="239"/>
        <v>1</v>
      </c>
      <c r="AV442">
        <f t="shared" si="240"/>
        <v>0</v>
      </c>
      <c r="AW442">
        <f t="shared" si="241"/>
        <v>0</v>
      </c>
      <c r="AX442">
        <f t="shared" si="242"/>
        <v>0</v>
      </c>
      <c r="AY442">
        <f t="shared" si="243"/>
        <v>0</v>
      </c>
      <c r="AZ442">
        <f t="shared" si="244"/>
        <v>0</v>
      </c>
      <c r="BA442">
        <f t="shared" si="245"/>
        <v>0</v>
      </c>
      <c r="BB442">
        <f t="shared" si="246"/>
        <v>0</v>
      </c>
      <c r="BC442">
        <f t="shared" si="247"/>
        <v>0</v>
      </c>
      <c r="BD442">
        <f t="shared" si="248"/>
        <v>0</v>
      </c>
      <c r="BE442">
        <f t="shared" si="249"/>
        <v>0</v>
      </c>
      <c r="BF442">
        <f t="shared" si="250"/>
        <v>0</v>
      </c>
      <c r="BG442">
        <f t="shared" si="251"/>
        <v>0</v>
      </c>
      <c r="BH442">
        <f t="shared" si="252"/>
        <v>0</v>
      </c>
      <c r="BI442">
        <f t="shared" si="253"/>
        <v>0</v>
      </c>
    </row>
    <row r="443" spans="1:61" ht="21" customHeight="1" x14ac:dyDescent="0.35">
      <c r="A443" t="s">
        <v>196</v>
      </c>
      <c r="B443" s="1">
        <v>36010</v>
      </c>
      <c r="C443" t="s">
        <v>923</v>
      </c>
      <c r="D443" t="s">
        <v>59</v>
      </c>
      <c r="E443" t="s">
        <v>924</v>
      </c>
      <c r="F443" t="s">
        <v>59</v>
      </c>
      <c r="G443" t="s">
        <v>47</v>
      </c>
      <c r="H443" s="139">
        <f t="shared" si="227"/>
        <v>0</v>
      </c>
      <c r="I443" t="s">
        <v>234</v>
      </c>
      <c r="J443" t="s">
        <v>248</v>
      </c>
      <c r="K443" s="2">
        <f t="shared" si="230"/>
        <v>5</v>
      </c>
      <c r="L443">
        <v>70000000</v>
      </c>
      <c r="M443" s="2">
        <f t="shared" si="231"/>
        <v>7.8450980400142569</v>
      </c>
      <c r="N443">
        <f t="shared" si="257"/>
        <v>70000000</v>
      </c>
      <c r="O443">
        <v>0</v>
      </c>
      <c r="P443" s="1">
        <v>36799</v>
      </c>
      <c r="Q443" s="89">
        <f t="shared" si="232"/>
        <v>2000</v>
      </c>
      <c r="R443" t="s">
        <v>107</v>
      </c>
      <c r="S443">
        <v>230000000</v>
      </c>
      <c r="T443" s="21">
        <f t="shared" si="224"/>
        <v>2.1616438356164385</v>
      </c>
      <c r="U443">
        <v>0</v>
      </c>
      <c r="V443">
        <f t="shared" si="233"/>
        <v>0</v>
      </c>
      <c r="W443">
        <v>1998</v>
      </c>
      <c r="X443">
        <v>0</v>
      </c>
      <c r="Y443">
        <f t="shared" si="234"/>
        <v>0</v>
      </c>
      <c r="Z443" s="45">
        <v>3.29</v>
      </c>
      <c r="AA443" s="9">
        <f t="shared" si="256"/>
        <v>160000000</v>
      </c>
      <c r="AB443" s="15">
        <f t="shared" si="225"/>
        <v>2.2857142857142856</v>
      </c>
      <c r="AC443" s="34">
        <f t="shared" si="235"/>
        <v>0.51662979600333603</v>
      </c>
      <c r="AD443" s="35">
        <v>3425.6694367497698</v>
      </c>
      <c r="AE443">
        <f t="shared" si="228"/>
        <v>3.5347454529897258</v>
      </c>
      <c r="AF443" s="35">
        <v>9322.8685749461365</v>
      </c>
      <c r="AG443">
        <f t="shared" si="229"/>
        <v>3.9695495619878729</v>
      </c>
      <c r="AH443" s="9">
        <v>0</v>
      </c>
      <c r="AI443" s="9">
        <f t="shared" si="236"/>
        <v>0</v>
      </c>
      <c r="AJ443">
        <v>85</v>
      </c>
      <c r="AK443" s="23" t="s">
        <v>249</v>
      </c>
      <c r="AL443" s="42">
        <v>35.516899069648296</v>
      </c>
      <c r="AM443" s="24">
        <v>0.28999999999999998</v>
      </c>
      <c r="AN443" s="34">
        <f t="shared" si="237"/>
        <v>0.11058971029924898</v>
      </c>
      <c r="AO443">
        <v>1988</v>
      </c>
      <c r="AP443">
        <v>10</v>
      </c>
      <c r="AQ443">
        <v>70</v>
      </c>
      <c r="AR443">
        <v>70</v>
      </c>
      <c r="AS443">
        <f t="shared" si="226"/>
        <v>0</v>
      </c>
      <c r="AT443">
        <f t="shared" si="238"/>
        <v>0</v>
      </c>
      <c r="AU443">
        <f t="shared" si="239"/>
        <v>1</v>
      </c>
      <c r="AV443">
        <f t="shared" si="240"/>
        <v>0</v>
      </c>
      <c r="AW443">
        <f t="shared" si="241"/>
        <v>0</v>
      </c>
      <c r="AX443">
        <f t="shared" si="242"/>
        <v>0</v>
      </c>
      <c r="AY443">
        <f t="shared" si="243"/>
        <v>0</v>
      </c>
      <c r="AZ443">
        <f t="shared" si="244"/>
        <v>0</v>
      </c>
      <c r="BA443">
        <f t="shared" si="245"/>
        <v>0</v>
      </c>
      <c r="BB443">
        <f t="shared" si="246"/>
        <v>0</v>
      </c>
      <c r="BC443">
        <f t="shared" si="247"/>
        <v>0</v>
      </c>
      <c r="BD443">
        <f t="shared" si="248"/>
        <v>0</v>
      </c>
      <c r="BE443">
        <f t="shared" si="249"/>
        <v>0</v>
      </c>
      <c r="BF443">
        <f t="shared" si="250"/>
        <v>0</v>
      </c>
      <c r="BG443">
        <f t="shared" si="251"/>
        <v>0</v>
      </c>
      <c r="BH443">
        <f t="shared" si="252"/>
        <v>0</v>
      </c>
      <c r="BI443">
        <f t="shared" si="253"/>
        <v>0</v>
      </c>
    </row>
    <row r="444" spans="1:61" ht="18.75" customHeight="1" x14ac:dyDescent="0.35">
      <c r="A444" t="s">
        <v>196</v>
      </c>
      <c r="B444" s="1">
        <v>35764</v>
      </c>
      <c r="C444" t="s">
        <v>925</v>
      </c>
      <c r="D444" t="s">
        <v>163</v>
      </c>
      <c r="E444" t="s">
        <v>926</v>
      </c>
      <c r="F444" t="s">
        <v>59</v>
      </c>
      <c r="G444" t="s">
        <v>64</v>
      </c>
      <c r="H444" s="139">
        <f t="shared" si="227"/>
        <v>1</v>
      </c>
      <c r="I444" t="s">
        <v>234</v>
      </c>
      <c r="J444" t="s">
        <v>326</v>
      </c>
      <c r="K444" s="2">
        <f t="shared" si="230"/>
        <v>8</v>
      </c>
      <c r="L444">
        <v>13000000</v>
      </c>
      <c r="M444" s="2">
        <f t="shared" si="231"/>
        <v>7.1139433523068369</v>
      </c>
      <c r="N444">
        <f t="shared" si="257"/>
        <v>13000000</v>
      </c>
      <c r="O444">
        <v>0</v>
      </c>
      <c r="P444" s="1">
        <v>37064</v>
      </c>
      <c r="Q444" s="89">
        <f t="shared" si="232"/>
        <v>2001</v>
      </c>
      <c r="R444" t="s">
        <v>152</v>
      </c>
      <c r="S444">
        <v>101000000</v>
      </c>
      <c r="T444" s="21">
        <f t="shared" si="224"/>
        <v>3.5616438356164384</v>
      </c>
      <c r="U444">
        <v>342.74</v>
      </c>
      <c r="V444">
        <f t="shared" si="233"/>
        <v>2.5362300726332561</v>
      </c>
      <c r="W444">
        <v>1990</v>
      </c>
      <c r="X444">
        <v>7</v>
      </c>
      <c r="Y444">
        <f t="shared" si="234"/>
        <v>0.90308998699194354</v>
      </c>
      <c r="Z444" s="45">
        <v>2.3199999999999998</v>
      </c>
      <c r="AA444" s="9">
        <f t="shared" si="256"/>
        <v>88000000</v>
      </c>
      <c r="AB444" s="15">
        <f t="shared" si="225"/>
        <v>6.7692307692307692</v>
      </c>
      <c r="AC444" s="34">
        <f t="shared" si="235"/>
        <v>0.8903780214758058</v>
      </c>
      <c r="AD444" s="35">
        <v>3425.6694367497698</v>
      </c>
      <c r="AE444">
        <f t="shared" si="228"/>
        <v>3.5347454529897258</v>
      </c>
      <c r="AF444" s="35">
        <v>9322.8685749461365</v>
      </c>
      <c r="AG444">
        <f t="shared" si="229"/>
        <v>3.9695495619878729</v>
      </c>
      <c r="AH444" s="9">
        <v>569.16666666666697</v>
      </c>
      <c r="AI444" s="9">
        <f t="shared" si="236"/>
        <v>2.756001823801419</v>
      </c>
      <c r="AJ444">
        <v>85</v>
      </c>
      <c r="AK444" s="23" t="s">
        <v>735</v>
      </c>
      <c r="AL444" s="42">
        <v>54.530673116863902</v>
      </c>
      <c r="AM444" s="24">
        <v>0.28000000000000003</v>
      </c>
      <c r="AN444" s="34">
        <f t="shared" si="237"/>
        <v>0.10720996964786837</v>
      </c>
      <c r="AO444">
        <v>1988</v>
      </c>
      <c r="AP444">
        <v>9</v>
      </c>
      <c r="AQ444">
        <v>85</v>
      </c>
      <c r="AR444">
        <v>80</v>
      </c>
      <c r="AS444">
        <f t="shared" si="226"/>
        <v>0</v>
      </c>
      <c r="AT444">
        <f t="shared" si="238"/>
        <v>0</v>
      </c>
      <c r="AU444">
        <f t="shared" si="239"/>
        <v>0</v>
      </c>
      <c r="AV444">
        <f t="shared" si="240"/>
        <v>0</v>
      </c>
      <c r="AW444">
        <f t="shared" si="241"/>
        <v>0</v>
      </c>
      <c r="AX444">
        <f t="shared" si="242"/>
        <v>0</v>
      </c>
      <c r="AY444">
        <f t="shared" si="243"/>
        <v>0</v>
      </c>
      <c r="AZ444">
        <f t="shared" si="244"/>
        <v>1</v>
      </c>
      <c r="BA444">
        <f t="shared" si="245"/>
        <v>0</v>
      </c>
      <c r="BB444">
        <f t="shared" si="246"/>
        <v>0</v>
      </c>
      <c r="BC444">
        <f t="shared" si="247"/>
        <v>0</v>
      </c>
      <c r="BD444">
        <f t="shared" si="248"/>
        <v>0</v>
      </c>
      <c r="BE444">
        <f t="shared" si="249"/>
        <v>0</v>
      </c>
      <c r="BF444">
        <f t="shared" si="250"/>
        <v>0</v>
      </c>
      <c r="BG444">
        <f t="shared" si="251"/>
        <v>0</v>
      </c>
      <c r="BH444">
        <f t="shared" si="252"/>
        <v>0</v>
      </c>
      <c r="BI444">
        <f t="shared" si="253"/>
        <v>0</v>
      </c>
    </row>
    <row r="445" spans="1:61" ht="15" customHeight="1" x14ac:dyDescent="0.35">
      <c r="A445" t="s">
        <v>196</v>
      </c>
      <c r="B445" s="1">
        <v>35520</v>
      </c>
      <c r="C445" t="s">
        <v>927</v>
      </c>
      <c r="D445" t="s">
        <v>59</v>
      </c>
      <c r="E445" t="s">
        <v>924</v>
      </c>
      <c r="F445" t="s">
        <v>59</v>
      </c>
      <c r="G445" t="s">
        <v>47</v>
      </c>
      <c r="H445" s="139">
        <f t="shared" si="227"/>
        <v>0</v>
      </c>
      <c r="I445" t="s">
        <v>234</v>
      </c>
      <c r="J445" t="s">
        <v>248</v>
      </c>
      <c r="K445" s="2">
        <f t="shared" si="230"/>
        <v>5</v>
      </c>
      <c r="L445">
        <v>91000000</v>
      </c>
      <c r="M445" s="2">
        <f t="shared" si="231"/>
        <v>7.9590413923210939</v>
      </c>
      <c r="N445">
        <f t="shared" si="257"/>
        <v>91000000</v>
      </c>
      <c r="O445">
        <v>0</v>
      </c>
      <c r="P445" s="1">
        <v>36179</v>
      </c>
      <c r="Q445" s="89">
        <f t="shared" si="232"/>
        <v>1999</v>
      </c>
      <c r="R445" t="s">
        <v>107</v>
      </c>
      <c r="S445">
        <v>180000000</v>
      </c>
      <c r="T445" s="21">
        <f t="shared" si="224"/>
        <v>1.8054794520547945</v>
      </c>
      <c r="U445">
        <v>0</v>
      </c>
      <c r="V445">
        <f t="shared" si="233"/>
        <v>0</v>
      </c>
      <c r="W445">
        <v>1996</v>
      </c>
      <c r="X445">
        <v>1</v>
      </c>
      <c r="Y445">
        <f t="shared" si="234"/>
        <v>0.3010299956639812</v>
      </c>
      <c r="Z445" s="45">
        <v>3.29</v>
      </c>
      <c r="AA445" s="9">
        <f t="shared" si="256"/>
        <v>89000000</v>
      </c>
      <c r="AB445" s="15">
        <f t="shared" si="225"/>
        <v>0.9780219780219781</v>
      </c>
      <c r="AC445" s="34">
        <f t="shared" si="235"/>
        <v>0.29623111278221248</v>
      </c>
      <c r="AD445" s="35">
        <v>3425.6694367497698</v>
      </c>
      <c r="AE445">
        <f t="shared" si="228"/>
        <v>3.5347454529897258</v>
      </c>
      <c r="AF445" s="35">
        <v>9322.8685749461365</v>
      </c>
      <c r="AG445">
        <f t="shared" si="229"/>
        <v>3.9695495619878729</v>
      </c>
      <c r="AH445" s="9">
        <v>0</v>
      </c>
      <c r="AI445" s="9">
        <f t="shared" si="236"/>
        <v>0</v>
      </c>
      <c r="AJ445">
        <v>85</v>
      </c>
      <c r="AK445" s="23" t="s">
        <v>61</v>
      </c>
      <c r="AL445" s="42">
        <v>35.807885111275297</v>
      </c>
      <c r="AM445" s="24">
        <v>0.65</v>
      </c>
      <c r="AN445" s="34">
        <f t="shared" si="237"/>
        <v>0.21748394421390627</v>
      </c>
      <c r="AO445">
        <v>1988</v>
      </c>
      <c r="AP445">
        <v>9</v>
      </c>
      <c r="AQ445">
        <v>70</v>
      </c>
      <c r="AR445">
        <v>70</v>
      </c>
      <c r="AS445">
        <f t="shared" si="226"/>
        <v>0</v>
      </c>
      <c r="AT445">
        <f t="shared" si="238"/>
        <v>0</v>
      </c>
      <c r="AU445">
        <f t="shared" si="239"/>
        <v>1</v>
      </c>
      <c r="AV445">
        <f t="shared" si="240"/>
        <v>0</v>
      </c>
      <c r="AW445">
        <f t="shared" si="241"/>
        <v>0</v>
      </c>
      <c r="AX445">
        <f t="shared" si="242"/>
        <v>0</v>
      </c>
      <c r="AY445">
        <f t="shared" si="243"/>
        <v>0</v>
      </c>
      <c r="AZ445">
        <f t="shared" si="244"/>
        <v>0</v>
      </c>
      <c r="BA445">
        <f t="shared" si="245"/>
        <v>0</v>
      </c>
      <c r="BB445">
        <f t="shared" si="246"/>
        <v>0</v>
      </c>
      <c r="BC445">
        <f t="shared" si="247"/>
        <v>0</v>
      </c>
      <c r="BD445">
        <f t="shared" si="248"/>
        <v>0</v>
      </c>
      <c r="BE445">
        <f t="shared" si="249"/>
        <v>0</v>
      </c>
      <c r="BF445">
        <f t="shared" si="250"/>
        <v>0</v>
      </c>
      <c r="BG445">
        <f t="shared" si="251"/>
        <v>0</v>
      </c>
      <c r="BH445">
        <f t="shared" si="252"/>
        <v>0</v>
      </c>
      <c r="BI445">
        <f t="shared" si="253"/>
        <v>0</v>
      </c>
    </row>
    <row r="446" spans="1:61" x14ac:dyDescent="0.35">
      <c r="A446" t="s">
        <v>51</v>
      </c>
      <c r="B446" s="1">
        <v>35155</v>
      </c>
      <c r="C446" t="s">
        <v>928</v>
      </c>
      <c r="D446" t="s">
        <v>1</v>
      </c>
      <c r="E446" t="s">
        <v>929</v>
      </c>
      <c r="F446" t="s">
        <v>59</v>
      </c>
      <c r="G446" t="s">
        <v>64</v>
      </c>
      <c r="H446" s="139">
        <f t="shared" si="227"/>
        <v>1</v>
      </c>
      <c r="I446" t="s">
        <v>234</v>
      </c>
      <c r="J446" t="s">
        <v>248</v>
      </c>
      <c r="K446" s="2">
        <f t="shared" si="230"/>
        <v>5</v>
      </c>
      <c r="L446">
        <v>11000000</v>
      </c>
      <c r="M446" s="2">
        <f t="shared" si="231"/>
        <v>7.0413926851582254</v>
      </c>
      <c r="N446">
        <f t="shared" si="257"/>
        <v>11000000</v>
      </c>
      <c r="O446">
        <v>0</v>
      </c>
      <c r="P446" s="1">
        <v>35945</v>
      </c>
      <c r="Q446" s="89">
        <f t="shared" si="232"/>
        <v>1998</v>
      </c>
      <c r="R446" t="s">
        <v>107</v>
      </c>
      <c r="S446">
        <v>18973159</v>
      </c>
      <c r="T446" s="21">
        <f t="shared" si="224"/>
        <v>2.1643835616438358</v>
      </c>
      <c r="U446">
        <v>1153.8900000000001</v>
      </c>
      <c r="V446">
        <f t="shared" si="233"/>
        <v>3.0625406208792199</v>
      </c>
      <c r="W446">
        <v>1969</v>
      </c>
      <c r="X446">
        <v>27</v>
      </c>
      <c r="Y446">
        <f t="shared" si="234"/>
        <v>1.4471580313422192</v>
      </c>
      <c r="Z446" s="45">
        <v>3.06</v>
      </c>
      <c r="AA446" s="9">
        <f t="shared" si="256"/>
        <v>7973159</v>
      </c>
      <c r="AB446" s="15">
        <f t="shared" si="225"/>
        <v>0.72483263636363637</v>
      </c>
      <c r="AC446" s="34">
        <f t="shared" si="235"/>
        <v>0.23674696107305315</v>
      </c>
      <c r="AD446" s="35">
        <v>3425.6694367497698</v>
      </c>
      <c r="AE446">
        <f t="shared" si="228"/>
        <v>3.5347454529897258</v>
      </c>
      <c r="AF446" s="35">
        <v>9322.8685749461365</v>
      </c>
      <c r="AG446">
        <f t="shared" si="229"/>
        <v>3.9695495619878729</v>
      </c>
      <c r="AH446" s="9">
        <v>742.83333333333303</v>
      </c>
      <c r="AI446" s="9">
        <f t="shared" si="236"/>
        <v>2.8714756364568856</v>
      </c>
      <c r="AJ446">
        <v>70</v>
      </c>
      <c r="AK446" s="23" t="s">
        <v>930</v>
      </c>
      <c r="AL446" s="42">
        <v>47.867790191502998</v>
      </c>
      <c r="AM446" s="24">
        <v>0.69</v>
      </c>
      <c r="AN446" s="34">
        <f t="shared" si="237"/>
        <v>0.22788670461367352</v>
      </c>
      <c r="AO446">
        <v>1988</v>
      </c>
      <c r="AP446">
        <v>8</v>
      </c>
      <c r="AQ446">
        <v>70</v>
      </c>
      <c r="AR446">
        <v>90</v>
      </c>
      <c r="AS446">
        <f t="shared" si="226"/>
        <v>0</v>
      </c>
      <c r="AT446">
        <f t="shared" si="238"/>
        <v>0</v>
      </c>
      <c r="AU446">
        <f t="shared" si="239"/>
        <v>0</v>
      </c>
      <c r="AV446">
        <f t="shared" si="240"/>
        <v>1</v>
      </c>
      <c r="AW446">
        <f t="shared" si="241"/>
        <v>0</v>
      </c>
      <c r="AX446">
        <f t="shared" si="242"/>
        <v>0</v>
      </c>
      <c r="AY446">
        <f t="shared" si="243"/>
        <v>0</v>
      </c>
      <c r="AZ446">
        <f t="shared" si="244"/>
        <v>0</v>
      </c>
      <c r="BA446">
        <f t="shared" si="245"/>
        <v>0</v>
      </c>
      <c r="BB446">
        <f t="shared" si="246"/>
        <v>0</v>
      </c>
      <c r="BC446">
        <f t="shared" si="247"/>
        <v>0</v>
      </c>
      <c r="BD446">
        <f t="shared" si="248"/>
        <v>0</v>
      </c>
      <c r="BE446">
        <f t="shared" si="249"/>
        <v>0</v>
      </c>
      <c r="BF446">
        <f t="shared" si="250"/>
        <v>0</v>
      </c>
      <c r="BG446">
        <f t="shared" si="251"/>
        <v>0</v>
      </c>
      <c r="BH446">
        <f t="shared" si="252"/>
        <v>0</v>
      </c>
      <c r="BI446">
        <f t="shared" si="253"/>
        <v>0</v>
      </c>
    </row>
    <row r="447" spans="1:61" x14ac:dyDescent="0.35">
      <c r="A447" t="s">
        <v>196</v>
      </c>
      <c r="B447" s="1">
        <v>35064</v>
      </c>
      <c r="C447" t="s">
        <v>931</v>
      </c>
      <c r="D447" t="s">
        <v>447</v>
      </c>
      <c r="E447" t="s">
        <v>929</v>
      </c>
      <c r="F447" t="s">
        <v>59</v>
      </c>
      <c r="G447" t="s">
        <v>64</v>
      </c>
      <c r="H447" s="139">
        <f t="shared" si="227"/>
        <v>1</v>
      </c>
      <c r="I447" t="s">
        <v>234</v>
      </c>
      <c r="J447" t="s">
        <v>235</v>
      </c>
      <c r="K447" s="2">
        <f t="shared" si="230"/>
        <v>1</v>
      </c>
      <c r="L447">
        <v>85000000</v>
      </c>
      <c r="M447" s="2">
        <f t="shared" si="231"/>
        <v>7.9294189257142929</v>
      </c>
      <c r="N447">
        <f t="shared" si="257"/>
        <v>85000000</v>
      </c>
      <c r="O447">
        <v>0</v>
      </c>
      <c r="P447" s="1">
        <v>36045</v>
      </c>
      <c r="Q447" s="89">
        <f t="shared" si="232"/>
        <v>1998</v>
      </c>
      <c r="R447" t="s">
        <v>107</v>
      </c>
      <c r="S447">
        <v>96000000</v>
      </c>
      <c r="T447" s="21">
        <f t="shared" si="224"/>
        <v>2.6876712328767125</v>
      </c>
      <c r="U447">
        <v>1262.6099999999999</v>
      </c>
      <c r="V447">
        <f t="shared" si="233"/>
        <v>3.1016130541812235</v>
      </c>
      <c r="W447">
        <v>1995</v>
      </c>
      <c r="X447">
        <v>0</v>
      </c>
      <c r="Y447">
        <f t="shared" si="234"/>
        <v>0</v>
      </c>
      <c r="Z447" s="45">
        <v>2.4700000000000002</v>
      </c>
      <c r="AA447" s="9">
        <f t="shared" si="256"/>
        <v>11000000</v>
      </c>
      <c r="AB447" s="15">
        <f t="shared" si="225"/>
        <v>0.12941176470588234</v>
      </c>
      <c r="AC447" s="34">
        <f t="shared" si="235"/>
        <v>5.2852307325275676E-2</v>
      </c>
      <c r="AD447" s="35">
        <v>3425.6694367497698</v>
      </c>
      <c r="AE447">
        <f t="shared" si="228"/>
        <v>3.5347454529897258</v>
      </c>
      <c r="AF447" s="35">
        <v>9322.8685749461365</v>
      </c>
      <c r="AG447">
        <f t="shared" si="229"/>
        <v>3.9695495619878729</v>
      </c>
      <c r="AH447" s="9">
        <v>956.5</v>
      </c>
      <c r="AI447" s="9">
        <f t="shared" si="236"/>
        <v>2.9811387826406603</v>
      </c>
      <c r="AJ447">
        <v>70</v>
      </c>
      <c r="AK447" s="23" t="s">
        <v>932</v>
      </c>
      <c r="AL447" s="42">
        <v>44.330850769696298</v>
      </c>
      <c r="AM447" s="24">
        <v>0.57999999999999996</v>
      </c>
      <c r="AN447" s="34">
        <f t="shared" si="237"/>
        <v>0.19865708695442263</v>
      </c>
      <c r="AO447">
        <v>1988</v>
      </c>
      <c r="AP447">
        <v>7</v>
      </c>
      <c r="AQ447">
        <v>70</v>
      </c>
      <c r="AR447">
        <v>50</v>
      </c>
      <c r="AS447">
        <f t="shared" si="226"/>
        <v>0</v>
      </c>
      <c r="AT447">
        <f t="shared" si="238"/>
        <v>0</v>
      </c>
      <c r="AU447">
        <f t="shared" si="239"/>
        <v>0</v>
      </c>
      <c r="AV447">
        <f t="shared" si="240"/>
        <v>0</v>
      </c>
      <c r="AW447">
        <f t="shared" si="241"/>
        <v>0</v>
      </c>
      <c r="AX447">
        <f t="shared" si="242"/>
        <v>0</v>
      </c>
      <c r="AY447">
        <f t="shared" si="243"/>
        <v>0</v>
      </c>
      <c r="AZ447">
        <f t="shared" si="244"/>
        <v>0</v>
      </c>
      <c r="BA447">
        <f t="shared" si="245"/>
        <v>0</v>
      </c>
      <c r="BB447">
        <f t="shared" si="246"/>
        <v>0</v>
      </c>
      <c r="BC447">
        <f t="shared" si="247"/>
        <v>0</v>
      </c>
      <c r="BD447">
        <f t="shared" si="248"/>
        <v>1</v>
      </c>
      <c r="BE447">
        <f t="shared" si="249"/>
        <v>0</v>
      </c>
      <c r="BF447">
        <f t="shared" si="250"/>
        <v>0</v>
      </c>
      <c r="BG447">
        <f t="shared" si="251"/>
        <v>0</v>
      </c>
      <c r="BH447">
        <f t="shared" si="252"/>
        <v>0</v>
      </c>
      <c r="BI447">
        <f t="shared" si="253"/>
        <v>0</v>
      </c>
    </row>
    <row r="448" spans="1:61" ht="16.5" customHeight="1" x14ac:dyDescent="0.35">
      <c r="A448" t="s">
        <v>196</v>
      </c>
      <c r="B448" s="1">
        <v>34972</v>
      </c>
      <c r="C448" t="s">
        <v>933</v>
      </c>
      <c r="D448" t="s">
        <v>59</v>
      </c>
      <c r="E448" t="s">
        <v>929</v>
      </c>
      <c r="F448" t="s">
        <v>59</v>
      </c>
      <c r="G448" t="s">
        <v>47</v>
      </c>
      <c r="H448" s="139">
        <f t="shared" si="227"/>
        <v>0</v>
      </c>
      <c r="I448" t="s">
        <v>234</v>
      </c>
      <c r="J448" t="s">
        <v>186</v>
      </c>
      <c r="K448" s="2">
        <f t="shared" si="230"/>
        <v>4</v>
      </c>
      <c r="L448">
        <v>32500000</v>
      </c>
      <c r="M448" s="2">
        <f t="shared" si="231"/>
        <v>7.5118833609788744</v>
      </c>
      <c r="N448">
        <f t="shared" si="257"/>
        <v>32500000</v>
      </c>
      <c r="O448">
        <v>0</v>
      </c>
      <c r="P448" s="1">
        <v>36038</v>
      </c>
      <c r="Q448" s="89">
        <f t="shared" si="232"/>
        <v>1998</v>
      </c>
      <c r="R448" t="s">
        <v>107</v>
      </c>
      <c r="S448">
        <v>165000000</v>
      </c>
      <c r="T448" s="21">
        <f t="shared" si="224"/>
        <v>2.9205479452054797</v>
      </c>
      <c r="U448">
        <v>0</v>
      </c>
      <c r="V448">
        <f t="shared" si="233"/>
        <v>0</v>
      </c>
      <c r="W448">
        <v>1962</v>
      </c>
      <c r="X448">
        <v>33</v>
      </c>
      <c r="Y448">
        <f t="shared" si="234"/>
        <v>1.5314789170422551</v>
      </c>
      <c r="Z448" s="45">
        <v>3.29</v>
      </c>
      <c r="AA448" s="9">
        <f t="shared" si="256"/>
        <v>132500000</v>
      </c>
      <c r="AB448" s="15">
        <f t="shared" si="225"/>
        <v>4.0769230769230766</v>
      </c>
      <c r="AC448" s="34">
        <f t="shared" si="235"/>
        <v>0.70560058323503183</v>
      </c>
      <c r="AD448" s="35">
        <v>3425.6694367497698</v>
      </c>
      <c r="AE448">
        <f t="shared" si="228"/>
        <v>3.5347454529897258</v>
      </c>
      <c r="AF448" s="35">
        <v>9322.8685749461365</v>
      </c>
      <c r="AG448">
        <f t="shared" si="229"/>
        <v>3.9695495619878729</v>
      </c>
      <c r="AH448" s="9">
        <v>0</v>
      </c>
      <c r="AI448" s="9">
        <f t="shared" si="236"/>
        <v>0</v>
      </c>
      <c r="AJ448">
        <v>100</v>
      </c>
      <c r="AK448" s="23" t="s">
        <v>506</v>
      </c>
      <c r="AL448" s="42">
        <v>38.538703610951003</v>
      </c>
      <c r="AM448" s="24">
        <v>0.64</v>
      </c>
      <c r="AN448" s="34">
        <f t="shared" si="237"/>
        <v>0.21484384804769791</v>
      </c>
      <c r="AO448">
        <v>1988</v>
      </c>
      <c r="AP448">
        <v>7</v>
      </c>
      <c r="AQ448">
        <v>70</v>
      </c>
      <c r="AR448">
        <v>70</v>
      </c>
      <c r="AS448">
        <f t="shared" si="226"/>
        <v>0</v>
      </c>
      <c r="AT448">
        <f t="shared" si="238"/>
        <v>0</v>
      </c>
      <c r="AU448">
        <f t="shared" si="239"/>
        <v>1</v>
      </c>
      <c r="AV448">
        <f t="shared" si="240"/>
        <v>0</v>
      </c>
      <c r="AW448">
        <f t="shared" si="241"/>
        <v>0</v>
      </c>
      <c r="AX448">
        <f t="shared" si="242"/>
        <v>0</v>
      </c>
      <c r="AY448">
        <f t="shared" si="243"/>
        <v>0</v>
      </c>
      <c r="AZ448">
        <f t="shared" si="244"/>
        <v>0</v>
      </c>
      <c r="BA448">
        <f t="shared" si="245"/>
        <v>0</v>
      </c>
      <c r="BB448">
        <f t="shared" si="246"/>
        <v>0</v>
      </c>
      <c r="BC448">
        <f t="shared" si="247"/>
        <v>0</v>
      </c>
      <c r="BD448">
        <f t="shared" si="248"/>
        <v>0</v>
      </c>
      <c r="BE448">
        <f t="shared" si="249"/>
        <v>0</v>
      </c>
      <c r="BF448">
        <f t="shared" si="250"/>
        <v>0</v>
      </c>
      <c r="BG448">
        <f t="shared" si="251"/>
        <v>0</v>
      </c>
      <c r="BH448">
        <f t="shared" si="252"/>
        <v>0</v>
      </c>
      <c r="BI448">
        <f t="shared" si="253"/>
        <v>0</v>
      </c>
    </row>
    <row r="449" spans="1:61" ht="13.5" customHeight="1" x14ac:dyDescent="0.35">
      <c r="A449" t="s">
        <v>196</v>
      </c>
      <c r="B449" s="1">
        <v>40490</v>
      </c>
      <c r="C449" t="s">
        <v>934</v>
      </c>
      <c r="D449" t="s">
        <v>45</v>
      </c>
      <c r="E449" t="s">
        <v>935</v>
      </c>
      <c r="F449" t="s">
        <v>59</v>
      </c>
      <c r="G449" t="s">
        <v>64</v>
      </c>
      <c r="H449" s="139">
        <f t="shared" si="227"/>
        <v>1</v>
      </c>
      <c r="I449" t="s">
        <v>234</v>
      </c>
      <c r="J449" t="s">
        <v>178</v>
      </c>
      <c r="K449" s="2">
        <f t="shared" si="230"/>
        <v>9</v>
      </c>
      <c r="L449">
        <v>250000000</v>
      </c>
      <c r="M449" s="2">
        <f t="shared" si="231"/>
        <v>8.3979400086720375</v>
      </c>
      <c r="N449">
        <f t="shared" si="257"/>
        <v>250000000</v>
      </c>
      <c r="O449">
        <v>0</v>
      </c>
      <c r="P449" s="1">
        <v>42625</v>
      </c>
      <c r="Q449" s="89">
        <f t="shared" si="232"/>
        <v>2016</v>
      </c>
      <c r="R449" t="s">
        <v>107</v>
      </c>
      <c r="S449">
        <v>275000000</v>
      </c>
      <c r="T449" s="21">
        <f t="shared" si="224"/>
        <v>5.8493150684931505</v>
      </c>
      <c r="U449">
        <v>5897.96</v>
      </c>
      <c r="V449">
        <f t="shared" si="233"/>
        <v>3.7707754512906644</v>
      </c>
      <c r="W449">
        <v>1999</v>
      </c>
      <c r="X449">
        <v>11</v>
      </c>
      <c r="Y449">
        <f t="shared" si="234"/>
        <v>1.0791812460476249</v>
      </c>
      <c r="Z449" s="45">
        <v>2.3199999999999998</v>
      </c>
      <c r="AA449" s="9">
        <f t="shared" si="256"/>
        <v>25000000</v>
      </c>
      <c r="AB449" s="15">
        <f t="shared" si="225"/>
        <v>0.10000000000000009</v>
      </c>
      <c r="AC449" s="34">
        <f t="shared" si="235"/>
        <v>4.1392685158225077E-2</v>
      </c>
      <c r="AD449">
        <v>1313.9047790640061</v>
      </c>
      <c r="AE449">
        <f t="shared" si="228"/>
        <v>3.1185638922971846</v>
      </c>
      <c r="AF449">
        <v>3042.6557362280973</v>
      </c>
      <c r="AG449">
        <f t="shared" si="229"/>
        <v>3.4832528165335011</v>
      </c>
      <c r="AH449" s="9">
        <v>132</v>
      </c>
      <c r="AI449" s="9">
        <f t="shared" si="236"/>
        <v>2.1238516409670858</v>
      </c>
      <c r="AJ449">
        <v>91.3</v>
      </c>
      <c r="AK449" s="23" t="s">
        <v>136</v>
      </c>
      <c r="AL449" s="42">
        <v>43.1672842383418</v>
      </c>
      <c r="AM449" s="24">
        <v>0.77</v>
      </c>
      <c r="AN449" s="34">
        <f t="shared" si="237"/>
        <v>0.24797326636180664</v>
      </c>
      <c r="AO449">
        <v>2004</v>
      </c>
      <c r="AP449">
        <v>6</v>
      </c>
      <c r="AQ449">
        <v>70</v>
      </c>
      <c r="AR449">
        <v>70</v>
      </c>
      <c r="AS449">
        <f t="shared" si="226"/>
        <v>0</v>
      </c>
      <c r="AT449">
        <f t="shared" si="238"/>
        <v>1</v>
      </c>
      <c r="AU449">
        <f t="shared" si="239"/>
        <v>0</v>
      </c>
      <c r="AV449">
        <f t="shared" si="240"/>
        <v>0</v>
      </c>
      <c r="AW449">
        <f t="shared" si="241"/>
        <v>0</v>
      </c>
      <c r="AX449">
        <f t="shared" si="242"/>
        <v>0</v>
      </c>
      <c r="AY449">
        <f t="shared" si="243"/>
        <v>0</v>
      </c>
      <c r="AZ449">
        <f t="shared" si="244"/>
        <v>0</v>
      </c>
      <c r="BA449">
        <f t="shared" si="245"/>
        <v>0</v>
      </c>
      <c r="BB449">
        <f t="shared" si="246"/>
        <v>0</v>
      </c>
      <c r="BC449">
        <f t="shared" si="247"/>
        <v>0</v>
      </c>
      <c r="BD449">
        <f t="shared" si="248"/>
        <v>0</v>
      </c>
      <c r="BE449">
        <f t="shared" si="249"/>
        <v>0</v>
      </c>
      <c r="BF449">
        <f t="shared" si="250"/>
        <v>0</v>
      </c>
      <c r="BG449">
        <f t="shared" si="251"/>
        <v>0</v>
      </c>
      <c r="BH449">
        <f t="shared" si="252"/>
        <v>0</v>
      </c>
      <c r="BI449">
        <f t="shared" si="253"/>
        <v>0</v>
      </c>
    </row>
    <row r="450" spans="1:61" ht="15.75" customHeight="1" x14ac:dyDescent="0.35">
      <c r="A450" t="s">
        <v>196</v>
      </c>
      <c r="B450" s="1">
        <v>41271</v>
      </c>
      <c r="C450" t="s">
        <v>936</v>
      </c>
      <c r="D450" t="s">
        <v>2</v>
      </c>
      <c r="E450" t="s">
        <v>937</v>
      </c>
      <c r="F450" t="s">
        <v>45</v>
      </c>
      <c r="G450" t="s">
        <v>64</v>
      </c>
      <c r="H450" s="139">
        <f t="shared" si="227"/>
        <v>1</v>
      </c>
      <c r="I450" t="s">
        <v>234</v>
      </c>
      <c r="J450" t="s">
        <v>235</v>
      </c>
      <c r="K450" s="2">
        <f t="shared" si="230"/>
        <v>1</v>
      </c>
      <c r="L450">
        <v>779700000</v>
      </c>
      <c r="M450" s="2">
        <f t="shared" si="231"/>
        <v>8.8919275342206756</v>
      </c>
      <c r="N450">
        <f t="shared" si="257"/>
        <v>779700000</v>
      </c>
      <c r="O450">
        <v>0</v>
      </c>
      <c r="P450" s="1">
        <v>42675</v>
      </c>
      <c r="Q450" s="89">
        <f t="shared" si="232"/>
        <v>2016</v>
      </c>
      <c r="R450" t="s">
        <v>107</v>
      </c>
      <c r="S450">
        <v>3250000000</v>
      </c>
      <c r="T450" s="21">
        <f t="shared" ref="T450:T513" si="258">YEARFRAC(B450,P450,3)</f>
        <v>3.8465753424657536</v>
      </c>
      <c r="U450">
        <v>6815.73</v>
      </c>
      <c r="V450">
        <f t="shared" si="233"/>
        <v>3.8335760926148099</v>
      </c>
      <c r="W450">
        <v>1819</v>
      </c>
      <c r="X450">
        <v>193</v>
      </c>
      <c r="Y450">
        <f t="shared" si="234"/>
        <v>2.287801729930226</v>
      </c>
      <c r="Z450" s="45">
        <v>2.85</v>
      </c>
      <c r="AA450" s="9">
        <f t="shared" si="256"/>
        <v>2470300000</v>
      </c>
      <c r="AB450" s="15">
        <f t="shared" ref="AB450:AB513" si="259">(S450/L450)-1</f>
        <v>3.1682698473771964</v>
      </c>
      <c r="AC450" s="34">
        <f t="shared" si="235"/>
        <v>0.61995582675819938</v>
      </c>
      <c r="AD450">
        <v>2197.2299168975069</v>
      </c>
      <c r="AE450">
        <f t="shared" si="228"/>
        <v>3.3418755036276071</v>
      </c>
      <c r="AF450">
        <v>7713.0193905817187</v>
      </c>
      <c r="AG450">
        <f t="shared" si="229"/>
        <v>3.8872244231830928</v>
      </c>
      <c r="AH450" s="9">
        <v>819</v>
      </c>
      <c r="AI450" s="9">
        <f t="shared" si="236"/>
        <v>2.9138138523837167</v>
      </c>
      <c r="AJ450">
        <v>90.5</v>
      </c>
      <c r="AK450" s="23" t="s">
        <v>276</v>
      </c>
      <c r="AL450" s="42">
        <v>44.295389122127702</v>
      </c>
      <c r="AM450" s="24">
        <v>0.51</v>
      </c>
      <c r="AN450" s="34">
        <f t="shared" si="237"/>
        <v>0.17897694729316943</v>
      </c>
      <c r="AO450">
        <v>1968</v>
      </c>
      <c r="AP450">
        <v>44</v>
      </c>
      <c r="AQ450">
        <v>70</v>
      </c>
      <c r="AR450">
        <v>70</v>
      </c>
      <c r="AS450">
        <f t="shared" ref="AS450:AS513" si="260">IF(AC450=-1,1,0)</f>
        <v>0</v>
      </c>
      <c r="AT450">
        <f t="shared" si="238"/>
        <v>0</v>
      </c>
      <c r="AU450">
        <f t="shared" si="239"/>
        <v>0</v>
      </c>
      <c r="AV450">
        <f t="shared" si="240"/>
        <v>0</v>
      </c>
      <c r="AW450">
        <f t="shared" si="241"/>
        <v>0</v>
      </c>
      <c r="AX450">
        <f t="shared" si="242"/>
        <v>0</v>
      </c>
      <c r="AY450">
        <f t="shared" si="243"/>
        <v>0</v>
      </c>
      <c r="AZ450">
        <f t="shared" si="244"/>
        <v>0</v>
      </c>
      <c r="BA450">
        <f t="shared" si="245"/>
        <v>0</v>
      </c>
      <c r="BB450">
        <f t="shared" si="246"/>
        <v>1</v>
      </c>
      <c r="BC450">
        <f t="shared" si="247"/>
        <v>0</v>
      </c>
      <c r="BD450">
        <f t="shared" si="248"/>
        <v>0</v>
      </c>
      <c r="BE450">
        <f t="shared" si="249"/>
        <v>0</v>
      </c>
      <c r="BF450">
        <f t="shared" si="250"/>
        <v>0</v>
      </c>
      <c r="BG450">
        <f t="shared" si="251"/>
        <v>0</v>
      </c>
      <c r="BH450">
        <f t="shared" si="252"/>
        <v>0</v>
      </c>
      <c r="BI450">
        <f t="shared" si="253"/>
        <v>0</v>
      </c>
    </row>
    <row r="451" spans="1:61" x14ac:dyDescent="0.35">
      <c r="A451" t="s">
        <v>196</v>
      </c>
      <c r="B451" s="1">
        <v>39492</v>
      </c>
      <c r="C451" t="s">
        <v>938</v>
      </c>
      <c r="D451" t="s">
        <v>45</v>
      </c>
      <c r="E451" t="s">
        <v>939</v>
      </c>
      <c r="F451" t="s">
        <v>45</v>
      </c>
      <c r="G451" t="s">
        <v>47</v>
      </c>
      <c r="H451" s="139">
        <f t="shared" ref="H451:H514" si="261">IF(G451="domestic",0,1)</f>
        <v>0</v>
      </c>
      <c r="I451" t="s">
        <v>234</v>
      </c>
      <c r="J451" t="s">
        <v>190</v>
      </c>
      <c r="K451" s="2">
        <f t="shared" si="230"/>
        <v>2</v>
      </c>
      <c r="L451">
        <v>425000000</v>
      </c>
      <c r="M451" s="2">
        <f t="shared" si="231"/>
        <v>8.6283889300503116</v>
      </c>
      <c r="N451">
        <f t="shared" si="257"/>
        <v>425000000</v>
      </c>
      <c r="O451">
        <v>0</v>
      </c>
      <c r="P451" s="1">
        <v>41051</v>
      </c>
      <c r="Q451" s="89">
        <f t="shared" si="232"/>
        <v>2012</v>
      </c>
      <c r="R451" t="s">
        <v>107</v>
      </c>
      <c r="S451">
        <v>372000000</v>
      </c>
      <c r="T451" s="21">
        <f t="shared" si="258"/>
        <v>4.2712328767123289</v>
      </c>
      <c r="U451">
        <v>0</v>
      </c>
      <c r="V451">
        <f t="shared" si="233"/>
        <v>0</v>
      </c>
      <c r="W451">
        <v>2008</v>
      </c>
      <c r="X451">
        <v>0</v>
      </c>
      <c r="Y451">
        <f t="shared" si="234"/>
        <v>0</v>
      </c>
      <c r="Z451" s="45">
        <v>2.95</v>
      </c>
      <c r="AA451" s="9">
        <f t="shared" si="256"/>
        <v>-53000000</v>
      </c>
      <c r="AB451" s="15">
        <f t="shared" si="259"/>
        <v>-0.12470588235294122</v>
      </c>
      <c r="AC451" s="34">
        <f t="shared" si="235"/>
        <v>-5.7845990168414053E-2</v>
      </c>
      <c r="AD451">
        <v>2229.0809327846364</v>
      </c>
      <c r="AE451">
        <f t="shared" ref="AE451:AE514" si="262">LOG(AD451)</f>
        <v>3.3481258369969185</v>
      </c>
      <c r="AF451">
        <v>7475.9945130315509</v>
      </c>
      <c r="AG451">
        <f t="shared" ref="AG451:AG514" si="263">LOG(AF451)</f>
        <v>3.8736689739586678</v>
      </c>
      <c r="AH451" s="9">
        <v>0</v>
      </c>
      <c r="AI451" s="9">
        <f t="shared" si="236"/>
        <v>0</v>
      </c>
      <c r="AJ451">
        <v>92.6</v>
      </c>
      <c r="AK451" s="23" t="s">
        <v>222</v>
      </c>
      <c r="AL451" s="42">
        <v>39.823361151429197</v>
      </c>
      <c r="AM451" s="24">
        <v>-0.02</v>
      </c>
      <c r="AN451" s="34">
        <f t="shared" si="237"/>
        <v>-8.7739243075051505E-3</v>
      </c>
      <c r="AO451">
        <v>2005</v>
      </c>
      <c r="AP451">
        <v>3</v>
      </c>
      <c r="AQ451">
        <v>70</v>
      </c>
      <c r="AR451">
        <v>70</v>
      </c>
      <c r="AS451">
        <f t="shared" si="260"/>
        <v>0</v>
      </c>
      <c r="AT451">
        <f t="shared" si="238"/>
        <v>1</v>
      </c>
      <c r="AU451">
        <f t="shared" si="239"/>
        <v>0</v>
      </c>
      <c r="AV451">
        <f t="shared" si="240"/>
        <v>0</v>
      </c>
      <c r="AW451">
        <f t="shared" si="241"/>
        <v>0</v>
      </c>
      <c r="AX451">
        <f t="shared" si="242"/>
        <v>0</v>
      </c>
      <c r="AY451">
        <f t="shared" si="243"/>
        <v>0</v>
      </c>
      <c r="AZ451">
        <f t="shared" si="244"/>
        <v>0</v>
      </c>
      <c r="BA451">
        <f t="shared" si="245"/>
        <v>0</v>
      </c>
      <c r="BB451">
        <f t="shared" si="246"/>
        <v>0</v>
      </c>
      <c r="BC451">
        <f t="shared" si="247"/>
        <v>0</v>
      </c>
      <c r="BD451">
        <f t="shared" si="248"/>
        <v>0</v>
      </c>
      <c r="BE451">
        <f t="shared" si="249"/>
        <v>0</v>
      </c>
      <c r="BF451">
        <f t="shared" si="250"/>
        <v>0</v>
      </c>
      <c r="BG451">
        <f t="shared" si="251"/>
        <v>0</v>
      </c>
      <c r="BH451">
        <f t="shared" si="252"/>
        <v>0</v>
      </c>
      <c r="BI451">
        <f t="shared" si="253"/>
        <v>0</v>
      </c>
    </row>
    <row r="452" spans="1:61" x14ac:dyDescent="0.35">
      <c r="A452" t="s">
        <v>196</v>
      </c>
      <c r="B452" s="1">
        <v>39184</v>
      </c>
      <c r="C452" t="s">
        <v>940</v>
      </c>
      <c r="D452" t="s">
        <v>45</v>
      </c>
      <c r="E452" t="s">
        <v>939</v>
      </c>
      <c r="F452" t="s">
        <v>45</v>
      </c>
      <c r="G452" t="s">
        <v>47</v>
      </c>
      <c r="H452" s="139">
        <f t="shared" si="261"/>
        <v>0</v>
      </c>
      <c r="I452" t="s">
        <v>234</v>
      </c>
      <c r="J452" t="s">
        <v>190</v>
      </c>
      <c r="K452" s="2">
        <f t="shared" si="230"/>
        <v>2</v>
      </c>
      <c r="L452">
        <v>210000000</v>
      </c>
      <c r="M452" s="2">
        <f t="shared" si="231"/>
        <v>8.3222192947339195</v>
      </c>
      <c r="N452">
        <f t="shared" si="257"/>
        <v>210000000</v>
      </c>
      <c r="O452">
        <v>0</v>
      </c>
      <c r="P452" s="1">
        <v>40939</v>
      </c>
      <c r="Q452" s="89">
        <f t="shared" si="232"/>
        <v>2012</v>
      </c>
      <c r="R452" t="s">
        <v>107</v>
      </c>
      <c r="S452">
        <v>350000000</v>
      </c>
      <c r="T452" s="21">
        <f t="shared" si="258"/>
        <v>4.8082191780821919</v>
      </c>
      <c r="U452">
        <v>0</v>
      </c>
      <c r="V452">
        <f t="shared" si="233"/>
        <v>0</v>
      </c>
      <c r="W452">
        <v>1947</v>
      </c>
      <c r="X452">
        <v>60</v>
      </c>
      <c r="Y452">
        <f t="shared" si="234"/>
        <v>1.7853298350107671</v>
      </c>
      <c r="Z452" s="45">
        <v>2.95</v>
      </c>
      <c r="AA452" s="9">
        <f t="shared" si="256"/>
        <v>140000000</v>
      </c>
      <c r="AB452" s="15">
        <f t="shared" si="259"/>
        <v>0.66666666666666674</v>
      </c>
      <c r="AC452" s="34">
        <f t="shared" si="235"/>
        <v>0.22184874961635639</v>
      </c>
      <c r="AD452">
        <v>2229.0809327846364</v>
      </c>
      <c r="AE452">
        <f t="shared" si="262"/>
        <v>3.3481258369969185</v>
      </c>
      <c r="AF452">
        <v>7475.9945130315509</v>
      </c>
      <c r="AG452">
        <f t="shared" si="263"/>
        <v>3.8736689739586678</v>
      </c>
      <c r="AH452" s="9">
        <v>0</v>
      </c>
      <c r="AI452" s="9">
        <f t="shared" si="236"/>
        <v>0</v>
      </c>
      <c r="AJ452">
        <v>91.4</v>
      </c>
      <c r="AK452" s="23" t="s">
        <v>103</v>
      </c>
      <c r="AL452" s="42">
        <v>37.425715444240403</v>
      </c>
      <c r="AM452" s="24">
        <v>-0.09</v>
      </c>
      <c r="AN452" s="34">
        <f t="shared" si="237"/>
        <v>-4.0958607678906384E-2</v>
      </c>
      <c r="AO452">
        <v>2005</v>
      </c>
      <c r="AP452">
        <v>2</v>
      </c>
      <c r="AQ452">
        <v>70</v>
      </c>
      <c r="AR452">
        <v>70</v>
      </c>
      <c r="AS452">
        <f t="shared" si="260"/>
        <v>0</v>
      </c>
      <c r="AT452">
        <f t="shared" si="238"/>
        <v>1</v>
      </c>
      <c r="AU452">
        <f t="shared" si="239"/>
        <v>0</v>
      </c>
      <c r="AV452">
        <f t="shared" si="240"/>
        <v>0</v>
      </c>
      <c r="AW452">
        <f t="shared" si="241"/>
        <v>0</v>
      </c>
      <c r="AX452">
        <f t="shared" si="242"/>
        <v>0</v>
      </c>
      <c r="AY452">
        <f t="shared" si="243"/>
        <v>0</v>
      </c>
      <c r="AZ452">
        <f t="shared" si="244"/>
        <v>0</v>
      </c>
      <c r="BA452">
        <f t="shared" si="245"/>
        <v>0</v>
      </c>
      <c r="BB452">
        <f t="shared" si="246"/>
        <v>0</v>
      </c>
      <c r="BC452">
        <f t="shared" si="247"/>
        <v>0</v>
      </c>
      <c r="BD452">
        <f t="shared" si="248"/>
        <v>0</v>
      </c>
      <c r="BE452">
        <f t="shared" si="249"/>
        <v>0</v>
      </c>
      <c r="BF452">
        <f t="shared" si="250"/>
        <v>0</v>
      </c>
      <c r="BG452">
        <f t="shared" si="251"/>
        <v>0</v>
      </c>
      <c r="BH452">
        <f t="shared" si="252"/>
        <v>0</v>
      </c>
      <c r="BI452">
        <f t="shared" si="253"/>
        <v>0</v>
      </c>
    </row>
    <row r="453" spans="1:61" x14ac:dyDescent="0.35">
      <c r="A453" t="s">
        <v>352</v>
      </c>
      <c r="B453" s="1">
        <v>38993</v>
      </c>
      <c r="C453" s="8" t="s">
        <v>941</v>
      </c>
      <c r="D453" t="s">
        <v>45</v>
      </c>
      <c r="E453" t="s">
        <v>939</v>
      </c>
      <c r="F453" t="s">
        <v>45</v>
      </c>
      <c r="G453" t="s">
        <v>47</v>
      </c>
      <c r="H453" s="139">
        <f t="shared" si="261"/>
        <v>0</v>
      </c>
      <c r="I453" t="s">
        <v>234</v>
      </c>
      <c r="J453" t="s">
        <v>235</v>
      </c>
      <c r="K453" s="2">
        <f t="shared" si="230"/>
        <v>1</v>
      </c>
      <c r="L453">
        <v>50000000</v>
      </c>
      <c r="M453" s="2">
        <f t="shared" si="231"/>
        <v>7.6989700043360187</v>
      </c>
      <c r="N453">
        <f t="shared" si="257"/>
        <v>50000000</v>
      </c>
      <c r="O453">
        <v>0</v>
      </c>
      <c r="P453" s="1">
        <v>39947</v>
      </c>
      <c r="Q453" s="89">
        <f t="shared" si="232"/>
        <v>2009</v>
      </c>
      <c r="R453" t="s">
        <v>107</v>
      </c>
      <c r="S453">
        <v>185000000</v>
      </c>
      <c r="T453" s="21">
        <f t="shared" si="258"/>
        <v>2.6136986301369864</v>
      </c>
      <c r="U453">
        <v>0</v>
      </c>
      <c r="V453">
        <f t="shared" si="233"/>
        <v>0</v>
      </c>
      <c r="W453">
        <v>2003</v>
      </c>
      <c r="X453">
        <v>3</v>
      </c>
      <c r="Y453">
        <f t="shared" si="234"/>
        <v>0.6020599913279624</v>
      </c>
      <c r="Z453" s="45">
        <v>2.95</v>
      </c>
      <c r="AA453" s="9">
        <f t="shared" si="256"/>
        <v>135000000</v>
      </c>
      <c r="AB453" s="15">
        <f t="shared" si="259"/>
        <v>2.7</v>
      </c>
      <c r="AC453" s="34">
        <f t="shared" si="235"/>
        <v>0.56820172406699498</v>
      </c>
      <c r="AD453">
        <v>2229.0809327846364</v>
      </c>
      <c r="AE453">
        <f t="shared" si="262"/>
        <v>3.3481258369969185</v>
      </c>
      <c r="AF453">
        <v>7475.9945130315509</v>
      </c>
      <c r="AG453">
        <f t="shared" si="263"/>
        <v>3.8736689739586678</v>
      </c>
      <c r="AH453" s="9">
        <v>0</v>
      </c>
      <c r="AI453" s="9">
        <f t="shared" si="236"/>
        <v>0</v>
      </c>
      <c r="AJ453">
        <v>93.2</v>
      </c>
      <c r="AK453" s="23" t="s">
        <v>103</v>
      </c>
      <c r="AL453" s="42">
        <v>36.669158714517401</v>
      </c>
      <c r="AM453" s="24">
        <v>-0.33</v>
      </c>
      <c r="AN453" s="34">
        <f t="shared" si="237"/>
        <v>-0.17392519729917361</v>
      </c>
      <c r="AO453">
        <v>2005</v>
      </c>
      <c r="AP453">
        <v>1</v>
      </c>
      <c r="AQ453">
        <v>70</v>
      </c>
      <c r="AR453">
        <v>70</v>
      </c>
      <c r="AS453">
        <f t="shared" si="260"/>
        <v>0</v>
      </c>
      <c r="AT453">
        <f t="shared" si="238"/>
        <v>1</v>
      </c>
      <c r="AU453">
        <f t="shared" si="239"/>
        <v>0</v>
      </c>
      <c r="AV453">
        <f t="shared" si="240"/>
        <v>0</v>
      </c>
      <c r="AW453">
        <f t="shared" si="241"/>
        <v>0</v>
      </c>
      <c r="AX453">
        <f t="shared" si="242"/>
        <v>0</v>
      </c>
      <c r="AY453">
        <f t="shared" si="243"/>
        <v>0</v>
      </c>
      <c r="AZ453">
        <f t="shared" si="244"/>
        <v>0</v>
      </c>
      <c r="BA453">
        <f t="shared" si="245"/>
        <v>0</v>
      </c>
      <c r="BB453">
        <f t="shared" si="246"/>
        <v>0</v>
      </c>
      <c r="BC453">
        <f t="shared" si="247"/>
        <v>0</v>
      </c>
      <c r="BD453">
        <f t="shared" si="248"/>
        <v>0</v>
      </c>
      <c r="BE453">
        <f t="shared" si="249"/>
        <v>0</v>
      </c>
      <c r="BF453">
        <f t="shared" si="250"/>
        <v>0</v>
      </c>
      <c r="BG453">
        <f t="shared" si="251"/>
        <v>0</v>
      </c>
      <c r="BH453">
        <f t="shared" si="252"/>
        <v>0</v>
      </c>
      <c r="BI453">
        <f t="shared" si="253"/>
        <v>0</v>
      </c>
    </row>
    <row r="454" spans="1:61" x14ac:dyDescent="0.35">
      <c r="A454" t="s">
        <v>352</v>
      </c>
      <c r="B454" s="1">
        <v>41821</v>
      </c>
      <c r="C454" s="8" t="s">
        <v>942</v>
      </c>
      <c r="D454" t="s">
        <v>45</v>
      </c>
      <c r="E454" t="s">
        <v>943</v>
      </c>
      <c r="F454" t="s">
        <v>5</v>
      </c>
      <c r="G454" t="s">
        <v>64</v>
      </c>
      <c r="H454" s="139">
        <f t="shared" si="261"/>
        <v>1</v>
      </c>
      <c r="I454" t="s">
        <v>234</v>
      </c>
      <c r="J454" t="s">
        <v>190</v>
      </c>
      <c r="K454" s="2">
        <f t="shared" ref="K454:K517" si="264">IF(J454="Consumer Discretionary",5,IF(J454="Industrials",1,IF(J454="Energy",3,IF(J454="Health Care",2,IF(J454="Communications",4,IF(J454="Financials",6,IF(J454="Consumer Staples",7,IF(J454="Materials",8,IF(J454="Technology",9,IF(J454="Utilities",10,""))))))))))</f>
        <v>2</v>
      </c>
      <c r="L454">
        <v>37200000</v>
      </c>
      <c r="M454" s="2">
        <f t="shared" ref="M454:M517" si="265">LOG(L454)</f>
        <v>7.5705429398818973</v>
      </c>
      <c r="N454">
        <f t="shared" si="257"/>
        <v>37200000</v>
      </c>
      <c r="O454">
        <v>0</v>
      </c>
      <c r="P454" s="1">
        <v>43031</v>
      </c>
      <c r="Q454" s="89">
        <f t="shared" ref="Q454:Q517" si="266">YEAR(P454)</f>
        <v>2017</v>
      </c>
      <c r="R454" t="s">
        <v>107</v>
      </c>
      <c r="S454">
        <v>125000000</v>
      </c>
      <c r="T454" s="21">
        <f t="shared" si="258"/>
        <v>3.3150684931506849</v>
      </c>
      <c r="U454">
        <v>6188.89</v>
      </c>
      <c r="V454">
        <f t="shared" ref="V454:V517" si="267">LOG(1+U454)</f>
        <v>3.7916829312790057</v>
      </c>
      <c r="W454">
        <v>2006</v>
      </c>
      <c r="X454">
        <v>8</v>
      </c>
      <c r="Y454">
        <f t="shared" ref="Y454:Y517" si="268">LOG(1+X454)</f>
        <v>0.95424250943932487</v>
      </c>
      <c r="Z454" s="45">
        <v>2.72</v>
      </c>
      <c r="AA454" s="9">
        <f t="shared" si="256"/>
        <v>87800000</v>
      </c>
      <c r="AB454" s="15">
        <f t="shared" si="259"/>
        <v>2.360215053763441</v>
      </c>
      <c r="AC454" s="34">
        <f t="shared" ref="AC454:AC517" si="269">IF(AB454=-1,LOG(0.1),LOG(1+AB454))</f>
        <v>0.52636707312615894</v>
      </c>
      <c r="AD454">
        <v>7345.0955681579517</v>
      </c>
      <c r="AE454">
        <f t="shared" si="262"/>
        <v>3.8659974508347341</v>
      </c>
      <c r="AF454">
        <v>6765.3854232304138</v>
      </c>
      <c r="AG454">
        <f t="shared" si="263"/>
        <v>3.8302925433451809</v>
      </c>
      <c r="AH454" s="9">
        <v>1084.33</v>
      </c>
      <c r="AI454" s="9">
        <f t="shared" ref="AI454:AI517" si="270">IF(AH454=0,0,LOG(1+AH454))</f>
        <v>3.0355618076671913</v>
      </c>
      <c r="AJ454">
        <v>89.2</v>
      </c>
      <c r="AK454" s="23" t="s">
        <v>313</v>
      </c>
      <c r="AL454" s="42">
        <v>38.344872802923099</v>
      </c>
      <c r="AM454" s="24">
        <v>0.3</v>
      </c>
      <c r="AN454" s="34">
        <f t="shared" ref="AN454:AN517" si="271">LOG(1+AM454)</f>
        <v>0.11394335230683679</v>
      </c>
      <c r="AO454">
        <v>2005</v>
      </c>
      <c r="AP454">
        <v>9</v>
      </c>
      <c r="AQ454">
        <v>70</v>
      </c>
      <c r="AR454">
        <v>70</v>
      </c>
      <c r="AS454">
        <f t="shared" si="260"/>
        <v>0</v>
      </c>
      <c r="AT454">
        <f t="shared" ref="AT454:AT517" si="272">IF($D454="US",1,0)</f>
        <v>1</v>
      </c>
      <c r="AU454">
        <f t="shared" ref="AU454:AU517" si="273">IF($D454="UK",1,0)</f>
        <v>0</v>
      </c>
      <c r="AV454">
        <f t="shared" ref="AV454:AV517" si="274">IF($D454="Norway",1,0)</f>
        <v>0</v>
      </c>
      <c r="AW454">
        <f t="shared" ref="AW454:AW517" si="275">IF($D454="Denmark",1,0)</f>
        <v>0</v>
      </c>
      <c r="AX454">
        <f t="shared" ref="AX454:AX517" si="276">IF($D454="Sweden",1,0)</f>
        <v>0</v>
      </c>
      <c r="AY454">
        <f t="shared" ref="AY454:AY517" si="277">IF($D454="Netherlands",1,0)</f>
        <v>0</v>
      </c>
      <c r="AZ454">
        <f t="shared" ref="AZ454:AZ517" si="278">IF($D454="France",1,0)</f>
        <v>0</v>
      </c>
      <c r="BA454">
        <f t="shared" ref="BA454:BA517" si="279">IF($D454="Belgium",1,0)</f>
        <v>0</v>
      </c>
      <c r="BB454">
        <f t="shared" ref="BB454:BB517" si="280">IF($D454="Germany",1,0)</f>
        <v>0</v>
      </c>
      <c r="BC454">
        <f t="shared" ref="BC454:BC517" si="281">IF($D454="Italy",1,0)</f>
        <v>0</v>
      </c>
      <c r="BD454">
        <f t="shared" ref="BD454:BD517" si="282">IF($D454="Spain",1,0)</f>
        <v>0</v>
      </c>
      <c r="BE454">
        <f t="shared" ref="BE454:BE517" si="283">IF($D454="Luxembourg",1,0)</f>
        <v>0</v>
      </c>
      <c r="BF454">
        <f t="shared" ref="BF454:BF517" si="284">IF($D454="Portugal",1,0)</f>
        <v>0</v>
      </c>
      <c r="BG454">
        <f t="shared" ref="BG454:BG517" si="285">IF($D454="Switzerland",1,0)</f>
        <v>0</v>
      </c>
      <c r="BH454">
        <f t="shared" ref="BH454:BH517" si="286">IF($D454="Ireland",1,0)</f>
        <v>0</v>
      </c>
      <c r="BI454">
        <f t="shared" ref="BI454:BI517" si="287">IF($D454="Finland",1,0)</f>
        <v>0</v>
      </c>
    </row>
    <row r="455" spans="1:61" x14ac:dyDescent="0.35">
      <c r="A455" t="s">
        <v>352</v>
      </c>
      <c r="B455" s="1">
        <v>40695</v>
      </c>
      <c r="C455" s="8" t="s">
        <v>944</v>
      </c>
      <c r="D455" t="s">
        <v>2</v>
      </c>
      <c r="E455" t="s">
        <v>943</v>
      </c>
      <c r="F455" t="s">
        <v>5</v>
      </c>
      <c r="G455" t="s">
        <v>64</v>
      </c>
      <c r="H455" s="139">
        <f t="shared" si="261"/>
        <v>1</v>
      </c>
      <c r="I455" t="s">
        <v>234</v>
      </c>
      <c r="J455" t="s">
        <v>190</v>
      </c>
      <c r="K455" s="2">
        <f t="shared" si="264"/>
        <v>2</v>
      </c>
      <c r="L455">
        <v>13000000</v>
      </c>
      <c r="M455" s="2">
        <f t="shared" si="265"/>
        <v>7.1139433523068369</v>
      </c>
      <c r="N455">
        <f t="shared" si="257"/>
        <v>13000000</v>
      </c>
      <c r="O455">
        <v>0</v>
      </c>
      <c r="P455" s="1">
        <v>41877</v>
      </c>
      <c r="Q455" s="89">
        <f t="shared" si="266"/>
        <v>2014</v>
      </c>
      <c r="R455" t="s">
        <v>107</v>
      </c>
      <c r="S455">
        <v>200000000</v>
      </c>
      <c r="T455" s="21">
        <f t="shared" si="258"/>
        <v>3.2383561643835614</v>
      </c>
      <c r="U455">
        <v>668.68</v>
      </c>
      <c r="V455">
        <f t="shared" si="267"/>
        <v>2.8258673289207414</v>
      </c>
      <c r="W455">
        <v>2011</v>
      </c>
      <c r="X455">
        <v>0</v>
      </c>
      <c r="Y455">
        <f t="shared" si="268"/>
        <v>0</v>
      </c>
      <c r="Z455" s="45">
        <v>2.84</v>
      </c>
      <c r="AA455" s="9">
        <f t="shared" si="256"/>
        <v>187000000</v>
      </c>
      <c r="AB455" s="15">
        <f t="shared" si="259"/>
        <v>14.384615384615385</v>
      </c>
      <c r="AC455" s="34">
        <f t="shared" si="269"/>
        <v>1.1870866433571445</v>
      </c>
      <c r="AD455">
        <v>7345.0955681579517</v>
      </c>
      <c r="AE455">
        <f t="shared" si="262"/>
        <v>3.8659974508347341</v>
      </c>
      <c r="AF455">
        <v>6765.3854232304138</v>
      </c>
      <c r="AG455">
        <f t="shared" si="263"/>
        <v>3.8302925433451809</v>
      </c>
      <c r="AH455" s="9">
        <v>108.67</v>
      </c>
      <c r="AI455" s="9">
        <f t="shared" si="270"/>
        <v>2.0400878434698808</v>
      </c>
      <c r="AJ455">
        <v>89.6</v>
      </c>
      <c r="AK455" s="23" t="s">
        <v>365</v>
      </c>
      <c r="AL455" s="42">
        <v>44.7100017757258</v>
      </c>
      <c r="AM455" s="24">
        <v>0.52</v>
      </c>
      <c r="AN455" s="34">
        <f t="shared" si="271"/>
        <v>0.18184358794477254</v>
      </c>
      <c r="AO455">
        <v>2005</v>
      </c>
      <c r="AP455">
        <v>6</v>
      </c>
      <c r="AQ455">
        <v>70</v>
      </c>
      <c r="AR455">
        <v>70</v>
      </c>
      <c r="AS455">
        <f t="shared" si="260"/>
        <v>0</v>
      </c>
      <c r="AT455">
        <f t="shared" si="272"/>
        <v>0</v>
      </c>
      <c r="AU455">
        <f t="shared" si="273"/>
        <v>0</v>
      </c>
      <c r="AV455">
        <f t="shared" si="274"/>
        <v>0</v>
      </c>
      <c r="AW455">
        <f t="shared" si="275"/>
        <v>0</v>
      </c>
      <c r="AX455">
        <f t="shared" si="276"/>
        <v>0</v>
      </c>
      <c r="AY455">
        <f t="shared" si="277"/>
        <v>0</v>
      </c>
      <c r="AZ455">
        <f t="shared" si="278"/>
        <v>0</v>
      </c>
      <c r="BA455">
        <f t="shared" si="279"/>
        <v>0</v>
      </c>
      <c r="BB455">
        <f t="shared" si="280"/>
        <v>1</v>
      </c>
      <c r="BC455">
        <f t="shared" si="281"/>
        <v>0</v>
      </c>
      <c r="BD455">
        <f t="shared" si="282"/>
        <v>0</v>
      </c>
      <c r="BE455">
        <f t="shared" si="283"/>
        <v>0</v>
      </c>
      <c r="BF455">
        <f t="shared" si="284"/>
        <v>0</v>
      </c>
      <c r="BG455">
        <f t="shared" si="285"/>
        <v>0</v>
      </c>
      <c r="BH455">
        <f t="shared" si="286"/>
        <v>0</v>
      </c>
      <c r="BI455">
        <f t="shared" si="287"/>
        <v>0</v>
      </c>
    </row>
    <row r="456" spans="1:61" x14ac:dyDescent="0.35">
      <c r="A456" t="s">
        <v>352</v>
      </c>
      <c r="B456" s="1">
        <v>38838</v>
      </c>
      <c r="C456" s="8" t="s">
        <v>945</v>
      </c>
      <c r="D456" t="s">
        <v>2</v>
      </c>
      <c r="E456" t="s">
        <v>946</v>
      </c>
      <c r="F456" t="s">
        <v>5</v>
      </c>
      <c r="G456" t="s">
        <v>64</v>
      </c>
      <c r="H456" s="139">
        <f t="shared" si="261"/>
        <v>1</v>
      </c>
      <c r="I456" t="s">
        <v>234</v>
      </c>
      <c r="J456" t="s">
        <v>190</v>
      </c>
      <c r="K456" s="2">
        <f t="shared" si="264"/>
        <v>2</v>
      </c>
      <c r="L456">
        <v>27000000</v>
      </c>
      <c r="M456" s="2">
        <f t="shared" si="265"/>
        <v>7.4313637641589869</v>
      </c>
      <c r="N456">
        <f t="shared" si="257"/>
        <v>27000000</v>
      </c>
      <c r="O456">
        <v>0</v>
      </c>
      <c r="P456" s="1">
        <v>39589</v>
      </c>
      <c r="Q456" s="89">
        <f t="shared" si="266"/>
        <v>2008</v>
      </c>
      <c r="R456" t="s">
        <v>107</v>
      </c>
      <c r="S456">
        <v>150000000</v>
      </c>
      <c r="T456" s="21">
        <f t="shared" si="258"/>
        <v>2.0575342465753423</v>
      </c>
      <c r="U456">
        <v>173.83</v>
      </c>
      <c r="V456">
        <f t="shared" si="267"/>
        <v>2.2426159575692655</v>
      </c>
      <c r="W456">
        <v>2001</v>
      </c>
      <c r="X456">
        <v>5</v>
      </c>
      <c r="Y456">
        <f t="shared" si="268"/>
        <v>0.77815125038364363</v>
      </c>
      <c r="Z456" s="45">
        <v>2.84</v>
      </c>
      <c r="AA456" s="9">
        <f t="shared" si="256"/>
        <v>123000000</v>
      </c>
      <c r="AB456" s="15">
        <f t="shared" si="259"/>
        <v>4.5555555555555554</v>
      </c>
      <c r="AC456" s="34">
        <f t="shared" si="269"/>
        <v>0.74472749489669388</v>
      </c>
      <c r="AD456">
        <v>7345.0955681579517</v>
      </c>
      <c r="AE456">
        <f t="shared" si="262"/>
        <v>3.8659974508347341</v>
      </c>
      <c r="AF456">
        <v>6765.3854232304138</v>
      </c>
      <c r="AG456">
        <f t="shared" si="263"/>
        <v>3.8302925433451809</v>
      </c>
      <c r="AH456" s="9">
        <v>108.67</v>
      </c>
      <c r="AI456" s="9">
        <f t="shared" si="270"/>
        <v>2.0400878434698808</v>
      </c>
      <c r="AJ456">
        <v>89.1</v>
      </c>
      <c r="AK456" s="23" t="s">
        <v>282</v>
      </c>
      <c r="AL456" s="42">
        <v>44.696333437793797</v>
      </c>
      <c r="AM456" s="24">
        <v>7.0000000000000007E-2</v>
      </c>
      <c r="AN456" s="34">
        <f t="shared" si="271"/>
        <v>2.9383777685209667E-2</v>
      </c>
      <c r="AO456">
        <v>2005</v>
      </c>
      <c r="AP456">
        <v>1</v>
      </c>
      <c r="AQ456">
        <v>70</v>
      </c>
      <c r="AR456">
        <v>70</v>
      </c>
      <c r="AS456">
        <f t="shared" si="260"/>
        <v>0</v>
      </c>
      <c r="AT456">
        <f t="shared" si="272"/>
        <v>0</v>
      </c>
      <c r="AU456">
        <f t="shared" si="273"/>
        <v>0</v>
      </c>
      <c r="AV456">
        <f t="shared" si="274"/>
        <v>0</v>
      </c>
      <c r="AW456">
        <f t="shared" si="275"/>
        <v>0</v>
      </c>
      <c r="AX456">
        <f t="shared" si="276"/>
        <v>0</v>
      </c>
      <c r="AY456">
        <f t="shared" si="277"/>
        <v>0</v>
      </c>
      <c r="AZ456">
        <f t="shared" si="278"/>
        <v>0</v>
      </c>
      <c r="BA456">
        <f t="shared" si="279"/>
        <v>0</v>
      </c>
      <c r="BB456">
        <f t="shared" si="280"/>
        <v>1</v>
      </c>
      <c r="BC456">
        <f t="shared" si="281"/>
        <v>0</v>
      </c>
      <c r="BD456">
        <f t="shared" si="282"/>
        <v>0</v>
      </c>
      <c r="BE456">
        <f t="shared" si="283"/>
        <v>0</v>
      </c>
      <c r="BF456">
        <f t="shared" si="284"/>
        <v>0</v>
      </c>
      <c r="BG456">
        <f t="shared" si="285"/>
        <v>0</v>
      </c>
      <c r="BH456">
        <f t="shared" si="286"/>
        <v>0</v>
      </c>
      <c r="BI456">
        <f t="shared" si="287"/>
        <v>0</v>
      </c>
    </row>
    <row r="457" spans="1:61" x14ac:dyDescent="0.35">
      <c r="A457" t="s">
        <v>947</v>
      </c>
      <c r="B457" s="1">
        <v>40630</v>
      </c>
      <c r="C457" t="s">
        <v>948</v>
      </c>
      <c r="D457" t="s">
        <v>45</v>
      </c>
      <c r="E457" t="s">
        <v>949</v>
      </c>
      <c r="F457" t="s">
        <v>59</v>
      </c>
      <c r="G457" t="s">
        <v>64</v>
      </c>
      <c r="H457" s="139">
        <f t="shared" si="261"/>
        <v>1</v>
      </c>
      <c r="I457" t="s">
        <v>234</v>
      </c>
      <c r="J457" t="s">
        <v>178</v>
      </c>
      <c r="K457" s="2">
        <f t="shared" si="264"/>
        <v>9</v>
      </c>
      <c r="L457">
        <v>13860000</v>
      </c>
      <c r="M457" s="2">
        <f t="shared" si="265"/>
        <v>7.1417632302757879</v>
      </c>
      <c r="N457">
        <f t="shared" si="257"/>
        <v>13860000</v>
      </c>
      <c r="O457">
        <v>0</v>
      </c>
      <c r="P457" s="1">
        <v>41688</v>
      </c>
      <c r="Q457" s="89">
        <f t="shared" si="266"/>
        <v>2014</v>
      </c>
      <c r="R457" t="s">
        <v>107</v>
      </c>
      <c r="S457">
        <v>255300000</v>
      </c>
      <c r="T457" s="21">
        <f t="shared" si="258"/>
        <v>2.8986301369863012</v>
      </c>
      <c r="U457">
        <v>5897.96</v>
      </c>
      <c r="V457">
        <f t="shared" si="267"/>
        <v>3.7707754512906644</v>
      </c>
      <c r="W457">
        <v>2003</v>
      </c>
      <c r="X457">
        <v>8</v>
      </c>
      <c r="Y457">
        <f t="shared" si="268"/>
        <v>0.95424250943932487</v>
      </c>
      <c r="Z457" s="45">
        <v>2.3199999999999998</v>
      </c>
      <c r="AA457" s="9">
        <f t="shared" si="256"/>
        <v>241440000</v>
      </c>
      <c r="AB457" s="15">
        <f t="shared" si="259"/>
        <v>17.419913419913421</v>
      </c>
      <c r="AC457" s="34">
        <f t="shared" si="269"/>
        <v>1.2652875845284624</v>
      </c>
      <c r="AD457">
        <v>4375.8573388203013</v>
      </c>
      <c r="AE457">
        <f t="shared" si="262"/>
        <v>3.6410631547392063</v>
      </c>
      <c r="AF457">
        <v>5027.4348422496569</v>
      </c>
      <c r="AG457">
        <f t="shared" si="263"/>
        <v>3.7013464506591722</v>
      </c>
      <c r="AH457" s="9">
        <v>132</v>
      </c>
      <c r="AI457" s="9">
        <f t="shared" si="270"/>
        <v>2.1238516409670858</v>
      </c>
      <c r="AJ457">
        <v>91</v>
      </c>
      <c r="AK457" s="23" t="s">
        <v>141</v>
      </c>
      <c r="AL457" s="42">
        <v>42.048698215007001</v>
      </c>
      <c r="AM457" s="24">
        <v>0.4</v>
      </c>
      <c r="AN457" s="34">
        <f t="shared" si="271"/>
        <v>0.14612803567823801</v>
      </c>
      <c r="AO457">
        <v>1997</v>
      </c>
      <c r="AP457">
        <v>14</v>
      </c>
      <c r="AQ457">
        <v>70</v>
      </c>
      <c r="AR457">
        <v>70</v>
      </c>
      <c r="AS457">
        <f t="shared" si="260"/>
        <v>0</v>
      </c>
      <c r="AT457">
        <f t="shared" si="272"/>
        <v>1</v>
      </c>
      <c r="AU457">
        <f t="shared" si="273"/>
        <v>0</v>
      </c>
      <c r="AV457">
        <f t="shared" si="274"/>
        <v>0</v>
      </c>
      <c r="AW457">
        <f t="shared" si="275"/>
        <v>0</v>
      </c>
      <c r="AX457">
        <f t="shared" si="276"/>
        <v>0</v>
      </c>
      <c r="AY457">
        <f t="shared" si="277"/>
        <v>0</v>
      </c>
      <c r="AZ457">
        <f t="shared" si="278"/>
        <v>0</v>
      </c>
      <c r="BA457">
        <f t="shared" si="279"/>
        <v>0</v>
      </c>
      <c r="BB457">
        <f t="shared" si="280"/>
        <v>0</v>
      </c>
      <c r="BC457">
        <f t="shared" si="281"/>
        <v>0</v>
      </c>
      <c r="BD457">
        <f t="shared" si="282"/>
        <v>0</v>
      </c>
      <c r="BE457">
        <f t="shared" si="283"/>
        <v>0</v>
      </c>
      <c r="BF457">
        <f t="shared" si="284"/>
        <v>0</v>
      </c>
      <c r="BG457">
        <f t="shared" si="285"/>
        <v>0</v>
      </c>
      <c r="BH457">
        <f t="shared" si="286"/>
        <v>0</v>
      </c>
      <c r="BI457">
        <f t="shared" si="287"/>
        <v>0</v>
      </c>
    </row>
    <row r="458" spans="1:61" ht="15" customHeight="1" x14ac:dyDescent="0.35">
      <c r="A458" t="s">
        <v>950</v>
      </c>
      <c r="B458" s="1">
        <v>39896</v>
      </c>
      <c r="C458" s="8" t="s">
        <v>951</v>
      </c>
      <c r="D458" t="s">
        <v>59</v>
      </c>
      <c r="E458" t="s">
        <v>949</v>
      </c>
      <c r="F458" t="s">
        <v>59</v>
      </c>
      <c r="G458" t="s">
        <v>47</v>
      </c>
      <c r="H458" s="139">
        <f t="shared" si="261"/>
        <v>0</v>
      </c>
      <c r="I458" t="s">
        <v>234</v>
      </c>
      <c r="J458" t="s">
        <v>186</v>
      </c>
      <c r="K458" s="2">
        <f t="shared" si="264"/>
        <v>4</v>
      </c>
      <c r="L458">
        <v>6500000</v>
      </c>
      <c r="M458" s="2">
        <f t="shared" si="265"/>
        <v>6.8129133566428557</v>
      </c>
      <c r="N458">
        <f t="shared" si="257"/>
        <v>6500000</v>
      </c>
      <c r="O458">
        <v>0</v>
      </c>
      <c r="P458" s="1">
        <v>40574</v>
      </c>
      <c r="Q458" s="89">
        <f t="shared" si="266"/>
        <v>2011</v>
      </c>
      <c r="R458" t="s">
        <v>107</v>
      </c>
      <c r="S458">
        <v>96700000</v>
      </c>
      <c r="T458" s="21">
        <f t="shared" si="258"/>
        <v>1.8575342465753424</v>
      </c>
      <c r="U458">
        <v>0</v>
      </c>
      <c r="V458">
        <f t="shared" si="267"/>
        <v>0</v>
      </c>
      <c r="W458">
        <v>2005</v>
      </c>
      <c r="X458">
        <v>4</v>
      </c>
      <c r="Y458">
        <f t="shared" si="268"/>
        <v>0.69897000433601886</v>
      </c>
      <c r="Z458" s="45">
        <v>3.29</v>
      </c>
      <c r="AA458" s="9">
        <f t="shared" si="256"/>
        <v>90200000</v>
      </c>
      <c r="AB458" s="15">
        <f t="shared" si="259"/>
        <v>13.876923076923077</v>
      </c>
      <c r="AC458" s="34">
        <f t="shared" si="269"/>
        <v>1.1725131174401462</v>
      </c>
      <c r="AD458">
        <v>4375.8573388203013</v>
      </c>
      <c r="AE458">
        <f t="shared" si="262"/>
        <v>3.6410631547392063</v>
      </c>
      <c r="AF458">
        <v>5027.4348422496569</v>
      </c>
      <c r="AG458">
        <f t="shared" si="263"/>
        <v>3.7013464506591722</v>
      </c>
      <c r="AH458" s="9">
        <v>0</v>
      </c>
      <c r="AI458" s="9">
        <f t="shared" si="270"/>
        <v>0</v>
      </c>
      <c r="AJ458">
        <v>89.8</v>
      </c>
      <c r="AK458" s="23" t="s">
        <v>130</v>
      </c>
      <c r="AL458" s="42">
        <v>47.307367293927399</v>
      </c>
      <c r="AM458" s="24">
        <v>0.6</v>
      </c>
      <c r="AN458" s="34">
        <f t="shared" si="271"/>
        <v>0.20411998265592479</v>
      </c>
      <c r="AO458">
        <v>1997</v>
      </c>
      <c r="AP458">
        <v>12</v>
      </c>
      <c r="AQ458">
        <v>70</v>
      </c>
      <c r="AR458">
        <v>70</v>
      </c>
      <c r="AS458">
        <f t="shared" si="260"/>
        <v>0</v>
      </c>
      <c r="AT458">
        <f t="shared" si="272"/>
        <v>0</v>
      </c>
      <c r="AU458">
        <f t="shared" si="273"/>
        <v>1</v>
      </c>
      <c r="AV458">
        <f t="shared" si="274"/>
        <v>0</v>
      </c>
      <c r="AW458">
        <f t="shared" si="275"/>
        <v>0</v>
      </c>
      <c r="AX458">
        <f t="shared" si="276"/>
        <v>0</v>
      </c>
      <c r="AY458">
        <f t="shared" si="277"/>
        <v>0</v>
      </c>
      <c r="AZ458">
        <f t="shared" si="278"/>
        <v>0</v>
      </c>
      <c r="BA458">
        <f t="shared" si="279"/>
        <v>0</v>
      </c>
      <c r="BB458">
        <f t="shared" si="280"/>
        <v>0</v>
      </c>
      <c r="BC458">
        <f t="shared" si="281"/>
        <v>0</v>
      </c>
      <c r="BD458">
        <f t="shared" si="282"/>
        <v>0</v>
      </c>
      <c r="BE458">
        <f t="shared" si="283"/>
        <v>0</v>
      </c>
      <c r="BF458">
        <f t="shared" si="284"/>
        <v>0</v>
      </c>
      <c r="BG458">
        <f t="shared" si="285"/>
        <v>0</v>
      </c>
      <c r="BH458">
        <f t="shared" si="286"/>
        <v>0</v>
      </c>
      <c r="BI458">
        <f t="shared" si="287"/>
        <v>0</v>
      </c>
    </row>
    <row r="459" spans="1:61" x14ac:dyDescent="0.35">
      <c r="A459" t="s">
        <v>950</v>
      </c>
      <c r="B459" s="1">
        <v>39728</v>
      </c>
      <c r="C459" s="8" t="s">
        <v>952</v>
      </c>
      <c r="D459" t="s">
        <v>45</v>
      </c>
      <c r="E459" t="s">
        <v>949</v>
      </c>
      <c r="F459" t="s">
        <v>59</v>
      </c>
      <c r="G459" t="s">
        <v>64</v>
      </c>
      <c r="H459" s="139">
        <f t="shared" si="261"/>
        <v>1</v>
      </c>
      <c r="I459" t="s">
        <v>234</v>
      </c>
      <c r="J459" t="s">
        <v>178</v>
      </c>
      <c r="K459" s="2">
        <f t="shared" si="264"/>
        <v>9</v>
      </c>
      <c r="L459">
        <v>5519000</v>
      </c>
      <c r="M459" s="2">
        <f t="shared" si="265"/>
        <v>6.7418603940652639</v>
      </c>
      <c r="N459">
        <f t="shared" si="257"/>
        <v>5519000</v>
      </c>
      <c r="O459">
        <v>0</v>
      </c>
      <c r="P459" s="1">
        <v>42571</v>
      </c>
      <c r="Q459" s="89">
        <f t="shared" si="266"/>
        <v>2016</v>
      </c>
      <c r="R459" t="s">
        <v>107</v>
      </c>
      <c r="S459">
        <v>113603000</v>
      </c>
      <c r="T459" s="21">
        <f t="shared" si="258"/>
        <v>7.7890410958904113</v>
      </c>
      <c r="U459">
        <v>5897.96</v>
      </c>
      <c r="V459">
        <f t="shared" si="267"/>
        <v>3.7707754512906644</v>
      </c>
      <c r="W459">
        <v>2000</v>
      </c>
      <c r="X459">
        <v>8</v>
      </c>
      <c r="Y459">
        <f t="shared" si="268"/>
        <v>0.95424250943932487</v>
      </c>
      <c r="Z459" s="45">
        <v>2.3199999999999998</v>
      </c>
      <c r="AA459" s="9">
        <f t="shared" si="256"/>
        <v>108084000</v>
      </c>
      <c r="AB459" s="15">
        <f t="shared" si="259"/>
        <v>19.583982605544481</v>
      </c>
      <c r="AC459" s="34">
        <f t="shared" si="269"/>
        <v>1.3135294062027159</v>
      </c>
      <c r="AD459">
        <v>4375.8573388203013</v>
      </c>
      <c r="AE459">
        <f t="shared" si="262"/>
        <v>3.6410631547392063</v>
      </c>
      <c r="AF459">
        <v>5027.4348422496569</v>
      </c>
      <c r="AG459">
        <f t="shared" si="263"/>
        <v>3.7013464506591722</v>
      </c>
      <c r="AH459" s="9">
        <v>132</v>
      </c>
      <c r="AI459" s="9">
        <f t="shared" si="270"/>
        <v>2.1238516409670858</v>
      </c>
      <c r="AJ459">
        <v>92.6</v>
      </c>
      <c r="AK459" s="23" t="s">
        <v>222</v>
      </c>
      <c r="AL459" s="42">
        <v>39.823361151429197</v>
      </c>
      <c r="AM459" s="24">
        <v>1.18</v>
      </c>
      <c r="AN459" s="34">
        <f t="shared" si="271"/>
        <v>0.33845649360460478</v>
      </c>
      <c r="AO459">
        <v>1997</v>
      </c>
      <c r="AP459">
        <v>11</v>
      </c>
      <c r="AQ459">
        <v>70</v>
      </c>
      <c r="AR459">
        <v>70</v>
      </c>
      <c r="AS459">
        <f t="shared" si="260"/>
        <v>0</v>
      </c>
      <c r="AT459">
        <f t="shared" si="272"/>
        <v>1</v>
      </c>
      <c r="AU459">
        <f t="shared" si="273"/>
        <v>0</v>
      </c>
      <c r="AV459">
        <f t="shared" si="274"/>
        <v>0</v>
      </c>
      <c r="AW459">
        <f t="shared" si="275"/>
        <v>0</v>
      </c>
      <c r="AX459">
        <f t="shared" si="276"/>
        <v>0</v>
      </c>
      <c r="AY459">
        <f t="shared" si="277"/>
        <v>0</v>
      </c>
      <c r="AZ459">
        <f t="shared" si="278"/>
        <v>0</v>
      </c>
      <c r="BA459">
        <f t="shared" si="279"/>
        <v>0</v>
      </c>
      <c r="BB459">
        <f t="shared" si="280"/>
        <v>0</v>
      </c>
      <c r="BC459">
        <f t="shared" si="281"/>
        <v>0</v>
      </c>
      <c r="BD459">
        <f t="shared" si="282"/>
        <v>0</v>
      </c>
      <c r="BE459">
        <f t="shared" si="283"/>
        <v>0</v>
      </c>
      <c r="BF459">
        <f t="shared" si="284"/>
        <v>0</v>
      </c>
      <c r="BG459">
        <f t="shared" si="285"/>
        <v>0</v>
      </c>
      <c r="BH459">
        <f t="shared" si="286"/>
        <v>0</v>
      </c>
      <c r="BI459">
        <f t="shared" si="287"/>
        <v>0</v>
      </c>
    </row>
    <row r="460" spans="1:61" x14ac:dyDescent="0.35">
      <c r="A460" t="s">
        <v>950</v>
      </c>
      <c r="B460" s="1">
        <v>38488</v>
      </c>
      <c r="C460" s="8" t="s">
        <v>953</v>
      </c>
      <c r="D460" t="s">
        <v>954</v>
      </c>
      <c r="E460" t="s">
        <v>955</v>
      </c>
      <c r="F460" t="s">
        <v>59</v>
      </c>
      <c r="G460" t="s">
        <v>64</v>
      </c>
      <c r="H460" s="139">
        <f t="shared" si="261"/>
        <v>1</v>
      </c>
      <c r="I460" t="s">
        <v>234</v>
      </c>
      <c r="J460" t="s">
        <v>178</v>
      </c>
      <c r="K460" s="2">
        <f t="shared" si="264"/>
        <v>9</v>
      </c>
      <c r="L460">
        <v>12000000</v>
      </c>
      <c r="M460" s="2">
        <f t="shared" si="265"/>
        <v>7.0791812460476251</v>
      </c>
      <c r="N460">
        <f t="shared" si="257"/>
        <v>12000000</v>
      </c>
      <c r="O460">
        <v>0</v>
      </c>
      <c r="P460" s="1">
        <v>39321</v>
      </c>
      <c r="Q460" s="89">
        <f t="shared" si="266"/>
        <v>2007</v>
      </c>
      <c r="R460" t="s">
        <v>107</v>
      </c>
      <c r="S460">
        <v>147000000</v>
      </c>
      <c r="T460" s="21">
        <f t="shared" si="258"/>
        <v>2.2821917808219179</v>
      </c>
      <c r="U460">
        <v>1585.78</v>
      </c>
      <c r="V460">
        <f t="shared" si="267"/>
        <v>3.2005167179274112</v>
      </c>
      <c r="W460">
        <v>1997</v>
      </c>
      <c r="X460">
        <v>8</v>
      </c>
      <c r="Y460">
        <f t="shared" si="268"/>
        <v>0.95424250943932487</v>
      </c>
      <c r="Z460" s="45">
        <v>2.4700000000000002</v>
      </c>
      <c r="AA460" s="9">
        <f t="shared" si="256"/>
        <v>135000000</v>
      </c>
      <c r="AB460" s="15">
        <f t="shared" si="259"/>
        <v>11.25</v>
      </c>
      <c r="AC460" s="34">
        <f t="shared" si="269"/>
        <v>1.0881360887005513</v>
      </c>
      <c r="AD460">
        <v>4375.8573388203013</v>
      </c>
      <c r="AE460">
        <f t="shared" si="262"/>
        <v>3.6410631547392063</v>
      </c>
      <c r="AF460">
        <v>5027.4348422496569</v>
      </c>
      <c r="AG460">
        <f t="shared" si="263"/>
        <v>3.7013464506591722</v>
      </c>
      <c r="AH460" s="9">
        <v>1962.33</v>
      </c>
      <c r="AI460" s="9">
        <f t="shared" si="270"/>
        <v>3.2929933027247387</v>
      </c>
      <c r="AJ460">
        <v>70</v>
      </c>
      <c r="AK460" s="23" t="s">
        <v>956</v>
      </c>
      <c r="AL460" s="42">
        <v>46.676832990761902</v>
      </c>
      <c r="AM460" s="24">
        <v>0.26</v>
      </c>
      <c r="AN460" s="34">
        <f t="shared" si="271"/>
        <v>0.10037054511756291</v>
      </c>
      <c r="AO460">
        <v>1997</v>
      </c>
      <c r="AP460">
        <v>8</v>
      </c>
      <c r="AQ460">
        <v>70</v>
      </c>
      <c r="AR460">
        <v>50</v>
      </c>
      <c r="AS460">
        <f t="shared" si="260"/>
        <v>0</v>
      </c>
      <c r="AT460">
        <f t="shared" si="272"/>
        <v>0</v>
      </c>
      <c r="AU460">
        <f t="shared" si="273"/>
        <v>0</v>
      </c>
      <c r="AV460">
        <f t="shared" si="274"/>
        <v>0</v>
      </c>
      <c r="AW460">
        <f t="shared" si="275"/>
        <v>0</v>
      </c>
      <c r="AX460">
        <f t="shared" si="276"/>
        <v>0</v>
      </c>
      <c r="AY460">
        <f t="shared" si="277"/>
        <v>0</v>
      </c>
      <c r="AZ460">
        <f t="shared" si="278"/>
        <v>0</v>
      </c>
      <c r="BA460">
        <f t="shared" si="279"/>
        <v>0</v>
      </c>
      <c r="BB460">
        <f t="shared" si="280"/>
        <v>0</v>
      </c>
      <c r="BC460">
        <f t="shared" si="281"/>
        <v>0</v>
      </c>
      <c r="BD460">
        <f t="shared" si="282"/>
        <v>0</v>
      </c>
      <c r="BE460">
        <f t="shared" si="283"/>
        <v>0</v>
      </c>
      <c r="BF460">
        <f t="shared" si="284"/>
        <v>1</v>
      </c>
      <c r="BG460">
        <f t="shared" si="285"/>
        <v>0</v>
      </c>
      <c r="BH460">
        <f t="shared" si="286"/>
        <v>0</v>
      </c>
      <c r="BI460">
        <f t="shared" si="287"/>
        <v>0</v>
      </c>
    </row>
    <row r="461" spans="1:61" ht="15.75" customHeight="1" x14ac:dyDescent="0.35">
      <c r="A461" t="s">
        <v>950</v>
      </c>
      <c r="B461" s="1">
        <v>38408</v>
      </c>
      <c r="C461" s="8" t="s">
        <v>957</v>
      </c>
      <c r="D461" t="s">
        <v>59</v>
      </c>
      <c r="E461" t="s">
        <v>955</v>
      </c>
      <c r="F461" t="s">
        <v>59</v>
      </c>
      <c r="G461" t="s">
        <v>47</v>
      </c>
      <c r="H461" s="139">
        <f t="shared" si="261"/>
        <v>0</v>
      </c>
      <c r="I461" t="s">
        <v>234</v>
      </c>
      <c r="J461" t="s">
        <v>178</v>
      </c>
      <c r="K461" s="2">
        <f t="shared" si="264"/>
        <v>9</v>
      </c>
      <c r="L461">
        <v>18350000</v>
      </c>
      <c r="M461" s="2">
        <f t="shared" si="265"/>
        <v>7.2636360685881085</v>
      </c>
      <c r="N461">
        <f t="shared" si="257"/>
        <v>18350000</v>
      </c>
      <c r="O461">
        <v>0</v>
      </c>
      <c r="P461" s="1">
        <v>41486</v>
      </c>
      <c r="Q461" s="89">
        <f t="shared" si="266"/>
        <v>2013</v>
      </c>
      <c r="R461" t="s">
        <v>107</v>
      </c>
      <c r="S461">
        <v>47500000</v>
      </c>
      <c r="T461" s="21">
        <f t="shared" si="258"/>
        <v>8.4328767123287669</v>
      </c>
      <c r="U461">
        <v>0</v>
      </c>
      <c r="V461">
        <f t="shared" si="267"/>
        <v>0</v>
      </c>
      <c r="W461">
        <v>1998</v>
      </c>
      <c r="X461">
        <v>7</v>
      </c>
      <c r="Y461">
        <f t="shared" si="268"/>
        <v>0.90308998699194354</v>
      </c>
      <c r="Z461" s="45">
        <v>3.29</v>
      </c>
      <c r="AA461" s="9">
        <f t="shared" si="256"/>
        <v>29150000</v>
      </c>
      <c r="AB461" s="15">
        <f t="shared" si="259"/>
        <v>1.5885558583106265</v>
      </c>
      <c r="AC461" s="34">
        <f t="shared" si="269"/>
        <v>0.4130575410367584</v>
      </c>
      <c r="AD461">
        <v>4375.8573388203013</v>
      </c>
      <c r="AE461">
        <f t="shared" si="262"/>
        <v>3.6410631547392063</v>
      </c>
      <c r="AF461">
        <v>5027.4348422496569</v>
      </c>
      <c r="AG461">
        <f t="shared" si="263"/>
        <v>3.7013464506591722</v>
      </c>
      <c r="AH461" s="9">
        <v>0</v>
      </c>
      <c r="AI461" s="9">
        <f t="shared" si="270"/>
        <v>0</v>
      </c>
      <c r="AJ461">
        <v>85</v>
      </c>
      <c r="AK461" s="23" t="s">
        <v>171</v>
      </c>
      <c r="AL461" s="42">
        <v>41.286751495766303</v>
      </c>
      <c r="AM461" s="24">
        <v>0.39</v>
      </c>
      <c r="AN461" s="34">
        <f t="shared" si="271"/>
        <v>0.14301480025409513</v>
      </c>
      <c r="AO461">
        <v>1997</v>
      </c>
      <c r="AP461">
        <v>8</v>
      </c>
      <c r="AQ461">
        <v>70</v>
      </c>
      <c r="AR461">
        <v>70</v>
      </c>
      <c r="AS461">
        <f t="shared" si="260"/>
        <v>0</v>
      </c>
      <c r="AT461">
        <f t="shared" si="272"/>
        <v>0</v>
      </c>
      <c r="AU461">
        <f t="shared" si="273"/>
        <v>1</v>
      </c>
      <c r="AV461">
        <f t="shared" si="274"/>
        <v>0</v>
      </c>
      <c r="AW461">
        <f t="shared" si="275"/>
        <v>0</v>
      </c>
      <c r="AX461">
        <f t="shared" si="276"/>
        <v>0</v>
      </c>
      <c r="AY461">
        <f t="shared" si="277"/>
        <v>0</v>
      </c>
      <c r="AZ461">
        <f t="shared" si="278"/>
        <v>0</v>
      </c>
      <c r="BA461">
        <f t="shared" si="279"/>
        <v>0</v>
      </c>
      <c r="BB461">
        <f t="shared" si="280"/>
        <v>0</v>
      </c>
      <c r="BC461">
        <f t="shared" si="281"/>
        <v>0</v>
      </c>
      <c r="BD461">
        <f t="shared" si="282"/>
        <v>0</v>
      </c>
      <c r="BE461">
        <f t="shared" si="283"/>
        <v>0</v>
      </c>
      <c r="BF461">
        <f t="shared" si="284"/>
        <v>0</v>
      </c>
      <c r="BG461">
        <f t="shared" si="285"/>
        <v>0</v>
      </c>
      <c r="BH461">
        <f t="shared" si="286"/>
        <v>0</v>
      </c>
      <c r="BI461">
        <f t="shared" si="287"/>
        <v>0</v>
      </c>
    </row>
    <row r="462" spans="1:61" x14ac:dyDescent="0.35">
      <c r="A462" t="s">
        <v>958</v>
      </c>
      <c r="B462" s="1">
        <v>38009</v>
      </c>
      <c r="C462" t="s">
        <v>959</v>
      </c>
      <c r="D462" t="s">
        <v>6</v>
      </c>
      <c r="E462" t="s">
        <v>955</v>
      </c>
      <c r="F462" t="s">
        <v>59</v>
      </c>
      <c r="G462" t="s">
        <v>64</v>
      </c>
      <c r="H462" s="139">
        <f t="shared" si="261"/>
        <v>1</v>
      </c>
      <c r="I462" t="s">
        <v>611</v>
      </c>
      <c r="J462" t="s">
        <v>178</v>
      </c>
      <c r="K462" s="2">
        <f t="shared" si="264"/>
        <v>9</v>
      </c>
      <c r="L462">
        <v>12980000</v>
      </c>
      <c r="M462" s="2">
        <f t="shared" si="265"/>
        <v>7.1132746924643504</v>
      </c>
      <c r="N462">
        <v>12030000</v>
      </c>
      <c r="O462">
        <v>960000</v>
      </c>
      <c r="P462" s="1">
        <v>38131</v>
      </c>
      <c r="Q462" s="89">
        <f t="shared" si="266"/>
        <v>2004</v>
      </c>
      <c r="R462" t="s">
        <v>107</v>
      </c>
      <c r="S462">
        <v>30760000</v>
      </c>
      <c r="T462" s="21">
        <f t="shared" si="258"/>
        <v>0.33424657534246577</v>
      </c>
      <c r="U462">
        <v>320.77</v>
      </c>
      <c r="V462">
        <f t="shared" si="267"/>
        <v>2.5075455505094206</v>
      </c>
      <c r="W462">
        <v>1995</v>
      </c>
      <c r="X462">
        <v>9</v>
      </c>
      <c r="Y462">
        <f t="shared" si="268"/>
        <v>1</v>
      </c>
      <c r="Z462" s="45">
        <v>2.91</v>
      </c>
      <c r="AA462" s="9">
        <f t="shared" si="256"/>
        <v>18730000</v>
      </c>
      <c r="AB462" s="15">
        <f t="shared" si="259"/>
        <v>1.36979969183359</v>
      </c>
      <c r="AC462" s="34">
        <f t="shared" si="269"/>
        <v>0.37471163866504298</v>
      </c>
      <c r="AD462">
        <v>4375.8573388203013</v>
      </c>
      <c r="AE462">
        <f t="shared" si="262"/>
        <v>3.6410631547392063</v>
      </c>
      <c r="AF462">
        <v>5027.4348422496569</v>
      </c>
      <c r="AG462">
        <f t="shared" si="263"/>
        <v>3.7013464506591722</v>
      </c>
      <c r="AH462" s="9">
        <v>447.5</v>
      </c>
      <c r="AI462" s="9">
        <f t="shared" si="270"/>
        <v>2.6517624473801109</v>
      </c>
      <c r="AJ462">
        <v>70</v>
      </c>
      <c r="AK462" s="23" t="s">
        <v>423</v>
      </c>
      <c r="AL462" s="42">
        <v>48.933014808972402</v>
      </c>
      <c r="AM462" s="24">
        <v>-0.04</v>
      </c>
      <c r="AN462" s="34">
        <f t="shared" si="271"/>
        <v>-1.7728766960431602E-2</v>
      </c>
      <c r="AO462">
        <v>1997</v>
      </c>
      <c r="AP462">
        <v>7</v>
      </c>
      <c r="AQ462">
        <v>90</v>
      </c>
      <c r="AR462">
        <v>70</v>
      </c>
      <c r="AS462">
        <f t="shared" si="260"/>
        <v>0</v>
      </c>
      <c r="AT462">
        <f t="shared" si="272"/>
        <v>0</v>
      </c>
      <c r="AU462">
        <f t="shared" si="273"/>
        <v>0</v>
      </c>
      <c r="AV462">
        <f t="shared" si="274"/>
        <v>0</v>
      </c>
      <c r="AW462">
        <f t="shared" si="275"/>
        <v>0</v>
      </c>
      <c r="AX462">
        <f t="shared" si="276"/>
        <v>0</v>
      </c>
      <c r="AY462">
        <f t="shared" si="277"/>
        <v>0</v>
      </c>
      <c r="AZ462">
        <f t="shared" si="278"/>
        <v>0</v>
      </c>
      <c r="BA462">
        <f t="shared" si="279"/>
        <v>1</v>
      </c>
      <c r="BB462">
        <f t="shared" si="280"/>
        <v>0</v>
      </c>
      <c r="BC462">
        <f t="shared" si="281"/>
        <v>0</v>
      </c>
      <c r="BD462">
        <f t="shared" si="282"/>
        <v>0</v>
      </c>
      <c r="BE462">
        <f t="shared" si="283"/>
        <v>0</v>
      </c>
      <c r="BF462">
        <f t="shared" si="284"/>
        <v>0</v>
      </c>
      <c r="BG462">
        <f t="shared" si="285"/>
        <v>0</v>
      </c>
      <c r="BH462">
        <f t="shared" si="286"/>
        <v>0</v>
      </c>
      <c r="BI462">
        <f t="shared" si="287"/>
        <v>0</v>
      </c>
    </row>
    <row r="463" spans="1:61" x14ac:dyDescent="0.35">
      <c r="A463" t="s">
        <v>352</v>
      </c>
      <c r="B463" s="1">
        <v>37970</v>
      </c>
      <c r="C463" s="8" t="s">
        <v>960</v>
      </c>
      <c r="D463" t="s">
        <v>45</v>
      </c>
      <c r="E463" t="s">
        <v>955</v>
      </c>
      <c r="F463" t="s">
        <v>59</v>
      </c>
      <c r="G463" t="s">
        <v>64</v>
      </c>
      <c r="H463" s="139">
        <f t="shared" si="261"/>
        <v>1</v>
      </c>
      <c r="I463" t="s">
        <v>234</v>
      </c>
      <c r="J463" t="s">
        <v>178</v>
      </c>
      <c r="K463" s="2">
        <f t="shared" si="264"/>
        <v>9</v>
      </c>
      <c r="L463">
        <v>13500000</v>
      </c>
      <c r="M463" s="2">
        <f t="shared" si="265"/>
        <v>7.1303337684950066</v>
      </c>
      <c r="N463">
        <f t="shared" ref="N463:N469" si="288">L463</f>
        <v>13500000</v>
      </c>
      <c r="O463">
        <v>0</v>
      </c>
      <c r="P463" s="1">
        <v>38839</v>
      </c>
      <c r="Q463" s="89">
        <f t="shared" si="266"/>
        <v>2006</v>
      </c>
      <c r="R463" t="s">
        <v>107</v>
      </c>
      <c r="S463">
        <v>39000000</v>
      </c>
      <c r="T463" s="21">
        <f t="shared" si="258"/>
        <v>2.3808219178082193</v>
      </c>
      <c r="U463">
        <v>5897.96</v>
      </c>
      <c r="V463">
        <f t="shared" si="267"/>
        <v>3.7707754512906644</v>
      </c>
      <c r="W463">
        <v>2001</v>
      </c>
      <c r="X463">
        <v>2</v>
      </c>
      <c r="Y463">
        <f t="shared" si="268"/>
        <v>0.47712125471966244</v>
      </c>
      <c r="Z463" s="45">
        <v>2.3199999999999998</v>
      </c>
      <c r="AA463" s="9">
        <f t="shared" si="256"/>
        <v>25500000</v>
      </c>
      <c r="AB463" s="15">
        <f t="shared" si="259"/>
        <v>1.8888888888888888</v>
      </c>
      <c r="AC463" s="34">
        <f t="shared" si="269"/>
        <v>0.4607308385314931</v>
      </c>
      <c r="AD463">
        <v>4375.8573388203013</v>
      </c>
      <c r="AE463">
        <f t="shared" si="262"/>
        <v>3.6410631547392063</v>
      </c>
      <c r="AF463">
        <v>5027.4348422496596</v>
      </c>
      <c r="AG463">
        <f t="shared" si="263"/>
        <v>3.7013464506591722</v>
      </c>
      <c r="AH463" s="9">
        <v>132</v>
      </c>
      <c r="AI463" s="9">
        <f t="shared" si="270"/>
        <v>2.1238516409670858</v>
      </c>
      <c r="AJ463">
        <v>85</v>
      </c>
      <c r="AK463" s="23" t="s">
        <v>301</v>
      </c>
      <c r="AL463" s="42">
        <v>37.256914365427299</v>
      </c>
      <c r="AM463" s="24">
        <v>0.23</v>
      </c>
      <c r="AN463" s="34">
        <f t="shared" si="271"/>
        <v>8.9905111439397931E-2</v>
      </c>
      <c r="AO463">
        <v>1997</v>
      </c>
      <c r="AP463">
        <v>6</v>
      </c>
      <c r="AQ463">
        <v>70</v>
      </c>
      <c r="AR463">
        <v>70</v>
      </c>
      <c r="AS463">
        <f t="shared" si="260"/>
        <v>0</v>
      </c>
      <c r="AT463">
        <f t="shared" si="272"/>
        <v>1</v>
      </c>
      <c r="AU463">
        <f t="shared" si="273"/>
        <v>0</v>
      </c>
      <c r="AV463">
        <f t="shared" si="274"/>
        <v>0</v>
      </c>
      <c r="AW463">
        <f t="shared" si="275"/>
        <v>0</v>
      </c>
      <c r="AX463">
        <f t="shared" si="276"/>
        <v>0</v>
      </c>
      <c r="AY463">
        <f t="shared" si="277"/>
        <v>0</v>
      </c>
      <c r="AZ463">
        <f t="shared" si="278"/>
        <v>0</v>
      </c>
      <c r="BA463">
        <f t="shared" si="279"/>
        <v>0</v>
      </c>
      <c r="BB463">
        <f t="shared" si="280"/>
        <v>0</v>
      </c>
      <c r="BC463">
        <f t="shared" si="281"/>
        <v>0</v>
      </c>
      <c r="BD463">
        <f t="shared" si="282"/>
        <v>0</v>
      </c>
      <c r="BE463">
        <f t="shared" si="283"/>
        <v>0</v>
      </c>
      <c r="BF463">
        <f t="shared" si="284"/>
        <v>0</v>
      </c>
      <c r="BG463">
        <f t="shared" si="285"/>
        <v>0</v>
      </c>
      <c r="BH463">
        <f t="shared" si="286"/>
        <v>0</v>
      </c>
      <c r="BI463">
        <f t="shared" si="287"/>
        <v>0</v>
      </c>
    </row>
    <row r="464" spans="1:61" x14ac:dyDescent="0.35">
      <c r="A464" t="s">
        <v>51</v>
      </c>
      <c r="B464" s="1">
        <v>41486</v>
      </c>
      <c r="C464" t="s">
        <v>565</v>
      </c>
      <c r="D464" t="s">
        <v>2</v>
      </c>
      <c r="E464" t="s">
        <v>961</v>
      </c>
      <c r="F464" t="s">
        <v>45</v>
      </c>
      <c r="G464" t="s">
        <v>64</v>
      </c>
      <c r="H464" s="139">
        <f t="shared" si="261"/>
        <v>1</v>
      </c>
      <c r="I464" t="s">
        <v>234</v>
      </c>
      <c r="J464" t="s">
        <v>248</v>
      </c>
      <c r="K464" s="2">
        <f t="shared" si="264"/>
        <v>5</v>
      </c>
      <c r="L464">
        <v>400000000</v>
      </c>
      <c r="M464" s="2">
        <f t="shared" si="265"/>
        <v>8.6020599913279625</v>
      </c>
      <c r="N464">
        <f t="shared" si="288"/>
        <v>400000000</v>
      </c>
      <c r="O464">
        <v>0</v>
      </c>
      <c r="P464" s="1">
        <v>43039</v>
      </c>
      <c r="Q464" s="89">
        <f t="shared" si="266"/>
        <v>2017</v>
      </c>
      <c r="R464" t="s">
        <v>107</v>
      </c>
      <c r="S464">
        <v>819300000</v>
      </c>
      <c r="T464" s="21">
        <f t="shared" si="258"/>
        <v>4.2547945205479456</v>
      </c>
      <c r="U464">
        <v>6815.73</v>
      </c>
      <c r="V464">
        <f t="shared" si="267"/>
        <v>3.8335760926148099</v>
      </c>
      <c r="W464">
        <v>1943</v>
      </c>
      <c r="X464">
        <v>70</v>
      </c>
      <c r="Y464">
        <f t="shared" si="268"/>
        <v>1.8512583487190752</v>
      </c>
      <c r="Z464" s="45">
        <v>2.85</v>
      </c>
      <c r="AA464" s="9">
        <f t="shared" si="256"/>
        <v>419300000</v>
      </c>
      <c r="AB464" s="15">
        <f t="shared" si="259"/>
        <v>1.0482499999999999</v>
      </c>
      <c r="AC464" s="34">
        <f t="shared" si="269"/>
        <v>0.31138296353143335</v>
      </c>
      <c r="AD464">
        <v>1618.5219999999999</v>
      </c>
      <c r="AE464">
        <f t="shared" si="262"/>
        <v>3.20911860699078</v>
      </c>
      <c r="AF464">
        <v>3845.9059999999999</v>
      </c>
      <c r="AG464">
        <f t="shared" si="263"/>
        <v>3.5849986651910224</v>
      </c>
      <c r="AH464" s="9">
        <v>819</v>
      </c>
      <c r="AI464" s="9">
        <f t="shared" si="270"/>
        <v>2.9138138523837167</v>
      </c>
      <c r="AJ464">
        <v>92.1</v>
      </c>
      <c r="AK464" s="23" t="s">
        <v>199</v>
      </c>
      <c r="AL464" s="42">
        <v>44.688349184782602</v>
      </c>
      <c r="AM464" s="24">
        <v>0.53</v>
      </c>
      <c r="AN464" s="34">
        <f t="shared" si="271"/>
        <v>0.18469143081759881</v>
      </c>
      <c r="AO464">
        <v>1984</v>
      </c>
      <c r="AP464">
        <v>29</v>
      </c>
      <c r="AQ464">
        <v>70</v>
      </c>
      <c r="AR464">
        <v>70</v>
      </c>
      <c r="AS464">
        <f t="shared" si="260"/>
        <v>0</v>
      </c>
      <c r="AT464">
        <f t="shared" si="272"/>
        <v>0</v>
      </c>
      <c r="AU464">
        <f t="shared" si="273"/>
        <v>0</v>
      </c>
      <c r="AV464">
        <f t="shared" si="274"/>
        <v>0</v>
      </c>
      <c r="AW464">
        <f t="shared" si="275"/>
        <v>0</v>
      </c>
      <c r="AX464">
        <f t="shared" si="276"/>
        <v>0</v>
      </c>
      <c r="AY464">
        <f t="shared" si="277"/>
        <v>0</v>
      </c>
      <c r="AZ464">
        <f t="shared" si="278"/>
        <v>0</v>
      </c>
      <c r="BA464">
        <f t="shared" si="279"/>
        <v>0</v>
      </c>
      <c r="BB464">
        <f t="shared" si="280"/>
        <v>1</v>
      </c>
      <c r="BC464">
        <f t="shared" si="281"/>
        <v>0</v>
      </c>
      <c r="BD464">
        <f t="shared" si="282"/>
        <v>0</v>
      </c>
      <c r="BE464">
        <f t="shared" si="283"/>
        <v>0</v>
      </c>
      <c r="BF464">
        <f t="shared" si="284"/>
        <v>0</v>
      </c>
      <c r="BG464">
        <f t="shared" si="285"/>
        <v>0</v>
      </c>
      <c r="BH464">
        <f t="shared" si="286"/>
        <v>0</v>
      </c>
      <c r="BI464">
        <f t="shared" si="287"/>
        <v>0</v>
      </c>
    </row>
    <row r="465" spans="1:61" x14ac:dyDescent="0.35">
      <c r="A465" t="s">
        <v>51</v>
      </c>
      <c r="B465" s="1">
        <v>39294</v>
      </c>
      <c r="C465" t="s">
        <v>962</v>
      </c>
      <c r="D465" t="s">
        <v>2</v>
      </c>
      <c r="E465" t="s">
        <v>963</v>
      </c>
      <c r="F465" t="s">
        <v>45</v>
      </c>
      <c r="G465" t="s">
        <v>64</v>
      </c>
      <c r="H465" s="139">
        <f t="shared" si="261"/>
        <v>1</v>
      </c>
      <c r="I465" t="s">
        <v>234</v>
      </c>
      <c r="J465" t="s">
        <v>235</v>
      </c>
      <c r="K465" s="2">
        <f t="shared" si="264"/>
        <v>1</v>
      </c>
      <c r="L465">
        <v>1000000000</v>
      </c>
      <c r="M465" s="2">
        <f t="shared" si="265"/>
        <v>9</v>
      </c>
      <c r="N465">
        <f t="shared" si="288"/>
        <v>1000000000</v>
      </c>
      <c r="O465">
        <v>0</v>
      </c>
      <c r="P465" s="1">
        <v>40263</v>
      </c>
      <c r="Q465" s="89">
        <f t="shared" si="266"/>
        <v>2010</v>
      </c>
      <c r="R465" t="s">
        <v>54</v>
      </c>
      <c r="S465">
        <v>919000000</v>
      </c>
      <c r="T465" s="21">
        <f t="shared" si="258"/>
        <v>2.6547945205479451</v>
      </c>
      <c r="U465">
        <v>6815.73</v>
      </c>
      <c r="V465">
        <f t="shared" si="267"/>
        <v>3.8335760926148099</v>
      </c>
      <c r="W465">
        <v>1978</v>
      </c>
      <c r="X465">
        <v>29</v>
      </c>
      <c r="Y465">
        <f t="shared" si="268"/>
        <v>1.4771212547196624</v>
      </c>
      <c r="Z465" s="45">
        <v>2.85</v>
      </c>
      <c r="AA465" s="9">
        <f t="shared" si="256"/>
        <v>-81000000</v>
      </c>
      <c r="AB465" s="15">
        <f t="shared" si="259"/>
        <v>-8.0999999999999961E-2</v>
      </c>
      <c r="AC465" s="34">
        <f t="shared" si="269"/>
        <v>-3.6684488613888719E-2</v>
      </c>
      <c r="AD465">
        <v>1618.5219999999999</v>
      </c>
      <c r="AE465">
        <f t="shared" si="262"/>
        <v>3.20911860699078</v>
      </c>
      <c r="AF465">
        <v>3845.9059999999999</v>
      </c>
      <c r="AG465">
        <f t="shared" si="263"/>
        <v>3.5849986651910224</v>
      </c>
      <c r="AH465" s="9">
        <v>819</v>
      </c>
      <c r="AI465" s="9">
        <f t="shared" si="270"/>
        <v>2.9138138523837167</v>
      </c>
      <c r="AJ465">
        <v>88.9</v>
      </c>
      <c r="AK465" s="23" t="s">
        <v>126</v>
      </c>
      <c r="AL465" s="42">
        <v>42.817370475444001</v>
      </c>
      <c r="AM465" s="24">
        <v>-0.2</v>
      </c>
      <c r="AN465" s="34">
        <f t="shared" si="271"/>
        <v>-9.6910013008056392E-2</v>
      </c>
      <c r="AO465">
        <v>1984</v>
      </c>
      <c r="AP465">
        <v>23</v>
      </c>
      <c r="AQ465">
        <v>70</v>
      </c>
      <c r="AR465">
        <v>70</v>
      </c>
      <c r="AS465">
        <f t="shared" si="260"/>
        <v>0</v>
      </c>
      <c r="AT465">
        <f t="shared" si="272"/>
        <v>0</v>
      </c>
      <c r="AU465">
        <f t="shared" si="273"/>
        <v>0</v>
      </c>
      <c r="AV465">
        <f t="shared" si="274"/>
        <v>0</v>
      </c>
      <c r="AW465">
        <f t="shared" si="275"/>
        <v>0</v>
      </c>
      <c r="AX465">
        <f t="shared" si="276"/>
        <v>0</v>
      </c>
      <c r="AY465">
        <f t="shared" si="277"/>
        <v>0</v>
      </c>
      <c r="AZ465">
        <f t="shared" si="278"/>
        <v>0</v>
      </c>
      <c r="BA465">
        <f t="shared" si="279"/>
        <v>0</v>
      </c>
      <c r="BB465">
        <f t="shared" si="280"/>
        <v>1</v>
      </c>
      <c r="BC465">
        <f t="shared" si="281"/>
        <v>0</v>
      </c>
      <c r="BD465">
        <f t="shared" si="282"/>
        <v>0</v>
      </c>
      <c r="BE465">
        <f t="shared" si="283"/>
        <v>0</v>
      </c>
      <c r="BF465">
        <f t="shared" si="284"/>
        <v>0</v>
      </c>
      <c r="BG465">
        <f t="shared" si="285"/>
        <v>0</v>
      </c>
      <c r="BH465">
        <f t="shared" si="286"/>
        <v>0</v>
      </c>
      <c r="BI465">
        <f t="shared" si="287"/>
        <v>0</v>
      </c>
    </row>
    <row r="466" spans="1:61" x14ac:dyDescent="0.35">
      <c r="A466" t="s">
        <v>51</v>
      </c>
      <c r="B466" s="1">
        <v>37508</v>
      </c>
      <c r="C466" t="s">
        <v>656</v>
      </c>
      <c r="D466" t="s">
        <v>2</v>
      </c>
      <c r="E466" t="s">
        <v>964</v>
      </c>
      <c r="F466" t="s">
        <v>45</v>
      </c>
      <c r="G466" t="s">
        <v>64</v>
      </c>
      <c r="H466" s="139">
        <f t="shared" si="261"/>
        <v>1</v>
      </c>
      <c r="I466" t="s">
        <v>234</v>
      </c>
      <c r="J466" t="s">
        <v>248</v>
      </c>
      <c r="K466" s="2">
        <f t="shared" si="264"/>
        <v>5</v>
      </c>
      <c r="L466">
        <v>62900000</v>
      </c>
      <c r="M466" s="2">
        <f t="shared" si="265"/>
        <v>7.7986506454452691</v>
      </c>
      <c r="N466">
        <f t="shared" si="288"/>
        <v>62900000</v>
      </c>
      <c r="O466">
        <v>0</v>
      </c>
      <c r="P466" s="1">
        <v>38503</v>
      </c>
      <c r="Q466" s="89">
        <f t="shared" si="266"/>
        <v>2005</v>
      </c>
      <c r="R466" t="s">
        <v>54</v>
      </c>
      <c r="S466">
        <v>123200000</v>
      </c>
      <c r="T466" s="21">
        <f t="shared" si="258"/>
        <v>2.7260273972602738</v>
      </c>
      <c r="U466">
        <v>6815.73</v>
      </c>
      <c r="V466">
        <f t="shared" si="267"/>
        <v>3.8335760926148099</v>
      </c>
      <c r="W466">
        <v>1981</v>
      </c>
      <c r="X466">
        <v>21</v>
      </c>
      <c r="Y466">
        <f t="shared" si="268"/>
        <v>1.3424226808222062</v>
      </c>
      <c r="Z466" s="45">
        <v>2.85</v>
      </c>
      <c r="AA466" s="9">
        <f t="shared" si="256"/>
        <v>60300000</v>
      </c>
      <c r="AB466" s="15">
        <f t="shared" si="259"/>
        <v>0.95866454689984093</v>
      </c>
      <c r="AC466" s="34">
        <f t="shared" si="269"/>
        <v>0.29196006238313771</v>
      </c>
      <c r="AD466">
        <v>1618.5219999999999</v>
      </c>
      <c r="AE466">
        <f t="shared" si="262"/>
        <v>3.20911860699078</v>
      </c>
      <c r="AF466">
        <v>3845.9059999999999</v>
      </c>
      <c r="AG466">
        <f t="shared" si="263"/>
        <v>3.5849986651910224</v>
      </c>
      <c r="AH466" s="9">
        <v>819</v>
      </c>
      <c r="AI466" s="9">
        <f t="shared" si="270"/>
        <v>2.9138138523837167</v>
      </c>
      <c r="AJ466">
        <v>70</v>
      </c>
      <c r="AK466" s="23" t="s">
        <v>403</v>
      </c>
      <c r="AL466" s="42">
        <v>47.264053157349203</v>
      </c>
      <c r="AM466" s="24">
        <v>0.32</v>
      </c>
      <c r="AN466" s="34">
        <f t="shared" si="271"/>
        <v>0.12057393120584989</v>
      </c>
      <c r="AO466">
        <v>1984</v>
      </c>
      <c r="AP466">
        <v>18</v>
      </c>
      <c r="AQ466">
        <v>70</v>
      </c>
      <c r="AR466">
        <v>70</v>
      </c>
      <c r="AS466">
        <f t="shared" si="260"/>
        <v>0</v>
      </c>
      <c r="AT466">
        <f t="shared" si="272"/>
        <v>0</v>
      </c>
      <c r="AU466">
        <f t="shared" si="273"/>
        <v>0</v>
      </c>
      <c r="AV466">
        <f t="shared" si="274"/>
        <v>0</v>
      </c>
      <c r="AW466">
        <f t="shared" si="275"/>
        <v>0</v>
      </c>
      <c r="AX466">
        <f t="shared" si="276"/>
        <v>0</v>
      </c>
      <c r="AY466">
        <f t="shared" si="277"/>
        <v>0</v>
      </c>
      <c r="AZ466">
        <f t="shared" si="278"/>
        <v>0</v>
      </c>
      <c r="BA466">
        <f t="shared" si="279"/>
        <v>0</v>
      </c>
      <c r="BB466">
        <f t="shared" si="280"/>
        <v>1</v>
      </c>
      <c r="BC466">
        <f t="shared" si="281"/>
        <v>0</v>
      </c>
      <c r="BD466">
        <f t="shared" si="282"/>
        <v>0</v>
      </c>
      <c r="BE466">
        <f t="shared" si="283"/>
        <v>0</v>
      </c>
      <c r="BF466">
        <f t="shared" si="284"/>
        <v>0</v>
      </c>
      <c r="BG466">
        <f t="shared" si="285"/>
        <v>0</v>
      </c>
      <c r="BH466">
        <f t="shared" si="286"/>
        <v>0</v>
      </c>
      <c r="BI466">
        <f t="shared" si="287"/>
        <v>0</v>
      </c>
    </row>
    <row r="467" spans="1:61" x14ac:dyDescent="0.35">
      <c r="A467" t="s">
        <v>51</v>
      </c>
      <c r="B467" s="1">
        <v>41578</v>
      </c>
      <c r="C467" t="s">
        <v>965</v>
      </c>
      <c r="D467" t="s">
        <v>1</v>
      </c>
      <c r="E467" t="s">
        <v>961</v>
      </c>
      <c r="F467" t="s">
        <v>45</v>
      </c>
      <c r="G467" t="s">
        <v>64</v>
      </c>
      <c r="H467" s="139">
        <f t="shared" si="261"/>
        <v>1</v>
      </c>
      <c r="I467" t="s">
        <v>234</v>
      </c>
      <c r="J467" t="s">
        <v>269</v>
      </c>
      <c r="K467" s="2">
        <f t="shared" si="264"/>
        <v>7</v>
      </c>
      <c r="L467">
        <v>849550000</v>
      </c>
      <c r="M467" s="2">
        <f t="shared" si="265"/>
        <v>8.9291889442233998</v>
      </c>
      <c r="N467">
        <f t="shared" si="288"/>
        <v>849550000</v>
      </c>
      <c r="O467">
        <v>0</v>
      </c>
      <c r="P467" s="1">
        <v>42285</v>
      </c>
      <c r="Q467" s="89">
        <f t="shared" si="266"/>
        <v>2015</v>
      </c>
      <c r="R467" t="s">
        <v>107</v>
      </c>
      <c r="S467">
        <v>1350000000</v>
      </c>
      <c r="T467" s="21">
        <f t="shared" si="258"/>
        <v>1.9369863013698629</v>
      </c>
      <c r="U467">
        <v>6232.1</v>
      </c>
      <c r="V467">
        <f t="shared" si="267"/>
        <v>3.7947040944998616</v>
      </c>
      <c r="W467">
        <v>1865</v>
      </c>
      <c r="X467">
        <v>148</v>
      </c>
      <c r="Y467">
        <f t="shared" si="268"/>
        <v>2.173186268412274</v>
      </c>
      <c r="Z467" s="45">
        <v>2.93</v>
      </c>
      <c r="AA467" s="9">
        <f t="shared" si="256"/>
        <v>500450000</v>
      </c>
      <c r="AB467" s="15">
        <f t="shared" si="259"/>
        <v>0.58907656994879631</v>
      </c>
      <c r="AC467" s="34">
        <f t="shared" si="269"/>
        <v>0.20114482427160621</v>
      </c>
      <c r="AD467">
        <v>1618.5219999999999</v>
      </c>
      <c r="AE467">
        <f t="shared" si="262"/>
        <v>3.20911860699078</v>
      </c>
      <c r="AF467">
        <v>3845.9059999999999</v>
      </c>
      <c r="AG467">
        <f t="shared" si="263"/>
        <v>3.5849986651910224</v>
      </c>
      <c r="AH467" s="9">
        <v>624.5</v>
      </c>
      <c r="AI467" s="9">
        <f t="shared" si="270"/>
        <v>2.7962273140294389</v>
      </c>
      <c r="AJ467">
        <v>92.6</v>
      </c>
      <c r="AK467" s="23" t="s">
        <v>745</v>
      </c>
      <c r="AL467" s="42">
        <v>43.966315241865303</v>
      </c>
      <c r="AM467" s="24">
        <v>0.15</v>
      </c>
      <c r="AN467" s="34">
        <f t="shared" si="271"/>
        <v>6.069784035361165E-2</v>
      </c>
      <c r="AO467">
        <v>1984</v>
      </c>
      <c r="AP467">
        <v>29</v>
      </c>
      <c r="AQ467">
        <v>70</v>
      </c>
      <c r="AR467">
        <v>50</v>
      </c>
      <c r="AS467">
        <f t="shared" si="260"/>
        <v>0</v>
      </c>
      <c r="AT467">
        <f t="shared" si="272"/>
        <v>0</v>
      </c>
      <c r="AU467">
        <f t="shared" si="273"/>
        <v>0</v>
      </c>
      <c r="AV467">
        <f t="shared" si="274"/>
        <v>1</v>
      </c>
      <c r="AW467">
        <f t="shared" si="275"/>
        <v>0</v>
      </c>
      <c r="AX467">
        <f t="shared" si="276"/>
        <v>0</v>
      </c>
      <c r="AY467">
        <f t="shared" si="277"/>
        <v>0</v>
      </c>
      <c r="AZ467">
        <f t="shared" si="278"/>
        <v>0</v>
      </c>
      <c r="BA467">
        <f t="shared" si="279"/>
        <v>0</v>
      </c>
      <c r="BB467">
        <f t="shared" si="280"/>
        <v>0</v>
      </c>
      <c r="BC467">
        <f t="shared" si="281"/>
        <v>0</v>
      </c>
      <c r="BD467">
        <f t="shared" si="282"/>
        <v>0</v>
      </c>
      <c r="BE467">
        <f t="shared" si="283"/>
        <v>0</v>
      </c>
      <c r="BF467">
        <f t="shared" si="284"/>
        <v>0</v>
      </c>
      <c r="BG467">
        <f t="shared" si="285"/>
        <v>0</v>
      </c>
      <c r="BH467">
        <f t="shared" si="286"/>
        <v>0</v>
      </c>
      <c r="BI467">
        <f t="shared" si="287"/>
        <v>0</v>
      </c>
    </row>
    <row r="468" spans="1:61" x14ac:dyDescent="0.35">
      <c r="A468" t="s">
        <v>51</v>
      </c>
      <c r="B468" s="1">
        <v>40526</v>
      </c>
      <c r="C468" t="s">
        <v>966</v>
      </c>
      <c r="D468" t="s">
        <v>5</v>
      </c>
      <c r="E468" t="s">
        <v>961</v>
      </c>
      <c r="F468" t="s">
        <v>45</v>
      </c>
      <c r="G468" t="s">
        <v>64</v>
      </c>
      <c r="H468" s="139">
        <f t="shared" si="261"/>
        <v>1</v>
      </c>
      <c r="I468" t="s">
        <v>234</v>
      </c>
      <c r="J468" t="s">
        <v>326</v>
      </c>
      <c r="K468" s="2">
        <f t="shared" si="264"/>
        <v>8</v>
      </c>
      <c r="L468">
        <v>650000000</v>
      </c>
      <c r="M468" s="2">
        <f t="shared" si="265"/>
        <v>8.8129133566428557</v>
      </c>
      <c r="N468">
        <f t="shared" si="288"/>
        <v>650000000</v>
      </c>
      <c r="O468">
        <v>0</v>
      </c>
      <c r="P468" s="1">
        <v>42450</v>
      </c>
      <c r="Q468" s="89">
        <f t="shared" si="266"/>
        <v>2016</v>
      </c>
      <c r="R468" t="s">
        <v>322</v>
      </c>
      <c r="S468">
        <f>(220702020+242908320+124000000+134400000+130500000)</f>
        <v>852510340</v>
      </c>
      <c r="T468" s="21">
        <f t="shared" si="258"/>
        <v>5.2712328767123289</v>
      </c>
      <c r="U468">
        <v>6188.89</v>
      </c>
      <c r="V468">
        <f t="shared" si="267"/>
        <v>3.7916829312790057</v>
      </c>
      <c r="W468">
        <v>1995</v>
      </c>
      <c r="X468">
        <v>15</v>
      </c>
      <c r="Y468">
        <f t="shared" si="268"/>
        <v>1.2041199826559248</v>
      </c>
      <c r="Z468" s="45">
        <v>2.72</v>
      </c>
      <c r="AA468" s="9">
        <f t="shared" si="256"/>
        <v>202510340</v>
      </c>
      <c r="AB468" s="15">
        <f t="shared" si="259"/>
        <v>0.31155436923076918</v>
      </c>
      <c r="AC468" s="34">
        <f t="shared" si="269"/>
        <v>0.11778629856151522</v>
      </c>
      <c r="AD468">
        <v>1618.5219999999999</v>
      </c>
      <c r="AE468">
        <f t="shared" si="262"/>
        <v>3.20911860699078</v>
      </c>
      <c r="AF468">
        <v>3845.9059999999999</v>
      </c>
      <c r="AG468">
        <f t="shared" si="263"/>
        <v>3.5849986651910224</v>
      </c>
      <c r="AH468" s="9">
        <v>1084.3333333333301</v>
      </c>
      <c r="AI468" s="9">
        <f t="shared" si="270"/>
        <v>3.0355631414974997</v>
      </c>
      <c r="AJ468">
        <v>82.6</v>
      </c>
      <c r="AK468" s="23" t="s">
        <v>365</v>
      </c>
      <c r="AL468" s="42">
        <v>47.863614247473699</v>
      </c>
      <c r="AM468" s="24">
        <v>0.65</v>
      </c>
      <c r="AN468" s="34">
        <f t="shared" si="271"/>
        <v>0.21748394421390627</v>
      </c>
      <c r="AO468">
        <v>1984</v>
      </c>
      <c r="AP468">
        <v>26</v>
      </c>
      <c r="AQ468">
        <v>70</v>
      </c>
      <c r="AR468">
        <v>90</v>
      </c>
      <c r="AS468">
        <f t="shared" si="260"/>
        <v>0</v>
      </c>
      <c r="AT468">
        <f t="shared" si="272"/>
        <v>0</v>
      </c>
      <c r="AU468">
        <f t="shared" si="273"/>
        <v>0</v>
      </c>
      <c r="AV468">
        <f t="shared" si="274"/>
        <v>0</v>
      </c>
      <c r="AW468">
        <f t="shared" si="275"/>
        <v>0</v>
      </c>
      <c r="AX468">
        <f t="shared" si="276"/>
        <v>0</v>
      </c>
      <c r="AY468">
        <f t="shared" si="277"/>
        <v>1</v>
      </c>
      <c r="AZ468">
        <f t="shared" si="278"/>
        <v>0</v>
      </c>
      <c r="BA468">
        <f t="shared" si="279"/>
        <v>0</v>
      </c>
      <c r="BB468">
        <f t="shared" si="280"/>
        <v>0</v>
      </c>
      <c r="BC468">
        <f t="shared" si="281"/>
        <v>0</v>
      </c>
      <c r="BD468">
        <f t="shared" si="282"/>
        <v>0</v>
      </c>
      <c r="BE468">
        <f t="shared" si="283"/>
        <v>0</v>
      </c>
      <c r="BF468">
        <f t="shared" si="284"/>
        <v>0</v>
      </c>
      <c r="BG468">
        <f t="shared" si="285"/>
        <v>0</v>
      </c>
      <c r="BH468">
        <f t="shared" si="286"/>
        <v>0</v>
      </c>
      <c r="BI468">
        <f t="shared" si="287"/>
        <v>0</v>
      </c>
    </row>
    <row r="469" spans="1:61" x14ac:dyDescent="0.35">
      <c r="A469" t="s">
        <v>51</v>
      </c>
      <c r="B469" s="1">
        <v>37686</v>
      </c>
      <c r="C469" t="s">
        <v>967</v>
      </c>
      <c r="D469" t="s">
        <v>5</v>
      </c>
      <c r="E469" t="s">
        <v>964</v>
      </c>
      <c r="F469" t="s">
        <v>45</v>
      </c>
      <c r="G469" t="s">
        <v>64</v>
      </c>
      <c r="H469" s="139">
        <f t="shared" si="261"/>
        <v>1</v>
      </c>
      <c r="I469" t="s">
        <v>234</v>
      </c>
      <c r="J469" t="s">
        <v>326</v>
      </c>
      <c r="K469" s="2">
        <f t="shared" si="264"/>
        <v>8</v>
      </c>
      <c r="L469">
        <v>1000000000</v>
      </c>
      <c r="M469" s="2">
        <f t="shared" si="265"/>
        <v>9</v>
      </c>
      <c r="N469">
        <f t="shared" si="288"/>
        <v>1000000000</v>
      </c>
      <c r="O469">
        <v>0</v>
      </c>
      <c r="P469" s="1">
        <v>39449</v>
      </c>
      <c r="Q469" s="89">
        <f t="shared" si="266"/>
        <v>2008</v>
      </c>
      <c r="R469" t="s">
        <v>107</v>
      </c>
      <c r="S469">
        <v>2200000000</v>
      </c>
      <c r="T469" s="21">
        <f t="shared" si="258"/>
        <v>4.8301369863013699</v>
      </c>
      <c r="U469">
        <v>6188.89</v>
      </c>
      <c r="V469">
        <f t="shared" si="267"/>
        <v>3.7916829312790057</v>
      </c>
      <c r="W469">
        <v>1921</v>
      </c>
      <c r="X469">
        <v>82</v>
      </c>
      <c r="Y469">
        <f t="shared" si="268"/>
        <v>1.919078092376074</v>
      </c>
      <c r="Z469" s="45">
        <v>2.72</v>
      </c>
      <c r="AA469" s="9">
        <f t="shared" si="256"/>
        <v>1200000000</v>
      </c>
      <c r="AB469" s="15">
        <f t="shared" si="259"/>
        <v>1.2000000000000002</v>
      </c>
      <c r="AC469" s="34">
        <f t="shared" si="269"/>
        <v>0.34242268082220628</v>
      </c>
      <c r="AD469">
        <v>1618.5219999999999</v>
      </c>
      <c r="AE469">
        <f t="shared" si="262"/>
        <v>3.20911860699078</v>
      </c>
      <c r="AF469">
        <v>3845.9059999999999</v>
      </c>
      <c r="AG469">
        <f t="shared" si="263"/>
        <v>3.5849986651910224</v>
      </c>
      <c r="AH469" s="9">
        <v>1084.3333333333301</v>
      </c>
      <c r="AI469" s="9">
        <f t="shared" si="270"/>
        <v>3.0355631414974997</v>
      </c>
      <c r="AJ469">
        <v>70</v>
      </c>
      <c r="AK469" s="23" t="s">
        <v>480</v>
      </c>
      <c r="AL469" s="42">
        <v>44.539498059710198</v>
      </c>
      <c r="AM469" s="24">
        <v>0.76</v>
      </c>
      <c r="AN469" s="34">
        <f t="shared" si="271"/>
        <v>0.24551266781414982</v>
      </c>
      <c r="AO469">
        <v>1984</v>
      </c>
      <c r="AP469">
        <v>19</v>
      </c>
      <c r="AQ469">
        <v>95</v>
      </c>
      <c r="AR469">
        <v>80</v>
      </c>
      <c r="AS469">
        <f t="shared" si="260"/>
        <v>0</v>
      </c>
      <c r="AT469">
        <f t="shared" si="272"/>
        <v>0</v>
      </c>
      <c r="AU469">
        <f t="shared" si="273"/>
        <v>0</v>
      </c>
      <c r="AV469">
        <f t="shared" si="274"/>
        <v>0</v>
      </c>
      <c r="AW469">
        <f t="shared" si="275"/>
        <v>0</v>
      </c>
      <c r="AX469">
        <f t="shared" si="276"/>
        <v>0</v>
      </c>
      <c r="AY469">
        <f t="shared" si="277"/>
        <v>1</v>
      </c>
      <c r="AZ469">
        <f t="shared" si="278"/>
        <v>0</v>
      </c>
      <c r="BA469">
        <f t="shared" si="279"/>
        <v>0</v>
      </c>
      <c r="BB469">
        <f t="shared" si="280"/>
        <v>0</v>
      </c>
      <c r="BC469">
        <f t="shared" si="281"/>
        <v>0</v>
      </c>
      <c r="BD469">
        <f t="shared" si="282"/>
        <v>0</v>
      </c>
      <c r="BE469">
        <f t="shared" si="283"/>
        <v>0</v>
      </c>
      <c r="BF469">
        <f t="shared" si="284"/>
        <v>0</v>
      </c>
      <c r="BG469">
        <f t="shared" si="285"/>
        <v>0</v>
      </c>
      <c r="BH469">
        <f t="shared" si="286"/>
        <v>0</v>
      </c>
      <c r="BI469">
        <f t="shared" si="287"/>
        <v>0</v>
      </c>
    </row>
    <row r="470" spans="1:61" x14ac:dyDescent="0.35">
      <c r="A470" t="s">
        <v>51</v>
      </c>
      <c r="B470" s="1">
        <v>38358</v>
      </c>
      <c r="C470" s="8" t="s">
        <v>968</v>
      </c>
      <c r="D470" t="s">
        <v>497</v>
      </c>
      <c r="E470" s="8" t="s">
        <v>963</v>
      </c>
      <c r="F470" t="s">
        <v>45</v>
      </c>
      <c r="G470" t="s">
        <v>64</v>
      </c>
      <c r="H470" s="139">
        <f t="shared" si="261"/>
        <v>1</v>
      </c>
      <c r="I470" t="s">
        <v>611</v>
      </c>
      <c r="J470" t="s">
        <v>190</v>
      </c>
      <c r="K470" s="2">
        <f t="shared" si="264"/>
        <v>2</v>
      </c>
      <c r="L470">
        <v>2926900000</v>
      </c>
      <c r="M470" s="2">
        <f t="shared" si="265"/>
        <v>9.4664078846510513</v>
      </c>
      <c r="N470">
        <v>2954500000</v>
      </c>
      <c r="O470">
        <v>27600000</v>
      </c>
      <c r="P470" s="1">
        <v>40610</v>
      </c>
      <c r="Q470" s="89">
        <f t="shared" si="266"/>
        <v>2011</v>
      </c>
      <c r="R470" t="s">
        <v>322</v>
      </c>
      <c r="S470">
        <v>1026000000</v>
      </c>
      <c r="T470" s="21">
        <f t="shared" si="258"/>
        <v>6.1698630136986301</v>
      </c>
      <c r="U470">
        <v>5441.73</v>
      </c>
      <c r="V470">
        <f t="shared" si="267"/>
        <v>3.7358167906061537</v>
      </c>
      <c r="W470">
        <v>1977</v>
      </c>
      <c r="X470">
        <v>28</v>
      </c>
      <c r="Y470">
        <f t="shared" si="268"/>
        <v>1.4623979978989561</v>
      </c>
      <c r="Z470" s="45">
        <v>2.91</v>
      </c>
      <c r="AA470" s="9">
        <f t="shared" si="256"/>
        <v>-1928500000</v>
      </c>
      <c r="AB470" s="15">
        <f t="shared" si="259"/>
        <v>-0.64945847142027402</v>
      </c>
      <c r="AC470" s="34">
        <f t="shared" si="269"/>
        <v>-0.45526052387525323</v>
      </c>
      <c r="AD470">
        <v>1618.5219999999999</v>
      </c>
      <c r="AE470">
        <f t="shared" si="262"/>
        <v>3.20911860699078</v>
      </c>
      <c r="AF470">
        <v>3845.9059999999999</v>
      </c>
      <c r="AG470">
        <f t="shared" si="263"/>
        <v>3.5849986651910224</v>
      </c>
      <c r="AH470" s="9">
        <v>125.833333333333</v>
      </c>
      <c r="AI470" s="9">
        <f t="shared" si="270"/>
        <v>2.103233406386928</v>
      </c>
      <c r="AJ470">
        <v>85</v>
      </c>
      <c r="AK470" s="23" t="s">
        <v>969</v>
      </c>
      <c r="AL470" s="42">
        <v>33.3433362985758</v>
      </c>
      <c r="AM470" s="24">
        <v>0.11</v>
      </c>
      <c r="AN470" s="34">
        <f t="shared" si="271"/>
        <v>4.5322978786657475E-2</v>
      </c>
      <c r="AO470">
        <v>1984</v>
      </c>
      <c r="AP470">
        <v>21</v>
      </c>
      <c r="AQ470">
        <v>70</v>
      </c>
      <c r="AR470">
        <v>70</v>
      </c>
      <c r="AS470">
        <f t="shared" si="260"/>
        <v>0</v>
      </c>
      <c r="AT470">
        <f t="shared" si="272"/>
        <v>0</v>
      </c>
      <c r="AU470">
        <f t="shared" si="273"/>
        <v>0</v>
      </c>
      <c r="AV470">
        <f t="shared" si="274"/>
        <v>0</v>
      </c>
      <c r="AW470">
        <f t="shared" si="275"/>
        <v>0</v>
      </c>
      <c r="AX470">
        <f t="shared" si="276"/>
        <v>0</v>
      </c>
      <c r="AY470">
        <f t="shared" si="277"/>
        <v>0</v>
      </c>
      <c r="AZ470">
        <f t="shared" si="278"/>
        <v>0</v>
      </c>
      <c r="BA470">
        <f t="shared" si="279"/>
        <v>0</v>
      </c>
      <c r="BB470">
        <f t="shared" si="280"/>
        <v>0</v>
      </c>
      <c r="BC470">
        <f t="shared" si="281"/>
        <v>0</v>
      </c>
      <c r="BD470">
        <f t="shared" si="282"/>
        <v>0</v>
      </c>
      <c r="BE470">
        <f t="shared" si="283"/>
        <v>0</v>
      </c>
      <c r="BF470">
        <f t="shared" si="284"/>
        <v>0</v>
      </c>
      <c r="BG470">
        <f t="shared" si="285"/>
        <v>0</v>
      </c>
      <c r="BH470">
        <f t="shared" si="286"/>
        <v>1</v>
      </c>
      <c r="BI470">
        <f t="shared" si="287"/>
        <v>0</v>
      </c>
    </row>
    <row r="471" spans="1:61" x14ac:dyDescent="0.35">
      <c r="A471" t="s">
        <v>51</v>
      </c>
      <c r="B471" s="1">
        <v>41473</v>
      </c>
      <c r="C471" t="s">
        <v>970</v>
      </c>
      <c r="D471" t="s">
        <v>59</v>
      </c>
      <c r="E471" t="s">
        <v>971</v>
      </c>
      <c r="F471" t="s">
        <v>45</v>
      </c>
      <c r="G471" t="s">
        <v>64</v>
      </c>
      <c r="H471" s="139">
        <f t="shared" si="261"/>
        <v>1</v>
      </c>
      <c r="I471" t="s">
        <v>234</v>
      </c>
      <c r="J471" t="s">
        <v>190</v>
      </c>
      <c r="K471" s="2">
        <f t="shared" si="264"/>
        <v>2</v>
      </c>
      <c r="L471">
        <v>230000000</v>
      </c>
      <c r="M471" s="2">
        <f t="shared" si="265"/>
        <v>8.3617278360175931</v>
      </c>
      <c r="N471">
        <f t="shared" ref="N471:N481" si="289">L471</f>
        <v>230000000</v>
      </c>
      <c r="O471">
        <v>0</v>
      </c>
      <c r="P471" s="1">
        <v>42508</v>
      </c>
      <c r="Q471" s="89">
        <f t="shared" si="266"/>
        <v>2016</v>
      </c>
      <c r="R471" t="s">
        <v>107</v>
      </c>
      <c r="S471">
        <v>820000000</v>
      </c>
      <c r="T471" s="21">
        <f t="shared" si="258"/>
        <v>2.8356164383561642</v>
      </c>
      <c r="U471">
        <v>5897.96</v>
      </c>
      <c r="V471">
        <f t="shared" si="267"/>
        <v>3.7707754512906644</v>
      </c>
      <c r="W471">
        <v>1954</v>
      </c>
      <c r="X471">
        <v>59</v>
      </c>
      <c r="Y471">
        <f t="shared" si="268"/>
        <v>1.7781512503836436</v>
      </c>
      <c r="Z471" s="45">
        <v>2.3199999999999998</v>
      </c>
      <c r="AA471" s="9">
        <f t="shared" si="256"/>
        <v>590000000</v>
      </c>
      <c r="AB471" s="15">
        <f t="shared" si="259"/>
        <v>2.5652173913043477</v>
      </c>
      <c r="AC471" s="34">
        <f t="shared" si="269"/>
        <v>0.55208601636612376</v>
      </c>
      <c r="AD471">
        <v>1618.5219999999999</v>
      </c>
      <c r="AE471">
        <f t="shared" si="262"/>
        <v>3.20911860699078</v>
      </c>
      <c r="AF471">
        <v>3845.9059999999999</v>
      </c>
      <c r="AG471">
        <f t="shared" si="263"/>
        <v>3.5849986651910224</v>
      </c>
      <c r="AH471" s="9">
        <v>132</v>
      </c>
      <c r="AI471" s="9">
        <f t="shared" si="270"/>
        <v>2.1238516409670858</v>
      </c>
      <c r="AJ471">
        <v>94.1</v>
      </c>
      <c r="AK471" s="23" t="s">
        <v>70</v>
      </c>
      <c r="AL471" s="42">
        <v>43.9397801796012</v>
      </c>
      <c r="AM471" s="24">
        <v>0.21</v>
      </c>
      <c r="AN471" s="34">
        <f t="shared" si="271"/>
        <v>8.2785370316450071E-2</v>
      </c>
      <c r="AO471">
        <v>1984</v>
      </c>
      <c r="AP471">
        <v>29</v>
      </c>
      <c r="AQ471">
        <v>70</v>
      </c>
      <c r="AR471">
        <v>70</v>
      </c>
      <c r="AS471">
        <f t="shared" si="260"/>
        <v>0</v>
      </c>
      <c r="AT471">
        <f t="shared" si="272"/>
        <v>0</v>
      </c>
      <c r="AU471">
        <f t="shared" si="273"/>
        <v>1</v>
      </c>
      <c r="AV471">
        <f t="shared" si="274"/>
        <v>0</v>
      </c>
      <c r="AW471">
        <f t="shared" si="275"/>
        <v>0</v>
      </c>
      <c r="AX471">
        <f t="shared" si="276"/>
        <v>0</v>
      </c>
      <c r="AY471">
        <f t="shared" si="277"/>
        <v>0</v>
      </c>
      <c r="AZ471">
        <f t="shared" si="278"/>
        <v>0</v>
      </c>
      <c r="BA471">
        <f t="shared" si="279"/>
        <v>0</v>
      </c>
      <c r="BB471">
        <f t="shared" si="280"/>
        <v>0</v>
      </c>
      <c r="BC471">
        <f t="shared" si="281"/>
        <v>0</v>
      </c>
      <c r="BD471">
        <f t="shared" si="282"/>
        <v>0</v>
      </c>
      <c r="BE471">
        <f t="shared" si="283"/>
        <v>0</v>
      </c>
      <c r="BF471">
        <f t="shared" si="284"/>
        <v>0</v>
      </c>
      <c r="BG471">
        <f t="shared" si="285"/>
        <v>0</v>
      </c>
      <c r="BH471">
        <f t="shared" si="286"/>
        <v>0</v>
      </c>
      <c r="BI471">
        <f t="shared" si="287"/>
        <v>0</v>
      </c>
    </row>
    <row r="472" spans="1:61" x14ac:dyDescent="0.35">
      <c r="A472" t="s">
        <v>51</v>
      </c>
      <c r="B472" s="1">
        <v>39325</v>
      </c>
      <c r="C472" t="s">
        <v>972</v>
      </c>
      <c r="D472" t="s">
        <v>59</v>
      </c>
      <c r="E472" t="s">
        <v>973</v>
      </c>
      <c r="F472" t="s">
        <v>45</v>
      </c>
      <c r="G472" t="s">
        <v>64</v>
      </c>
      <c r="H472" s="139">
        <f t="shared" si="261"/>
        <v>1</v>
      </c>
      <c r="I472" t="s">
        <v>234</v>
      </c>
      <c r="J472" t="s">
        <v>248</v>
      </c>
      <c r="K472" s="2">
        <f t="shared" si="264"/>
        <v>5</v>
      </c>
      <c r="L472">
        <v>1300000000</v>
      </c>
      <c r="M472" s="2">
        <f t="shared" si="265"/>
        <v>9.1139433523068369</v>
      </c>
      <c r="N472">
        <f t="shared" si="289"/>
        <v>1300000000</v>
      </c>
      <c r="O472">
        <v>0</v>
      </c>
      <c r="P472" s="1">
        <v>42556</v>
      </c>
      <c r="Q472" s="89">
        <f t="shared" si="266"/>
        <v>2016</v>
      </c>
      <c r="R472" t="s">
        <v>107</v>
      </c>
      <c r="S472">
        <v>2188600000</v>
      </c>
      <c r="T472" s="21">
        <f t="shared" si="258"/>
        <v>8.8520547945205479</v>
      </c>
      <c r="U472">
        <v>5897.96</v>
      </c>
      <c r="V472">
        <f t="shared" si="267"/>
        <v>3.7707754512906644</v>
      </c>
      <c r="W472">
        <v>1958</v>
      </c>
      <c r="X472">
        <v>49</v>
      </c>
      <c r="Y472">
        <f t="shared" si="268"/>
        <v>1.6989700043360187</v>
      </c>
      <c r="Z472" s="45">
        <v>2.3199999999999998</v>
      </c>
      <c r="AA472" s="9">
        <f t="shared" si="256"/>
        <v>888600000</v>
      </c>
      <c r="AB472" s="15">
        <f t="shared" si="259"/>
        <v>0.68353846153846143</v>
      </c>
      <c r="AC472" s="34">
        <f t="shared" si="269"/>
        <v>0.22622304257923964</v>
      </c>
      <c r="AD472">
        <v>1618.5219999999999</v>
      </c>
      <c r="AE472">
        <f t="shared" si="262"/>
        <v>3.20911860699078</v>
      </c>
      <c r="AF472">
        <v>3845.9059999999999</v>
      </c>
      <c r="AG472">
        <f t="shared" si="263"/>
        <v>3.5849986651910224</v>
      </c>
      <c r="AH472" s="9">
        <v>132</v>
      </c>
      <c r="AI472" s="9">
        <f t="shared" si="270"/>
        <v>2.1238516409670858</v>
      </c>
      <c r="AJ472">
        <v>91.2</v>
      </c>
      <c r="AK472" s="23" t="s">
        <v>191</v>
      </c>
      <c r="AL472" s="42">
        <v>40.902544500539101</v>
      </c>
      <c r="AM472" s="24">
        <v>0.42</v>
      </c>
      <c r="AN472" s="34">
        <f t="shared" si="271"/>
        <v>0.15228834438305647</v>
      </c>
      <c r="AO472">
        <v>1984</v>
      </c>
      <c r="AP472">
        <v>23</v>
      </c>
      <c r="AQ472">
        <v>70</v>
      </c>
      <c r="AR472">
        <v>70</v>
      </c>
      <c r="AS472">
        <f t="shared" si="260"/>
        <v>0</v>
      </c>
      <c r="AT472">
        <f t="shared" si="272"/>
        <v>0</v>
      </c>
      <c r="AU472">
        <f t="shared" si="273"/>
        <v>1</v>
      </c>
      <c r="AV472">
        <f t="shared" si="274"/>
        <v>0</v>
      </c>
      <c r="AW472">
        <f t="shared" si="275"/>
        <v>0</v>
      </c>
      <c r="AX472">
        <f t="shared" si="276"/>
        <v>0</v>
      </c>
      <c r="AY472">
        <f t="shared" si="277"/>
        <v>0</v>
      </c>
      <c r="AZ472">
        <f t="shared" si="278"/>
        <v>0</v>
      </c>
      <c r="BA472">
        <f t="shared" si="279"/>
        <v>0</v>
      </c>
      <c r="BB472">
        <f t="shared" si="280"/>
        <v>0</v>
      </c>
      <c r="BC472">
        <f t="shared" si="281"/>
        <v>0</v>
      </c>
      <c r="BD472">
        <f t="shared" si="282"/>
        <v>0</v>
      </c>
      <c r="BE472">
        <f t="shared" si="283"/>
        <v>0</v>
      </c>
      <c r="BF472">
        <f t="shared" si="284"/>
        <v>0</v>
      </c>
      <c r="BG472">
        <f t="shared" si="285"/>
        <v>0</v>
      </c>
      <c r="BH472">
        <f t="shared" si="286"/>
        <v>0</v>
      </c>
      <c r="BI472">
        <f t="shared" si="287"/>
        <v>0</v>
      </c>
    </row>
    <row r="473" spans="1:61" x14ac:dyDescent="0.35">
      <c r="A473" t="s">
        <v>51</v>
      </c>
      <c r="B473" s="1">
        <v>37624</v>
      </c>
      <c r="C473" t="s">
        <v>974</v>
      </c>
      <c r="D473" t="s">
        <v>163</v>
      </c>
      <c r="E473" t="s">
        <v>964</v>
      </c>
      <c r="F473" t="s">
        <v>45</v>
      </c>
      <c r="G473" t="s">
        <v>64</v>
      </c>
      <c r="H473" s="139">
        <f t="shared" si="261"/>
        <v>1</v>
      </c>
      <c r="I473" t="s">
        <v>289</v>
      </c>
      <c r="J473" t="s">
        <v>326</v>
      </c>
      <c r="K473" s="2">
        <f t="shared" si="264"/>
        <v>8</v>
      </c>
      <c r="L473">
        <v>200000000</v>
      </c>
      <c r="M473" s="2">
        <f t="shared" si="265"/>
        <v>8.3010299956639813</v>
      </c>
      <c r="N473">
        <f t="shared" si="289"/>
        <v>200000000</v>
      </c>
      <c r="O473">
        <v>0</v>
      </c>
      <c r="P473" s="1">
        <v>40562</v>
      </c>
      <c r="Q473" s="89">
        <f t="shared" si="266"/>
        <v>2011</v>
      </c>
      <c r="R473" t="s">
        <v>114</v>
      </c>
      <c r="S473">
        <v>240000000</v>
      </c>
      <c r="T473" s="21">
        <f t="shared" si="258"/>
        <v>8.0493150684931507</v>
      </c>
      <c r="U473">
        <v>6164.6</v>
      </c>
      <c r="V473">
        <f t="shared" si="267"/>
        <v>3.7899753459779522</v>
      </c>
      <c r="W473">
        <v>2003</v>
      </c>
      <c r="X473">
        <v>0</v>
      </c>
      <c r="Y473">
        <f t="shared" si="268"/>
        <v>0</v>
      </c>
      <c r="Z473" s="45">
        <v>3.18</v>
      </c>
      <c r="AA473" s="9">
        <f t="shared" si="256"/>
        <v>40000000</v>
      </c>
      <c r="AB473" s="15">
        <f t="shared" si="259"/>
        <v>0.19999999999999996</v>
      </c>
      <c r="AC473" s="34">
        <f t="shared" si="269"/>
        <v>7.9181246047624818E-2</v>
      </c>
      <c r="AD473">
        <v>1618.5219999999999</v>
      </c>
      <c r="AE473">
        <f t="shared" si="262"/>
        <v>3.20911860699078</v>
      </c>
      <c r="AF473">
        <v>3845.9059999999999</v>
      </c>
      <c r="AG473">
        <f t="shared" si="263"/>
        <v>3.5849986651910224</v>
      </c>
      <c r="AH473" s="9">
        <v>583.83333333333303</v>
      </c>
      <c r="AI473" s="9">
        <f t="shared" si="270"/>
        <v>2.7670321178317625</v>
      </c>
      <c r="AJ473">
        <v>70</v>
      </c>
      <c r="AK473" s="23" t="s">
        <v>166</v>
      </c>
      <c r="AL473" s="42">
        <v>53.270504198897903</v>
      </c>
      <c r="AM473" s="24">
        <v>0.41</v>
      </c>
      <c r="AN473" s="34">
        <f t="shared" si="271"/>
        <v>0.14921911265537988</v>
      </c>
      <c r="AO473">
        <v>1984</v>
      </c>
      <c r="AP473">
        <v>19</v>
      </c>
      <c r="AQ473">
        <v>85</v>
      </c>
      <c r="AR473">
        <v>80</v>
      </c>
      <c r="AS473">
        <f t="shared" si="260"/>
        <v>0</v>
      </c>
      <c r="AT473">
        <f t="shared" si="272"/>
        <v>0</v>
      </c>
      <c r="AU473">
        <f t="shared" si="273"/>
        <v>0</v>
      </c>
      <c r="AV473">
        <f t="shared" si="274"/>
        <v>0</v>
      </c>
      <c r="AW473">
        <f t="shared" si="275"/>
        <v>0</v>
      </c>
      <c r="AX473">
        <f t="shared" si="276"/>
        <v>0</v>
      </c>
      <c r="AY473">
        <f t="shared" si="277"/>
        <v>0</v>
      </c>
      <c r="AZ473">
        <f t="shared" si="278"/>
        <v>1</v>
      </c>
      <c r="BA473">
        <f t="shared" si="279"/>
        <v>0</v>
      </c>
      <c r="BB473">
        <f t="shared" si="280"/>
        <v>0</v>
      </c>
      <c r="BC473">
        <f t="shared" si="281"/>
        <v>0</v>
      </c>
      <c r="BD473">
        <f t="shared" si="282"/>
        <v>0</v>
      </c>
      <c r="BE473">
        <f t="shared" si="283"/>
        <v>0</v>
      </c>
      <c r="BF473">
        <f t="shared" si="284"/>
        <v>0</v>
      </c>
      <c r="BG473">
        <f t="shared" si="285"/>
        <v>0</v>
      </c>
      <c r="BH473">
        <f t="shared" si="286"/>
        <v>0</v>
      </c>
      <c r="BI473">
        <f t="shared" si="287"/>
        <v>0</v>
      </c>
    </row>
    <row r="474" spans="1:61" x14ac:dyDescent="0.35">
      <c r="A474" t="s">
        <v>975</v>
      </c>
      <c r="B474" s="1">
        <v>39806</v>
      </c>
      <c r="C474" t="s">
        <v>976</v>
      </c>
      <c r="D474" t="s">
        <v>434</v>
      </c>
      <c r="E474" t="s">
        <v>961</v>
      </c>
      <c r="F474" t="s">
        <v>45</v>
      </c>
      <c r="G474" t="s">
        <v>64</v>
      </c>
      <c r="H474" s="139">
        <f t="shared" si="261"/>
        <v>1</v>
      </c>
      <c r="I474" t="s">
        <v>234</v>
      </c>
      <c r="J474" t="s">
        <v>186</v>
      </c>
      <c r="K474" s="2">
        <f t="shared" si="264"/>
        <v>4</v>
      </c>
      <c r="L474">
        <v>535000000</v>
      </c>
      <c r="M474" s="2">
        <f t="shared" si="265"/>
        <v>8.7283537820212285</v>
      </c>
      <c r="N474">
        <f t="shared" si="289"/>
        <v>535000000</v>
      </c>
      <c r="O474">
        <v>0</v>
      </c>
      <c r="P474" s="1">
        <v>41333</v>
      </c>
      <c r="Q474" s="89">
        <f t="shared" si="266"/>
        <v>2013</v>
      </c>
      <c r="R474" t="s">
        <v>54</v>
      </c>
      <c r="S474">
        <v>1039600000</v>
      </c>
      <c r="T474" s="21">
        <f t="shared" si="258"/>
        <v>4.183561643835616</v>
      </c>
      <c r="U474">
        <v>7216.98</v>
      </c>
      <c r="V474">
        <f t="shared" si="267"/>
        <v>3.8584156743566731</v>
      </c>
      <c r="W474">
        <v>1974</v>
      </c>
      <c r="X474">
        <v>34</v>
      </c>
      <c r="Y474">
        <f t="shared" si="268"/>
        <v>1.5440680443502757</v>
      </c>
      <c r="Z474" s="45">
        <v>2.66</v>
      </c>
      <c r="AA474" s="9">
        <f t="shared" si="256"/>
        <v>504600000</v>
      </c>
      <c r="AB474" s="15">
        <f t="shared" si="259"/>
        <v>0.94317757009345793</v>
      </c>
      <c r="AC474" s="34">
        <f t="shared" si="269"/>
        <v>0.28851248880774655</v>
      </c>
      <c r="AD474">
        <v>1618.5219999999999</v>
      </c>
      <c r="AE474">
        <f t="shared" si="262"/>
        <v>3.20911860699078</v>
      </c>
      <c r="AF474">
        <v>3845.9059999999999</v>
      </c>
      <c r="AG474">
        <f t="shared" si="263"/>
        <v>3.5849986651910224</v>
      </c>
      <c r="AH474" s="9">
        <v>649.83333333333303</v>
      </c>
      <c r="AI474" s="9">
        <f t="shared" si="270"/>
        <v>2.8134697878296753</v>
      </c>
      <c r="AJ474">
        <v>77</v>
      </c>
      <c r="AK474" s="23" t="s">
        <v>435</v>
      </c>
      <c r="AL474" s="42">
        <v>47.830384300274197</v>
      </c>
      <c r="AM474" s="24">
        <v>0.74</v>
      </c>
      <c r="AN474" s="34">
        <f t="shared" si="271"/>
        <v>0.24054924828259971</v>
      </c>
      <c r="AO474">
        <v>1984</v>
      </c>
      <c r="AP474">
        <v>24</v>
      </c>
      <c r="AQ474">
        <v>90</v>
      </c>
      <c r="AR474">
        <v>70</v>
      </c>
      <c r="AS474">
        <f t="shared" si="260"/>
        <v>0</v>
      </c>
      <c r="AT474">
        <f t="shared" si="272"/>
        <v>0</v>
      </c>
      <c r="AU474">
        <f t="shared" si="273"/>
        <v>0</v>
      </c>
      <c r="AV474">
        <f t="shared" si="274"/>
        <v>0</v>
      </c>
      <c r="AW474">
        <f t="shared" si="275"/>
        <v>0</v>
      </c>
      <c r="AX474">
        <f t="shared" si="276"/>
        <v>0</v>
      </c>
      <c r="AY474">
        <f t="shared" si="277"/>
        <v>0</v>
      </c>
      <c r="AZ474">
        <f t="shared" si="278"/>
        <v>0</v>
      </c>
      <c r="BA474">
        <f t="shared" si="279"/>
        <v>0</v>
      </c>
      <c r="BB474">
        <f t="shared" si="280"/>
        <v>0</v>
      </c>
      <c r="BC474">
        <f t="shared" si="281"/>
        <v>1</v>
      </c>
      <c r="BD474">
        <f t="shared" si="282"/>
        <v>0</v>
      </c>
      <c r="BE474">
        <f t="shared" si="283"/>
        <v>0</v>
      </c>
      <c r="BF474">
        <f t="shared" si="284"/>
        <v>0</v>
      </c>
      <c r="BG474">
        <f t="shared" si="285"/>
        <v>0</v>
      </c>
      <c r="BH474">
        <f t="shared" si="286"/>
        <v>0</v>
      </c>
      <c r="BI474">
        <f t="shared" si="287"/>
        <v>0</v>
      </c>
    </row>
    <row r="475" spans="1:61" x14ac:dyDescent="0.35">
      <c r="A475" t="s">
        <v>977</v>
      </c>
      <c r="B475" s="1">
        <v>38343</v>
      </c>
      <c r="C475" t="s">
        <v>978</v>
      </c>
      <c r="D475" t="s">
        <v>434</v>
      </c>
      <c r="E475" t="s">
        <v>963</v>
      </c>
      <c r="F475" t="s">
        <v>45</v>
      </c>
      <c r="G475" t="s">
        <v>64</v>
      </c>
      <c r="H475" s="139">
        <f t="shared" si="261"/>
        <v>1</v>
      </c>
      <c r="I475" t="s">
        <v>234</v>
      </c>
      <c r="J475" t="s">
        <v>178</v>
      </c>
      <c r="K475" s="2">
        <f t="shared" si="264"/>
        <v>9</v>
      </c>
      <c r="L475">
        <v>200000000</v>
      </c>
      <c r="M475" s="2">
        <f t="shared" si="265"/>
        <v>8.3010299956639813</v>
      </c>
      <c r="N475">
        <f t="shared" si="289"/>
        <v>200000000</v>
      </c>
      <c r="O475">
        <v>0</v>
      </c>
      <c r="P475" s="1">
        <v>40450</v>
      </c>
      <c r="Q475" s="89">
        <f t="shared" si="266"/>
        <v>2010</v>
      </c>
      <c r="R475" t="s">
        <v>54</v>
      </c>
      <c r="S475">
        <v>470145833</v>
      </c>
      <c r="T475" s="21">
        <f t="shared" si="258"/>
        <v>5.7726027397260271</v>
      </c>
      <c r="U475">
        <v>7216.98</v>
      </c>
      <c r="V475">
        <f t="shared" si="267"/>
        <v>3.8584156743566731</v>
      </c>
      <c r="W475">
        <v>1979</v>
      </c>
      <c r="X475">
        <v>25</v>
      </c>
      <c r="Y475">
        <f t="shared" si="268"/>
        <v>1.414973347970818</v>
      </c>
      <c r="Z475" s="45">
        <v>2.66</v>
      </c>
      <c r="AA475" s="9">
        <f t="shared" si="256"/>
        <v>270145833</v>
      </c>
      <c r="AB475" s="15">
        <f t="shared" si="259"/>
        <v>1.3507291650000002</v>
      </c>
      <c r="AC475" s="34">
        <f t="shared" si="269"/>
        <v>0.37120259555558283</v>
      </c>
      <c r="AD475">
        <v>1618.5219999999999</v>
      </c>
      <c r="AE475">
        <f t="shared" si="262"/>
        <v>3.20911860699078</v>
      </c>
      <c r="AF475">
        <v>3845.9059999999999</v>
      </c>
      <c r="AG475">
        <f t="shared" si="263"/>
        <v>3.5849986651910224</v>
      </c>
      <c r="AH475" s="9">
        <v>649.83333333333303</v>
      </c>
      <c r="AI475" s="9">
        <f t="shared" si="270"/>
        <v>2.8134697878296753</v>
      </c>
      <c r="AJ475">
        <v>70</v>
      </c>
      <c r="AK475" s="23" t="s">
        <v>545</v>
      </c>
      <c r="AL475" s="42">
        <v>46.838198746764199</v>
      </c>
      <c r="AM475" s="24">
        <v>-0.05</v>
      </c>
      <c r="AN475" s="34">
        <f t="shared" si="271"/>
        <v>-2.2276394711152253E-2</v>
      </c>
      <c r="AO475">
        <v>1984</v>
      </c>
      <c r="AP475">
        <v>20</v>
      </c>
      <c r="AQ475">
        <v>90</v>
      </c>
      <c r="AR475">
        <v>70</v>
      </c>
      <c r="AS475">
        <f t="shared" si="260"/>
        <v>0</v>
      </c>
      <c r="AT475">
        <f t="shared" si="272"/>
        <v>0</v>
      </c>
      <c r="AU475">
        <f t="shared" si="273"/>
        <v>0</v>
      </c>
      <c r="AV475">
        <f t="shared" si="274"/>
        <v>0</v>
      </c>
      <c r="AW475">
        <f t="shared" si="275"/>
        <v>0</v>
      </c>
      <c r="AX475">
        <f t="shared" si="276"/>
        <v>0</v>
      </c>
      <c r="AY475">
        <f t="shared" si="277"/>
        <v>0</v>
      </c>
      <c r="AZ475">
        <f t="shared" si="278"/>
        <v>0</v>
      </c>
      <c r="BA475">
        <f t="shared" si="279"/>
        <v>0</v>
      </c>
      <c r="BB475">
        <f t="shared" si="280"/>
        <v>0</v>
      </c>
      <c r="BC475">
        <f t="shared" si="281"/>
        <v>1</v>
      </c>
      <c r="BD475">
        <f t="shared" si="282"/>
        <v>0</v>
      </c>
      <c r="BE475">
        <f t="shared" si="283"/>
        <v>0</v>
      </c>
      <c r="BF475">
        <f t="shared" si="284"/>
        <v>0</v>
      </c>
      <c r="BG475">
        <f t="shared" si="285"/>
        <v>0</v>
      </c>
      <c r="BH475">
        <f t="shared" si="286"/>
        <v>0</v>
      </c>
      <c r="BI475">
        <f t="shared" si="287"/>
        <v>0</v>
      </c>
    </row>
    <row r="476" spans="1:61" ht="13.5" customHeight="1" x14ac:dyDescent="0.35">
      <c r="A476" t="s">
        <v>421</v>
      </c>
      <c r="B476" s="1">
        <v>38923</v>
      </c>
      <c r="C476" t="s">
        <v>979</v>
      </c>
      <c r="D476" t="s">
        <v>45</v>
      </c>
      <c r="E476" t="s">
        <v>939</v>
      </c>
      <c r="F476" t="s">
        <v>45</v>
      </c>
      <c r="G476" t="s">
        <v>47</v>
      </c>
      <c r="H476" s="139">
        <f t="shared" si="261"/>
        <v>0</v>
      </c>
      <c r="I476" t="s">
        <v>234</v>
      </c>
      <c r="J476" t="s">
        <v>186</v>
      </c>
      <c r="K476" s="2">
        <f t="shared" si="264"/>
        <v>4</v>
      </c>
      <c r="L476">
        <v>130000000</v>
      </c>
      <c r="M476" s="2">
        <f t="shared" si="265"/>
        <v>8.1139433523068369</v>
      </c>
      <c r="N476">
        <f t="shared" si="289"/>
        <v>130000000</v>
      </c>
      <c r="O476">
        <v>0</v>
      </c>
      <c r="P476" s="1">
        <v>40442</v>
      </c>
      <c r="Q476" s="89">
        <f t="shared" si="266"/>
        <v>2010</v>
      </c>
      <c r="R476" t="s">
        <v>338</v>
      </c>
      <c r="S476">
        <v>0</v>
      </c>
      <c r="T476" s="21">
        <f t="shared" si="258"/>
        <v>4.161643835616438</v>
      </c>
      <c r="U476">
        <v>0</v>
      </c>
      <c r="V476">
        <f t="shared" si="267"/>
        <v>0</v>
      </c>
      <c r="W476">
        <v>1960</v>
      </c>
      <c r="X476">
        <v>46</v>
      </c>
      <c r="Y476">
        <f t="shared" si="268"/>
        <v>1.6720978579357175</v>
      </c>
      <c r="Z476" s="45">
        <v>2.95</v>
      </c>
      <c r="AA476" s="9">
        <f t="shared" si="256"/>
        <v>-130000000</v>
      </c>
      <c r="AB476" s="15">
        <f t="shared" si="259"/>
        <v>-1</v>
      </c>
      <c r="AC476" s="34">
        <f t="shared" si="269"/>
        <v>-1</v>
      </c>
      <c r="AD476">
        <v>2229.0809327846364</v>
      </c>
      <c r="AE476">
        <f t="shared" si="262"/>
        <v>3.3481258369969185</v>
      </c>
      <c r="AF476">
        <v>7475.9945130315509</v>
      </c>
      <c r="AG476">
        <f t="shared" si="263"/>
        <v>3.8736689739586678</v>
      </c>
      <c r="AH476" s="9">
        <v>0</v>
      </c>
      <c r="AI476" s="9">
        <f t="shared" si="270"/>
        <v>0</v>
      </c>
      <c r="AJ476">
        <v>93.2</v>
      </c>
      <c r="AK476" s="23" t="s">
        <v>103</v>
      </c>
      <c r="AL476" s="42">
        <v>36.669158714517401</v>
      </c>
      <c r="AM476" s="24">
        <v>-0.1</v>
      </c>
      <c r="AN476" s="34">
        <f t="shared" si="271"/>
        <v>-4.5757490560675115E-2</v>
      </c>
      <c r="AO476">
        <v>2005</v>
      </c>
      <c r="AP476">
        <v>1</v>
      </c>
      <c r="AQ476">
        <v>70</v>
      </c>
      <c r="AR476">
        <v>70</v>
      </c>
      <c r="AS476">
        <f t="shared" si="260"/>
        <v>1</v>
      </c>
      <c r="AT476">
        <f t="shared" si="272"/>
        <v>1</v>
      </c>
      <c r="AU476">
        <f t="shared" si="273"/>
        <v>0</v>
      </c>
      <c r="AV476">
        <f t="shared" si="274"/>
        <v>0</v>
      </c>
      <c r="AW476">
        <f t="shared" si="275"/>
        <v>0</v>
      </c>
      <c r="AX476">
        <f t="shared" si="276"/>
        <v>0</v>
      </c>
      <c r="AY476">
        <f t="shared" si="277"/>
        <v>0</v>
      </c>
      <c r="AZ476">
        <f t="shared" si="278"/>
        <v>0</v>
      </c>
      <c r="BA476">
        <f t="shared" si="279"/>
        <v>0</v>
      </c>
      <c r="BB476">
        <f t="shared" si="280"/>
        <v>0</v>
      </c>
      <c r="BC476">
        <f t="shared" si="281"/>
        <v>0</v>
      </c>
      <c r="BD476">
        <f t="shared" si="282"/>
        <v>0</v>
      </c>
      <c r="BE476">
        <f t="shared" si="283"/>
        <v>0</v>
      </c>
      <c r="BF476">
        <f t="shared" si="284"/>
        <v>0</v>
      </c>
      <c r="BG476">
        <f t="shared" si="285"/>
        <v>0</v>
      </c>
      <c r="BH476">
        <f t="shared" si="286"/>
        <v>0</v>
      </c>
      <c r="BI476">
        <f t="shared" si="287"/>
        <v>0</v>
      </c>
    </row>
    <row r="477" spans="1:61" x14ac:dyDescent="0.35">
      <c r="A477" t="s">
        <v>51</v>
      </c>
      <c r="B477" s="1">
        <v>35870</v>
      </c>
      <c r="C477" t="s">
        <v>980</v>
      </c>
      <c r="D477" t="s">
        <v>59</v>
      </c>
      <c r="E477" t="s">
        <v>981</v>
      </c>
      <c r="F477" t="s">
        <v>45</v>
      </c>
      <c r="G477" t="s">
        <v>64</v>
      </c>
      <c r="H477" s="139">
        <f t="shared" si="261"/>
        <v>1</v>
      </c>
      <c r="I477" t="s">
        <v>289</v>
      </c>
      <c r="J477" t="s">
        <v>235</v>
      </c>
      <c r="K477" s="2">
        <f t="shared" si="264"/>
        <v>1</v>
      </c>
      <c r="L477">
        <v>44000000</v>
      </c>
      <c r="M477" s="2">
        <f t="shared" si="265"/>
        <v>7.6434526764861879</v>
      </c>
      <c r="N477">
        <f t="shared" si="289"/>
        <v>44000000</v>
      </c>
      <c r="O477">
        <v>0</v>
      </c>
      <c r="P477" s="1">
        <v>38930</v>
      </c>
      <c r="Q477" s="89">
        <f t="shared" si="266"/>
        <v>2006</v>
      </c>
      <c r="R477" t="s">
        <v>107</v>
      </c>
      <c r="S477">
        <v>84070000</v>
      </c>
      <c r="T477" s="21">
        <f t="shared" si="258"/>
        <v>8.3835616438356162</v>
      </c>
      <c r="U477">
        <v>5897.96</v>
      </c>
      <c r="V477">
        <f t="shared" si="267"/>
        <v>3.7707754512906644</v>
      </c>
      <c r="W477">
        <v>1971</v>
      </c>
      <c r="X477">
        <v>27</v>
      </c>
      <c r="Y477">
        <f t="shared" si="268"/>
        <v>1.4471580313422192</v>
      </c>
      <c r="Z477" s="45">
        <v>2.3199999999999998</v>
      </c>
      <c r="AA477" s="9">
        <f t="shared" si="256"/>
        <v>40070000</v>
      </c>
      <c r="AB477" s="15">
        <f t="shared" si="259"/>
        <v>0.91068181818181815</v>
      </c>
      <c r="AC477" s="34">
        <f t="shared" si="269"/>
        <v>0.28118837093097543</v>
      </c>
      <c r="AD477">
        <v>2094.8028483366988</v>
      </c>
      <c r="AE477">
        <f t="shared" si="262"/>
        <v>3.3211431557469533</v>
      </c>
      <c r="AF477">
        <v>8441.9173132107553</v>
      </c>
      <c r="AG477">
        <f t="shared" si="263"/>
        <v>3.9264410940169014</v>
      </c>
      <c r="AH477" s="9">
        <v>132</v>
      </c>
      <c r="AI477" s="9">
        <f t="shared" si="270"/>
        <v>2.1238516409670858</v>
      </c>
      <c r="AJ477">
        <v>85</v>
      </c>
      <c r="AK477" s="23" t="s">
        <v>249</v>
      </c>
      <c r="AL477" s="42">
        <v>35.516899069648296</v>
      </c>
      <c r="AM477" s="24">
        <v>0.18</v>
      </c>
      <c r="AN477" s="34">
        <f t="shared" si="271"/>
        <v>7.1882007306125359E-2</v>
      </c>
      <c r="AO477">
        <v>1965</v>
      </c>
      <c r="AP477">
        <v>33</v>
      </c>
      <c r="AQ477">
        <v>70</v>
      </c>
      <c r="AR477">
        <v>70</v>
      </c>
      <c r="AS477">
        <f t="shared" si="260"/>
        <v>0</v>
      </c>
      <c r="AT477">
        <f t="shared" si="272"/>
        <v>0</v>
      </c>
      <c r="AU477">
        <f t="shared" si="273"/>
        <v>1</v>
      </c>
      <c r="AV477">
        <f t="shared" si="274"/>
        <v>0</v>
      </c>
      <c r="AW477">
        <f t="shared" si="275"/>
        <v>0</v>
      </c>
      <c r="AX477">
        <f t="shared" si="276"/>
        <v>0</v>
      </c>
      <c r="AY477">
        <f t="shared" si="277"/>
        <v>0</v>
      </c>
      <c r="AZ477">
        <f t="shared" si="278"/>
        <v>0</v>
      </c>
      <c r="BA477">
        <f t="shared" si="279"/>
        <v>0</v>
      </c>
      <c r="BB477">
        <f t="shared" si="280"/>
        <v>0</v>
      </c>
      <c r="BC477">
        <f t="shared" si="281"/>
        <v>0</v>
      </c>
      <c r="BD477">
        <f t="shared" si="282"/>
        <v>0</v>
      </c>
      <c r="BE477">
        <f t="shared" si="283"/>
        <v>0</v>
      </c>
      <c r="BF477">
        <f t="shared" si="284"/>
        <v>0</v>
      </c>
      <c r="BG477">
        <f t="shared" si="285"/>
        <v>0</v>
      </c>
      <c r="BH477">
        <f t="shared" si="286"/>
        <v>0</v>
      </c>
      <c r="BI477">
        <f t="shared" si="287"/>
        <v>0</v>
      </c>
    </row>
    <row r="478" spans="1:61" x14ac:dyDescent="0.35">
      <c r="A478" t="s">
        <v>51</v>
      </c>
      <c r="B478" s="1">
        <v>38600</v>
      </c>
      <c r="C478" t="s">
        <v>982</v>
      </c>
      <c r="D478" t="s">
        <v>59</v>
      </c>
      <c r="E478" t="s">
        <v>983</v>
      </c>
      <c r="F478" t="s">
        <v>45</v>
      </c>
      <c r="G478" t="s">
        <v>64</v>
      </c>
      <c r="H478" s="139">
        <f t="shared" si="261"/>
        <v>1</v>
      </c>
      <c r="I478" t="s">
        <v>234</v>
      </c>
      <c r="J478" t="s">
        <v>248</v>
      </c>
      <c r="K478" s="2">
        <f t="shared" si="264"/>
        <v>5</v>
      </c>
      <c r="L478">
        <v>293000000</v>
      </c>
      <c r="M478" s="2">
        <f t="shared" si="265"/>
        <v>8.46686762035411</v>
      </c>
      <c r="N478">
        <f t="shared" si="289"/>
        <v>293000000</v>
      </c>
      <c r="O478">
        <v>0</v>
      </c>
      <c r="P478" s="1">
        <v>39314</v>
      </c>
      <c r="Q478" s="89">
        <f t="shared" si="266"/>
        <v>2007</v>
      </c>
      <c r="R478" t="s">
        <v>114</v>
      </c>
      <c r="S478">
        <v>436128000</v>
      </c>
      <c r="T478" s="21">
        <f t="shared" si="258"/>
        <v>1.9561643835616438</v>
      </c>
      <c r="U478">
        <v>5897.96</v>
      </c>
      <c r="V478">
        <f t="shared" si="267"/>
        <v>3.7707754512906644</v>
      </c>
      <c r="W478">
        <v>1980</v>
      </c>
      <c r="X478">
        <v>25</v>
      </c>
      <c r="Y478">
        <f t="shared" si="268"/>
        <v>1.414973347970818</v>
      </c>
      <c r="Z478" s="45">
        <v>2.3199999999999998</v>
      </c>
      <c r="AA478" s="9">
        <f t="shared" si="256"/>
        <v>143128000</v>
      </c>
      <c r="AB478" s="15">
        <f t="shared" si="259"/>
        <v>0.48849146757679174</v>
      </c>
      <c r="AC478" s="34">
        <f t="shared" si="269"/>
        <v>0.17274634950008499</v>
      </c>
      <c r="AD478">
        <v>2065.9722222222217</v>
      </c>
      <c r="AE478">
        <f t="shared" si="262"/>
        <v>3.3151244779693188</v>
      </c>
      <c r="AF478">
        <v>7039.9305555555566</v>
      </c>
      <c r="AG478">
        <f t="shared" si="263"/>
        <v>3.8475683751239629</v>
      </c>
      <c r="AH478" s="9">
        <v>132</v>
      </c>
      <c r="AI478" s="9">
        <f t="shared" si="270"/>
        <v>2.1238516409670858</v>
      </c>
      <c r="AJ478">
        <v>85</v>
      </c>
      <c r="AK478" s="23" t="s">
        <v>171</v>
      </c>
      <c r="AL478" s="42">
        <v>41.286751495766303</v>
      </c>
      <c r="AM478" s="24">
        <v>0.19</v>
      </c>
      <c r="AN478" s="34">
        <f t="shared" si="271"/>
        <v>7.554696139253074E-2</v>
      </c>
      <c r="AO478">
        <v>1987</v>
      </c>
      <c r="AP478">
        <v>18</v>
      </c>
      <c r="AQ478">
        <v>70</v>
      </c>
      <c r="AR478">
        <v>70</v>
      </c>
      <c r="AS478">
        <f t="shared" si="260"/>
        <v>0</v>
      </c>
      <c r="AT478">
        <f t="shared" si="272"/>
        <v>0</v>
      </c>
      <c r="AU478">
        <f t="shared" si="273"/>
        <v>1</v>
      </c>
      <c r="AV478">
        <f t="shared" si="274"/>
        <v>0</v>
      </c>
      <c r="AW478">
        <f t="shared" si="275"/>
        <v>0</v>
      </c>
      <c r="AX478">
        <f t="shared" si="276"/>
        <v>0</v>
      </c>
      <c r="AY478">
        <f t="shared" si="277"/>
        <v>0</v>
      </c>
      <c r="AZ478">
        <f t="shared" si="278"/>
        <v>0</v>
      </c>
      <c r="BA478">
        <f t="shared" si="279"/>
        <v>0</v>
      </c>
      <c r="BB478">
        <f t="shared" si="280"/>
        <v>0</v>
      </c>
      <c r="BC478">
        <f t="shared" si="281"/>
        <v>0</v>
      </c>
      <c r="BD478">
        <f t="shared" si="282"/>
        <v>0</v>
      </c>
      <c r="BE478">
        <f t="shared" si="283"/>
        <v>0</v>
      </c>
      <c r="BF478">
        <f t="shared" si="284"/>
        <v>0</v>
      </c>
      <c r="BG478">
        <f t="shared" si="285"/>
        <v>0</v>
      </c>
      <c r="BH478">
        <f t="shared" si="286"/>
        <v>0</v>
      </c>
      <c r="BI478">
        <f t="shared" si="287"/>
        <v>0</v>
      </c>
    </row>
    <row r="479" spans="1:61" x14ac:dyDescent="0.35">
      <c r="A479" t="s">
        <v>51</v>
      </c>
      <c r="B479" s="1">
        <v>35401</v>
      </c>
      <c r="C479" t="s">
        <v>984</v>
      </c>
      <c r="D479" t="s">
        <v>5</v>
      </c>
      <c r="E479" t="s">
        <v>985</v>
      </c>
      <c r="F479" t="s">
        <v>45</v>
      </c>
      <c r="G479" t="s">
        <v>64</v>
      </c>
      <c r="H479" s="139">
        <f t="shared" si="261"/>
        <v>1</v>
      </c>
      <c r="I479" t="s">
        <v>234</v>
      </c>
      <c r="J479" t="s">
        <v>235</v>
      </c>
      <c r="K479" s="2">
        <f t="shared" si="264"/>
        <v>1</v>
      </c>
      <c r="L479">
        <v>210000000</v>
      </c>
      <c r="M479" s="2">
        <f t="shared" si="265"/>
        <v>8.3222192947339195</v>
      </c>
      <c r="N479">
        <f t="shared" si="289"/>
        <v>210000000</v>
      </c>
      <c r="O479">
        <v>0</v>
      </c>
      <c r="P479" s="1">
        <v>37315</v>
      </c>
      <c r="Q479" s="89">
        <f t="shared" si="266"/>
        <v>2002</v>
      </c>
      <c r="R479" t="s">
        <v>107</v>
      </c>
      <c r="S479">
        <v>300000000</v>
      </c>
      <c r="T479" s="21">
        <f t="shared" si="258"/>
        <v>5.2438356164383562</v>
      </c>
      <c r="U479">
        <v>6188.89</v>
      </c>
      <c r="V479">
        <f t="shared" si="267"/>
        <v>3.7916829312790057</v>
      </c>
      <c r="W479">
        <v>1996</v>
      </c>
      <c r="X479">
        <v>0</v>
      </c>
      <c r="Y479">
        <f t="shared" si="268"/>
        <v>0</v>
      </c>
      <c r="Z479" s="45">
        <v>2.72</v>
      </c>
      <c r="AA479" s="9">
        <f t="shared" si="256"/>
        <v>90000000</v>
      </c>
      <c r="AB479" s="15">
        <f t="shared" si="259"/>
        <v>0.4285714285714286</v>
      </c>
      <c r="AC479" s="34">
        <f t="shared" si="269"/>
        <v>0.15490195998574319</v>
      </c>
      <c r="AD479">
        <v>2065.9722222222217</v>
      </c>
      <c r="AE479">
        <f t="shared" si="262"/>
        <v>3.3151244779693188</v>
      </c>
      <c r="AF479">
        <v>7039.9305555555566</v>
      </c>
      <c r="AG479">
        <f t="shared" si="263"/>
        <v>3.8475683751239629</v>
      </c>
      <c r="AH479" s="9">
        <v>1084.3333333333301</v>
      </c>
      <c r="AI479" s="9">
        <f t="shared" si="270"/>
        <v>3.0355631414974997</v>
      </c>
      <c r="AJ479">
        <v>85</v>
      </c>
      <c r="AK479" s="23" t="s">
        <v>986</v>
      </c>
      <c r="AL479" s="42">
        <v>46.9693144722524</v>
      </c>
      <c r="AM479" s="24">
        <v>0.46</v>
      </c>
      <c r="AN479" s="34">
        <f t="shared" si="271"/>
        <v>0.16435285578443709</v>
      </c>
      <c r="AO479">
        <v>1987</v>
      </c>
      <c r="AP479">
        <v>9</v>
      </c>
      <c r="AQ479">
        <v>95</v>
      </c>
      <c r="AR479">
        <v>80</v>
      </c>
      <c r="AS479">
        <f t="shared" si="260"/>
        <v>0</v>
      </c>
      <c r="AT479">
        <f t="shared" si="272"/>
        <v>0</v>
      </c>
      <c r="AU479">
        <f t="shared" si="273"/>
        <v>0</v>
      </c>
      <c r="AV479">
        <f t="shared" si="274"/>
        <v>0</v>
      </c>
      <c r="AW479">
        <f t="shared" si="275"/>
        <v>0</v>
      </c>
      <c r="AX479">
        <f t="shared" si="276"/>
        <v>0</v>
      </c>
      <c r="AY479">
        <f t="shared" si="277"/>
        <v>1</v>
      </c>
      <c r="AZ479">
        <f t="shared" si="278"/>
        <v>0</v>
      </c>
      <c r="BA479">
        <f t="shared" si="279"/>
        <v>0</v>
      </c>
      <c r="BB479">
        <f t="shared" si="280"/>
        <v>0</v>
      </c>
      <c r="BC479">
        <f t="shared" si="281"/>
        <v>0</v>
      </c>
      <c r="BD479">
        <f t="shared" si="282"/>
        <v>0</v>
      </c>
      <c r="BE479">
        <f t="shared" si="283"/>
        <v>0</v>
      </c>
      <c r="BF479">
        <f t="shared" si="284"/>
        <v>0</v>
      </c>
      <c r="BG479">
        <f t="shared" si="285"/>
        <v>0</v>
      </c>
      <c r="BH479">
        <f t="shared" si="286"/>
        <v>0</v>
      </c>
      <c r="BI479">
        <f t="shared" si="287"/>
        <v>0</v>
      </c>
    </row>
    <row r="480" spans="1:61" x14ac:dyDescent="0.35">
      <c r="A480" t="s">
        <v>51</v>
      </c>
      <c r="B480" s="1">
        <v>41401</v>
      </c>
      <c r="C480" t="s">
        <v>987</v>
      </c>
      <c r="D480" t="s">
        <v>59</v>
      </c>
      <c r="E480" t="s">
        <v>988</v>
      </c>
      <c r="F480" t="s">
        <v>45</v>
      </c>
      <c r="G480" t="s">
        <v>64</v>
      </c>
      <c r="H480" s="139">
        <f t="shared" si="261"/>
        <v>1</v>
      </c>
      <c r="I480" t="s">
        <v>234</v>
      </c>
      <c r="J480" t="s">
        <v>248</v>
      </c>
      <c r="K480" s="2">
        <f t="shared" si="264"/>
        <v>5</v>
      </c>
      <c r="L480">
        <v>118000000</v>
      </c>
      <c r="M480" s="2">
        <f t="shared" si="265"/>
        <v>8.0718820073061259</v>
      </c>
      <c r="N480">
        <f t="shared" si="289"/>
        <v>118000000</v>
      </c>
      <c r="O480">
        <v>0</v>
      </c>
      <c r="P480" s="1">
        <v>43045</v>
      </c>
      <c r="Q480" s="89">
        <f t="shared" si="266"/>
        <v>2017</v>
      </c>
      <c r="R480" t="s">
        <v>54</v>
      </c>
      <c r="S480">
        <v>600000000</v>
      </c>
      <c r="T480" s="21">
        <f t="shared" si="258"/>
        <v>4.5041095890410956</v>
      </c>
      <c r="U480">
        <v>5897.96</v>
      </c>
      <c r="V480">
        <f t="shared" si="267"/>
        <v>3.7707754512906644</v>
      </c>
      <c r="W480">
        <v>2009</v>
      </c>
      <c r="X480">
        <v>4</v>
      </c>
      <c r="Y480">
        <f t="shared" si="268"/>
        <v>0.69897000433601886</v>
      </c>
      <c r="Z480" s="45">
        <v>2.3199999999999998</v>
      </c>
      <c r="AA480" s="9">
        <f t="shared" si="256"/>
        <v>482000000</v>
      </c>
      <c r="AB480" s="15">
        <f t="shared" si="259"/>
        <v>4.0847457627118642</v>
      </c>
      <c r="AC480" s="34">
        <f t="shared" si="269"/>
        <v>0.70626924307751826</v>
      </c>
      <c r="AD480">
        <v>1298.5550759992495</v>
      </c>
      <c r="AE480">
        <f t="shared" si="262"/>
        <v>3.1134603742158462</v>
      </c>
      <c r="AF480">
        <v>6025.5207355976736</v>
      </c>
      <c r="AG480">
        <f t="shared" si="263"/>
        <v>3.7799945853255905</v>
      </c>
      <c r="AH480" s="9">
        <v>132</v>
      </c>
      <c r="AI480" s="9">
        <f t="shared" si="270"/>
        <v>2.1238516409670858</v>
      </c>
      <c r="AJ480">
        <v>94.1</v>
      </c>
      <c r="AK480" s="23" t="s">
        <v>70</v>
      </c>
      <c r="AL480" s="42">
        <v>43.9397801796012</v>
      </c>
      <c r="AM480" s="24">
        <v>0.59</v>
      </c>
      <c r="AN480" s="34">
        <f t="shared" si="271"/>
        <v>0.20139712432045145</v>
      </c>
      <c r="AO480">
        <v>1984</v>
      </c>
      <c r="AP480">
        <v>29</v>
      </c>
      <c r="AQ480">
        <v>70</v>
      </c>
      <c r="AR480">
        <v>70</v>
      </c>
      <c r="AS480">
        <f t="shared" si="260"/>
        <v>0</v>
      </c>
      <c r="AT480">
        <f t="shared" si="272"/>
        <v>0</v>
      </c>
      <c r="AU480">
        <f t="shared" si="273"/>
        <v>1</v>
      </c>
      <c r="AV480">
        <f t="shared" si="274"/>
        <v>0</v>
      </c>
      <c r="AW480">
        <f t="shared" si="275"/>
        <v>0</v>
      </c>
      <c r="AX480">
        <f t="shared" si="276"/>
        <v>0</v>
      </c>
      <c r="AY480">
        <f t="shared" si="277"/>
        <v>0</v>
      </c>
      <c r="AZ480">
        <f t="shared" si="278"/>
        <v>0</v>
      </c>
      <c r="BA480">
        <f t="shared" si="279"/>
        <v>0</v>
      </c>
      <c r="BB480">
        <f t="shared" si="280"/>
        <v>0</v>
      </c>
      <c r="BC480">
        <f t="shared" si="281"/>
        <v>0</v>
      </c>
      <c r="BD480">
        <f t="shared" si="282"/>
        <v>0</v>
      </c>
      <c r="BE480">
        <f t="shared" si="283"/>
        <v>0</v>
      </c>
      <c r="BF480">
        <f t="shared" si="284"/>
        <v>0</v>
      </c>
      <c r="BG480">
        <f t="shared" si="285"/>
        <v>0</v>
      </c>
      <c r="BH480">
        <f t="shared" si="286"/>
        <v>0</v>
      </c>
      <c r="BI480">
        <f t="shared" si="287"/>
        <v>0</v>
      </c>
    </row>
    <row r="481" spans="1:61" x14ac:dyDescent="0.35">
      <c r="A481" t="s">
        <v>51</v>
      </c>
      <c r="B481" s="1">
        <v>39153</v>
      </c>
      <c r="C481" t="s">
        <v>989</v>
      </c>
      <c r="D481" t="s">
        <v>59</v>
      </c>
      <c r="E481" t="s">
        <v>990</v>
      </c>
      <c r="F481" t="s">
        <v>45</v>
      </c>
      <c r="G481" t="s">
        <v>64</v>
      </c>
      <c r="H481" s="139">
        <f t="shared" si="261"/>
        <v>1</v>
      </c>
      <c r="I481" t="s">
        <v>234</v>
      </c>
      <c r="J481" t="s">
        <v>235</v>
      </c>
      <c r="K481" s="2">
        <f t="shared" si="264"/>
        <v>1</v>
      </c>
      <c r="L481">
        <v>685000000</v>
      </c>
      <c r="M481" s="2">
        <f t="shared" si="265"/>
        <v>8.8356905714924263</v>
      </c>
      <c r="N481">
        <f t="shared" si="289"/>
        <v>685000000</v>
      </c>
      <c r="O481">
        <v>0</v>
      </c>
      <c r="P481" s="1">
        <v>41505</v>
      </c>
      <c r="Q481" s="89">
        <f t="shared" si="266"/>
        <v>2013</v>
      </c>
      <c r="R481" t="s">
        <v>107</v>
      </c>
      <c r="S481">
        <v>969040000</v>
      </c>
      <c r="T481" s="21">
        <f t="shared" si="258"/>
        <v>6.4438356164383563</v>
      </c>
      <c r="U481">
        <v>5897.96</v>
      </c>
      <c r="V481">
        <f t="shared" si="267"/>
        <v>3.7707754512906644</v>
      </c>
      <c r="W481">
        <v>1995</v>
      </c>
      <c r="X481">
        <v>12</v>
      </c>
      <c r="Y481">
        <f t="shared" si="268"/>
        <v>1.1139433523068367</v>
      </c>
      <c r="Z481" s="45">
        <v>2.3199999999999998</v>
      </c>
      <c r="AA481" s="9">
        <f t="shared" si="256"/>
        <v>284040000</v>
      </c>
      <c r="AB481" s="15">
        <f t="shared" si="259"/>
        <v>0.41465693430656936</v>
      </c>
      <c r="AC481" s="34">
        <f t="shared" si="269"/>
        <v>0.15065113272112132</v>
      </c>
      <c r="AD481">
        <v>1298.5550759992495</v>
      </c>
      <c r="AE481">
        <f t="shared" si="262"/>
        <v>3.1134603742158462</v>
      </c>
      <c r="AF481">
        <v>6025.5207355976736</v>
      </c>
      <c r="AG481">
        <f t="shared" si="263"/>
        <v>3.7799945853255905</v>
      </c>
      <c r="AH481" s="9">
        <v>132</v>
      </c>
      <c r="AI481" s="9">
        <f t="shared" si="270"/>
        <v>2.1238516409670858</v>
      </c>
      <c r="AJ481">
        <v>91.2</v>
      </c>
      <c r="AK481" s="23" t="s">
        <v>191</v>
      </c>
      <c r="AL481" s="42">
        <v>40.902544500539101</v>
      </c>
      <c r="AM481" s="24">
        <v>0.17</v>
      </c>
      <c r="AN481" s="34">
        <f t="shared" si="271"/>
        <v>6.8185861746161619E-2</v>
      </c>
      <c r="AO481">
        <v>1984</v>
      </c>
      <c r="AP481">
        <v>23</v>
      </c>
      <c r="AQ481">
        <v>70</v>
      </c>
      <c r="AR481">
        <v>70</v>
      </c>
      <c r="AS481">
        <f t="shared" si="260"/>
        <v>0</v>
      </c>
      <c r="AT481">
        <f t="shared" si="272"/>
        <v>0</v>
      </c>
      <c r="AU481">
        <f t="shared" si="273"/>
        <v>1</v>
      </c>
      <c r="AV481">
        <f t="shared" si="274"/>
        <v>0</v>
      </c>
      <c r="AW481">
        <f t="shared" si="275"/>
        <v>0</v>
      </c>
      <c r="AX481">
        <f t="shared" si="276"/>
        <v>0</v>
      </c>
      <c r="AY481">
        <f t="shared" si="277"/>
        <v>0</v>
      </c>
      <c r="AZ481">
        <f t="shared" si="278"/>
        <v>0</v>
      </c>
      <c r="BA481">
        <f t="shared" si="279"/>
        <v>0</v>
      </c>
      <c r="BB481">
        <f t="shared" si="280"/>
        <v>0</v>
      </c>
      <c r="BC481">
        <f t="shared" si="281"/>
        <v>0</v>
      </c>
      <c r="BD481">
        <f t="shared" si="282"/>
        <v>0</v>
      </c>
      <c r="BE481">
        <f t="shared" si="283"/>
        <v>0</v>
      </c>
      <c r="BF481">
        <f t="shared" si="284"/>
        <v>0</v>
      </c>
      <c r="BG481">
        <f t="shared" si="285"/>
        <v>0</v>
      </c>
      <c r="BH481">
        <f t="shared" si="286"/>
        <v>0</v>
      </c>
      <c r="BI481">
        <f t="shared" si="287"/>
        <v>0</v>
      </c>
    </row>
    <row r="482" spans="1:61" x14ac:dyDescent="0.35">
      <c r="A482" t="s">
        <v>51</v>
      </c>
      <c r="B482" s="1">
        <v>37522</v>
      </c>
      <c r="C482" t="s">
        <v>991</v>
      </c>
      <c r="D482" t="s">
        <v>59</v>
      </c>
      <c r="E482" t="s">
        <v>538</v>
      </c>
      <c r="F482" t="s">
        <v>45</v>
      </c>
      <c r="G482" t="s">
        <v>64</v>
      </c>
      <c r="H482" s="139">
        <f t="shared" si="261"/>
        <v>1</v>
      </c>
      <c r="I482" t="s">
        <v>611</v>
      </c>
      <c r="J482" t="s">
        <v>269</v>
      </c>
      <c r="K482" s="2">
        <f t="shared" si="264"/>
        <v>7</v>
      </c>
      <c r="L482">
        <v>562850000</v>
      </c>
      <c r="M482" s="2">
        <f t="shared" si="265"/>
        <v>8.7503926704250539</v>
      </c>
      <c r="N482">
        <v>430650000</v>
      </c>
      <c r="O482">
        <v>132200000</v>
      </c>
      <c r="P482" s="1">
        <v>39325</v>
      </c>
      <c r="Q482" s="89">
        <f t="shared" si="266"/>
        <v>2007</v>
      </c>
      <c r="R482" t="s">
        <v>54</v>
      </c>
      <c r="S482">
        <v>1300000000</v>
      </c>
      <c r="T482" s="21">
        <f t="shared" si="258"/>
        <v>4.9397260273972599</v>
      </c>
      <c r="U482">
        <v>5897.96</v>
      </c>
      <c r="V482">
        <f t="shared" si="267"/>
        <v>3.7707754512906644</v>
      </c>
      <c r="W482">
        <v>1958</v>
      </c>
      <c r="X482">
        <v>44</v>
      </c>
      <c r="Y482">
        <f t="shared" si="268"/>
        <v>1.6532125137753437</v>
      </c>
      <c r="Z482" s="45">
        <v>2.3199999999999998</v>
      </c>
      <c r="AA482" s="9">
        <f t="shared" si="256"/>
        <v>869350000</v>
      </c>
      <c r="AB482" s="15">
        <f t="shared" si="259"/>
        <v>1.3096739806342721</v>
      </c>
      <c r="AC482" s="34">
        <f t="shared" si="269"/>
        <v>0.36355068188178347</v>
      </c>
      <c r="AD482">
        <v>2232.1428571428569</v>
      </c>
      <c r="AE482">
        <f t="shared" si="262"/>
        <v>3.348721986001856</v>
      </c>
      <c r="AF482">
        <v>5650.5102040816337</v>
      </c>
      <c r="AG482">
        <f t="shared" si="263"/>
        <v>3.7520876635386311</v>
      </c>
      <c r="AH482" s="9">
        <v>132</v>
      </c>
      <c r="AI482" s="9">
        <f t="shared" si="270"/>
        <v>2.1238516409670858</v>
      </c>
      <c r="AJ482">
        <v>85</v>
      </c>
      <c r="AK482" s="23" t="s">
        <v>249</v>
      </c>
      <c r="AL482" s="42">
        <v>37.589394702761602</v>
      </c>
      <c r="AM482" s="24">
        <v>0.77</v>
      </c>
      <c r="AN482" s="34">
        <f t="shared" si="271"/>
        <v>0.24797326636180664</v>
      </c>
      <c r="AO482">
        <v>2000</v>
      </c>
      <c r="AP482">
        <v>2</v>
      </c>
      <c r="AQ482">
        <v>70</v>
      </c>
      <c r="AR482">
        <v>70</v>
      </c>
      <c r="AS482">
        <f t="shared" si="260"/>
        <v>0</v>
      </c>
      <c r="AT482">
        <f t="shared" si="272"/>
        <v>0</v>
      </c>
      <c r="AU482">
        <f t="shared" si="273"/>
        <v>1</v>
      </c>
      <c r="AV482">
        <f t="shared" si="274"/>
        <v>0</v>
      </c>
      <c r="AW482">
        <f t="shared" si="275"/>
        <v>0</v>
      </c>
      <c r="AX482">
        <f t="shared" si="276"/>
        <v>0</v>
      </c>
      <c r="AY482">
        <f t="shared" si="277"/>
        <v>0</v>
      </c>
      <c r="AZ482">
        <f t="shared" si="278"/>
        <v>0</v>
      </c>
      <c r="BA482">
        <f t="shared" si="279"/>
        <v>0</v>
      </c>
      <c r="BB482">
        <f t="shared" si="280"/>
        <v>0</v>
      </c>
      <c r="BC482">
        <f t="shared" si="281"/>
        <v>0</v>
      </c>
      <c r="BD482">
        <f t="shared" si="282"/>
        <v>0</v>
      </c>
      <c r="BE482">
        <f t="shared" si="283"/>
        <v>0</v>
      </c>
      <c r="BF482">
        <f t="shared" si="284"/>
        <v>0</v>
      </c>
      <c r="BG482">
        <f t="shared" si="285"/>
        <v>0</v>
      </c>
      <c r="BH482">
        <f t="shared" si="286"/>
        <v>0</v>
      </c>
      <c r="BI482">
        <f t="shared" si="287"/>
        <v>0</v>
      </c>
    </row>
    <row r="483" spans="1:61" x14ac:dyDescent="0.35">
      <c r="A483" t="s">
        <v>51</v>
      </c>
      <c r="B483" s="1">
        <v>37186</v>
      </c>
      <c r="C483" t="s">
        <v>227</v>
      </c>
      <c r="D483" t="s">
        <v>2</v>
      </c>
      <c r="E483" t="s">
        <v>538</v>
      </c>
      <c r="F483" t="s">
        <v>45</v>
      </c>
      <c r="G483" t="s">
        <v>64</v>
      </c>
      <c r="H483" s="139">
        <f t="shared" si="261"/>
        <v>1</v>
      </c>
      <c r="I483" t="s">
        <v>234</v>
      </c>
      <c r="J483" t="s">
        <v>326</v>
      </c>
      <c r="K483" s="2">
        <f t="shared" si="264"/>
        <v>8</v>
      </c>
      <c r="L483">
        <v>925000000</v>
      </c>
      <c r="M483" s="2">
        <f t="shared" si="265"/>
        <v>8.9661417327390325</v>
      </c>
      <c r="N483">
        <f t="shared" ref="N483:N490" si="290">L483</f>
        <v>925000000</v>
      </c>
      <c r="O483">
        <v>0</v>
      </c>
      <c r="P483" s="1">
        <v>39261</v>
      </c>
      <c r="Q483" s="89">
        <f t="shared" si="266"/>
        <v>2007</v>
      </c>
      <c r="R483" t="s">
        <v>54</v>
      </c>
      <c r="S483">
        <v>1300000000</v>
      </c>
      <c r="T483" s="21">
        <f t="shared" si="258"/>
        <v>5.6849315068493151</v>
      </c>
      <c r="U483">
        <v>6815.73</v>
      </c>
      <c r="V483">
        <f t="shared" si="267"/>
        <v>3.8335760926148099</v>
      </c>
      <c r="W483">
        <v>1965</v>
      </c>
      <c r="X483">
        <v>36</v>
      </c>
      <c r="Y483">
        <f t="shared" si="268"/>
        <v>1.568201724066995</v>
      </c>
      <c r="Z483" s="45">
        <v>2.85</v>
      </c>
      <c r="AA483" s="9">
        <f t="shared" si="256"/>
        <v>375000000</v>
      </c>
      <c r="AB483" s="15">
        <f t="shared" si="259"/>
        <v>0.40540540540540548</v>
      </c>
      <c r="AC483" s="34">
        <f t="shared" si="269"/>
        <v>0.14780161956780419</v>
      </c>
      <c r="AD483">
        <v>2232.1428571428569</v>
      </c>
      <c r="AE483">
        <f t="shared" si="262"/>
        <v>3.348721986001856</v>
      </c>
      <c r="AF483">
        <v>5650.5102040816337</v>
      </c>
      <c r="AG483">
        <f t="shared" si="263"/>
        <v>3.7520876635386311</v>
      </c>
      <c r="AH483" s="9">
        <v>819</v>
      </c>
      <c r="AI483" s="9">
        <f t="shared" si="270"/>
        <v>2.9138138523837167</v>
      </c>
      <c r="AJ483">
        <v>70</v>
      </c>
      <c r="AK483" s="23" t="s">
        <v>84</v>
      </c>
      <c r="AL483" s="42">
        <v>46.908044131476899</v>
      </c>
      <c r="AM483" s="24">
        <v>0.38</v>
      </c>
      <c r="AN483" s="34">
        <f t="shared" si="271"/>
        <v>0.13987908640123647</v>
      </c>
      <c r="AO483">
        <v>2000</v>
      </c>
      <c r="AP483">
        <v>1</v>
      </c>
      <c r="AQ483">
        <v>70</v>
      </c>
      <c r="AR483">
        <v>70</v>
      </c>
      <c r="AS483">
        <f t="shared" si="260"/>
        <v>0</v>
      </c>
      <c r="AT483">
        <f t="shared" si="272"/>
        <v>0</v>
      </c>
      <c r="AU483">
        <f t="shared" si="273"/>
        <v>0</v>
      </c>
      <c r="AV483">
        <f t="shared" si="274"/>
        <v>0</v>
      </c>
      <c r="AW483">
        <f t="shared" si="275"/>
        <v>0</v>
      </c>
      <c r="AX483">
        <f t="shared" si="276"/>
        <v>0</v>
      </c>
      <c r="AY483">
        <f t="shared" si="277"/>
        <v>0</v>
      </c>
      <c r="AZ483">
        <f t="shared" si="278"/>
        <v>0</v>
      </c>
      <c r="BA483">
        <f t="shared" si="279"/>
        <v>0</v>
      </c>
      <c r="BB483">
        <f t="shared" si="280"/>
        <v>1</v>
      </c>
      <c r="BC483">
        <f t="shared" si="281"/>
        <v>0</v>
      </c>
      <c r="BD483">
        <f t="shared" si="282"/>
        <v>0</v>
      </c>
      <c r="BE483">
        <f t="shared" si="283"/>
        <v>0</v>
      </c>
      <c r="BF483">
        <f t="shared" si="284"/>
        <v>0</v>
      </c>
      <c r="BG483">
        <f t="shared" si="285"/>
        <v>0</v>
      </c>
      <c r="BH483">
        <f t="shared" si="286"/>
        <v>0</v>
      </c>
      <c r="BI483">
        <f t="shared" si="287"/>
        <v>0</v>
      </c>
    </row>
    <row r="484" spans="1:61" x14ac:dyDescent="0.35">
      <c r="A484" t="s">
        <v>51</v>
      </c>
      <c r="B484" s="1">
        <v>37754</v>
      </c>
      <c r="C484" t="s">
        <v>992</v>
      </c>
      <c r="D484" t="s">
        <v>59</v>
      </c>
      <c r="E484" t="s">
        <v>993</v>
      </c>
      <c r="F484" t="s">
        <v>45</v>
      </c>
      <c r="G484" t="s">
        <v>64</v>
      </c>
      <c r="H484" s="139">
        <f t="shared" si="261"/>
        <v>1</v>
      </c>
      <c r="I484" t="s">
        <v>234</v>
      </c>
      <c r="J484" t="s">
        <v>248</v>
      </c>
      <c r="K484" s="2">
        <f t="shared" si="264"/>
        <v>5</v>
      </c>
      <c r="L484">
        <v>350000000</v>
      </c>
      <c r="M484" s="2">
        <f t="shared" si="265"/>
        <v>8.5440680443502757</v>
      </c>
      <c r="N484">
        <f t="shared" si="290"/>
        <v>350000000</v>
      </c>
      <c r="O484">
        <v>0</v>
      </c>
      <c r="P484" s="1">
        <v>38888</v>
      </c>
      <c r="Q484" s="89">
        <f t="shared" si="266"/>
        <v>2006</v>
      </c>
      <c r="R484" t="s">
        <v>114</v>
      </c>
      <c r="S484">
        <v>350000000</v>
      </c>
      <c r="T484" s="21">
        <f t="shared" si="258"/>
        <v>3.106849315068493</v>
      </c>
      <c r="U484">
        <v>5897.96</v>
      </c>
      <c r="V484">
        <f t="shared" si="267"/>
        <v>3.7707754512906644</v>
      </c>
      <c r="W484">
        <v>1999</v>
      </c>
      <c r="X484">
        <v>4</v>
      </c>
      <c r="Y484">
        <f t="shared" si="268"/>
        <v>0.69897000433601886</v>
      </c>
      <c r="Z484" s="45">
        <v>2.3199999999999998</v>
      </c>
      <c r="AA484" s="9">
        <f t="shared" si="256"/>
        <v>0</v>
      </c>
      <c r="AB484" s="15">
        <f t="shared" si="259"/>
        <v>0</v>
      </c>
      <c r="AC484" s="34">
        <f t="shared" si="269"/>
        <v>0</v>
      </c>
      <c r="AD484">
        <v>2777.7777777777774</v>
      </c>
      <c r="AE484">
        <f t="shared" si="262"/>
        <v>3.4436974992327127</v>
      </c>
      <c r="AF484">
        <v>7048.6111111111131</v>
      </c>
      <c r="AG484">
        <f t="shared" si="263"/>
        <v>3.848103550153982</v>
      </c>
      <c r="AH484" s="9">
        <v>132</v>
      </c>
      <c r="AI484" s="9">
        <f t="shared" si="270"/>
        <v>2.1238516409670858</v>
      </c>
      <c r="AJ484">
        <v>85</v>
      </c>
      <c r="AK484" s="23" t="s">
        <v>246</v>
      </c>
      <c r="AL484" s="42">
        <v>38.7850112673514</v>
      </c>
      <c r="AM484" s="24">
        <v>0.32</v>
      </c>
      <c r="AN484" s="34">
        <f t="shared" si="271"/>
        <v>0.12057393120584989</v>
      </c>
      <c r="AO484">
        <v>2000</v>
      </c>
      <c r="AP484">
        <v>3</v>
      </c>
      <c r="AQ484">
        <v>70</v>
      </c>
      <c r="AR484">
        <v>70</v>
      </c>
      <c r="AS484">
        <f t="shared" si="260"/>
        <v>0</v>
      </c>
      <c r="AT484">
        <f t="shared" si="272"/>
        <v>0</v>
      </c>
      <c r="AU484">
        <f t="shared" si="273"/>
        <v>1</v>
      </c>
      <c r="AV484">
        <f t="shared" si="274"/>
        <v>0</v>
      </c>
      <c r="AW484">
        <f t="shared" si="275"/>
        <v>0</v>
      </c>
      <c r="AX484">
        <f t="shared" si="276"/>
        <v>0</v>
      </c>
      <c r="AY484">
        <f t="shared" si="277"/>
        <v>0</v>
      </c>
      <c r="AZ484">
        <f t="shared" si="278"/>
        <v>0</v>
      </c>
      <c r="BA484">
        <f t="shared" si="279"/>
        <v>0</v>
      </c>
      <c r="BB484">
        <f t="shared" si="280"/>
        <v>0</v>
      </c>
      <c r="BC484">
        <f t="shared" si="281"/>
        <v>0</v>
      </c>
      <c r="BD484">
        <f t="shared" si="282"/>
        <v>0</v>
      </c>
      <c r="BE484">
        <f t="shared" si="283"/>
        <v>0</v>
      </c>
      <c r="BF484">
        <f t="shared" si="284"/>
        <v>0</v>
      </c>
      <c r="BG484">
        <f t="shared" si="285"/>
        <v>0</v>
      </c>
      <c r="BH484">
        <f t="shared" si="286"/>
        <v>0</v>
      </c>
      <c r="BI484">
        <f t="shared" si="287"/>
        <v>0</v>
      </c>
    </row>
    <row r="485" spans="1:61" x14ac:dyDescent="0.35">
      <c r="A485" t="s">
        <v>51</v>
      </c>
      <c r="B485" s="1">
        <v>41278</v>
      </c>
      <c r="C485" t="s">
        <v>994</v>
      </c>
      <c r="D485" t="s">
        <v>59</v>
      </c>
      <c r="E485" t="s">
        <v>995</v>
      </c>
      <c r="F485" t="s">
        <v>45</v>
      </c>
      <c r="G485" t="s">
        <v>64</v>
      </c>
      <c r="H485" s="139">
        <f t="shared" si="261"/>
        <v>1</v>
      </c>
      <c r="I485" t="s">
        <v>234</v>
      </c>
      <c r="J485" t="s">
        <v>248</v>
      </c>
      <c r="K485" s="2">
        <f t="shared" si="264"/>
        <v>5</v>
      </c>
      <c r="L485">
        <v>200000000</v>
      </c>
      <c r="M485" s="2">
        <f t="shared" si="265"/>
        <v>8.3010299956639813</v>
      </c>
      <c r="N485">
        <f t="shared" si="290"/>
        <v>200000000</v>
      </c>
      <c r="O485">
        <v>0</v>
      </c>
      <c r="P485" s="1">
        <v>42982</v>
      </c>
      <c r="Q485" s="89">
        <f t="shared" si="266"/>
        <v>2017</v>
      </c>
      <c r="R485" t="s">
        <v>107</v>
      </c>
      <c r="S485">
        <v>220000000</v>
      </c>
      <c r="T485" s="21">
        <f t="shared" si="258"/>
        <v>4.6684931506849319</v>
      </c>
      <c r="U485">
        <v>5897.96</v>
      </c>
      <c r="V485">
        <f t="shared" si="267"/>
        <v>3.7707754512906644</v>
      </c>
      <c r="W485">
        <v>2003</v>
      </c>
      <c r="X485">
        <v>10</v>
      </c>
      <c r="Y485">
        <f t="shared" si="268"/>
        <v>1.0413926851582251</v>
      </c>
      <c r="Z485" s="45">
        <v>2.3199999999999998</v>
      </c>
      <c r="AA485" s="9">
        <f t="shared" si="256"/>
        <v>20000000</v>
      </c>
      <c r="AB485" s="15">
        <f t="shared" si="259"/>
        <v>0.10000000000000009</v>
      </c>
      <c r="AC485" s="34">
        <f t="shared" si="269"/>
        <v>4.1392685158225077E-2</v>
      </c>
      <c r="AD485">
        <v>2121.1374095989472</v>
      </c>
      <c r="AE485">
        <f t="shared" si="262"/>
        <v>3.3265688034989269</v>
      </c>
      <c r="AF485">
        <v>4465.8119658119658</v>
      </c>
      <c r="AG485">
        <f t="shared" si="263"/>
        <v>3.64990043303693</v>
      </c>
      <c r="AH485" s="9">
        <v>132</v>
      </c>
      <c r="AI485" s="9">
        <f t="shared" si="270"/>
        <v>2.1238516409670858</v>
      </c>
      <c r="AJ485">
        <v>94.1</v>
      </c>
      <c r="AK485" s="23" t="s">
        <v>70</v>
      </c>
      <c r="AL485" s="42">
        <v>43.9397801796012</v>
      </c>
      <c r="AM485" s="24">
        <v>0.69</v>
      </c>
      <c r="AN485" s="34">
        <f t="shared" si="271"/>
        <v>0.22788670461367352</v>
      </c>
      <c r="AO485">
        <v>1992</v>
      </c>
      <c r="AP485">
        <v>21</v>
      </c>
      <c r="AQ485">
        <v>70</v>
      </c>
      <c r="AR485">
        <v>70</v>
      </c>
      <c r="AS485">
        <f t="shared" si="260"/>
        <v>0</v>
      </c>
      <c r="AT485">
        <f t="shared" si="272"/>
        <v>0</v>
      </c>
      <c r="AU485">
        <f t="shared" si="273"/>
        <v>1</v>
      </c>
      <c r="AV485">
        <f t="shared" si="274"/>
        <v>0</v>
      </c>
      <c r="AW485">
        <f t="shared" si="275"/>
        <v>0</v>
      </c>
      <c r="AX485">
        <f t="shared" si="276"/>
        <v>0</v>
      </c>
      <c r="AY485">
        <f t="shared" si="277"/>
        <v>0</v>
      </c>
      <c r="AZ485">
        <f t="shared" si="278"/>
        <v>0</v>
      </c>
      <c r="BA485">
        <f t="shared" si="279"/>
        <v>0</v>
      </c>
      <c r="BB485">
        <f t="shared" si="280"/>
        <v>0</v>
      </c>
      <c r="BC485">
        <f t="shared" si="281"/>
        <v>0</v>
      </c>
      <c r="BD485">
        <f t="shared" si="282"/>
        <v>0</v>
      </c>
      <c r="BE485">
        <f t="shared" si="283"/>
        <v>0</v>
      </c>
      <c r="BF485">
        <f t="shared" si="284"/>
        <v>0</v>
      </c>
      <c r="BG485">
        <f t="shared" si="285"/>
        <v>0</v>
      </c>
      <c r="BH485">
        <f t="shared" si="286"/>
        <v>0</v>
      </c>
      <c r="BI485">
        <f t="shared" si="287"/>
        <v>0</v>
      </c>
    </row>
    <row r="486" spans="1:61" x14ac:dyDescent="0.35">
      <c r="A486" t="s">
        <v>51</v>
      </c>
      <c r="B486" s="1">
        <v>39310</v>
      </c>
      <c r="C486" t="s">
        <v>996</v>
      </c>
      <c r="D486" t="s">
        <v>59</v>
      </c>
      <c r="E486" t="s">
        <v>997</v>
      </c>
      <c r="F486" t="s">
        <v>45</v>
      </c>
      <c r="G486" t="s">
        <v>64</v>
      </c>
      <c r="H486" s="139">
        <f t="shared" si="261"/>
        <v>1</v>
      </c>
      <c r="I486" t="s">
        <v>234</v>
      </c>
      <c r="J486" t="s">
        <v>248</v>
      </c>
      <c r="K486" s="2">
        <f t="shared" si="264"/>
        <v>5</v>
      </c>
      <c r="L486">
        <v>286700000</v>
      </c>
      <c r="M486" s="2">
        <f t="shared" si="265"/>
        <v>8.4574276929464851</v>
      </c>
      <c r="N486">
        <f t="shared" si="290"/>
        <v>286700000</v>
      </c>
      <c r="O486">
        <v>0</v>
      </c>
      <c r="P486" s="1">
        <v>40664</v>
      </c>
      <c r="Q486" s="89">
        <f t="shared" si="266"/>
        <v>2011</v>
      </c>
      <c r="R486" t="s">
        <v>338</v>
      </c>
      <c r="S486">
        <v>0</v>
      </c>
      <c r="T486" s="21">
        <f t="shared" si="258"/>
        <v>3.7095890410958905</v>
      </c>
      <c r="U486">
        <v>5897.96</v>
      </c>
      <c r="V486">
        <f t="shared" si="267"/>
        <v>3.7707754512906644</v>
      </c>
      <c r="W486">
        <v>2004</v>
      </c>
      <c r="X486">
        <v>3</v>
      </c>
      <c r="Y486">
        <f t="shared" si="268"/>
        <v>0.6020599913279624</v>
      </c>
      <c r="Z486" s="45">
        <v>2.3199999999999998</v>
      </c>
      <c r="AA486" s="9">
        <f t="shared" si="256"/>
        <v>-286700000</v>
      </c>
      <c r="AB486" s="15">
        <f t="shared" si="259"/>
        <v>-1</v>
      </c>
      <c r="AC486" s="34">
        <f t="shared" si="269"/>
        <v>-1</v>
      </c>
      <c r="AD486">
        <v>2121.1374095989472</v>
      </c>
      <c r="AE486">
        <f t="shared" si="262"/>
        <v>3.3265688034989269</v>
      </c>
      <c r="AF486">
        <v>4465.8119658119658</v>
      </c>
      <c r="AG486">
        <f t="shared" si="263"/>
        <v>3.64990043303693</v>
      </c>
      <c r="AH486" s="9">
        <v>132</v>
      </c>
      <c r="AI486" s="9">
        <f t="shared" si="270"/>
        <v>2.1238516409670858</v>
      </c>
      <c r="AJ486">
        <v>91.2</v>
      </c>
      <c r="AK486" s="23" t="s">
        <v>191</v>
      </c>
      <c r="AL486" s="42">
        <v>40.902544500539101</v>
      </c>
      <c r="AM486" s="24">
        <v>-0.03</v>
      </c>
      <c r="AN486" s="34">
        <f t="shared" si="271"/>
        <v>-1.322826573375516E-2</v>
      </c>
      <c r="AO486">
        <v>1992</v>
      </c>
      <c r="AP486">
        <v>15</v>
      </c>
      <c r="AQ486">
        <v>70</v>
      </c>
      <c r="AR486">
        <v>70</v>
      </c>
      <c r="AS486">
        <f t="shared" si="260"/>
        <v>1</v>
      </c>
      <c r="AT486">
        <f t="shared" si="272"/>
        <v>0</v>
      </c>
      <c r="AU486">
        <f t="shared" si="273"/>
        <v>1</v>
      </c>
      <c r="AV486">
        <f t="shared" si="274"/>
        <v>0</v>
      </c>
      <c r="AW486">
        <f t="shared" si="275"/>
        <v>0</v>
      </c>
      <c r="AX486">
        <f t="shared" si="276"/>
        <v>0</v>
      </c>
      <c r="AY486">
        <f t="shared" si="277"/>
        <v>0</v>
      </c>
      <c r="AZ486">
        <f t="shared" si="278"/>
        <v>0</v>
      </c>
      <c r="BA486">
        <f t="shared" si="279"/>
        <v>0</v>
      </c>
      <c r="BB486">
        <f t="shared" si="280"/>
        <v>0</v>
      </c>
      <c r="BC486">
        <f t="shared" si="281"/>
        <v>0</v>
      </c>
      <c r="BD486">
        <f t="shared" si="282"/>
        <v>0</v>
      </c>
      <c r="BE486">
        <f t="shared" si="283"/>
        <v>0</v>
      </c>
      <c r="BF486">
        <f t="shared" si="284"/>
        <v>0</v>
      </c>
      <c r="BG486">
        <f t="shared" si="285"/>
        <v>0</v>
      </c>
      <c r="BH486">
        <f t="shared" si="286"/>
        <v>0</v>
      </c>
      <c r="BI486">
        <f t="shared" si="287"/>
        <v>0</v>
      </c>
    </row>
    <row r="487" spans="1:61" x14ac:dyDescent="0.35">
      <c r="A487" t="s">
        <v>51</v>
      </c>
      <c r="B487" s="1">
        <v>38666</v>
      </c>
      <c r="C487" t="s">
        <v>998</v>
      </c>
      <c r="D487" t="s">
        <v>2</v>
      </c>
      <c r="E487" t="s">
        <v>999</v>
      </c>
      <c r="F487" t="s">
        <v>45</v>
      </c>
      <c r="G487" t="s">
        <v>64</v>
      </c>
      <c r="H487" s="139">
        <f t="shared" si="261"/>
        <v>1</v>
      </c>
      <c r="I487" t="s">
        <v>234</v>
      </c>
      <c r="J487" t="s">
        <v>245</v>
      </c>
      <c r="K487" s="2">
        <f t="shared" si="264"/>
        <v>6</v>
      </c>
      <c r="L487">
        <v>1000000000</v>
      </c>
      <c r="M487" s="2">
        <f t="shared" si="265"/>
        <v>9</v>
      </c>
      <c r="N487">
        <f t="shared" si="290"/>
        <v>1000000000</v>
      </c>
      <c r="O487">
        <v>0</v>
      </c>
      <c r="P487" s="1">
        <v>39294</v>
      </c>
      <c r="Q487" s="89">
        <f t="shared" si="266"/>
        <v>2007</v>
      </c>
      <c r="R487" t="s">
        <v>107</v>
      </c>
      <c r="S487">
        <v>1690000000</v>
      </c>
      <c r="T487" s="21">
        <f t="shared" si="258"/>
        <v>1.7205479452054795</v>
      </c>
      <c r="U487">
        <v>6815.73</v>
      </c>
      <c r="V487">
        <f t="shared" si="267"/>
        <v>3.8335760926148099</v>
      </c>
      <c r="W487">
        <v>1998</v>
      </c>
      <c r="X487">
        <v>7</v>
      </c>
      <c r="Y487">
        <f t="shared" si="268"/>
        <v>0.90308998699194354</v>
      </c>
      <c r="Z487" s="45">
        <v>2.85</v>
      </c>
      <c r="AA487" s="9">
        <f t="shared" si="256"/>
        <v>690000000</v>
      </c>
      <c r="AB487" s="15">
        <f t="shared" si="259"/>
        <v>0.69</v>
      </c>
      <c r="AC487" s="34">
        <f t="shared" si="269"/>
        <v>0.22788670461367352</v>
      </c>
      <c r="AD487">
        <v>2121.1374095989472</v>
      </c>
      <c r="AE487">
        <f t="shared" si="262"/>
        <v>3.3265688034989269</v>
      </c>
      <c r="AF487">
        <v>4465.8119658119658</v>
      </c>
      <c r="AG487">
        <f t="shared" si="263"/>
        <v>3.64990043303693</v>
      </c>
      <c r="AH487" s="9">
        <v>819</v>
      </c>
      <c r="AI487" s="9">
        <f t="shared" si="270"/>
        <v>2.9138138523837167</v>
      </c>
      <c r="AJ487">
        <v>70</v>
      </c>
      <c r="AK487" s="23" t="s">
        <v>213</v>
      </c>
      <c r="AL487" s="42">
        <v>46.200073016176603</v>
      </c>
      <c r="AM487" s="24">
        <v>0.18</v>
      </c>
      <c r="AN487" s="34">
        <f t="shared" si="271"/>
        <v>7.1882007306125359E-2</v>
      </c>
      <c r="AO487">
        <v>1992</v>
      </c>
      <c r="AP487">
        <v>13</v>
      </c>
      <c r="AQ487">
        <v>70</v>
      </c>
      <c r="AR487">
        <v>70</v>
      </c>
      <c r="AS487">
        <f t="shared" si="260"/>
        <v>0</v>
      </c>
      <c r="AT487">
        <f t="shared" si="272"/>
        <v>0</v>
      </c>
      <c r="AU487">
        <f t="shared" si="273"/>
        <v>0</v>
      </c>
      <c r="AV487">
        <f t="shared" si="274"/>
        <v>0</v>
      </c>
      <c r="AW487">
        <f t="shared" si="275"/>
        <v>0</v>
      </c>
      <c r="AX487">
        <f t="shared" si="276"/>
        <v>0</v>
      </c>
      <c r="AY487">
        <f t="shared" si="277"/>
        <v>0</v>
      </c>
      <c r="AZ487">
        <f t="shared" si="278"/>
        <v>0</v>
      </c>
      <c r="BA487">
        <f t="shared" si="279"/>
        <v>0</v>
      </c>
      <c r="BB487">
        <f t="shared" si="280"/>
        <v>1</v>
      </c>
      <c r="BC487">
        <f t="shared" si="281"/>
        <v>0</v>
      </c>
      <c r="BD487">
        <f t="shared" si="282"/>
        <v>0</v>
      </c>
      <c r="BE487">
        <f t="shared" si="283"/>
        <v>0</v>
      </c>
      <c r="BF487">
        <f t="shared" si="284"/>
        <v>0</v>
      </c>
      <c r="BG487">
        <f t="shared" si="285"/>
        <v>0</v>
      </c>
      <c r="BH487">
        <f t="shared" si="286"/>
        <v>0</v>
      </c>
      <c r="BI487">
        <f t="shared" si="287"/>
        <v>0</v>
      </c>
    </row>
    <row r="488" spans="1:61" x14ac:dyDescent="0.35">
      <c r="A488" t="s">
        <v>51</v>
      </c>
      <c r="B488" s="1">
        <v>38131</v>
      </c>
      <c r="C488" t="s">
        <v>1000</v>
      </c>
      <c r="D488" t="s">
        <v>2</v>
      </c>
      <c r="E488" t="s">
        <v>1001</v>
      </c>
      <c r="F488" t="s">
        <v>45</v>
      </c>
      <c r="G488" t="s">
        <v>64</v>
      </c>
      <c r="H488" s="139">
        <f t="shared" si="261"/>
        <v>1</v>
      </c>
      <c r="I488" t="s">
        <v>234</v>
      </c>
      <c r="J488" t="s">
        <v>245</v>
      </c>
      <c r="K488" s="2">
        <f t="shared" si="264"/>
        <v>6</v>
      </c>
      <c r="L488">
        <v>1970000000</v>
      </c>
      <c r="M488" s="2">
        <f t="shared" si="265"/>
        <v>9.2944662261615925</v>
      </c>
      <c r="N488">
        <f t="shared" si="290"/>
        <v>1970000000</v>
      </c>
      <c r="O488">
        <v>0</v>
      </c>
      <c r="P488" s="1">
        <v>40920</v>
      </c>
      <c r="Q488" s="89">
        <f t="shared" si="266"/>
        <v>2012</v>
      </c>
      <c r="R488" t="s">
        <v>322</v>
      </c>
      <c r="S488">
        <v>699406960</v>
      </c>
      <c r="T488" s="21">
        <f t="shared" si="258"/>
        <v>7.6410958904109592</v>
      </c>
      <c r="U488">
        <v>6815.73</v>
      </c>
      <c r="V488">
        <f t="shared" si="267"/>
        <v>3.8335760926148099</v>
      </c>
      <c r="W488">
        <v>1924</v>
      </c>
      <c r="X488">
        <v>80</v>
      </c>
      <c r="Y488">
        <f t="shared" si="268"/>
        <v>1.9084850188786497</v>
      </c>
      <c r="Z488" s="45">
        <v>2.85</v>
      </c>
      <c r="AA488" s="9">
        <f t="shared" si="256"/>
        <v>-1270593040</v>
      </c>
      <c r="AB488" s="15">
        <f t="shared" si="259"/>
        <v>-0.64497108629441624</v>
      </c>
      <c r="AC488" s="34">
        <f t="shared" si="269"/>
        <v>-0.44973627637745167</v>
      </c>
      <c r="AD488">
        <v>2121.1374095989472</v>
      </c>
      <c r="AE488">
        <f t="shared" si="262"/>
        <v>3.3265688034989269</v>
      </c>
      <c r="AF488">
        <v>4465.8119658119658</v>
      </c>
      <c r="AG488">
        <f t="shared" si="263"/>
        <v>3.64990043303693</v>
      </c>
      <c r="AH488" s="9">
        <v>819</v>
      </c>
      <c r="AI488" s="9">
        <f t="shared" si="270"/>
        <v>2.9138138523837167</v>
      </c>
      <c r="AJ488">
        <v>70</v>
      </c>
      <c r="AK488" s="23" t="s">
        <v>213</v>
      </c>
      <c r="AL488" s="42">
        <v>46.312020505412598</v>
      </c>
      <c r="AM488" s="24">
        <v>0.18</v>
      </c>
      <c r="AN488" s="34">
        <f t="shared" si="271"/>
        <v>7.1882007306125359E-2</v>
      </c>
      <c r="AO488">
        <v>1992</v>
      </c>
      <c r="AP488">
        <v>12</v>
      </c>
      <c r="AQ488">
        <v>70</v>
      </c>
      <c r="AR488">
        <v>70</v>
      </c>
      <c r="AS488">
        <f t="shared" si="260"/>
        <v>0</v>
      </c>
      <c r="AT488">
        <f t="shared" si="272"/>
        <v>0</v>
      </c>
      <c r="AU488">
        <f t="shared" si="273"/>
        <v>0</v>
      </c>
      <c r="AV488">
        <f t="shared" si="274"/>
        <v>0</v>
      </c>
      <c r="AW488">
        <f t="shared" si="275"/>
        <v>0</v>
      </c>
      <c r="AX488">
        <f t="shared" si="276"/>
        <v>0</v>
      </c>
      <c r="AY488">
        <f t="shared" si="277"/>
        <v>0</v>
      </c>
      <c r="AZ488">
        <f t="shared" si="278"/>
        <v>0</v>
      </c>
      <c r="BA488">
        <f t="shared" si="279"/>
        <v>0</v>
      </c>
      <c r="BB488">
        <f t="shared" si="280"/>
        <v>1</v>
      </c>
      <c r="BC488">
        <f t="shared" si="281"/>
        <v>0</v>
      </c>
      <c r="BD488">
        <f t="shared" si="282"/>
        <v>0</v>
      </c>
      <c r="BE488">
        <f t="shared" si="283"/>
        <v>0</v>
      </c>
      <c r="BF488">
        <f t="shared" si="284"/>
        <v>0</v>
      </c>
      <c r="BG488">
        <f t="shared" si="285"/>
        <v>0</v>
      </c>
      <c r="BH488">
        <f t="shared" si="286"/>
        <v>0</v>
      </c>
      <c r="BI488">
        <f t="shared" si="287"/>
        <v>0</v>
      </c>
    </row>
    <row r="489" spans="1:61" x14ac:dyDescent="0.35">
      <c r="A489" t="s">
        <v>517</v>
      </c>
      <c r="B489" s="1">
        <v>41346</v>
      </c>
      <c r="C489" t="s">
        <v>1002</v>
      </c>
      <c r="D489" t="s">
        <v>59</v>
      </c>
      <c r="E489" t="s">
        <v>1003</v>
      </c>
      <c r="F489" t="s">
        <v>45</v>
      </c>
      <c r="G489" t="s">
        <v>64</v>
      </c>
      <c r="H489" s="139">
        <f t="shared" si="261"/>
        <v>1</v>
      </c>
      <c r="I489" t="s">
        <v>234</v>
      </c>
      <c r="J489" t="s">
        <v>269</v>
      </c>
      <c r="K489" s="2">
        <f t="shared" si="264"/>
        <v>7</v>
      </c>
      <c r="L489">
        <v>450000000</v>
      </c>
      <c r="M489" s="2">
        <f t="shared" si="265"/>
        <v>8.653212513775344</v>
      </c>
      <c r="N489">
        <f t="shared" si="290"/>
        <v>450000000</v>
      </c>
      <c r="O489">
        <v>0</v>
      </c>
      <c r="P489" s="1">
        <v>42038</v>
      </c>
      <c r="Q489" s="89">
        <f t="shared" si="266"/>
        <v>2015</v>
      </c>
      <c r="R489" t="s">
        <v>322</v>
      </c>
      <c r="S489">
        <v>1482108000</v>
      </c>
      <c r="T489" s="21">
        <f t="shared" si="258"/>
        <v>1.8958904109589041</v>
      </c>
      <c r="U489">
        <v>5897.96</v>
      </c>
      <c r="V489">
        <f t="shared" si="267"/>
        <v>3.7707754512906644</v>
      </c>
      <c r="W489">
        <v>1978</v>
      </c>
      <c r="X489">
        <v>35</v>
      </c>
      <c r="Y489">
        <f t="shared" si="268"/>
        <v>1.5563025007672873</v>
      </c>
      <c r="Z489" s="45">
        <v>2.3199999999999998</v>
      </c>
      <c r="AA489" s="9">
        <f t="shared" si="256"/>
        <v>1032108000</v>
      </c>
      <c r="AB489" s="15">
        <f t="shared" si="259"/>
        <v>2.2935733333333332</v>
      </c>
      <c r="AC489" s="34">
        <f t="shared" si="269"/>
        <v>0.51766733770540363</v>
      </c>
      <c r="AD489">
        <v>2030.3304662743317</v>
      </c>
      <c r="AE489">
        <f t="shared" si="262"/>
        <v>3.3075667315086759</v>
      </c>
      <c r="AF489">
        <v>6774.5586238116803</v>
      </c>
      <c r="AG489">
        <f t="shared" si="263"/>
        <v>3.8308810053047755</v>
      </c>
      <c r="AH489" s="9">
        <v>132</v>
      </c>
      <c r="AI489" s="9">
        <f t="shared" si="270"/>
        <v>2.1238516409670858</v>
      </c>
      <c r="AJ489">
        <v>94.1</v>
      </c>
      <c r="AK489" s="23" t="s">
        <v>70</v>
      </c>
      <c r="AL489" s="42">
        <v>43.9397801796012</v>
      </c>
      <c r="AM489" s="24">
        <v>0.32</v>
      </c>
      <c r="AN489" s="34">
        <f t="shared" si="271"/>
        <v>0.12057393120584989</v>
      </c>
      <c r="AO489">
        <v>1978</v>
      </c>
      <c r="AP489">
        <v>35</v>
      </c>
      <c r="AQ489">
        <v>70</v>
      </c>
      <c r="AR489">
        <v>70</v>
      </c>
      <c r="AS489">
        <f t="shared" si="260"/>
        <v>0</v>
      </c>
      <c r="AT489">
        <f t="shared" si="272"/>
        <v>0</v>
      </c>
      <c r="AU489">
        <f t="shared" si="273"/>
        <v>1</v>
      </c>
      <c r="AV489">
        <f t="shared" si="274"/>
        <v>0</v>
      </c>
      <c r="AW489">
        <f t="shared" si="275"/>
        <v>0</v>
      </c>
      <c r="AX489">
        <f t="shared" si="276"/>
        <v>0</v>
      </c>
      <c r="AY489">
        <f t="shared" si="277"/>
        <v>0</v>
      </c>
      <c r="AZ489">
        <f t="shared" si="278"/>
        <v>0</v>
      </c>
      <c r="BA489">
        <f t="shared" si="279"/>
        <v>0</v>
      </c>
      <c r="BB489">
        <f t="shared" si="280"/>
        <v>0</v>
      </c>
      <c r="BC489">
        <f t="shared" si="281"/>
        <v>0</v>
      </c>
      <c r="BD489">
        <f t="shared" si="282"/>
        <v>0</v>
      </c>
      <c r="BE489">
        <f t="shared" si="283"/>
        <v>0</v>
      </c>
      <c r="BF489">
        <f t="shared" si="284"/>
        <v>0</v>
      </c>
      <c r="BG489">
        <f t="shared" si="285"/>
        <v>0</v>
      </c>
      <c r="BH489">
        <f t="shared" si="286"/>
        <v>0</v>
      </c>
      <c r="BI489">
        <f t="shared" si="287"/>
        <v>0</v>
      </c>
    </row>
    <row r="490" spans="1:61" x14ac:dyDescent="0.35">
      <c r="A490" t="s">
        <v>51</v>
      </c>
      <c r="B490" s="1">
        <v>39738</v>
      </c>
      <c r="C490" t="s">
        <v>1004</v>
      </c>
      <c r="D490" t="s">
        <v>59</v>
      </c>
      <c r="E490" t="s">
        <v>1005</v>
      </c>
      <c r="F490" t="s">
        <v>45</v>
      </c>
      <c r="G490" t="s">
        <v>64</v>
      </c>
      <c r="H490" s="139">
        <f t="shared" si="261"/>
        <v>1</v>
      </c>
      <c r="I490" t="s">
        <v>234</v>
      </c>
      <c r="J490" t="s">
        <v>248</v>
      </c>
      <c r="K490" s="2">
        <f t="shared" si="264"/>
        <v>5</v>
      </c>
      <c r="L490">
        <v>417000000</v>
      </c>
      <c r="M490" s="2">
        <f t="shared" si="265"/>
        <v>8.6201360549737576</v>
      </c>
      <c r="N490">
        <f t="shared" si="290"/>
        <v>417000000</v>
      </c>
      <c r="O490">
        <v>0</v>
      </c>
      <c r="P490" s="1">
        <v>42916</v>
      </c>
      <c r="Q490" s="89">
        <f t="shared" si="266"/>
        <v>2017</v>
      </c>
      <c r="R490" t="s">
        <v>54</v>
      </c>
      <c r="S490">
        <v>749100000</v>
      </c>
      <c r="T490" s="21">
        <f t="shared" si="258"/>
        <v>8.706849315068494</v>
      </c>
      <c r="U490">
        <v>5897.96</v>
      </c>
      <c r="V490">
        <f t="shared" si="267"/>
        <v>3.7707754512906644</v>
      </c>
      <c r="W490">
        <v>2008</v>
      </c>
      <c r="X490">
        <v>0</v>
      </c>
      <c r="Y490">
        <f t="shared" si="268"/>
        <v>0</v>
      </c>
      <c r="Z490" s="45">
        <v>2.3199999999999998</v>
      </c>
      <c r="AA490" s="9">
        <f t="shared" si="256"/>
        <v>332100000</v>
      </c>
      <c r="AB490" s="15">
        <f t="shared" si="259"/>
        <v>0.79640287769784179</v>
      </c>
      <c r="AC490" s="34">
        <f t="shared" si="269"/>
        <v>0.25440374209725269</v>
      </c>
      <c r="AD490">
        <v>2030.3304662743317</v>
      </c>
      <c r="AE490">
        <f t="shared" si="262"/>
        <v>3.3075667315086759</v>
      </c>
      <c r="AF490">
        <v>6774.5586238116803</v>
      </c>
      <c r="AG490">
        <f t="shared" si="263"/>
        <v>3.8308810053047755</v>
      </c>
      <c r="AH490" s="9">
        <v>132</v>
      </c>
      <c r="AI490" s="9">
        <f t="shared" si="270"/>
        <v>2.1238516409670858</v>
      </c>
      <c r="AJ490">
        <v>90.8</v>
      </c>
      <c r="AK490" s="23" t="s">
        <v>89</v>
      </c>
      <c r="AL490" s="42">
        <v>44.4007960521485</v>
      </c>
      <c r="AM490" s="24">
        <v>1.58</v>
      </c>
      <c r="AN490" s="34">
        <f t="shared" si="271"/>
        <v>0.41161970596323016</v>
      </c>
      <c r="AO490">
        <v>1978</v>
      </c>
      <c r="AP490">
        <v>30</v>
      </c>
      <c r="AQ490">
        <v>70</v>
      </c>
      <c r="AR490">
        <v>70</v>
      </c>
      <c r="AS490">
        <f t="shared" si="260"/>
        <v>0</v>
      </c>
      <c r="AT490">
        <f t="shared" si="272"/>
        <v>0</v>
      </c>
      <c r="AU490">
        <f t="shared" si="273"/>
        <v>1</v>
      </c>
      <c r="AV490">
        <f t="shared" si="274"/>
        <v>0</v>
      </c>
      <c r="AW490">
        <f t="shared" si="275"/>
        <v>0</v>
      </c>
      <c r="AX490">
        <f t="shared" si="276"/>
        <v>0</v>
      </c>
      <c r="AY490">
        <f t="shared" si="277"/>
        <v>0</v>
      </c>
      <c r="AZ490">
        <f t="shared" si="278"/>
        <v>0</v>
      </c>
      <c r="BA490">
        <f t="shared" si="279"/>
        <v>0</v>
      </c>
      <c r="BB490">
        <f t="shared" si="280"/>
        <v>0</v>
      </c>
      <c r="BC490">
        <f t="shared" si="281"/>
        <v>0</v>
      </c>
      <c r="BD490">
        <f t="shared" si="282"/>
        <v>0</v>
      </c>
      <c r="BE490">
        <f t="shared" si="283"/>
        <v>0</v>
      </c>
      <c r="BF490">
        <f t="shared" si="284"/>
        <v>0</v>
      </c>
      <c r="BG490">
        <f t="shared" si="285"/>
        <v>0</v>
      </c>
      <c r="BH490">
        <f t="shared" si="286"/>
        <v>0</v>
      </c>
      <c r="BI490">
        <f t="shared" si="287"/>
        <v>0</v>
      </c>
    </row>
    <row r="491" spans="1:61" x14ac:dyDescent="0.35">
      <c r="A491" t="s">
        <v>51</v>
      </c>
      <c r="B491" s="1">
        <v>37522</v>
      </c>
      <c r="C491" t="s">
        <v>991</v>
      </c>
      <c r="D491" t="s">
        <v>59</v>
      </c>
      <c r="E491" t="s">
        <v>1006</v>
      </c>
      <c r="F491" t="s">
        <v>45</v>
      </c>
      <c r="G491" t="s">
        <v>64</v>
      </c>
      <c r="H491" s="139">
        <f t="shared" si="261"/>
        <v>1</v>
      </c>
      <c r="I491" t="s">
        <v>611</v>
      </c>
      <c r="J491" t="s">
        <v>269</v>
      </c>
      <c r="K491" s="2">
        <f t="shared" si="264"/>
        <v>7</v>
      </c>
      <c r="L491">
        <v>562850000</v>
      </c>
      <c r="M491" s="2">
        <f t="shared" si="265"/>
        <v>8.7503926704250539</v>
      </c>
      <c r="N491">
        <v>430650000</v>
      </c>
      <c r="O491">
        <v>132200000</v>
      </c>
      <c r="P491" s="1">
        <v>39325</v>
      </c>
      <c r="Q491" s="89">
        <f t="shared" si="266"/>
        <v>2007</v>
      </c>
      <c r="R491" t="s">
        <v>54</v>
      </c>
      <c r="S491">
        <v>1300000000</v>
      </c>
      <c r="T491" s="21">
        <f t="shared" si="258"/>
        <v>4.9397260273972599</v>
      </c>
      <c r="U491">
        <v>5897.96</v>
      </c>
      <c r="V491">
        <f t="shared" si="267"/>
        <v>3.7707754512906644</v>
      </c>
      <c r="W491">
        <v>1958</v>
      </c>
      <c r="X491">
        <v>44</v>
      </c>
      <c r="Y491">
        <f t="shared" si="268"/>
        <v>1.6532125137753437</v>
      </c>
      <c r="Z491" s="45">
        <v>2.3199999999999998</v>
      </c>
      <c r="AA491" s="9">
        <f t="shared" si="256"/>
        <v>869350000</v>
      </c>
      <c r="AB491" s="15">
        <f t="shared" si="259"/>
        <v>1.3096739806342721</v>
      </c>
      <c r="AC491" s="34">
        <f t="shared" si="269"/>
        <v>0.36355068188178347</v>
      </c>
      <c r="AD491">
        <v>2030.3304662743317</v>
      </c>
      <c r="AE491">
        <f t="shared" si="262"/>
        <v>3.3075667315086759</v>
      </c>
      <c r="AF491">
        <v>6774.5586238116803</v>
      </c>
      <c r="AG491">
        <f t="shared" si="263"/>
        <v>3.8308810053047755</v>
      </c>
      <c r="AH491" s="9">
        <v>132</v>
      </c>
      <c r="AI491" s="9">
        <f t="shared" si="270"/>
        <v>2.1238516409670858</v>
      </c>
      <c r="AJ491">
        <v>85</v>
      </c>
      <c r="AK491" s="23" t="s">
        <v>249</v>
      </c>
      <c r="AL491" s="42">
        <v>37.589394702761602</v>
      </c>
      <c r="AM491" s="24">
        <v>0.77</v>
      </c>
      <c r="AN491" s="34">
        <f t="shared" si="271"/>
        <v>0.24797326636180664</v>
      </c>
      <c r="AO491">
        <v>1978</v>
      </c>
      <c r="AP491">
        <v>24</v>
      </c>
      <c r="AQ491">
        <v>70</v>
      </c>
      <c r="AR491">
        <v>70</v>
      </c>
      <c r="AS491">
        <f t="shared" si="260"/>
        <v>0</v>
      </c>
      <c r="AT491">
        <f t="shared" si="272"/>
        <v>0</v>
      </c>
      <c r="AU491">
        <f t="shared" si="273"/>
        <v>1</v>
      </c>
      <c r="AV491">
        <f t="shared" si="274"/>
        <v>0</v>
      </c>
      <c r="AW491">
        <f t="shared" si="275"/>
        <v>0</v>
      </c>
      <c r="AX491">
        <f t="shared" si="276"/>
        <v>0</v>
      </c>
      <c r="AY491">
        <f t="shared" si="277"/>
        <v>0</v>
      </c>
      <c r="AZ491">
        <f t="shared" si="278"/>
        <v>0</v>
      </c>
      <c r="BA491">
        <f t="shared" si="279"/>
        <v>0</v>
      </c>
      <c r="BB491">
        <f t="shared" si="280"/>
        <v>0</v>
      </c>
      <c r="BC491">
        <f t="shared" si="281"/>
        <v>0</v>
      </c>
      <c r="BD491">
        <f t="shared" si="282"/>
        <v>0</v>
      </c>
      <c r="BE491">
        <f t="shared" si="283"/>
        <v>0</v>
      </c>
      <c r="BF491">
        <f t="shared" si="284"/>
        <v>0</v>
      </c>
      <c r="BG491">
        <f t="shared" si="285"/>
        <v>0</v>
      </c>
      <c r="BH491">
        <f t="shared" si="286"/>
        <v>0</v>
      </c>
      <c r="BI491">
        <f t="shared" si="287"/>
        <v>0</v>
      </c>
    </row>
    <row r="492" spans="1:61" x14ac:dyDescent="0.35">
      <c r="A492" t="s">
        <v>51</v>
      </c>
      <c r="B492" s="1">
        <v>41855</v>
      </c>
      <c r="C492" t="s">
        <v>1007</v>
      </c>
      <c r="D492" t="s">
        <v>5</v>
      </c>
      <c r="E492" t="s">
        <v>1008</v>
      </c>
      <c r="F492" t="s">
        <v>45</v>
      </c>
      <c r="G492" t="s">
        <v>64</v>
      </c>
      <c r="H492" s="139">
        <f t="shared" si="261"/>
        <v>1</v>
      </c>
      <c r="I492" t="s">
        <v>234</v>
      </c>
      <c r="J492" t="s">
        <v>326</v>
      </c>
      <c r="K492" s="2">
        <f t="shared" si="264"/>
        <v>8</v>
      </c>
      <c r="L492">
        <v>1700000000</v>
      </c>
      <c r="M492" s="2">
        <f t="shared" si="265"/>
        <v>9.2304489213782741</v>
      </c>
      <c r="N492">
        <f t="shared" ref="N492:N498" si="291">L492</f>
        <v>1700000000</v>
      </c>
      <c r="O492">
        <v>0</v>
      </c>
      <c r="P492" s="1">
        <v>42828</v>
      </c>
      <c r="Q492" s="89">
        <f t="shared" si="266"/>
        <v>2017</v>
      </c>
      <c r="R492" t="s">
        <v>107</v>
      </c>
      <c r="S492">
        <v>2300000000</v>
      </c>
      <c r="T492" s="21">
        <f t="shared" si="258"/>
        <v>2.6657534246575341</v>
      </c>
      <c r="U492">
        <v>6188.89</v>
      </c>
      <c r="V492">
        <f t="shared" si="267"/>
        <v>3.7916829312790057</v>
      </c>
      <c r="W492">
        <v>2014</v>
      </c>
      <c r="X492">
        <v>0</v>
      </c>
      <c r="Y492">
        <f t="shared" si="268"/>
        <v>0</v>
      </c>
      <c r="Z492" s="45">
        <v>2.72</v>
      </c>
      <c r="AA492" s="9">
        <f t="shared" si="256"/>
        <v>600000000</v>
      </c>
      <c r="AB492" s="15">
        <f t="shared" si="259"/>
        <v>0.35294117647058831</v>
      </c>
      <c r="AC492" s="34">
        <f t="shared" si="269"/>
        <v>0.13127891463931898</v>
      </c>
      <c r="AD492">
        <v>2030.3304662743317</v>
      </c>
      <c r="AE492">
        <f t="shared" si="262"/>
        <v>3.3075667315086759</v>
      </c>
      <c r="AF492">
        <v>6774.5586238116803</v>
      </c>
      <c r="AG492">
        <f t="shared" si="263"/>
        <v>3.8308810053047755</v>
      </c>
      <c r="AH492" s="9">
        <v>1084.3333333333301</v>
      </c>
      <c r="AI492" s="9">
        <f t="shared" si="270"/>
        <v>3.0355631414974997</v>
      </c>
      <c r="AJ492">
        <v>89.7</v>
      </c>
      <c r="AK492" s="23" t="s">
        <v>284</v>
      </c>
      <c r="AL492" s="42">
        <v>45.741556971826803</v>
      </c>
      <c r="AM492" s="24">
        <v>0.22</v>
      </c>
      <c r="AN492" s="34">
        <f t="shared" si="271"/>
        <v>8.6359830674748214E-2</v>
      </c>
      <c r="AO492">
        <v>1978</v>
      </c>
      <c r="AP492">
        <v>36</v>
      </c>
      <c r="AQ492">
        <v>70</v>
      </c>
      <c r="AR492">
        <v>90</v>
      </c>
      <c r="AS492">
        <f t="shared" si="260"/>
        <v>0</v>
      </c>
      <c r="AT492">
        <f t="shared" si="272"/>
        <v>0</v>
      </c>
      <c r="AU492">
        <f t="shared" si="273"/>
        <v>0</v>
      </c>
      <c r="AV492">
        <f t="shared" si="274"/>
        <v>0</v>
      </c>
      <c r="AW492">
        <f t="shared" si="275"/>
        <v>0</v>
      </c>
      <c r="AX492">
        <f t="shared" si="276"/>
        <v>0</v>
      </c>
      <c r="AY492">
        <f t="shared" si="277"/>
        <v>1</v>
      </c>
      <c r="AZ492">
        <f t="shared" si="278"/>
        <v>0</v>
      </c>
      <c r="BA492">
        <f t="shared" si="279"/>
        <v>0</v>
      </c>
      <c r="BB492">
        <f t="shared" si="280"/>
        <v>0</v>
      </c>
      <c r="BC492">
        <f t="shared" si="281"/>
        <v>0</v>
      </c>
      <c r="BD492">
        <f t="shared" si="282"/>
        <v>0</v>
      </c>
      <c r="BE492">
        <f t="shared" si="283"/>
        <v>0</v>
      </c>
      <c r="BF492">
        <f t="shared" si="284"/>
        <v>0</v>
      </c>
      <c r="BG492">
        <f t="shared" si="285"/>
        <v>0</v>
      </c>
      <c r="BH492">
        <f t="shared" si="286"/>
        <v>0</v>
      </c>
      <c r="BI492">
        <f t="shared" si="287"/>
        <v>0</v>
      </c>
    </row>
    <row r="493" spans="1:61" x14ac:dyDescent="0.35">
      <c r="A493" t="s">
        <v>51</v>
      </c>
      <c r="B493" s="1">
        <v>36528</v>
      </c>
      <c r="C493" t="s">
        <v>1009</v>
      </c>
      <c r="D493" t="s">
        <v>2</v>
      </c>
      <c r="E493" t="s">
        <v>1006</v>
      </c>
      <c r="F493" t="s">
        <v>45</v>
      </c>
      <c r="G493" t="s">
        <v>64</v>
      </c>
      <c r="H493" s="139">
        <f t="shared" si="261"/>
        <v>1</v>
      </c>
      <c r="I493" t="s">
        <v>234</v>
      </c>
      <c r="J493" t="s">
        <v>235</v>
      </c>
      <c r="K493" s="2">
        <f t="shared" si="264"/>
        <v>1</v>
      </c>
      <c r="L493">
        <v>1200000000</v>
      </c>
      <c r="M493" s="2">
        <f t="shared" si="265"/>
        <v>9.0791812460476251</v>
      </c>
      <c r="N493">
        <f t="shared" si="291"/>
        <v>1200000000</v>
      </c>
      <c r="O493">
        <v>0</v>
      </c>
      <c r="P493" s="1">
        <v>37376</v>
      </c>
      <c r="Q493" s="89">
        <f t="shared" si="266"/>
        <v>2002</v>
      </c>
      <c r="R493" t="s">
        <v>338</v>
      </c>
      <c r="S493">
        <v>0</v>
      </c>
      <c r="T493" s="21">
        <f t="shared" si="258"/>
        <v>2.3232876712328765</v>
      </c>
      <c r="U493">
        <v>6815.73</v>
      </c>
      <c r="V493">
        <f t="shared" si="267"/>
        <v>3.8335760926148099</v>
      </c>
      <c r="W493">
        <v>1934</v>
      </c>
      <c r="X493">
        <v>66</v>
      </c>
      <c r="Y493">
        <f t="shared" si="268"/>
        <v>1.8260748027008264</v>
      </c>
      <c r="Z493" s="45">
        <v>2.85</v>
      </c>
      <c r="AA493" s="9">
        <f t="shared" si="256"/>
        <v>-1200000000</v>
      </c>
      <c r="AB493" s="15">
        <f t="shared" si="259"/>
        <v>-1</v>
      </c>
      <c r="AC493" s="34">
        <f t="shared" si="269"/>
        <v>-1</v>
      </c>
      <c r="AD493">
        <v>2030.3304662743317</v>
      </c>
      <c r="AE493">
        <f t="shared" si="262"/>
        <v>3.3075667315086759</v>
      </c>
      <c r="AF493">
        <v>6774.5586238116803</v>
      </c>
      <c r="AG493">
        <f t="shared" si="263"/>
        <v>3.8308810053047755</v>
      </c>
      <c r="AH493" s="9">
        <v>819</v>
      </c>
      <c r="AI493" s="9">
        <f t="shared" si="270"/>
        <v>2.9138138523837167</v>
      </c>
      <c r="AJ493">
        <v>70</v>
      </c>
      <c r="AK493" s="23" t="s">
        <v>374</v>
      </c>
      <c r="AL493" s="42">
        <v>44.748733746598099</v>
      </c>
      <c r="AM493" s="24">
        <v>-0.26</v>
      </c>
      <c r="AN493" s="34">
        <f t="shared" si="271"/>
        <v>-0.13076828026902382</v>
      </c>
      <c r="AO493">
        <v>1978</v>
      </c>
      <c r="AP493">
        <v>22</v>
      </c>
      <c r="AQ493">
        <v>70</v>
      </c>
      <c r="AR493">
        <v>70</v>
      </c>
      <c r="AS493">
        <f t="shared" si="260"/>
        <v>1</v>
      </c>
      <c r="AT493">
        <f t="shared" si="272"/>
        <v>0</v>
      </c>
      <c r="AU493">
        <f t="shared" si="273"/>
        <v>0</v>
      </c>
      <c r="AV493">
        <f t="shared" si="274"/>
        <v>0</v>
      </c>
      <c r="AW493">
        <f t="shared" si="275"/>
        <v>0</v>
      </c>
      <c r="AX493">
        <f t="shared" si="276"/>
        <v>0</v>
      </c>
      <c r="AY493">
        <f t="shared" si="277"/>
        <v>0</v>
      </c>
      <c r="AZ493">
        <f t="shared" si="278"/>
        <v>0</v>
      </c>
      <c r="BA493">
        <f t="shared" si="279"/>
        <v>0</v>
      </c>
      <c r="BB493">
        <f t="shared" si="280"/>
        <v>1</v>
      </c>
      <c r="BC493">
        <f t="shared" si="281"/>
        <v>0</v>
      </c>
      <c r="BD493">
        <f t="shared" si="282"/>
        <v>0</v>
      </c>
      <c r="BE493">
        <f t="shared" si="283"/>
        <v>0</v>
      </c>
      <c r="BF493">
        <f t="shared" si="284"/>
        <v>0</v>
      </c>
      <c r="BG493">
        <f t="shared" si="285"/>
        <v>0</v>
      </c>
      <c r="BH493">
        <f t="shared" si="286"/>
        <v>0</v>
      </c>
      <c r="BI493">
        <f t="shared" si="287"/>
        <v>0</v>
      </c>
    </row>
    <row r="494" spans="1:61" x14ac:dyDescent="0.35">
      <c r="A494" t="s">
        <v>728</v>
      </c>
      <c r="B494" s="1">
        <v>36867</v>
      </c>
      <c r="C494" t="s">
        <v>1010</v>
      </c>
      <c r="D494" t="s">
        <v>434</v>
      </c>
      <c r="E494" t="s">
        <v>1006</v>
      </c>
      <c r="F494" t="s">
        <v>45</v>
      </c>
      <c r="G494" t="s">
        <v>64</v>
      </c>
      <c r="H494" s="139">
        <f t="shared" si="261"/>
        <v>1</v>
      </c>
      <c r="I494" t="s">
        <v>234</v>
      </c>
      <c r="J494" t="s">
        <v>178</v>
      </c>
      <c r="K494" s="2">
        <f t="shared" si="264"/>
        <v>9</v>
      </c>
      <c r="L494">
        <v>1000000000</v>
      </c>
      <c r="M494" s="2">
        <f t="shared" si="265"/>
        <v>9</v>
      </c>
      <c r="N494">
        <f t="shared" si="291"/>
        <v>1000000000</v>
      </c>
      <c r="O494">
        <v>0</v>
      </c>
      <c r="P494" s="1">
        <v>43084</v>
      </c>
      <c r="Q494" s="89">
        <f t="shared" si="266"/>
        <v>2017</v>
      </c>
      <c r="R494" t="s">
        <v>107</v>
      </c>
      <c r="S494">
        <v>25000000</v>
      </c>
      <c r="T494" s="21">
        <f t="shared" si="258"/>
        <v>17.032876712328768</v>
      </c>
      <c r="U494">
        <v>7216.98</v>
      </c>
      <c r="V494">
        <f t="shared" si="267"/>
        <v>3.8584156743566731</v>
      </c>
      <c r="W494">
        <v>1921</v>
      </c>
      <c r="X494">
        <v>79</v>
      </c>
      <c r="Y494">
        <f t="shared" si="268"/>
        <v>1.9030899869919435</v>
      </c>
      <c r="Z494" s="45">
        <v>2.66</v>
      </c>
      <c r="AA494" s="9">
        <f t="shared" si="256"/>
        <v>-975000000</v>
      </c>
      <c r="AB494" s="15">
        <f t="shared" si="259"/>
        <v>-0.97499999999999998</v>
      </c>
      <c r="AC494" s="34">
        <f t="shared" si="269"/>
        <v>-1.6020599913279621</v>
      </c>
      <c r="AD494">
        <v>2030.3304662743317</v>
      </c>
      <c r="AE494">
        <f t="shared" si="262"/>
        <v>3.3075667315086759</v>
      </c>
      <c r="AF494">
        <v>6774.5586238116803</v>
      </c>
      <c r="AG494">
        <f t="shared" si="263"/>
        <v>3.8308810053047755</v>
      </c>
      <c r="AH494" s="9">
        <v>649.83333333333303</v>
      </c>
      <c r="AI494" s="9">
        <f t="shared" si="270"/>
        <v>2.8134697878296753</v>
      </c>
      <c r="AJ494">
        <v>70</v>
      </c>
      <c r="AK494" s="23" t="s">
        <v>454</v>
      </c>
      <c r="AL494" s="42">
        <v>46.612741748887998</v>
      </c>
      <c r="AM494" s="24">
        <v>0.99</v>
      </c>
      <c r="AN494" s="34">
        <f t="shared" si="271"/>
        <v>0.29885307640970665</v>
      </c>
      <c r="AO494">
        <v>1978</v>
      </c>
      <c r="AP494">
        <v>22</v>
      </c>
      <c r="AQ494">
        <v>90</v>
      </c>
      <c r="AR494">
        <v>70</v>
      </c>
      <c r="AS494">
        <f t="shared" si="260"/>
        <v>0</v>
      </c>
      <c r="AT494">
        <f t="shared" si="272"/>
        <v>0</v>
      </c>
      <c r="AU494">
        <f t="shared" si="273"/>
        <v>0</v>
      </c>
      <c r="AV494">
        <f t="shared" si="274"/>
        <v>0</v>
      </c>
      <c r="AW494">
        <f t="shared" si="275"/>
        <v>0</v>
      </c>
      <c r="AX494">
        <f t="shared" si="276"/>
        <v>0</v>
      </c>
      <c r="AY494">
        <f t="shared" si="277"/>
        <v>0</v>
      </c>
      <c r="AZ494">
        <f t="shared" si="278"/>
        <v>0</v>
      </c>
      <c r="BA494">
        <f t="shared" si="279"/>
        <v>0</v>
      </c>
      <c r="BB494">
        <f t="shared" si="280"/>
        <v>0</v>
      </c>
      <c r="BC494">
        <f t="shared" si="281"/>
        <v>1</v>
      </c>
      <c r="BD494">
        <f t="shared" si="282"/>
        <v>0</v>
      </c>
      <c r="BE494">
        <f t="shared" si="283"/>
        <v>0</v>
      </c>
      <c r="BF494">
        <f t="shared" si="284"/>
        <v>0</v>
      </c>
      <c r="BG494">
        <f t="shared" si="285"/>
        <v>0</v>
      </c>
      <c r="BH494">
        <f t="shared" si="286"/>
        <v>0</v>
      </c>
      <c r="BI494">
        <f t="shared" si="287"/>
        <v>0</v>
      </c>
    </row>
    <row r="495" spans="1:61" ht="15.75" customHeight="1" x14ac:dyDescent="0.35">
      <c r="A495" t="s">
        <v>51</v>
      </c>
      <c r="B495" s="1">
        <v>37592</v>
      </c>
      <c r="C495" t="s">
        <v>1011</v>
      </c>
      <c r="D495" t="s">
        <v>45</v>
      </c>
      <c r="E495" t="s">
        <v>1012</v>
      </c>
      <c r="F495" t="s">
        <v>45</v>
      </c>
      <c r="G495" t="s">
        <v>47</v>
      </c>
      <c r="H495" s="139">
        <f t="shared" si="261"/>
        <v>0</v>
      </c>
      <c r="I495" t="s">
        <v>234</v>
      </c>
      <c r="J495" t="s">
        <v>190</v>
      </c>
      <c r="K495" s="2">
        <f t="shared" si="264"/>
        <v>2</v>
      </c>
      <c r="L495">
        <v>1127370000</v>
      </c>
      <c r="M495" s="2">
        <f t="shared" si="265"/>
        <v>9.052066473798158</v>
      </c>
      <c r="N495">
        <f t="shared" si="291"/>
        <v>1127370000</v>
      </c>
      <c r="O495">
        <v>0</v>
      </c>
      <c r="P495" s="1">
        <v>41113</v>
      </c>
      <c r="Q495" s="89">
        <f t="shared" si="266"/>
        <v>2012</v>
      </c>
      <c r="R495" t="s">
        <v>107</v>
      </c>
      <c r="S495">
        <v>1525000000</v>
      </c>
      <c r="T495" s="21">
        <f t="shared" si="258"/>
        <v>9.6465753424657539</v>
      </c>
      <c r="U495">
        <v>0</v>
      </c>
      <c r="V495">
        <f t="shared" si="267"/>
        <v>0</v>
      </c>
      <c r="W495">
        <v>1849</v>
      </c>
      <c r="X495">
        <v>153</v>
      </c>
      <c r="Y495">
        <f t="shared" si="268"/>
        <v>2.1875207208364631</v>
      </c>
      <c r="Z495" s="45">
        <v>2.95</v>
      </c>
      <c r="AA495" s="9">
        <f t="shared" si="256"/>
        <v>397630000</v>
      </c>
      <c r="AB495" s="15">
        <f t="shared" si="259"/>
        <v>0.35270585522055753</v>
      </c>
      <c r="AC495" s="34">
        <f t="shared" si="269"/>
        <v>0.13120336988464582</v>
      </c>
      <c r="AD495">
        <v>2908.587257617728</v>
      </c>
      <c r="AE495">
        <f t="shared" si="262"/>
        <v>3.4636820971642801</v>
      </c>
      <c r="AF495">
        <v>4681.440443213296</v>
      </c>
      <c r="AG495">
        <f t="shared" si="263"/>
        <v>3.6703795027080157</v>
      </c>
      <c r="AH495" s="9">
        <v>0</v>
      </c>
      <c r="AI495" s="9">
        <f t="shared" si="270"/>
        <v>0</v>
      </c>
      <c r="AJ495">
        <v>85</v>
      </c>
      <c r="AK495" s="23" t="s">
        <v>57</v>
      </c>
      <c r="AL495" s="42">
        <v>36.710134890601303</v>
      </c>
      <c r="AM495" s="24">
        <v>0.45</v>
      </c>
      <c r="AN495" s="34">
        <f t="shared" si="271"/>
        <v>0.16136800223497488</v>
      </c>
      <c r="AO495">
        <v>1985</v>
      </c>
      <c r="AP495">
        <v>17</v>
      </c>
      <c r="AQ495">
        <v>70</v>
      </c>
      <c r="AR495">
        <v>70</v>
      </c>
      <c r="AS495">
        <f t="shared" si="260"/>
        <v>0</v>
      </c>
      <c r="AT495">
        <f t="shared" si="272"/>
        <v>1</v>
      </c>
      <c r="AU495">
        <f t="shared" si="273"/>
        <v>0</v>
      </c>
      <c r="AV495">
        <f t="shared" si="274"/>
        <v>0</v>
      </c>
      <c r="AW495">
        <f t="shared" si="275"/>
        <v>0</v>
      </c>
      <c r="AX495">
        <f t="shared" si="276"/>
        <v>0</v>
      </c>
      <c r="AY495">
        <f t="shared" si="277"/>
        <v>0</v>
      </c>
      <c r="AZ495">
        <f t="shared" si="278"/>
        <v>0</v>
      </c>
      <c r="BA495">
        <f t="shared" si="279"/>
        <v>0</v>
      </c>
      <c r="BB495">
        <f t="shared" si="280"/>
        <v>0</v>
      </c>
      <c r="BC495">
        <f t="shared" si="281"/>
        <v>0</v>
      </c>
      <c r="BD495">
        <f t="shared" si="282"/>
        <v>0</v>
      </c>
      <c r="BE495">
        <f t="shared" si="283"/>
        <v>0</v>
      </c>
      <c r="BF495">
        <f t="shared" si="284"/>
        <v>0</v>
      </c>
      <c r="BG495">
        <f t="shared" si="285"/>
        <v>0</v>
      </c>
      <c r="BH495">
        <f t="shared" si="286"/>
        <v>0</v>
      </c>
      <c r="BI495">
        <f t="shared" si="287"/>
        <v>0</v>
      </c>
    </row>
    <row r="496" spans="1:61" x14ac:dyDescent="0.35">
      <c r="A496" t="s">
        <v>51</v>
      </c>
      <c r="B496" s="1">
        <v>37592</v>
      </c>
      <c r="C496" t="s">
        <v>1013</v>
      </c>
      <c r="D496" t="s">
        <v>489</v>
      </c>
      <c r="E496" t="s">
        <v>1012</v>
      </c>
      <c r="F496" t="s">
        <v>45</v>
      </c>
      <c r="G496" t="s">
        <v>64</v>
      </c>
      <c r="H496" s="139">
        <f t="shared" si="261"/>
        <v>1</v>
      </c>
      <c r="I496" t="s">
        <v>234</v>
      </c>
      <c r="J496" t="s">
        <v>190</v>
      </c>
      <c r="K496" s="2">
        <f t="shared" si="264"/>
        <v>2</v>
      </c>
      <c r="L496">
        <v>1127370000</v>
      </c>
      <c r="M496" s="2">
        <f t="shared" si="265"/>
        <v>9.052066473798158</v>
      </c>
      <c r="N496">
        <f t="shared" si="291"/>
        <v>1127370000</v>
      </c>
      <c r="O496">
        <v>0</v>
      </c>
      <c r="P496" s="1">
        <v>40816</v>
      </c>
      <c r="Q496" s="89">
        <f t="shared" si="266"/>
        <v>2011</v>
      </c>
      <c r="R496" t="s">
        <v>107</v>
      </c>
      <c r="S496">
        <v>13732800000</v>
      </c>
      <c r="T496" s="21">
        <f t="shared" si="258"/>
        <v>8.8328767123287673</v>
      </c>
      <c r="U496">
        <v>6651.37</v>
      </c>
      <c r="V496">
        <f t="shared" si="267"/>
        <v>3.8229763963637051</v>
      </c>
      <c r="W496">
        <v>1874</v>
      </c>
      <c r="X496">
        <v>128</v>
      </c>
      <c r="Y496">
        <f t="shared" si="268"/>
        <v>2.1105897102992488</v>
      </c>
      <c r="Z496" s="45">
        <v>3.03</v>
      </c>
      <c r="AA496" s="9">
        <f t="shared" si="256"/>
        <v>12605430000</v>
      </c>
      <c r="AB496" s="15">
        <f t="shared" si="259"/>
        <v>11.181271454801884</v>
      </c>
      <c r="AC496" s="34">
        <f t="shared" si="269"/>
        <v>1.085692621382691</v>
      </c>
      <c r="AD496">
        <v>2908.587257617728</v>
      </c>
      <c r="AE496">
        <f t="shared" si="262"/>
        <v>3.4636820971642801</v>
      </c>
      <c r="AF496">
        <v>4681.440443213296</v>
      </c>
      <c r="AG496">
        <f t="shared" si="263"/>
        <v>3.6703795027080157</v>
      </c>
      <c r="AH496" s="9">
        <v>513.5</v>
      </c>
      <c r="AI496" s="9">
        <f t="shared" si="270"/>
        <v>2.7113853790984517</v>
      </c>
      <c r="AJ496">
        <v>70</v>
      </c>
      <c r="AK496" s="23" t="s">
        <v>490</v>
      </c>
      <c r="AL496" s="42">
        <v>49.329709120205997</v>
      </c>
      <c r="AM496" s="24">
        <v>0.21</v>
      </c>
      <c r="AN496" s="34">
        <f t="shared" si="271"/>
        <v>8.2785370316450071E-2</v>
      </c>
      <c r="AO496">
        <v>1985</v>
      </c>
      <c r="AP496">
        <v>17</v>
      </c>
      <c r="AQ496">
        <v>70</v>
      </c>
      <c r="AR496">
        <v>70</v>
      </c>
      <c r="AS496">
        <f t="shared" si="260"/>
        <v>0</v>
      </c>
      <c r="AT496">
        <f t="shared" si="272"/>
        <v>0</v>
      </c>
      <c r="AU496">
        <f t="shared" si="273"/>
        <v>0</v>
      </c>
      <c r="AV496">
        <f t="shared" si="274"/>
        <v>0</v>
      </c>
      <c r="AW496">
        <f t="shared" si="275"/>
        <v>0</v>
      </c>
      <c r="AX496">
        <f t="shared" si="276"/>
        <v>0</v>
      </c>
      <c r="AY496">
        <f t="shared" si="277"/>
        <v>0</v>
      </c>
      <c r="AZ496">
        <f t="shared" si="278"/>
        <v>0</v>
      </c>
      <c r="BA496">
        <f t="shared" si="279"/>
        <v>0</v>
      </c>
      <c r="BB496">
        <f t="shared" si="280"/>
        <v>0</v>
      </c>
      <c r="BC496">
        <f t="shared" si="281"/>
        <v>0</v>
      </c>
      <c r="BD496">
        <f t="shared" si="282"/>
        <v>0</v>
      </c>
      <c r="BE496">
        <f t="shared" si="283"/>
        <v>0</v>
      </c>
      <c r="BF496">
        <f t="shared" si="284"/>
        <v>0</v>
      </c>
      <c r="BG496">
        <f t="shared" si="285"/>
        <v>1</v>
      </c>
      <c r="BH496">
        <f t="shared" si="286"/>
        <v>0</v>
      </c>
      <c r="BI496">
        <f t="shared" si="287"/>
        <v>0</v>
      </c>
    </row>
    <row r="497" spans="1:61" x14ac:dyDescent="0.35">
      <c r="A497" t="s">
        <v>816</v>
      </c>
      <c r="B497" s="1">
        <v>36889</v>
      </c>
      <c r="C497" t="s">
        <v>1014</v>
      </c>
      <c r="D497" t="s">
        <v>5</v>
      </c>
      <c r="E497" t="s">
        <v>1015</v>
      </c>
      <c r="F497" t="s">
        <v>45</v>
      </c>
      <c r="G497" t="s">
        <v>64</v>
      </c>
      <c r="H497" s="139">
        <f t="shared" si="261"/>
        <v>1</v>
      </c>
      <c r="I497" t="s">
        <v>234</v>
      </c>
      <c r="J497" t="s">
        <v>235</v>
      </c>
      <c r="K497" s="2">
        <f t="shared" si="264"/>
        <v>1</v>
      </c>
      <c r="L497">
        <v>74207250</v>
      </c>
      <c r="M497" s="2">
        <f t="shared" si="265"/>
        <v>7.8704463376399296</v>
      </c>
      <c r="N497">
        <f t="shared" si="291"/>
        <v>74207250</v>
      </c>
      <c r="O497">
        <v>0</v>
      </c>
      <c r="P497" s="1">
        <v>38008</v>
      </c>
      <c r="Q497" s="89">
        <f t="shared" si="266"/>
        <v>2004</v>
      </c>
      <c r="R497" t="s">
        <v>322</v>
      </c>
      <c r="S497">
        <v>146570304</v>
      </c>
      <c r="T497" s="21">
        <f t="shared" si="258"/>
        <v>3.0657534246575344</v>
      </c>
      <c r="U497">
        <v>6188.89</v>
      </c>
      <c r="V497">
        <f t="shared" si="267"/>
        <v>3.7916829312790057</v>
      </c>
      <c r="W497">
        <v>1889</v>
      </c>
      <c r="X497">
        <v>111</v>
      </c>
      <c r="Y497">
        <f t="shared" si="268"/>
        <v>2.0492180226701815</v>
      </c>
      <c r="Z497" s="45">
        <v>2.72</v>
      </c>
      <c r="AA497" s="9">
        <f t="shared" si="256"/>
        <v>72363054</v>
      </c>
      <c r="AB497" s="15">
        <f t="shared" si="259"/>
        <v>0.97514803472706513</v>
      </c>
      <c r="AC497" s="34">
        <f t="shared" si="269"/>
        <v>0.29559965097806595</v>
      </c>
      <c r="AD497">
        <v>4192.5515477649324</v>
      </c>
      <c r="AE497">
        <f t="shared" si="262"/>
        <v>3.6224784109972026</v>
      </c>
      <c r="AF497">
        <v>6098.886461718791</v>
      </c>
      <c r="AG497">
        <f t="shared" si="263"/>
        <v>3.7852505485064163</v>
      </c>
      <c r="AH497" s="9">
        <v>1084.3333333333301</v>
      </c>
      <c r="AI497" s="9">
        <f t="shared" si="270"/>
        <v>3.0355631414974997</v>
      </c>
      <c r="AJ497">
        <v>70</v>
      </c>
      <c r="AK497" s="23" t="s">
        <v>296</v>
      </c>
      <c r="AL497" s="42">
        <v>42.177001683602199</v>
      </c>
      <c r="AM497" s="24">
        <v>-0.13</v>
      </c>
      <c r="AN497" s="34">
        <f t="shared" si="271"/>
        <v>-6.0480747381381476E-2</v>
      </c>
      <c r="AO497">
        <v>1984</v>
      </c>
      <c r="AP497">
        <v>16</v>
      </c>
      <c r="AQ497">
        <v>95</v>
      </c>
      <c r="AR497">
        <v>80</v>
      </c>
      <c r="AS497">
        <f t="shared" si="260"/>
        <v>0</v>
      </c>
      <c r="AT497">
        <f t="shared" si="272"/>
        <v>0</v>
      </c>
      <c r="AU497">
        <f t="shared" si="273"/>
        <v>0</v>
      </c>
      <c r="AV497">
        <f t="shared" si="274"/>
        <v>0</v>
      </c>
      <c r="AW497">
        <f t="shared" si="275"/>
        <v>0</v>
      </c>
      <c r="AX497">
        <f t="shared" si="276"/>
        <v>0</v>
      </c>
      <c r="AY497">
        <f t="shared" si="277"/>
        <v>1</v>
      </c>
      <c r="AZ497">
        <f t="shared" si="278"/>
        <v>0</v>
      </c>
      <c r="BA497">
        <f t="shared" si="279"/>
        <v>0</v>
      </c>
      <c r="BB497">
        <f t="shared" si="280"/>
        <v>0</v>
      </c>
      <c r="BC497">
        <f t="shared" si="281"/>
        <v>0</v>
      </c>
      <c r="BD497">
        <f t="shared" si="282"/>
        <v>0</v>
      </c>
      <c r="BE497">
        <f t="shared" si="283"/>
        <v>0</v>
      </c>
      <c r="BF497">
        <f t="shared" si="284"/>
        <v>0</v>
      </c>
      <c r="BG497">
        <f t="shared" si="285"/>
        <v>0</v>
      </c>
      <c r="BH497">
        <f t="shared" si="286"/>
        <v>0</v>
      </c>
      <c r="BI497">
        <f t="shared" si="287"/>
        <v>0</v>
      </c>
    </row>
    <row r="498" spans="1:61" x14ac:dyDescent="0.35">
      <c r="A498" t="s">
        <v>1016</v>
      </c>
      <c r="B498" s="1">
        <v>40694</v>
      </c>
      <c r="C498" t="s">
        <v>1017</v>
      </c>
      <c r="D498" t="s">
        <v>434</v>
      </c>
      <c r="E498" t="s">
        <v>1018</v>
      </c>
      <c r="F498" t="s">
        <v>45</v>
      </c>
      <c r="G498" t="s">
        <v>64</v>
      </c>
      <c r="H498" s="139">
        <f t="shared" si="261"/>
        <v>1</v>
      </c>
      <c r="I498" t="s">
        <v>234</v>
      </c>
      <c r="J498" t="s">
        <v>183</v>
      </c>
      <c r="K498" s="2">
        <f t="shared" si="264"/>
        <v>3</v>
      </c>
      <c r="L498">
        <v>577850000</v>
      </c>
      <c r="M498" s="2">
        <f t="shared" si="265"/>
        <v>8.7618151176130699</v>
      </c>
      <c r="N498">
        <f t="shared" si="291"/>
        <v>577850000</v>
      </c>
      <c r="O498">
        <v>0</v>
      </c>
      <c r="P498" s="1">
        <v>41631</v>
      </c>
      <c r="Q498" s="89">
        <f t="shared" si="266"/>
        <v>2013</v>
      </c>
      <c r="R498" t="s">
        <v>107</v>
      </c>
      <c r="S498">
        <v>777000000</v>
      </c>
      <c r="T498" s="21">
        <f t="shared" si="258"/>
        <v>2.5671232876712327</v>
      </c>
      <c r="U498">
        <v>7216.98</v>
      </c>
      <c r="V498">
        <f t="shared" si="267"/>
        <v>3.8584156743566731</v>
      </c>
      <c r="W498">
        <v>1853</v>
      </c>
      <c r="X498">
        <v>158</v>
      </c>
      <c r="Y498">
        <f t="shared" si="268"/>
        <v>2.2013971243204513</v>
      </c>
      <c r="Z498" s="45">
        <v>2.66</v>
      </c>
      <c r="AA498" s="9">
        <f t="shared" si="256"/>
        <v>199150000</v>
      </c>
      <c r="AB498" s="15">
        <f t="shared" si="259"/>
        <v>0.34463961235614771</v>
      </c>
      <c r="AC498" s="34">
        <f t="shared" si="269"/>
        <v>0.12860590118784496</v>
      </c>
      <c r="AD498">
        <v>4192.5515477649324</v>
      </c>
      <c r="AE498">
        <f t="shared" si="262"/>
        <v>3.6224784109972026</v>
      </c>
      <c r="AF498">
        <v>6098.886461718791</v>
      </c>
      <c r="AG498">
        <f t="shared" si="263"/>
        <v>3.7852505485064163</v>
      </c>
      <c r="AH498" s="9">
        <v>649.83333333333303</v>
      </c>
      <c r="AI498" s="9">
        <f t="shared" si="270"/>
        <v>2.8134697878296753</v>
      </c>
      <c r="AJ498">
        <v>77.3</v>
      </c>
      <c r="AK498" s="23" t="s">
        <v>1019</v>
      </c>
      <c r="AL498" s="42">
        <v>49.378950814702399</v>
      </c>
      <c r="AM498" s="24">
        <v>0.36</v>
      </c>
      <c r="AN498" s="34">
        <f t="shared" si="271"/>
        <v>0.13353890837021748</v>
      </c>
      <c r="AO498">
        <v>1984</v>
      </c>
      <c r="AP498">
        <v>27</v>
      </c>
      <c r="AQ498">
        <v>90</v>
      </c>
      <c r="AR498">
        <v>70</v>
      </c>
      <c r="AS498">
        <f t="shared" si="260"/>
        <v>0</v>
      </c>
      <c r="AT498">
        <f t="shared" si="272"/>
        <v>0</v>
      </c>
      <c r="AU498">
        <f t="shared" si="273"/>
        <v>0</v>
      </c>
      <c r="AV498">
        <f t="shared" si="274"/>
        <v>0</v>
      </c>
      <c r="AW498">
        <f t="shared" si="275"/>
        <v>0</v>
      </c>
      <c r="AX498">
        <f t="shared" si="276"/>
        <v>0</v>
      </c>
      <c r="AY498">
        <f t="shared" si="277"/>
        <v>0</v>
      </c>
      <c r="AZ498">
        <f t="shared" si="278"/>
        <v>0</v>
      </c>
      <c r="BA498">
        <f t="shared" si="279"/>
        <v>0</v>
      </c>
      <c r="BB498">
        <f t="shared" si="280"/>
        <v>0</v>
      </c>
      <c r="BC498">
        <f t="shared" si="281"/>
        <v>1</v>
      </c>
      <c r="BD498">
        <f t="shared" si="282"/>
        <v>0</v>
      </c>
      <c r="BE498">
        <f t="shared" si="283"/>
        <v>0</v>
      </c>
      <c r="BF498">
        <f t="shared" si="284"/>
        <v>0</v>
      </c>
      <c r="BG498">
        <f t="shared" si="285"/>
        <v>0</v>
      </c>
      <c r="BH498">
        <f t="shared" si="286"/>
        <v>0</v>
      </c>
      <c r="BI498">
        <f t="shared" si="287"/>
        <v>0</v>
      </c>
    </row>
    <row r="499" spans="1:61" x14ac:dyDescent="0.35">
      <c r="A499" t="s">
        <v>1020</v>
      </c>
      <c r="B499" s="1">
        <v>40809</v>
      </c>
      <c r="C499" t="s">
        <v>1021</v>
      </c>
      <c r="D499" t="s">
        <v>163</v>
      </c>
      <c r="E499" t="s">
        <v>1022</v>
      </c>
      <c r="F499" t="s">
        <v>45</v>
      </c>
      <c r="G499" t="s">
        <v>64</v>
      </c>
      <c r="H499" s="139">
        <f t="shared" si="261"/>
        <v>1</v>
      </c>
      <c r="I499" t="s">
        <v>611</v>
      </c>
      <c r="J499" t="s">
        <v>178</v>
      </c>
      <c r="K499" s="2">
        <f t="shared" si="264"/>
        <v>9</v>
      </c>
      <c r="L499">
        <v>31610000</v>
      </c>
      <c r="M499" s="2">
        <f t="shared" si="265"/>
        <v>7.4998244958395794</v>
      </c>
      <c r="N499">
        <v>40920000</v>
      </c>
      <c r="O499">
        <v>-9300000</v>
      </c>
      <c r="P499" s="1">
        <v>42032</v>
      </c>
      <c r="Q499" s="89">
        <f t="shared" si="266"/>
        <v>2015</v>
      </c>
      <c r="R499" t="s">
        <v>54</v>
      </c>
      <c r="S499">
        <v>222570000</v>
      </c>
      <c r="T499" s="21">
        <f t="shared" si="258"/>
        <v>3.3506849315068492</v>
      </c>
      <c r="U499">
        <v>6164.6</v>
      </c>
      <c r="V499">
        <f t="shared" si="267"/>
        <v>3.7899753459779522</v>
      </c>
      <c r="W499">
        <v>2011</v>
      </c>
      <c r="X499">
        <v>0</v>
      </c>
      <c r="Y499">
        <f t="shared" si="268"/>
        <v>0</v>
      </c>
      <c r="Z499" s="45">
        <v>3.18</v>
      </c>
      <c r="AA499" s="9">
        <f t="shared" si="256"/>
        <v>181650000</v>
      </c>
      <c r="AB499" s="15">
        <f t="shared" si="259"/>
        <v>6.0411262258778864</v>
      </c>
      <c r="AC499" s="34">
        <f t="shared" si="269"/>
        <v>0.84764212996104238</v>
      </c>
      <c r="AD499">
        <v>5683.8649945290799</v>
      </c>
      <c r="AE499">
        <f t="shared" si="262"/>
        <v>3.754643753838935</v>
      </c>
      <c r="AF499">
        <v>6345.4254692365948</v>
      </c>
      <c r="AG499">
        <f t="shared" si="263"/>
        <v>3.8024607474309908</v>
      </c>
      <c r="AH499" s="9">
        <v>583.83333333333303</v>
      </c>
      <c r="AI499" s="9">
        <f t="shared" si="270"/>
        <v>2.7670321178317625</v>
      </c>
      <c r="AJ499">
        <v>85.6</v>
      </c>
      <c r="AK499" s="23" t="s">
        <v>520</v>
      </c>
      <c r="AL499" s="42">
        <v>56.2907330998475</v>
      </c>
      <c r="AM499" s="24">
        <v>0.76</v>
      </c>
      <c r="AN499" s="34">
        <f t="shared" si="271"/>
        <v>0.24551266781414982</v>
      </c>
      <c r="AO499">
        <v>1999</v>
      </c>
      <c r="AP499">
        <v>12</v>
      </c>
      <c r="AQ499">
        <v>85</v>
      </c>
      <c r="AR499">
        <v>80</v>
      </c>
      <c r="AS499">
        <f t="shared" si="260"/>
        <v>0</v>
      </c>
      <c r="AT499">
        <f t="shared" si="272"/>
        <v>0</v>
      </c>
      <c r="AU499">
        <f t="shared" si="273"/>
        <v>0</v>
      </c>
      <c r="AV499">
        <f t="shared" si="274"/>
        <v>0</v>
      </c>
      <c r="AW499">
        <f t="shared" si="275"/>
        <v>0</v>
      </c>
      <c r="AX499">
        <f t="shared" si="276"/>
        <v>0</v>
      </c>
      <c r="AY499">
        <f t="shared" si="277"/>
        <v>0</v>
      </c>
      <c r="AZ499">
        <f t="shared" si="278"/>
        <v>1</v>
      </c>
      <c r="BA499">
        <f t="shared" si="279"/>
        <v>0</v>
      </c>
      <c r="BB499">
        <f t="shared" si="280"/>
        <v>0</v>
      </c>
      <c r="BC499">
        <f t="shared" si="281"/>
        <v>0</v>
      </c>
      <c r="BD499">
        <f t="shared" si="282"/>
        <v>0</v>
      </c>
      <c r="BE499">
        <f t="shared" si="283"/>
        <v>0</v>
      </c>
      <c r="BF499">
        <f t="shared" si="284"/>
        <v>0</v>
      </c>
      <c r="BG499">
        <f t="shared" si="285"/>
        <v>0</v>
      </c>
      <c r="BH499">
        <f t="shared" si="286"/>
        <v>0</v>
      </c>
      <c r="BI499">
        <f t="shared" si="287"/>
        <v>0</v>
      </c>
    </row>
    <row r="500" spans="1:61" x14ac:dyDescent="0.35">
      <c r="A500" t="s">
        <v>51</v>
      </c>
      <c r="B500" s="1">
        <v>38924</v>
      </c>
      <c r="C500" t="s">
        <v>1023</v>
      </c>
      <c r="D500" t="s">
        <v>59</v>
      </c>
      <c r="E500" t="s">
        <v>1024</v>
      </c>
      <c r="F500" t="s">
        <v>45</v>
      </c>
      <c r="G500" t="s">
        <v>64</v>
      </c>
      <c r="H500" s="139">
        <f t="shared" si="261"/>
        <v>1</v>
      </c>
      <c r="I500" t="s">
        <v>234</v>
      </c>
      <c r="J500" t="s">
        <v>178</v>
      </c>
      <c r="K500" s="2">
        <f t="shared" si="264"/>
        <v>9</v>
      </c>
      <c r="L500">
        <v>62000000</v>
      </c>
      <c r="M500" s="2">
        <f t="shared" si="265"/>
        <v>7.7923916894982534</v>
      </c>
      <c r="N500">
        <f t="shared" ref="N500:N536" si="292">L500</f>
        <v>62000000</v>
      </c>
      <c r="O500">
        <v>0</v>
      </c>
      <c r="P500" s="1">
        <v>39665</v>
      </c>
      <c r="Q500" s="89">
        <f t="shared" si="266"/>
        <v>2008</v>
      </c>
      <c r="R500" t="s">
        <v>54</v>
      </c>
      <c r="S500">
        <v>170000000</v>
      </c>
      <c r="T500" s="21">
        <f t="shared" si="258"/>
        <v>2.0301369863013701</v>
      </c>
      <c r="U500">
        <v>5897.96</v>
      </c>
      <c r="V500">
        <f t="shared" si="267"/>
        <v>3.7707754512906644</v>
      </c>
      <c r="W500">
        <v>1986</v>
      </c>
      <c r="X500">
        <v>20</v>
      </c>
      <c r="Y500">
        <f t="shared" si="268"/>
        <v>1.3222192947339193</v>
      </c>
      <c r="Z500" s="45">
        <v>2.3199999999999998</v>
      </c>
      <c r="AA500" s="9">
        <f t="shared" ref="AA500:AA563" si="293">S500-N500</f>
        <v>108000000</v>
      </c>
      <c r="AB500" s="15">
        <f t="shared" si="259"/>
        <v>1.7419354838709675</v>
      </c>
      <c r="AC500" s="34">
        <f t="shared" si="269"/>
        <v>0.43805723188001999</v>
      </c>
      <c r="AD500">
        <v>5683.8649945290799</v>
      </c>
      <c r="AE500">
        <f t="shared" si="262"/>
        <v>3.754643753838935</v>
      </c>
      <c r="AF500">
        <v>6345.4254692365948</v>
      </c>
      <c r="AG500">
        <f t="shared" si="263"/>
        <v>3.8024607474309908</v>
      </c>
      <c r="AH500" s="9">
        <v>132</v>
      </c>
      <c r="AI500" s="9">
        <f t="shared" si="270"/>
        <v>2.1238516409670858</v>
      </c>
      <c r="AJ500">
        <v>91.5</v>
      </c>
      <c r="AK500" s="23" t="s">
        <v>78</v>
      </c>
      <c r="AL500" s="42">
        <v>40.767390998852598</v>
      </c>
      <c r="AM500" s="24">
        <v>0.01</v>
      </c>
      <c r="AN500" s="34">
        <f t="shared" si="271"/>
        <v>4.3213737826425782E-3</v>
      </c>
      <c r="AO500">
        <v>1999</v>
      </c>
      <c r="AP500">
        <v>7</v>
      </c>
      <c r="AQ500">
        <v>70</v>
      </c>
      <c r="AR500">
        <v>70</v>
      </c>
      <c r="AS500">
        <f t="shared" si="260"/>
        <v>0</v>
      </c>
      <c r="AT500">
        <f t="shared" si="272"/>
        <v>0</v>
      </c>
      <c r="AU500">
        <f t="shared" si="273"/>
        <v>1</v>
      </c>
      <c r="AV500">
        <f t="shared" si="274"/>
        <v>0</v>
      </c>
      <c r="AW500">
        <f t="shared" si="275"/>
        <v>0</v>
      </c>
      <c r="AX500">
        <f t="shared" si="276"/>
        <v>0</v>
      </c>
      <c r="AY500">
        <f t="shared" si="277"/>
        <v>0</v>
      </c>
      <c r="AZ500">
        <f t="shared" si="278"/>
        <v>0</v>
      </c>
      <c r="BA500">
        <f t="shared" si="279"/>
        <v>0</v>
      </c>
      <c r="BB500">
        <f t="shared" si="280"/>
        <v>0</v>
      </c>
      <c r="BC500">
        <f t="shared" si="281"/>
        <v>0</v>
      </c>
      <c r="BD500">
        <f t="shared" si="282"/>
        <v>0</v>
      </c>
      <c r="BE500">
        <f t="shared" si="283"/>
        <v>0</v>
      </c>
      <c r="BF500">
        <f t="shared" si="284"/>
        <v>0</v>
      </c>
      <c r="BG500">
        <f t="shared" si="285"/>
        <v>0</v>
      </c>
      <c r="BH500">
        <f t="shared" si="286"/>
        <v>0</v>
      </c>
      <c r="BI500">
        <f t="shared" si="287"/>
        <v>0</v>
      </c>
    </row>
    <row r="501" spans="1:61" x14ac:dyDescent="0.35">
      <c r="A501" t="s">
        <v>51</v>
      </c>
      <c r="B501" s="1">
        <v>38295</v>
      </c>
      <c r="C501" s="8" t="s">
        <v>1025</v>
      </c>
      <c r="D501" t="s">
        <v>59</v>
      </c>
      <c r="E501" t="s">
        <v>1026</v>
      </c>
      <c r="F501" t="s">
        <v>45</v>
      </c>
      <c r="G501" t="s">
        <v>64</v>
      </c>
      <c r="H501" s="139">
        <f t="shared" si="261"/>
        <v>1</v>
      </c>
      <c r="I501" t="s">
        <v>234</v>
      </c>
      <c r="J501" t="s">
        <v>178</v>
      </c>
      <c r="K501" s="2">
        <f t="shared" si="264"/>
        <v>9</v>
      </c>
      <c r="L501">
        <v>38570000</v>
      </c>
      <c r="M501" s="2">
        <f t="shared" si="265"/>
        <v>7.5862496388660423</v>
      </c>
      <c r="N501">
        <f t="shared" si="292"/>
        <v>38570000</v>
      </c>
      <c r="O501">
        <v>0</v>
      </c>
      <c r="P501" s="1">
        <v>40512</v>
      </c>
      <c r="Q501" s="89">
        <f t="shared" si="266"/>
        <v>2010</v>
      </c>
      <c r="R501" t="s">
        <v>107</v>
      </c>
      <c r="S501">
        <v>159790000</v>
      </c>
      <c r="T501" s="21">
        <f t="shared" si="258"/>
        <v>6.0739726027397261</v>
      </c>
      <c r="U501">
        <v>5897.96</v>
      </c>
      <c r="V501">
        <f t="shared" si="267"/>
        <v>3.7707754512906644</v>
      </c>
      <c r="W501">
        <v>1997</v>
      </c>
      <c r="X501">
        <v>7</v>
      </c>
      <c r="Y501">
        <f t="shared" si="268"/>
        <v>0.90308998699194354</v>
      </c>
      <c r="Z501" s="45">
        <v>2.3199999999999998</v>
      </c>
      <c r="AA501" s="9">
        <f t="shared" si="293"/>
        <v>121220000</v>
      </c>
      <c r="AB501" s="15">
        <f t="shared" si="259"/>
        <v>3.1428571428571432</v>
      </c>
      <c r="AC501" s="34">
        <f t="shared" si="269"/>
        <v>0.61729995788469927</v>
      </c>
      <c r="AD501">
        <v>2162.0762565470354</v>
      </c>
      <c r="AE501">
        <f t="shared" si="262"/>
        <v>3.3348710074773962</v>
      </c>
      <c r="AF501">
        <v>3168.4194524674895</v>
      </c>
      <c r="AG501">
        <f t="shared" si="263"/>
        <v>3.5008426709709495</v>
      </c>
      <c r="AH501" s="9">
        <v>132</v>
      </c>
      <c r="AI501" s="9">
        <f t="shared" si="270"/>
        <v>2.1238516409670858</v>
      </c>
      <c r="AJ501">
        <v>85</v>
      </c>
      <c r="AK501" s="23" t="s">
        <v>89</v>
      </c>
      <c r="AL501" s="42">
        <v>40.040400531970803</v>
      </c>
      <c r="AM501" s="24">
        <v>0.02</v>
      </c>
      <c r="AN501" s="34">
        <f t="shared" si="271"/>
        <v>8.6001717619175692E-3</v>
      </c>
      <c r="AO501">
        <v>1980</v>
      </c>
      <c r="AP501">
        <v>24</v>
      </c>
      <c r="AQ501">
        <v>70</v>
      </c>
      <c r="AR501">
        <v>70</v>
      </c>
      <c r="AS501">
        <f t="shared" si="260"/>
        <v>0</v>
      </c>
      <c r="AT501">
        <f t="shared" si="272"/>
        <v>0</v>
      </c>
      <c r="AU501">
        <f t="shared" si="273"/>
        <v>1</v>
      </c>
      <c r="AV501">
        <f t="shared" si="274"/>
        <v>0</v>
      </c>
      <c r="AW501">
        <f t="shared" si="275"/>
        <v>0</v>
      </c>
      <c r="AX501">
        <f t="shared" si="276"/>
        <v>0</v>
      </c>
      <c r="AY501">
        <f t="shared" si="277"/>
        <v>0</v>
      </c>
      <c r="AZ501">
        <f t="shared" si="278"/>
        <v>0</v>
      </c>
      <c r="BA501">
        <f t="shared" si="279"/>
        <v>0</v>
      </c>
      <c r="BB501">
        <f t="shared" si="280"/>
        <v>0</v>
      </c>
      <c r="BC501">
        <f t="shared" si="281"/>
        <v>0</v>
      </c>
      <c r="BD501">
        <f t="shared" si="282"/>
        <v>0</v>
      </c>
      <c r="BE501">
        <f t="shared" si="283"/>
        <v>0</v>
      </c>
      <c r="BF501">
        <f t="shared" si="284"/>
        <v>0</v>
      </c>
      <c r="BG501">
        <f t="shared" si="285"/>
        <v>0</v>
      </c>
      <c r="BH501">
        <f t="shared" si="286"/>
        <v>0</v>
      </c>
      <c r="BI501">
        <f t="shared" si="287"/>
        <v>0</v>
      </c>
    </row>
    <row r="502" spans="1:61" x14ac:dyDescent="0.35">
      <c r="A502" t="s">
        <v>1027</v>
      </c>
      <c r="B502" s="1">
        <v>37683</v>
      </c>
      <c r="C502" t="s">
        <v>1028</v>
      </c>
      <c r="D502" t="s">
        <v>59</v>
      </c>
      <c r="E502" t="s">
        <v>1026</v>
      </c>
      <c r="F502" t="s">
        <v>45</v>
      </c>
      <c r="G502" t="s">
        <v>64</v>
      </c>
      <c r="H502" s="139">
        <f t="shared" si="261"/>
        <v>1</v>
      </c>
      <c r="I502" t="s">
        <v>234</v>
      </c>
      <c r="J502" t="s">
        <v>178</v>
      </c>
      <c r="K502" s="2">
        <f t="shared" si="264"/>
        <v>9</v>
      </c>
      <c r="L502">
        <v>74000000</v>
      </c>
      <c r="M502" s="2">
        <f t="shared" si="265"/>
        <v>7.8692317197309762</v>
      </c>
      <c r="N502">
        <f t="shared" si="292"/>
        <v>74000000</v>
      </c>
      <c r="O502">
        <v>0</v>
      </c>
      <c r="P502" s="1">
        <v>39385</v>
      </c>
      <c r="Q502" s="89">
        <f t="shared" si="266"/>
        <v>2007</v>
      </c>
      <c r="R502" t="s">
        <v>107</v>
      </c>
      <c r="S502">
        <v>272070000</v>
      </c>
      <c r="T502" s="21">
        <f t="shared" si="258"/>
        <v>4.6630136986301371</v>
      </c>
      <c r="U502">
        <v>5897.96</v>
      </c>
      <c r="V502">
        <f t="shared" si="267"/>
        <v>3.7707754512906644</v>
      </c>
      <c r="W502">
        <v>1994</v>
      </c>
      <c r="X502">
        <v>9</v>
      </c>
      <c r="Y502">
        <f t="shared" si="268"/>
        <v>1</v>
      </c>
      <c r="Z502" s="45">
        <v>2.3199999999999998</v>
      </c>
      <c r="AA502" s="9">
        <f t="shared" si="293"/>
        <v>198070000</v>
      </c>
      <c r="AB502" s="15">
        <f t="shared" si="259"/>
        <v>2.6766216216216216</v>
      </c>
      <c r="AC502" s="34">
        <f t="shared" si="269"/>
        <v>0.56544893688616582</v>
      </c>
      <c r="AD502">
        <v>2162.0762565470354</v>
      </c>
      <c r="AE502">
        <f t="shared" si="262"/>
        <v>3.3348710074773962</v>
      </c>
      <c r="AF502">
        <v>3168.4194524674895</v>
      </c>
      <c r="AG502">
        <f t="shared" si="263"/>
        <v>3.5008426709709495</v>
      </c>
      <c r="AH502" s="9">
        <v>132</v>
      </c>
      <c r="AI502" s="9">
        <f t="shared" si="270"/>
        <v>2.1238516409670858</v>
      </c>
      <c r="AJ502">
        <v>85</v>
      </c>
      <c r="AK502" s="23" t="s">
        <v>246</v>
      </c>
      <c r="AL502" s="42">
        <v>38.7850112673514</v>
      </c>
      <c r="AM502" s="24">
        <v>0.83</v>
      </c>
      <c r="AN502" s="34">
        <f t="shared" si="271"/>
        <v>0.26245108973042947</v>
      </c>
      <c r="AO502">
        <v>1980</v>
      </c>
      <c r="AP502">
        <v>23</v>
      </c>
      <c r="AQ502">
        <v>70</v>
      </c>
      <c r="AR502">
        <v>70</v>
      </c>
      <c r="AS502">
        <f t="shared" si="260"/>
        <v>0</v>
      </c>
      <c r="AT502">
        <f t="shared" si="272"/>
        <v>0</v>
      </c>
      <c r="AU502">
        <f t="shared" si="273"/>
        <v>1</v>
      </c>
      <c r="AV502">
        <f t="shared" si="274"/>
        <v>0</v>
      </c>
      <c r="AW502">
        <f t="shared" si="275"/>
        <v>0</v>
      </c>
      <c r="AX502">
        <f t="shared" si="276"/>
        <v>0</v>
      </c>
      <c r="AY502">
        <f t="shared" si="277"/>
        <v>0</v>
      </c>
      <c r="AZ502">
        <f t="shared" si="278"/>
        <v>0</v>
      </c>
      <c r="BA502">
        <f t="shared" si="279"/>
        <v>0</v>
      </c>
      <c r="BB502">
        <f t="shared" si="280"/>
        <v>0</v>
      </c>
      <c r="BC502">
        <f t="shared" si="281"/>
        <v>0</v>
      </c>
      <c r="BD502">
        <f t="shared" si="282"/>
        <v>0</v>
      </c>
      <c r="BE502">
        <f t="shared" si="283"/>
        <v>0</v>
      </c>
      <c r="BF502">
        <f t="shared" si="284"/>
        <v>0</v>
      </c>
      <c r="BG502">
        <f t="shared" si="285"/>
        <v>0</v>
      </c>
      <c r="BH502">
        <f t="shared" si="286"/>
        <v>0</v>
      </c>
      <c r="BI502">
        <f t="shared" si="287"/>
        <v>0</v>
      </c>
    </row>
    <row r="503" spans="1:61" x14ac:dyDescent="0.35">
      <c r="A503" t="s">
        <v>1029</v>
      </c>
      <c r="B503" s="1">
        <v>40974</v>
      </c>
      <c r="C503" t="s">
        <v>1030</v>
      </c>
      <c r="D503" t="s">
        <v>2</v>
      </c>
      <c r="E503" t="s">
        <v>1026</v>
      </c>
      <c r="F503" t="s">
        <v>45</v>
      </c>
      <c r="G503" t="s">
        <v>64</v>
      </c>
      <c r="H503" s="139">
        <f t="shared" si="261"/>
        <v>1</v>
      </c>
      <c r="I503" t="s">
        <v>234</v>
      </c>
      <c r="J503" t="s">
        <v>186</v>
      </c>
      <c r="K503" s="2">
        <f t="shared" si="264"/>
        <v>4</v>
      </c>
      <c r="L503">
        <v>237000000</v>
      </c>
      <c r="M503" s="2">
        <f t="shared" si="265"/>
        <v>8.3747483460101044</v>
      </c>
      <c r="N503">
        <f t="shared" si="292"/>
        <v>237000000</v>
      </c>
      <c r="O503">
        <v>0</v>
      </c>
      <c r="P503" s="1">
        <v>42369</v>
      </c>
      <c r="Q503" s="89">
        <f t="shared" si="266"/>
        <v>2015</v>
      </c>
      <c r="R503" t="s">
        <v>107</v>
      </c>
      <c r="S503" s="8">
        <v>1042715296</v>
      </c>
      <c r="T503" s="21">
        <f t="shared" si="258"/>
        <v>3.8219178082191783</v>
      </c>
      <c r="U503">
        <v>6815.73</v>
      </c>
      <c r="V503">
        <f t="shared" si="267"/>
        <v>3.8335760926148099</v>
      </c>
      <c r="W503">
        <v>2012</v>
      </c>
      <c r="X503">
        <v>0</v>
      </c>
      <c r="Y503">
        <f t="shared" si="268"/>
        <v>0</v>
      </c>
      <c r="Z503" s="45">
        <v>2.85</v>
      </c>
      <c r="AA503" s="9">
        <f t="shared" si="293"/>
        <v>805715296</v>
      </c>
      <c r="AB503" s="15">
        <f t="shared" si="259"/>
        <v>3.3996425991561185</v>
      </c>
      <c r="AC503" s="34">
        <f t="shared" si="269"/>
        <v>0.64341739841377443</v>
      </c>
      <c r="AD503">
        <v>2162.0762565470354</v>
      </c>
      <c r="AE503">
        <f t="shared" si="262"/>
        <v>3.3348710074773962</v>
      </c>
      <c r="AF503">
        <v>3168.4194524674895</v>
      </c>
      <c r="AG503">
        <f t="shared" si="263"/>
        <v>3.5008426709709495</v>
      </c>
      <c r="AH503" s="9">
        <v>819</v>
      </c>
      <c r="AI503" s="9">
        <f t="shared" si="270"/>
        <v>2.9138138523837167</v>
      </c>
      <c r="AJ503">
        <v>90.5</v>
      </c>
      <c r="AK503" s="23" t="s">
        <v>276</v>
      </c>
      <c r="AL503" s="42">
        <v>44.295389122127702</v>
      </c>
      <c r="AM503" s="24">
        <v>0.52</v>
      </c>
      <c r="AN503" s="34">
        <f t="shared" si="271"/>
        <v>0.18184358794477254</v>
      </c>
      <c r="AO503">
        <v>1980</v>
      </c>
      <c r="AP503">
        <v>32</v>
      </c>
      <c r="AQ503">
        <v>70</v>
      </c>
      <c r="AR503">
        <v>70</v>
      </c>
      <c r="AS503">
        <f t="shared" si="260"/>
        <v>0</v>
      </c>
      <c r="AT503">
        <f t="shared" si="272"/>
        <v>0</v>
      </c>
      <c r="AU503">
        <f t="shared" si="273"/>
        <v>0</v>
      </c>
      <c r="AV503">
        <f t="shared" si="274"/>
        <v>0</v>
      </c>
      <c r="AW503">
        <f t="shared" si="275"/>
        <v>0</v>
      </c>
      <c r="AX503">
        <f t="shared" si="276"/>
        <v>0</v>
      </c>
      <c r="AY503">
        <f t="shared" si="277"/>
        <v>0</v>
      </c>
      <c r="AZ503">
        <f t="shared" si="278"/>
        <v>0</v>
      </c>
      <c r="BA503">
        <f t="shared" si="279"/>
        <v>0</v>
      </c>
      <c r="BB503">
        <f t="shared" si="280"/>
        <v>1</v>
      </c>
      <c r="BC503">
        <f t="shared" si="281"/>
        <v>0</v>
      </c>
      <c r="BD503">
        <f t="shared" si="282"/>
        <v>0</v>
      </c>
      <c r="BE503">
        <f t="shared" si="283"/>
        <v>0</v>
      </c>
      <c r="BF503">
        <f t="shared" si="284"/>
        <v>0</v>
      </c>
      <c r="BG503">
        <f t="shared" si="285"/>
        <v>0</v>
      </c>
      <c r="BH503">
        <f t="shared" si="286"/>
        <v>0</v>
      </c>
      <c r="BI503">
        <f t="shared" si="287"/>
        <v>0</v>
      </c>
    </row>
    <row r="504" spans="1:61" x14ac:dyDescent="0.35">
      <c r="A504" t="s">
        <v>675</v>
      </c>
      <c r="B504" s="1">
        <v>37481</v>
      </c>
      <c r="C504" t="s">
        <v>1031</v>
      </c>
      <c r="D504" t="s">
        <v>2</v>
      </c>
      <c r="E504" t="s">
        <v>1026</v>
      </c>
      <c r="F504" t="s">
        <v>45</v>
      </c>
      <c r="G504" t="s">
        <v>64</v>
      </c>
      <c r="H504" s="139">
        <f t="shared" si="261"/>
        <v>1</v>
      </c>
      <c r="I504" t="s">
        <v>234</v>
      </c>
      <c r="J504" t="s">
        <v>178</v>
      </c>
      <c r="K504" s="2">
        <f t="shared" si="264"/>
        <v>9</v>
      </c>
      <c r="L504">
        <v>29250000</v>
      </c>
      <c r="M504" s="2">
        <f t="shared" si="265"/>
        <v>7.4661258704181996</v>
      </c>
      <c r="N504">
        <f t="shared" si="292"/>
        <v>29250000</v>
      </c>
      <c r="O504">
        <v>0</v>
      </c>
      <c r="P504" s="1">
        <v>38041</v>
      </c>
      <c r="Q504" s="89">
        <f t="shared" si="266"/>
        <v>2004</v>
      </c>
      <c r="R504" t="s">
        <v>107</v>
      </c>
      <c r="S504">
        <v>34273704</v>
      </c>
      <c r="T504" s="21">
        <f t="shared" si="258"/>
        <v>1.5342465753424657</v>
      </c>
      <c r="U504">
        <v>6815.73</v>
      </c>
      <c r="V504">
        <f t="shared" si="267"/>
        <v>3.8335760926148099</v>
      </c>
      <c r="W504">
        <v>1994</v>
      </c>
      <c r="X504">
        <v>8</v>
      </c>
      <c r="Y504">
        <f t="shared" si="268"/>
        <v>0.95424250943932487</v>
      </c>
      <c r="Z504" s="45">
        <v>2.85</v>
      </c>
      <c r="AA504" s="9">
        <f t="shared" si="293"/>
        <v>5023704</v>
      </c>
      <c r="AB504" s="15">
        <f t="shared" si="259"/>
        <v>0.17175056410256406</v>
      </c>
      <c r="AC504" s="34">
        <f t="shared" si="269"/>
        <v>6.8835171269757328E-2</v>
      </c>
      <c r="AD504">
        <v>2162.0762565470354</v>
      </c>
      <c r="AE504">
        <f t="shared" si="262"/>
        <v>3.3348710074773962</v>
      </c>
      <c r="AF504">
        <v>3168.4194524674895</v>
      </c>
      <c r="AG504">
        <f t="shared" si="263"/>
        <v>3.5008426709709495</v>
      </c>
      <c r="AH504" s="9">
        <v>819</v>
      </c>
      <c r="AI504" s="9">
        <f t="shared" si="270"/>
        <v>2.9138138523837167</v>
      </c>
      <c r="AJ504">
        <v>70</v>
      </c>
      <c r="AK504" s="23" t="s">
        <v>403</v>
      </c>
      <c r="AL504" s="42">
        <v>47.264053157349203</v>
      </c>
      <c r="AM504" s="24">
        <v>0.28999999999999998</v>
      </c>
      <c r="AN504" s="34">
        <f t="shared" si="271"/>
        <v>0.11058971029924898</v>
      </c>
      <c r="AO504">
        <v>1980</v>
      </c>
      <c r="AP504">
        <v>22</v>
      </c>
      <c r="AQ504">
        <v>70</v>
      </c>
      <c r="AR504">
        <v>70</v>
      </c>
      <c r="AS504">
        <f t="shared" si="260"/>
        <v>0</v>
      </c>
      <c r="AT504">
        <f t="shared" si="272"/>
        <v>0</v>
      </c>
      <c r="AU504">
        <f t="shared" si="273"/>
        <v>0</v>
      </c>
      <c r="AV504">
        <f t="shared" si="274"/>
        <v>0</v>
      </c>
      <c r="AW504">
        <f t="shared" si="275"/>
        <v>0</v>
      </c>
      <c r="AX504">
        <f t="shared" si="276"/>
        <v>0</v>
      </c>
      <c r="AY504">
        <f t="shared" si="277"/>
        <v>0</v>
      </c>
      <c r="AZ504">
        <f t="shared" si="278"/>
        <v>0</v>
      </c>
      <c r="BA504">
        <f t="shared" si="279"/>
        <v>0</v>
      </c>
      <c r="BB504">
        <f t="shared" si="280"/>
        <v>1</v>
      </c>
      <c r="BC504">
        <f t="shared" si="281"/>
        <v>0</v>
      </c>
      <c r="BD504">
        <f t="shared" si="282"/>
        <v>0</v>
      </c>
      <c r="BE504">
        <f t="shared" si="283"/>
        <v>0</v>
      </c>
      <c r="BF504">
        <f t="shared" si="284"/>
        <v>0</v>
      </c>
      <c r="BG504">
        <f t="shared" si="285"/>
        <v>0</v>
      </c>
      <c r="BH504">
        <f t="shared" si="286"/>
        <v>0</v>
      </c>
      <c r="BI504">
        <f t="shared" si="287"/>
        <v>0</v>
      </c>
    </row>
    <row r="505" spans="1:61" x14ac:dyDescent="0.35">
      <c r="A505" t="s">
        <v>51</v>
      </c>
      <c r="B505" s="1">
        <v>38876</v>
      </c>
      <c r="C505" t="s">
        <v>1032</v>
      </c>
      <c r="D505" t="s">
        <v>59</v>
      </c>
      <c r="E505" t="s">
        <v>1033</v>
      </c>
      <c r="F505" t="s">
        <v>45</v>
      </c>
      <c r="G505" t="s">
        <v>64</v>
      </c>
      <c r="H505" s="139">
        <f t="shared" si="261"/>
        <v>1</v>
      </c>
      <c r="I505" t="s">
        <v>234</v>
      </c>
      <c r="J505" t="s">
        <v>248</v>
      </c>
      <c r="K505" s="2">
        <f t="shared" si="264"/>
        <v>5</v>
      </c>
      <c r="L505">
        <v>571000000</v>
      </c>
      <c r="M505" s="2">
        <f t="shared" si="265"/>
        <v>8.7566361082458481</v>
      </c>
      <c r="N505">
        <f t="shared" si="292"/>
        <v>571000000</v>
      </c>
      <c r="O505">
        <v>0</v>
      </c>
      <c r="P505" s="1">
        <v>41806</v>
      </c>
      <c r="Q505" s="89">
        <f t="shared" si="266"/>
        <v>2014</v>
      </c>
      <c r="R505" t="s">
        <v>107</v>
      </c>
      <c r="S505">
        <v>266000000</v>
      </c>
      <c r="T505" s="21">
        <f t="shared" si="258"/>
        <v>8.0273972602739718</v>
      </c>
      <c r="U505">
        <v>5897.96</v>
      </c>
      <c r="V505">
        <f t="shared" si="267"/>
        <v>3.7707754512906644</v>
      </c>
      <c r="W505">
        <v>2006</v>
      </c>
      <c r="X505">
        <v>0</v>
      </c>
      <c r="Y505">
        <f t="shared" si="268"/>
        <v>0</v>
      </c>
      <c r="Z505" s="45">
        <v>2.3199999999999998</v>
      </c>
      <c r="AA505" s="9">
        <f t="shared" si="293"/>
        <v>-305000000</v>
      </c>
      <c r="AB505" s="15">
        <f t="shared" si="259"/>
        <v>-0.53415061295971977</v>
      </c>
      <c r="AC505" s="34">
        <f t="shared" si="269"/>
        <v>-0.33175447161478105</v>
      </c>
      <c r="AD505">
        <v>2056.25</v>
      </c>
      <c r="AE505">
        <f t="shared" si="262"/>
        <v>3.3130759152940494</v>
      </c>
      <c r="AF505">
        <v>6190.625</v>
      </c>
      <c r="AG505">
        <f t="shared" si="263"/>
        <v>3.7917344972186413</v>
      </c>
      <c r="AH505" s="9">
        <v>132</v>
      </c>
      <c r="AI505" s="9">
        <f t="shared" si="270"/>
        <v>2.1238516409670858</v>
      </c>
      <c r="AJ505">
        <v>91.5</v>
      </c>
      <c r="AK505" s="23" t="s">
        <v>78</v>
      </c>
      <c r="AL505" s="42">
        <v>40.767390998852598</v>
      </c>
      <c r="AM505" s="24">
        <v>0.54</v>
      </c>
      <c r="AN505" s="34">
        <f t="shared" si="271"/>
        <v>0.18752072083646307</v>
      </c>
      <c r="AO505">
        <v>2001</v>
      </c>
      <c r="AP505">
        <v>5</v>
      </c>
      <c r="AQ505">
        <v>70</v>
      </c>
      <c r="AR505">
        <v>70</v>
      </c>
      <c r="AS505">
        <f t="shared" si="260"/>
        <v>0</v>
      </c>
      <c r="AT505">
        <f t="shared" si="272"/>
        <v>0</v>
      </c>
      <c r="AU505">
        <f t="shared" si="273"/>
        <v>1</v>
      </c>
      <c r="AV505">
        <f t="shared" si="274"/>
        <v>0</v>
      </c>
      <c r="AW505">
        <f t="shared" si="275"/>
        <v>0</v>
      </c>
      <c r="AX505">
        <f t="shared" si="276"/>
        <v>0</v>
      </c>
      <c r="AY505">
        <f t="shared" si="277"/>
        <v>0</v>
      </c>
      <c r="AZ505">
        <f t="shared" si="278"/>
        <v>0</v>
      </c>
      <c r="BA505">
        <f t="shared" si="279"/>
        <v>0</v>
      </c>
      <c r="BB505">
        <f t="shared" si="280"/>
        <v>0</v>
      </c>
      <c r="BC505">
        <f t="shared" si="281"/>
        <v>0</v>
      </c>
      <c r="BD505">
        <f t="shared" si="282"/>
        <v>0</v>
      </c>
      <c r="BE505">
        <f t="shared" si="283"/>
        <v>0</v>
      </c>
      <c r="BF505">
        <f t="shared" si="284"/>
        <v>0</v>
      </c>
      <c r="BG505">
        <f t="shared" si="285"/>
        <v>0</v>
      </c>
      <c r="BH505">
        <f t="shared" si="286"/>
        <v>0</v>
      </c>
      <c r="BI505">
        <f t="shared" si="287"/>
        <v>0</v>
      </c>
    </row>
    <row r="506" spans="1:61" x14ac:dyDescent="0.35">
      <c r="A506" t="s">
        <v>51</v>
      </c>
      <c r="B506" s="1">
        <v>38147</v>
      </c>
      <c r="C506" t="s">
        <v>1034</v>
      </c>
      <c r="D506" t="s">
        <v>59</v>
      </c>
      <c r="E506" t="s">
        <v>1035</v>
      </c>
      <c r="F506" t="s">
        <v>45</v>
      </c>
      <c r="G506" t="s">
        <v>64</v>
      </c>
      <c r="H506" s="139">
        <f t="shared" si="261"/>
        <v>1</v>
      </c>
      <c r="I506" t="s">
        <v>234</v>
      </c>
      <c r="J506" t="s">
        <v>248</v>
      </c>
      <c r="K506" s="2">
        <f t="shared" si="264"/>
        <v>5</v>
      </c>
      <c r="L506">
        <v>93000000</v>
      </c>
      <c r="M506" s="2">
        <f t="shared" si="265"/>
        <v>7.9684829485539348</v>
      </c>
      <c r="N506">
        <f t="shared" si="292"/>
        <v>93000000</v>
      </c>
      <c r="O506">
        <v>0</v>
      </c>
      <c r="P506" s="1">
        <v>38492</v>
      </c>
      <c r="Q506" s="89">
        <f t="shared" si="266"/>
        <v>2005</v>
      </c>
      <c r="R506" t="s">
        <v>107</v>
      </c>
      <c r="S506">
        <v>202000000</v>
      </c>
      <c r="T506" s="21">
        <f t="shared" si="258"/>
        <v>0.9452054794520548</v>
      </c>
      <c r="U506">
        <v>5897.96</v>
      </c>
      <c r="V506">
        <f t="shared" si="267"/>
        <v>3.7707754512906644</v>
      </c>
      <c r="W506">
        <v>1884</v>
      </c>
      <c r="X506">
        <v>120</v>
      </c>
      <c r="Y506">
        <f t="shared" si="268"/>
        <v>2.0827853703164503</v>
      </c>
      <c r="Z506" s="45">
        <v>2.3199999999999998</v>
      </c>
      <c r="AA506" s="9">
        <f t="shared" si="293"/>
        <v>109000000</v>
      </c>
      <c r="AB506" s="15">
        <f t="shared" si="259"/>
        <v>1.172043010752688</v>
      </c>
      <c r="AC506" s="34">
        <f t="shared" si="269"/>
        <v>0.33686842089268865</v>
      </c>
      <c r="AD506">
        <v>2056.25</v>
      </c>
      <c r="AE506">
        <f t="shared" si="262"/>
        <v>3.3130759152940494</v>
      </c>
      <c r="AF506">
        <v>6190.625</v>
      </c>
      <c r="AG506">
        <f t="shared" si="263"/>
        <v>3.7917344972186413</v>
      </c>
      <c r="AH506" s="9">
        <v>132</v>
      </c>
      <c r="AI506" s="9">
        <f t="shared" si="270"/>
        <v>2.1238516409670858</v>
      </c>
      <c r="AJ506">
        <v>85</v>
      </c>
      <c r="AK506" s="23" t="s">
        <v>89</v>
      </c>
      <c r="AL506" s="42">
        <v>40.040400531970803</v>
      </c>
      <c r="AM506" s="24">
        <v>0.05</v>
      </c>
      <c r="AN506" s="34">
        <f t="shared" si="271"/>
        <v>2.1189299069938092E-2</v>
      </c>
      <c r="AO506">
        <v>2001</v>
      </c>
      <c r="AP506">
        <v>3</v>
      </c>
      <c r="AQ506">
        <v>70</v>
      </c>
      <c r="AR506">
        <v>70</v>
      </c>
      <c r="AS506">
        <f t="shared" si="260"/>
        <v>0</v>
      </c>
      <c r="AT506">
        <f t="shared" si="272"/>
        <v>0</v>
      </c>
      <c r="AU506">
        <f t="shared" si="273"/>
        <v>1</v>
      </c>
      <c r="AV506">
        <f t="shared" si="274"/>
        <v>0</v>
      </c>
      <c r="AW506">
        <f t="shared" si="275"/>
        <v>0</v>
      </c>
      <c r="AX506">
        <f t="shared" si="276"/>
        <v>0</v>
      </c>
      <c r="AY506">
        <f t="shared" si="277"/>
        <v>0</v>
      </c>
      <c r="AZ506">
        <f t="shared" si="278"/>
        <v>0</v>
      </c>
      <c r="BA506">
        <f t="shared" si="279"/>
        <v>0</v>
      </c>
      <c r="BB506">
        <f t="shared" si="280"/>
        <v>0</v>
      </c>
      <c r="BC506">
        <f t="shared" si="281"/>
        <v>0</v>
      </c>
      <c r="BD506">
        <f t="shared" si="282"/>
        <v>0</v>
      </c>
      <c r="BE506">
        <f t="shared" si="283"/>
        <v>0</v>
      </c>
      <c r="BF506">
        <f t="shared" si="284"/>
        <v>0</v>
      </c>
      <c r="BG506">
        <f t="shared" si="285"/>
        <v>0</v>
      </c>
      <c r="BH506">
        <f t="shared" si="286"/>
        <v>0</v>
      </c>
      <c r="BI506">
        <f t="shared" si="287"/>
        <v>0</v>
      </c>
    </row>
    <row r="507" spans="1:61" x14ac:dyDescent="0.35">
      <c r="A507" t="s">
        <v>51</v>
      </c>
      <c r="B507" s="1">
        <v>38146</v>
      </c>
      <c r="C507" t="s">
        <v>1036</v>
      </c>
      <c r="D507" t="s">
        <v>163</v>
      </c>
      <c r="E507" t="s">
        <v>1037</v>
      </c>
      <c r="F507" t="s">
        <v>45</v>
      </c>
      <c r="G507" t="s">
        <v>64</v>
      </c>
      <c r="H507" s="139">
        <f t="shared" si="261"/>
        <v>1</v>
      </c>
      <c r="I507" t="s">
        <v>234</v>
      </c>
      <c r="J507" t="s">
        <v>248</v>
      </c>
      <c r="K507" s="2">
        <f t="shared" si="264"/>
        <v>5</v>
      </c>
      <c r="L507">
        <v>80000000</v>
      </c>
      <c r="M507" s="2">
        <f t="shared" si="265"/>
        <v>7.9030899869919438</v>
      </c>
      <c r="N507">
        <f t="shared" si="292"/>
        <v>80000000</v>
      </c>
      <c r="O507">
        <v>0</v>
      </c>
      <c r="P507" s="1">
        <v>38691</v>
      </c>
      <c r="Q507" s="89">
        <f t="shared" si="266"/>
        <v>2005</v>
      </c>
      <c r="R507" t="s">
        <v>107</v>
      </c>
      <c r="S507">
        <v>16340000</v>
      </c>
      <c r="T507" s="21">
        <f t="shared" si="258"/>
        <v>1.4931506849315068</v>
      </c>
      <c r="U507">
        <v>6164.6</v>
      </c>
      <c r="V507">
        <f t="shared" si="267"/>
        <v>3.7899753459779522</v>
      </c>
      <c r="W507">
        <v>1998</v>
      </c>
      <c r="X507">
        <v>6</v>
      </c>
      <c r="Y507">
        <f t="shared" si="268"/>
        <v>0.84509804001425681</v>
      </c>
      <c r="Z507" s="45">
        <v>3.18</v>
      </c>
      <c r="AA507" s="9">
        <f t="shared" si="293"/>
        <v>-63660000</v>
      </c>
      <c r="AB507" s="15">
        <f t="shared" si="259"/>
        <v>-0.79574999999999996</v>
      </c>
      <c r="AC507" s="34">
        <f t="shared" si="269"/>
        <v>-0.68983793479554678</v>
      </c>
      <c r="AD507">
        <v>2672.4137931034488</v>
      </c>
      <c r="AE507">
        <f t="shared" si="262"/>
        <v>3.4269037046073545</v>
      </c>
      <c r="AF507">
        <v>7208.6801426872771</v>
      </c>
      <c r="AG507">
        <f t="shared" si="263"/>
        <v>3.857855755812408</v>
      </c>
      <c r="AH507" s="9">
        <v>583.83333333333303</v>
      </c>
      <c r="AI507" s="9">
        <f t="shared" si="270"/>
        <v>2.7670321178317625</v>
      </c>
      <c r="AJ507">
        <v>70</v>
      </c>
      <c r="AK507" s="23" t="s">
        <v>243</v>
      </c>
      <c r="AL507" s="42">
        <v>52.984855215816303</v>
      </c>
      <c r="AM507" s="24">
        <v>0.1</v>
      </c>
      <c r="AN507" s="34">
        <f t="shared" si="271"/>
        <v>4.1392685158225077E-2</v>
      </c>
      <c r="AO507">
        <v>1987</v>
      </c>
      <c r="AP507">
        <v>17</v>
      </c>
      <c r="AQ507">
        <v>85</v>
      </c>
      <c r="AR507">
        <v>80</v>
      </c>
      <c r="AS507">
        <f t="shared" si="260"/>
        <v>0</v>
      </c>
      <c r="AT507">
        <f t="shared" si="272"/>
        <v>0</v>
      </c>
      <c r="AU507">
        <f t="shared" si="273"/>
        <v>0</v>
      </c>
      <c r="AV507">
        <f t="shared" si="274"/>
        <v>0</v>
      </c>
      <c r="AW507">
        <f t="shared" si="275"/>
        <v>0</v>
      </c>
      <c r="AX507">
        <f t="shared" si="276"/>
        <v>0</v>
      </c>
      <c r="AY507">
        <f t="shared" si="277"/>
        <v>0</v>
      </c>
      <c r="AZ507">
        <f t="shared" si="278"/>
        <v>1</v>
      </c>
      <c r="BA507">
        <f t="shared" si="279"/>
        <v>0</v>
      </c>
      <c r="BB507">
        <f t="shared" si="280"/>
        <v>0</v>
      </c>
      <c r="BC507">
        <f t="shared" si="281"/>
        <v>0</v>
      </c>
      <c r="BD507">
        <f t="shared" si="282"/>
        <v>0</v>
      </c>
      <c r="BE507">
        <f t="shared" si="283"/>
        <v>0</v>
      </c>
      <c r="BF507">
        <f t="shared" si="284"/>
        <v>0</v>
      </c>
      <c r="BG507">
        <f t="shared" si="285"/>
        <v>0</v>
      </c>
      <c r="BH507">
        <f t="shared" si="286"/>
        <v>0</v>
      </c>
      <c r="BI507">
        <f t="shared" si="287"/>
        <v>0</v>
      </c>
    </row>
    <row r="508" spans="1:61" x14ac:dyDescent="0.35">
      <c r="A508" t="s">
        <v>1038</v>
      </c>
      <c r="B508" s="1">
        <v>39658</v>
      </c>
      <c r="C508" t="s">
        <v>1039</v>
      </c>
      <c r="D508" t="s">
        <v>2</v>
      </c>
      <c r="E508" t="s">
        <v>1040</v>
      </c>
      <c r="F508" t="s">
        <v>45</v>
      </c>
      <c r="G508" t="s">
        <v>64</v>
      </c>
      <c r="H508" s="139">
        <f t="shared" si="261"/>
        <v>1</v>
      </c>
      <c r="I508" t="s">
        <v>234</v>
      </c>
      <c r="J508" t="s">
        <v>178</v>
      </c>
      <c r="K508" s="2">
        <f t="shared" si="264"/>
        <v>9</v>
      </c>
      <c r="L508">
        <v>350000000</v>
      </c>
      <c r="M508" s="2">
        <f t="shared" si="265"/>
        <v>8.5440680443502757</v>
      </c>
      <c r="N508">
        <f t="shared" si="292"/>
        <v>350000000</v>
      </c>
      <c r="O508">
        <v>0</v>
      </c>
      <c r="P508" s="1">
        <v>42389</v>
      </c>
      <c r="Q508" s="89">
        <f t="shared" si="266"/>
        <v>2016</v>
      </c>
      <c r="R508" t="s">
        <v>107</v>
      </c>
      <c r="S508">
        <v>179340000</v>
      </c>
      <c r="T508" s="21">
        <f t="shared" si="258"/>
        <v>7.4821917808219176</v>
      </c>
      <c r="U508">
        <v>6815.73</v>
      </c>
      <c r="V508">
        <f t="shared" si="267"/>
        <v>3.8335760926148099</v>
      </c>
      <c r="W508">
        <v>2008</v>
      </c>
      <c r="X508">
        <v>0</v>
      </c>
      <c r="Y508">
        <f t="shared" si="268"/>
        <v>0</v>
      </c>
      <c r="Z508" s="45">
        <v>2.85</v>
      </c>
      <c r="AA508" s="9">
        <f t="shared" si="293"/>
        <v>-170660000</v>
      </c>
      <c r="AB508" s="15">
        <f t="shared" si="259"/>
        <v>-0.48760000000000003</v>
      </c>
      <c r="AC508" s="34">
        <f t="shared" si="269"/>
        <v>-0.29039087892735133</v>
      </c>
      <c r="AD508">
        <v>2672.4137931034488</v>
      </c>
      <c r="AE508">
        <f t="shared" si="262"/>
        <v>3.4269037046073545</v>
      </c>
      <c r="AF508">
        <v>7208.6801426872771</v>
      </c>
      <c r="AG508">
        <f t="shared" si="263"/>
        <v>3.857855755812408</v>
      </c>
      <c r="AH508" s="9">
        <v>819</v>
      </c>
      <c r="AI508" s="9">
        <f t="shared" si="270"/>
        <v>2.9138138523837167</v>
      </c>
      <c r="AJ508">
        <v>89.9</v>
      </c>
      <c r="AK508" s="23" t="s">
        <v>241</v>
      </c>
      <c r="AL508" s="42">
        <v>43.572845019400901</v>
      </c>
      <c r="AM508" s="24">
        <v>0.47</v>
      </c>
      <c r="AN508" s="34">
        <f t="shared" si="271"/>
        <v>0.16731733474817609</v>
      </c>
      <c r="AO508">
        <v>1987</v>
      </c>
      <c r="AP508">
        <v>21</v>
      </c>
      <c r="AQ508">
        <v>70</v>
      </c>
      <c r="AR508">
        <v>70</v>
      </c>
      <c r="AS508">
        <f t="shared" si="260"/>
        <v>0</v>
      </c>
      <c r="AT508">
        <f t="shared" si="272"/>
        <v>0</v>
      </c>
      <c r="AU508">
        <f t="shared" si="273"/>
        <v>0</v>
      </c>
      <c r="AV508">
        <f t="shared" si="274"/>
        <v>0</v>
      </c>
      <c r="AW508">
        <f t="shared" si="275"/>
        <v>0</v>
      </c>
      <c r="AX508">
        <f t="shared" si="276"/>
        <v>0</v>
      </c>
      <c r="AY508">
        <f t="shared" si="277"/>
        <v>0</v>
      </c>
      <c r="AZ508">
        <f t="shared" si="278"/>
        <v>0</v>
      </c>
      <c r="BA508">
        <f t="shared" si="279"/>
        <v>0</v>
      </c>
      <c r="BB508">
        <f t="shared" si="280"/>
        <v>1</v>
      </c>
      <c r="BC508">
        <f t="shared" si="281"/>
        <v>0</v>
      </c>
      <c r="BD508">
        <f t="shared" si="282"/>
        <v>0</v>
      </c>
      <c r="BE508">
        <f t="shared" si="283"/>
        <v>0</v>
      </c>
      <c r="BF508">
        <f t="shared" si="284"/>
        <v>0</v>
      </c>
      <c r="BG508">
        <f t="shared" si="285"/>
        <v>0</v>
      </c>
      <c r="BH508">
        <f t="shared" si="286"/>
        <v>0</v>
      </c>
      <c r="BI508">
        <f t="shared" si="287"/>
        <v>0</v>
      </c>
    </row>
    <row r="509" spans="1:61" x14ac:dyDescent="0.35">
      <c r="A509" t="s">
        <v>51</v>
      </c>
      <c r="B509" s="1">
        <v>36020</v>
      </c>
      <c r="C509" t="s">
        <v>1041</v>
      </c>
      <c r="D509" t="s">
        <v>489</v>
      </c>
      <c r="E509" t="s">
        <v>1042</v>
      </c>
      <c r="F509" t="s">
        <v>45</v>
      </c>
      <c r="G509" t="s">
        <v>64</v>
      </c>
      <c r="H509" s="139">
        <f t="shared" si="261"/>
        <v>1</v>
      </c>
      <c r="I509" t="s">
        <v>234</v>
      </c>
      <c r="J509" t="s">
        <v>178</v>
      </c>
      <c r="K509" s="2">
        <f t="shared" si="264"/>
        <v>9</v>
      </c>
      <c r="L509">
        <v>130000000</v>
      </c>
      <c r="M509" s="2">
        <f t="shared" si="265"/>
        <v>8.1139433523068369</v>
      </c>
      <c r="N509">
        <f t="shared" si="292"/>
        <v>130000000</v>
      </c>
      <c r="O509">
        <v>0</v>
      </c>
      <c r="P509" s="1">
        <v>39082</v>
      </c>
      <c r="Q509" s="89">
        <f t="shared" si="266"/>
        <v>2006</v>
      </c>
      <c r="R509" t="s">
        <v>54</v>
      </c>
      <c r="S509">
        <v>324710000</v>
      </c>
      <c r="T509" s="21">
        <f t="shared" si="258"/>
        <v>8.3890410958904109</v>
      </c>
      <c r="U509">
        <v>6651.37</v>
      </c>
      <c r="V509">
        <f t="shared" si="267"/>
        <v>3.8229763963637051</v>
      </c>
      <c r="W509">
        <v>1957</v>
      </c>
      <c r="X509">
        <v>41</v>
      </c>
      <c r="Y509">
        <f t="shared" si="268"/>
        <v>1.6232492903979006</v>
      </c>
      <c r="Z509" s="45">
        <v>3.03</v>
      </c>
      <c r="AA509" s="9">
        <f t="shared" si="293"/>
        <v>194710000</v>
      </c>
      <c r="AB509" s="15">
        <f t="shared" si="259"/>
        <v>1.4977692307692307</v>
      </c>
      <c r="AC509" s="34">
        <f t="shared" si="269"/>
        <v>0.39755231136672903</v>
      </c>
      <c r="AD509">
        <v>1449.3328048619371</v>
      </c>
      <c r="AE509">
        <f t="shared" si="262"/>
        <v>3.1611681223374744</v>
      </c>
      <c r="AF509">
        <v>4591.0952569692172</v>
      </c>
      <c r="AG509">
        <f t="shared" si="263"/>
        <v>3.6619163036888955</v>
      </c>
      <c r="AH509" s="9">
        <v>513.5</v>
      </c>
      <c r="AI509" s="9">
        <f t="shared" si="270"/>
        <v>2.7113853790984517</v>
      </c>
      <c r="AJ509">
        <v>70</v>
      </c>
      <c r="AK509" s="23" t="s">
        <v>1043</v>
      </c>
      <c r="AL509" s="42">
        <v>49.329709120205997</v>
      </c>
      <c r="AM509" s="24">
        <v>0.32</v>
      </c>
      <c r="AN509" s="34">
        <f t="shared" si="271"/>
        <v>0.12057393120584989</v>
      </c>
      <c r="AO509">
        <v>1984</v>
      </c>
      <c r="AP509">
        <v>14</v>
      </c>
      <c r="AQ509">
        <v>70</v>
      </c>
      <c r="AR509">
        <v>70</v>
      </c>
      <c r="AS509">
        <f t="shared" si="260"/>
        <v>0</v>
      </c>
      <c r="AT509">
        <f t="shared" si="272"/>
        <v>0</v>
      </c>
      <c r="AU509">
        <f t="shared" si="273"/>
        <v>0</v>
      </c>
      <c r="AV509">
        <f t="shared" si="274"/>
        <v>0</v>
      </c>
      <c r="AW509">
        <f t="shared" si="275"/>
        <v>0</v>
      </c>
      <c r="AX509">
        <f t="shared" si="276"/>
        <v>0</v>
      </c>
      <c r="AY509">
        <f t="shared" si="277"/>
        <v>0</v>
      </c>
      <c r="AZ509">
        <f t="shared" si="278"/>
        <v>0</v>
      </c>
      <c r="BA509">
        <f t="shared" si="279"/>
        <v>0</v>
      </c>
      <c r="BB509">
        <f t="shared" si="280"/>
        <v>0</v>
      </c>
      <c r="BC509">
        <f t="shared" si="281"/>
        <v>0</v>
      </c>
      <c r="BD509">
        <f t="shared" si="282"/>
        <v>0</v>
      </c>
      <c r="BE509">
        <f t="shared" si="283"/>
        <v>0</v>
      </c>
      <c r="BF509">
        <f t="shared" si="284"/>
        <v>0</v>
      </c>
      <c r="BG509">
        <f t="shared" si="285"/>
        <v>1</v>
      </c>
      <c r="BH509">
        <f t="shared" si="286"/>
        <v>0</v>
      </c>
      <c r="BI509">
        <f t="shared" si="287"/>
        <v>0</v>
      </c>
    </row>
    <row r="510" spans="1:61" x14ac:dyDescent="0.35">
      <c r="A510" t="s">
        <v>1044</v>
      </c>
      <c r="B510" s="1">
        <v>41596</v>
      </c>
      <c r="C510" t="s">
        <v>1045</v>
      </c>
      <c r="D510" t="s">
        <v>434</v>
      </c>
      <c r="E510" t="s">
        <v>1046</v>
      </c>
      <c r="F510" t="s">
        <v>45</v>
      </c>
      <c r="G510" t="s">
        <v>64</v>
      </c>
      <c r="H510" s="139">
        <f t="shared" si="261"/>
        <v>1</v>
      </c>
      <c r="I510" t="s">
        <v>234</v>
      </c>
      <c r="J510" t="s">
        <v>245</v>
      </c>
      <c r="K510" s="2">
        <f t="shared" si="264"/>
        <v>6</v>
      </c>
      <c r="L510">
        <v>47000000</v>
      </c>
      <c r="M510" s="2">
        <f t="shared" si="265"/>
        <v>7.6720978579357171</v>
      </c>
      <c r="N510">
        <f t="shared" si="292"/>
        <v>47000000</v>
      </c>
      <c r="O510">
        <v>0</v>
      </c>
      <c r="P510" s="1">
        <v>42837</v>
      </c>
      <c r="Q510" s="89">
        <f t="shared" si="266"/>
        <v>2017</v>
      </c>
      <c r="R510" t="s">
        <v>54</v>
      </c>
      <c r="S510">
        <v>180000000</v>
      </c>
      <c r="T510" s="21">
        <f t="shared" si="258"/>
        <v>3.4</v>
      </c>
      <c r="U510">
        <v>7216.98</v>
      </c>
      <c r="V510">
        <f t="shared" si="267"/>
        <v>3.8584156743566731</v>
      </c>
      <c r="W510">
        <v>1989</v>
      </c>
      <c r="X510">
        <v>24</v>
      </c>
      <c r="Y510">
        <f t="shared" si="268"/>
        <v>1.3979400086720377</v>
      </c>
      <c r="Z510" s="45">
        <v>2.66</v>
      </c>
      <c r="AA510" s="9">
        <f t="shared" si="293"/>
        <v>133000000</v>
      </c>
      <c r="AB510" s="15">
        <f t="shared" si="259"/>
        <v>2.8297872340425534</v>
      </c>
      <c r="AC510" s="34">
        <f t="shared" si="269"/>
        <v>0.5831746471675886</v>
      </c>
      <c r="AD510">
        <v>6200.5542957923917</v>
      </c>
      <c r="AE510">
        <f t="shared" si="262"/>
        <v>3.792430514795639</v>
      </c>
      <c r="AF510">
        <v>3504.6611237087427</v>
      </c>
      <c r="AG510">
        <f t="shared" si="263"/>
        <v>3.5446460310848829</v>
      </c>
      <c r="AH510" s="9">
        <v>649.83333333333303</v>
      </c>
      <c r="AI510" s="9">
        <f t="shared" si="270"/>
        <v>2.8134697878296753</v>
      </c>
      <c r="AJ510">
        <v>76.900000000000006</v>
      </c>
      <c r="AK510" s="23" t="s">
        <v>513</v>
      </c>
      <c r="AL510" s="42">
        <v>51.064530698041601</v>
      </c>
      <c r="AM510" s="24">
        <v>0.31</v>
      </c>
      <c r="AN510" s="34">
        <f t="shared" si="271"/>
        <v>0.11727129565576427</v>
      </c>
      <c r="AO510">
        <v>2001</v>
      </c>
      <c r="AP510">
        <v>12</v>
      </c>
      <c r="AQ510">
        <v>90</v>
      </c>
      <c r="AR510">
        <v>70</v>
      </c>
      <c r="AS510">
        <f t="shared" si="260"/>
        <v>0</v>
      </c>
      <c r="AT510">
        <f t="shared" si="272"/>
        <v>0</v>
      </c>
      <c r="AU510">
        <f t="shared" si="273"/>
        <v>0</v>
      </c>
      <c r="AV510">
        <f t="shared" si="274"/>
        <v>0</v>
      </c>
      <c r="AW510">
        <f t="shared" si="275"/>
        <v>0</v>
      </c>
      <c r="AX510">
        <f t="shared" si="276"/>
        <v>0</v>
      </c>
      <c r="AY510">
        <f t="shared" si="277"/>
        <v>0</v>
      </c>
      <c r="AZ510">
        <f t="shared" si="278"/>
        <v>0</v>
      </c>
      <c r="BA510">
        <f t="shared" si="279"/>
        <v>0</v>
      </c>
      <c r="BB510">
        <f t="shared" si="280"/>
        <v>0</v>
      </c>
      <c r="BC510">
        <f t="shared" si="281"/>
        <v>1</v>
      </c>
      <c r="BD510">
        <f t="shared" si="282"/>
        <v>0</v>
      </c>
      <c r="BE510">
        <f t="shared" si="283"/>
        <v>0</v>
      </c>
      <c r="BF510">
        <f t="shared" si="284"/>
        <v>0</v>
      </c>
      <c r="BG510">
        <f t="shared" si="285"/>
        <v>0</v>
      </c>
      <c r="BH510">
        <f t="shared" si="286"/>
        <v>0</v>
      </c>
      <c r="BI510">
        <f t="shared" si="287"/>
        <v>0</v>
      </c>
    </row>
    <row r="511" spans="1:61" ht="14.25" customHeight="1" x14ac:dyDescent="0.35">
      <c r="A511" t="s">
        <v>1047</v>
      </c>
      <c r="B511" s="1">
        <v>39195</v>
      </c>
      <c r="C511" t="s">
        <v>1048</v>
      </c>
      <c r="D511" t="s">
        <v>45</v>
      </c>
      <c r="E511" t="s">
        <v>1049</v>
      </c>
      <c r="F511" t="s">
        <v>45</v>
      </c>
      <c r="G511" t="s">
        <v>47</v>
      </c>
      <c r="H511" s="139">
        <f t="shared" si="261"/>
        <v>0</v>
      </c>
      <c r="I511" t="s">
        <v>234</v>
      </c>
      <c r="J511" t="s">
        <v>245</v>
      </c>
      <c r="K511" s="2">
        <f t="shared" si="264"/>
        <v>6</v>
      </c>
      <c r="L511">
        <v>55930000</v>
      </c>
      <c r="M511" s="2">
        <f t="shared" si="265"/>
        <v>7.7476448193282481</v>
      </c>
      <c r="N511">
        <f t="shared" si="292"/>
        <v>55930000</v>
      </c>
      <c r="O511">
        <v>0</v>
      </c>
      <c r="P511" s="1">
        <v>40850</v>
      </c>
      <c r="Q511" s="89">
        <f t="shared" si="266"/>
        <v>2011</v>
      </c>
      <c r="R511" t="s">
        <v>322</v>
      </c>
      <c r="S511">
        <v>87900000</v>
      </c>
      <c r="T511" s="21">
        <f t="shared" si="258"/>
        <v>4.5342465753424657</v>
      </c>
      <c r="U511">
        <v>0</v>
      </c>
      <c r="V511">
        <f t="shared" si="267"/>
        <v>0</v>
      </c>
      <c r="W511">
        <v>1953</v>
      </c>
      <c r="X511">
        <v>54</v>
      </c>
      <c r="Y511">
        <f t="shared" si="268"/>
        <v>1.7403626894942439</v>
      </c>
      <c r="Z511" s="45">
        <v>2.95</v>
      </c>
      <c r="AA511" s="9">
        <f t="shared" si="293"/>
        <v>31970000</v>
      </c>
      <c r="AB511" s="15">
        <f t="shared" si="259"/>
        <v>0.57160736635079568</v>
      </c>
      <c r="AC511" s="34">
        <f t="shared" si="269"/>
        <v>0.19634405574552369</v>
      </c>
      <c r="AD511">
        <v>6200.5542957923917</v>
      </c>
      <c r="AE511">
        <f t="shared" si="262"/>
        <v>3.792430514795639</v>
      </c>
      <c r="AF511">
        <v>3504.6611237087427</v>
      </c>
      <c r="AG511">
        <f t="shared" si="263"/>
        <v>3.5446460310848829</v>
      </c>
      <c r="AH511" s="9">
        <v>0</v>
      </c>
      <c r="AI511" s="9">
        <f t="shared" si="270"/>
        <v>0</v>
      </c>
      <c r="AJ511">
        <v>91.4</v>
      </c>
      <c r="AK511" s="23" t="s">
        <v>103</v>
      </c>
      <c r="AL511" s="42">
        <v>37.425715444240403</v>
      </c>
      <c r="AM511" s="24">
        <v>-0.15</v>
      </c>
      <c r="AN511" s="34">
        <f t="shared" si="271"/>
        <v>-7.0581074285707285E-2</v>
      </c>
      <c r="AO511">
        <v>2001</v>
      </c>
      <c r="AP511">
        <v>6</v>
      </c>
      <c r="AQ511">
        <v>70</v>
      </c>
      <c r="AR511">
        <v>70</v>
      </c>
      <c r="AS511">
        <f t="shared" si="260"/>
        <v>0</v>
      </c>
      <c r="AT511">
        <f t="shared" si="272"/>
        <v>1</v>
      </c>
      <c r="AU511">
        <f t="shared" si="273"/>
        <v>0</v>
      </c>
      <c r="AV511">
        <f t="shared" si="274"/>
        <v>0</v>
      </c>
      <c r="AW511">
        <f t="shared" si="275"/>
        <v>0</v>
      </c>
      <c r="AX511">
        <f t="shared" si="276"/>
        <v>0</v>
      </c>
      <c r="AY511">
        <f t="shared" si="277"/>
        <v>0</v>
      </c>
      <c r="AZ511">
        <f t="shared" si="278"/>
        <v>0</v>
      </c>
      <c r="BA511">
        <f t="shared" si="279"/>
        <v>0</v>
      </c>
      <c r="BB511">
        <f t="shared" si="280"/>
        <v>0</v>
      </c>
      <c r="BC511">
        <f t="shared" si="281"/>
        <v>0</v>
      </c>
      <c r="BD511">
        <f t="shared" si="282"/>
        <v>0</v>
      </c>
      <c r="BE511">
        <f t="shared" si="283"/>
        <v>0</v>
      </c>
      <c r="BF511">
        <f t="shared" si="284"/>
        <v>0</v>
      </c>
      <c r="BG511">
        <f t="shared" si="285"/>
        <v>0</v>
      </c>
      <c r="BH511">
        <f t="shared" si="286"/>
        <v>0</v>
      </c>
      <c r="BI511">
        <f t="shared" si="287"/>
        <v>0</v>
      </c>
    </row>
    <row r="512" spans="1:61" x14ac:dyDescent="0.35">
      <c r="A512" t="s">
        <v>51</v>
      </c>
      <c r="B512" s="1">
        <v>37414</v>
      </c>
      <c r="C512" t="s">
        <v>1050</v>
      </c>
      <c r="D512" t="s">
        <v>4</v>
      </c>
      <c r="E512" t="s">
        <v>1051</v>
      </c>
      <c r="F512" t="s">
        <v>45</v>
      </c>
      <c r="G512" t="s">
        <v>64</v>
      </c>
      <c r="H512" s="139">
        <f t="shared" si="261"/>
        <v>1</v>
      </c>
      <c r="I512" t="s">
        <v>234</v>
      </c>
      <c r="J512" t="s">
        <v>248</v>
      </c>
      <c r="K512" s="2">
        <f t="shared" si="264"/>
        <v>5</v>
      </c>
      <c r="L512">
        <v>328023677</v>
      </c>
      <c r="M512" s="2">
        <f t="shared" si="265"/>
        <v>8.5159051925510969</v>
      </c>
      <c r="N512">
        <f t="shared" si="292"/>
        <v>328023677</v>
      </c>
      <c r="O512">
        <v>0</v>
      </c>
      <c r="P512" s="1">
        <v>42767</v>
      </c>
      <c r="Q512" s="89">
        <f t="shared" si="266"/>
        <v>2017</v>
      </c>
      <c r="R512" t="s">
        <v>107</v>
      </c>
      <c r="S512">
        <v>306130000</v>
      </c>
      <c r="T512" s="21">
        <f t="shared" si="258"/>
        <v>14.665753424657535</v>
      </c>
      <c r="U512">
        <v>6635.86</v>
      </c>
      <c r="V512">
        <f t="shared" si="267"/>
        <v>3.8219626565950726</v>
      </c>
      <c r="W512">
        <v>1913</v>
      </c>
      <c r="X512">
        <v>89</v>
      </c>
      <c r="Y512">
        <f t="shared" si="268"/>
        <v>1.954242509439325</v>
      </c>
      <c r="Z512" s="45">
        <v>3.03</v>
      </c>
      <c r="AA512" s="9">
        <f t="shared" si="293"/>
        <v>-21893677</v>
      </c>
      <c r="AB512" s="15">
        <f t="shared" si="259"/>
        <v>-6.6744197248907788E-2</v>
      </c>
      <c r="AC512" s="34">
        <f t="shared" si="269"/>
        <v>-2.9999301058829555E-2</v>
      </c>
      <c r="AD512">
        <v>2914.7429978454898</v>
      </c>
      <c r="AE512">
        <f t="shared" si="262"/>
        <v>3.4646002676582905</v>
      </c>
      <c r="AF512">
        <v>9322.8685749461365</v>
      </c>
      <c r="AG512">
        <f t="shared" si="263"/>
        <v>3.9695495619878729</v>
      </c>
      <c r="AH512" s="9">
        <v>808</v>
      </c>
      <c r="AI512" s="9">
        <f t="shared" si="270"/>
        <v>2.9079485216122722</v>
      </c>
      <c r="AJ512">
        <v>70</v>
      </c>
      <c r="AK512" s="23" t="s">
        <v>573</v>
      </c>
      <c r="AL512" s="42">
        <v>53.8530722517336</v>
      </c>
      <c r="AM512" s="24">
        <v>1.22</v>
      </c>
      <c r="AN512" s="34">
        <f t="shared" si="271"/>
        <v>0.34635297445063856</v>
      </c>
      <c r="AO512">
        <v>1995</v>
      </c>
      <c r="AP512">
        <v>7</v>
      </c>
      <c r="AQ512">
        <v>70</v>
      </c>
      <c r="AR512">
        <v>70</v>
      </c>
      <c r="AS512">
        <f t="shared" si="260"/>
        <v>0</v>
      </c>
      <c r="AT512">
        <f t="shared" si="272"/>
        <v>0</v>
      </c>
      <c r="AU512">
        <f t="shared" si="273"/>
        <v>0</v>
      </c>
      <c r="AV512">
        <f t="shared" si="274"/>
        <v>0</v>
      </c>
      <c r="AW512">
        <f t="shared" si="275"/>
        <v>0</v>
      </c>
      <c r="AX512">
        <f t="shared" si="276"/>
        <v>1</v>
      </c>
      <c r="AY512">
        <f t="shared" si="277"/>
        <v>0</v>
      </c>
      <c r="AZ512">
        <f t="shared" si="278"/>
        <v>0</v>
      </c>
      <c r="BA512">
        <f t="shared" si="279"/>
        <v>0</v>
      </c>
      <c r="BB512">
        <f t="shared" si="280"/>
        <v>0</v>
      </c>
      <c r="BC512">
        <f t="shared" si="281"/>
        <v>0</v>
      </c>
      <c r="BD512">
        <f t="shared" si="282"/>
        <v>0</v>
      </c>
      <c r="BE512">
        <f t="shared" si="283"/>
        <v>0</v>
      </c>
      <c r="BF512">
        <f t="shared" si="284"/>
        <v>0</v>
      </c>
      <c r="BG512">
        <f t="shared" si="285"/>
        <v>0</v>
      </c>
      <c r="BH512">
        <f t="shared" si="286"/>
        <v>0</v>
      </c>
      <c r="BI512">
        <f t="shared" si="287"/>
        <v>0</v>
      </c>
    </row>
    <row r="513" spans="1:61" x14ac:dyDescent="0.35">
      <c r="A513" t="s">
        <v>352</v>
      </c>
      <c r="B513" s="1">
        <v>42312</v>
      </c>
      <c r="C513" s="8" t="s">
        <v>1052</v>
      </c>
      <c r="D513" t="s">
        <v>2</v>
      </c>
      <c r="E513" t="s">
        <v>1053</v>
      </c>
      <c r="F513" t="s">
        <v>45</v>
      </c>
      <c r="G513" t="s">
        <v>64</v>
      </c>
      <c r="H513" s="139">
        <f t="shared" si="261"/>
        <v>1</v>
      </c>
      <c r="I513" t="s">
        <v>234</v>
      </c>
      <c r="J513" t="s">
        <v>178</v>
      </c>
      <c r="K513" s="2">
        <f t="shared" si="264"/>
        <v>9</v>
      </c>
      <c r="L513">
        <v>64000000</v>
      </c>
      <c r="M513" s="2">
        <f t="shared" si="265"/>
        <v>7.8061799739838875</v>
      </c>
      <c r="N513">
        <f t="shared" si="292"/>
        <v>64000000</v>
      </c>
      <c r="O513">
        <v>0</v>
      </c>
      <c r="P513" s="1">
        <v>43398</v>
      </c>
      <c r="Q513" s="89">
        <f t="shared" si="266"/>
        <v>2018</v>
      </c>
      <c r="R513" t="s">
        <v>107</v>
      </c>
      <c r="S513">
        <v>251700000</v>
      </c>
      <c r="T513" s="21">
        <f t="shared" si="258"/>
        <v>2.9753424657534246</v>
      </c>
      <c r="U513">
        <v>6815.73</v>
      </c>
      <c r="V513">
        <f t="shared" si="267"/>
        <v>3.8335760926148099</v>
      </c>
      <c r="W513">
        <v>2014</v>
      </c>
      <c r="X513">
        <v>1</v>
      </c>
      <c r="Y513">
        <f t="shared" si="268"/>
        <v>0.3010299956639812</v>
      </c>
      <c r="Z513" s="45">
        <v>2.85</v>
      </c>
      <c r="AA513" s="9">
        <f t="shared" si="293"/>
        <v>187700000</v>
      </c>
      <c r="AB513" s="15">
        <f t="shared" si="259"/>
        <v>2.9328124999999998</v>
      </c>
      <c r="AC513" s="34">
        <f t="shared" si="269"/>
        <v>0.59470324156447552</v>
      </c>
      <c r="AD513">
        <v>2454.9351065534374</v>
      </c>
      <c r="AE513">
        <f t="shared" si="262"/>
        <v>3.3900400165248765</v>
      </c>
      <c r="AF513">
        <v>7363.1028681301077</v>
      </c>
      <c r="AG513">
        <f t="shared" si="263"/>
        <v>3.8670608679422993</v>
      </c>
      <c r="AH513" s="9">
        <v>819</v>
      </c>
      <c r="AI513" s="9">
        <f t="shared" si="270"/>
        <v>2.9138138523837167</v>
      </c>
      <c r="AJ513">
        <v>88.2</v>
      </c>
      <c r="AK513" s="23" t="s">
        <v>284</v>
      </c>
      <c r="AL513" s="42">
        <v>43.709255262622698</v>
      </c>
      <c r="AM513" s="24">
        <v>0.28999999999999998</v>
      </c>
      <c r="AN513" s="34">
        <f t="shared" si="271"/>
        <v>0.11058971029924898</v>
      </c>
      <c r="AO513">
        <v>1972</v>
      </c>
      <c r="AP513">
        <v>43</v>
      </c>
      <c r="AQ513">
        <v>70</v>
      </c>
      <c r="AR513">
        <v>70</v>
      </c>
      <c r="AS513">
        <f t="shared" si="260"/>
        <v>0</v>
      </c>
      <c r="AT513">
        <f t="shared" si="272"/>
        <v>0</v>
      </c>
      <c r="AU513">
        <f t="shared" si="273"/>
        <v>0</v>
      </c>
      <c r="AV513">
        <f t="shared" si="274"/>
        <v>0</v>
      </c>
      <c r="AW513">
        <f t="shared" si="275"/>
        <v>0</v>
      </c>
      <c r="AX513">
        <f t="shared" si="276"/>
        <v>0</v>
      </c>
      <c r="AY513">
        <f t="shared" si="277"/>
        <v>0</v>
      </c>
      <c r="AZ513">
        <f t="shared" si="278"/>
        <v>0</v>
      </c>
      <c r="BA513">
        <f t="shared" si="279"/>
        <v>0</v>
      </c>
      <c r="BB513">
        <f t="shared" si="280"/>
        <v>1</v>
      </c>
      <c r="BC513">
        <f t="shared" si="281"/>
        <v>0</v>
      </c>
      <c r="BD513">
        <f t="shared" si="282"/>
        <v>0</v>
      </c>
      <c r="BE513">
        <f t="shared" si="283"/>
        <v>0</v>
      </c>
      <c r="BF513">
        <f t="shared" si="284"/>
        <v>0</v>
      </c>
      <c r="BG513">
        <f t="shared" si="285"/>
        <v>0</v>
      </c>
      <c r="BH513">
        <f t="shared" si="286"/>
        <v>0</v>
      </c>
      <c r="BI513">
        <f t="shared" si="287"/>
        <v>0</v>
      </c>
    </row>
    <row r="514" spans="1:61" x14ac:dyDescent="0.35">
      <c r="A514" t="s">
        <v>1054</v>
      </c>
      <c r="B514" s="1">
        <v>41031</v>
      </c>
      <c r="C514" t="s">
        <v>1055</v>
      </c>
      <c r="D514" t="s">
        <v>163</v>
      </c>
      <c r="E514" t="s">
        <v>1056</v>
      </c>
      <c r="F514" t="s">
        <v>45</v>
      </c>
      <c r="G514" t="s">
        <v>64</v>
      </c>
      <c r="H514" s="139">
        <f t="shared" si="261"/>
        <v>1</v>
      </c>
      <c r="I514" t="s">
        <v>234</v>
      </c>
      <c r="J514" t="s">
        <v>248</v>
      </c>
      <c r="K514" s="2">
        <f t="shared" si="264"/>
        <v>5</v>
      </c>
      <c r="L514">
        <v>28970000</v>
      </c>
      <c r="M514" s="2">
        <f t="shared" si="265"/>
        <v>7.461948495203762</v>
      </c>
      <c r="N514">
        <f t="shared" si="292"/>
        <v>28970000</v>
      </c>
      <c r="O514">
        <v>0</v>
      </c>
      <c r="P514" s="1">
        <v>42888</v>
      </c>
      <c r="Q514" s="89">
        <f t="shared" si="266"/>
        <v>2017</v>
      </c>
      <c r="R514" t="s">
        <v>107</v>
      </c>
      <c r="S514">
        <v>164340000</v>
      </c>
      <c r="T514" s="21">
        <f t="shared" ref="T514:T577" si="294">YEARFRAC(B514,P514,3)</f>
        <v>5.087671232876712</v>
      </c>
      <c r="U514">
        <v>6164.6</v>
      </c>
      <c r="V514">
        <f t="shared" si="267"/>
        <v>3.7899753459779522</v>
      </c>
      <c r="W514">
        <v>1764</v>
      </c>
      <c r="X514">
        <v>248</v>
      </c>
      <c r="Y514">
        <f t="shared" si="268"/>
        <v>2.3961993470957363</v>
      </c>
      <c r="Z514" s="45">
        <v>3.18</v>
      </c>
      <c r="AA514" s="9">
        <f t="shared" si="293"/>
        <v>135370000</v>
      </c>
      <c r="AB514" s="15">
        <f t="shared" ref="AB514:AB577" si="295">(S514/L514)-1</f>
        <v>4.6727649292371423</v>
      </c>
      <c r="AC514" s="34">
        <f t="shared" si="269"/>
        <v>0.75379478743384321</v>
      </c>
      <c r="AD514">
        <v>2900.8986468172052</v>
      </c>
      <c r="AE514">
        <f t="shared" si="262"/>
        <v>3.4625325554497</v>
      </c>
      <c r="AF514">
        <v>4207.3768270052751</v>
      </c>
      <c r="AG514">
        <f t="shared" si="263"/>
        <v>3.6240114106526287</v>
      </c>
      <c r="AH514" s="9">
        <v>583.83333333333303</v>
      </c>
      <c r="AI514" s="9">
        <f t="shared" si="270"/>
        <v>2.7670321178317625</v>
      </c>
      <c r="AJ514">
        <v>83.7</v>
      </c>
      <c r="AK514" s="23" t="s">
        <v>1057</v>
      </c>
      <c r="AL514" s="42">
        <v>57.107272870025099</v>
      </c>
      <c r="AM514" s="24">
        <v>0.74</v>
      </c>
      <c r="AN514" s="34">
        <f t="shared" si="271"/>
        <v>0.24054924828259971</v>
      </c>
      <c r="AO514">
        <v>1989</v>
      </c>
      <c r="AP514">
        <v>23</v>
      </c>
      <c r="AQ514">
        <v>85</v>
      </c>
      <c r="AR514">
        <v>80</v>
      </c>
      <c r="AS514">
        <f t="shared" ref="AS514:AS577" si="296">IF(AC514=-1,1,0)</f>
        <v>0</v>
      </c>
      <c r="AT514">
        <f t="shared" si="272"/>
        <v>0</v>
      </c>
      <c r="AU514">
        <f t="shared" si="273"/>
        <v>0</v>
      </c>
      <c r="AV514">
        <f t="shared" si="274"/>
        <v>0</v>
      </c>
      <c r="AW514">
        <f t="shared" si="275"/>
        <v>0</v>
      </c>
      <c r="AX514">
        <f t="shared" si="276"/>
        <v>0</v>
      </c>
      <c r="AY514">
        <f t="shared" si="277"/>
        <v>0</v>
      </c>
      <c r="AZ514">
        <f t="shared" si="278"/>
        <v>1</v>
      </c>
      <c r="BA514">
        <f t="shared" si="279"/>
        <v>0</v>
      </c>
      <c r="BB514">
        <f t="shared" si="280"/>
        <v>0</v>
      </c>
      <c r="BC514">
        <f t="shared" si="281"/>
        <v>0</v>
      </c>
      <c r="BD514">
        <f t="shared" si="282"/>
        <v>0</v>
      </c>
      <c r="BE514">
        <f t="shared" si="283"/>
        <v>0</v>
      </c>
      <c r="BF514">
        <f t="shared" si="284"/>
        <v>0</v>
      </c>
      <c r="BG514">
        <f t="shared" si="285"/>
        <v>0</v>
      </c>
      <c r="BH514">
        <f t="shared" si="286"/>
        <v>0</v>
      </c>
      <c r="BI514">
        <f t="shared" si="287"/>
        <v>0</v>
      </c>
    </row>
    <row r="515" spans="1:61" x14ac:dyDescent="0.35">
      <c r="A515" t="s">
        <v>51</v>
      </c>
      <c r="B515" s="1">
        <v>39665</v>
      </c>
      <c r="C515" t="s">
        <v>1023</v>
      </c>
      <c r="D515" t="s">
        <v>59</v>
      </c>
      <c r="E515" t="s">
        <v>1058</v>
      </c>
      <c r="F515" t="s">
        <v>45</v>
      </c>
      <c r="G515" t="s">
        <v>64</v>
      </c>
      <c r="H515" s="139">
        <f t="shared" ref="H515:H578" si="297">IF(G515="domestic",0,1)</f>
        <v>1</v>
      </c>
      <c r="I515" t="s">
        <v>234</v>
      </c>
      <c r="J515" t="s">
        <v>178</v>
      </c>
      <c r="K515" s="2">
        <f t="shared" si="264"/>
        <v>9</v>
      </c>
      <c r="L515">
        <v>170000000</v>
      </c>
      <c r="M515" s="2">
        <f t="shared" si="265"/>
        <v>8.2304489213782741</v>
      </c>
      <c r="N515">
        <f t="shared" si="292"/>
        <v>170000000</v>
      </c>
      <c r="O515">
        <v>0</v>
      </c>
      <c r="P515" s="1">
        <v>41253</v>
      </c>
      <c r="Q515" s="89">
        <f t="shared" si="266"/>
        <v>2012</v>
      </c>
      <c r="R515" t="s">
        <v>54</v>
      </c>
      <c r="S515">
        <v>300000000</v>
      </c>
      <c r="T515" s="21">
        <f t="shared" si="294"/>
        <v>4.3506849315068497</v>
      </c>
      <c r="U515">
        <v>5897.96</v>
      </c>
      <c r="V515">
        <f t="shared" si="267"/>
        <v>3.7707754512906644</v>
      </c>
      <c r="W515">
        <v>1986</v>
      </c>
      <c r="X515">
        <v>22</v>
      </c>
      <c r="Y515">
        <f t="shared" si="268"/>
        <v>1.3617278360175928</v>
      </c>
      <c r="Z515" s="45">
        <v>2.3199999999999998</v>
      </c>
      <c r="AA515" s="9">
        <f t="shared" si="293"/>
        <v>130000000</v>
      </c>
      <c r="AB515" s="15">
        <f t="shared" si="295"/>
        <v>0.76470588235294112</v>
      </c>
      <c r="AC515" s="34">
        <f t="shared" si="269"/>
        <v>0.24667233334138849</v>
      </c>
      <c r="AD515">
        <v>3400</v>
      </c>
      <c r="AE515">
        <f t="shared" ref="AE515:AE578" si="298">LOG(AD515)</f>
        <v>3.5314789170422549</v>
      </c>
      <c r="AF515">
        <v>8861.3406795224982</v>
      </c>
      <c r="AG515">
        <f t="shared" ref="AG515:AG578" si="299">LOG(AF515)</f>
        <v>3.9474994335880176</v>
      </c>
      <c r="AH515" s="9">
        <v>132</v>
      </c>
      <c r="AI515" s="9">
        <f t="shared" si="270"/>
        <v>2.1238516409670858</v>
      </c>
      <c r="AJ515">
        <v>90.8</v>
      </c>
      <c r="AK515" s="23" t="s">
        <v>89</v>
      </c>
      <c r="AL515" s="42">
        <v>44.4007960521485</v>
      </c>
      <c r="AM515" s="24">
        <v>0.1</v>
      </c>
      <c r="AN515" s="34">
        <f t="shared" si="271"/>
        <v>4.1392685158225077E-2</v>
      </c>
      <c r="AO515">
        <v>1993</v>
      </c>
      <c r="AP515">
        <v>15</v>
      </c>
      <c r="AQ515">
        <v>70</v>
      </c>
      <c r="AR515">
        <v>70</v>
      </c>
      <c r="AS515">
        <f t="shared" si="296"/>
        <v>0</v>
      </c>
      <c r="AT515">
        <f t="shared" si="272"/>
        <v>0</v>
      </c>
      <c r="AU515">
        <f t="shared" si="273"/>
        <v>1</v>
      </c>
      <c r="AV515">
        <f t="shared" si="274"/>
        <v>0</v>
      </c>
      <c r="AW515">
        <f t="shared" si="275"/>
        <v>0</v>
      </c>
      <c r="AX515">
        <f t="shared" si="276"/>
        <v>0</v>
      </c>
      <c r="AY515">
        <f t="shared" si="277"/>
        <v>0</v>
      </c>
      <c r="AZ515">
        <f t="shared" si="278"/>
        <v>0</v>
      </c>
      <c r="BA515">
        <f t="shared" si="279"/>
        <v>0</v>
      </c>
      <c r="BB515">
        <f t="shared" si="280"/>
        <v>0</v>
      </c>
      <c r="BC515">
        <f t="shared" si="281"/>
        <v>0</v>
      </c>
      <c r="BD515">
        <f t="shared" si="282"/>
        <v>0</v>
      </c>
      <c r="BE515">
        <f t="shared" si="283"/>
        <v>0</v>
      </c>
      <c r="BF515">
        <f t="shared" si="284"/>
        <v>0</v>
      </c>
      <c r="BG515">
        <f t="shared" si="285"/>
        <v>0</v>
      </c>
      <c r="BH515">
        <f t="shared" si="286"/>
        <v>0</v>
      </c>
      <c r="BI515">
        <f t="shared" si="287"/>
        <v>0</v>
      </c>
    </row>
    <row r="516" spans="1:61" x14ac:dyDescent="0.35">
      <c r="A516" t="s">
        <v>1038</v>
      </c>
      <c r="B516" s="1">
        <v>41444</v>
      </c>
      <c r="C516" t="s">
        <v>1059</v>
      </c>
      <c r="D516" t="s">
        <v>5</v>
      </c>
      <c r="E516" t="s">
        <v>1060</v>
      </c>
      <c r="F516" t="s">
        <v>45</v>
      </c>
      <c r="G516" t="s">
        <v>64</v>
      </c>
      <c r="H516" s="139">
        <f t="shared" si="297"/>
        <v>1</v>
      </c>
      <c r="I516" t="s">
        <v>234</v>
      </c>
      <c r="J516" t="s">
        <v>183</v>
      </c>
      <c r="K516" s="2">
        <f t="shared" si="264"/>
        <v>3</v>
      </c>
      <c r="L516">
        <v>219200000</v>
      </c>
      <c r="M516" s="2">
        <f t="shared" si="265"/>
        <v>8.3408405498123308</v>
      </c>
      <c r="N516">
        <f t="shared" si="292"/>
        <v>219200000</v>
      </c>
      <c r="O516">
        <v>0</v>
      </c>
      <c r="P516" s="1">
        <v>43283</v>
      </c>
      <c r="Q516" s="89">
        <f t="shared" si="266"/>
        <v>2018</v>
      </c>
      <c r="R516" t="s">
        <v>107</v>
      </c>
      <c r="S516">
        <v>155000000</v>
      </c>
      <c r="T516" s="21">
        <f t="shared" si="294"/>
        <v>5.0383561643835613</v>
      </c>
      <c r="U516">
        <v>6188.89</v>
      </c>
      <c r="V516">
        <f t="shared" si="267"/>
        <v>3.7916829312790057</v>
      </c>
      <c r="W516">
        <v>2008</v>
      </c>
      <c r="X516">
        <v>5</v>
      </c>
      <c r="Y516">
        <f t="shared" si="268"/>
        <v>0.77815125038364363</v>
      </c>
      <c r="Z516" s="45">
        <v>2.72</v>
      </c>
      <c r="AA516" s="9">
        <f t="shared" si="293"/>
        <v>-64200000</v>
      </c>
      <c r="AB516" s="15">
        <f t="shared" si="295"/>
        <v>-0.29288321167883213</v>
      </c>
      <c r="AC516" s="34">
        <f t="shared" si="269"/>
        <v>-0.15050885164204009</v>
      </c>
      <c r="AD516">
        <v>1455.5555555555557</v>
      </c>
      <c r="AE516">
        <f t="shared" si="298"/>
        <v>3.1630287862164392</v>
      </c>
      <c r="AF516">
        <v>6605.5555555555547</v>
      </c>
      <c r="AG516">
        <f t="shared" si="299"/>
        <v>3.8199093495153855</v>
      </c>
      <c r="AH516" s="9">
        <v>1084.3333333333301</v>
      </c>
      <c r="AI516" s="9">
        <f t="shared" si="270"/>
        <v>3.0355631414974997</v>
      </c>
      <c r="AJ516">
        <v>83</v>
      </c>
      <c r="AK516" s="23" t="s">
        <v>521</v>
      </c>
      <c r="AL516" s="42">
        <v>46.521758221126703</v>
      </c>
      <c r="AM516" s="24">
        <v>0.67</v>
      </c>
      <c r="AN516" s="34">
        <f t="shared" si="271"/>
        <v>0.22271647114758325</v>
      </c>
      <c r="AO516">
        <v>2001</v>
      </c>
      <c r="AP516">
        <v>12</v>
      </c>
      <c r="AQ516">
        <v>70</v>
      </c>
      <c r="AR516">
        <v>90</v>
      </c>
      <c r="AS516">
        <f t="shared" si="296"/>
        <v>0</v>
      </c>
      <c r="AT516">
        <f t="shared" si="272"/>
        <v>0</v>
      </c>
      <c r="AU516">
        <f t="shared" si="273"/>
        <v>0</v>
      </c>
      <c r="AV516">
        <f t="shared" si="274"/>
        <v>0</v>
      </c>
      <c r="AW516">
        <f t="shared" si="275"/>
        <v>0</v>
      </c>
      <c r="AX516">
        <f t="shared" si="276"/>
        <v>0</v>
      </c>
      <c r="AY516">
        <f t="shared" si="277"/>
        <v>1</v>
      </c>
      <c r="AZ516">
        <f t="shared" si="278"/>
        <v>0</v>
      </c>
      <c r="BA516">
        <f t="shared" si="279"/>
        <v>0</v>
      </c>
      <c r="BB516">
        <f t="shared" si="280"/>
        <v>0</v>
      </c>
      <c r="BC516">
        <f t="shared" si="281"/>
        <v>0</v>
      </c>
      <c r="BD516">
        <f t="shared" si="282"/>
        <v>0</v>
      </c>
      <c r="BE516">
        <f t="shared" si="283"/>
        <v>0</v>
      </c>
      <c r="BF516">
        <f t="shared" si="284"/>
        <v>0</v>
      </c>
      <c r="BG516">
        <f t="shared" si="285"/>
        <v>0</v>
      </c>
      <c r="BH516">
        <f t="shared" si="286"/>
        <v>0</v>
      </c>
      <c r="BI516">
        <f t="shared" si="287"/>
        <v>0</v>
      </c>
    </row>
    <row r="517" spans="1:61" x14ac:dyDescent="0.35">
      <c r="A517" t="s">
        <v>1061</v>
      </c>
      <c r="B517" s="1">
        <v>38432</v>
      </c>
      <c r="C517" t="s">
        <v>1062</v>
      </c>
      <c r="D517" t="s">
        <v>2</v>
      </c>
      <c r="E517" t="s">
        <v>1063</v>
      </c>
      <c r="F517" t="s">
        <v>45</v>
      </c>
      <c r="G517" t="s">
        <v>64</v>
      </c>
      <c r="H517" s="139">
        <f t="shared" si="297"/>
        <v>1</v>
      </c>
      <c r="I517" t="s">
        <v>234</v>
      </c>
      <c r="J517" t="s">
        <v>326</v>
      </c>
      <c r="K517" s="2">
        <f t="shared" si="264"/>
        <v>8</v>
      </c>
      <c r="L517">
        <v>1220000000</v>
      </c>
      <c r="M517" s="2">
        <f t="shared" si="265"/>
        <v>9.0863598306747484</v>
      </c>
      <c r="N517">
        <f t="shared" si="292"/>
        <v>1220000000</v>
      </c>
      <c r="O517">
        <v>0</v>
      </c>
      <c r="P517" s="1">
        <v>39190</v>
      </c>
      <c r="Q517" s="89">
        <f t="shared" si="266"/>
        <v>2007</v>
      </c>
      <c r="R517" t="s">
        <v>322</v>
      </c>
      <c r="S517">
        <v>523207200</v>
      </c>
      <c r="T517" s="21">
        <f t="shared" si="294"/>
        <v>2.0767123287671234</v>
      </c>
      <c r="U517">
        <v>6815.73</v>
      </c>
      <c r="V517">
        <f t="shared" si="267"/>
        <v>3.8335760926148099</v>
      </c>
      <c r="W517">
        <v>1906</v>
      </c>
      <c r="X517">
        <v>99</v>
      </c>
      <c r="Y517">
        <f t="shared" si="268"/>
        <v>2</v>
      </c>
      <c r="Z517" s="45">
        <v>2.85</v>
      </c>
      <c r="AA517" s="9">
        <f t="shared" si="293"/>
        <v>-696792800</v>
      </c>
      <c r="AB517" s="15">
        <f t="shared" si="295"/>
        <v>-0.57114163934426232</v>
      </c>
      <c r="AC517" s="34">
        <f t="shared" si="269"/>
        <v>-0.36768611887009245</v>
      </c>
      <c r="AD517">
        <v>1455.5555555555557</v>
      </c>
      <c r="AE517">
        <f t="shared" si="298"/>
        <v>3.1630287862164392</v>
      </c>
      <c r="AF517">
        <v>6605.5555555555547</v>
      </c>
      <c r="AG517">
        <f t="shared" si="299"/>
        <v>3.8199093495153855</v>
      </c>
      <c r="AH517" s="9">
        <v>819</v>
      </c>
      <c r="AI517" s="9">
        <f t="shared" si="270"/>
        <v>2.9138138523837167</v>
      </c>
      <c r="AJ517">
        <v>70</v>
      </c>
      <c r="AK517" s="23" t="s">
        <v>213</v>
      </c>
      <c r="AL517" s="42">
        <v>46.200073016176603</v>
      </c>
      <c r="AM517" s="24">
        <v>0.24</v>
      </c>
      <c r="AN517" s="34">
        <f t="shared" si="271"/>
        <v>9.3421685162235063E-2</v>
      </c>
      <c r="AO517">
        <v>2001</v>
      </c>
      <c r="AP517">
        <v>4</v>
      </c>
      <c r="AQ517">
        <v>70</v>
      </c>
      <c r="AR517">
        <v>70</v>
      </c>
      <c r="AS517">
        <f t="shared" si="296"/>
        <v>0</v>
      </c>
      <c r="AT517">
        <f t="shared" si="272"/>
        <v>0</v>
      </c>
      <c r="AU517">
        <f t="shared" si="273"/>
        <v>0</v>
      </c>
      <c r="AV517">
        <f t="shared" si="274"/>
        <v>0</v>
      </c>
      <c r="AW517">
        <f t="shared" si="275"/>
        <v>0</v>
      </c>
      <c r="AX517">
        <f t="shared" si="276"/>
        <v>0</v>
      </c>
      <c r="AY517">
        <f t="shared" si="277"/>
        <v>0</v>
      </c>
      <c r="AZ517">
        <f t="shared" si="278"/>
        <v>0</v>
      </c>
      <c r="BA517">
        <f t="shared" si="279"/>
        <v>0</v>
      </c>
      <c r="BB517">
        <f t="shared" si="280"/>
        <v>1</v>
      </c>
      <c r="BC517">
        <f t="shared" si="281"/>
        <v>0</v>
      </c>
      <c r="BD517">
        <f t="shared" si="282"/>
        <v>0</v>
      </c>
      <c r="BE517">
        <f t="shared" si="283"/>
        <v>0</v>
      </c>
      <c r="BF517">
        <f t="shared" si="284"/>
        <v>0</v>
      </c>
      <c r="BG517">
        <f t="shared" si="285"/>
        <v>0</v>
      </c>
      <c r="BH517">
        <f t="shared" si="286"/>
        <v>0</v>
      </c>
      <c r="BI517">
        <f t="shared" si="287"/>
        <v>0</v>
      </c>
    </row>
    <row r="518" spans="1:61" x14ac:dyDescent="0.35">
      <c r="A518" t="s">
        <v>352</v>
      </c>
      <c r="B518" s="1">
        <v>37224</v>
      </c>
      <c r="C518" s="8" t="s">
        <v>1064</v>
      </c>
      <c r="D518" t="s">
        <v>447</v>
      </c>
      <c r="E518" t="s">
        <v>1065</v>
      </c>
      <c r="F518" t="s">
        <v>45</v>
      </c>
      <c r="G518" t="s">
        <v>64</v>
      </c>
      <c r="H518" s="139">
        <f t="shared" si="297"/>
        <v>1</v>
      </c>
      <c r="I518" t="s">
        <v>234</v>
      </c>
      <c r="J518" t="s">
        <v>245</v>
      </c>
      <c r="K518" s="2">
        <f t="shared" ref="K518:K581" si="300">IF(J518="Consumer Discretionary",5,IF(J518="Industrials",1,IF(J518="Energy",3,IF(J518="Health Care",2,IF(J518="Communications",4,IF(J518="Financials",6,IF(J518="Consumer Staples",7,IF(J518="Materials",8,IF(J518="Technology",9,IF(J518="Utilities",10,""))))))))))</f>
        <v>6</v>
      </c>
      <c r="L518">
        <v>99200000</v>
      </c>
      <c r="M518" s="2">
        <f t="shared" ref="M518:M581" si="301">LOG(L518)</f>
        <v>7.9965116721541785</v>
      </c>
      <c r="N518">
        <f t="shared" si="292"/>
        <v>99200000</v>
      </c>
      <c r="O518">
        <v>0</v>
      </c>
      <c r="P518" s="1">
        <v>38107</v>
      </c>
      <c r="Q518" s="89">
        <f t="shared" ref="Q518:Q581" si="302">YEAR(P518)</f>
        <v>2004</v>
      </c>
      <c r="R518" t="s">
        <v>49</v>
      </c>
      <c r="S518">
        <v>455700000</v>
      </c>
      <c r="T518" s="21">
        <f t="shared" si="294"/>
        <v>2.419178082191781</v>
      </c>
      <c r="U518">
        <v>6087.84</v>
      </c>
      <c r="V518">
        <f t="shared" ref="V518:V581" si="303">LOG(1+U518)</f>
        <v>3.7845345619950592</v>
      </c>
      <c r="W518">
        <v>1980</v>
      </c>
      <c r="X518">
        <v>21</v>
      </c>
      <c r="Y518">
        <f t="shared" ref="Y518:Y581" si="304">LOG(1+X518)</f>
        <v>1.3424226808222062</v>
      </c>
      <c r="Z518" s="45">
        <v>2.81</v>
      </c>
      <c r="AA518" s="9">
        <f t="shared" si="293"/>
        <v>356500000</v>
      </c>
      <c r="AB518" s="15">
        <f t="shared" si="295"/>
        <v>3.59375</v>
      </c>
      <c r="AC518" s="34">
        <f t="shared" ref="AC518:AC581" si="305">IF(AB518=-1,LOG(0.1),LOG(1+AB518))</f>
        <v>0.66216735642827007</v>
      </c>
      <c r="AD518">
        <v>2387.5432525951551</v>
      </c>
      <c r="AE518">
        <f t="shared" si="298"/>
        <v>3.3779512479807074</v>
      </c>
      <c r="AF518">
        <v>5847.7508650519039</v>
      </c>
      <c r="AG518">
        <f t="shared" si="299"/>
        <v>3.7669888618571257</v>
      </c>
      <c r="AH518" s="9">
        <v>824.83333333333303</v>
      </c>
      <c r="AI518" s="9">
        <f t="shared" ref="AI518:AI581" si="306">IF(AH518=0,0,LOG(1+AH518))</f>
        <v>2.9168924084376502</v>
      </c>
      <c r="AJ518">
        <v>70</v>
      </c>
      <c r="AK518" s="23" t="s">
        <v>1066</v>
      </c>
      <c r="AL518" s="42">
        <v>38.458217540970502</v>
      </c>
      <c r="AM518" s="24">
        <v>-0.03</v>
      </c>
      <c r="AN518" s="34">
        <f t="shared" ref="AN518:AN581" si="307">LOG(1+AM518)</f>
        <v>-1.322826573375516E-2</v>
      </c>
      <c r="AO518">
        <v>1931</v>
      </c>
      <c r="AP518">
        <v>70</v>
      </c>
      <c r="AQ518">
        <v>70</v>
      </c>
      <c r="AR518">
        <v>50</v>
      </c>
      <c r="AS518">
        <f t="shared" si="296"/>
        <v>0</v>
      </c>
      <c r="AT518">
        <f t="shared" ref="AT518:AT581" si="308">IF($D518="US",1,0)</f>
        <v>0</v>
      </c>
      <c r="AU518">
        <f t="shared" ref="AU518:AU581" si="309">IF($D518="UK",1,0)</f>
        <v>0</v>
      </c>
      <c r="AV518">
        <f t="shared" ref="AV518:AV581" si="310">IF($D518="Norway",1,0)</f>
        <v>0</v>
      </c>
      <c r="AW518">
        <f t="shared" ref="AW518:AW581" si="311">IF($D518="Denmark",1,0)</f>
        <v>0</v>
      </c>
      <c r="AX518">
        <f t="shared" ref="AX518:AX581" si="312">IF($D518="Sweden",1,0)</f>
        <v>0</v>
      </c>
      <c r="AY518">
        <f t="shared" ref="AY518:AY581" si="313">IF($D518="Netherlands",1,0)</f>
        <v>0</v>
      </c>
      <c r="AZ518">
        <f t="shared" ref="AZ518:AZ581" si="314">IF($D518="France",1,0)</f>
        <v>0</v>
      </c>
      <c r="BA518">
        <f t="shared" ref="BA518:BA581" si="315">IF($D518="Belgium",1,0)</f>
        <v>0</v>
      </c>
      <c r="BB518">
        <f t="shared" ref="BB518:BB581" si="316">IF($D518="Germany",1,0)</f>
        <v>0</v>
      </c>
      <c r="BC518">
        <f t="shared" ref="BC518:BC581" si="317">IF($D518="Italy",1,0)</f>
        <v>0</v>
      </c>
      <c r="BD518">
        <f t="shared" ref="BD518:BD581" si="318">IF($D518="Spain",1,0)</f>
        <v>1</v>
      </c>
      <c r="BE518">
        <f t="shared" ref="BE518:BE581" si="319">IF($D518="Luxembourg",1,0)</f>
        <v>0</v>
      </c>
      <c r="BF518">
        <f t="shared" ref="BF518:BF581" si="320">IF($D518="Portugal",1,0)</f>
        <v>0</v>
      </c>
      <c r="BG518">
        <f t="shared" ref="BG518:BG581" si="321">IF($D518="Switzerland",1,0)</f>
        <v>0</v>
      </c>
      <c r="BH518">
        <f t="shared" ref="BH518:BH581" si="322">IF($D518="Ireland",1,0)</f>
        <v>0</v>
      </c>
      <c r="BI518">
        <f t="shared" ref="BI518:BI581" si="323">IF($D518="Finland",1,0)</f>
        <v>0</v>
      </c>
    </row>
    <row r="519" spans="1:61" x14ac:dyDescent="0.35">
      <c r="A519" t="s">
        <v>51</v>
      </c>
      <c r="B519" s="1">
        <v>36200</v>
      </c>
      <c r="C519" t="s">
        <v>1067</v>
      </c>
      <c r="D519" t="s">
        <v>447</v>
      </c>
      <c r="E519" t="s">
        <v>1068</v>
      </c>
      <c r="F519" t="s">
        <v>45</v>
      </c>
      <c r="G519" t="s">
        <v>64</v>
      </c>
      <c r="H519" s="139">
        <f t="shared" si="297"/>
        <v>1</v>
      </c>
      <c r="I519" t="s">
        <v>234</v>
      </c>
      <c r="J519" t="s">
        <v>248</v>
      </c>
      <c r="K519" s="2">
        <f t="shared" si="300"/>
        <v>5</v>
      </c>
      <c r="L519">
        <v>398610000</v>
      </c>
      <c r="M519" s="2">
        <f t="shared" si="301"/>
        <v>8.6005481897240834</v>
      </c>
      <c r="N519">
        <f t="shared" si="292"/>
        <v>398610000</v>
      </c>
      <c r="O519">
        <v>0</v>
      </c>
      <c r="P519" s="1">
        <v>39538</v>
      </c>
      <c r="Q519" s="89">
        <f t="shared" si="302"/>
        <v>2008</v>
      </c>
      <c r="R519" t="s">
        <v>107</v>
      </c>
      <c r="S519">
        <v>886920000</v>
      </c>
      <c r="T519" s="21">
        <f t="shared" si="294"/>
        <v>9.1452054794520556</v>
      </c>
      <c r="U519">
        <v>6087.84</v>
      </c>
      <c r="V519">
        <f t="shared" si="303"/>
        <v>3.7845345619950592</v>
      </c>
      <c r="W519">
        <v>1984</v>
      </c>
      <c r="X519">
        <v>15</v>
      </c>
      <c r="Y519">
        <f t="shared" si="304"/>
        <v>1.2041199826559248</v>
      </c>
      <c r="Z519" s="45">
        <v>2.81</v>
      </c>
      <c r="AA519" s="9">
        <f t="shared" si="293"/>
        <v>488310000</v>
      </c>
      <c r="AB519" s="15">
        <f t="shared" si="295"/>
        <v>1.2250319861518779</v>
      </c>
      <c r="AC519" s="34">
        <f t="shared" si="305"/>
        <v>0.34733625860207795</v>
      </c>
      <c r="AD519">
        <v>2387.5432525951551</v>
      </c>
      <c r="AE519">
        <f t="shared" si="298"/>
        <v>3.3779512479807074</v>
      </c>
      <c r="AF519">
        <v>5847.7508650519039</v>
      </c>
      <c r="AG519">
        <f t="shared" si="299"/>
        <v>3.7669888618571257</v>
      </c>
      <c r="AH519" s="9">
        <v>824.83333333333303</v>
      </c>
      <c r="AI519" s="9">
        <f t="shared" si="306"/>
        <v>2.9168924084376502</v>
      </c>
      <c r="AJ519">
        <v>70</v>
      </c>
      <c r="AK519" s="23" t="s">
        <v>1069</v>
      </c>
      <c r="AL519" s="42">
        <v>39.934142779262203</v>
      </c>
      <c r="AM519" s="24">
        <v>0.09</v>
      </c>
      <c r="AN519" s="34">
        <f t="shared" si="307"/>
        <v>3.7426497940623665E-2</v>
      </c>
      <c r="AO519">
        <v>1931</v>
      </c>
      <c r="AP519">
        <v>68</v>
      </c>
      <c r="AQ519">
        <v>70</v>
      </c>
      <c r="AR519">
        <v>50</v>
      </c>
      <c r="AS519">
        <f t="shared" si="296"/>
        <v>0</v>
      </c>
      <c r="AT519">
        <f t="shared" si="308"/>
        <v>0</v>
      </c>
      <c r="AU519">
        <f t="shared" si="309"/>
        <v>0</v>
      </c>
      <c r="AV519">
        <f t="shared" si="310"/>
        <v>0</v>
      </c>
      <c r="AW519">
        <f t="shared" si="311"/>
        <v>0</v>
      </c>
      <c r="AX519">
        <f t="shared" si="312"/>
        <v>0</v>
      </c>
      <c r="AY519">
        <f t="shared" si="313"/>
        <v>0</v>
      </c>
      <c r="AZ519">
        <f t="shared" si="314"/>
        <v>0</v>
      </c>
      <c r="BA519">
        <f t="shared" si="315"/>
        <v>0</v>
      </c>
      <c r="BB519">
        <f t="shared" si="316"/>
        <v>0</v>
      </c>
      <c r="BC519">
        <f t="shared" si="317"/>
        <v>0</v>
      </c>
      <c r="BD519">
        <f t="shared" si="318"/>
        <v>1</v>
      </c>
      <c r="BE519">
        <f t="shared" si="319"/>
        <v>0</v>
      </c>
      <c r="BF519">
        <f t="shared" si="320"/>
        <v>0</v>
      </c>
      <c r="BG519">
        <f t="shared" si="321"/>
        <v>0</v>
      </c>
      <c r="BH519">
        <f t="shared" si="322"/>
        <v>0</v>
      </c>
      <c r="BI519">
        <f t="shared" si="323"/>
        <v>0</v>
      </c>
    </row>
    <row r="520" spans="1:61" x14ac:dyDescent="0.35">
      <c r="A520" t="s">
        <v>51</v>
      </c>
      <c r="B520" s="1">
        <v>39534</v>
      </c>
      <c r="C520" t="s">
        <v>1070</v>
      </c>
      <c r="D520" t="s">
        <v>2</v>
      </c>
      <c r="E520" t="s">
        <v>1065</v>
      </c>
      <c r="F520" t="s">
        <v>45</v>
      </c>
      <c r="G520" t="s">
        <v>64</v>
      </c>
      <c r="H520" s="139">
        <f t="shared" si="297"/>
        <v>1</v>
      </c>
      <c r="I520" t="s">
        <v>289</v>
      </c>
      <c r="J520" t="s">
        <v>248</v>
      </c>
      <c r="K520" s="2">
        <f t="shared" si="300"/>
        <v>5</v>
      </c>
      <c r="L520">
        <v>600000000</v>
      </c>
      <c r="M520" s="2">
        <f t="shared" si="301"/>
        <v>8.7781512503836439</v>
      </c>
      <c r="N520">
        <f t="shared" si="292"/>
        <v>600000000</v>
      </c>
      <c r="O520">
        <v>0</v>
      </c>
      <c r="P520" s="1">
        <v>40324</v>
      </c>
      <c r="Q520" s="89">
        <f t="shared" si="302"/>
        <v>2010</v>
      </c>
      <c r="R520" t="s">
        <v>107</v>
      </c>
      <c r="S520">
        <v>577590000</v>
      </c>
      <c r="T520" s="21">
        <f t="shared" si="294"/>
        <v>2.1643835616438358</v>
      </c>
      <c r="U520">
        <v>6815.73</v>
      </c>
      <c r="V520">
        <f t="shared" si="303"/>
        <v>3.8335760926148099</v>
      </c>
      <c r="W520">
        <v>2000</v>
      </c>
      <c r="X520">
        <v>8</v>
      </c>
      <c r="Y520">
        <f t="shared" si="304"/>
        <v>0.95424250943932487</v>
      </c>
      <c r="Z520" s="45">
        <v>2.85</v>
      </c>
      <c r="AA520" s="9">
        <f t="shared" si="293"/>
        <v>-22410000</v>
      </c>
      <c r="AB520" s="15">
        <f t="shared" si="295"/>
        <v>-3.7349999999999994E-2</v>
      </c>
      <c r="AC520" s="34">
        <f t="shared" si="305"/>
        <v>-1.6531584835935944E-2</v>
      </c>
      <c r="AD520">
        <v>2387.5432525951551</v>
      </c>
      <c r="AE520">
        <f t="shared" si="298"/>
        <v>3.3779512479807074</v>
      </c>
      <c r="AF520">
        <v>5847.7508650519039</v>
      </c>
      <c r="AG520">
        <f t="shared" si="299"/>
        <v>3.7669888618571257</v>
      </c>
      <c r="AH520" s="9">
        <v>819</v>
      </c>
      <c r="AI520" s="9">
        <f t="shared" si="306"/>
        <v>2.9138138523837167</v>
      </c>
      <c r="AJ520">
        <v>89.9</v>
      </c>
      <c r="AK520" s="23" t="s">
        <v>241</v>
      </c>
      <c r="AL520" s="42">
        <v>43.572845019400901</v>
      </c>
      <c r="AM520" s="24">
        <v>-0.19</v>
      </c>
      <c r="AN520" s="34">
        <f t="shared" si="307"/>
        <v>-9.1514981121350217E-2</v>
      </c>
      <c r="AO520">
        <v>1931</v>
      </c>
      <c r="AP520">
        <v>77</v>
      </c>
      <c r="AQ520">
        <v>70</v>
      </c>
      <c r="AR520">
        <v>70</v>
      </c>
      <c r="AS520">
        <f t="shared" si="296"/>
        <v>0</v>
      </c>
      <c r="AT520">
        <f t="shared" si="308"/>
        <v>0</v>
      </c>
      <c r="AU520">
        <f t="shared" si="309"/>
        <v>0</v>
      </c>
      <c r="AV520">
        <f t="shared" si="310"/>
        <v>0</v>
      </c>
      <c r="AW520">
        <f t="shared" si="311"/>
        <v>0</v>
      </c>
      <c r="AX520">
        <f t="shared" si="312"/>
        <v>0</v>
      </c>
      <c r="AY520">
        <f t="shared" si="313"/>
        <v>0</v>
      </c>
      <c r="AZ520">
        <f t="shared" si="314"/>
        <v>0</v>
      </c>
      <c r="BA520">
        <f t="shared" si="315"/>
        <v>0</v>
      </c>
      <c r="BB520">
        <f t="shared" si="316"/>
        <v>1</v>
      </c>
      <c r="BC520">
        <f t="shared" si="317"/>
        <v>0</v>
      </c>
      <c r="BD520">
        <f t="shared" si="318"/>
        <v>0</v>
      </c>
      <c r="BE520">
        <f t="shared" si="319"/>
        <v>0</v>
      </c>
      <c r="BF520">
        <f t="shared" si="320"/>
        <v>0</v>
      </c>
      <c r="BG520">
        <f t="shared" si="321"/>
        <v>0</v>
      </c>
      <c r="BH520">
        <f t="shared" si="322"/>
        <v>0</v>
      </c>
      <c r="BI520">
        <f t="shared" si="323"/>
        <v>0</v>
      </c>
    </row>
    <row r="521" spans="1:61" x14ac:dyDescent="0.35">
      <c r="A521" t="s">
        <v>51</v>
      </c>
      <c r="B521" s="1">
        <v>38960</v>
      </c>
      <c r="C521" t="s">
        <v>1071</v>
      </c>
      <c r="D521" t="s">
        <v>163</v>
      </c>
      <c r="E521" t="s">
        <v>1072</v>
      </c>
      <c r="F521" t="s">
        <v>45</v>
      </c>
      <c r="G521" t="s">
        <v>64</v>
      </c>
      <c r="H521" s="139">
        <f t="shared" si="297"/>
        <v>1</v>
      </c>
      <c r="I521" t="s">
        <v>234</v>
      </c>
      <c r="J521" t="s">
        <v>248</v>
      </c>
      <c r="K521" s="2">
        <f t="shared" si="300"/>
        <v>5</v>
      </c>
      <c r="L521">
        <v>110000000</v>
      </c>
      <c r="M521" s="2">
        <f t="shared" si="301"/>
        <v>8.0413926851582254</v>
      </c>
      <c r="N521">
        <f t="shared" si="292"/>
        <v>110000000</v>
      </c>
      <c r="O521">
        <v>0</v>
      </c>
      <c r="P521" s="1">
        <v>40555</v>
      </c>
      <c r="Q521" s="89">
        <f t="shared" si="302"/>
        <v>2011</v>
      </c>
      <c r="R521" t="s">
        <v>107</v>
      </c>
      <c r="S521">
        <v>52580000</v>
      </c>
      <c r="T521" s="21">
        <f t="shared" si="294"/>
        <v>4.3698630136986303</v>
      </c>
      <c r="U521">
        <v>6164.6</v>
      </c>
      <c r="V521">
        <f t="shared" si="303"/>
        <v>3.7899753459779522</v>
      </c>
      <c r="W521">
        <v>1881</v>
      </c>
      <c r="X521">
        <v>125</v>
      </c>
      <c r="Y521">
        <f t="shared" si="304"/>
        <v>2.1003705451175629</v>
      </c>
      <c r="Z521" s="45">
        <v>3.18</v>
      </c>
      <c r="AA521" s="9">
        <f t="shared" si="293"/>
        <v>-57420000</v>
      </c>
      <c r="AB521" s="15">
        <f t="shared" si="295"/>
        <v>-0.52200000000000002</v>
      </c>
      <c r="AC521" s="34">
        <f t="shared" si="305"/>
        <v>-0.32057210338788111</v>
      </c>
      <c r="AD521">
        <v>1989.0260631001368</v>
      </c>
      <c r="AE521">
        <f t="shared" si="298"/>
        <v>3.2986404739170001</v>
      </c>
      <c r="AF521">
        <v>5994.5130315500692</v>
      </c>
      <c r="AG521">
        <f t="shared" si="299"/>
        <v>3.7777539086524472</v>
      </c>
      <c r="AH521" s="9">
        <v>583.83333333333303</v>
      </c>
      <c r="AI521" s="9">
        <f t="shared" si="306"/>
        <v>2.7670321178317625</v>
      </c>
      <c r="AJ521">
        <v>88</v>
      </c>
      <c r="AK521" s="23" t="s">
        <v>520</v>
      </c>
      <c r="AL521" s="42">
        <v>52.875711995394298</v>
      </c>
      <c r="AM521" s="24">
        <v>-0.01</v>
      </c>
      <c r="AN521" s="34">
        <f t="shared" si="307"/>
        <v>-4.3648054024500883E-3</v>
      </c>
      <c r="AO521">
        <v>2002</v>
      </c>
      <c r="AP521">
        <v>4</v>
      </c>
      <c r="AQ521">
        <v>85</v>
      </c>
      <c r="AR521">
        <v>80</v>
      </c>
      <c r="AS521">
        <f t="shared" si="296"/>
        <v>0</v>
      </c>
      <c r="AT521">
        <f t="shared" si="308"/>
        <v>0</v>
      </c>
      <c r="AU521">
        <f t="shared" si="309"/>
        <v>0</v>
      </c>
      <c r="AV521">
        <f t="shared" si="310"/>
        <v>0</v>
      </c>
      <c r="AW521">
        <f t="shared" si="311"/>
        <v>0</v>
      </c>
      <c r="AX521">
        <f t="shared" si="312"/>
        <v>0</v>
      </c>
      <c r="AY521">
        <f t="shared" si="313"/>
        <v>0</v>
      </c>
      <c r="AZ521">
        <f t="shared" si="314"/>
        <v>1</v>
      </c>
      <c r="BA521">
        <f t="shared" si="315"/>
        <v>0</v>
      </c>
      <c r="BB521">
        <f t="shared" si="316"/>
        <v>0</v>
      </c>
      <c r="BC521">
        <f t="shared" si="317"/>
        <v>0</v>
      </c>
      <c r="BD521">
        <f t="shared" si="318"/>
        <v>0</v>
      </c>
      <c r="BE521">
        <f t="shared" si="319"/>
        <v>0</v>
      </c>
      <c r="BF521">
        <f t="shared" si="320"/>
        <v>0</v>
      </c>
      <c r="BG521">
        <f t="shared" si="321"/>
        <v>0</v>
      </c>
      <c r="BH521">
        <f t="shared" si="322"/>
        <v>0</v>
      </c>
      <c r="BI521">
        <f t="shared" si="323"/>
        <v>0</v>
      </c>
    </row>
    <row r="522" spans="1:61" x14ac:dyDescent="0.35">
      <c r="A522" t="s">
        <v>352</v>
      </c>
      <c r="B522" s="1">
        <v>37314</v>
      </c>
      <c r="C522" s="8" t="s">
        <v>1073</v>
      </c>
      <c r="D522" t="s">
        <v>7</v>
      </c>
      <c r="E522" t="s">
        <v>1074</v>
      </c>
      <c r="F522" t="s">
        <v>45</v>
      </c>
      <c r="G522" t="s">
        <v>64</v>
      </c>
      <c r="H522" s="139">
        <f t="shared" si="297"/>
        <v>1</v>
      </c>
      <c r="I522" t="s">
        <v>234</v>
      </c>
      <c r="J522" t="s">
        <v>245</v>
      </c>
      <c r="K522" s="2">
        <f t="shared" si="300"/>
        <v>6</v>
      </c>
      <c r="L522">
        <v>550000000</v>
      </c>
      <c r="M522" s="2">
        <f t="shared" si="301"/>
        <v>8.7403626894942441</v>
      </c>
      <c r="N522">
        <f t="shared" si="292"/>
        <v>550000000</v>
      </c>
      <c r="O522">
        <v>0</v>
      </c>
      <c r="P522" s="1">
        <v>38796</v>
      </c>
      <c r="Q522" s="89">
        <f t="shared" si="302"/>
        <v>2006</v>
      </c>
      <c r="R522" t="s">
        <v>107</v>
      </c>
      <c r="S522">
        <v>643000000</v>
      </c>
      <c r="T522" s="21">
        <f t="shared" si="294"/>
        <v>4.0602739726027401</v>
      </c>
      <c r="U522">
        <v>6385.66</v>
      </c>
      <c r="V522">
        <f t="shared" si="303"/>
        <v>3.8052737966880943</v>
      </c>
      <c r="W522">
        <v>2001</v>
      </c>
      <c r="X522">
        <v>1</v>
      </c>
      <c r="Y522">
        <f t="shared" si="304"/>
        <v>0.3010299956639812</v>
      </c>
      <c r="Z522" s="45">
        <v>2.99</v>
      </c>
      <c r="AA522" s="9">
        <f t="shared" si="293"/>
        <v>93000000</v>
      </c>
      <c r="AB522" s="15">
        <f t="shared" si="295"/>
        <v>0.16909090909090918</v>
      </c>
      <c r="AC522" s="34">
        <f t="shared" si="305"/>
        <v>6.7848283429978257E-2</v>
      </c>
      <c r="AD522">
        <v>1989.0260631001368</v>
      </c>
      <c r="AE522">
        <f t="shared" si="298"/>
        <v>3.2986404739170001</v>
      </c>
      <c r="AF522">
        <v>5994.5130315500692</v>
      </c>
      <c r="AG522">
        <f t="shared" si="299"/>
        <v>3.7777539086524472</v>
      </c>
      <c r="AH522" s="9">
        <v>693.16666666666697</v>
      </c>
      <c r="AI522" s="9">
        <f t="shared" si="306"/>
        <v>2.8414637553591628</v>
      </c>
      <c r="AJ522">
        <v>85</v>
      </c>
      <c r="AK522" s="23" t="s">
        <v>1075</v>
      </c>
      <c r="AL522" s="42">
        <v>41.359233027230303</v>
      </c>
      <c r="AM522" s="24">
        <v>0.18</v>
      </c>
      <c r="AN522" s="34">
        <f t="shared" si="307"/>
        <v>7.1882007306125359E-2</v>
      </c>
      <c r="AO522">
        <v>1850</v>
      </c>
      <c r="AP522">
        <v>152</v>
      </c>
      <c r="AQ522">
        <v>90</v>
      </c>
      <c r="AR522">
        <v>70</v>
      </c>
      <c r="AS522">
        <f t="shared" si="296"/>
        <v>0</v>
      </c>
      <c r="AT522">
        <f t="shared" si="308"/>
        <v>0</v>
      </c>
      <c r="AU522">
        <f t="shared" si="309"/>
        <v>0</v>
      </c>
      <c r="AV522">
        <f t="shared" si="310"/>
        <v>0</v>
      </c>
      <c r="AW522">
        <f t="shared" si="311"/>
        <v>0</v>
      </c>
      <c r="AX522">
        <f t="shared" si="312"/>
        <v>0</v>
      </c>
      <c r="AY522">
        <f t="shared" si="313"/>
        <v>0</v>
      </c>
      <c r="AZ522">
        <f t="shared" si="314"/>
        <v>0</v>
      </c>
      <c r="BA522">
        <f t="shared" si="315"/>
        <v>0</v>
      </c>
      <c r="BB522">
        <f t="shared" si="316"/>
        <v>0</v>
      </c>
      <c r="BC522">
        <f t="shared" si="317"/>
        <v>0</v>
      </c>
      <c r="BD522">
        <f t="shared" si="318"/>
        <v>0</v>
      </c>
      <c r="BE522">
        <f t="shared" si="319"/>
        <v>1</v>
      </c>
      <c r="BF522">
        <f t="shared" si="320"/>
        <v>0</v>
      </c>
      <c r="BG522">
        <f t="shared" si="321"/>
        <v>0</v>
      </c>
      <c r="BH522">
        <f t="shared" si="322"/>
        <v>0</v>
      </c>
      <c r="BI522">
        <f t="shared" si="323"/>
        <v>0</v>
      </c>
    </row>
    <row r="523" spans="1:61" x14ac:dyDescent="0.35">
      <c r="A523" t="s">
        <v>51</v>
      </c>
      <c r="B523" s="1">
        <v>38796</v>
      </c>
      <c r="C523" t="s">
        <v>1076</v>
      </c>
      <c r="D523" t="s">
        <v>163</v>
      </c>
      <c r="E523" t="s">
        <v>453</v>
      </c>
      <c r="F523" t="s">
        <v>45</v>
      </c>
      <c r="G523" t="s">
        <v>64</v>
      </c>
      <c r="H523" s="139">
        <f t="shared" si="297"/>
        <v>1</v>
      </c>
      <c r="I523" t="s">
        <v>234</v>
      </c>
      <c r="J523" t="s">
        <v>269</v>
      </c>
      <c r="K523" s="2">
        <f t="shared" si="300"/>
        <v>7</v>
      </c>
      <c r="L523">
        <v>418820000</v>
      </c>
      <c r="M523" s="2">
        <f t="shared" si="301"/>
        <v>8.6220274124582019</v>
      </c>
      <c r="N523">
        <f t="shared" si="292"/>
        <v>418820000</v>
      </c>
      <c r="O523">
        <v>0</v>
      </c>
      <c r="P523" s="1">
        <v>40533</v>
      </c>
      <c r="Q523" s="89">
        <f t="shared" si="302"/>
        <v>2010</v>
      </c>
      <c r="R523" t="s">
        <v>107</v>
      </c>
      <c r="S523">
        <v>680000000</v>
      </c>
      <c r="T523" s="21">
        <f t="shared" si="294"/>
        <v>4.7589041095890412</v>
      </c>
      <c r="U523">
        <v>6164.6</v>
      </c>
      <c r="V523">
        <f t="shared" si="303"/>
        <v>3.7899753459779522</v>
      </c>
      <c r="W523">
        <v>2006</v>
      </c>
      <c r="X523">
        <v>0</v>
      </c>
      <c r="Y523">
        <f t="shared" si="304"/>
        <v>0</v>
      </c>
      <c r="Z523" s="45">
        <v>3.18</v>
      </c>
      <c r="AA523" s="9">
        <f t="shared" si="293"/>
        <v>261180000</v>
      </c>
      <c r="AB523" s="15">
        <f t="shared" si="295"/>
        <v>0.62360918771787399</v>
      </c>
      <c r="AC523" s="34">
        <f t="shared" si="305"/>
        <v>0.21048150024803425</v>
      </c>
      <c r="AD523">
        <v>1566.077003121748</v>
      </c>
      <c r="AE523">
        <f t="shared" si="298"/>
        <v>3.1948131122613166</v>
      </c>
      <c r="AF523">
        <v>6768.9906347554625</v>
      </c>
      <c r="AG523">
        <f t="shared" si="299"/>
        <v>3.8305239132290598</v>
      </c>
      <c r="AH523" s="9">
        <v>583.83333333333303</v>
      </c>
      <c r="AI523" s="9">
        <f t="shared" si="306"/>
        <v>2.7670321178317625</v>
      </c>
      <c r="AJ523">
        <v>88</v>
      </c>
      <c r="AK523" s="23" t="s">
        <v>520</v>
      </c>
      <c r="AL523" s="42">
        <v>52.875711995394298</v>
      </c>
      <c r="AM523" s="24">
        <v>-0.04</v>
      </c>
      <c r="AN523" s="34">
        <f t="shared" si="307"/>
        <v>-1.7728766960431602E-2</v>
      </c>
      <c r="AO523">
        <v>2009</v>
      </c>
      <c r="AP523">
        <v>0</v>
      </c>
      <c r="AQ523">
        <v>85</v>
      </c>
      <c r="AR523">
        <v>80</v>
      </c>
      <c r="AS523">
        <f t="shared" si="296"/>
        <v>0</v>
      </c>
      <c r="AT523">
        <f t="shared" si="308"/>
        <v>0</v>
      </c>
      <c r="AU523">
        <f t="shared" si="309"/>
        <v>0</v>
      </c>
      <c r="AV523">
        <f t="shared" si="310"/>
        <v>0</v>
      </c>
      <c r="AW523">
        <f t="shared" si="311"/>
        <v>0</v>
      </c>
      <c r="AX523">
        <f t="shared" si="312"/>
        <v>0</v>
      </c>
      <c r="AY523">
        <f t="shared" si="313"/>
        <v>0</v>
      </c>
      <c r="AZ523">
        <f t="shared" si="314"/>
        <v>1</v>
      </c>
      <c r="BA523">
        <f t="shared" si="315"/>
        <v>0</v>
      </c>
      <c r="BB523">
        <f t="shared" si="316"/>
        <v>0</v>
      </c>
      <c r="BC523">
        <f t="shared" si="317"/>
        <v>0</v>
      </c>
      <c r="BD523">
        <f t="shared" si="318"/>
        <v>0</v>
      </c>
      <c r="BE523">
        <f t="shared" si="319"/>
        <v>0</v>
      </c>
      <c r="BF523">
        <f t="shared" si="320"/>
        <v>0</v>
      </c>
      <c r="BG523">
        <f t="shared" si="321"/>
        <v>0</v>
      </c>
      <c r="BH523">
        <f t="shared" si="322"/>
        <v>0</v>
      </c>
      <c r="BI523">
        <f t="shared" si="323"/>
        <v>0</v>
      </c>
    </row>
    <row r="524" spans="1:61" x14ac:dyDescent="0.35">
      <c r="A524" t="s">
        <v>1077</v>
      </c>
      <c r="B524" s="1">
        <v>38463</v>
      </c>
      <c r="C524" t="s">
        <v>1078</v>
      </c>
      <c r="D524" t="s">
        <v>163</v>
      </c>
      <c r="E524" t="s">
        <v>1079</v>
      </c>
      <c r="F524" t="s">
        <v>163</v>
      </c>
      <c r="G524" t="s">
        <v>47</v>
      </c>
      <c r="H524" s="139">
        <f t="shared" si="297"/>
        <v>0</v>
      </c>
      <c r="I524" t="s">
        <v>234</v>
      </c>
      <c r="J524" t="s">
        <v>326</v>
      </c>
      <c r="K524" s="2">
        <f t="shared" si="300"/>
        <v>8</v>
      </c>
      <c r="L524">
        <v>155000000</v>
      </c>
      <c r="M524" s="2">
        <f t="shared" si="301"/>
        <v>8.1903316981702918</v>
      </c>
      <c r="N524">
        <f t="shared" si="292"/>
        <v>155000000</v>
      </c>
      <c r="O524">
        <v>0</v>
      </c>
      <c r="P524" s="1">
        <v>39263</v>
      </c>
      <c r="Q524" s="89">
        <f t="shared" si="302"/>
        <v>2007</v>
      </c>
      <c r="R524" t="s">
        <v>107</v>
      </c>
      <c r="S524">
        <v>296600000</v>
      </c>
      <c r="T524" s="21">
        <f t="shared" si="294"/>
        <v>2.1917808219178081</v>
      </c>
      <c r="U524">
        <v>0</v>
      </c>
      <c r="V524">
        <f t="shared" si="303"/>
        <v>0</v>
      </c>
      <c r="W524">
        <v>1946</v>
      </c>
      <c r="X524">
        <v>59</v>
      </c>
      <c r="Y524">
        <f t="shared" si="304"/>
        <v>1.7781512503836436</v>
      </c>
      <c r="Z524" s="45">
        <v>3.18</v>
      </c>
      <c r="AA524" s="9">
        <f t="shared" si="293"/>
        <v>141600000</v>
      </c>
      <c r="AB524" s="15">
        <f t="shared" si="295"/>
        <v>0.91354838709677422</v>
      </c>
      <c r="AC524" s="34">
        <f t="shared" si="305"/>
        <v>0.28183944852207177</v>
      </c>
      <c r="AD524">
        <v>1213.5329999999999</v>
      </c>
      <c r="AE524">
        <f t="shared" si="298"/>
        <v>3.0840515907405019</v>
      </c>
      <c r="AF524">
        <v>8035.9219999999996</v>
      </c>
      <c r="AG524">
        <f t="shared" si="299"/>
        <v>3.9050357126538633</v>
      </c>
      <c r="AH524" s="9">
        <v>0</v>
      </c>
      <c r="AI524" s="9">
        <f t="shared" si="306"/>
        <v>0</v>
      </c>
      <c r="AJ524">
        <v>70</v>
      </c>
      <c r="AK524" s="23" t="s">
        <v>430</v>
      </c>
      <c r="AL524" s="42">
        <v>53.2941466273667</v>
      </c>
      <c r="AM524" s="24">
        <v>0.3</v>
      </c>
      <c r="AN524" s="34">
        <f t="shared" si="307"/>
        <v>0.11394335230683679</v>
      </c>
      <c r="AO524">
        <v>1994</v>
      </c>
      <c r="AP524">
        <v>11</v>
      </c>
      <c r="AQ524">
        <v>85</v>
      </c>
      <c r="AR524">
        <v>80</v>
      </c>
      <c r="AS524">
        <f t="shared" si="296"/>
        <v>0</v>
      </c>
      <c r="AT524">
        <f t="shared" si="308"/>
        <v>0</v>
      </c>
      <c r="AU524">
        <f t="shared" si="309"/>
        <v>0</v>
      </c>
      <c r="AV524">
        <f t="shared" si="310"/>
        <v>0</v>
      </c>
      <c r="AW524">
        <f t="shared" si="311"/>
        <v>0</v>
      </c>
      <c r="AX524">
        <f t="shared" si="312"/>
        <v>0</v>
      </c>
      <c r="AY524">
        <f t="shared" si="313"/>
        <v>0</v>
      </c>
      <c r="AZ524">
        <f t="shared" si="314"/>
        <v>1</v>
      </c>
      <c r="BA524">
        <f t="shared" si="315"/>
        <v>0</v>
      </c>
      <c r="BB524">
        <f t="shared" si="316"/>
        <v>0</v>
      </c>
      <c r="BC524">
        <f t="shared" si="317"/>
        <v>0</v>
      </c>
      <c r="BD524">
        <f t="shared" si="318"/>
        <v>0</v>
      </c>
      <c r="BE524">
        <f t="shared" si="319"/>
        <v>0</v>
      </c>
      <c r="BF524">
        <f t="shared" si="320"/>
        <v>0</v>
      </c>
      <c r="BG524">
        <f t="shared" si="321"/>
        <v>0</v>
      </c>
      <c r="BH524">
        <f t="shared" si="322"/>
        <v>0</v>
      </c>
      <c r="BI524">
        <f t="shared" si="323"/>
        <v>0</v>
      </c>
    </row>
    <row r="525" spans="1:61" x14ac:dyDescent="0.35">
      <c r="A525" t="s">
        <v>1080</v>
      </c>
      <c r="B525" s="1">
        <v>41556</v>
      </c>
      <c r="C525" t="s">
        <v>1081</v>
      </c>
      <c r="D525" t="s">
        <v>163</v>
      </c>
      <c r="E525" t="s">
        <v>1082</v>
      </c>
      <c r="F525" t="s">
        <v>163</v>
      </c>
      <c r="G525" t="s">
        <v>47</v>
      </c>
      <c r="H525" s="139">
        <f t="shared" si="297"/>
        <v>0</v>
      </c>
      <c r="I525" t="s">
        <v>234</v>
      </c>
      <c r="J525" t="s">
        <v>269</v>
      </c>
      <c r="K525" s="2">
        <f t="shared" si="300"/>
        <v>7</v>
      </c>
      <c r="L525">
        <v>350000000</v>
      </c>
      <c r="M525" s="2">
        <f t="shared" si="301"/>
        <v>8.5440680443502757</v>
      </c>
      <c r="N525">
        <f t="shared" si="292"/>
        <v>350000000</v>
      </c>
      <c r="O525">
        <v>0</v>
      </c>
      <c r="P525" s="1">
        <v>42767</v>
      </c>
      <c r="Q525" s="89">
        <f t="shared" si="302"/>
        <v>2017</v>
      </c>
      <c r="R525" t="s">
        <v>107</v>
      </c>
      <c r="S525">
        <v>495000000</v>
      </c>
      <c r="T525" s="21">
        <f t="shared" si="294"/>
        <v>3.3178082191780822</v>
      </c>
      <c r="U525">
        <v>0</v>
      </c>
      <c r="V525">
        <f t="shared" si="303"/>
        <v>0</v>
      </c>
      <c r="W525">
        <v>1898</v>
      </c>
      <c r="X525">
        <v>115</v>
      </c>
      <c r="Y525">
        <f t="shared" si="304"/>
        <v>2.0644579892269186</v>
      </c>
      <c r="Z525" s="45">
        <v>3.18</v>
      </c>
      <c r="AA525" s="9">
        <f t="shared" si="293"/>
        <v>145000000</v>
      </c>
      <c r="AB525" s="15">
        <f t="shared" si="295"/>
        <v>0.41428571428571437</v>
      </c>
      <c r="AC525" s="34">
        <f t="shared" si="305"/>
        <v>0.15053715458329311</v>
      </c>
      <c r="AD525">
        <v>1213.5329999999999</v>
      </c>
      <c r="AE525">
        <f t="shared" si="298"/>
        <v>3.0840515907405019</v>
      </c>
      <c r="AF525">
        <v>8035.9219999999996</v>
      </c>
      <c r="AG525">
        <f t="shared" si="299"/>
        <v>3.9050357126538633</v>
      </c>
      <c r="AH525" s="9">
        <v>0</v>
      </c>
      <c r="AI525" s="9">
        <f t="shared" si="306"/>
        <v>0</v>
      </c>
      <c r="AJ525">
        <v>84</v>
      </c>
      <c r="AK525" s="23" t="s">
        <v>662</v>
      </c>
      <c r="AL525" s="42">
        <v>57.2278620378247</v>
      </c>
      <c r="AM525" s="24">
        <v>0.38</v>
      </c>
      <c r="AN525" s="34">
        <f t="shared" si="307"/>
        <v>0.13987908640123647</v>
      </c>
      <c r="AO525">
        <v>1994</v>
      </c>
      <c r="AP525">
        <v>19</v>
      </c>
      <c r="AQ525">
        <v>85</v>
      </c>
      <c r="AR525">
        <v>80</v>
      </c>
      <c r="AS525">
        <f t="shared" si="296"/>
        <v>0</v>
      </c>
      <c r="AT525">
        <f t="shared" si="308"/>
        <v>0</v>
      </c>
      <c r="AU525">
        <f t="shared" si="309"/>
        <v>0</v>
      </c>
      <c r="AV525">
        <f t="shared" si="310"/>
        <v>0</v>
      </c>
      <c r="AW525">
        <f t="shared" si="311"/>
        <v>0</v>
      </c>
      <c r="AX525">
        <f t="shared" si="312"/>
        <v>0</v>
      </c>
      <c r="AY525">
        <f t="shared" si="313"/>
        <v>0</v>
      </c>
      <c r="AZ525">
        <f t="shared" si="314"/>
        <v>1</v>
      </c>
      <c r="BA525">
        <f t="shared" si="315"/>
        <v>0</v>
      </c>
      <c r="BB525">
        <f t="shared" si="316"/>
        <v>0</v>
      </c>
      <c r="BC525">
        <f t="shared" si="317"/>
        <v>0</v>
      </c>
      <c r="BD525">
        <f t="shared" si="318"/>
        <v>0</v>
      </c>
      <c r="BE525">
        <f t="shared" si="319"/>
        <v>0</v>
      </c>
      <c r="BF525">
        <f t="shared" si="320"/>
        <v>0</v>
      </c>
      <c r="BG525">
        <f t="shared" si="321"/>
        <v>0</v>
      </c>
      <c r="BH525">
        <f t="shared" si="322"/>
        <v>0</v>
      </c>
      <c r="BI525">
        <f t="shared" si="323"/>
        <v>0</v>
      </c>
    </row>
    <row r="526" spans="1:61" x14ac:dyDescent="0.35">
      <c r="A526" t="s">
        <v>51</v>
      </c>
      <c r="B526" s="1">
        <v>37728</v>
      </c>
      <c r="C526" t="s">
        <v>1083</v>
      </c>
      <c r="D526" t="s">
        <v>163</v>
      </c>
      <c r="E526" t="s">
        <v>1084</v>
      </c>
      <c r="F526" t="s">
        <v>163</v>
      </c>
      <c r="G526" t="s">
        <v>47</v>
      </c>
      <c r="H526" s="139">
        <f t="shared" si="297"/>
        <v>0</v>
      </c>
      <c r="I526" t="s">
        <v>234</v>
      </c>
      <c r="J526" t="s">
        <v>235</v>
      </c>
      <c r="K526" s="2">
        <f t="shared" si="300"/>
        <v>1</v>
      </c>
      <c r="L526">
        <v>153890000</v>
      </c>
      <c r="M526" s="2">
        <f t="shared" si="301"/>
        <v>8.187210399650052</v>
      </c>
      <c r="N526">
        <f t="shared" si="292"/>
        <v>153890000</v>
      </c>
      <c r="O526">
        <v>0</v>
      </c>
      <c r="P526" s="1">
        <v>38673</v>
      </c>
      <c r="Q526" s="89">
        <f t="shared" si="302"/>
        <v>2005</v>
      </c>
      <c r="R526" t="s">
        <v>54</v>
      </c>
      <c r="S526">
        <v>250000000</v>
      </c>
      <c r="T526" s="21">
        <f t="shared" si="294"/>
        <v>2.5890410958904111</v>
      </c>
      <c r="U526">
        <v>0</v>
      </c>
      <c r="V526">
        <f t="shared" si="303"/>
        <v>0</v>
      </c>
      <c r="W526">
        <v>1901</v>
      </c>
      <c r="X526">
        <v>102</v>
      </c>
      <c r="Y526">
        <f t="shared" si="304"/>
        <v>2.012837224705172</v>
      </c>
      <c r="Z526" s="45">
        <v>3.18</v>
      </c>
      <c r="AA526" s="9">
        <f t="shared" si="293"/>
        <v>96110000</v>
      </c>
      <c r="AB526" s="15">
        <f t="shared" si="295"/>
        <v>0.62453700695301828</v>
      </c>
      <c r="AC526" s="34">
        <f t="shared" si="305"/>
        <v>0.2107296090219849</v>
      </c>
      <c r="AD526">
        <v>1213.5329999999999</v>
      </c>
      <c r="AE526">
        <f t="shared" si="298"/>
        <v>3.0840515907405019</v>
      </c>
      <c r="AF526">
        <v>8035.9219999999996</v>
      </c>
      <c r="AG526">
        <f t="shared" si="299"/>
        <v>3.9050357126538633</v>
      </c>
      <c r="AH526" s="9">
        <v>0</v>
      </c>
      <c r="AI526" s="9">
        <f t="shared" si="306"/>
        <v>0</v>
      </c>
      <c r="AJ526">
        <v>70</v>
      </c>
      <c r="AK526" s="23" t="s">
        <v>166</v>
      </c>
      <c r="AL526" s="42">
        <v>53.270504198897903</v>
      </c>
      <c r="AM526" s="24">
        <v>0.39</v>
      </c>
      <c r="AN526" s="34">
        <f t="shared" si="307"/>
        <v>0.14301480025409513</v>
      </c>
      <c r="AO526">
        <v>1994</v>
      </c>
      <c r="AP526">
        <v>9</v>
      </c>
      <c r="AQ526">
        <v>85</v>
      </c>
      <c r="AR526">
        <v>80</v>
      </c>
      <c r="AS526">
        <f t="shared" si="296"/>
        <v>0</v>
      </c>
      <c r="AT526">
        <f t="shared" si="308"/>
        <v>0</v>
      </c>
      <c r="AU526">
        <f t="shared" si="309"/>
        <v>0</v>
      </c>
      <c r="AV526">
        <f t="shared" si="310"/>
        <v>0</v>
      </c>
      <c r="AW526">
        <f t="shared" si="311"/>
        <v>0</v>
      </c>
      <c r="AX526">
        <f t="shared" si="312"/>
        <v>0</v>
      </c>
      <c r="AY526">
        <f t="shared" si="313"/>
        <v>0</v>
      </c>
      <c r="AZ526">
        <f t="shared" si="314"/>
        <v>1</v>
      </c>
      <c r="BA526">
        <f t="shared" si="315"/>
        <v>0</v>
      </c>
      <c r="BB526">
        <f t="shared" si="316"/>
        <v>0</v>
      </c>
      <c r="BC526">
        <f t="shared" si="317"/>
        <v>0</v>
      </c>
      <c r="BD526">
        <f t="shared" si="318"/>
        <v>0</v>
      </c>
      <c r="BE526">
        <f t="shared" si="319"/>
        <v>0</v>
      </c>
      <c r="BF526">
        <f t="shared" si="320"/>
        <v>0</v>
      </c>
      <c r="BG526">
        <f t="shared" si="321"/>
        <v>0</v>
      </c>
      <c r="BH526">
        <f t="shared" si="322"/>
        <v>0</v>
      </c>
      <c r="BI526">
        <f t="shared" si="323"/>
        <v>0</v>
      </c>
    </row>
    <row r="527" spans="1:61" x14ac:dyDescent="0.35">
      <c r="A527" t="s">
        <v>1085</v>
      </c>
      <c r="B527" s="1">
        <v>40908</v>
      </c>
      <c r="C527" t="s">
        <v>1086</v>
      </c>
      <c r="D527" t="s">
        <v>163</v>
      </c>
      <c r="E527" t="s">
        <v>1087</v>
      </c>
      <c r="F527" t="s">
        <v>163</v>
      </c>
      <c r="G527" t="s">
        <v>47</v>
      </c>
      <c r="H527" s="139">
        <f t="shared" si="297"/>
        <v>0</v>
      </c>
      <c r="I527" t="s">
        <v>234</v>
      </c>
      <c r="J527" t="s">
        <v>326</v>
      </c>
      <c r="K527" s="2">
        <f t="shared" si="300"/>
        <v>8</v>
      </c>
      <c r="L527">
        <v>240000000</v>
      </c>
      <c r="M527" s="2">
        <f t="shared" si="301"/>
        <v>8.3802112417116064</v>
      </c>
      <c r="N527">
        <f t="shared" si="292"/>
        <v>240000000</v>
      </c>
      <c r="O527">
        <v>0</v>
      </c>
      <c r="P527" s="1">
        <v>42544</v>
      </c>
      <c r="Q527" s="89">
        <f t="shared" si="302"/>
        <v>2016</v>
      </c>
      <c r="R527" t="s">
        <v>114</v>
      </c>
      <c r="S527">
        <v>566280000</v>
      </c>
      <c r="T527" s="21">
        <f t="shared" si="294"/>
        <v>4.4821917808219176</v>
      </c>
      <c r="U527">
        <v>0</v>
      </c>
      <c r="V527">
        <f t="shared" si="303"/>
        <v>0</v>
      </c>
      <c r="W527">
        <v>2003</v>
      </c>
      <c r="X527">
        <v>8</v>
      </c>
      <c r="Y527">
        <f t="shared" si="304"/>
        <v>0.95424250943932487</v>
      </c>
      <c r="Z527" s="45">
        <v>3.18</v>
      </c>
      <c r="AA527" s="9">
        <f t="shared" si="293"/>
        <v>326280000</v>
      </c>
      <c r="AB527" s="15">
        <f t="shared" si="295"/>
        <v>1.3595000000000002</v>
      </c>
      <c r="AC527" s="34">
        <f t="shared" si="305"/>
        <v>0.37281998167896813</v>
      </c>
      <c r="AD527">
        <v>1213.5329999999999</v>
      </c>
      <c r="AE527">
        <f t="shared" si="298"/>
        <v>3.0840515907405019</v>
      </c>
      <c r="AF527">
        <v>8035.9219999999996</v>
      </c>
      <c r="AG527">
        <f t="shared" si="299"/>
        <v>3.9050357126538633</v>
      </c>
      <c r="AH527" s="9">
        <v>0</v>
      </c>
      <c r="AI527" s="9">
        <f t="shared" si="306"/>
        <v>0</v>
      </c>
      <c r="AJ527">
        <v>85.6</v>
      </c>
      <c r="AK527" s="23" t="s">
        <v>520</v>
      </c>
      <c r="AL527" s="42">
        <v>56.2907330998475</v>
      </c>
      <c r="AM527" s="24">
        <v>0.68</v>
      </c>
      <c r="AN527" s="34">
        <f t="shared" si="307"/>
        <v>0.2253092817258629</v>
      </c>
      <c r="AO527">
        <v>1994</v>
      </c>
      <c r="AP527">
        <v>17</v>
      </c>
      <c r="AQ527">
        <v>85</v>
      </c>
      <c r="AR527">
        <v>80</v>
      </c>
      <c r="AS527">
        <f t="shared" si="296"/>
        <v>0</v>
      </c>
      <c r="AT527">
        <f t="shared" si="308"/>
        <v>0</v>
      </c>
      <c r="AU527">
        <f t="shared" si="309"/>
        <v>0</v>
      </c>
      <c r="AV527">
        <f t="shared" si="310"/>
        <v>0</v>
      </c>
      <c r="AW527">
        <f t="shared" si="311"/>
        <v>0</v>
      </c>
      <c r="AX527">
        <f t="shared" si="312"/>
        <v>0</v>
      </c>
      <c r="AY527">
        <f t="shared" si="313"/>
        <v>0</v>
      </c>
      <c r="AZ527">
        <f t="shared" si="314"/>
        <v>1</v>
      </c>
      <c r="BA527">
        <f t="shared" si="315"/>
        <v>0</v>
      </c>
      <c r="BB527">
        <f t="shared" si="316"/>
        <v>0</v>
      </c>
      <c r="BC527">
        <f t="shared" si="317"/>
        <v>0</v>
      </c>
      <c r="BD527">
        <f t="shared" si="318"/>
        <v>0</v>
      </c>
      <c r="BE527">
        <f t="shared" si="319"/>
        <v>0</v>
      </c>
      <c r="BF527">
        <f t="shared" si="320"/>
        <v>0</v>
      </c>
      <c r="BG527">
        <f t="shared" si="321"/>
        <v>0</v>
      </c>
      <c r="BH527">
        <f t="shared" si="322"/>
        <v>0</v>
      </c>
      <c r="BI527">
        <f t="shared" si="323"/>
        <v>0</v>
      </c>
    </row>
    <row r="528" spans="1:61" x14ac:dyDescent="0.35">
      <c r="A528" t="s">
        <v>51</v>
      </c>
      <c r="B528" s="1">
        <v>40695</v>
      </c>
      <c r="C528" t="s">
        <v>1088</v>
      </c>
      <c r="D528" t="s">
        <v>163</v>
      </c>
      <c r="E528" t="s">
        <v>668</v>
      </c>
      <c r="F528" t="s">
        <v>163</v>
      </c>
      <c r="G528" t="s">
        <v>47</v>
      </c>
      <c r="H528" s="139">
        <f t="shared" si="297"/>
        <v>0</v>
      </c>
      <c r="I528" t="s">
        <v>234</v>
      </c>
      <c r="J528" t="s">
        <v>235</v>
      </c>
      <c r="K528" s="2">
        <f t="shared" si="300"/>
        <v>1</v>
      </c>
      <c r="L528">
        <v>535000000</v>
      </c>
      <c r="M528" s="2">
        <f t="shared" si="301"/>
        <v>8.7283537820212285</v>
      </c>
      <c r="N528">
        <f t="shared" si="292"/>
        <v>535000000</v>
      </c>
      <c r="O528">
        <v>0</v>
      </c>
      <c r="P528" s="1">
        <v>43153</v>
      </c>
      <c r="Q528" s="89">
        <f t="shared" si="302"/>
        <v>2018</v>
      </c>
      <c r="R528" t="s">
        <v>107</v>
      </c>
      <c r="S528">
        <v>1500000000</v>
      </c>
      <c r="T528" s="21">
        <f t="shared" si="294"/>
        <v>6.7342465753424658</v>
      </c>
      <c r="U528">
        <v>0</v>
      </c>
      <c r="V528">
        <f t="shared" si="303"/>
        <v>0</v>
      </c>
      <c r="W528">
        <v>1980</v>
      </c>
      <c r="X528">
        <v>31</v>
      </c>
      <c r="Y528">
        <f t="shared" si="304"/>
        <v>1.505149978319906</v>
      </c>
      <c r="Z528" s="45">
        <v>3.18</v>
      </c>
      <c r="AA528" s="9">
        <f t="shared" si="293"/>
        <v>965000000</v>
      </c>
      <c r="AB528" s="15">
        <f t="shared" si="295"/>
        <v>1.8037383177570092</v>
      </c>
      <c r="AC528" s="34">
        <f t="shared" si="305"/>
        <v>0.44773747703445277</v>
      </c>
      <c r="AD528">
        <v>1682.164</v>
      </c>
      <c r="AE528">
        <f t="shared" si="298"/>
        <v>3.2258683344006376</v>
      </c>
      <c r="AF528">
        <v>9152.2764999999999</v>
      </c>
      <c r="AG528">
        <f t="shared" si="299"/>
        <v>3.9615291321450066</v>
      </c>
      <c r="AH528" s="9">
        <v>0</v>
      </c>
      <c r="AI528" s="9">
        <f t="shared" si="306"/>
        <v>0</v>
      </c>
      <c r="AJ528">
        <v>85.6</v>
      </c>
      <c r="AK528" s="23" t="s">
        <v>520</v>
      </c>
      <c r="AL528" s="42">
        <v>56.2907330998475</v>
      </c>
      <c r="AM528" s="24">
        <v>1.06</v>
      </c>
      <c r="AN528" s="34">
        <f t="shared" si="307"/>
        <v>0.31386722036915343</v>
      </c>
      <c r="AO528">
        <v>1998</v>
      </c>
      <c r="AP528">
        <v>13</v>
      </c>
      <c r="AQ528">
        <v>85</v>
      </c>
      <c r="AR528">
        <v>80</v>
      </c>
      <c r="AS528">
        <f t="shared" si="296"/>
        <v>0</v>
      </c>
      <c r="AT528">
        <f t="shared" si="308"/>
        <v>0</v>
      </c>
      <c r="AU528">
        <f t="shared" si="309"/>
        <v>0</v>
      </c>
      <c r="AV528">
        <f t="shared" si="310"/>
        <v>0</v>
      </c>
      <c r="AW528">
        <f t="shared" si="311"/>
        <v>0</v>
      </c>
      <c r="AX528">
        <f t="shared" si="312"/>
        <v>0</v>
      </c>
      <c r="AY528">
        <f t="shared" si="313"/>
        <v>0</v>
      </c>
      <c r="AZ528">
        <f t="shared" si="314"/>
        <v>1</v>
      </c>
      <c r="BA528">
        <f t="shared" si="315"/>
        <v>0</v>
      </c>
      <c r="BB528">
        <f t="shared" si="316"/>
        <v>0</v>
      </c>
      <c r="BC528">
        <f t="shared" si="317"/>
        <v>0</v>
      </c>
      <c r="BD528">
        <f t="shared" si="318"/>
        <v>0</v>
      </c>
      <c r="BE528">
        <f t="shared" si="319"/>
        <v>0</v>
      </c>
      <c r="BF528">
        <f t="shared" si="320"/>
        <v>0</v>
      </c>
      <c r="BG528">
        <f t="shared" si="321"/>
        <v>0</v>
      </c>
      <c r="BH528">
        <f t="shared" si="322"/>
        <v>0</v>
      </c>
      <c r="BI528">
        <f t="shared" si="323"/>
        <v>0</v>
      </c>
    </row>
    <row r="529" spans="1:61" x14ac:dyDescent="0.35">
      <c r="A529" t="s">
        <v>51</v>
      </c>
      <c r="B529" s="1">
        <v>38925</v>
      </c>
      <c r="C529" t="s">
        <v>1089</v>
      </c>
      <c r="D529" t="s">
        <v>163</v>
      </c>
      <c r="E529" t="s">
        <v>1090</v>
      </c>
      <c r="F529" t="s">
        <v>163</v>
      </c>
      <c r="G529" t="s">
        <v>47</v>
      </c>
      <c r="H529" s="139">
        <f t="shared" si="297"/>
        <v>0</v>
      </c>
      <c r="I529" t="s">
        <v>234</v>
      </c>
      <c r="J529" t="s">
        <v>235</v>
      </c>
      <c r="K529" s="2">
        <f t="shared" si="300"/>
        <v>1</v>
      </c>
      <c r="L529">
        <v>1040000000</v>
      </c>
      <c r="M529" s="2">
        <f t="shared" si="301"/>
        <v>9.0170333392987807</v>
      </c>
      <c r="N529">
        <f t="shared" si="292"/>
        <v>1040000000</v>
      </c>
      <c r="O529">
        <v>0</v>
      </c>
      <c r="P529" s="1">
        <v>40785</v>
      </c>
      <c r="Q529" s="89">
        <f t="shared" si="302"/>
        <v>2011</v>
      </c>
      <c r="R529" t="s">
        <v>54</v>
      </c>
      <c r="S529">
        <v>2100000000</v>
      </c>
      <c r="T529" s="21">
        <f t="shared" si="294"/>
        <v>5.095890410958904</v>
      </c>
      <c r="U529">
        <v>0</v>
      </c>
      <c r="V529">
        <f t="shared" si="303"/>
        <v>0</v>
      </c>
      <c r="W529">
        <v>1900</v>
      </c>
      <c r="X529">
        <v>106</v>
      </c>
      <c r="Y529">
        <f t="shared" si="304"/>
        <v>2.0293837776852097</v>
      </c>
      <c r="Z529" s="45">
        <v>3.18</v>
      </c>
      <c r="AA529" s="9">
        <f t="shared" si="293"/>
        <v>1060000000</v>
      </c>
      <c r="AB529" s="15">
        <f t="shared" si="295"/>
        <v>1.0192307692307692</v>
      </c>
      <c r="AC529" s="34">
        <f t="shared" si="305"/>
        <v>0.30518595543513888</v>
      </c>
      <c r="AD529">
        <v>1682.164</v>
      </c>
      <c r="AE529">
        <f t="shared" si="298"/>
        <v>3.2258683344006376</v>
      </c>
      <c r="AF529">
        <v>9152.2764999999999</v>
      </c>
      <c r="AG529">
        <f t="shared" si="299"/>
        <v>3.9615291321450066</v>
      </c>
      <c r="AH529" s="9">
        <v>0</v>
      </c>
      <c r="AI529" s="9">
        <f t="shared" si="306"/>
        <v>0</v>
      </c>
      <c r="AJ529">
        <v>88</v>
      </c>
      <c r="AK529" s="23" t="s">
        <v>520</v>
      </c>
      <c r="AL529" s="42">
        <v>52.875711995394298</v>
      </c>
      <c r="AM529" s="24">
        <v>-0.04</v>
      </c>
      <c r="AN529" s="34">
        <f t="shared" si="307"/>
        <v>-1.7728766960431602E-2</v>
      </c>
      <c r="AO529">
        <v>1998</v>
      </c>
      <c r="AP529">
        <v>8</v>
      </c>
      <c r="AQ529">
        <v>85</v>
      </c>
      <c r="AR529">
        <v>80</v>
      </c>
      <c r="AS529">
        <f t="shared" si="296"/>
        <v>0</v>
      </c>
      <c r="AT529">
        <f t="shared" si="308"/>
        <v>0</v>
      </c>
      <c r="AU529">
        <f t="shared" si="309"/>
        <v>0</v>
      </c>
      <c r="AV529">
        <f t="shared" si="310"/>
        <v>0</v>
      </c>
      <c r="AW529">
        <f t="shared" si="311"/>
        <v>0</v>
      </c>
      <c r="AX529">
        <f t="shared" si="312"/>
        <v>0</v>
      </c>
      <c r="AY529">
        <f t="shared" si="313"/>
        <v>0</v>
      </c>
      <c r="AZ529">
        <f t="shared" si="314"/>
        <v>1</v>
      </c>
      <c r="BA529">
        <f t="shared" si="315"/>
        <v>0</v>
      </c>
      <c r="BB529">
        <f t="shared" si="316"/>
        <v>0</v>
      </c>
      <c r="BC529">
        <f t="shared" si="317"/>
        <v>0</v>
      </c>
      <c r="BD529">
        <f t="shared" si="318"/>
        <v>0</v>
      </c>
      <c r="BE529">
        <f t="shared" si="319"/>
        <v>0</v>
      </c>
      <c r="BF529">
        <f t="shared" si="320"/>
        <v>0</v>
      </c>
      <c r="BG529">
        <f t="shared" si="321"/>
        <v>0</v>
      </c>
      <c r="BH529">
        <f t="shared" si="322"/>
        <v>0</v>
      </c>
      <c r="BI529">
        <f t="shared" si="323"/>
        <v>0</v>
      </c>
    </row>
    <row r="530" spans="1:61" x14ac:dyDescent="0.35">
      <c r="A530" t="s">
        <v>51</v>
      </c>
      <c r="B530" s="1">
        <v>38086</v>
      </c>
      <c r="C530" t="s">
        <v>1091</v>
      </c>
      <c r="D530" t="s">
        <v>163</v>
      </c>
      <c r="E530" t="s">
        <v>672</v>
      </c>
      <c r="F530" t="s">
        <v>163</v>
      </c>
      <c r="G530" t="s">
        <v>47</v>
      </c>
      <c r="H530" s="139">
        <f t="shared" si="297"/>
        <v>0</v>
      </c>
      <c r="I530" t="s">
        <v>234</v>
      </c>
      <c r="J530" t="s">
        <v>248</v>
      </c>
      <c r="K530" s="2">
        <f t="shared" si="300"/>
        <v>5</v>
      </c>
      <c r="L530">
        <f>(48513000+450400000+687000000)</f>
        <v>1185913000</v>
      </c>
      <c r="M530" s="2">
        <f t="shared" si="301"/>
        <v>9.0740528298327821</v>
      </c>
      <c r="N530">
        <f t="shared" si="292"/>
        <v>1185913000</v>
      </c>
      <c r="O530">
        <v>0</v>
      </c>
      <c r="P530" s="1">
        <v>39106</v>
      </c>
      <c r="Q530" s="89">
        <f t="shared" si="302"/>
        <v>2007</v>
      </c>
      <c r="R530" t="s">
        <v>54</v>
      </c>
      <c r="S530">
        <v>3500000000</v>
      </c>
      <c r="T530" s="21">
        <f t="shared" si="294"/>
        <v>2.7945205479452055</v>
      </c>
      <c r="U530">
        <v>0</v>
      </c>
      <c r="V530">
        <f t="shared" si="303"/>
        <v>0</v>
      </c>
      <c r="W530">
        <v>2001</v>
      </c>
      <c r="X530">
        <v>3</v>
      </c>
      <c r="Y530">
        <f t="shared" si="304"/>
        <v>0.6020599913279624</v>
      </c>
      <c r="Z530" s="45">
        <v>3.18</v>
      </c>
      <c r="AA530" s="9">
        <f t="shared" si="293"/>
        <v>2314087000</v>
      </c>
      <c r="AB530" s="15">
        <f t="shared" si="295"/>
        <v>1.9513126173673787</v>
      </c>
      <c r="AC530" s="34">
        <f t="shared" si="305"/>
        <v>0.47001521451749351</v>
      </c>
      <c r="AD530">
        <v>1682.164</v>
      </c>
      <c r="AE530">
        <f t="shared" si="298"/>
        <v>3.2258683344006376</v>
      </c>
      <c r="AF530">
        <v>9152.2764999999999</v>
      </c>
      <c r="AG530">
        <f t="shared" si="299"/>
        <v>3.9615291321450066</v>
      </c>
      <c r="AH530" s="9">
        <v>0</v>
      </c>
      <c r="AI530" s="9">
        <f t="shared" si="306"/>
        <v>0</v>
      </c>
      <c r="AJ530">
        <v>70</v>
      </c>
      <c r="AK530" s="23" t="s">
        <v>243</v>
      </c>
      <c r="AL530" s="42">
        <v>52.984855215816303</v>
      </c>
      <c r="AM530" s="24">
        <v>0.26</v>
      </c>
      <c r="AN530" s="34">
        <f t="shared" si="307"/>
        <v>0.10037054511756291</v>
      </c>
      <c r="AO530">
        <v>1998</v>
      </c>
      <c r="AP530">
        <v>6</v>
      </c>
      <c r="AQ530">
        <v>85</v>
      </c>
      <c r="AR530">
        <v>80</v>
      </c>
      <c r="AS530">
        <f t="shared" si="296"/>
        <v>0</v>
      </c>
      <c r="AT530">
        <f t="shared" si="308"/>
        <v>0</v>
      </c>
      <c r="AU530">
        <f t="shared" si="309"/>
        <v>0</v>
      </c>
      <c r="AV530">
        <f t="shared" si="310"/>
        <v>0</v>
      </c>
      <c r="AW530">
        <f t="shared" si="311"/>
        <v>0</v>
      </c>
      <c r="AX530">
        <f t="shared" si="312"/>
        <v>0</v>
      </c>
      <c r="AY530">
        <f t="shared" si="313"/>
        <v>0</v>
      </c>
      <c r="AZ530">
        <f t="shared" si="314"/>
        <v>1</v>
      </c>
      <c r="BA530">
        <f t="shared" si="315"/>
        <v>0</v>
      </c>
      <c r="BB530">
        <f t="shared" si="316"/>
        <v>0</v>
      </c>
      <c r="BC530">
        <f t="shared" si="317"/>
        <v>0</v>
      </c>
      <c r="BD530">
        <f t="shared" si="318"/>
        <v>0</v>
      </c>
      <c r="BE530">
        <f t="shared" si="319"/>
        <v>0</v>
      </c>
      <c r="BF530">
        <f t="shared" si="320"/>
        <v>0</v>
      </c>
      <c r="BG530">
        <f t="shared" si="321"/>
        <v>0</v>
      </c>
      <c r="BH530">
        <f t="shared" si="322"/>
        <v>0</v>
      </c>
      <c r="BI530">
        <f t="shared" si="323"/>
        <v>0</v>
      </c>
    </row>
    <row r="531" spans="1:61" x14ac:dyDescent="0.35">
      <c r="A531" t="s">
        <v>1092</v>
      </c>
      <c r="B531" s="1">
        <v>37589</v>
      </c>
      <c r="C531" t="s">
        <v>755</v>
      </c>
      <c r="D531" t="s">
        <v>163</v>
      </c>
      <c r="E531" t="s">
        <v>672</v>
      </c>
      <c r="F531" t="s">
        <v>163</v>
      </c>
      <c r="G531" t="s">
        <v>47</v>
      </c>
      <c r="H531" s="139">
        <f t="shared" si="297"/>
        <v>0</v>
      </c>
      <c r="I531" t="s">
        <v>234</v>
      </c>
      <c r="J531" t="s">
        <v>269</v>
      </c>
      <c r="K531" s="2">
        <f t="shared" si="300"/>
        <v>7</v>
      </c>
      <c r="L531">
        <f>(185500000+70500000)</f>
        <v>256000000</v>
      </c>
      <c r="M531" s="2">
        <f t="shared" si="301"/>
        <v>8.40823996531185</v>
      </c>
      <c r="N531">
        <f t="shared" si="292"/>
        <v>256000000</v>
      </c>
      <c r="O531">
        <v>0</v>
      </c>
      <c r="P531" s="1">
        <v>39190</v>
      </c>
      <c r="Q531" s="89">
        <f t="shared" si="302"/>
        <v>2007</v>
      </c>
      <c r="R531" t="s">
        <v>54</v>
      </c>
      <c r="S531">
        <v>579686000</v>
      </c>
      <c r="T531" s="21">
        <f t="shared" si="294"/>
        <v>4.3863013698630136</v>
      </c>
      <c r="U531">
        <v>0</v>
      </c>
      <c r="V531">
        <f t="shared" si="303"/>
        <v>0</v>
      </c>
      <c r="W531">
        <v>1927</v>
      </c>
      <c r="X531">
        <v>75</v>
      </c>
      <c r="Y531">
        <f t="shared" si="304"/>
        <v>1.8808135922807914</v>
      </c>
      <c r="Z531" s="45">
        <v>3.18</v>
      </c>
      <c r="AA531" s="9">
        <f t="shared" si="293"/>
        <v>323686000</v>
      </c>
      <c r="AB531" s="15">
        <f t="shared" si="295"/>
        <v>1.2643984375000001</v>
      </c>
      <c r="AC531" s="34">
        <f t="shared" si="305"/>
        <v>0.35495284653698561</v>
      </c>
      <c r="AD531">
        <v>1682.164</v>
      </c>
      <c r="AE531">
        <f t="shared" si="298"/>
        <v>3.2258683344006376</v>
      </c>
      <c r="AF531">
        <v>9152.2764999999999</v>
      </c>
      <c r="AG531">
        <f t="shared" si="299"/>
        <v>3.9615291321450066</v>
      </c>
      <c r="AH531" s="9">
        <v>0</v>
      </c>
      <c r="AI531" s="9">
        <f t="shared" si="306"/>
        <v>0</v>
      </c>
      <c r="AJ531">
        <v>70</v>
      </c>
      <c r="AK531" s="23" t="s">
        <v>243</v>
      </c>
      <c r="AL531" s="42">
        <v>52.795294707427601</v>
      </c>
      <c r="AM531" s="24">
        <v>0.56999999999999995</v>
      </c>
      <c r="AN531" s="34">
        <f t="shared" si="307"/>
        <v>0.19589965240923368</v>
      </c>
      <c r="AO531">
        <v>1998</v>
      </c>
      <c r="AP531">
        <v>4</v>
      </c>
      <c r="AQ531">
        <v>85</v>
      </c>
      <c r="AR531">
        <v>80</v>
      </c>
      <c r="AS531">
        <f t="shared" si="296"/>
        <v>0</v>
      </c>
      <c r="AT531">
        <f t="shared" si="308"/>
        <v>0</v>
      </c>
      <c r="AU531">
        <f t="shared" si="309"/>
        <v>0</v>
      </c>
      <c r="AV531">
        <f t="shared" si="310"/>
        <v>0</v>
      </c>
      <c r="AW531">
        <f t="shared" si="311"/>
        <v>0</v>
      </c>
      <c r="AX531">
        <f t="shared" si="312"/>
        <v>0</v>
      </c>
      <c r="AY531">
        <f t="shared" si="313"/>
        <v>0</v>
      </c>
      <c r="AZ531">
        <f t="shared" si="314"/>
        <v>1</v>
      </c>
      <c r="BA531">
        <f t="shared" si="315"/>
        <v>0</v>
      </c>
      <c r="BB531">
        <f t="shared" si="316"/>
        <v>0</v>
      </c>
      <c r="BC531">
        <f t="shared" si="317"/>
        <v>0</v>
      </c>
      <c r="BD531">
        <f t="shared" si="318"/>
        <v>0</v>
      </c>
      <c r="BE531">
        <f t="shared" si="319"/>
        <v>0</v>
      </c>
      <c r="BF531">
        <f t="shared" si="320"/>
        <v>0</v>
      </c>
      <c r="BG531">
        <f t="shared" si="321"/>
        <v>0</v>
      </c>
      <c r="BH531">
        <f t="shared" si="322"/>
        <v>0</v>
      </c>
      <c r="BI531">
        <f t="shared" si="323"/>
        <v>0</v>
      </c>
    </row>
    <row r="532" spans="1:61" x14ac:dyDescent="0.35">
      <c r="A532" t="s">
        <v>51</v>
      </c>
      <c r="B532" s="1">
        <v>37512</v>
      </c>
      <c r="C532" t="s">
        <v>1093</v>
      </c>
      <c r="D532" t="s">
        <v>163</v>
      </c>
      <c r="E532" t="s">
        <v>672</v>
      </c>
      <c r="F532" t="s">
        <v>163</v>
      </c>
      <c r="G532" t="s">
        <v>47</v>
      </c>
      <c r="H532" s="139">
        <f t="shared" si="297"/>
        <v>0</v>
      </c>
      <c r="I532" t="s">
        <v>289</v>
      </c>
      <c r="J532" t="s">
        <v>269</v>
      </c>
      <c r="K532" s="2">
        <f t="shared" si="300"/>
        <v>7</v>
      </c>
      <c r="L532">
        <v>555000000</v>
      </c>
      <c r="M532" s="2">
        <f t="shared" si="301"/>
        <v>8.7442929831226763</v>
      </c>
      <c r="N532">
        <f t="shared" si="292"/>
        <v>555000000</v>
      </c>
      <c r="O532">
        <v>0</v>
      </c>
      <c r="P532" s="1">
        <v>38467</v>
      </c>
      <c r="Q532" s="89">
        <f t="shared" si="302"/>
        <v>2005</v>
      </c>
      <c r="R532" t="s">
        <v>107</v>
      </c>
      <c r="S532">
        <v>639000000</v>
      </c>
      <c r="T532" s="21">
        <f t="shared" si="294"/>
        <v>2.6164383561643834</v>
      </c>
      <c r="U532">
        <v>0</v>
      </c>
      <c r="V532">
        <f t="shared" si="303"/>
        <v>0</v>
      </c>
      <c r="W532">
        <v>1950</v>
      </c>
      <c r="X532">
        <v>52</v>
      </c>
      <c r="Y532">
        <f t="shared" si="304"/>
        <v>1.7242758696007889</v>
      </c>
      <c r="Z532" s="45">
        <v>3.18</v>
      </c>
      <c r="AA532" s="9">
        <f t="shared" si="293"/>
        <v>84000000</v>
      </c>
      <c r="AB532" s="15">
        <f t="shared" si="295"/>
        <v>0.15135135135135136</v>
      </c>
      <c r="AC532" s="34">
        <f t="shared" si="305"/>
        <v>6.1207875035723926E-2</v>
      </c>
      <c r="AD532">
        <v>1682.164</v>
      </c>
      <c r="AE532">
        <f t="shared" si="298"/>
        <v>3.2258683344006376</v>
      </c>
      <c r="AF532">
        <v>9152.2764999999999</v>
      </c>
      <c r="AG532">
        <f t="shared" si="299"/>
        <v>3.9615291321450066</v>
      </c>
      <c r="AH532" s="9">
        <v>0</v>
      </c>
      <c r="AI532" s="9">
        <f t="shared" si="306"/>
        <v>0</v>
      </c>
      <c r="AJ532">
        <v>70</v>
      </c>
      <c r="AK532" s="23" t="s">
        <v>243</v>
      </c>
      <c r="AL532" s="42">
        <v>52.795294707427601</v>
      </c>
      <c r="AM532" s="24">
        <v>0.31</v>
      </c>
      <c r="AN532" s="34">
        <f t="shared" si="307"/>
        <v>0.11727129565576427</v>
      </c>
      <c r="AO532">
        <v>1998</v>
      </c>
      <c r="AP532">
        <v>4</v>
      </c>
      <c r="AQ532">
        <v>85</v>
      </c>
      <c r="AR532">
        <v>80</v>
      </c>
      <c r="AS532">
        <f t="shared" si="296"/>
        <v>0</v>
      </c>
      <c r="AT532">
        <f t="shared" si="308"/>
        <v>0</v>
      </c>
      <c r="AU532">
        <f t="shared" si="309"/>
        <v>0</v>
      </c>
      <c r="AV532">
        <f t="shared" si="310"/>
        <v>0</v>
      </c>
      <c r="AW532">
        <f t="shared" si="311"/>
        <v>0</v>
      </c>
      <c r="AX532">
        <f t="shared" si="312"/>
        <v>0</v>
      </c>
      <c r="AY532">
        <f t="shared" si="313"/>
        <v>0</v>
      </c>
      <c r="AZ532">
        <f t="shared" si="314"/>
        <v>1</v>
      </c>
      <c r="BA532">
        <f t="shared" si="315"/>
        <v>0</v>
      </c>
      <c r="BB532">
        <f t="shared" si="316"/>
        <v>0</v>
      </c>
      <c r="BC532">
        <f t="shared" si="317"/>
        <v>0</v>
      </c>
      <c r="BD532">
        <f t="shared" si="318"/>
        <v>0</v>
      </c>
      <c r="BE532">
        <f t="shared" si="319"/>
        <v>0</v>
      </c>
      <c r="BF532">
        <f t="shared" si="320"/>
        <v>0</v>
      </c>
      <c r="BG532">
        <f t="shared" si="321"/>
        <v>0</v>
      </c>
      <c r="BH532">
        <f t="shared" si="322"/>
        <v>0</v>
      </c>
      <c r="BI532">
        <f t="shared" si="323"/>
        <v>0</v>
      </c>
    </row>
    <row r="533" spans="1:61" x14ac:dyDescent="0.35">
      <c r="A533" t="s">
        <v>51</v>
      </c>
      <c r="B533" s="1">
        <v>37453</v>
      </c>
      <c r="C533" t="s">
        <v>734</v>
      </c>
      <c r="D533" t="s">
        <v>163</v>
      </c>
      <c r="E533" t="s">
        <v>672</v>
      </c>
      <c r="F533" t="s">
        <v>163</v>
      </c>
      <c r="G533" t="s">
        <v>47</v>
      </c>
      <c r="H533" s="139">
        <f t="shared" si="297"/>
        <v>0</v>
      </c>
      <c r="I533" t="s">
        <v>234</v>
      </c>
      <c r="J533" t="s">
        <v>248</v>
      </c>
      <c r="K533" s="2">
        <f t="shared" si="300"/>
        <v>5</v>
      </c>
      <c r="L533">
        <v>1500000000</v>
      </c>
      <c r="M533" s="2">
        <f t="shared" si="301"/>
        <v>9.1760912590556813</v>
      </c>
      <c r="N533">
        <f t="shared" si="292"/>
        <v>1500000000</v>
      </c>
      <c r="O533">
        <v>0</v>
      </c>
      <c r="P533" s="1">
        <v>39359</v>
      </c>
      <c r="Q533" s="89">
        <f t="shared" si="302"/>
        <v>2007</v>
      </c>
      <c r="R533" t="s">
        <v>54</v>
      </c>
      <c r="S533">
        <v>2280000000</v>
      </c>
      <c r="T533" s="21">
        <f t="shared" si="294"/>
        <v>5.2219178082191782</v>
      </c>
      <c r="U533">
        <v>0</v>
      </c>
      <c r="V533">
        <f t="shared" si="303"/>
        <v>0</v>
      </c>
      <c r="W533">
        <v>1969</v>
      </c>
      <c r="X533">
        <v>33</v>
      </c>
      <c r="Y533">
        <f t="shared" si="304"/>
        <v>1.5314789170422551</v>
      </c>
      <c r="Z533" s="45">
        <v>3.18</v>
      </c>
      <c r="AA533" s="9">
        <f t="shared" si="293"/>
        <v>780000000</v>
      </c>
      <c r="AB533" s="15">
        <f t="shared" si="295"/>
        <v>0.52</v>
      </c>
      <c r="AC533" s="34">
        <f t="shared" si="305"/>
        <v>0.18184358794477254</v>
      </c>
      <c r="AD533">
        <v>1682.164</v>
      </c>
      <c r="AE533">
        <f t="shared" si="298"/>
        <v>3.2258683344006376</v>
      </c>
      <c r="AF533">
        <v>9152.2764999999999</v>
      </c>
      <c r="AG533">
        <f t="shared" si="299"/>
        <v>3.9615291321450066</v>
      </c>
      <c r="AH533" s="9">
        <v>0</v>
      </c>
      <c r="AI533" s="9">
        <f t="shared" si="306"/>
        <v>0</v>
      </c>
      <c r="AJ533">
        <v>70</v>
      </c>
      <c r="AK533" s="23" t="s">
        <v>243</v>
      </c>
      <c r="AL533" s="42">
        <v>52.795294707427601</v>
      </c>
      <c r="AM533" s="24">
        <v>0.71</v>
      </c>
      <c r="AN533" s="34">
        <f t="shared" si="307"/>
        <v>0.23299611039215382</v>
      </c>
      <c r="AO533">
        <v>1998</v>
      </c>
      <c r="AP533">
        <v>4</v>
      </c>
      <c r="AQ533">
        <v>85</v>
      </c>
      <c r="AR533">
        <v>80</v>
      </c>
      <c r="AS533">
        <f t="shared" si="296"/>
        <v>0</v>
      </c>
      <c r="AT533">
        <f t="shared" si="308"/>
        <v>0</v>
      </c>
      <c r="AU533">
        <f t="shared" si="309"/>
        <v>0</v>
      </c>
      <c r="AV533">
        <f t="shared" si="310"/>
        <v>0</v>
      </c>
      <c r="AW533">
        <f t="shared" si="311"/>
        <v>0</v>
      </c>
      <c r="AX533">
        <f t="shared" si="312"/>
        <v>0</v>
      </c>
      <c r="AY533">
        <f t="shared" si="313"/>
        <v>0</v>
      </c>
      <c r="AZ533">
        <f t="shared" si="314"/>
        <v>1</v>
      </c>
      <c r="BA533">
        <f t="shared" si="315"/>
        <v>0</v>
      </c>
      <c r="BB533">
        <f t="shared" si="316"/>
        <v>0</v>
      </c>
      <c r="BC533">
        <f t="shared" si="317"/>
        <v>0</v>
      </c>
      <c r="BD533">
        <f t="shared" si="318"/>
        <v>0</v>
      </c>
      <c r="BE533">
        <f t="shared" si="319"/>
        <v>0</v>
      </c>
      <c r="BF533">
        <f t="shared" si="320"/>
        <v>0</v>
      </c>
      <c r="BG533">
        <f t="shared" si="321"/>
        <v>0</v>
      </c>
      <c r="BH533">
        <f t="shared" si="322"/>
        <v>0</v>
      </c>
      <c r="BI533">
        <f t="shared" si="323"/>
        <v>0</v>
      </c>
    </row>
    <row r="534" spans="1:61" x14ac:dyDescent="0.35">
      <c r="A534" t="s">
        <v>51</v>
      </c>
      <c r="B534" s="1">
        <v>36978</v>
      </c>
      <c r="C534" t="s">
        <v>1094</v>
      </c>
      <c r="D534" t="s">
        <v>163</v>
      </c>
      <c r="E534" t="s">
        <v>672</v>
      </c>
      <c r="F534" t="s">
        <v>163</v>
      </c>
      <c r="G534" t="s">
        <v>47</v>
      </c>
      <c r="H534" s="139">
        <f t="shared" si="297"/>
        <v>0</v>
      </c>
      <c r="I534" t="s">
        <v>234</v>
      </c>
      <c r="J534" t="s">
        <v>183</v>
      </c>
      <c r="K534" s="2">
        <f t="shared" si="300"/>
        <v>3</v>
      </c>
      <c r="L534">
        <v>520000000</v>
      </c>
      <c r="M534" s="2">
        <f t="shared" si="301"/>
        <v>8.7160033436347994</v>
      </c>
      <c r="N534">
        <f t="shared" si="292"/>
        <v>520000000</v>
      </c>
      <c r="O534">
        <v>0</v>
      </c>
      <c r="P534" s="1">
        <v>38077</v>
      </c>
      <c r="Q534" s="89">
        <f t="shared" si="302"/>
        <v>2004</v>
      </c>
      <c r="R534" t="s">
        <v>107</v>
      </c>
      <c r="S534">
        <v>261800000</v>
      </c>
      <c r="T534" s="21">
        <f t="shared" si="294"/>
        <v>3.010958904109589</v>
      </c>
      <c r="U534">
        <v>0</v>
      </c>
      <c r="V534">
        <f t="shared" si="303"/>
        <v>0</v>
      </c>
      <c r="W534">
        <v>1951</v>
      </c>
      <c r="X534">
        <v>50</v>
      </c>
      <c r="Y534">
        <f t="shared" si="304"/>
        <v>1.7075701760979363</v>
      </c>
      <c r="Z534" s="45">
        <v>3.18</v>
      </c>
      <c r="AA534" s="9">
        <f t="shared" si="293"/>
        <v>-258200000</v>
      </c>
      <c r="AB534" s="15">
        <f t="shared" si="295"/>
        <v>-0.49653846153846148</v>
      </c>
      <c r="AC534" s="34">
        <f t="shared" si="305"/>
        <v>-0.29803370142006214</v>
      </c>
      <c r="AD534">
        <v>1682.164</v>
      </c>
      <c r="AE534">
        <f t="shared" si="298"/>
        <v>3.2258683344006376</v>
      </c>
      <c r="AF534">
        <v>9152.2764999999999</v>
      </c>
      <c r="AG534">
        <f t="shared" si="299"/>
        <v>3.9615291321450066</v>
      </c>
      <c r="AH534" s="9">
        <v>0</v>
      </c>
      <c r="AI534" s="9">
        <f t="shared" si="306"/>
        <v>0</v>
      </c>
      <c r="AJ534">
        <v>70</v>
      </c>
      <c r="AK534" s="23" t="s">
        <v>487</v>
      </c>
      <c r="AL534" s="42">
        <v>51.718307112209096</v>
      </c>
      <c r="AM534" s="24">
        <v>-0.02</v>
      </c>
      <c r="AN534" s="34">
        <f t="shared" si="307"/>
        <v>-8.7739243075051505E-3</v>
      </c>
      <c r="AO534">
        <v>1998</v>
      </c>
      <c r="AP534">
        <v>3</v>
      </c>
      <c r="AQ534">
        <v>85</v>
      </c>
      <c r="AR534">
        <v>80</v>
      </c>
      <c r="AS534">
        <f t="shared" si="296"/>
        <v>0</v>
      </c>
      <c r="AT534">
        <f t="shared" si="308"/>
        <v>0</v>
      </c>
      <c r="AU534">
        <f t="shared" si="309"/>
        <v>0</v>
      </c>
      <c r="AV534">
        <f t="shared" si="310"/>
        <v>0</v>
      </c>
      <c r="AW534">
        <f t="shared" si="311"/>
        <v>0</v>
      </c>
      <c r="AX534">
        <f t="shared" si="312"/>
        <v>0</v>
      </c>
      <c r="AY534">
        <f t="shared" si="313"/>
        <v>0</v>
      </c>
      <c r="AZ534">
        <f t="shared" si="314"/>
        <v>1</v>
      </c>
      <c r="BA534">
        <f t="shared" si="315"/>
        <v>0</v>
      </c>
      <c r="BB534">
        <f t="shared" si="316"/>
        <v>0</v>
      </c>
      <c r="BC534">
        <f t="shared" si="317"/>
        <v>0</v>
      </c>
      <c r="BD534">
        <f t="shared" si="318"/>
        <v>0</v>
      </c>
      <c r="BE534">
        <f t="shared" si="319"/>
        <v>0</v>
      </c>
      <c r="BF534">
        <f t="shared" si="320"/>
        <v>0</v>
      </c>
      <c r="BG534">
        <f t="shared" si="321"/>
        <v>0</v>
      </c>
      <c r="BH534">
        <f t="shared" si="322"/>
        <v>0</v>
      </c>
      <c r="BI534">
        <f t="shared" si="323"/>
        <v>0</v>
      </c>
    </row>
    <row r="535" spans="1:61" x14ac:dyDescent="0.35">
      <c r="A535" t="s">
        <v>51</v>
      </c>
      <c r="B535" s="1">
        <v>36068</v>
      </c>
      <c r="C535" t="s">
        <v>1095</v>
      </c>
      <c r="D535" t="s">
        <v>163</v>
      </c>
      <c r="E535" t="s">
        <v>1096</v>
      </c>
      <c r="F535" t="s">
        <v>163</v>
      </c>
      <c r="G535" t="s">
        <v>47</v>
      </c>
      <c r="H535" s="139">
        <f t="shared" si="297"/>
        <v>0</v>
      </c>
      <c r="I535" t="s">
        <v>234</v>
      </c>
      <c r="J535" t="s">
        <v>248</v>
      </c>
      <c r="K535" s="2">
        <f t="shared" si="300"/>
        <v>5</v>
      </c>
      <c r="L535">
        <v>270000000</v>
      </c>
      <c r="M535" s="2">
        <f t="shared" si="301"/>
        <v>8.4313637641589878</v>
      </c>
      <c r="N535">
        <f t="shared" si="292"/>
        <v>270000000</v>
      </c>
      <c r="O535">
        <v>0</v>
      </c>
      <c r="P535" s="1">
        <v>39013</v>
      </c>
      <c r="Q535" s="89">
        <f t="shared" si="302"/>
        <v>2006</v>
      </c>
      <c r="R535" t="s">
        <v>54</v>
      </c>
      <c r="S535">
        <v>310000000</v>
      </c>
      <c r="T535" s="21">
        <f t="shared" si="294"/>
        <v>8.0684931506849313</v>
      </c>
      <c r="U535">
        <v>0</v>
      </c>
      <c r="V535">
        <f t="shared" si="303"/>
        <v>0</v>
      </c>
      <c r="W535">
        <v>1937</v>
      </c>
      <c r="X535">
        <v>61</v>
      </c>
      <c r="Y535">
        <f t="shared" si="304"/>
        <v>1.7923916894982539</v>
      </c>
      <c r="Z535" s="45">
        <v>3.18</v>
      </c>
      <c r="AA535" s="9">
        <f t="shared" si="293"/>
        <v>40000000</v>
      </c>
      <c r="AB535" s="15">
        <f t="shared" si="295"/>
        <v>0.14814814814814814</v>
      </c>
      <c r="AC535" s="34">
        <f t="shared" si="305"/>
        <v>5.9997929675285368E-2</v>
      </c>
      <c r="AD535">
        <v>1682.164</v>
      </c>
      <c r="AE535">
        <f t="shared" si="298"/>
        <v>3.2258683344006376</v>
      </c>
      <c r="AF535">
        <v>9152.2764999999999</v>
      </c>
      <c r="AG535">
        <f t="shared" si="299"/>
        <v>3.9615291321450066</v>
      </c>
      <c r="AH535" s="9">
        <v>0</v>
      </c>
      <c r="AI535" s="9">
        <f t="shared" si="306"/>
        <v>0</v>
      </c>
      <c r="AJ535">
        <v>85</v>
      </c>
      <c r="AK535" s="23" t="s">
        <v>620</v>
      </c>
      <c r="AL535" s="42">
        <v>52.924485315438503</v>
      </c>
      <c r="AM535" s="24">
        <v>0.35</v>
      </c>
      <c r="AN535" s="34">
        <f t="shared" si="307"/>
        <v>0.13033376849500614</v>
      </c>
      <c r="AO535">
        <v>1998</v>
      </c>
      <c r="AP535">
        <v>0</v>
      </c>
      <c r="AQ535">
        <v>85</v>
      </c>
      <c r="AR535">
        <v>80</v>
      </c>
      <c r="AS535">
        <f t="shared" si="296"/>
        <v>0</v>
      </c>
      <c r="AT535">
        <f t="shared" si="308"/>
        <v>0</v>
      </c>
      <c r="AU535">
        <f t="shared" si="309"/>
        <v>0</v>
      </c>
      <c r="AV535">
        <f t="shared" si="310"/>
        <v>0</v>
      </c>
      <c r="AW535">
        <f t="shared" si="311"/>
        <v>0</v>
      </c>
      <c r="AX535">
        <f t="shared" si="312"/>
        <v>0</v>
      </c>
      <c r="AY535">
        <f t="shared" si="313"/>
        <v>0</v>
      </c>
      <c r="AZ535">
        <f t="shared" si="314"/>
        <v>1</v>
      </c>
      <c r="BA535">
        <f t="shared" si="315"/>
        <v>0</v>
      </c>
      <c r="BB535">
        <f t="shared" si="316"/>
        <v>0</v>
      </c>
      <c r="BC535">
        <f t="shared" si="317"/>
        <v>0</v>
      </c>
      <c r="BD535">
        <f t="shared" si="318"/>
        <v>0</v>
      </c>
      <c r="BE535">
        <f t="shared" si="319"/>
        <v>0</v>
      </c>
      <c r="BF535">
        <f t="shared" si="320"/>
        <v>0</v>
      </c>
      <c r="BG535">
        <f t="shared" si="321"/>
        <v>0</v>
      </c>
      <c r="BH535">
        <f t="shared" si="322"/>
        <v>0</v>
      </c>
      <c r="BI535">
        <f t="shared" si="323"/>
        <v>0</v>
      </c>
    </row>
    <row r="536" spans="1:61" x14ac:dyDescent="0.35">
      <c r="A536" t="s">
        <v>51</v>
      </c>
      <c r="B536" s="1">
        <v>40178</v>
      </c>
      <c r="C536" t="s">
        <v>1097</v>
      </c>
      <c r="D536" t="s">
        <v>2</v>
      </c>
      <c r="E536" t="s">
        <v>1098</v>
      </c>
      <c r="F536" t="s">
        <v>577</v>
      </c>
      <c r="G536" t="s">
        <v>64</v>
      </c>
      <c r="H536" s="139">
        <f t="shared" si="297"/>
        <v>1</v>
      </c>
      <c r="I536" t="s">
        <v>234</v>
      </c>
      <c r="J536" t="s">
        <v>235</v>
      </c>
      <c r="K536" s="2">
        <f t="shared" si="300"/>
        <v>1</v>
      </c>
      <c r="L536">
        <v>145000000</v>
      </c>
      <c r="M536" s="2">
        <f t="shared" si="301"/>
        <v>8.1613680022349744</v>
      </c>
      <c r="N536">
        <f t="shared" si="292"/>
        <v>145000000</v>
      </c>
      <c r="O536">
        <v>0</v>
      </c>
      <c r="P536" s="1">
        <v>41050</v>
      </c>
      <c r="Q536" s="89">
        <f t="shared" si="302"/>
        <v>2012</v>
      </c>
      <c r="R536" t="s">
        <v>107</v>
      </c>
      <c r="S536">
        <v>250000000</v>
      </c>
      <c r="T536" s="21">
        <f t="shared" si="294"/>
        <v>2.3890410958904109</v>
      </c>
      <c r="U536">
        <v>854.67</v>
      </c>
      <c r="V536">
        <f t="shared" si="303"/>
        <v>2.9323063057851897</v>
      </c>
      <c r="W536">
        <v>1950</v>
      </c>
      <c r="X536">
        <v>59</v>
      </c>
      <c r="Y536">
        <f t="shared" si="304"/>
        <v>1.7781512503836436</v>
      </c>
      <c r="Z536" s="45">
        <v>3.5</v>
      </c>
      <c r="AA536" s="9">
        <f t="shared" si="293"/>
        <v>105000000</v>
      </c>
      <c r="AB536" s="15">
        <f t="shared" si="295"/>
        <v>0.72413793103448265</v>
      </c>
      <c r="AC536" s="34">
        <f t="shared" si="305"/>
        <v>0.23657200643706269</v>
      </c>
      <c r="AD536">
        <v>2288.1257948895832</v>
      </c>
      <c r="AE536">
        <f t="shared" si="298"/>
        <v>3.359479897098526</v>
      </c>
      <c r="AF536">
        <v>8582.4950861371235</v>
      </c>
      <c r="AG536">
        <f t="shared" si="299"/>
        <v>3.9336135634448146</v>
      </c>
      <c r="AH536" s="132">
        <v>854.66666666666663</v>
      </c>
      <c r="AI536" s="9">
        <f t="shared" si="306"/>
        <v>2.9323046139517808</v>
      </c>
      <c r="AJ536">
        <v>90.3</v>
      </c>
      <c r="AK536" s="23" t="s">
        <v>521</v>
      </c>
      <c r="AL536" s="42">
        <v>47.576210837790804</v>
      </c>
      <c r="AM536" s="24">
        <v>0.18</v>
      </c>
      <c r="AN536" s="34">
        <f t="shared" si="307"/>
        <v>7.1882007306125359E-2</v>
      </c>
      <c r="AO536">
        <v>1997</v>
      </c>
      <c r="AP536">
        <v>12</v>
      </c>
      <c r="AQ536">
        <v>70</v>
      </c>
      <c r="AR536">
        <v>70</v>
      </c>
      <c r="AS536">
        <f t="shared" si="296"/>
        <v>0</v>
      </c>
      <c r="AT536">
        <f t="shared" si="308"/>
        <v>0</v>
      </c>
      <c r="AU536">
        <f t="shared" si="309"/>
        <v>0</v>
      </c>
      <c r="AV536">
        <f t="shared" si="310"/>
        <v>0</v>
      </c>
      <c r="AW536">
        <f t="shared" si="311"/>
        <v>0</v>
      </c>
      <c r="AX536">
        <f t="shared" si="312"/>
        <v>0</v>
      </c>
      <c r="AY536">
        <f t="shared" si="313"/>
        <v>0</v>
      </c>
      <c r="AZ536">
        <f t="shared" si="314"/>
        <v>0</v>
      </c>
      <c r="BA536">
        <f t="shared" si="315"/>
        <v>0</v>
      </c>
      <c r="BB536">
        <f t="shared" si="316"/>
        <v>1</v>
      </c>
      <c r="BC536">
        <f t="shared" si="317"/>
        <v>0</v>
      </c>
      <c r="BD536">
        <f t="shared" si="318"/>
        <v>0</v>
      </c>
      <c r="BE536">
        <f t="shared" si="319"/>
        <v>0</v>
      </c>
      <c r="BF536">
        <f t="shared" si="320"/>
        <v>0</v>
      </c>
      <c r="BG536">
        <f t="shared" si="321"/>
        <v>0</v>
      </c>
      <c r="BH536">
        <f t="shared" si="322"/>
        <v>0</v>
      </c>
      <c r="BI536">
        <f t="shared" si="323"/>
        <v>0</v>
      </c>
    </row>
    <row r="537" spans="1:61" x14ac:dyDescent="0.35">
      <c r="A537" t="s">
        <v>1099</v>
      </c>
      <c r="B537" s="1">
        <v>39087</v>
      </c>
      <c r="C537" s="12" t="s">
        <v>1100</v>
      </c>
      <c r="D537" t="s">
        <v>2</v>
      </c>
      <c r="E537" t="s">
        <v>1101</v>
      </c>
      <c r="F537" t="s">
        <v>577</v>
      </c>
      <c r="G537" t="s">
        <v>64</v>
      </c>
      <c r="H537" s="139">
        <f t="shared" si="297"/>
        <v>1</v>
      </c>
      <c r="I537" t="s">
        <v>234</v>
      </c>
      <c r="J537" t="s">
        <v>248</v>
      </c>
      <c r="K537" s="2">
        <f t="shared" si="300"/>
        <v>5</v>
      </c>
      <c r="L537">
        <v>30220000</v>
      </c>
      <c r="M537" s="2">
        <f t="shared" si="301"/>
        <v>7.4802944600030061</v>
      </c>
      <c r="N537">
        <v>39490000</v>
      </c>
      <c r="O537">
        <v>-9270000</v>
      </c>
      <c r="P537" s="1">
        <v>39883</v>
      </c>
      <c r="Q537" s="89">
        <f t="shared" si="302"/>
        <v>2009</v>
      </c>
      <c r="R537" t="s">
        <v>1102</v>
      </c>
      <c r="S537">
        <v>0</v>
      </c>
      <c r="T537" s="21">
        <f t="shared" si="294"/>
        <v>2.1808219178082191</v>
      </c>
      <c r="U537">
        <v>854.67</v>
      </c>
      <c r="V537">
        <f t="shared" si="303"/>
        <v>2.9323063057851897</v>
      </c>
      <c r="W537">
        <v>1985</v>
      </c>
      <c r="X537">
        <v>22</v>
      </c>
      <c r="Y537">
        <f t="shared" si="304"/>
        <v>1.3617278360175928</v>
      </c>
      <c r="Z537" s="45">
        <v>3.5</v>
      </c>
      <c r="AA537" s="9">
        <f t="shared" si="293"/>
        <v>-39490000</v>
      </c>
      <c r="AB537" s="15">
        <f t="shared" si="295"/>
        <v>-1</v>
      </c>
      <c r="AC537" s="34">
        <f t="shared" si="305"/>
        <v>-1</v>
      </c>
      <c r="AD537">
        <v>2288.1257948895832</v>
      </c>
      <c r="AE537">
        <f t="shared" si="298"/>
        <v>3.359479897098526</v>
      </c>
      <c r="AF537">
        <v>8582.4950861371235</v>
      </c>
      <c r="AG537">
        <f t="shared" si="299"/>
        <v>3.9336135634448146</v>
      </c>
      <c r="AH537" s="131">
        <v>854.66666666666663</v>
      </c>
      <c r="AI537" s="9">
        <f t="shared" si="306"/>
        <v>2.9323046139517808</v>
      </c>
      <c r="AJ537">
        <v>88.9</v>
      </c>
      <c r="AK537" s="23" t="s">
        <v>126</v>
      </c>
      <c r="AL537" s="42">
        <v>42.817370475444001</v>
      </c>
      <c r="AM537" s="24">
        <v>-0.49</v>
      </c>
      <c r="AN537" s="34">
        <f t="shared" si="307"/>
        <v>-0.29242982390206362</v>
      </c>
      <c r="AO537">
        <v>1997</v>
      </c>
      <c r="AP537">
        <v>10</v>
      </c>
      <c r="AQ537">
        <v>70</v>
      </c>
      <c r="AR537">
        <v>70</v>
      </c>
      <c r="AS537">
        <f t="shared" si="296"/>
        <v>1</v>
      </c>
      <c r="AT537">
        <f t="shared" si="308"/>
        <v>0</v>
      </c>
      <c r="AU537">
        <f t="shared" si="309"/>
        <v>0</v>
      </c>
      <c r="AV537">
        <f t="shared" si="310"/>
        <v>0</v>
      </c>
      <c r="AW537">
        <f t="shared" si="311"/>
        <v>0</v>
      </c>
      <c r="AX537">
        <f t="shared" si="312"/>
        <v>0</v>
      </c>
      <c r="AY537">
        <f t="shared" si="313"/>
        <v>0</v>
      </c>
      <c r="AZ537">
        <f t="shared" si="314"/>
        <v>0</v>
      </c>
      <c r="BA537">
        <f t="shared" si="315"/>
        <v>0</v>
      </c>
      <c r="BB537">
        <f t="shared" si="316"/>
        <v>1</v>
      </c>
      <c r="BC537">
        <f t="shared" si="317"/>
        <v>0</v>
      </c>
      <c r="BD537">
        <f t="shared" si="318"/>
        <v>0</v>
      </c>
      <c r="BE537">
        <f t="shared" si="319"/>
        <v>0</v>
      </c>
      <c r="BF537">
        <f t="shared" si="320"/>
        <v>0</v>
      </c>
      <c r="BG537">
        <f t="shared" si="321"/>
        <v>0</v>
      </c>
      <c r="BH537">
        <f t="shared" si="322"/>
        <v>0</v>
      </c>
      <c r="BI537">
        <f t="shared" si="323"/>
        <v>0</v>
      </c>
    </row>
    <row r="538" spans="1:61" x14ac:dyDescent="0.35">
      <c r="A538" t="s">
        <v>51</v>
      </c>
      <c r="B538" s="1">
        <v>40662</v>
      </c>
      <c r="C538" t="s">
        <v>1103</v>
      </c>
      <c r="D538" t="s">
        <v>2</v>
      </c>
      <c r="E538" t="s">
        <v>1104</v>
      </c>
      <c r="F538" t="s">
        <v>1105</v>
      </c>
      <c r="G538" t="s">
        <v>47</v>
      </c>
      <c r="H538" s="139">
        <f t="shared" si="297"/>
        <v>0</v>
      </c>
      <c r="I538" t="s">
        <v>234</v>
      </c>
      <c r="J538" t="s">
        <v>326</v>
      </c>
      <c r="K538" s="2">
        <f t="shared" si="300"/>
        <v>8</v>
      </c>
      <c r="L538">
        <v>65000000</v>
      </c>
      <c r="M538" s="2">
        <f t="shared" si="301"/>
        <v>7.8129133566428557</v>
      </c>
      <c r="N538">
        <v>61000000</v>
      </c>
      <c r="O538">
        <v>4000000</v>
      </c>
      <c r="P538" s="1">
        <v>42919</v>
      </c>
      <c r="Q538" s="89">
        <f t="shared" si="302"/>
        <v>2017</v>
      </c>
      <c r="R538" t="s">
        <v>107</v>
      </c>
      <c r="S538">
        <v>100110000</v>
      </c>
      <c r="T538" s="21">
        <f t="shared" si="294"/>
        <v>6.183561643835616</v>
      </c>
      <c r="U538">
        <v>0</v>
      </c>
      <c r="V538">
        <f t="shared" si="303"/>
        <v>0</v>
      </c>
      <c r="W538">
        <v>1989</v>
      </c>
      <c r="X538">
        <v>22</v>
      </c>
      <c r="Y538">
        <f t="shared" si="304"/>
        <v>1.3617278360175928</v>
      </c>
      <c r="Z538" s="45">
        <v>3.5</v>
      </c>
      <c r="AA538" s="9">
        <f t="shared" si="293"/>
        <v>39110000</v>
      </c>
      <c r="AB538" s="15">
        <f t="shared" si="295"/>
        <v>0.54015384615384621</v>
      </c>
      <c r="AC538" s="34">
        <f t="shared" si="305"/>
        <v>0.18756410473159962</v>
      </c>
      <c r="AD538">
        <v>1495.578623606305</v>
      </c>
      <c r="AE538">
        <f t="shared" si="298"/>
        <v>3.1748092491298348</v>
      </c>
      <c r="AF538">
        <v>3763.9369473279512</v>
      </c>
      <c r="AG538">
        <f t="shared" si="299"/>
        <v>3.5756423396072652</v>
      </c>
      <c r="AH538" s="9">
        <v>0</v>
      </c>
      <c r="AI538" s="9">
        <f t="shared" si="306"/>
        <v>0</v>
      </c>
      <c r="AJ538">
        <v>89.6</v>
      </c>
      <c r="AK538" s="23" t="s">
        <v>365</v>
      </c>
      <c r="AL538" s="42">
        <v>44.7100017757258</v>
      </c>
      <c r="AM538" s="24">
        <v>0.78</v>
      </c>
      <c r="AN538" s="34">
        <f t="shared" si="307"/>
        <v>0.250420002308894</v>
      </c>
      <c r="AO538">
        <v>1965</v>
      </c>
      <c r="AP538">
        <v>46</v>
      </c>
      <c r="AQ538">
        <v>70</v>
      </c>
      <c r="AR538">
        <v>70</v>
      </c>
      <c r="AS538">
        <f t="shared" si="296"/>
        <v>0</v>
      </c>
      <c r="AT538">
        <f t="shared" si="308"/>
        <v>0</v>
      </c>
      <c r="AU538">
        <f t="shared" si="309"/>
        <v>0</v>
      </c>
      <c r="AV538">
        <f t="shared" si="310"/>
        <v>0</v>
      </c>
      <c r="AW538">
        <f t="shared" si="311"/>
        <v>0</v>
      </c>
      <c r="AX538">
        <f t="shared" si="312"/>
        <v>0</v>
      </c>
      <c r="AY538">
        <f t="shared" si="313"/>
        <v>0</v>
      </c>
      <c r="AZ538">
        <f t="shared" si="314"/>
        <v>0</v>
      </c>
      <c r="BA538">
        <f t="shared" si="315"/>
        <v>0</v>
      </c>
      <c r="BB538">
        <f t="shared" si="316"/>
        <v>1</v>
      </c>
      <c r="BC538">
        <f t="shared" si="317"/>
        <v>0</v>
      </c>
      <c r="BD538">
        <f t="shared" si="318"/>
        <v>0</v>
      </c>
      <c r="BE538">
        <f t="shared" si="319"/>
        <v>0</v>
      </c>
      <c r="BF538">
        <f t="shared" si="320"/>
        <v>0</v>
      </c>
      <c r="BG538">
        <f t="shared" si="321"/>
        <v>0</v>
      </c>
      <c r="BH538">
        <f t="shared" si="322"/>
        <v>0</v>
      </c>
      <c r="BI538">
        <f t="shared" si="323"/>
        <v>0</v>
      </c>
    </row>
    <row r="539" spans="1:61" x14ac:dyDescent="0.35">
      <c r="A539" t="s">
        <v>51</v>
      </c>
      <c r="B539" s="1">
        <v>39193</v>
      </c>
      <c r="C539" t="s">
        <v>1106</v>
      </c>
      <c r="D539" t="s">
        <v>2</v>
      </c>
      <c r="E539" t="s">
        <v>1104</v>
      </c>
      <c r="F539" t="s">
        <v>1105</v>
      </c>
      <c r="G539" t="s">
        <v>47</v>
      </c>
      <c r="H539" s="139">
        <f t="shared" si="297"/>
        <v>0</v>
      </c>
      <c r="I539" t="s">
        <v>234</v>
      </c>
      <c r="J539" t="s">
        <v>235</v>
      </c>
      <c r="K539" s="2">
        <f t="shared" si="300"/>
        <v>1</v>
      </c>
      <c r="L539">
        <v>300000000</v>
      </c>
      <c r="M539" s="2">
        <f t="shared" si="301"/>
        <v>8.4771212547196626</v>
      </c>
      <c r="N539">
        <f t="shared" ref="N539:N551" si="324">L539</f>
        <v>300000000</v>
      </c>
      <c r="O539">
        <v>0</v>
      </c>
      <c r="P539" s="1">
        <v>41246</v>
      </c>
      <c r="Q539" s="89">
        <f t="shared" si="302"/>
        <v>2012</v>
      </c>
      <c r="R539" t="s">
        <v>107</v>
      </c>
      <c r="S539">
        <v>408000000</v>
      </c>
      <c r="T539" s="21">
        <f t="shared" si="294"/>
        <v>5.624657534246575</v>
      </c>
      <c r="U539">
        <v>0</v>
      </c>
      <c r="V539">
        <f t="shared" si="303"/>
        <v>0</v>
      </c>
      <c r="W539">
        <v>1879</v>
      </c>
      <c r="X539">
        <v>128</v>
      </c>
      <c r="Y539">
        <f t="shared" si="304"/>
        <v>2.1105897102992488</v>
      </c>
      <c r="Z539" s="45">
        <v>3.5</v>
      </c>
      <c r="AA539" s="9">
        <f t="shared" si="293"/>
        <v>108000000</v>
      </c>
      <c r="AB539" s="15">
        <f t="shared" si="295"/>
        <v>0.3600000000000001</v>
      </c>
      <c r="AC539" s="34">
        <f t="shared" si="305"/>
        <v>0.13353890837021754</v>
      </c>
      <c r="AD539">
        <v>1495.578623606305</v>
      </c>
      <c r="AE539">
        <f t="shared" si="298"/>
        <v>3.1748092491298348</v>
      </c>
      <c r="AF539">
        <v>3763.9369473279512</v>
      </c>
      <c r="AG539">
        <f t="shared" si="299"/>
        <v>3.5756423396072652</v>
      </c>
      <c r="AH539" s="9">
        <v>0</v>
      </c>
      <c r="AI539" s="9">
        <f t="shared" si="306"/>
        <v>0</v>
      </c>
      <c r="AJ539">
        <v>88.9</v>
      </c>
      <c r="AK539" s="23" t="s">
        <v>126</v>
      </c>
      <c r="AL539" s="42">
        <v>42.817370475444001</v>
      </c>
      <c r="AM539" s="24">
        <v>-0.05</v>
      </c>
      <c r="AN539" s="34">
        <f t="shared" si="307"/>
        <v>-2.2276394711152253E-2</v>
      </c>
      <c r="AO539">
        <v>1965</v>
      </c>
      <c r="AP539">
        <v>42</v>
      </c>
      <c r="AQ539">
        <v>70</v>
      </c>
      <c r="AR539">
        <v>70</v>
      </c>
      <c r="AS539">
        <f t="shared" si="296"/>
        <v>0</v>
      </c>
      <c r="AT539">
        <f t="shared" si="308"/>
        <v>0</v>
      </c>
      <c r="AU539">
        <f t="shared" si="309"/>
        <v>0</v>
      </c>
      <c r="AV539">
        <f t="shared" si="310"/>
        <v>0</v>
      </c>
      <c r="AW539">
        <f t="shared" si="311"/>
        <v>0</v>
      </c>
      <c r="AX539">
        <f t="shared" si="312"/>
        <v>0</v>
      </c>
      <c r="AY539">
        <f t="shared" si="313"/>
        <v>0</v>
      </c>
      <c r="AZ539">
        <f t="shared" si="314"/>
        <v>0</v>
      </c>
      <c r="BA539">
        <f t="shared" si="315"/>
        <v>0</v>
      </c>
      <c r="BB539">
        <f t="shared" si="316"/>
        <v>1</v>
      </c>
      <c r="BC539">
        <f t="shared" si="317"/>
        <v>0</v>
      </c>
      <c r="BD539">
        <f t="shared" si="318"/>
        <v>0</v>
      </c>
      <c r="BE539">
        <f t="shared" si="319"/>
        <v>0</v>
      </c>
      <c r="BF539">
        <f t="shared" si="320"/>
        <v>0</v>
      </c>
      <c r="BG539">
        <f t="shared" si="321"/>
        <v>0</v>
      </c>
      <c r="BH539">
        <f t="shared" si="322"/>
        <v>0</v>
      </c>
      <c r="BI539">
        <f t="shared" si="323"/>
        <v>0</v>
      </c>
    </row>
    <row r="540" spans="1:61" x14ac:dyDescent="0.35">
      <c r="A540" t="s">
        <v>51</v>
      </c>
      <c r="B540" s="1">
        <v>38502</v>
      </c>
      <c r="C540" t="s">
        <v>1107</v>
      </c>
      <c r="D540" t="s">
        <v>2</v>
      </c>
      <c r="E540" t="s">
        <v>1108</v>
      </c>
      <c r="F540" t="s">
        <v>1105</v>
      </c>
      <c r="G540" t="s">
        <v>47</v>
      </c>
      <c r="H540" s="139">
        <f t="shared" si="297"/>
        <v>0</v>
      </c>
      <c r="I540" t="s">
        <v>234</v>
      </c>
      <c r="J540" t="s">
        <v>235</v>
      </c>
      <c r="K540" s="2">
        <f t="shared" si="300"/>
        <v>1</v>
      </c>
      <c r="L540">
        <v>108337600</v>
      </c>
      <c r="M540" s="2">
        <f t="shared" si="301"/>
        <v>8.0347792104435261</v>
      </c>
      <c r="N540">
        <f t="shared" si="324"/>
        <v>108337600</v>
      </c>
      <c r="O540">
        <v>0</v>
      </c>
      <c r="P540" s="1">
        <v>42478</v>
      </c>
      <c r="Q540" s="89">
        <f t="shared" si="302"/>
        <v>2016</v>
      </c>
      <c r="R540" t="s">
        <v>107</v>
      </c>
      <c r="S540">
        <v>354228093</v>
      </c>
      <c r="T540" s="21">
        <f t="shared" si="294"/>
        <v>10.893150684931507</v>
      </c>
      <c r="U540">
        <v>0</v>
      </c>
      <c r="V540">
        <f t="shared" si="303"/>
        <v>0</v>
      </c>
      <c r="W540">
        <v>1996</v>
      </c>
      <c r="X540">
        <v>9</v>
      </c>
      <c r="Y540">
        <f t="shared" si="304"/>
        <v>1</v>
      </c>
      <c r="Z540" s="45">
        <v>3.5</v>
      </c>
      <c r="AA540" s="9">
        <f t="shared" si="293"/>
        <v>245890493</v>
      </c>
      <c r="AB540" s="15">
        <f t="shared" si="295"/>
        <v>2.2696690068821903</v>
      </c>
      <c r="AC540" s="34">
        <f t="shared" si="305"/>
        <v>0.51450379065407925</v>
      </c>
      <c r="AD540">
        <v>1495.578623606305</v>
      </c>
      <c r="AE540">
        <f t="shared" si="298"/>
        <v>3.1748092491298348</v>
      </c>
      <c r="AF540">
        <v>3763.9369473279512</v>
      </c>
      <c r="AG540">
        <f t="shared" si="299"/>
        <v>3.5756423396072652</v>
      </c>
      <c r="AH540" s="9">
        <v>0</v>
      </c>
      <c r="AI540" s="9">
        <f t="shared" si="306"/>
        <v>0</v>
      </c>
      <c r="AJ540">
        <v>70</v>
      </c>
      <c r="AK540" s="23" t="s">
        <v>213</v>
      </c>
      <c r="AL540" s="42">
        <v>46.200073016176603</v>
      </c>
      <c r="AM540" s="24">
        <v>0.75</v>
      </c>
      <c r="AN540" s="34">
        <f t="shared" si="307"/>
        <v>0.24303804868629444</v>
      </c>
      <c r="AO540">
        <v>1965</v>
      </c>
      <c r="AP540">
        <v>40</v>
      </c>
      <c r="AQ540">
        <v>70</v>
      </c>
      <c r="AR540">
        <v>70</v>
      </c>
      <c r="AS540">
        <f t="shared" si="296"/>
        <v>0</v>
      </c>
      <c r="AT540">
        <f t="shared" si="308"/>
        <v>0</v>
      </c>
      <c r="AU540">
        <f t="shared" si="309"/>
        <v>0</v>
      </c>
      <c r="AV540">
        <f t="shared" si="310"/>
        <v>0</v>
      </c>
      <c r="AW540">
        <f t="shared" si="311"/>
        <v>0</v>
      </c>
      <c r="AX540">
        <f t="shared" si="312"/>
        <v>0</v>
      </c>
      <c r="AY540">
        <f t="shared" si="313"/>
        <v>0</v>
      </c>
      <c r="AZ540">
        <f t="shared" si="314"/>
        <v>0</v>
      </c>
      <c r="BA540">
        <f t="shared" si="315"/>
        <v>0</v>
      </c>
      <c r="BB540">
        <f t="shared" si="316"/>
        <v>1</v>
      </c>
      <c r="BC540">
        <f t="shared" si="317"/>
        <v>0</v>
      </c>
      <c r="BD540">
        <f t="shared" si="318"/>
        <v>0</v>
      </c>
      <c r="BE540">
        <f t="shared" si="319"/>
        <v>0</v>
      </c>
      <c r="BF540">
        <f t="shared" si="320"/>
        <v>0</v>
      </c>
      <c r="BG540">
        <f t="shared" si="321"/>
        <v>0</v>
      </c>
      <c r="BH540">
        <f t="shared" si="322"/>
        <v>0</v>
      </c>
      <c r="BI540">
        <f t="shared" si="323"/>
        <v>0</v>
      </c>
    </row>
    <row r="541" spans="1:61" x14ac:dyDescent="0.35">
      <c r="A541" t="s">
        <v>1109</v>
      </c>
      <c r="B541" s="1">
        <v>40847</v>
      </c>
      <c r="C541" t="s">
        <v>1110</v>
      </c>
      <c r="D541" t="s">
        <v>59</v>
      </c>
      <c r="E541" t="s">
        <v>240</v>
      </c>
      <c r="F541" t="s">
        <v>577</v>
      </c>
      <c r="G541" t="s">
        <v>47</v>
      </c>
      <c r="H541" s="139">
        <f t="shared" si="297"/>
        <v>0</v>
      </c>
      <c r="I541" t="s">
        <v>234</v>
      </c>
      <c r="J541" t="s">
        <v>248</v>
      </c>
      <c r="K541" s="2">
        <f t="shared" si="300"/>
        <v>5</v>
      </c>
      <c r="L541">
        <v>459000000</v>
      </c>
      <c r="M541" s="2">
        <f t="shared" si="301"/>
        <v>8.6618126855372619</v>
      </c>
      <c r="N541">
        <f t="shared" si="324"/>
        <v>459000000</v>
      </c>
      <c r="O541">
        <v>0</v>
      </c>
      <c r="P541" s="1">
        <v>42201</v>
      </c>
      <c r="Q541" s="89">
        <f t="shared" si="302"/>
        <v>2015</v>
      </c>
      <c r="R541" t="s">
        <v>107</v>
      </c>
      <c r="S541">
        <v>682000000</v>
      </c>
      <c r="T541" s="21">
        <f t="shared" si="294"/>
        <v>3.7095890410958905</v>
      </c>
      <c r="U541">
        <v>0</v>
      </c>
      <c r="V541">
        <f t="shared" si="303"/>
        <v>0</v>
      </c>
      <c r="W541">
        <v>1998</v>
      </c>
      <c r="X541">
        <v>13</v>
      </c>
      <c r="Y541">
        <f t="shared" si="304"/>
        <v>1.146128035678238</v>
      </c>
      <c r="Z541" s="45">
        <v>3.29</v>
      </c>
      <c r="AA541" s="9">
        <f t="shared" si="293"/>
        <v>223000000</v>
      </c>
      <c r="AB541" s="15">
        <f t="shared" si="295"/>
        <v>0.48583877995642699</v>
      </c>
      <c r="AC541" s="34">
        <f t="shared" si="305"/>
        <v>0.17197168911921767</v>
      </c>
      <c r="AD541">
        <v>1669.0315000000001</v>
      </c>
      <c r="AE541">
        <f t="shared" si="298"/>
        <v>3.2224645332922388</v>
      </c>
      <c r="AF541">
        <v>5094.7950000000001</v>
      </c>
      <c r="AG541">
        <f t="shared" si="299"/>
        <v>3.707126713924402</v>
      </c>
      <c r="AH541" s="9">
        <v>0</v>
      </c>
      <c r="AI541" s="9">
        <f t="shared" si="306"/>
        <v>0</v>
      </c>
      <c r="AJ541">
        <v>94.6</v>
      </c>
      <c r="AK541" s="23" t="s">
        <v>516</v>
      </c>
      <c r="AL541" s="42">
        <v>45.921427555082097</v>
      </c>
      <c r="AM541" s="24">
        <v>0.69</v>
      </c>
      <c r="AN541" s="34">
        <f t="shared" si="307"/>
        <v>0.22788670461367352</v>
      </c>
      <c r="AO541">
        <v>1981</v>
      </c>
      <c r="AP541">
        <v>30</v>
      </c>
      <c r="AQ541">
        <v>70</v>
      </c>
      <c r="AR541">
        <v>70</v>
      </c>
      <c r="AS541">
        <f t="shared" si="296"/>
        <v>0</v>
      </c>
      <c r="AT541">
        <f t="shared" si="308"/>
        <v>0</v>
      </c>
      <c r="AU541">
        <f t="shared" si="309"/>
        <v>1</v>
      </c>
      <c r="AV541">
        <f t="shared" si="310"/>
        <v>0</v>
      </c>
      <c r="AW541">
        <f t="shared" si="311"/>
        <v>0</v>
      </c>
      <c r="AX541">
        <f t="shared" si="312"/>
        <v>0</v>
      </c>
      <c r="AY541">
        <f t="shared" si="313"/>
        <v>0</v>
      </c>
      <c r="AZ541">
        <f t="shared" si="314"/>
        <v>0</v>
      </c>
      <c r="BA541">
        <f t="shared" si="315"/>
        <v>0</v>
      </c>
      <c r="BB541">
        <f t="shared" si="316"/>
        <v>0</v>
      </c>
      <c r="BC541">
        <f t="shared" si="317"/>
        <v>0</v>
      </c>
      <c r="BD541">
        <f t="shared" si="318"/>
        <v>0</v>
      </c>
      <c r="BE541">
        <f t="shared" si="319"/>
        <v>0</v>
      </c>
      <c r="BF541">
        <f t="shared" si="320"/>
        <v>0</v>
      </c>
      <c r="BG541">
        <f t="shared" si="321"/>
        <v>0</v>
      </c>
      <c r="BH541">
        <f t="shared" si="322"/>
        <v>0</v>
      </c>
      <c r="BI541">
        <f t="shared" si="323"/>
        <v>0</v>
      </c>
    </row>
    <row r="542" spans="1:61" x14ac:dyDescent="0.35">
      <c r="A542" t="s">
        <v>51</v>
      </c>
      <c r="B542" s="1">
        <v>35905</v>
      </c>
      <c r="C542" t="s">
        <v>1111</v>
      </c>
      <c r="D542" t="s">
        <v>59</v>
      </c>
      <c r="E542" t="s">
        <v>251</v>
      </c>
      <c r="F542" t="s">
        <v>577</v>
      </c>
      <c r="G542" t="s">
        <v>47</v>
      </c>
      <c r="H542" s="139">
        <f t="shared" si="297"/>
        <v>0</v>
      </c>
      <c r="I542" t="s">
        <v>234</v>
      </c>
      <c r="J542" t="s">
        <v>235</v>
      </c>
      <c r="K542" s="2">
        <f t="shared" si="300"/>
        <v>1</v>
      </c>
      <c r="L542">
        <v>135000000</v>
      </c>
      <c r="M542" s="2">
        <f t="shared" si="301"/>
        <v>8.1303337684950066</v>
      </c>
      <c r="N542">
        <f t="shared" si="324"/>
        <v>135000000</v>
      </c>
      <c r="O542">
        <v>0</v>
      </c>
      <c r="P542" s="1">
        <v>38132</v>
      </c>
      <c r="Q542" s="89">
        <f t="shared" si="302"/>
        <v>2004</v>
      </c>
      <c r="R542" t="s">
        <v>114</v>
      </c>
      <c r="S542">
        <v>46000000</v>
      </c>
      <c r="T542" s="21">
        <f t="shared" si="294"/>
        <v>6.1013698630136988</v>
      </c>
      <c r="U542">
        <v>0</v>
      </c>
      <c r="V542">
        <f t="shared" si="303"/>
        <v>0</v>
      </c>
      <c r="W542">
        <v>1998</v>
      </c>
      <c r="X542">
        <v>0</v>
      </c>
      <c r="Y542">
        <f t="shared" si="304"/>
        <v>0</v>
      </c>
      <c r="Z542" s="45">
        <v>3.29</v>
      </c>
      <c r="AA542" s="9">
        <f t="shared" si="293"/>
        <v>-89000000</v>
      </c>
      <c r="AB542" s="15">
        <f t="shared" si="295"/>
        <v>-0.65925925925925921</v>
      </c>
      <c r="AC542" s="34">
        <f t="shared" si="305"/>
        <v>-0.46757593681343196</v>
      </c>
      <c r="AD542">
        <v>1669.0315000000001</v>
      </c>
      <c r="AE542">
        <f t="shared" si="298"/>
        <v>3.2224645332922388</v>
      </c>
      <c r="AF542">
        <v>5094.7950000000001</v>
      </c>
      <c r="AG542">
        <f t="shared" si="299"/>
        <v>3.707126713924402</v>
      </c>
      <c r="AH542" s="9">
        <v>0</v>
      </c>
      <c r="AI542" s="9">
        <f t="shared" si="306"/>
        <v>0</v>
      </c>
      <c r="AJ542">
        <v>85</v>
      </c>
      <c r="AK542" s="23" t="s">
        <v>249</v>
      </c>
      <c r="AL542" s="42">
        <v>35.516899069648296</v>
      </c>
      <c r="AM542" s="24">
        <v>-0.01</v>
      </c>
      <c r="AN542" s="34">
        <f t="shared" si="307"/>
        <v>-4.3648054024500883E-3</v>
      </c>
      <c r="AO542">
        <v>1981</v>
      </c>
      <c r="AP542">
        <v>17</v>
      </c>
      <c r="AQ542">
        <v>70</v>
      </c>
      <c r="AR542">
        <v>70</v>
      </c>
      <c r="AS542">
        <f t="shared" si="296"/>
        <v>0</v>
      </c>
      <c r="AT542">
        <f t="shared" si="308"/>
        <v>0</v>
      </c>
      <c r="AU542">
        <f t="shared" si="309"/>
        <v>1</v>
      </c>
      <c r="AV542">
        <f t="shared" si="310"/>
        <v>0</v>
      </c>
      <c r="AW542">
        <f t="shared" si="311"/>
        <v>0</v>
      </c>
      <c r="AX542">
        <f t="shared" si="312"/>
        <v>0</v>
      </c>
      <c r="AY542">
        <f t="shared" si="313"/>
        <v>0</v>
      </c>
      <c r="AZ542">
        <f t="shared" si="314"/>
        <v>0</v>
      </c>
      <c r="BA542">
        <f t="shared" si="315"/>
        <v>0</v>
      </c>
      <c r="BB542">
        <f t="shared" si="316"/>
        <v>0</v>
      </c>
      <c r="BC542">
        <f t="shared" si="317"/>
        <v>0</v>
      </c>
      <c r="BD542">
        <f t="shared" si="318"/>
        <v>0</v>
      </c>
      <c r="BE542">
        <f t="shared" si="319"/>
        <v>0</v>
      </c>
      <c r="BF542">
        <f t="shared" si="320"/>
        <v>0</v>
      </c>
      <c r="BG542">
        <f t="shared" si="321"/>
        <v>0</v>
      </c>
      <c r="BH542">
        <f t="shared" si="322"/>
        <v>0</v>
      </c>
      <c r="BI542">
        <f t="shared" si="323"/>
        <v>0</v>
      </c>
    </row>
    <row r="543" spans="1:61" x14ac:dyDescent="0.35">
      <c r="A543" t="s">
        <v>51</v>
      </c>
      <c r="B543" s="1">
        <v>35795</v>
      </c>
      <c r="C543" t="s">
        <v>1112</v>
      </c>
      <c r="D543" t="s">
        <v>59</v>
      </c>
      <c r="E543" t="s">
        <v>251</v>
      </c>
      <c r="F543" t="s">
        <v>577</v>
      </c>
      <c r="G543" t="s">
        <v>47</v>
      </c>
      <c r="H543" s="139">
        <f t="shared" si="297"/>
        <v>0</v>
      </c>
      <c r="I543" t="s">
        <v>234</v>
      </c>
      <c r="J543" t="s">
        <v>245</v>
      </c>
      <c r="K543" s="2">
        <f t="shared" si="300"/>
        <v>6</v>
      </c>
      <c r="L543">
        <v>121028501</v>
      </c>
      <c r="M543" s="2">
        <f t="shared" si="301"/>
        <v>8.082887654361798</v>
      </c>
      <c r="N543">
        <f t="shared" si="324"/>
        <v>121028501</v>
      </c>
      <c r="O543">
        <v>0</v>
      </c>
      <c r="P543" s="1">
        <v>37606</v>
      </c>
      <c r="Q543" s="89">
        <f t="shared" si="302"/>
        <v>2002</v>
      </c>
      <c r="R543" t="s">
        <v>107</v>
      </c>
      <c r="S543">
        <v>48700000</v>
      </c>
      <c r="T543" s="21">
        <f t="shared" si="294"/>
        <v>4.9616438356164387</v>
      </c>
      <c r="U543">
        <v>0</v>
      </c>
      <c r="V543">
        <f t="shared" si="303"/>
        <v>0</v>
      </c>
      <c r="W543">
        <v>1997</v>
      </c>
      <c r="X543">
        <v>0</v>
      </c>
      <c r="Y543">
        <f t="shared" si="304"/>
        <v>0</v>
      </c>
      <c r="Z543" s="45">
        <v>3.29</v>
      </c>
      <c r="AA543" s="9">
        <f t="shared" si="293"/>
        <v>-72328501</v>
      </c>
      <c r="AB543" s="15">
        <f t="shared" si="295"/>
        <v>-0.59761544101087394</v>
      </c>
      <c r="AC543" s="34">
        <f t="shared" si="305"/>
        <v>-0.3953586931471641</v>
      </c>
      <c r="AD543">
        <v>1669.0315000000001</v>
      </c>
      <c r="AE543">
        <f t="shared" si="298"/>
        <v>3.2224645332922388</v>
      </c>
      <c r="AF543">
        <v>5094.7950000000001</v>
      </c>
      <c r="AG543">
        <f t="shared" si="299"/>
        <v>3.707126713924402</v>
      </c>
      <c r="AH543" s="9">
        <v>0</v>
      </c>
      <c r="AI543" s="9">
        <f t="shared" si="306"/>
        <v>0</v>
      </c>
      <c r="AJ543">
        <v>85</v>
      </c>
      <c r="AK543" s="23" t="s">
        <v>61</v>
      </c>
      <c r="AL543" s="42">
        <v>35.807885111275297</v>
      </c>
      <c r="AM543" s="24">
        <v>-0.06</v>
      </c>
      <c r="AN543" s="34">
        <f t="shared" si="307"/>
        <v>-2.6872146400301365E-2</v>
      </c>
      <c r="AO543">
        <v>1981</v>
      </c>
      <c r="AP543">
        <v>16</v>
      </c>
      <c r="AQ543">
        <v>70</v>
      </c>
      <c r="AR543">
        <v>70</v>
      </c>
      <c r="AS543">
        <f t="shared" si="296"/>
        <v>0</v>
      </c>
      <c r="AT543">
        <f t="shared" si="308"/>
        <v>0</v>
      </c>
      <c r="AU543">
        <f t="shared" si="309"/>
        <v>1</v>
      </c>
      <c r="AV543">
        <f t="shared" si="310"/>
        <v>0</v>
      </c>
      <c r="AW543">
        <f t="shared" si="311"/>
        <v>0</v>
      </c>
      <c r="AX543">
        <f t="shared" si="312"/>
        <v>0</v>
      </c>
      <c r="AY543">
        <f t="shared" si="313"/>
        <v>0</v>
      </c>
      <c r="AZ543">
        <f t="shared" si="314"/>
        <v>0</v>
      </c>
      <c r="BA543">
        <f t="shared" si="315"/>
        <v>0</v>
      </c>
      <c r="BB543">
        <f t="shared" si="316"/>
        <v>0</v>
      </c>
      <c r="BC543">
        <f t="shared" si="317"/>
        <v>0</v>
      </c>
      <c r="BD543">
        <f t="shared" si="318"/>
        <v>0</v>
      </c>
      <c r="BE543">
        <f t="shared" si="319"/>
        <v>0</v>
      </c>
      <c r="BF543">
        <f t="shared" si="320"/>
        <v>0</v>
      </c>
      <c r="BG543">
        <f t="shared" si="321"/>
        <v>0</v>
      </c>
      <c r="BH543">
        <f t="shared" si="322"/>
        <v>0</v>
      </c>
      <c r="BI543">
        <f t="shared" si="323"/>
        <v>0</v>
      </c>
    </row>
    <row r="544" spans="1:61" x14ac:dyDescent="0.35">
      <c r="A544" t="s">
        <v>51</v>
      </c>
      <c r="B544" s="1">
        <v>36234</v>
      </c>
      <c r="C544" t="s">
        <v>1113</v>
      </c>
      <c r="D544" t="s">
        <v>59</v>
      </c>
      <c r="E544" t="s">
        <v>233</v>
      </c>
      <c r="F544" t="s">
        <v>577</v>
      </c>
      <c r="G544" t="s">
        <v>47</v>
      </c>
      <c r="H544" s="139">
        <f t="shared" si="297"/>
        <v>0</v>
      </c>
      <c r="I544" t="s">
        <v>234</v>
      </c>
      <c r="J544" t="s">
        <v>248</v>
      </c>
      <c r="K544" s="2">
        <f t="shared" si="300"/>
        <v>5</v>
      </c>
      <c r="L544">
        <v>126865700</v>
      </c>
      <c r="M544" s="2">
        <f t="shared" si="301"/>
        <v>8.1033442200910457</v>
      </c>
      <c r="N544">
        <f t="shared" si="324"/>
        <v>126865700</v>
      </c>
      <c r="O544">
        <v>0</v>
      </c>
      <c r="P544" s="1">
        <v>41213</v>
      </c>
      <c r="Q544" s="89">
        <f t="shared" si="302"/>
        <v>2012</v>
      </c>
      <c r="R544" t="s">
        <v>107</v>
      </c>
      <c r="S544">
        <v>22723512</v>
      </c>
      <c r="T544" s="21">
        <f t="shared" si="294"/>
        <v>13.641095890410959</v>
      </c>
      <c r="U544">
        <v>0</v>
      </c>
      <c r="V544">
        <f t="shared" si="303"/>
        <v>0</v>
      </c>
      <c r="W544">
        <v>1990</v>
      </c>
      <c r="X544">
        <v>9</v>
      </c>
      <c r="Y544">
        <f t="shared" si="304"/>
        <v>1</v>
      </c>
      <c r="Z544" s="45">
        <v>3.29</v>
      </c>
      <c r="AA544" s="9">
        <f t="shared" si="293"/>
        <v>-104142188</v>
      </c>
      <c r="AB544" s="15">
        <f t="shared" si="295"/>
        <v>-0.82088529839034508</v>
      </c>
      <c r="AC544" s="34">
        <f t="shared" si="305"/>
        <v>-0.74686876610010333</v>
      </c>
      <c r="AD544">
        <v>1669.0315000000001</v>
      </c>
      <c r="AE544">
        <f t="shared" si="298"/>
        <v>3.2224645332922388</v>
      </c>
      <c r="AF544">
        <v>5094.7950000000001</v>
      </c>
      <c r="AG544">
        <f t="shared" si="299"/>
        <v>3.707126713924402</v>
      </c>
      <c r="AH544" s="9">
        <v>0</v>
      </c>
      <c r="AI544" s="9">
        <f t="shared" si="306"/>
        <v>0</v>
      </c>
      <c r="AJ544">
        <v>85</v>
      </c>
      <c r="AK544" s="23" t="s">
        <v>70</v>
      </c>
      <c r="AL544" s="42">
        <v>35.326012114535303</v>
      </c>
      <c r="AM544" s="24">
        <v>0.08</v>
      </c>
      <c r="AN544" s="34">
        <f t="shared" si="307"/>
        <v>3.342375548694973E-2</v>
      </c>
      <c r="AO544">
        <v>1981</v>
      </c>
      <c r="AP544">
        <v>18</v>
      </c>
      <c r="AQ544">
        <v>70</v>
      </c>
      <c r="AR544">
        <v>70</v>
      </c>
      <c r="AS544">
        <f t="shared" si="296"/>
        <v>0</v>
      </c>
      <c r="AT544">
        <f t="shared" si="308"/>
        <v>0</v>
      </c>
      <c r="AU544">
        <f t="shared" si="309"/>
        <v>1</v>
      </c>
      <c r="AV544">
        <f t="shared" si="310"/>
        <v>0</v>
      </c>
      <c r="AW544">
        <f t="shared" si="311"/>
        <v>0</v>
      </c>
      <c r="AX544">
        <f t="shared" si="312"/>
        <v>0</v>
      </c>
      <c r="AY544">
        <f t="shared" si="313"/>
        <v>0</v>
      </c>
      <c r="AZ544">
        <f t="shared" si="314"/>
        <v>0</v>
      </c>
      <c r="BA544">
        <f t="shared" si="315"/>
        <v>0</v>
      </c>
      <c r="BB544">
        <f t="shared" si="316"/>
        <v>0</v>
      </c>
      <c r="BC544">
        <f t="shared" si="317"/>
        <v>0</v>
      </c>
      <c r="BD544">
        <f t="shared" si="318"/>
        <v>0</v>
      </c>
      <c r="BE544">
        <f t="shared" si="319"/>
        <v>0</v>
      </c>
      <c r="BF544">
        <f t="shared" si="320"/>
        <v>0</v>
      </c>
      <c r="BG544">
        <f t="shared" si="321"/>
        <v>0</v>
      </c>
      <c r="BH544">
        <f t="shared" si="322"/>
        <v>0</v>
      </c>
      <c r="BI544">
        <f t="shared" si="323"/>
        <v>0</v>
      </c>
    </row>
    <row r="545" spans="1:61" x14ac:dyDescent="0.35">
      <c r="A545" t="s">
        <v>51</v>
      </c>
      <c r="B545" s="1">
        <v>38061</v>
      </c>
      <c r="C545" t="s">
        <v>192</v>
      </c>
      <c r="D545" t="s">
        <v>59</v>
      </c>
      <c r="E545" t="s">
        <v>729</v>
      </c>
      <c r="F545" t="s">
        <v>577</v>
      </c>
      <c r="G545" t="s">
        <v>47</v>
      </c>
      <c r="H545" s="139">
        <f t="shared" si="297"/>
        <v>0</v>
      </c>
      <c r="I545" t="s">
        <v>234</v>
      </c>
      <c r="J545" t="s">
        <v>235</v>
      </c>
      <c r="K545" s="2">
        <f t="shared" si="300"/>
        <v>1</v>
      </c>
      <c r="L545">
        <v>662500000</v>
      </c>
      <c r="M545" s="2">
        <f t="shared" si="301"/>
        <v>8.8211858826088463</v>
      </c>
      <c r="N545">
        <f t="shared" si="324"/>
        <v>662500000</v>
      </c>
      <c r="O545">
        <v>0</v>
      </c>
      <c r="P545" s="1">
        <v>40119</v>
      </c>
      <c r="Q545" s="89">
        <f t="shared" si="302"/>
        <v>2009</v>
      </c>
      <c r="R545" t="s">
        <v>107</v>
      </c>
      <c r="S545">
        <v>1523292791</v>
      </c>
      <c r="T545" s="21">
        <f t="shared" si="294"/>
        <v>5.6383561643835618</v>
      </c>
      <c r="U545">
        <v>0</v>
      </c>
      <c r="V545">
        <f t="shared" si="303"/>
        <v>0</v>
      </c>
      <c r="W545">
        <v>1866</v>
      </c>
      <c r="X545">
        <v>138</v>
      </c>
      <c r="Y545">
        <f t="shared" si="304"/>
        <v>2.143014800254095</v>
      </c>
      <c r="Z545" s="45">
        <v>3.29</v>
      </c>
      <c r="AA545" s="9">
        <f t="shared" si="293"/>
        <v>860792791</v>
      </c>
      <c r="AB545" s="15">
        <f t="shared" si="295"/>
        <v>1.2993098732075472</v>
      </c>
      <c r="AC545" s="34">
        <f t="shared" si="305"/>
        <v>0.36159750417725695</v>
      </c>
      <c r="AD545">
        <v>1655.11</v>
      </c>
      <c r="AE545">
        <f t="shared" si="298"/>
        <v>3.2188268626467691</v>
      </c>
      <c r="AF545">
        <v>5715.55</v>
      </c>
      <c r="AG545">
        <f t="shared" si="299"/>
        <v>3.7570580283396975</v>
      </c>
      <c r="AH545" s="9">
        <v>0</v>
      </c>
      <c r="AI545" s="9">
        <f t="shared" si="306"/>
        <v>0</v>
      </c>
      <c r="AJ545">
        <v>85</v>
      </c>
      <c r="AK545" s="23" t="s">
        <v>89</v>
      </c>
      <c r="AL545" s="42">
        <v>40.040400531970803</v>
      </c>
      <c r="AM545" s="24">
        <v>-0.06</v>
      </c>
      <c r="AN545" s="34">
        <f t="shared" si="307"/>
        <v>-2.6872146400301365E-2</v>
      </c>
      <c r="AO545">
        <v>1986</v>
      </c>
      <c r="AP545">
        <v>18</v>
      </c>
      <c r="AQ545">
        <v>70</v>
      </c>
      <c r="AR545">
        <v>70</v>
      </c>
      <c r="AS545">
        <f t="shared" si="296"/>
        <v>0</v>
      </c>
      <c r="AT545">
        <f t="shared" si="308"/>
        <v>0</v>
      </c>
      <c r="AU545">
        <f t="shared" si="309"/>
        <v>1</v>
      </c>
      <c r="AV545">
        <f t="shared" si="310"/>
        <v>0</v>
      </c>
      <c r="AW545">
        <f t="shared" si="311"/>
        <v>0</v>
      </c>
      <c r="AX545">
        <f t="shared" si="312"/>
        <v>0</v>
      </c>
      <c r="AY545">
        <f t="shared" si="313"/>
        <v>0</v>
      </c>
      <c r="AZ545">
        <f t="shared" si="314"/>
        <v>0</v>
      </c>
      <c r="BA545">
        <f t="shared" si="315"/>
        <v>0</v>
      </c>
      <c r="BB545">
        <f t="shared" si="316"/>
        <v>0</v>
      </c>
      <c r="BC545">
        <f t="shared" si="317"/>
        <v>0</v>
      </c>
      <c r="BD545">
        <f t="shared" si="318"/>
        <v>0</v>
      </c>
      <c r="BE545">
        <f t="shared" si="319"/>
        <v>0</v>
      </c>
      <c r="BF545">
        <f t="shared" si="320"/>
        <v>0</v>
      </c>
      <c r="BG545">
        <f t="shared" si="321"/>
        <v>0</v>
      </c>
      <c r="BH545">
        <f t="shared" si="322"/>
        <v>0</v>
      </c>
      <c r="BI545">
        <f t="shared" si="323"/>
        <v>0</v>
      </c>
    </row>
    <row r="546" spans="1:61" x14ac:dyDescent="0.35">
      <c r="A546" t="s">
        <v>51</v>
      </c>
      <c r="B546" s="1">
        <v>36770</v>
      </c>
      <c r="C546" t="s">
        <v>1114</v>
      </c>
      <c r="D546" t="s">
        <v>59</v>
      </c>
      <c r="E546" t="s">
        <v>729</v>
      </c>
      <c r="F546" t="s">
        <v>577</v>
      </c>
      <c r="G546" t="s">
        <v>47</v>
      </c>
      <c r="H546" s="139">
        <f t="shared" si="297"/>
        <v>0</v>
      </c>
      <c r="I546" t="s">
        <v>234</v>
      </c>
      <c r="J546" t="s">
        <v>190</v>
      </c>
      <c r="K546" s="2">
        <f t="shared" si="300"/>
        <v>2</v>
      </c>
      <c r="L546">
        <v>1300000000</v>
      </c>
      <c r="M546" s="2">
        <f t="shared" si="301"/>
        <v>9.1139433523068369</v>
      </c>
      <c r="N546">
        <f t="shared" si="324"/>
        <v>1300000000</v>
      </c>
      <c r="O546">
        <v>0</v>
      </c>
      <c r="P546" s="1">
        <v>38849</v>
      </c>
      <c r="Q546" s="89">
        <f t="shared" si="302"/>
        <v>2006</v>
      </c>
      <c r="R546" t="s">
        <v>54</v>
      </c>
      <c r="S546">
        <v>2200000000</v>
      </c>
      <c r="T546" s="21">
        <f t="shared" si="294"/>
        <v>5.6958904109589037</v>
      </c>
      <c r="U546">
        <v>0</v>
      </c>
      <c r="V546">
        <f t="shared" si="303"/>
        <v>0</v>
      </c>
      <c r="W546">
        <v>1993</v>
      </c>
      <c r="X546">
        <v>7</v>
      </c>
      <c r="Y546">
        <f t="shared" si="304"/>
        <v>0.90308998699194354</v>
      </c>
      <c r="Z546" s="45">
        <v>3.29</v>
      </c>
      <c r="AA546" s="9">
        <f t="shared" si="293"/>
        <v>900000000</v>
      </c>
      <c r="AB546" s="15">
        <f t="shared" si="295"/>
        <v>0.69230769230769229</v>
      </c>
      <c r="AC546" s="34">
        <f t="shared" si="305"/>
        <v>0.22847932851536945</v>
      </c>
      <c r="AD546">
        <v>1655.11</v>
      </c>
      <c r="AE546">
        <f t="shared" si="298"/>
        <v>3.2188268626467691</v>
      </c>
      <c r="AF546">
        <v>5715.55</v>
      </c>
      <c r="AG546">
        <f t="shared" si="299"/>
        <v>3.7570580283396975</v>
      </c>
      <c r="AH546" s="9">
        <v>0</v>
      </c>
      <c r="AI546" s="9">
        <f t="shared" si="306"/>
        <v>0</v>
      </c>
      <c r="AJ546">
        <v>85</v>
      </c>
      <c r="AK546" s="23" t="s">
        <v>78</v>
      </c>
      <c r="AL546" s="42">
        <v>35.433808146393098</v>
      </c>
      <c r="AM546" s="24">
        <v>-0.15</v>
      </c>
      <c r="AN546" s="34">
        <f t="shared" si="307"/>
        <v>-7.0581074285707285E-2</v>
      </c>
      <c r="AO546">
        <v>1986</v>
      </c>
      <c r="AP546">
        <v>14</v>
      </c>
      <c r="AQ546">
        <v>70</v>
      </c>
      <c r="AR546">
        <v>70</v>
      </c>
      <c r="AS546">
        <f t="shared" si="296"/>
        <v>0</v>
      </c>
      <c r="AT546">
        <f t="shared" si="308"/>
        <v>0</v>
      </c>
      <c r="AU546">
        <f t="shared" si="309"/>
        <v>1</v>
      </c>
      <c r="AV546">
        <f t="shared" si="310"/>
        <v>0</v>
      </c>
      <c r="AW546">
        <f t="shared" si="311"/>
        <v>0</v>
      </c>
      <c r="AX546">
        <f t="shared" si="312"/>
        <v>0</v>
      </c>
      <c r="AY546">
        <f t="shared" si="313"/>
        <v>0</v>
      </c>
      <c r="AZ546">
        <f t="shared" si="314"/>
        <v>0</v>
      </c>
      <c r="BA546">
        <f t="shared" si="315"/>
        <v>0</v>
      </c>
      <c r="BB546">
        <f t="shared" si="316"/>
        <v>0</v>
      </c>
      <c r="BC546">
        <f t="shared" si="317"/>
        <v>0</v>
      </c>
      <c r="BD546">
        <f t="shared" si="318"/>
        <v>0</v>
      </c>
      <c r="BE546">
        <f t="shared" si="319"/>
        <v>0</v>
      </c>
      <c r="BF546">
        <f t="shared" si="320"/>
        <v>0</v>
      </c>
      <c r="BG546">
        <f t="shared" si="321"/>
        <v>0</v>
      </c>
      <c r="BH546">
        <f t="shared" si="322"/>
        <v>0</v>
      </c>
      <c r="BI546">
        <f t="shared" si="323"/>
        <v>0</v>
      </c>
    </row>
    <row r="547" spans="1:61" x14ac:dyDescent="0.35">
      <c r="A547" t="s">
        <v>51</v>
      </c>
      <c r="B547" s="1">
        <v>36160</v>
      </c>
      <c r="C547" t="s">
        <v>1115</v>
      </c>
      <c r="D547" t="s">
        <v>59</v>
      </c>
      <c r="E547" t="s">
        <v>732</v>
      </c>
      <c r="F547" t="s">
        <v>577</v>
      </c>
      <c r="G547" t="s">
        <v>47</v>
      </c>
      <c r="H547" s="139">
        <f t="shared" si="297"/>
        <v>0</v>
      </c>
      <c r="I547" t="s">
        <v>234</v>
      </c>
      <c r="J547" t="s">
        <v>186</v>
      </c>
      <c r="K547" s="2">
        <f t="shared" si="300"/>
        <v>4</v>
      </c>
      <c r="L547">
        <v>442000000</v>
      </c>
      <c r="M547" s="2">
        <f t="shared" si="301"/>
        <v>8.6454222693490923</v>
      </c>
      <c r="N547">
        <f t="shared" si="324"/>
        <v>442000000</v>
      </c>
      <c r="O547">
        <v>0</v>
      </c>
      <c r="P547" s="1">
        <v>37925</v>
      </c>
      <c r="Q547" s="89">
        <f t="shared" si="302"/>
        <v>2003</v>
      </c>
      <c r="R547" t="s">
        <v>107</v>
      </c>
      <c r="S547">
        <v>839270000</v>
      </c>
      <c r="T547" s="21">
        <f t="shared" si="294"/>
        <v>4.8356164383561646</v>
      </c>
      <c r="U547">
        <v>0</v>
      </c>
      <c r="V547">
        <f t="shared" si="303"/>
        <v>0</v>
      </c>
      <c r="W547">
        <v>1975</v>
      </c>
      <c r="X547">
        <v>23</v>
      </c>
      <c r="Y547">
        <f t="shared" si="304"/>
        <v>1.3802112417116059</v>
      </c>
      <c r="Z547" s="45">
        <v>3.29</v>
      </c>
      <c r="AA547" s="9">
        <f t="shared" si="293"/>
        <v>397270000</v>
      </c>
      <c r="AB547" s="15">
        <f t="shared" si="295"/>
        <v>0.89880090497737553</v>
      </c>
      <c r="AC547" s="34">
        <f t="shared" si="305"/>
        <v>0.27847943003314923</v>
      </c>
      <c r="AD547">
        <v>1655.11</v>
      </c>
      <c r="AE547">
        <f t="shared" si="298"/>
        <v>3.2188268626467691</v>
      </c>
      <c r="AF547">
        <v>5715.55</v>
      </c>
      <c r="AG547">
        <f t="shared" si="299"/>
        <v>3.7570580283396975</v>
      </c>
      <c r="AH547" s="9">
        <v>0</v>
      </c>
      <c r="AI547" s="9">
        <f t="shared" si="306"/>
        <v>0</v>
      </c>
      <c r="AJ547">
        <v>85</v>
      </c>
      <c r="AK547" s="23" t="s">
        <v>249</v>
      </c>
      <c r="AL547" s="42">
        <v>35.516899069648296</v>
      </c>
      <c r="AM547" s="24">
        <v>-0.15</v>
      </c>
      <c r="AN547" s="34">
        <f t="shared" si="307"/>
        <v>-7.0581074285707285E-2</v>
      </c>
      <c r="AO547">
        <v>1986</v>
      </c>
      <c r="AP547">
        <v>12</v>
      </c>
      <c r="AQ547">
        <v>70</v>
      </c>
      <c r="AR547">
        <v>70</v>
      </c>
      <c r="AS547">
        <f t="shared" si="296"/>
        <v>0</v>
      </c>
      <c r="AT547">
        <f t="shared" si="308"/>
        <v>0</v>
      </c>
      <c r="AU547">
        <f t="shared" si="309"/>
        <v>1</v>
      </c>
      <c r="AV547">
        <f t="shared" si="310"/>
        <v>0</v>
      </c>
      <c r="AW547">
        <f t="shared" si="311"/>
        <v>0</v>
      </c>
      <c r="AX547">
        <f t="shared" si="312"/>
        <v>0</v>
      </c>
      <c r="AY547">
        <f t="shared" si="313"/>
        <v>0</v>
      </c>
      <c r="AZ547">
        <f t="shared" si="314"/>
        <v>0</v>
      </c>
      <c r="BA547">
        <f t="shared" si="315"/>
        <v>0</v>
      </c>
      <c r="BB547">
        <f t="shared" si="316"/>
        <v>0</v>
      </c>
      <c r="BC547">
        <f t="shared" si="317"/>
        <v>0</v>
      </c>
      <c r="BD547">
        <f t="shared" si="318"/>
        <v>0</v>
      </c>
      <c r="BE547">
        <f t="shared" si="319"/>
        <v>0</v>
      </c>
      <c r="BF547">
        <f t="shared" si="320"/>
        <v>0</v>
      </c>
      <c r="BG547">
        <f t="shared" si="321"/>
        <v>0</v>
      </c>
      <c r="BH547">
        <f t="shared" si="322"/>
        <v>0</v>
      </c>
      <c r="BI547">
        <f t="shared" si="323"/>
        <v>0</v>
      </c>
    </row>
    <row r="548" spans="1:61" x14ac:dyDescent="0.35">
      <c r="A548" t="s">
        <v>51</v>
      </c>
      <c r="B548" s="1">
        <v>39849</v>
      </c>
      <c r="C548" s="8" t="s">
        <v>1116</v>
      </c>
      <c r="D548" t="s">
        <v>59</v>
      </c>
      <c r="E548" t="s">
        <v>737</v>
      </c>
      <c r="F548" t="s">
        <v>577</v>
      </c>
      <c r="G548" t="s">
        <v>47</v>
      </c>
      <c r="H548" s="139">
        <f t="shared" si="297"/>
        <v>0</v>
      </c>
      <c r="I548" t="s">
        <v>234</v>
      </c>
      <c r="J548" t="s">
        <v>178</v>
      </c>
      <c r="K548" s="2">
        <f t="shared" si="300"/>
        <v>9</v>
      </c>
      <c r="L548">
        <v>1026120000</v>
      </c>
      <c r="M548" s="2">
        <f t="shared" si="301"/>
        <v>9.0111981524818265</v>
      </c>
      <c r="N548">
        <f t="shared" si="324"/>
        <v>1026120000</v>
      </c>
      <c r="O548">
        <v>0</v>
      </c>
      <c r="P548" s="1">
        <v>41121</v>
      </c>
      <c r="Q548" s="89">
        <f t="shared" si="302"/>
        <v>2012</v>
      </c>
      <c r="R548" t="s">
        <v>107</v>
      </c>
      <c r="S548">
        <v>5000000000</v>
      </c>
      <c r="T548" s="21">
        <f t="shared" si="294"/>
        <v>3.484931506849315</v>
      </c>
      <c r="U548">
        <v>0</v>
      </c>
      <c r="V548">
        <f t="shared" si="303"/>
        <v>0</v>
      </c>
      <c r="W548">
        <v>1988</v>
      </c>
      <c r="X548">
        <v>21</v>
      </c>
      <c r="Y548">
        <f t="shared" si="304"/>
        <v>1.3424226808222062</v>
      </c>
      <c r="Z548" s="45">
        <v>3.29</v>
      </c>
      <c r="AA548" s="9">
        <f t="shared" si="293"/>
        <v>3973880000</v>
      </c>
      <c r="AB548" s="15">
        <f t="shared" si="295"/>
        <v>3.8727244376875998</v>
      </c>
      <c r="AC548" s="34">
        <f t="shared" si="305"/>
        <v>0.68777185185419265</v>
      </c>
      <c r="AD548">
        <v>1861.76</v>
      </c>
      <c r="AE548">
        <f t="shared" si="298"/>
        <v>3.2699236952309465</v>
      </c>
      <c r="AF548">
        <v>4993.92</v>
      </c>
      <c r="AG548">
        <f t="shared" si="299"/>
        <v>3.6984415808994222</v>
      </c>
      <c r="AH548" s="9">
        <v>0</v>
      </c>
      <c r="AI548" s="9">
        <f t="shared" si="306"/>
        <v>0</v>
      </c>
      <c r="AJ548">
        <v>89.8</v>
      </c>
      <c r="AK548" s="23" t="s">
        <v>130</v>
      </c>
      <c r="AL548" s="42">
        <v>47.307367293927399</v>
      </c>
      <c r="AM548" s="24">
        <v>0.63</v>
      </c>
      <c r="AN548" s="34">
        <f t="shared" si="307"/>
        <v>0.21218760440395779</v>
      </c>
      <c r="AO548">
        <v>1985</v>
      </c>
      <c r="AP548">
        <v>24</v>
      </c>
      <c r="AQ548">
        <v>70</v>
      </c>
      <c r="AR548">
        <v>70</v>
      </c>
      <c r="AS548">
        <f t="shared" si="296"/>
        <v>0</v>
      </c>
      <c r="AT548">
        <f t="shared" si="308"/>
        <v>0</v>
      </c>
      <c r="AU548">
        <f t="shared" si="309"/>
        <v>1</v>
      </c>
      <c r="AV548">
        <f t="shared" si="310"/>
        <v>0</v>
      </c>
      <c r="AW548">
        <f t="shared" si="311"/>
        <v>0</v>
      </c>
      <c r="AX548">
        <f t="shared" si="312"/>
        <v>0</v>
      </c>
      <c r="AY548">
        <f t="shared" si="313"/>
        <v>0</v>
      </c>
      <c r="AZ548">
        <f t="shared" si="314"/>
        <v>0</v>
      </c>
      <c r="BA548">
        <f t="shared" si="315"/>
        <v>0</v>
      </c>
      <c r="BB548">
        <f t="shared" si="316"/>
        <v>0</v>
      </c>
      <c r="BC548">
        <f t="shared" si="317"/>
        <v>0</v>
      </c>
      <c r="BD548">
        <f t="shared" si="318"/>
        <v>0</v>
      </c>
      <c r="BE548">
        <f t="shared" si="319"/>
        <v>0</v>
      </c>
      <c r="BF548">
        <f t="shared" si="320"/>
        <v>0</v>
      </c>
      <c r="BG548">
        <f t="shared" si="321"/>
        <v>0</v>
      </c>
      <c r="BH548">
        <f t="shared" si="322"/>
        <v>0</v>
      </c>
      <c r="BI548">
        <f t="shared" si="323"/>
        <v>0</v>
      </c>
    </row>
    <row r="549" spans="1:61" x14ac:dyDescent="0.35">
      <c r="A549" t="s">
        <v>51</v>
      </c>
      <c r="B549" s="1">
        <v>39335</v>
      </c>
      <c r="C549" t="s">
        <v>1117</v>
      </c>
      <c r="D549" t="s">
        <v>59</v>
      </c>
      <c r="E549" t="s">
        <v>748</v>
      </c>
      <c r="F549" t="s">
        <v>577</v>
      </c>
      <c r="G549" t="s">
        <v>47</v>
      </c>
      <c r="H549" s="139">
        <f t="shared" si="297"/>
        <v>0</v>
      </c>
      <c r="I549" t="s">
        <v>234</v>
      </c>
      <c r="J549" t="s">
        <v>245</v>
      </c>
      <c r="K549" s="2">
        <f t="shared" si="300"/>
        <v>6</v>
      </c>
      <c r="L549">
        <v>6150000000</v>
      </c>
      <c r="M549" s="2">
        <f t="shared" si="301"/>
        <v>9.7888751157754168</v>
      </c>
      <c r="N549">
        <f t="shared" si="324"/>
        <v>6150000000</v>
      </c>
      <c r="O549">
        <v>0</v>
      </c>
      <c r="P549" s="1">
        <v>42482</v>
      </c>
      <c r="Q549" s="89">
        <f t="shared" si="302"/>
        <v>2016</v>
      </c>
      <c r="R549" t="s">
        <v>322</v>
      </c>
      <c r="S549">
        <v>1479800000</v>
      </c>
      <c r="T549" s="21">
        <f t="shared" si="294"/>
        <v>8.6219178082191785</v>
      </c>
      <c r="U549">
        <v>0</v>
      </c>
      <c r="V549">
        <f t="shared" si="303"/>
        <v>0</v>
      </c>
      <c r="W549">
        <v>1959</v>
      </c>
      <c r="X549">
        <v>48</v>
      </c>
      <c r="Y549">
        <f t="shared" si="304"/>
        <v>1.6901960800285136</v>
      </c>
      <c r="Z549" s="45">
        <v>3.29</v>
      </c>
      <c r="AA549" s="9">
        <f t="shared" si="293"/>
        <v>-4670200000</v>
      </c>
      <c r="AB549" s="15">
        <f t="shared" si="295"/>
        <v>-0.75938211382113818</v>
      </c>
      <c r="AC549" s="34">
        <f t="shared" si="305"/>
        <v>-0.61867209278975244</v>
      </c>
      <c r="AD549">
        <v>1861.76</v>
      </c>
      <c r="AE549">
        <f t="shared" si="298"/>
        <v>3.2699236952309465</v>
      </c>
      <c r="AF549">
        <v>4993.92</v>
      </c>
      <c r="AG549">
        <f t="shared" si="299"/>
        <v>3.6984415808994222</v>
      </c>
      <c r="AH549" s="9">
        <v>0</v>
      </c>
      <c r="AI549" s="9">
        <f t="shared" si="306"/>
        <v>0</v>
      </c>
      <c r="AJ549">
        <v>91.2</v>
      </c>
      <c r="AK549" s="23" t="s">
        <v>191</v>
      </c>
      <c r="AL549" s="42">
        <v>40.902544500539101</v>
      </c>
      <c r="AM549" s="24">
        <v>0.44</v>
      </c>
      <c r="AN549" s="34">
        <f t="shared" si="307"/>
        <v>0.15836249209524964</v>
      </c>
      <c r="AO549">
        <v>1985</v>
      </c>
      <c r="AP549">
        <v>22</v>
      </c>
      <c r="AQ549">
        <v>70</v>
      </c>
      <c r="AR549">
        <v>70</v>
      </c>
      <c r="AS549">
        <f t="shared" si="296"/>
        <v>0</v>
      </c>
      <c r="AT549">
        <f t="shared" si="308"/>
        <v>0</v>
      </c>
      <c r="AU549">
        <f t="shared" si="309"/>
        <v>1</v>
      </c>
      <c r="AV549">
        <f t="shared" si="310"/>
        <v>0</v>
      </c>
      <c r="AW549">
        <f t="shared" si="311"/>
        <v>0</v>
      </c>
      <c r="AX549">
        <f t="shared" si="312"/>
        <v>0</v>
      </c>
      <c r="AY549">
        <f t="shared" si="313"/>
        <v>0</v>
      </c>
      <c r="AZ549">
        <f t="shared" si="314"/>
        <v>0</v>
      </c>
      <c r="BA549">
        <f t="shared" si="315"/>
        <v>0</v>
      </c>
      <c r="BB549">
        <f t="shared" si="316"/>
        <v>0</v>
      </c>
      <c r="BC549">
        <f t="shared" si="317"/>
        <v>0</v>
      </c>
      <c r="BD549">
        <f t="shared" si="318"/>
        <v>0</v>
      </c>
      <c r="BE549">
        <f t="shared" si="319"/>
        <v>0</v>
      </c>
      <c r="BF549">
        <f t="shared" si="320"/>
        <v>0</v>
      </c>
      <c r="BG549">
        <f t="shared" si="321"/>
        <v>0</v>
      </c>
      <c r="BH549">
        <f t="shared" si="322"/>
        <v>0</v>
      </c>
      <c r="BI549">
        <f t="shared" si="323"/>
        <v>0</v>
      </c>
    </row>
    <row r="550" spans="1:61" x14ac:dyDescent="0.35">
      <c r="A550" t="s">
        <v>51</v>
      </c>
      <c r="B550" s="1">
        <v>38798</v>
      </c>
      <c r="C550" t="s">
        <v>1118</v>
      </c>
      <c r="D550" t="s">
        <v>59</v>
      </c>
      <c r="E550" t="s">
        <v>737</v>
      </c>
      <c r="F550" t="s">
        <v>577</v>
      </c>
      <c r="G550" t="s">
        <v>47</v>
      </c>
      <c r="H550" s="139">
        <f t="shared" si="297"/>
        <v>0</v>
      </c>
      <c r="I550" t="s">
        <v>234</v>
      </c>
      <c r="J550" t="s">
        <v>186</v>
      </c>
      <c r="K550" s="2">
        <f t="shared" si="300"/>
        <v>4</v>
      </c>
      <c r="L550">
        <v>320000000</v>
      </c>
      <c r="M550" s="2">
        <f t="shared" si="301"/>
        <v>8.5051499783199063</v>
      </c>
      <c r="N550">
        <f t="shared" si="324"/>
        <v>320000000</v>
      </c>
      <c r="O550">
        <v>0</v>
      </c>
      <c r="P550" s="1">
        <v>41905</v>
      </c>
      <c r="Q550" s="89">
        <f t="shared" si="302"/>
        <v>2014</v>
      </c>
      <c r="R550" t="s">
        <v>107</v>
      </c>
      <c r="S550">
        <v>531000000</v>
      </c>
      <c r="T550" s="21">
        <f t="shared" si="294"/>
        <v>8.5123287671232877</v>
      </c>
      <c r="U550">
        <v>0</v>
      </c>
      <c r="V550">
        <f t="shared" si="303"/>
        <v>0</v>
      </c>
      <c r="W550">
        <v>1996</v>
      </c>
      <c r="X550">
        <v>10</v>
      </c>
      <c r="Y550">
        <f t="shared" si="304"/>
        <v>1.0413926851582251</v>
      </c>
      <c r="Z550" s="45">
        <v>3.29</v>
      </c>
      <c r="AA550" s="9">
        <f t="shared" si="293"/>
        <v>211000000</v>
      </c>
      <c r="AB550" s="15">
        <f t="shared" si="295"/>
        <v>0.65937500000000004</v>
      </c>
      <c r="AC550" s="34">
        <f t="shared" si="305"/>
        <v>0.21994454276156311</v>
      </c>
      <c r="AD550">
        <v>1861.76</v>
      </c>
      <c r="AE550">
        <f t="shared" si="298"/>
        <v>3.2699236952309465</v>
      </c>
      <c r="AF550">
        <v>4993.92</v>
      </c>
      <c r="AG550">
        <f t="shared" si="299"/>
        <v>3.6984415808994222</v>
      </c>
      <c r="AH550" s="9">
        <v>0</v>
      </c>
      <c r="AI550" s="9">
        <f t="shared" si="306"/>
        <v>0</v>
      </c>
      <c r="AJ550">
        <v>91.5</v>
      </c>
      <c r="AK550" s="23" t="s">
        <v>78</v>
      </c>
      <c r="AL550" s="42">
        <v>40.767390998852598</v>
      </c>
      <c r="AM550" s="24">
        <v>0.52</v>
      </c>
      <c r="AN550" s="34">
        <f t="shared" si="307"/>
        <v>0.18184358794477254</v>
      </c>
      <c r="AO550">
        <v>1985</v>
      </c>
      <c r="AP550">
        <v>21</v>
      </c>
      <c r="AQ550">
        <v>70</v>
      </c>
      <c r="AR550">
        <v>70</v>
      </c>
      <c r="AS550">
        <f t="shared" si="296"/>
        <v>0</v>
      </c>
      <c r="AT550">
        <f t="shared" si="308"/>
        <v>0</v>
      </c>
      <c r="AU550">
        <f t="shared" si="309"/>
        <v>1</v>
      </c>
      <c r="AV550">
        <f t="shared" si="310"/>
        <v>0</v>
      </c>
      <c r="AW550">
        <f t="shared" si="311"/>
        <v>0</v>
      </c>
      <c r="AX550">
        <f t="shared" si="312"/>
        <v>0</v>
      </c>
      <c r="AY550">
        <f t="shared" si="313"/>
        <v>0</v>
      </c>
      <c r="AZ550">
        <f t="shared" si="314"/>
        <v>0</v>
      </c>
      <c r="BA550">
        <f t="shared" si="315"/>
        <v>0</v>
      </c>
      <c r="BB550">
        <f t="shared" si="316"/>
        <v>0</v>
      </c>
      <c r="BC550">
        <f t="shared" si="317"/>
        <v>0</v>
      </c>
      <c r="BD550">
        <f t="shared" si="318"/>
        <v>0</v>
      </c>
      <c r="BE550">
        <f t="shared" si="319"/>
        <v>0</v>
      </c>
      <c r="BF550">
        <f t="shared" si="320"/>
        <v>0</v>
      </c>
      <c r="BG550">
        <f t="shared" si="321"/>
        <v>0</v>
      </c>
      <c r="BH550">
        <f t="shared" si="322"/>
        <v>0</v>
      </c>
      <c r="BI550">
        <f t="shared" si="323"/>
        <v>0</v>
      </c>
    </row>
    <row r="551" spans="1:61" x14ac:dyDescent="0.35">
      <c r="A551" t="s">
        <v>51</v>
      </c>
      <c r="B551" s="1">
        <v>38261</v>
      </c>
      <c r="C551" t="s">
        <v>1119</v>
      </c>
      <c r="D551" t="s">
        <v>59</v>
      </c>
      <c r="E551" t="s">
        <v>748</v>
      </c>
      <c r="F551" t="s">
        <v>577</v>
      </c>
      <c r="G551" t="s">
        <v>47</v>
      </c>
      <c r="H551" s="139">
        <f t="shared" si="297"/>
        <v>0</v>
      </c>
      <c r="I551" t="s">
        <v>234</v>
      </c>
      <c r="J551" t="s">
        <v>248</v>
      </c>
      <c r="K551" s="2">
        <f t="shared" si="300"/>
        <v>5</v>
      </c>
      <c r="L551">
        <v>1750000000</v>
      </c>
      <c r="M551" s="2">
        <f t="shared" si="301"/>
        <v>9.2430380486862944</v>
      </c>
      <c r="N551">
        <f t="shared" si="324"/>
        <v>1750000000</v>
      </c>
      <c r="O551">
        <v>0</v>
      </c>
      <c r="P551" s="1">
        <v>42564</v>
      </c>
      <c r="Q551" s="89">
        <f t="shared" si="302"/>
        <v>2016</v>
      </c>
      <c r="R551" t="s">
        <v>322</v>
      </c>
      <c r="S551">
        <f>(1119089000+180950000)</f>
        <v>1300039000</v>
      </c>
      <c r="T551" s="21">
        <f t="shared" si="294"/>
        <v>11.789041095890411</v>
      </c>
      <c r="U551">
        <v>0</v>
      </c>
      <c r="V551">
        <f t="shared" si="303"/>
        <v>0</v>
      </c>
      <c r="W551">
        <v>1905</v>
      </c>
      <c r="X551">
        <v>99</v>
      </c>
      <c r="Y551">
        <f t="shared" si="304"/>
        <v>2</v>
      </c>
      <c r="Z551" s="45">
        <v>3.29</v>
      </c>
      <c r="AA551" s="9">
        <f t="shared" si="293"/>
        <v>-449961000</v>
      </c>
      <c r="AB551" s="15">
        <f t="shared" si="295"/>
        <v>-0.25712057142857148</v>
      </c>
      <c r="AC551" s="34">
        <f t="shared" si="305"/>
        <v>-0.1290816677404292</v>
      </c>
      <c r="AD551">
        <v>1861.76</v>
      </c>
      <c r="AE551">
        <f t="shared" si="298"/>
        <v>3.2699236952309465</v>
      </c>
      <c r="AF551">
        <v>4993.92</v>
      </c>
      <c r="AG551">
        <f t="shared" si="299"/>
        <v>3.6984415808994222</v>
      </c>
      <c r="AH551" s="9">
        <v>0</v>
      </c>
      <c r="AI551" s="9">
        <f t="shared" si="306"/>
        <v>0</v>
      </c>
      <c r="AJ551">
        <v>85</v>
      </c>
      <c r="AK551" s="23" t="s">
        <v>89</v>
      </c>
      <c r="AL551" s="42">
        <v>40.040400531970803</v>
      </c>
      <c r="AM551" s="24">
        <v>0.9</v>
      </c>
      <c r="AN551" s="34">
        <f t="shared" si="307"/>
        <v>0.27875360095282892</v>
      </c>
      <c r="AO551">
        <v>1985</v>
      </c>
      <c r="AP551">
        <v>19</v>
      </c>
      <c r="AQ551">
        <v>70</v>
      </c>
      <c r="AR551">
        <v>70</v>
      </c>
      <c r="AS551">
        <f t="shared" si="296"/>
        <v>0</v>
      </c>
      <c r="AT551">
        <f t="shared" si="308"/>
        <v>0</v>
      </c>
      <c r="AU551">
        <f t="shared" si="309"/>
        <v>1</v>
      </c>
      <c r="AV551">
        <f t="shared" si="310"/>
        <v>0</v>
      </c>
      <c r="AW551">
        <f t="shared" si="311"/>
        <v>0</v>
      </c>
      <c r="AX551">
        <f t="shared" si="312"/>
        <v>0</v>
      </c>
      <c r="AY551">
        <f t="shared" si="313"/>
        <v>0</v>
      </c>
      <c r="AZ551">
        <f t="shared" si="314"/>
        <v>0</v>
      </c>
      <c r="BA551">
        <f t="shared" si="315"/>
        <v>0</v>
      </c>
      <c r="BB551">
        <f t="shared" si="316"/>
        <v>0</v>
      </c>
      <c r="BC551">
        <f t="shared" si="317"/>
        <v>0</v>
      </c>
      <c r="BD551">
        <f t="shared" si="318"/>
        <v>0</v>
      </c>
      <c r="BE551">
        <f t="shared" si="319"/>
        <v>0</v>
      </c>
      <c r="BF551">
        <f t="shared" si="320"/>
        <v>0</v>
      </c>
      <c r="BG551">
        <f t="shared" si="321"/>
        <v>0</v>
      </c>
      <c r="BH551">
        <f t="shared" si="322"/>
        <v>0</v>
      </c>
      <c r="BI551">
        <f t="shared" si="323"/>
        <v>0</v>
      </c>
    </row>
    <row r="552" spans="1:61" x14ac:dyDescent="0.35">
      <c r="A552" t="s">
        <v>51</v>
      </c>
      <c r="B552" s="1">
        <v>38084</v>
      </c>
      <c r="C552" t="s">
        <v>1120</v>
      </c>
      <c r="D552" t="s">
        <v>59</v>
      </c>
      <c r="E552" t="s">
        <v>750</v>
      </c>
      <c r="F552" t="s">
        <v>577</v>
      </c>
      <c r="G552" t="s">
        <v>47</v>
      </c>
      <c r="H552" s="139">
        <f t="shared" si="297"/>
        <v>0</v>
      </c>
      <c r="I552" t="s">
        <v>234</v>
      </c>
      <c r="J552" t="s">
        <v>248</v>
      </c>
      <c r="K552" s="2">
        <f t="shared" si="300"/>
        <v>5</v>
      </c>
      <c r="L552">
        <v>660500000</v>
      </c>
      <c r="M552" s="2">
        <f t="shared" si="301"/>
        <v>8.8198728219505469</v>
      </c>
      <c r="N552">
        <v>696000000</v>
      </c>
      <c r="O552">
        <v>-35500000</v>
      </c>
      <c r="P552" s="1">
        <v>42181</v>
      </c>
      <c r="Q552" s="89">
        <f t="shared" si="302"/>
        <v>2015</v>
      </c>
      <c r="R552" t="s">
        <v>107</v>
      </c>
      <c r="S552">
        <v>1782800000</v>
      </c>
      <c r="T552" s="21">
        <f t="shared" si="294"/>
        <v>11.224657534246575</v>
      </c>
      <c r="U552">
        <v>0</v>
      </c>
      <c r="V552">
        <f t="shared" si="303"/>
        <v>0</v>
      </c>
      <c r="W552">
        <v>1969</v>
      </c>
      <c r="X552">
        <v>35</v>
      </c>
      <c r="Y552">
        <f t="shared" si="304"/>
        <v>1.5563025007672873</v>
      </c>
      <c r="Z552" s="45">
        <v>3.29</v>
      </c>
      <c r="AA552" s="9">
        <f t="shared" si="293"/>
        <v>1086800000</v>
      </c>
      <c r="AB552" s="15">
        <f t="shared" si="295"/>
        <v>1.6991672975018925</v>
      </c>
      <c r="AC552" s="34">
        <f t="shared" si="305"/>
        <v>0.43122980346359274</v>
      </c>
      <c r="AD552">
        <v>1861.76</v>
      </c>
      <c r="AE552">
        <f t="shared" si="298"/>
        <v>3.2699236952309465</v>
      </c>
      <c r="AF552">
        <v>4993.92</v>
      </c>
      <c r="AG552">
        <f t="shared" si="299"/>
        <v>3.6984415808994222</v>
      </c>
      <c r="AH552" s="9">
        <v>0</v>
      </c>
      <c r="AI552" s="9">
        <f t="shared" si="306"/>
        <v>0</v>
      </c>
      <c r="AJ552">
        <v>85</v>
      </c>
      <c r="AK552" s="23" t="s">
        <v>89</v>
      </c>
      <c r="AL552" s="42">
        <v>40.040400531970803</v>
      </c>
      <c r="AM552" s="24">
        <v>0.84</v>
      </c>
      <c r="AN552" s="34">
        <f t="shared" si="307"/>
        <v>0.26481782300953643</v>
      </c>
      <c r="AO552">
        <v>1985</v>
      </c>
      <c r="AP552">
        <v>19</v>
      </c>
      <c r="AQ552">
        <v>70</v>
      </c>
      <c r="AR552">
        <v>70</v>
      </c>
      <c r="AS552">
        <f t="shared" si="296"/>
        <v>0</v>
      </c>
      <c r="AT552">
        <f t="shared" si="308"/>
        <v>0</v>
      </c>
      <c r="AU552">
        <f t="shared" si="309"/>
        <v>1</v>
      </c>
      <c r="AV552">
        <f t="shared" si="310"/>
        <v>0</v>
      </c>
      <c r="AW552">
        <f t="shared" si="311"/>
        <v>0</v>
      </c>
      <c r="AX552">
        <f t="shared" si="312"/>
        <v>0</v>
      </c>
      <c r="AY552">
        <f t="shared" si="313"/>
        <v>0</v>
      </c>
      <c r="AZ552">
        <f t="shared" si="314"/>
        <v>0</v>
      </c>
      <c r="BA552">
        <f t="shared" si="315"/>
        <v>0</v>
      </c>
      <c r="BB552">
        <f t="shared" si="316"/>
        <v>0</v>
      </c>
      <c r="BC552">
        <f t="shared" si="317"/>
        <v>0</v>
      </c>
      <c r="BD552">
        <f t="shared" si="318"/>
        <v>0</v>
      </c>
      <c r="BE552">
        <f t="shared" si="319"/>
        <v>0</v>
      </c>
      <c r="BF552">
        <f t="shared" si="320"/>
        <v>0</v>
      </c>
      <c r="BG552">
        <f t="shared" si="321"/>
        <v>0</v>
      </c>
      <c r="BH552">
        <f t="shared" si="322"/>
        <v>0</v>
      </c>
      <c r="BI552">
        <f t="shared" si="323"/>
        <v>0</v>
      </c>
    </row>
    <row r="553" spans="1:61" x14ac:dyDescent="0.35">
      <c r="A553" t="s">
        <v>51</v>
      </c>
      <c r="B553" s="1">
        <v>37972</v>
      </c>
      <c r="C553" t="s">
        <v>1121</v>
      </c>
      <c r="D553" t="s">
        <v>59</v>
      </c>
      <c r="E553" t="s">
        <v>750</v>
      </c>
      <c r="F553" t="s">
        <v>577</v>
      </c>
      <c r="G553" t="s">
        <v>47</v>
      </c>
      <c r="H553" s="139">
        <f t="shared" si="297"/>
        <v>0</v>
      </c>
      <c r="I553" t="s">
        <v>234</v>
      </c>
      <c r="J553" t="s">
        <v>186</v>
      </c>
      <c r="K553" s="2">
        <f t="shared" si="300"/>
        <v>4</v>
      </c>
      <c r="L553">
        <v>976170000</v>
      </c>
      <c r="M553" s="2">
        <f t="shared" si="301"/>
        <v>8.9895254566347216</v>
      </c>
      <c r="N553">
        <v>916510000</v>
      </c>
      <c r="O553">
        <v>59660000</v>
      </c>
      <c r="P553" s="1">
        <v>38729</v>
      </c>
      <c r="Q553" s="89">
        <f t="shared" si="302"/>
        <v>2006</v>
      </c>
      <c r="R553" t="s">
        <v>322</v>
      </c>
      <c r="S553">
        <v>238130000</v>
      </c>
      <c r="T553" s="21">
        <f t="shared" si="294"/>
        <v>2.0739726027397261</v>
      </c>
      <c r="U553">
        <v>0</v>
      </c>
      <c r="V553">
        <f t="shared" si="303"/>
        <v>0</v>
      </c>
      <c r="W553">
        <v>1979</v>
      </c>
      <c r="X553">
        <v>24</v>
      </c>
      <c r="Y553">
        <f t="shared" si="304"/>
        <v>1.3979400086720377</v>
      </c>
      <c r="Z553" s="45">
        <v>3.29</v>
      </c>
      <c r="AA553" s="9">
        <f t="shared" si="293"/>
        <v>-678380000</v>
      </c>
      <c r="AB553" s="15">
        <f t="shared" si="295"/>
        <v>-0.75605683436286708</v>
      </c>
      <c r="AC553" s="34">
        <f t="shared" si="305"/>
        <v>-0.6127113446665251</v>
      </c>
      <c r="AD553">
        <v>1861.76</v>
      </c>
      <c r="AE553">
        <f t="shared" si="298"/>
        <v>3.2699236952309465</v>
      </c>
      <c r="AF553">
        <v>4993.92</v>
      </c>
      <c r="AG553">
        <f t="shared" si="299"/>
        <v>3.6984415808994222</v>
      </c>
      <c r="AH553" s="9">
        <v>0</v>
      </c>
      <c r="AI553" s="9">
        <f t="shared" si="306"/>
        <v>0</v>
      </c>
      <c r="AJ553">
        <v>85</v>
      </c>
      <c r="AK553" s="23" t="s">
        <v>246</v>
      </c>
      <c r="AL553" s="42">
        <v>38.7850112673514</v>
      </c>
      <c r="AM553" s="24">
        <v>0.19</v>
      </c>
      <c r="AN553" s="34">
        <f t="shared" si="307"/>
        <v>7.554696139253074E-2</v>
      </c>
      <c r="AO553">
        <v>1985</v>
      </c>
      <c r="AP553">
        <v>18</v>
      </c>
      <c r="AQ553">
        <v>70</v>
      </c>
      <c r="AR553">
        <v>70</v>
      </c>
      <c r="AS553">
        <f t="shared" si="296"/>
        <v>0</v>
      </c>
      <c r="AT553">
        <f t="shared" si="308"/>
        <v>0</v>
      </c>
      <c r="AU553">
        <f t="shared" si="309"/>
        <v>1</v>
      </c>
      <c r="AV553">
        <f t="shared" si="310"/>
        <v>0</v>
      </c>
      <c r="AW553">
        <f t="shared" si="311"/>
        <v>0</v>
      </c>
      <c r="AX553">
        <f t="shared" si="312"/>
        <v>0</v>
      </c>
      <c r="AY553">
        <f t="shared" si="313"/>
        <v>0</v>
      </c>
      <c r="AZ553">
        <f t="shared" si="314"/>
        <v>0</v>
      </c>
      <c r="BA553">
        <f t="shared" si="315"/>
        <v>0</v>
      </c>
      <c r="BB553">
        <f t="shared" si="316"/>
        <v>0</v>
      </c>
      <c r="BC553">
        <f t="shared" si="317"/>
        <v>0</v>
      </c>
      <c r="BD553">
        <f t="shared" si="318"/>
        <v>0</v>
      </c>
      <c r="BE553">
        <f t="shared" si="319"/>
        <v>0</v>
      </c>
      <c r="BF553">
        <f t="shared" si="320"/>
        <v>0</v>
      </c>
      <c r="BG553">
        <f t="shared" si="321"/>
        <v>0</v>
      </c>
      <c r="BH553">
        <f t="shared" si="322"/>
        <v>0</v>
      </c>
      <c r="BI553">
        <f t="shared" si="323"/>
        <v>0</v>
      </c>
    </row>
    <row r="554" spans="1:61" x14ac:dyDescent="0.35">
      <c r="A554" t="s">
        <v>51</v>
      </c>
      <c r="B554" s="1">
        <v>37656</v>
      </c>
      <c r="C554" t="s">
        <v>1122</v>
      </c>
      <c r="D554" t="s">
        <v>59</v>
      </c>
      <c r="E554" t="s">
        <v>750</v>
      </c>
      <c r="F554" t="s">
        <v>577</v>
      </c>
      <c r="G554" t="s">
        <v>47</v>
      </c>
      <c r="H554" s="139">
        <f t="shared" si="297"/>
        <v>0</v>
      </c>
      <c r="I554" t="s">
        <v>234</v>
      </c>
      <c r="J554" t="s">
        <v>248</v>
      </c>
      <c r="K554" s="2">
        <f t="shared" si="300"/>
        <v>5</v>
      </c>
      <c r="L554">
        <v>712000000</v>
      </c>
      <c r="M554" s="2">
        <f t="shared" si="301"/>
        <v>8.852479993636857</v>
      </c>
      <c r="N554">
        <f>L554</f>
        <v>712000000</v>
      </c>
      <c r="O554">
        <v>0</v>
      </c>
      <c r="P554" s="1">
        <v>38966</v>
      </c>
      <c r="Q554" s="89">
        <f t="shared" si="302"/>
        <v>2006</v>
      </c>
      <c r="R554" t="s">
        <v>54</v>
      </c>
      <c r="S554">
        <v>675000000</v>
      </c>
      <c r="T554" s="21">
        <f t="shared" si="294"/>
        <v>3.5890410958904111</v>
      </c>
      <c r="U554">
        <v>0</v>
      </c>
      <c r="V554">
        <f t="shared" si="303"/>
        <v>0</v>
      </c>
      <c r="W554">
        <v>1958</v>
      </c>
      <c r="X554">
        <v>45</v>
      </c>
      <c r="Y554">
        <f t="shared" si="304"/>
        <v>1.6627578316815741</v>
      </c>
      <c r="Z554" s="45">
        <v>3.29</v>
      </c>
      <c r="AA554" s="9">
        <f t="shared" si="293"/>
        <v>-37000000</v>
      </c>
      <c r="AB554" s="15">
        <f t="shared" si="295"/>
        <v>-5.1966292134831504E-2</v>
      </c>
      <c r="AC554" s="34">
        <f t="shared" si="305"/>
        <v>-2.3176220805831468E-2</v>
      </c>
      <c r="AD554">
        <v>1861.76</v>
      </c>
      <c r="AE554">
        <f t="shared" si="298"/>
        <v>3.2699236952309465</v>
      </c>
      <c r="AF554">
        <v>4993.92</v>
      </c>
      <c r="AG554">
        <f t="shared" si="299"/>
        <v>3.6984415808994222</v>
      </c>
      <c r="AH554" s="9">
        <v>0</v>
      </c>
      <c r="AI554" s="9">
        <f t="shared" si="306"/>
        <v>0</v>
      </c>
      <c r="AJ554">
        <v>85</v>
      </c>
      <c r="AK554" s="23" t="s">
        <v>246</v>
      </c>
      <c r="AL554" s="42">
        <v>38.7850112673514</v>
      </c>
      <c r="AM554" s="24">
        <v>0.53</v>
      </c>
      <c r="AN554" s="34">
        <f t="shared" si="307"/>
        <v>0.18469143081759881</v>
      </c>
      <c r="AO554">
        <v>1985</v>
      </c>
      <c r="AP554">
        <v>18</v>
      </c>
      <c r="AQ554">
        <v>70</v>
      </c>
      <c r="AR554">
        <v>70</v>
      </c>
      <c r="AS554">
        <f t="shared" si="296"/>
        <v>0</v>
      </c>
      <c r="AT554">
        <f t="shared" si="308"/>
        <v>0</v>
      </c>
      <c r="AU554">
        <f t="shared" si="309"/>
        <v>1</v>
      </c>
      <c r="AV554">
        <f t="shared" si="310"/>
        <v>0</v>
      </c>
      <c r="AW554">
        <f t="shared" si="311"/>
        <v>0</v>
      </c>
      <c r="AX554">
        <f t="shared" si="312"/>
        <v>0</v>
      </c>
      <c r="AY554">
        <f t="shared" si="313"/>
        <v>0</v>
      </c>
      <c r="AZ554">
        <f t="shared" si="314"/>
        <v>0</v>
      </c>
      <c r="BA554">
        <f t="shared" si="315"/>
        <v>0</v>
      </c>
      <c r="BB554">
        <f t="shared" si="316"/>
        <v>0</v>
      </c>
      <c r="BC554">
        <f t="shared" si="317"/>
        <v>0</v>
      </c>
      <c r="BD554">
        <f t="shared" si="318"/>
        <v>0</v>
      </c>
      <c r="BE554">
        <f t="shared" si="319"/>
        <v>0</v>
      </c>
      <c r="BF554">
        <f t="shared" si="320"/>
        <v>0</v>
      </c>
      <c r="BG554">
        <f t="shared" si="321"/>
        <v>0</v>
      </c>
      <c r="BH554">
        <f t="shared" si="322"/>
        <v>0</v>
      </c>
      <c r="BI554">
        <f t="shared" si="323"/>
        <v>0</v>
      </c>
    </row>
    <row r="555" spans="1:61" x14ac:dyDescent="0.35">
      <c r="A555" t="s">
        <v>1123</v>
      </c>
      <c r="B555" s="1">
        <v>36882</v>
      </c>
      <c r="C555" t="s">
        <v>1124</v>
      </c>
      <c r="D555" t="s">
        <v>59</v>
      </c>
      <c r="E555" t="s">
        <v>750</v>
      </c>
      <c r="F555" t="s">
        <v>577</v>
      </c>
      <c r="G555" t="s">
        <v>47</v>
      </c>
      <c r="H555" s="139">
        <f t="shared" si="297"/>
        <v>0</v>
      </c>
      <c r="I555" t="s">
        <v>234</v>
      </c>
      <c r="J555" t="s">
        <v>248</v>
      </c>
      <c r="K555" s="2">
        <f t="shared" si="300"/>
        <v>5</v>
      </c>
      <c r="L555">
        <v>750000000</v>
      </c>
      <c r="M555" s="2">
        <f t="shared" si="301"/>
        <v>8.8750612633917001</v>
      </c>
      <c r="N555">
        <f>L555</f>
        <v>750000000</v>
      </c>
      <c r="O555">
        <v>0</v>
      </c>
      <c r="P555" s="1">
        <v>37610</v>
      </c>
      <c r="Q555" s="89">
        <f t="shared" si="302"/>
        <v>2002</v>
      </c>
      <c r="R555" t="s">
        <v>107</v>
      </c>
      <c r="S555">
        <v>738000000</v>
      </c>
      <c r="T555" s="21">
        <f t="shared" si="294"/>
        <v>1.9945205479452055</v>
      </c>
      <c r="U555">
        <v>0</v>
      </c>
      <c r="V555">
        <f t="shared" si="303"/>
        <v>0</v>
      </c>
      <c r="W555">
        <v>1979</v>
      </c>
      <c r="X555">
        <v>21</v>
      </c>
      <c r="Y555">
        <f t="shared" si="304"/>
        <v>1.3424226808222062</v>
      </c>
      <c r="Z555" s="45">
        <v>3.29</v>
      </c>
      <c r="AA555" s="9">
        <f t="shared" si="293"/>
        <v>-12000000</v>
      </c>
      <c r="AB555" s="15">
        <f t="shared" si="295"/>
        <v>-1.6000000000000014E-2</v>
      </c>
      <c r="AC555" s="34">
        <f t="shared" si="305"/>
        <v>-7.0049015686584892E-3</v>
      </c>
      <c r="AD555">
        <v>1861.76</v>
      </c>
      <c r="AE555">
        <f t="shared" si="298"/>
        <v>3.2699236952309465</v>
      </c>
      <c r="AF555">
        <v>4993.92</v>
      </c>
      <c r="AG555">
        <f t="shared" si="299"/>
        <v>3.6984415808994222</v>
      </c>
      <c r="AH555" s="9">
        <v>0</v>
      </c>
      <c r="AI555" s="9">
        <f t="shared" si="306"/>
        <v>0</v>
      </c>
      <c r="AJ555">
        <v>85</v>
      </c>
      <c r="AK555" s="23" t="s">
        <v>78</v>
      </c>
      <c r="AL555" s="42">
        <v>35.433808146393098</v>
      </c>
      <c r="AM555" s="24">
        <v>-0.31</v>
      </c>
      <c r="AN555" s="34">
        <f t="shared" si="307"/>
        <v>-0.16115090926274472</v>
      </c>
      <c r="AO555">
        <v>1985</v>
      </c>
      <c r="AP555">
        <v>15</v>
      </c>
      <c r="AQ555">
        <v>70</v>
      </c>
      <c r="AR555">
        <v>70</v>
      </c>
      <c r="AS555">
        <f t="shared" si="296"/>
        <v>0</v>
      </c>
      <c r="AT555">
        <f t="shared" si="308"/>
        <v>0</v>
      </c>
      <c r="AU555">
        <f t="shared" si="309"/>
        <v>1</v>
      </c>
      <c r="AV555">
        <f t="shared" si="310"/>
        <v>0</v>
      </c>
      <c r="AW555">
        <f t="shared" si="311"/>
        <v>0</v>
      </c>
      <c r="AX555">
        <f t="shared" si="312"/>
        <v>0</v>
      </c>
      <c r="AY555">
        <f t="shared" si="313"/>
        <v>0</v>
      </c>
      <c r="AZ555">
        <f t="shared" si="314"/>
        <v>0</v>
      </c>
      <c r="BA555">
        <f t="shared" si="315"/>
        <v>0</v>
      </c>
      <c r="BB555">
        <f t="shared" si="316"/>
        <v>0</v>
      </c>
      <c r="BC555">
        <f t="shared" si="317"/>
        <v>0</v>
      </c>
      <c r="BD555">
        <f t="shared" si="318"/>
        <v>0</v>
      </c>
      <c r="BE555">
        <f t="shared" si="319"/>
        <v>0</v>
      </c>
      <c r="BF555">
        <f t="shared" si="320"/>
        <v>0</v>
      </c>
      <c r="BG555">
        <f t="shared" si="321"/>
        <v>0</v>
      </c>
      <c r="BH555">
        <f t="shared" si="322"/>
        <v>0</v>
      </c>
      <c r="BI555">
        <f t="shared" si="323"/>
        <v>0</v>
      </c>
    </row>
    <row r="556" spans="1:61" x14ac:dyDescent="0.35">
      <c r="A556" t="s">
        <v>51</v>
      </c>
      <c r="B556" s="1">
        <v>36816</v>
      </c>
      <c r="C556" t="s">
        <v>1125</v>
      </c>
      <c r="D556" t="s">
        <v>59</v>
      </c>
      <c r="E556" t="s">
        <v>750</v>
      </c>
      <c r="F556" t="s">
        <v>577</v>
      </c>
      <c r="G556" t="s">
        <v>47</v>
      </c>
      <c r="H556" s="139">
        <f t="shared" si="297"/>
        <v>0</v>
      </c>
      <c r="I556" t="s">
        <v>268</v>
      </c>
      <c r="J556" t="s">
        <v>178</v>
      </c>
      <c r="K556" s="2">
        <f t="shared" si="300"/>
        <v>9</v>
      </c>
      <c r="L556">
        <v>2600000000</v>
      </c>
      <c r="M556" s="2">
        <f t="shared" si="301"/>
        <v>9.4149733479708182</v>
      </c>
      <c r="N556">
        <v>1000000000</v>
      </c>
      <c r="O556">
        <v>1600000000</v>
      </c>
      <c r="P556" s="1">
        <v>38538</v>
      </c>
      <c r="Q556" s="89">
        <f t="shared" si="302"/>
        <v>2005</v>
      </c>
      <c r="R556" t="s">
        <v>107</v>
      </c>
      <c r="S556">
        <v>665480000</v>
      </c>
      <c r="T556" s="21">
        <f t="shared" si="294"/>
        <v>4.7178082191780826</v>
      </c>
      <c r="U556">
        <v>0</v>
      </c>
      <c r="V556">
        <f t="shared" si="303"/>
        <v>0</v>
      </c>
      <c r="W556">
        <v>2000</v>
      </c>
      <c r="X556">
        <v>0</v>
      </c>
      <c r="Y556">
        <f t="shared" si="304"/>
        <v>0</v>
      </c>
      <c r="Z556" s="45">
        <v>3.29</v>
      </c>
      <c r="AA556" s="9">
        <f t="shared" si="293"/>
        <v>-334520000</v>
      </c>
      <c r="AB556" s="15">
        <f t="shared" si="295"/>
        <v>-0.7440461538461538</v>
      </c>
      <c r="AC556" s="34">
        <f t="shared" si="305"/>
        <v>-0.59183834003113434</v>
      </c>
      <c r="AD556">
        <v>1861.76</v>
      </c>
      <c r="AE556">
        <f t="shared" si="298"/>
        <v>3.2699236952309465</v>
      </c>
      <c r="AF556">
        <v>4993.92</v>
      </c>
      <c r="AG556">
        <f t="shared" si="299"/>
        <v>3.6984415808994222</v>
      </c>
      <c r="AH556" s="9">
        <v>0</v>
      </c>
      <c r="AI556" s="9">
        <f t="shared" si="306"/>
        <v>0</v>
      </c>
      <c r="AJ556">
        <v>85</v>
      </c>
      <c r="AK556" s="23" t="s">
        <v>78</v>
      </c>
      <c r="AL556" s="42">
        <v>35.433808146393098</v>
      </c>
      <c r="AM556" s="24">
        <v>-0.11</v>
      </c>
      <c r="AN556" s="34">
        <f t="shared" si="307"/>
        <v>-5.0609993355087209E-2</v>
      </c>
      <c r="AO556">
        <v>1985</v>
      </c>
      <c r="AP556">
        <v>15</v>
      </c>
      <c r="AQ556">
        <v>70</v>
      </c>
      <c r="AR556">
        <v>70</v>
      </c>
      <c r="AS556">
        <f t="shared" si="296"/>
        <v>0</v>
      </c>
      <c r="AT556">
        <f t="shared" si="308"/>
        <v>0</v>
      </c>
      <c r="AU556">
        <f t="shared" si="309"/>
        <v>1</v>
      </c>
      <c r="AV556">
        <f t="shared" si="310"/>
        <v>0</v>
      </c>
      <c r="AW556">
        <f t="shared" si="311"/>
        <v>0</v>
      </c>
      <c r="AX556">
        <f t="shared" si="312"/>
        <v>0</v>
      </c>
      <c r="AY556">
        <f t="shared" si="313"/>
        <v>0</v>
      </c>
      <c r="AZ556">
        <f t="shared" si="314"/>
        <v>0</v>
      </c>
      <c r="BA556">
        <f t="shared" si="315"/>
        <v>0</v>
      </c>
      <c r="BB556">
        <f t="shared" si="316"/>
        <v>0</v>
      </c>
      <c r="BC556">
        <f t="shared" si="317"/>
        <v>0</v>
      </c>
      <c r="BD556">
        <f t="shared" si="318"/>
        <v>0</v>
      </c>
      <c r="BE556">
        <f t="shared" si="319"/>
        <v>0</v>
      </c>
      <c r="BF556">
        <f t="shared" si="320"/>
        <v>0</v>
      </c>
      <c r="BG556">
        <f t="shared" si="321"/>
        <v>0</v>
      </c>
      <c r="BH556">
        <f t="shared" si="322"/>
        <v>0</v>
      </c>
      <c r="BI556">
        <f t="shared" si="323"/>
        <v>0</v>
      </c>
    </row>
    <row r="557" spans="1:61" x14ac:dyDescent="0.35">
      <c r="A557" t="s">
        <v>51</v>
      </c>
      <c r="B557" s="1">
        <v>36126</v>
      </c>
      <c r="C557" t="s">
        <v>1126</v>
      </c>
      <c r="D557" t="s">
        <v>59</v>
      </c>
      <c r="E557" t="s">
        <v>752</v>
      </c>
      <c r="F557" t="s">
        <v>577</v>
      </c>
      <c r="G557" t="s">
        <v>47</v>
      </c>
      <c r="H557" s="139">
        <f t="shared" si="297"/>
        <v>0</v>
      </c>
      <c r="I557" t="s">
        <v>234</v>
      </c>
      <c r="J557" t="s">
        <v>248</v>
      </c>
      <c r="K557" s="2">
        <f t="shared" si="300"/>
        <v>5</v>
      </c>
      <c r="L557">
        <v>82000000</v>
      </c>
      <c r="M557" s="2">
        <f t="shared" si="301"/>
        <v>7.9138138523837167</v>
      </c>
      <c r="N557">
        <f>L557</f>
        <v>82000000</v>
      </c>
      <c r="O557">
        <v>0</v>
      </c>
      <c r="P557" s="1">
        <v>39370</v>
      </c>
      <c r="Q557" s="89">
        <f t="shared" si="302"/>
        <v>2007</v>
      </c>
      <c r="R557" t="s">
        <v>54</v>
      </c>
      <c r="S557">
        <v>35000000</v>
      </c>
      <c r="T557" s="21">
        <f t="shared" si="294"/>
        <v>8.8876712328767127</v>
      </c>
      <c r="U557">
        <v>0</v>
      </c>
      <c r="V557">
        <f t="shared" si="303"/>
        <v>0</v>
      </c>
      <c r="W557">
        <v>1998</v>
      </c>
      <c r="X557">
        <v>0</v>
      </c>
      <c r="Y557">
        <f t="shared" si="304"/>
        <v>0</v>
      </c>
      <c r="Z557" s="45">
        <v>3.29</v>
      </c>
      <c r="AA557" s="9">
        <f t="shared" si="293"/>
        <v>-47000000</v>
      </c>
      <c r="AB557" s="15">
        <f t="shared" si="295"/>
        <v>-0.57317073170731714</v>
      </c>
      <c r="AC557" s="34">
        <f t="shared" si="305"/>
        <v>-0.36974580803344115</v>
      </c>
      <c r="AD557">
        <v>1861.76</v>
      </c>
      <c r="AE557">
        <f t="shared" si="298"/>
        <v>3.2699236952309465</v>
      </c>
      <c r="AF557">
        <v>4993.92</v>
      </c>
      <c r="AG557">
        <f t="shared" si="299"/>
        <v>3.6984415808994222</v>
      </c>
      <c r="AH557" s="9">
        <v>0</v>
      </c>
      <c r="AI557" s="9">
        <f t="shared" si="306"/>
        <v>0</v>
      </c>
      <c r="AJ557">
        <v>85</v>
      </c>
      <c r="AK557" s="23" t="s">
        <v>249</v>
      </c>
      <c r="AL557" s="42">
        <v>35.516899069648296</v>
      </c>
      <c r="AM557" s="24">
        <v>0.3</v>
      </c>
      <c r="AN557" s="34">
        <f t="shared" si="307"/>
        <v>0.11394335230683679</v>
      </c>
      <c r="AO557">
        <v>1985</v>
      </c>
      <c r="AP557">
        <v>13</v>
      </c>
      <c r="AQ557">
        <v>70</v>
      </c>
      <c r="AR557">
        <v>70</v>
      </c>
      <c r="AS557">
        <f t="shared" si="296"/>
        <v>0</v>
      </c>
      <c r="AT557">
        <f t="shared" si="308"/>
        <v>0</v>
      </c>
      <c r="AU557">
        <f t="shared" si="309"/>
        <v>1</v>
      </c>
      <c r="AV557">
        <f t="shared" si="310"/>
        <v>0</v>
      </c>
      <c r="AW557">
        <f t="shared" si="311"/>
        <v>0</v>
      </c>
      <c r="AX557">
        <f t="shared" si="312"/>
        <v>0</v>
      </c>
      <c r="AY557">
        <f t="shared" si="313"/>
        <v>0</v>
      </c>
      <c r="AZ557">
        <f t="shared" si="314"/>
        <v>0</v>
      </c>
      <c r="BA557">
        <f t="shared" si="315"/>
        <v>0</v>
      </c>
      <c r="BB557">
        <f t="shared" si="316"/>
        <v>0</v>
      </c>
      <c r="BC557">
        <f t="shared" si="317"/>
        <v>0</v>
      </c>
      <c r="BD557">
        <f t="shared" si="318"/>
        <v>0</v>
      </c>
      <c r="BE557">
        <f t="shared" si="319"/>
        <v>0</v>
      </c>
      <c r="BF557">
        <f t="shared" si="320"/>
        <v>0</v>
      </c>
      <c r="BG557">
        <f t="shared" si="321"/>
        <v>0</v>
      </c>
      <c r="BH557">
        <f t="shared" si="322"/>
        <v>0</v>
      </c>
      <c r="BI557">
        <f t="shared" si="323"/>
        <v>0</v>
      </c>
    </row>
    <row r="558" spans="1:61" x14ac:dyDescent="0.35">
      <c r="A558" t="s">
        <v>51</v>
      </c>
      <c r="B558" s="1">
        <v>41364</v>
      </c>
      <c r="C558" t="s">
        <v>1127</v>
      </c>
      <c r="D558" t="s">
        <v>59</v>
      </c>
      <c r="E558" t="s">
        <v>758</v>
      </c>
      <c r="F558" t="s">
        <v>577</v>
      </c>
      <c r="G558" t="s">
        <v>47</v>
      </c>
      <c r="H558" s="139">
        <f t="shared" si="297"/>
        <v>0</v>
      </c>
      <c r="I558" t="s">
        <v>234</v>
      </c>
      <c r="J558" t="s">
        <v>190</v>
      </c>
      <c r="K558" s="2">
        <f t="shared" si="300"/>
        <v>2</v>
      </c>
      <c r="L558">
        <v>218910000</v>
      </c>
      <c r="M558" s="2">
        <f t="shared" si="301"/>
        <v>8.3402656009723302</v>
      </c>
      <c r="N558">
        <v>185000000</v>
      </c>
      <c r="O558">
        <v>33910000</v>
      </c>
      <c r="P558" s="1">
        <v>42776</v>
      </c>
      <c r="Q558" s="89">
        <f t="shared" si="302"/>
        <v>2017</v>
      </c>
      <c r="R558" t="s">
        <v>107</v>
      </c>
      <c r="S558">
        <v>835000000</v>
      </c>
      <c r="T558" s="21">
        <f t="shared" si="294"/>
        <v>3.8684931506849316</v>
      </c>
      <c r="U558">
        <v>0</v>
      </c>
      <c r="V558">
        <f t="shared" si="303"/>
        <v>0</v>
      </c>
      <c r="W558">
        <v>1950</v>
      </c>
      <c r="X558">
        <v>63</v>
      </c>
      <c r="Y558">
        <f t="shared" si="304"/>
        <v>1.8061799739838871</v>
      </c>
      <c r="Z558" s="45">
        <v>3.29</v>
      </c>
      <c r="AA558" s="9">
        <f t="shared" si="293"/>
        <v>650000000</v>
      </c>
      <c r="AB558" s="15">
        <f t="shared" si="295"/>
        <v>2.8143529304280297</v>
      </c>
      <c r="AC558" s="34">
        <f t="shared" si="305"/>
        <v>0.58142087451127222</v>
      </c>
      <c r="AD558">
        <v>1801.1079999999999</v>
      </c>
      <c r="AE558">
        <f t="shared" si="298"/>
        <v>3.2555397552391718</v>
      </c>
      <c r="AF558">
        <v>8416.6209999999992</v>
      </c>
      <c r="AG558">
        <f t="shared" si="299"/>
        <v>3.9251377713585649</v>
      </c>
      <c r="AH558" s="9">
        <v>0</v>
      </c>
      <c r="AI558" s="9">
        <f t="shared" si="306"/>
        <v>0</v>
      </c>
      <c r="AJ558">
        <v>94.1</v>
      </c>
      <c r="AK558" s="23" t="s">
        <v>70</v>
      </c>
      <c r="AL558" s="42">
        <v>43.9397801796012</v>
      </c>
      <c r="AM558" s="24">
        <v>0.48</v>
      </c>
      <c r="AN558" s="34">
        <f t="shared" si="307"/>
        <v>0.17026171539495738</v>
      </c>
      <c r="AO558">
        <v>1984</v>
      </c>
      <c r="AP558">
        <v>29</v>
      </c>
      <c r="AQ558">
        <v>70</v>
      </c>
      <c r="AR558">
        <v>70</v>
      </c>
      <c r="AS558">
        <f t="shared" si="296"/>
        <v>0</v>
      </c>
      <c r="AT558">
        <f t="shared" si="308"/>
        <v>0</v>
      </c>
      <c r="AU558">
        <f t="shared" si="309"/>
        <v>1</v>
      </c>
      <c r="AV558">
        <f t="shared" si="310"/>
        <v>0</v>
      </c>
      <c r="AW558">
        <f t="shared" si="311"/>
        <v>0</v>
      </c>
      <c r="AX558">
        <f t="shared" si="312"/>
        <v>0</v>
      </c>
      <c r="AY558">
        <f t="shared" si="313"/>
        <v>0</v>
      </c>
      <c r="AZ558">
        <f t="shared" si="314"/>
        <v>0</v>
      </c>
      <c r="BA558">
        <f t="shared" si="315"/>
        <v>0</v>
      </c>
      <c r="BB558">
        <f t="shared" si="316"/>
        <v>0</v>
      </c>
      <c r="BC558">
        <f t="shared" si="317"/>
        <v>0</v>
      </c>
      <c r="BD558">
        <f t="shared" si="318"/>
        <v>0</v>
      </c>
      <c r="BE558">
        <f t="shared" si="319"/>
        <v>0</v>
      </c>
      <c r="BF558">
        <f t="shared" si="320"/>
        <v>0</v>
      </c>
      <c r="BG558">
        <f t="shared" si="321"/>
        <v>0</v>
      </c>
      <c r="BH558">
        <f t="shared" si="322"/>
        <v>0</v>
      </c>
      <c r="BI558">
        <f t="shared" si="323"/>
        <v>0</v>
      </c>
    </row>
    <row r="559" spans="1:61" x14ac:dyDescent="0.35">
      <c r="A559" t="s">
        <v>1128</v>
      </c>
      <c r="B559" s="1">
        <v>39447</v>
      </c>
      <c r="C559" t="s">
        <v>1129</v>
      </c>
      <c r="D559" t="s">
        <v>59</v>
      </c>
      <c r="E559" t="s">
        <v>1130</v>
      </c>
      <c r="F559" t="s">
        <v>577</v>
      </c>
      <c r="G559" t="s">
        <v>47</v>
      </c>
      <c r="H559" s="139">
        <f t="shared" si="297"/>
        <v>0</v>
      </c>
      <c r="I559" t="s">
        <v>234</v>
      </c>
      <c r="J559" t="s">
        <v>248</v>
      </c>
      <c r="K559" s="2">
        <f t="shared" si="300"/>
        <v>5</v>
      </c>
      <c r="L559">
        <v>18800000</v>
      </c>
      <c r="M559" s="2">
        <f t="shared" si="301"/>
        <v>7.2741578492636796</v>
      </c>
      <c r="N559">
        <f t="shared" ref="N559:N598" si="325">L559</f>
        <v>18800000</v>
      </c>
      <c r="O559">
        <v>0</v>
      </c>
      <c r="P559" s="1">
        <v>41835</v>
      </c>
      <c r="Q559" s="89">
        <f t="shared" si="302"/>
        <v>2014</v>
      </c>
      <c r="R559" t="s">
        <v>107</v>
      </c>
      <c r="S559">
        <v>75000000</v>
      </c>
      <c r="T559" s="21">
        <f t="shared" si="294"/>
        <v>6.5424657534246577</v>
      </c>
      <c r="U559">
        <v>0</v>
      </c>
      <c r="V559">
        <f t="shared" si="303"/>
        <v>0</v>
      </c>
      <c r="W559">
        <v>2007</v>
      </c>
      <c r="X559">
        <v>0</v>
      </c>
      <c r="Y559">
        <f t="shared" si="304"/>
        <v>0</v>
      </c>
      <c r="Z559" s="45">
        <v>3.29</v>
      </c>
      <c r="AA559" s="9">
        <f t="shared" si="293"/>
        <v>56200000</v>
      </c>
      <c r="AB559" s="15">
        <f t="shared" si="295"/>
        <v>2.9893617021276597</v>
      </c>
      <c r="AC559" s="34">
        <f t="shared" si="305"/>
        <v>0.60090341412802017</v>
      </c>
      <c r="AD559">
        <v>1801.1079999999999</v>
      </c>
      <c r="AE559">
        <f t="shared" si="298"/>
        <v>3.2555397552391718</v>
      </c>
      <c r="AF559">
        <v>8416.6209999999992</v>
      </c>
      <c r="AG559">
        <f t="shared" si="299"/>
        <v>3.9251377713585649</v>
      </c>
      <c r="AH559" s="9">
        <v>0</v>
      </c>
      <c r="AI559" s="9">
        <f t="shared" si="306"/>
        <v>0</v>
      </c>
      <c r="AJ559">
        <v>91.2</v>
      </c>
      <c r="AK559" s="23" t="s">
        <v>191</v>
      </c>
      <c r="AL559" s="42">
        <v>40.902544500539101</v>
      </c>
      <c r="AM559" s="24">
        <v>0.34</v>
      </c>
      <c r="AN559" s="34">
        <f t="shared" si="307"/>
        <v>0.12710479836480765</v>
      </c>
      <c r="AO559">
        <v>2010</v>
      </c>
      <c r="AP559">
        <v>0</v>
      </c>
      <c r="AQ559">
        <v>70</v>
      </c>
      <c r="AR559">
        <v>70</v>
      </c>
      <c r="AS559">
        <f t="shared" si="296"/>
        <v>0</v>
      </c>
      <c r="AT559">
        <f t="shared" si="308"/>
        <v>0</v>
      </c>
      <c r="AU559">
        <f t="shared" si="309"/>
        <v>1</v>
      </c>
      <c r="AV559">
        <f t="shared" si="310"/>
        <v>0</v>
      </c>
      <c r="AW559">
        <f t="shared" si="311"/>
        <v>0</v>
      </c>
      <c r="AX559">
        <f t="shared" si="312"/>
        <v>0</v>
      </c>
      <c r="AY559">
        <f t="shared" si="313"/>
        <v>0</v>
      </c>
      <c r="AZ559">
        <f t="shared" si="314"/>
        <v>0</v>
      </c>
      <c r="BA559">
        <f t="shared" si="315"/>
        <v>0</v>
      </c>
      <c r="BB559">
        <f t="shared" si="316"/>
        <v>0</v>
      </c>
      <c r="BC559">
        <f t="shared" si="317"/>
        <v>0</v>
      </c>
      <c r="BD559">
        <f t="shared" si="318"/>
        <v>0</v>
      </c>
      <c r="BE559">
        <f t="shared" si="319"/>
        <v>0</v>
      </c>
      <c r="BF559">
        <f t="shared" si="320"/>
        <v>0</v>
      </c>
      <c r="BG559">
        <f t="shared" si="321"/>
        <v>0</v>
      </c>
      <c r="BH559">
        <f t="shared" si="322"/>
        <v>0</v>
      </c>
      <c r="BI559">
        <f t="shared" si="323"/>
        <v>0</v>
      </c>
    </row>
    <row r="560" spans="1:61" x14ac:dyDescent="0.35">
      <c r="A560" t="s">
        <v>51</v>
      </c>
      <c r="B560" s="1">
        <v>39205</v>
      </c>
      <c r="C560" t="s">
        <v>1131</v>
      </c>
      <c r="D560" t="s">
        <v>59</v>
      </c>
      <c r="E560" t="s">
        <v>760</v>
      </c>
      <c r="F560" t="s">
        <v>577</v>
      </c>
      <c r="G560" t="s">
        <v>47</v>
      </c>
      <c r="H560" s="139">
        <f t="shared" si="297"/>
        <v>0</v>
      </c>
      <c r="I560" t="s">
        <v>234</v>
      </c>
      <c r="J560" t="s">
        <v>248</v>
      </c>
      <c r="K560" s="2">
        <f t="shared" si="300"/>
        <v>5</v>
      </c>
      <c r="L560">
        <v>145500000</v>
      </c>
      <c r="M560" s="2">
        <f t="shared" si="301"/>
        <v>8.1628629933219266</v>
      </c>
      <c r="N560">
        <f t="shared" si="325"/>
        <v>145500000</v>
      </c>
      <c r="O560">
        <v>0</v>
      </c>
      <c r="P560" s="1">
        <v>43026</v>
      </c>
      <c r="Q560" s="89">
        <f t="shared" si="302"/>
        <v>2017</v>
      </c>
      <c r="R560" t="s">
        <v>54</v>
      </c>
      <c r="S560">
        <v>220000000</v>
      </c>
      <c r="T560" s="21">
        <f t="shared" si="294"/>
        <v>10.468493150684932</v>
      </c>
      <c r="U560">
        <v>0</v>
      </c>
      <c r="V560">
        <f t="shared" si="303"/>
        <v>0</v>
      </c>
      <c r="W560">
        <v>1931</v>
      </c>
      <c r="X560">
        <v>76</v>
      </c>
      <c r="Y560">
        <f t="shared" si="304"/>
        <v>1.8864907251724818</v>
      </c>
      <c r="Z560" s="45">
        <v>3.29</v>
      </c>
      <c r="AA560" s="9">
        <f t="shared" si="293"/>
        <v>74500000</v>
      </c>
      <c r="AB560" s="15">
        <f t="shared" si="295"/>
        <v>0.51202749140893467</v>
      </c>
      <c r="AC560" s="34">
        <f t="shared" si="305"/>
        <v>0.17955968750028012</v>
      </c>
      <c r="AD560">
        <v>1801.1079999999999</v>
      </c>
      <c r="AE560">
        <f t="shared" si="298"/>
        <v>3.2555397552391718</v>
      </c>
      <c r="AF560">
        <v>8416.6209999999992</v>
      </c>
      <c r="AG560">
        <f t="shared" si="299"/>
        <v>3.9251377713585649</v>
      </c>
      <c r="AH560" s="9">
        <v>0</v>
      </c>
      <c r="AI560" s="9">
        <f t="shared" si="306"/>
        <v>0</v>
      </c>
      <c r="AJ560">
        <v>91.2</v>
      </c>
      <c r="AK560" s="23" t="s">
        <v>191</v>
      </c>
      <c r="AL560" s="42">
        <v>40.902544500539101</v>
      </c>
      <c r="AM560" s="24">
        <v>0.7</v>
      </c>
      <c r="AN560" s="34">
        <f t="shared" si="307"/>
        <v>0.23044892137827391</v>
      </c>
      <c r="AO560">
        <v>1984</v>
      </c>
      <c r="AP560">
        <v>23</v>
      </c>
      <c r="AQ560">
        <v>70</v>
      </c>
      <c r="AR560">
        <v>70</v>
      </c>
      <c r="AS560">
        <f t="shared" si="296"/>
        <v>0</v>
      </c>
      <c r="AT560">
        <f t="shared" si="308"/>
        <v>0</v>
      </c>
      <c r="AU560">
        <f t="shared" si="309"/>
        <v>1</v>
      </c>
      <c r="AV560">
        <f t="shared" si="310"/>
        <v>0</v>
      </c>
      <c r="AW560">
        <f t="shared" si="311"/>
        <v>0</v>
      </c>
      <c r="AX560">
        <f t="shared" si="312"/>
        <v>0</v>
      </c>
      <c r="AY560">
        <f t="shared" si="313"/>
        <v>0</v>
      </c>
      <c r="AZ560">
        <f t="shared" si="314"/>
        <v>0</v>
      </c>
      <c r="BA560">
        <f t="shared" si="315"/>
        <v>0</v>
      </c>
      <c r="BB560">
        <f t="shared" si="316"/>
        <v>0</v>
      </c>
      <c r="BC560">
        <f t="shared" si="317"/>
        <v>0</v>
      </c>
      <c r="BD560">
        <f t="shared" si="318"/>
        <v>0</v>
      </c>
      <c r="BE560">
        <f t="shared" si="319"/>
        <v>0</v>
      </c>
      <c r="BF560">
        <f t="shared" si="320"/>
        <v>0</v>
      </c>
      <c r="BG560">
        <f t="shared" si="321"/>
        <v>0</v>
      </c>
      <c r="BH560">
        <f t="shared" si="322"/>
        <v>0</v>
      </c>
      <c r="BI560">
        <f t="shared" si="323"/>
        <v>0</v>
      </c>
    </row>
    <row r="561" spans="1:61" x14ac:dyDescent="0.35">
      <c r="A561" t="s">
        <v>51</v>
      </c>
      <c r="B561" s="1">
        <v>38610</v>
      </c>
      <c r="C561" t="s">
        <v>169</v>
      </c>
      <c r="D561" t="s">
        <v>59</v>
      </c>
      <c r="E561" t="s">
        <v>760</v>
      </c>
      <c r="F561" t="s">
        <v>577</v>
      </c>
      <c r="G561" t="s">
        <v>47</v>
      </c>
      <c r="H561" s="139">
        <f t="shared" si="297"/>
        <v>0</v>
      </c>
      <c r="I561" t="s">
        <v>234</v>
      </c>
      <c r="J561" t="s">
        <v>235</v>
      </c>
      <c r="K561" s="2">
        <f t="shared" si="300"/>
        <v>1</v>
      </c>
      <c r="L561">
        <v>225000000</v>
      </c>
      <c r="M561" s="2">
        <f t="shared" si="301"/>
        <v>8.3521825181113627</v>
      </c>
      <c r="N561">
        <f t="shared" si="325"/>
        <v>225000000</v>
      </c>
      <c r="O561">
        <v>0</v>
      </c>
      <c r="P561" s="1">
        <v>39512</v>
      </c>
      <c r="Q561" s="89">
        <f t="shared" si="302"/>
        <v>2008</v>
      </c>
      <c r="R561" t="s">
        <v>114</v>
      </c>
      <c r="S561">
        <v>514000000</v>
      </c>
      <c r="T561" s="21">
        <f t="shared" si="294"/>
        <v>2.4712328767123286</v>
      </c>
      <c r="U561">
        <v>0</v>
      </c>
      <c r="V561">
        <f t="shared" si="303"/>
        <v>0</v>
      </c>
      <c r="W561">
        <v>1957</v>
      </c>
      <c r="X561">
        <v>48</v>
      </c>
      <c r="Y561">
        <f t="shared" si="304"/>
        <v>1.6901960800285136</v>
      </c>
      <c r="Z561" s="45">
        <v>3.29</v>
      </c>
      <c r="AA561" s="9">
        <f t="shared" si="293"/>
        <v>289000000</v>
      </c>
      <c r="AB561" s="15">
        <f t="shared" si="295"/>
        <v>1.2844444444444445</v>
      </c>
      <c r="AC561" s="34">
        <f t="shared" si="305"/>
        <v>0.35878060088391328</v>
      </c>
      <c r="AD561">
        <v>1801.1079999999999</v>
      </c>
      <c r="AE561">
        <f t="shared" si="298"/>
        <v>3.2555397552391718</v>
      </c>
      <c r="AF561">
        <v>8416.6209999999992</v>
      </c>
      <c r="AG561">
        <f t="shared" si="299"/>
        <v>3.9251377713585649</v>
      </c>
      <c r="AH561" s="9">
        <v>0</v>
      </c>
      <c r="AI561" s="9">
        <f t="shared" si="306"/>
        <v>0</v>
      </c>
      <c r="AJ561">
        <v>85</v>
      </c>
      <c r="AK561" s="23" t="s">
        <v>171</v>
      </c>
      <c r="AL561" s="42">
        <v>41.286751495766303</v>
      </c>
      <c r="AM561" s="24">
        <v>0.09</v>
      </c>
      <c r="AN561" s="34">
        <f t="shared" si="307"/>
        <v>3.7426497940623665E-2</v>
      </c>
      <c r="AO561">
        <v>1984</v>
      </c>
      <c r="AP561">
        <v>21</v>
      </c>
      <c r="AQ561">
        <v>70</v>
      </c>
      <c r="AR561">
        <v>70</v>
      </c>
      <c r="AS561">
        <f t="shared" si="296"/>
        <v>0</v>
      </c>
      <c r="AT561">
        <f t="shared" si="308"/>
        <v>0</v>
      </c>
      <c r="AU561">
        <f t="shared" si="309"/>
        <v>1</v>
      </c>
      <c r="AV561">
        <f t="shared" si="310"/>
        <v>0</v>
      </c>
      <c r="AW561">
        <f t="shared" si="311"/>
        <v>0</v>
      </c>
      <c r="AX561">
        <f t="shared" si="312"/>
        <v>0</v>
      </c>
      <c r="AY561">
        <f t="shared" si="313"/>
        <v>0</v>
      </c>
      <c r="AZ561">
        <f t="shared" si="314"/>
        <v>0</v>
      </c>
      <c r="BA561">
        <f t="shared" si="315"/>
        <v>0</v>
      </c>
      <c r="BB561">
        <f t="shared" si="316"/>
        <v>0</v>
      </c>
      <c r="BC561">
        <f t="shared" si="317"/>
        <v>0</v>
      </c>
      <c r="BD561">
        <f t="shared" si="318"/>
        <v>0</v>
      </c>
      <c r="BE561">
        <f t="shared" si="319"/>
        <v>0</v>
      </c>
      <c r="BF561">
        <f t="shared" si="320"/>
        <v>0</v>
      </c>
      <c r="BG561">
        <f t="shared" si="321"/>
        <v>0</v>
      </c>
      <c r="BH561">
        <f t="shared" si="322"/>
        <v>0</v>
      </c>
      <c r="BI561">
        <f t="shared" si="323"/>
        <v>0</v>
      </c>
    </row>
    <row r="562" spans="1:61" x14ac:dyDescent="0.35">
      <c r="A562" t="s">
        <v>51</v>
      </c>
      <c r="B562" s="1">
        <v>38292</v>
      </c>
      <c r="C562" t="s">
        <v>160</v>
      </c>
      <c r="D562" t="s">
        <v>59</v>
      </c>
      <c r="E562" t="s">
        <v>1132</v>
      </c>
      <c r="F562" t="s">
        <v>577</v>
      </c>
      <c r="G562" t="s">
        <v>47</v>
      </c>
      <c r="H562" s="139">
        <f t="shared" si="297"/>
        <v>0</v>
      </c>
      <c r="I562" t="s">
        <v>234</v>
      </c>
      <c r="J562" t="s">
        <v>245</v>
      </c>
      <c r="K562" s="2">
        <f t="shared" si="300"/>
        <v>6</v>
      </c>
      <c r="L562">
        <v>72000000</v>
      </c>
      <c r="M562" s="2">
        <f t="shared" si="301"/>
        <v>7.8573324964312681</v>
      </c>
      <c r="N562">
        <f t="shared" si="325"/>
        <v>72000000</v>
      </c>
      <c r="O562">
        <v>0</v>
      </c>
      <c r="P562" s="1">
        <v>42780</v>
      </c>
      <c r="Q562" s="89">
        <f t="shared" si="302"/>
        <v>2017</v>
      </c>
      <c r="R562" t="s">
        <v>107</v>
      </c>
      <c r="S562">
        <v>130000000</v>
      </c>
      <c r="T562" s="21">
        <f t="shared" si="294"/>
        <v>12.295890410958904</v>
      </c>
      <c r="U562">
        <v>0</v>
      </c>
      <c r="V562">
        <f t="shared" si="303"/>
        <v>0</v>
      </c>
      <c r="W562">
        <v>2004</v>
      </c>
      <c r="X562">
        <v>0</v>
      </c>
      <c r="Y562">
        <f t="shared" si="304"/>
        <v>0</v>
      </c>
      <c r="Z562" s="45">
        <v>3.29</v>
      </c>
      <c r="AA562" s="9">
        <f t="shared" si="293"/>
        <v>58000000</v>
      </c>
      <c r="AB562" s="15">
        <f t="shared" si="295"/>
        <v>0.80555555555555558</v>
      </c>
      <c r="AC562" s="34">
        <f t="shared" si="305"/>
        <v>0.25661085587556831</v>
      </c>
      <c r="AD562">
        <v>1801.1079999999999</v>
      </c>
      <c r="AE562">
        <f t="shared" si="298"/>
        <v>3.2555397552391718</v>
      </c>
      <c r="AF562">
        <v>8416.6209999999992</v>
      </c>
      <c r="AG562">
        <f t="shared" si="299"/>
        <v>3.9251377713585649</v>
      </c>
      <c r="AH562" s="9">
        <v>0</v>
      </c>
      <c r="AI562" s="9">
        <f t="shared" si="306"/>
        <v>0</v>
      </c>
      <c r="AJ562">
        <v>85</v>
      </c>
      <c r="AK562" s="23" t="s">
        <v>89</v>
      </c>
      <c r="AL562" s="42">
        <v>40.040400531970803</v>
      </c>
      <c r="AM562" s="24">
        <v>1.07</v>
      </c>
      <c r="AN562" s="34">
        <f t="shared" si="307"/>
        <v>0.31597034545691782</v>
      </c>
      <c r="AO562">
        <v>1984</v>
      </c>
      <c r="AP562">
        <v>20</v>
      </c>
      <c r="AQ562">
        <v>70</v>
      </c>
      <c r="AR562">
        <v>70</v>
      </c>
      <c r="AS562">
        <f t="shared" si="296"/>
        <v>0</v>
      </c>
      <c r="AT562">
        <f t="shared" si="308"/>
        <v>0</v>
      </c>
      <c r="AU562">
        <f t="shared" si="309"/>
        <v>1</v>
      </c>
      <c r="AV562">
        <f t="shared" si="310"/>
        <v>0</v>
      </c>
      <c r="AW562">
        <f t="shared" si="311"/>
        <v>0</v>
      </c>
      <c r="AX562">
        <f t="shared" si="312"/>
        <v>0</v>
      </c>
      <c r="AY562">
        <f t="shared" si="313"/>
        <v>0</v>
      </c>
      <c r="AZ562">
        <f t="shared" si="314"/>
        <v>0</v>
      </c>
      <c r="BA562">
        <f t="shared" si="315"/>
        <v>0</v>
      </c>
      <c r="BB562">
        <f t="shared" si="316"/>
        <v>0</v>
      </c>
      <c r="BC562">
        <f t="shared" si="317"/>
        <v>0</v>
      </c>
      <c r="BD562">
        <f t="shared" si="318"/>
        <v>0</v>
      </c>
      <c r="BE562">
        <f t="shared" si="319"/>
        <v>0</v>
      </c>
      <c r="BF562">
        <f t="shared" si="320"/>
        <v>0</v>
      </c>
      <c r="BG562">
        <f t="shared" si="321"/>
        <v>0</v>
      </c>
      <c r="BH562">
        <f t="shared" si="322"/>
        <v>0</v>
      </c>
      <c r="BI562">
        <f t="shared" si="323"/>
        <v>0</v>
      </c>
    </row>
    <row r="563" spans="1:61" x14ac:dyDescent="0.35">
      <c r="A563" t="s">
        <v>51</v>
      </c>
      <c r="B563" s="1">
        <v>38188</v>
      </c>
      <c r="C563" t="s">
        <v>167</v>
      </c>
      <c r="D563" t="s">
        <v>59</v>
      </c>
      <c r="E563" t="s">
        <v>1132</v>
      </c>
      <c r="F563" t="s">
        <v>577</v>
      </c>
      <c r="G563" t="s">
        <v>47</v>
      </c>
      <c r="H563" s="139">
        <f t="shared" si="297"/>
        <v>0</v>
      </c>
      <c r="I563" t="s">
        <v>234</v>
      </c>
      <c r="J563" t="s">
        <v>248</v>
      </c>
      <c r="K563" s="2">
        <f t="shared" si="300"/>
        <v>5</v>
      </c>
      <c r="L563">
        <v>230000000</v>
      </c>
      <c r="M563" s="2">
        <f t="shared" si="301"/>
        <v>8.3617278360175931</v>
      </c>
      <c r="N563">
        <f t="shared" si="325"/>
        <v>230000000</v>
      </c>
      <c r="O563">
        <v>0</v>
      </c>
      <c r="P563" s="1">
        <v>40209</v>
      </c>
      <c r="Q563" s="89">
        <f t="shared" si="302"/>
        <v>2010</v>
      </c>
      <c r="R563" t="s">
        <v>54</v>
      </c>
      <c r="S563">
        <v>206730000</v>
      </c>
      <c r="T563" s="21">
        <f t="shared" si="294"/>
        <v>5.536986301369863</v>
      </c>
      <c r="U563">
        <v>0</v>
      </c>
      <c r="V563">
        <f t="shared" si="303"/>
        <v>0</v>
      </c>
      <c r="W563">
        <v>1991</v>
      </c>
      <c r="X563">
        <v>13</v>
      </c>
      <c r="Y563">
        <f t="shared" si="304"/>
        <v>1.146128035678238</v>
      </c>
      <c r="Z563" s="45">
        <v>3.29</v>
      </c>
      <c r="AA563" s="9">
        <f t="shared" si="293"/>
        <v>-23270000</v>
      </c>
      <c r="AB563" s="15">
        <f t="shared" si="295"/>
        <v>-0.10117391304347823</v>
      </c>
      <c r="AC563" s="34">
        <f t="shared" si="305"/>
        <v>-4.6324331383241914E-2</v>
      </c>
      <c r="AD563">
        <v>1801.1079999999999</v>
      </c>
      <c r="AE563">
        <f t="shared" si="298"/>
        <v>3.2555397552391718</v>
      </c>
      <c r="AF563">
        <v>8416.6209999999992</v>
      </c>
      <c r="AG563">
        <f t="shared" si="299"/>
        <v>3.9251377713585649</v>
      </c>
      <c r="AH563" s="9">
        <v>0</v>
      </c>
      <c r="AI563" s="9">
        <f t="shared" si="306"/>
        <v>0</v>
      </c>
      <c r="AJ563">
        <v>85</v>
      </c>
      <c r="AK563" s="23" t="s">
        <v>89</v>
      </c>
      <c r="AL563" s="42">
        <v>40.040400531970803</v>
      </c>
      <c r="AM563" s="24">
        <v>-0.03</v>
      </c>
      <c r="AN563" s="34">
        <f t="shared" si="307"/>
        <v>-1.322826573375516E-2</v>
      </c>
      <c r="AO563">
        <v>1984</v>
      </c>
      <c r="AP563">
        <v>20</v>
      </c>
      <c r="AQ563">
        <v>70</v>
      </c>
      <c r="AR563">
        <v>70</v>
      </c>
      <c r="AS563">
        <f t="shared" si="296"/>
        <v>0</v>
      </c>
      <c r="AT563">
        <f t="shared" si="308"/>
        <v>0</v>
      </c>
      <c r="AU563">
        <f t="shared" si="309"/>
        <v>1</v>
      </c>
      <c r="AV563">
        <f t="shared" si="310"/>
        <v>0</v>
      </c>
      <c r="AW563">
        <f t="shared" si="311"/>
        <v>0</v>
      </c>
      <c r="AX563">
        <f t="shared" si="312"/>
        <v>0</v>
      </c>
      <c r="AY563">
        <f t="shared" si="313"/>
        <v>0</v>
      </c>
      <c r="AZ563">
        <f t="shared" si="314"/>
        <v>0</v>
      </c>
      <c r="BA563">
        <f t="shared" si="315"/>
        <v>0</v>
      </c>
      <c r="BB563">
        <f t="shared" si="316"/>
        <v>0</v>
      </c>
      <c r="BC563">
        <f t="shared" si="317"/>
        <v>0</v>
      </c>
      <c r="BD563">
        <f t="shared" si="318"/>
        <v>0</v>
      </c>
      <c r="BE563">
        <f t="shared" si="319"/>
        <v>0</v>
      </c>
      <c r="BF563">
        <f t="shared" si="320"/>
        <v>0</v>
      </c>
      <c r="BG563">
        <f t="shared" si="321"/>
        <v>0</v>
      </c>
      <c r="BH563">
        <f t="shared" si="322"/>
        <v>0</v>
      </c>
      <c r="BI563">
        <f t="shared" si="323"/>
        <v>0</v>
      </c>
    </row>
    <row r="564" spans="1:61" x14ac:dyDescent="0.35">
      <c r="A564" t="s">
        <v>51</v>
      </c>
      <c r="B564" s="1">
        <v>37873</v>
      </c>
      <c r="C564" t="s">
        <v>1133</v>
      </c>
      <c r="D564" t="s">
        <v>59</v>
      </c>
      <c r="E564" t="s">
        <v>1134</v>
      </c>
      <c r="F564" t="s">
        <v>577</v>
      </c>
      <c r="G564" t="s">
        <v>47</v>
      </c>
      <c r="H564" s="139">
        <f t="shared" si="297"/>
        <v>0</v>
      </c>
      <c r="I564" t="s">
        <v>234</v>
      </c>
      <c r="J564" t="s">
        <v>248</v>
      </c>
      <c r="K564" s="2">
        <f t="shared" si="300"/>
        <v>5</v>
      </c>
      <c r="L564">
        <v>50000000</v>
      </c>
      <c r="M564" s="2">
        <f t="shared" si="301"/>
        <v>7.6989700043360187</v>
      </c>
      <c r="N564">
        <f t="shared" si="325"/>
        <v>50000000</v>
      </c>
      <c r="O564">
        <v>0</v>
      </c>
      <c r="P564" s="1">
        <v>38743</v>
      </c>
      <c r="Q564" s="89">
        <f t="shared" si="302"/>
        <v>2006</v>
      </c>
      <c r="R564" t="s">
        <v>107</v>
      </c>
      <c r="S564">
        <v>80000000</v>
      </c>
      <c r="T564" s="21">
        <f t="shared" si="294"/>
        <v>2.3835616438356166</v>
      </c>
      <c r="U564">
        <v>0</v>
      </c>
      <c r="V564">
        <f t="shared" si="303"/>
        <v>0</v>
      </c>
      <c r="W564">
        <v>2003</v>
      </c>
      <c r="X564">
        <v>0</v>
      </c>
      <c r="Y564">
        <f t="shared" si="304"/>
        <v>0</v>
      </c>
      <c r="Z564" s="45">
        <v>3.29</v>
      </c>
      <c r="AA564" s="9">
        <f t="shared" ref="AA564:AA627" si="326">S564-N564</f>
        <v>30000000</v>
      </c>
      <c r="AB564" s="15">
        <f t="shared" si="295"/>
        <v>0.60000000000000009</v>
      </c>
      <c r="AC564" s="34">
        <f t="shared" si="305"/>
        <v>0.20411998265592479</v>
      </c>
      <c r="AD564">
        <v>1801.1079999999999</v>
      </c>
      <c r="AE564">
        <f t="shared" si="298"/>
        <v>3.2555397552391718</v>
      </c>
      <c r="AF564">
        <v>8416.6209999999992</v>
      </c>
      <c r="AG564">
        <f t="shared" si="299"/>
        <v>3.9251377713585649</v>
      </c>
      <c r="AH564" s="9">
        <v>0</v>
      </c>
      <c r="AI564" s="9">
        <f t="shared" si="306"/>
        <v>0</v>
      </c>
      <c r="AJ564">
        <v>85</v>
      </c>
      <c r="AK564" s="23" t="s">
        <v>246</v>
      </c>
      <c r="AL564" s="42">
        <v>38.7850112673514</v>
      </c>
      <c r="AM564" s="24">
        <v>0.24</v>
      </c>
      <c r="AN564" s="34">
        <f t="shared" si="307"/>
        <v>9.3421685162235063E-2</v>
      </c>
      <c r="AO564">
        <v>1984</v>
      </c>
      <c r="AP564">
        <v>19</v>
      </c>
      <c r="AQ564">
        <v>70</v>
      </c>
      <c r="AR564">
        <v>70</v>
      </c>
      <c r="AS564">
        <f t="shared" si="296"/>
        <v>0</v>
      </c>
      <c r="AT564">
        <f t="shared" si="308"/>
        <v>0</v>
      </c>
      <c r="AU564">
        <f t="shared" si="309"/>
        <v>1</v>
      </c>
      <c r="AV564">
        <f t="shared" si="310"/>
        <v>0</v>
      </c>
      <c r="AW564">
        <f t="shared" si="311"/>
        <v>0</v>
      </c>
      <c r="AX564">
        <f t="shared" si="312"/>
        <v>0</v>
      </c>
      <c r="AY564">
        <f t="shared" si="313"/>
        <v>0</v>
      </c>
      <c r="AZ564">
        <f t="shared" si="314"/>
        <v>0</v>
      </c>
      <c r="BA564">
        <f t="shared" si="315"/>
        <v>0</v>
      </c>
      <c r="BB564">
        <f t="shared" si="316"/>
        <v>0</v>
      </c>
      <c r="BC564">
        <f t="shared" si="317"/>
        <v>0</v>
      </c>
      <c r="BD564">
        <f t="shared" si="318"/>
        <v>0</v>
      </c>
      <c r="BE564">
        <f t="shared" si="319"/>
        <v>0</v>
      </c>
      <c r="BF564">
        <f t="shared" si="320"/>
        <v>0</v>
      </c>
      <c r="BG564">
        <f t="shared" si="321"/>
        <v>0</v>
      </c>
      <c r="BH564">
        <f t="shared" si="322"/>
        <v>0</v>
      </c>
      <c r="BI564">
        <f t="shared" si="323"/>
        <v>0</v>
      </c>
    </row>
    <row r="565" spans="1:61" x14ac:dyDescent="0.35">
      <c r="A565" t="s">
        <v>51</v>
      </c>
      <c r="B565" s="1">
        <v>37861</v>
      </c>
      <c r="C565" t="s">
        <v>1135</v>
      </c>
      <c r="D565" t="s">
        <v>59</v>
      </c>
      <c r="E565" t="s">
        <v>764</v>
      </c>
      <c r="F565" t="s">
        <v>577</v>
      </c>
      <c r="G565" t="s">
        <v>47</v>
      </c>
      <c r="H565" s="139">
        <f t="shared" si="297"/>
        <v>0</v>
      </c>
      <c r="I565" t="s">
        <v>234</v>
      </c>
      <c r="J565" t="s">
        <v>248</v>
      </c>
      <c r="K565" s="2">
        <f t="shared" si="300"/>
        <v>5</v>
      </c>
      <c r="L565">
        <v>50800000</v>
      </c>
      <c r="M565" s="2">
        <f t="shared" si="301"/>
        <v>7.7058637122839189</v>
      </c>
      <c r="N565">
        <f t="shared" si="325"/>
        <v>50800000</v>
      </c>
      <c r="O565">
        <v>0</v>
      </c>
      <c r="P565" s="1">
        <v>38798</v>
      </c>
      <c r="Q565" s="89">
        <f t="shared" si="302"/>
        <v>2006</v>
      </c>
      <c r="R565" t="s">
        <v>54</v>
      </c>
      <c r="S565">
        <v>320000000</v>
      </c>
      <c r="T565" s="21">
        <f t="shared" si="294"/>
        <v>2.5671232876712327</v>
      </c>
      <c r="U565">
        <v>0</v>
      </c>
      <c r="V565">
        <f t="shared" si="303"/>
        <v>0</v>
      </c>
      <c r="W565">
        <v>1988</v>
      </c>
      <c r="X565">
        <v>15</v>
      </c>
      <c r="Y565">
        <f t="shared" si="304"/>
        <v>1.2041199826559248</v>
      </c>
      <c r="Z565" s="45">
        <v>3.29</v>
      </c>
      <c r="AA565" s="9">
        <f t="shared" si="326"/>
        <v>269200000</v>
      </c>
      <c r="AB565" s="15">
        <f t="shared" si="295"/>
        <v>5.2992125984251972</v>
      </c>
      <c r="AC565" s="34">
        <f t="shared" si="305"/>
        <v>0.79928626603598674</v>
      </c>
      <c r="AD565">
        <v>1801.1079999999999</v>
      </c>
      <c r="AE565">
        <f t="shared" si="298"/>
        <v>3.2555397552391718</v>
      </c>
      <c r="AF565">
        <v>8416.6209999999992</v>
      </c>
      <c r="AG565">
        <f t="shared" si="299"/>
        <v>3.9251377713585649</v>
      </c>
      <c r="AH565" s="9">
        <v>0</v>
      </c>
      <c r="AI565" s="9">
        <f t="shared" si="306"/>
        <v>0</v>
      </c>
      <c r="AJ565">
        <v>85</v>
      </c>
      <c r="AK565" s="23" t="s">
        <v>246</v>
      </c>
      <c r="AL565" s="42">
        <v>38.7850112673514</v>
      </c>
      <c r="AM565" s="24">
        <v>0.3</v>
      </c>
      <c r="AN565" s="34">
        <f t="shared" si="307"/>
        <v>0.11394335230683679</v>
      </c>
      <c r="AO565">
        <v>1984</v>
      </c>
      <c r="AP565">
        <v>19</v>
      </c>
      <c r="AQ565">
        <v>70</v>
      </c>
      <c r="AR565">
        <v>70</v>
      </c>
      <c r="AS565">
        <f t="shared" si="296"/>
        <v>0</v>
      </c>
      <c r="AT565">
        <f t="shared" si="308"/>
        <v>0</v>
      </c>
      <c r="AU565">
        <f t="shared" si="309"/>
        <v>1</v>
      </c>
      <c r="AV565">
        <f t="shared" si="310"/>
        <v>0</v>
      </c>
      <c r="AW565">
        <f t="shared" si="311"/>
        <v>0</v>
      </c>
      <c r="AX565">
        <f t="shared" si="312"/>
        <v>0</v>
      </c>
      <c r="AY565">
        <f t="shared" si="313"/>
        <v>0</v>
      </c>
      <c r="AZ565">
        <f t="shared" si="314"/>
        <v>0</v>
      </c>
      <c r="BA565">
        <f t="shared" si="315"/>
        <v>0</v>
      </c>
      <c r="BB565">
        <f t="shared" si="316"/>
        <v>0</v>
      </c>
      <c r="BC565">
        <f t="shared" si="317"/>
        <v>0</v>
      </c>
      <c r="BD565">
        <f t="shared" si="318"/>
        <v>0</v>
      </c>
      <c r="BE565">
        <f t="shared" si="319"/>
        <v>0</v>
      </c>
      <c r="BF565">
        <f t="shared" si="320"/>
        <v>0</v>
      </c>
      <c r="BG565">
        <f t="shared" si="321"/>
        <v>0</v>
      </c>
      <c r="BH565">
        <f t="shared" si="322"/>
        <v>0</v>
      </c>
      <c r="BI565">
        <f t="shared" si="323"/>
        <v>0</v>
      </c>
    </row>
    <row r="566" spans="1:61" x14ac:dyDescent="0.35">
      <c r="A566" t="s">
        <v>51</v>
      </c>
      <c r="B566" s="1">
        <v>37860</v>
      </c>
      <c r="C566" t="s">
        <v>1136</v>
      </c>
      <c r="D566" t="s">
        <v>59</v>
      </c>
      <c r="E566" t="s">
        <v>1134</v>
      </c>
      <c r="F566" t="s">
        <v>577</v>
      </c>
      <c r="G566" t="s">
        <v>47</v>
      </c>
      <c r="H566" s="139">
        <f t="shared" si="297"/>
        <v>0</v>
      </c>
      <c r="I566" t="s">
        <v>234</v>
      </c>
      <c r="J566" t="s">
        <v>269</v>
      </c>
      <c r="K566" s="2">
        <f t="shared" si="300"/>
        <v>7</v>
      </c>
      <c r="L566">
        <v>73000000</v>
      </c>
      <c r="M566" s="2">
        <f t="shared" si="301"/>
        <v>7.8633228601204559</v>
      </c>
      <c r="N566">
        <f t="shared" si="325"/>
        <v>73000000</v>
      </c>
      <c r="O566">
        <v>0</v>
      </c>
      <c r="P566" s="1">
        <v>38548</v>
      </c>
      <c r="Q566" s="89">
        <f t="shared" si="302"/>
        <v>2005</v>
      </c>
      <c r="R566" t="s">
        <v>107</v>
      </c>
      <c r="S566">
        <v>170000000</v>
      </c>
      <c r="T566" s="21">
        <f t="shared" si="294"/>
        <v>1.8849315068493151</v>
      </c>
      <c r="U566">
        <v>0</v>
      </c>
      <c r="V566">
        <f t="shared" si="303"/>
        <v>0</v>
      </c>
      <c r="W566">
        <v>1973</v>
      </c>
      <c r="X566">
        <v>30</v>
      </c>
      <c r="Y566">
        <f t="shared" si="304"/>
        <v>1.4913616938342726</v>
      </c>
      <c r="Z566" s="45">
        <v>3.29</v>
      </c>
      <c r="AA566" s="9">
        <f t="shared" si="326"/>
        <v>97000000</v>
      </c>
      <c r="AB566" s="15">
        <f t="shared" si="295"/>
        <v>1.3287671232876712</v>
      </c>
      <c r="AC566" s="34">
        <f t="shared" si="305"/>
        <v>0.36712606125781805</v>
      </c>
      <c r="AD566">
        <v>1801.1079999999999</v>
      </c>
      <c r="AE566">
        <f t="shared" si="298"/>
        <v>3.2555397552391718</v>
      </c>
      <c r="AF566">
        <v>8416.6209999999992</v>
      </c>
      <c r="AG566">
        <f t="shared" si="299"/>
        <v>3.9251377713585649</v>
      </c>
      <c r="AH566" s="9">
        <v>0</v>
      </c>
      <c r="AI566" s="9">
        <f t="shared" si="306"/>
        <v>0</v>
      </c>
      <c r="AJ566">
        <v>85</v>
      </c>
      <c r="AK566" s="23" t="s">
        <v>246</v>
      </c>
      <c r="AL566" s="42">
        <v>38.7850112673514</v>
      </c>
      <c r="AM566" s="24">
        <v>0.23</v>
      </c>
      <c r="AN566" s="34">
        <f t="shared" si="307"/>
        <v>8.9905111439397931E-2</v>
      </c>
      <c r="AO566">
        <v>1984</v>
      </c>
      <c r="AP566">
        <v>19</v>
      </c>
      <c r="AQ566">
        <v>70</v>
      </c>
      <c r="AR566">
        <v>70</v>
      </c>
      <c r="AS566">
        <f t="shared" si="296"/>
        <v>0</v>
      </c>
      <c r="AT566">
        <f t="shared" si="308"/>
        <v>0</v>
      </c>
      <c r="AU566">
        <f t="shared" si="309"/>
        <v>1</v>
      </c>
      <c r="AV566">
        <f t="shared" si="310"/>
        <v>0</v>
      </c>
      <c r="AW566">
        <f t="shared" si="311"/>
        <v>0</v>
      </c>
      <c r="AX566">
        <f t="shared" si="312"/>
        <v>0</v>
      </c>
      <c r="AY566">
        <f t="shared" si="313"/>
        <v>0</v>
      </c>
      <c r="AZ566">
        <f t="shared" si="314"/>
        <v>0</v>
      </c>
      <c r="BA566">
        <f t="shared" si="315"/>
        <v>0</v>
      </c>
      <c r="BB566">
        <f t="shared" si="316"/>
        <v>0</v>
      </c>
      <c r="BC566">
        <f t="shared" si="317"/>
        <v>0</v>
      </c>
      <c r="BD566">
        <f t="shared" si="318"/>
        <v>0</v>
      </c>
      <c r="BE566">
        <f t="shared" si="319"/>
        <v>0</v>
      </c>
      <c r="BF566">
        <f t="shared" si="320"/>
        <v>0</v>
      </c>
      <c r="BG566">
        <f t="shared" si="321"/>
        <v>0</v>
      </c>
      <c r="BH566">
        <f t="shared" si="322"/>
        <v>0</v>
      </c>
      <c r="BI566">
        <f t="shared" si="323"/>
        <v>0</v>
      </c>
    </row>
    <row r="567" spans="1:61" x14ac:dyDescent="0.35">
      <c r="A567" t="s">
        <v>1137</v>
      </c>
      <c r="B567" s="1">
        <v>37522</v>
      </c>
      <c r="C567" t="s">
        <v>1138</v>
      </c>
      <c r="D567" t="s">
        <v>59</v>
      </c>
      <c r="E567" t="s">
        <v>1132</v>
      </c>
      <c r="F567" t="s">
        <v>577</v>
      </c>
      <c r="G567" t="s">
        <v>47</v>
      </c>
      <c r="H567" s="139">
        <f t="shared" si="297"/>
        <v>0</v>
      </c>
      <c r="I567" t="s">
        <v>234</v>
      </c>
      <c r="J567" t="s">
        <v>269</v>
      </c>
      <c r="K567" s="2">
        <f t="shared" si="300"/>
        <v>7</v>
      </c>
      <c r="L567">
        <v>53000000</v>
      </c>
      <c r="M567" s="2">
        <f t="shared" si="301"/>
        <v>7.7242758696007892</v>
      </c>
      <c r="N567">
        <f t="shared" si="325"/>
        <v>53000000</v>
      </c>
      <c r="O567">
        <v>0</v>
      </c>
      <c r="P567" s="1">
        <v>38198</v>
      </c>
      <c r="Q567" s="89">
        <f t="shared" si="302"/>
        <v>2004</v>
      </c>
      <c r="R567" t="s">
        <v>107</v>
      </c>
      <c r="S567">
        <v>23940000</v>
      </c>
      <c r="T567" s="21">
        <f t="shared" si="294"/>
        <v>1.8520547945205479</v>
      </c>
      <c r="U567">
        <v>0</v>
      </c>
      <c r="V567">
        <f t="shared" si="303"/>
        <v>0</v>
      </c>
      <c r="W567">
        <v>1980</v>
      </c>
      <c r="X567">
        <v>22</v>
      </c>
      <c r="Y567">
        <f t="shared" si="304"/>
        <v>1.3617278360175928</v>
      </c>
      <c r="Z567" s="45">
        <v>3.29</v>
      </c>
      <c r="AA567" s="9">
        <f t="shared" si="326"/>
        <v>-29060000</v>
      </c>
      <c r="AB567" s="15">
        <f t="shared" si="295"/>
        <v>-0.54830188679245284</v>
      </c>
      <c r="AC567" s="34">
        <f t="shared" si="305"/>
        <v>-0.34515172353039719</v>
      </c>
      <c r="AD567">
        <v>1801.1079999999999</v>
      </c>
      <c r="AE567">
        <f t="shared" si="298"/>
        <v>3.2555397552391718</v>
      </c>
      <c r="AF567">
        <v>8416.6209999999992</v>
      </c>
      <c r="AG567">
        <f t="shared" si="299"/>
        <v>3.9251377713585649</v>
      </c>
      <c r="AH567" s="9">
        <v>0</v>
      </c>
      <c r="AI567" s="9">
        <f t="shared" si="306"/>
        <v>0</v>
      </c>
      <c r="AJ567">
        <v>85</v>
      </c>
      <c r="AK567" s="23" t="s">
        <v>249</v>
      </c>
      <c r="AL567" s="42">
        <v>37.589394702761602</v>
      </c>
      <c r="AM567" s="24">
        <v>0.32</v>
      </c>
      <c r="AN567" s="34">
        <f t="shared" si="307"/>
        <v>0.12057393120584989</v>
      </c>
      <c r="AO567">
        <v>1984</v>
      </c>
      <c r="AP567">
        <v>18</v>
      </c>
      <c r="AQ567">
        <v>70</v>
      </c>
      <c r="AR567">
        <v>70</v>
      </c>
      <c r="AS567">
        <f t="shared" si="296"/>
        <v>0</v>
      </c>
      <c r="AT567">
        <f t="shared" si="308"/>
        <v>0</v>
      </c>
      <c r="AU567">
        <f t="shared" si="309"/>
        <v>1</v>
      </c>
      <c r="AV567">
        <f t="shared" si="310"/>
        <v>0</v>
      </c>
      <c r="AW567">
        <f t="shared" si="311"/>
        <v>0</v>
      </c>
      <c r="AX567">
        <f t="shared" si="312"/>
        <v>0</v>
      </c>
      <c r="AY567">
        <f t="shared" si="313"/>
        <v>0</v>
      </c>
      <c r="AZ567">
        <f t="shared" si="314"/>
        <v>0</v>
      </c>
      <c r="BA567">
        <f t="shared" si="315"/>
        <v>0</v>
      </c>
      <c r="BB567">
        <f t="shared" si="316"/>
        <v>0</v>
      </c>
      <c r="BC567">
        <f t="shared" si="317"/>
        <v>0</v>
      </c>
      <c r="BD567">
        <f t="shared" si="318"/>
        <v>0</v>
      </c>
      <c r="BE567">
        <f t="shared" si="319"/>
        <v>0</v>
      </c>
      <c r="BF567">
        <f t="shared" si="320"/>
        <v>0</v>
      </c>
      <c r="BG567">
        <f t="shared" si="321"/>
        <v>0</v>
      </c>
      <c r="BH567">
        <f t="shared" si="322"/>
        <v>0</v>
      </c>
      <c r="BI567">
        <f t="shared" si="323"/>
        <v>0</v>
      </c>
    </row>
    <row r="568" spans="1:61" x14ac:dyDescent="0.35">
      <c r="A568" t="s">
        <v>51</v>
      </c>
      <c r="B568" s="1">
        <v>37346</v>
      </c>
      <c r="C568" t="s">
        <v>1110</v>
      </c>
      <c r="D568" t="s">
        <v>59</v>
      </c>
      <c r="E568" t="s">
        <v>1132</v>
      </c>
      <c r="F568" t="s">
        <v>577</v>
      </c>
      <c r="G568" t="s">
        <v>47</v>
      </c>
      <c r="H568" s="139">
        <f t="shared" si="297"/>
        <v>0</v>
      </c>
      <c r="I568" t="s">
        <v>234</v>
      </c>
      <c r="J568" t="s">
        <v>248</v>
      </c>
      <c r="K568" s="2">
        <f t="shared" si="300"/>
        <v>5</v>
      </c>
      <c r="L568">
        <v>112090000</v>
      </c>
      <c r="M568" s="2">
        <f t="shared" si="301"/>
        <v>8.0495668691646518</v>
      </c>
      <c r="N568">
        <f t="shared" si="325"/>
        <v>112090000</v>
      </c>
      <c r="O568">
        <v>0</v>
      </c>
      <c r="P568" s="1">
        <v>38630</v>
      </c>
      <c r="Q568" s="89">
        <f t="shared" si="302"/>
        <v>2005</v>
      </c>
      <c r="R568" t="s">
        <v>107</v>
      </c>
      <c r="S568">
        <v>134500000</v>
      </c>
      <c r="T568" s="21">
        <f t="shared" si="294"/>
        <v>3.5178082191780824</v>
      </c>
      <c r="U568">
        <v>0</v>
      </c>
      <c r="V568">
        <f t="shared" si="303"/>
        <v>0</v>
      </c>
      <c r="W568">
        <v>1998</v>
      </c>
      <c r="X568">
        <v>4</v>
      </c>
      <c r="Y568">
        <f t="shared" si="304"/>
        <v>0.69897000433601886</v>
      </c>
      <c r="Z568" s="45">
        <v>3.29</v>
      </c>
      <c r="AA568" s="9">
        <f t="shared" si="326"/>
        <v>22410000</v>
      </c>
      <c r="AB568" s="15">
        <f t="shared" si="295"/>
        <v>0.19992862878044426</v>
      </c>
      <c r="AC568" s="34">
        <f t="shared" si="305"/>
        <v>7.9155415173775334E-2</v>
      </c>
      <c r="AD568">
        <v>1801.1079999999999</v>
      </c>
      <c r="AE568">
        <f t="shared" si="298"/>
        <v>3.2555397552391718</v>
      </c>
      <c r="AF568">
        <v>8416.6209999999992</v>
      </c>
      <c r="AG568">
        <f t="shared" si="299"/>
        <v>3.9251377713585649</v>
      </c>
      <c r="AH568" s="9">
        <v>0</v>
      </c>
      <c r="AI568" s="9">
        <f t="shared" si="306"/>
        <v>0</v>
      </c>
      <c r="AJ568">
        <v>85</v>
      </c>
      <c r="AK568" s="23" t="s">
        <v>249</v>
      </c>
      <c r="AL568" s="42">
        <v>37.589394702761602</v>
      </c>
      <c r="AM568" s="24">
        <v>0.04</v>
      </c>
      <c r="AN568" s="34">
        <f t="shared" si="307"/>
        <v>1.703333929878037E-2</v>
      </c>
      <c r="AO568">
        <v>1984</v>
      </c>
      <c r="AP568">
        <v>18</v>
      </c>
      <c r="AQ568">
        <v>70</v>
      </c>
      <c r="AR568">
        <v>70</v>
      </c>
      <c r="AS568">
        <f t="shared" si="296"/>
        <v>0</v>
      </c>
      <c r="AT568">
        <f t="shared" si="308"/>
        <v>0</v>
      </c>
      <c r="AU568">
        <f t="shared" si="309"/>
        <v>1</v>
      </c>
      <c r="AV568">
        <f t="shared" si="310"/>
        <v>0</v>
      </c>
      <c r="AW568">
        <f t="shared" si="311"/>
        <v>0</v>
      </c>
      <c r="AX568">
        <f t="shared" si="312"/>
        <v>0</v>
      </c>
      <c r="AY568">
        <f t="shared" si="313"/>
        <v>0</v>
      </c>
      <c r="AZ568">
        <f t="shared" si="314"/>
        <v>0</v>
      </c>
      <c r="BA568">
        <f t="shared" si="315"/>
        <v>0</v>
      </c>
      <c r="BB568">
        <f t="shared" si="316"/>
        <v>0</v>
      </c>
      <c r="BC568">
        <f t="shared" si="317"/>
        <v>0</v>
      </c>
      <c r="BD568">
        <f t="shared" si="318"/>
        <v>0</v>
      </c>
      <c r="BE568">
        <f t="shared" si="319"/>
        <v>0</v>
      </c>
      <c r="BF568">
        <f t="shared" si="320"/>
        <v>0</v>
      </c>
      <c r="BG568">
        <f t="shared" si="321"/>
        <v>0</v>
      </c>
      <c r="BH568">
        <f t="shared" si="322"/>
        <v>0</v>
      </c>
      <c r="BI568">
        <f t="shared" si="323"/>
        <v>0</v>
      </c>
    </row>
    <row r="569" spans="1:61" x14ac:dyDescent="0.35">
      <c r="A569" t="s">
        <v>51</v>
      </c>
      <c r="B569" s="1">
        <v>37328</v>
      </c>
      <c r="C569" t="s">
        <v>1139</v>
      </c>
      <c r="D569" t="s">
        <v>59</v>
      </c>
      <c r="E569" t="s">
        <v>1132</v>
      </c>
      <c r="F569" t="s">
        <v>577</v>
      </c>
      <c r="G569" t="s">
        <v>47</v>
      </c>
      <c r="H569" s="139">
        <f t="shared" si="297"/>
        <v>0</v>
      </c>
      <c r="I569" t="s">
        <v>234</v>
      </c>
      <c r="J569" t="s">
        <v>245</v>
      </c>
      <c r="K569" s="2">
        <f t="shared" si="300"/>
        <v>6</v>
      </c>
      <c r="L569">
        <v>15000000</v>
      </c>
      <c r="M569" s="2">
        <f t="shared" si="301"/>
        <v>7.1760912590556813</v>
      </c>
      <c r="N569">
        <f t="shared" si="325"/>
        <v>15000000</v>
      </c>
      <c r="O569">
        <v>0</v>
      </c>
      <c r="P569" s="1">
        <v>38798</v>
      </c>
      <c r="Q569" s="89">
        <f t="shared" si="302"/>
        <v>2006</v>
      </c>
      <c r="R569" t="s">
        <v>107</v>
      </c>
      <c r="S569">
        <v>106000000</v>
      </c>
      <c r="T569" s="21">
        <f t="shared" si="294"/>
        <v>4.0273972602739727</v>
      </c>
      <c r="U569">
        <v>0</v>
      </c>
      <c r="V569">
        <f t="shared" si="303"/>
        <v>0</v>
      </c>
      <c r="W569">
        <v>1996</v>
      </c>
      <c r="X569">
        <v>6</v>
      </c>
      <c r="Y569">
        <f t="shared" si="304"/>
        <v>0.84509804001425681</v>
      </c>
      <c r="Z569" s="45">
        <v>3.29</v>
      </c>
      <c r="AA569" s="9">
        <f t="shared" si="326"/>
        <v>91000000</v>
      </c>
      <c r="AB569" s="15">
        <f t="shared" si="295"/>
        <v>6.0666666666666664</v>
      </c>
      <c r="AC569" s="34">
        <f t="shared" si="305"/>
        <v>0.84921460620908895</v>
      </c>
      <c r="AD569">
        <v>1801.1079999999999</v>
      </c>
      <c r="AE569">
        <f t="shared" si="298"/>
        <v>3.2555397552391718</v>
      </c>
      <c r="AF569">
        <v>8416.6209999999992</v>
      </c>
      <c r="AG569">
        <f t="shared" si="299"/>
        <v>3.9251377713585649</v>
      </c>
      <c r="AH569" s="9">
        <v>0</v>
      </c>
      <c r="AI569" s="9">
        <f t="shared" si="306"/>
        <v>0</v>
      </c>
      <c r="AJ569">
        <v>85</v>
      </c>
      <c r="AK569" s="23" t="s">
        <v>249</v>
      </c>
      <c r="AL569" s="42">
        <v>37.589394702761602</v>
      </c>
      <c r="AM569" s="24">
        <v>0.13</v>
      </c>
      <c r="AN569" s="34">
        <f t="shared" si="307"/>
        <v>5.3078443483419682E-2</v>
      </c>
      <c r="AO569">
        <v>1984</v>
      </c>
      <c r="AP569">
        <v>18</v>
      </c>
      <c r="AQ569">
        <v>70</v>
      </c>
      <c r="AR569">
        <v>70</v>
      </c>
      <c r="AS569">
        <f t="shared" si="296"/>
        <v>0</v>
      </c>
      <c r="AT569">
        <f t="shared" si="308"/>
        <v>0</v>
      </c>
      <c r="AU569">
        <f t="shared" si="309"/>
        <v>1</v>
      </c>
      <c r="AV569">
        <f t="shared" si="310"/>
        <v>0</v>
      </c>
      <c r="AW569">
        <f t="shared" si="311"/>
        <v>0</v>
      </c>
      <c r="AX569">
        <f t="shared" si="312"/>
        <v>0</v>
      </c>
      <c r="AY569">
        <f t="shared" si="313"/>
        <v>0</v>
      </c>
      <c r="AZ569">
        <f t="shared" si="314"/>
        <v>0</v>
      </c>
      <c r="BA569">
        <f t="shared" si="315"/>
        <v>0</v>
      </c>
      <c r="BB569">
        <f t="shared" si="316"/>
        <v>0</v>
      </c>
      <c r="BC569">
        <f t="shared" si="317"/>
        <v>0</v>
      </c>
      <c r="BD569">
        <f t="shared" si="318"/>
        <v>0</v>
      </c>
      <c r="BE569">
        <f t="shared" si="319"/>
        <v>0</v>
      </c>
      <c r="BF569">
        <f t="shared" si="320"/>
        <v>0</v>
      </c>
      <c r="BG569">
        <f t="shared" si="321"/>
        <v>0</v>
      </c>
      <c r="BH569">
        <f t="shared" si="322"/>
        <v>0</v>
      </c>
      <c r="BI569">
        <f t="shared" si="323"/>
        <v>0</v>
      </c>
    </row>
    <row r="570" spans="1:61" x14ac:dyDescent="0.35">
      <c r="A570" t="s">
        <v>51</v>
      </c>
      <c r="B570" s="1">
        <v>36913</v>
      </c>
      <c r="C570" t="s">
        <v>1140</v>
      </c>
      <c r="D570" t="s">
        <v>59</v>
      </c>
      <c r="E570" t="s">
        <v>764</v>
      </c>
      <c r="F570" t="s">
        <v>577</v>
      </c>
      <c r="G570" t="s">
        <v>47</v>
      </c>
      <c r="H570" s="139">
        <f t="shared" si="297"/>
        <v>0</v>
      </c>
      <c r="I570" t="s">
        <v>234</v>
      </c>
      <c r="J570" t="s">
        <v>190</v>
      </c>
      <c r="K570" s="2">
        <f t="shared" si="300"/>
        <v>2</v>
      </c>
      <c r="L570">
        <v>111000000</v>
      </c>
      <c r="M570" s="2">
        <f t="shared" si="301"/>
        <v>8.0453229787866576</v>
      </c>
      <c r="N570">
        <f t="shared" si="325"/>
        <v>111000000</v>
      </c>
      <c r="O570">
        <v>0</v>
      </c>
      <c r="P570" s="1">
        <v>39393</v>
      </c>
      <c r="Q570" s="89">
        <f t="shared" si="302"/>
        <v>2007</v>
      </c>
      <c r="R570" t="s">
        <v>54</v>
      </c>
      <c r="S570">
        <v>600000000</v>
      </c>
      <c r="T570" s="21">
        <f t="shared" si="294"/>
        <v>6.7945205479452051</v>
      </c>
      <c r="U570">
        <v>0</v>
      </c>
      <c r="V570">
        <f t="shared" si="303"/>
        <v>0</v>
      </c>
      <c r="W570">
        <v>1989</v>
      </c>
      <c r="X570">
        <v>12</v>
      </c>
      <c r="Y570">
        <f t="shared" si="304"/>
        <v>1.1139433523068367</v>
      </c>
      <c r="Z570" s="45">
        <v>3.29</v>
      </c>
      <c r="AA570" s="9">
        <f t="shared" si="326"/>
        <v>489000000</v>
      </c>
      <c r="AB570" s="15">
        <f t="shared" si="295"/>
        <v>4.4054054054054053</v>
      </c>
      <c r="AC570" s="34">
        <f t="shared" si="305"/>
        <v>0.73282827159698616</v>
      </c>
      <c r="AD570">
        <v>1801.1079999999999</v>
      </c>
      <c r="AE570">
        <f t="shared" si="298"/>
        <v>3.2555397552391718</v>
      </c>
      <c r="AF570">
        <v>8416.6209999999992</v>
      </c>
      <c r="AG570">
        <f t="shared" si="299"/>
        <v>3.9251377713585649</v>
      </c>
      <c r="AH570" s="9">
        <v>0</v>
      </c>
      <c r="AI570" s="9">
        <f t="shared" si="306"/>
        <v>0</v>
      </c>
      <c r="AJ570">
        <v>85</v>
      </c>
      <c r="AK570" s="23" t="s">
        <v>861</v>
      </c>
      <c r="AL570" s="42">
        <v>36.544739309553499</v>
      </c>
      <c r="AM570" s="24">
        <v>0.1</v>
      </c>
      <c r="AN570" s="34">
        <f t="shared" si="307"/>
        <v>4.1392685158225077E-2</v>
      </c>
      <c r="AO570">
        <v>1984</v>
      </c>
      <c r="AP570">
        <v>17</v>
      </c>
      <c r="AQ570">
        <v>70</v>
      </c>
      <c r="AR570">
        <v>70</v>
      </c>
      <c r="AS570">
        <f t="shared" si="296"/>
        <v>0</v>
      </c>
      <c r="AT570">
        <f t="shared" si="308"/>
        <v>0</v>
      </c>
      <c r="AU570">
        <f t="shared" si="309"/>
        <v>1</v>
      </c>
      <c r="AV570">
        <f t="shared" si="310"/>
        <v>0</v>
      </c>
      <c r="AW570">
        <f t="shared" si="311"/>
        <v>0</v>
      </c>
      <c r="AX570">
        <f t="shared" si="312"/>
        <v>0</v>
      </c>
      <c r="AY570">
        <f t="shared" si="313"/>
        <v>0</v>
      </c>
      <c r="AZ570">
        <f t="shared" si="314"/>
        <v>0</v>
      </c>
      <c r="BA570">
        <f t="shared" si="315"/>
        <v>0</v>
      </c>
      <c r="BB570">
        <f t="shared" si="316"/>
        <v>0</v>
      </c>
      <c r="BC570">
        <f t="shared" si="317"/>
        <v>0</v>
      </c>
      <c r="BD570">
        <f t="shared" si="318"/>
        <v>0</v>
      </c>
      <c r="BE570">
        <f t="shared" si="319"/>
        <v>0</v>
      </c>
      <c r="BF570">
        <f t="shared" si="320"/>
        <v>0</v>
      </c>
      <c r="BG570">
        <f t="shared" si="321"/>
        <v>0</v>
      </c>
      <c r="BH570">
        <f t="shared" si="322"/>
        <v>0</v>
      </c>
      <c r="BI570">
        <f t="shared" si="323"/>
        <v>0</v>
      </c>
    </row>
    <row r="571" spans="1:61" x14ac:dyDescent="0.35">
      <c r="A571" t="s">
        <v>51</v>
      </c>
      <c r="B571" s="1">
        <v>36871</v>
      </c>
      <c r="C571" t="s">
        <v>1141</v>
      </c>
      <c r="D571" t="s">
        <v>5</v>
      </c>
      <c r="E571" t="s">
        <v>764</v>
      </c>
      <c r="F571" t="s">
        <v>577</v>
      </c>
      <c r="G571" t="s">
        <v>64</v>
      </c>
      <c r="H571" s="139">
        <f t="shared" si="297"/>
        <v>1</v>
      </c>
      <c r="I571" t="s">
        <v>234</v>
      </c>
      <c r="J571" t="s">
        <v>178</v>
      </c>
      <c r="K571" s="2">
        <f t="shared" si="300"/>
        <v>9</v>
      </c>
      <c r="L571">
        <v>72250000</v>
      </c>
      <c r="M571" s="2">
        <f t="shared" si="301"/>
        <v>7.8588378514285857</v>
      </c>
      <c r="N571">
        <f t="shared" si="325"/>
        <v>72250000</v>
      </c>
      <c r="O571">
        <v>0</v>
      </c>
      <c r="P571" s="1">
        <v>38331</v>
      </c>
      <c r="Q571" s="89">
        <f t="shared" si="302"/>
        <v>2004</v>
      </c>
      <c r="R571" t="s">
        <v>54</v>
      </c>
      <c r="S571">
        <v>238422104</v>
      </c>
      <c r="T571" s="21">
        <f t="shared" si="294"/>
        <v>4</v>
      </c>
      <c r="U571">
        <v>357.29</v>
      </c>
      <c r="V571">
        <f t="shared" si="303"/>
        <v>2.5542346870234227</v>
      </c>
      <c r="W571">
        <v>1989</v>
      </c>
      <c r="X571">
        <v>11</v>
      </c>
      <c r="Y571">
        <f t="shared" si="304"/>
        <v>1.0791812460476249</v>
      </c>
      <c r="Z571" s="45">
        <v>3.16</v>
      </c>
      <c r="AA571" s="9">
        <f t="shared" si="326"/>
        <v>166172104</v>
      </c>
      <c r="AB571" s="15">
        <f t="shared" si="295"/>
        <v>2.2999599169550171</v>
      </c>
      <c r="AC571" s="34">
        <f t="shared" si="305"/>
        <v>0.51850866474122814</v>
      </c>
      <c r="AD571">
        <v>1801.1079999999999</v>
      </c>
      <c r="AE571">
        <f t="shared" si="298"/>
        <v>3.2555397552391718</v>
      </c>
      <c r="AF571">
        <v>8416.6209999999992</v>
      </c>
      <c r="AG571">
        <f t="shared" si="299"/>
        <v>3.9251377713585649</v>
      </c>
      <c r="AH571" s="9">
        <v>971</v>
      </c>
      <c r="AI571" s="9">
        <f t="shared" si="306"/>
        <v>2.9876662649262746</v>
      </c>
      <c r="AJ571">
        <v>70</v>
      </c>
      <c r="AK571" s="23" t="s">
        <v>296</v>
      </c>
      <c r="AL571" s="42">
        <v>42.177001683602199</v>
      </c>
      <c r="AM571" s="24">
        <v>-0.14000000000000001</v>
      </c>
      <c r="AN571" s="34">
        <f t="shared" si="307"/>
        <v>-6.5501548756432285E-2</v>
      </c>
      <c r="AO571">
        <v>1984</v>
      </c>
      <c r="AP571">
        <v>16</v>
      </c>
      <c r="AQ571">
        <v>95</v>
      </c>
      <c r="AR571">
        <v>80</v>
      </c>
      <c r="AS571">
        <f t="shared" si="296"/>
        <v>0</v>
      </c>
      <c r="AT571">
        <f t="shared" si="308"/>
        <v>0</v>
      </c>
      <c r="AU571">
        <f t="shared" si="309"/>
        <v>0</v>
      </c>
      <c r="AV571">
        <f t="shared" si="310"/>
        <v>0</v>
      </c>
      <c r="AW571">
        <f t="shared" si="311"/>
        <v>0</v>
      </c>
      <c r="AX571">
        <f t="shared" si="312"/>
        <v>0</v>
      </c>
      <c r="AY571">
        <f t="shared" si="313"/>
        <v>1</v>
      </c>
      <c r="AZ571">
        <f t="shared" si="314"/>
        <v>0</v>
      </c>
      <c r="BA571">
        <f t="shared" si="315"/>
        <v>0</v>
      </c>
      <c r="BB571">
        <f t="shared" si="316"/>
        <v>0</v>
      </c>
      <c r="BC571">
        <f t="shared" si="317"/>
        <v>0</v>
      </c>
      <c r="BD571">
        <f t="shared" si="318"/>
        <v>0</v>
      </c>
      <c r="BE571">
        <f t="shared" si="319"/>
        <v>0</v>
      </c>
      <c r="BF571">
        <f t="shared" si="320"/>
        <v>0</v>
      </c>
      <c r="BG571">
        <f t="shared" si="321"/>
        <v>0</v>
      </c>
      <c r="BH571">
        <f t="shared" si="322"/>
        <v>0</v>
      </c>
      <c r="BI571">
        <f t="shared" si="323"/>
        <v>0</v>
      </c>
    </row>
    <row r="572" spans="1:61" x14ac:dyDescent="0.35">
      <c r="A572" t="s">
        <v>51</v>
      </c>
      <c r="B572" s="1">
        <v>38334</v>
      </c>
      <c r="C572" t="s">
        <v>1142</v>
      </c>
      <c r="D572" t="s">
        <v>59</v>
      </c>
      <c r="E572" t="s">
        <v>1132</v>
      </c>
      <c r="F572" t="s">
        <v>577</v>
      </c>
      <c r="G572" t="s">
        <v>47</v>
      </c>
      <c r="H572" s="139">
        <f t="shared" si="297"/>
        <v>0</v>
      </c>
      <c r="I572" t="s">
        <v>234</v>
      </c>
      <c r="J572" t="s">
        <v>248</v>
      </c>
      <c r="K572" s="2">
        <f t="shared" si="300"/>
        <v>5</v>
      </c>
      <c r="L572">
        <v>64000000</v>
      </c>
      <c r="M572" s="2">
        <f t="shared" si="301"/>
        <v>7.8061799739838875</v>
      </c>
      <c r="N572">
        <f t="shared" si="325"/>
        <v>64000000</v>
      </c>
      <c r="O572">
        <v>0</v>
      </c>
      <c r="P572" s="1">
        <v>40290</v>
      </c>
      <c r="Q572" s="89">
        <f t="shared" si="302"/>
        <v>2010</v>
      </c>
      <c r="R572" t="s">
        <v>1102</v>
      </c>
      <c r="S572">
        <v>0</v>
      </c>
      <c r="T572" s="21">
        <f t="shared" si="294"/>
        <v>5.3589041095890408</v>
      </c>
      <c r="U572">
        <v>0</v>
      </c>
      <c r="V572">
        <f t="shared" si="303"/>
        <v>0</v>
      </c>
      <c r="W572">
        <v>1964</v>
      </c>
      <c r="X572">
        <v>40</v>
      </c>
      <c r="Y572">
        <f t="shared" si="304"/>
        <v>1.6127838567197355</v>
      </c>
      <c r="Z572" s="45">
        <v>3.29</v>
      </c>
      <c r="AA572" s="9">
        <f t="shared" si="326"/>
        <v>-64000000</v>
      </c>
      <c r="AB572" s="15">
        <f t="shared" si="295"/>
        <v>-1</v>
      </c>
      <c r="AC572" s="34">
        <f t="shared" si="305"/>
        <v>-1</v>
      </c>
      <c r="AD572">
        <v>1801.1079999999999</v>
      </c>
      <c r="AE572">
        <f t="shared" si="298"/>
        <v>3.2555397552391718</v>
      </c>
      <c r="AF572">
        <v>8416.6209999999992</v>
      </c>
      <c r="AG572">
        <f t="shared" si="299"/>
        <v>3.9251377713585649</v>
      </c>
      <c r="AH572">
        <v>0</v>
      </c>
      <c r="AI572" s="9">
        <f t="shared" si="306"/>
        <v>0</v>
      </c>
      <c r="AJ572">
        <v>85</v>
      </c>
      <c r="AK572" s="23" t="s">
        <v>89</v>
      </c>
      <c r="AL572" s="42">
        <v>40.040400531970803</v>
      </c>
      <c r="AM572" s="24">
        <v>0.01</v>
      </c>
      <c r="AN572" s="34">
        <f t="shared" si="307"/>
        <v>4.3213737826425782E-3</v>
      </c>
      <c r="AO572">
        <v>1984</v>
      </c>
      <c r="AP572">
        <v>20</v>
      </c>
      <c r="AQ572">
        <v>70</v>
      </c>
      <c r="AR572">
        <v>70</v>
      </c>
      <c r="AS572">
        <f t="shared" si="296"/>
        <v>1</v>
      </c>
      <c r="AT572">
        <f t="shared" si="308"/>
        <v>0</v>
      </c>
      <c r="AU572">
        <f t="shared" si="309"/>
        <v>1</v>
      </c>
      <c r="AV572">
        <f t="shared" si="310"/>
        <v>0</v>
      </c>
      <c r="AW572">
        <f t="shared" si="311"/>
        <v>0</v>
      </c>
      <c r="AX572">
        <f t="shared" si="312"/>
        <v>0</v>
      </c>
      <c r="AY572">
        <f t="shared" si="313"/>
        <v>0</v>
      </c>
      <c r="AZ572">
        <f t="shared" si="314"/>
        <v>0</v>
      </c>
      <c r="BA572">
        <f t="shared" si="315"/>
        <v>0</v>
      </c>
      <c r="BB572">
        <f t="shared" si="316"/>
        <v>0</v>
      </c>
      <c r="BC572">
        <f t="shared" si="317"/>
        <v>0</v>
      </c>
      <c r="BD572">
        <f t="shared" si="318"/>
        <v>0</v>
      </c>
      <c r="BE572">
        <f t="shared" si="319"/>
        <v>0</v>
      </c>
      <c r="BF572">
        <f t="shared" si="320"/>
        <v>0</v>
      </c>
      <c r="BG572">
        <f t="shared" si="321"/>
        <v>0</v>
      </c>
      <c r="BH572">
        <f t="shared" si="322"/>
        <v>0</v>
      </c>
      <c r="BI572">
        <f t="shared" si="323"/>
        <v>0</v>
      </c>
    </row>
    <row r="573" spans="1:61" x14ac:dyDescent="0.35">
      <c r="A573" t="s">
        <v>51</v>
      </c>
      <c r="B573" s="1">
        <v>42124</v>
      </c>
      <c r="C573" t="s">
        <v>1143</v>
      </c>
      <c r="D573" t="s">
        <v>5</v>
      </c>
      <c r="E573" t="s">
        <v>1144</v>
      </c>
      <c r="F573" t="s">
        <v>577</v>
      </c>
      <c r="G573" t="s">
        <v>47</v>
      </c>
      <c r="H573" s="139">
        <f t="shared" si="297"/>
        <v>0</v>
      </c>
      <c r="I573" t="s">
        <v>234</v>
      </c>
      <c r="J573" t="s">
        <v>178</v>
      </c>
      <c r="K573" s="2">
        <f t="shared" si="300"/>
        <v>9</v>
      </c>
      <c r="L573">
        <v>730000000</v>
      </c>
      <c r="M573" s="2">
        <f t="shared" si="301"/>
        <v>8.8633228601204568</v>
      </c>
      <c r="N573">
        <f t="shared" si="325"/>
        <v>730000000</v>
      </c>
      <c r="O573">
        <v>0</v>
      </c>
      <c r="P573" s="1">
        <v>43522</v>
      </c>
      <c r="Q573" s="89">
        <f t="shared" si="302"/>
        <v>2019</v>
      </c>
      <c r="R573" t="s">
        <v>54</v>
      </c>
      <c r="S573">
        <v>1500000000</v>
      </c>
      <c r="T573" s="21">
        <f t="shared" si="294"/>
        <v>3.8301369863013699</v>
      </c>
      <c r="U573">
        <v>357.29</v>
      </c>
      <c r="V573">
        <f t="shared" si="303"/>
        <v>2.5542346870234227</v>
      </c>
      <c r="W573">
        <v>1984</v>
      </c>
      <c r="X573">
        <v>31</v>
      </c>
      <c r="Y573">
        <f t="shared" si="304"/>
        <v>1.505149978319906</v>
      </c>
      <c r="Z573" s="45">
        <v>3.16</v>
      </c>
      <c r="AA573" s="9">
        <f t="shared" si="326"/>
        <v>770000000</v>
      </c>
      <c r="AB573" s="15">
        <f t="shared" si="295"/>
        <v>1.0547945205479454</v>
      </c>
      <c r="AC573" s="34">
        <f t="shared" si="305"/>
        <v>0.3127683989352254</v>
      </c>
      <c r="AD573">
        <v>1789.9821258839918</v>
      </c>
      <c r="AE573">
        <f t="shared" si="298"/>
        <v>3.2528486942934638</v>
      </c>
      <c r="AF573">
        <v>4076.4342633054562</v>
      </c>
      <c r="AG573">
        <f t="shared" si="299"/>
        <v>3.6102804432713853</v>
      </c>
      <c r="AH573">
        <v>971</v>
      </c>
      <c r="AI573" s="9">
        <f t="shared" si="306"/>
        <v>2.9876662649262746</v>
      </c>
      <c r="AJ573">
        <v>84.3</v>
      </c>
      <c r="AK573" s="23" t="s">
        <v>284</v>
      </c>
      <c r="AL573" s="42">
        <v>44.611946528156203</v>
      </c>
      <c r="AM573" s="24">
        <v>0.34</v>
      </c>
      <c r="AN573" s="34">
        <f t="shared" si="307"/>
        <v>0.12710479836480765</v>
      </c>
      <c r="AO573">
        <v>1969</v>
      </c>
      <c r="AP573">
        <v>46</v>
      </c>
      <c r="AQ573">
        <v>70</v>
      </c>
      <c r="AR573">
        <v>90</v>
      </c>
      <c r="AS573">
        <f t="shared" si="296"/>
        <v>0</v>
      </c>
      <c r="AT573">
        <f t="shared" si="308"/>
        <v>0</v>
      </c>
      <c r="AU573">
        <f t="shared" si="309"/>
        <v>0</v>
      </c>
      <c r="AV573">
        <f t="shared" si="310"/>
        <v>0</v>
      </c>
      <c r="AW573">
        <f t="shared" si="311"/>
        <v>0</v>
      </c>
      <c r="AX573">
        <f t="shared" si="312"/>
        <v>0</v>
      </c>
      <c r="AY573">
        <f t="shared" si="313"/>
        <v>1</v>
      </c>
      <c r="AZ573">
        <f t="shared" si="314"/>
        <v>0</v>
      </c>
      <c r="BA573">
        <f t="shared" si="315"/>
        <v>0</v>
      </c>
      <c r="BB573">
        <f t="shared" si="316"/>
        <v>0</v>
      </c>
      <c r="BC573">
        <f t="shared" si="317"/>
        <v>0</v>
      </c>
      <c r="BD573">
        <f t="shared" si="318"/>
        <v>0</v>
      </c>
      <c r="BE573">
        <f t="shared" si="319"/>
        <v>0</v>
      </c>
      <c r="BF573">
        <f t="shared" si="320"/>
        <v>0</v>
      </c>
      <c r="BG573">
        <f t="shared" si="321"/>
        <v>0</v>
      </c>
      <c r="BH573">
        <f t="shared" si="322"/>
        <v>0</v>
      </c>
      <c r="BI573">
        <f t="shared" si="323"/>
        <v>0</v>
      </c>
    </row>
    <row r="574" spans="1:61" x14ac:dyDescent="0.35">
      <c r="A574" t="s">
        <v>352</v>
      </c>
      <c r="B574" s="1">
        <v>39422</v>
      </c>
      <c r="C574" t="s">
        <v>1145</v>
      </c>
      <c r="D574" t="s">
        <v>45</v>
      </c>
      <c r="E574" t="s">
        <v>1146</v>
      </c>
      <c r="F574" t="s">
        <v>602</v>
      </c>
      <c r="G574" t="s">
        <v>47</v>
      </c>
      <c r="H574" s="139">
        <f t="shared" si="297"/>
        <v>0</v>
      </c>
      <c r="I574" t="s">
        <v>234</v>
      </c>
      <c r="J574" t="s">
        <v>190</v>
      </c>
      <c r="K574" s="2">
        <f t="shared" si="300"/>
        <v>2</v>
      </c>
      <c r="L574">
        <v>69000000</v>
      </c>
      <c r="M574" s="2">
        <f t="shared" si="301"/>
        <v>7.8388490907372557</v>
      </c>
      <c r="N574">
        <f t="shared" si="325"/>
        <v>69000000</v>
      </c>
      <c r="O574">
        <v>0</v>
      </c>
      <c r="P574" s="1">
        <v>40814</v>
      </c>
      <c r="Q574" s="89">
        <f t="shared" si="302"/>
        <v>2011</v>
      </c>
      <c r="R574" t="s">
        <v>338</v>
      </c>
      <c r="S574">
        <v>0</v>
      </c>
      <c r="T574" s="21">
        <f t="shared" si="294"/>
        <v>3.8136986301369862</v>
      </c>
      <c r="U574">
        <v>0</v>
      </c>
      <c r="V574">
        <f t="shared" si="303"/>
        <v>0</v>
      </c>
      <c r="W574">
        <v>2001</v>
      </c>
      <c r="X574">
        <v>6</v>
      </c>
      <c r="Y574">
        <f t="shared" si="304"/>
        <v>0.84509804001425681</v>
      </c>
      <c r="Z574" s="45">
        <v>2.95</v>
      </c>
      <c r="AA574" s="9">
        <f t="shared" si="326"/>
        <v>-69000000</v>
      </c>
      <c r="AB574" s="15">
        <f t="shared" si="295"/>
        <v>-1</v>
      </c>
      <c r="AC574" s="34">
        <f t="shared" si="305"/>
        <v>-1</v>
      </c>
      <c r="AD574">
        <v>2315.9649266087058</v>
      </c>
      <c r="AE574">
        <f t="shared" si="298"/>
        <v>3.3647319780710983</v>
      </c>
      <c r="AF574">
        <v>3703.9030655807082</v>
      </c>
      <c r="AG574">
        <f t="shared" si="299"/>
        <v>3.5686596122879011</v>
      </c>
      <c r="AH574">
        <v>0</v>
      </c>
      <c r="AI574" s="9">
        <f t="shared" si="306"/>
        <v>0</v>
      </c>
      <c r="AJ574">
        <v>91.4</v>
      </c>
      <c r="AK574" t="s">
        <v>103</v>
      </c>
      <c r="AL574" s="42">
        <v>37.425715444240403</v>
      </c>
      <c r="AM574" s="24">
        <v>-0.24</v>
      </c>
      <c r="AN574" s="34">
        <f t="shared" si="307"/>
        <v>-0.11918640771920865</v>
      </c>
      <c r="AO574">
        <v>2011</v>
      </c>
      <c r="AP574">
        <v>0</v>
      </c>
      <c r="AQ574">
        <v>70</v>
      </c>
      <c r="AR574">
        <v>70</v>
      </c>
      <c r="AS574">
        <f t="shared" si="296"/>
        <v>1</v>
      </c>
      <c r="AT574">
        <f t="shared" si="308"/>
        <v>1</v>
      </c>
      <c r="AU574">
        <f t="shared" si="309"/>
        <v>0</v>
      </c>
      <c r="AV574">
        <f t="shared" si="310"/>
        <v>0</v>
      </c>
      <c r="AW574">
        <f t="shared" si="311"/>
        <v>0</v>
      </c>
      <c r="AX574">
        <f t="shared" si="312"/>
        <v>0</v>
      </c>
      <c r="AY574">
        <f t="shared" si="313"/>
        <v>0</v>
      </c>
      <c r="AZ574">
        <f t="shared" si="314"/>
        <v>0</v>
      </c>
      <c r="BA574">
        <f t="shared" si="315"/>
        <v>0</v>
      </c>
      <c r="BB574">
        <f t="shared" si="316"/>
        <v>0</v>
      </c>
      <c r="BC574">
        <f t="shared" si="317"/>
        <v>0</v>
      </c>
      <c r="BD574">
        <f t="shared" si="318"/>
        <v>0</v>
      </c>
      <c r="BE574">
        <f t="shared" si="319"/>
        <v>0</v>
      </c>
      <c r="BF574">
        <f t="shared" si="320"/>
        <v>0</v>
      </c>
      <c r="BG574">
        <f t="shared" si="321"/>
        <v>0</v>
      </c>
      <c r="BH574">
        <f t="shared" si="322"/>
        <v>0</v>
      </c>
      <c r="BI574">
        <f t="shared" si="323"/>
        <v>0</v>
      </c>
    </row>
    <row r="575" spans="1:61" x14ac:dyDescent="0.35">
      <c r="A575" t="s">
        <v>51</v>
      </c>
      <c r="B575" s="1">
        <v>33883</v>
      </c>
      <c r="C575" t="s">
        <v>1147</v>
      </c>
      <c r="D575" t="s">
        <v>45</v>
      </c>
      <c r="E575" t="s">
        <v>1148</v>
      </c>
      <c r="F575" t="s">
        <v>602</v>
      </c>
      <c r="G575" t="s">
        <v>47</v>
      </c>
      <c r="H575" s="139">
        <f t="shared" si="297"/>
        <v>0</v>
      </c>
      <c r="I575" t="s">
        <v>234</v>
      </c>
      <c r="J575" t="s">
        <v>178</v>
      </c>
      <c r="K575" s="2">
        <f t="shared" si="300"/>
        <v>9</v>
      </c>
      <c r="L575">
        <v>100000000</v>
      </c>
      <c r="M575" s="2">
        <f t="shared" si="301"/>
        <v>8</v>
      </c>
      <c r="N575">
        <f t="shared" si="325"/>
        <v>100000000</v>
      </c>
      <c r="O575">
        <v>0</v>
      </c>
      <c r="P575" s="1">
        <v>34655</v>
      </c>
      <c r="Q575" s="89">
        <f t="shared" si="302"/>
        <v>1994</v>
      </c>
      <c r="R575" t="s">
        <v>107</v>
      </c>
      <c r="S575">
        <v>98000000</v>
      </c>
      <c r="T575" s="21">
        <f t="shared" si="294"/>
        <v>2.1150684931506851</v>
      </c>
      <c r="U575">
        <v>0</v>
      </c>
      <c r="V575">
        <f t="shared" si="303"/>
        <v>0</v>
      </c>
      <c r="W575">
        <v>1994</v>
      </c>
      <c r="X575">
        <v>0</v>
      </c>
      <c r="Y575">
        <f t="shared" si="304"/>
        <v>0</v>
      </c>
      <c r="Z575" s="45">
        <v>2.95</v>
      </c>
      <c r="AA575" s="9">
        <f t="shared" si="326"/>
        <v>-2000000</v>
      </c>
      <c r="AB575" s="15">
        <f t="shared" si="295"/>
        <v>-2.0000000000000018E-2</v>
      </c>
      <c r="AC575" s="34">
        <f t="shared" si="305"/>
        <v>-8.7739243075051505E-3</v>
      </c>
      <c r="AD575">
        <v>1246.953</v>
      </c>
      <c r="AE575">
        <f t="shared" si="298"/>
        <v>3.0958500844125241</v>
      </c>
      <c r="AF575">
        <v>3219.7179999999998</v>
      </c>
      <c r="AG575">
        <f t="shared" si="299"/>
        <v>3.5078178355445662</v>
      </c>
      <c r="AH575">
        <v>0</v>
      </c>
      <c r="AI575" s="9">
        <f t="shared" si="306"/>
        <v>0</v>
      </c>
      <c r="AJ575">
        <v>85</v>
      </c>
      <c r="AK575" t="s">
        <v>222</v>
      </c>
      <c r="AL575" s="42">
        <v>39.367752568237798</v>
      </c>
      <c r="AM575" s="24">
        <v>0.14000000000000001</v>
      </c>
      <c r="AN575" s="34">
        <f t="shared" si="307"/>
        <v>5.6904851336472641E-2</v>
      </c>
      <c r="AO575">
        <v>1987</v>
      </c>
      <c r="AP575">
        <v>5</v>
      </c>
      <c r="AQ575">
        <v>70</v>
      </c>
      <c r="AR575">
        <v>70</v>
      </c>
      <c r="AS575">
        <f t="shared" si="296"/>
        <v>0</v>
      </c>
      <c r="AT575">
        <f t="shared" si="308"/>
        <v>1</v>
      </c>
      <c r="AU575">
        <f t="shared" si="309"/>
        <v>0</v>
      </c>
      <c r="AV575">
        <f t="shared" si="310"/>
        <v>0</v>
      </c>
      <c r="AW575">
        <f t="shared" si="311"/>
        <v>0</v>
      </c>
      <c r="AX575">
        <f t="shared" si="312"/>
        <v>0</v>
      </c>
      <c r="AY575">
        <f t="shared" si="313"/>
        <v>0</v>
      </c>
      <c r="AZ575">
        <f t="shared" si="314"/>
        <v>0</v>
      </c>
      <c r="BA575">
        <f t="shared" si="315"/>
        <v>0</v>
      </c>
      <c r="BB575">
        <f t="shared" si="316"/>
        <v>0</v>
      </c>
      <c r="BC575">
        <f t="shared" si="317"/>
        <v>0</v>
      </c>
      <c r="BD575">
        <f t="shared" si="318"/>
        <v>0</v>
      </c>
      <c r="BE575">
        <f t="shared" si="319"/>
        <v>0</v>
      </c>
      <c r="BF575">
        <f t="shared" si="320"/>
        <v>0</v>
      </c>
      <c r="BG575">
        <f t="shared" si="321"/>
        <v>0</v>
      </c>
      <c r="BH575">
        <f t="shared" si="322"/>
        <v>0</v>
      </c>
      <c r="BI575">
        <f t="shared" si="323"/>
        <v>0</v>
      </c>
    </row>
    <row r="576" spans="1:61" x14ac:dyDescent="0.35">
      <c r="A576" t="s">
        <v>51</v>
      </c>
      <c r="B576" s="1">
        <v>35064</v>
      </c>
      <c r="C576" t="s">
        <v>1149</v>
      </c>
      <c r="D576" t="s">
        <v>45</v>
      </c>
      <c r="E576" t="s">
        <v>1150</v>
      </c>
      <c r="F576" t="s">
        <v>602</v>
      </c>
      <c r="G576" t="s">
        <v>47</v>
      </c>
      <c r="H576" s="139">
        <f t="shared" si="297"/>
        <v>0</v>
      </c>
      <c r="I576" t="s">
        <v>234</v>
      </c>
      <c r="J576" t="s">
        <v>235</v>
      </c>
      <c r="K576" s="2">
        <f t="shared" si="300"/>
        <v>1</v>
      </c>
      <c r="L576">
        <v>750000000</v>
      </c>
      <c r="M576" s="2">
        <f t="shared" si="301"/>
        <v>8.8750612633917001</v>
      </c>
      <c r="N576">
        <f t="shared" si="325"/>
        <v>750000000</v>
      </c>
      <c r="O576">
        <v>0</v>
      </c>
      <c r="P576" s="1">
        <v>36199</v>
      </c>
      <c r="Q576" s="89">
        <f t="shared" si="302"/>
        <v>1999</v>
      </c>
      <c r="R576" t="s">
        <v>107</v>
      </c>
      <c r="S576">
        <v>385000000</v>
      </c>
      <c r="T576" s="21">
        <f t="shared" si="294"/>
        <v>3.1095890410958904</v>
      </c>
      <c r="U576">
        <v>0</v>
      </c>
      <c r="V576">
        <f t="shared" si="303"/>
        <v>0</v>
      </c>
      <c r="W576">
        <v>1995</v>
      </c>
      <c r="X576">
        <v>0</v>
      </c>
      <c r="Y576">
        <f t="shared" si="304"/>
        <v>0</v>
      </c>
      <c r="Z576" s="45">
        <v>2.95</v>
      </c>
      <c r="AA576" s="9">
        <f t="shared" si="326"/>
        <v>-365000000</v>
      </c>
      <c r="AB576" s="15">
        <f t="shared" si="295"/>
        <v>-0.48666666666666669</v>
      </c>
      <c r="AC576" s="34">
        <f t="shared" si="305"/>
        <v>-0.2896005338831994</v>
      </c>
      <c r="AD576">
        <v>1246.953</v>
      </c>
      <c r="AE576">
        <f t="shared" si="298"/>
        <v>3.0958500844125241</v>
      </c>
      <c r="AF576">
        <v>3219.7179999999998</v>
      </c>
      <c r="AG576">
        <f t="shared" si="299"/>
        <v>3.5078178355445662</v>
      </c>
      <c r="AH576">
        <v>0</v>
      </c>
      <c r="AI576" s="9">
        <f t="shared" si="306"/>
        <v>0</v>
      </c>
      <c r="AJ576">
        <v>85</v>
      </c>
      <c r="AK576" t="s">
        <v>332</v>
      </c>
      <c r="AL576" s="42">
        <v>37.808596853116498</v>
      </c>
      <c r="AM576" s="24">
        <v>1.02</v>
      </c>
      <c r="AN576" s="34">
        <f t="shared" si="307"/>
        <v>0.30535136944662378</v>
      </c>
      <c r="AO576">
        <v>1987</v>
      </c>
      <c r="AP576">
        <v>8</v>
      </c>
      <c r="AQ576">
        <v>70</v>
      </c>
      <c r="AR576">
        <v>70</v>
      </c>
      <c r="AS576">
        <f t="shared" si="296"/>
        <v>0</v>
      </c>
      <c r="AT576">
        <f t="shared" si="308"/>
        <v>1</v>
      </c>
      <c r="AU576">
        <f t="shared" si="309"/>
        <v>0</v>
      </c>
      <c r="AV576">
        <f t="shared" si="310"/>
        <v>0</v>
      </c>
      <c r="AW576">
        <f t="shared" si="311"/>
        <v>0</v>
      </c>
      <c r="AX576">
        <f t="shared" si="312"/>
        <v>0</v>
      </c>
      <c r="AY576">
        <f t="shared" si="313"/>
        <v>0</v>
      </c>
      <c r="AZ576">
        <f t="shared" si="314"/>
        <v>0</v>
      </c>
      <c r="BA576">
        <f t="shared" si="315"/>
        <v>0</v>
      </c>
      <c r="BB576">
        <f t="shared" si="316"/>
        <v>0</v>
      </c>
      <c r="BC576">
        <f t="shared" si="317"/>
        <v>0</v>
      </c>
      <c r="BD576">
        <f t="shared" si="318"/>
        <v>0</v>
      </c>
      <c r="BE576">
        <f t="shared" si="319"/>
        <v>0</v>
      </c>
      <c r="BF576">
        <f t="shared" si="320"/>
        <v>0</v>
      </c>
      <c r="BG576">
        <f t="shared" si="321"/>
        <v>0</v>
      </c>
      <c r="BH576">
        <f t="shared" si="322"/>
        <v>0</v>
      </c>
      <c r="BI576">
        <f t="shared" si="323"/>
        <v>0</v>
      </c>
    </row>
    <row r="577" spans="1:61" x14ac:dyDescent="0.35">
      <c r="A577" t="s">
        <v>51</v>
      </c>
      <c r="B577" s="1">
        <v>36438</v>
      </c>
      <c r="C577" t="s">
        <v>1151</v>
      </c>
      <c r="D577" t="s">
        <v>45</v>
      </c>
      <c r="E577" t="s">
        <v>1150</v>
      </c>
      <c r="F577" t="s">
        <v>602</v>
      </c>
      <c r="G577" t="s">
        <v>47</v>
      </c>
      <c r="H577" s="139">
        <f t="shared" si="297"/>
        <v>0</v>
      </c>
      <c r="I577" t="s">
        <v>289</v>
      </c>
      <c r="J577" t="s">
        <v>235</v>
      </c>
      <c r="K577" s="2">
        <f t="shared" si="300"/>
        <v>1</v>
      </c>
      <c r="L577">
        <v>120000000</v>
      </c>
      <c r="M577" s="2">
        <f t="shared" si="301"/>
        <v>8.0791812460476251</v>
      </c>
      <c r="N577">
        <f t="shared" si="325"/>
        <v>120000000</v>
      </c>
      <c r="O577">
        <v>0</v>
      </c>
      <c r="P577" s="1">
        <v>39691</v>
      </c>
      <c r="Q577" s="89">
        <f t="shared" si="302"/>
        <v>2008</v>
      </c>
      <c r="R577" t="s">
        <v>107</v>
      </c>
      <c r="S577">
        <v>520000000</v>
      </c>
      <c r="T577" s="21">
        <f t="shared" si="294"/>
        <v>8.912328767123288</v>
      </c>
      <c r="U577">
        <v>0</v>
      </c>
      <c r="V577">
        <f t="shared" si="303"/>
        <v>0</v>
      </c>
      <c r="W577">
        <v>1894</v>
      </c>
      <c r="X577">
        <v>105</v>
      </c>
      <c r="Y577">
        <f t="shared" si="304"/>
        <v>2.0253058652647704</v>
      </c>
      <c r="Z577" s="45">
        <v>2.95</v>
      </c>
      <c r="AA577" s="9">
        <f t="shared" si="326"/>
        <v>400000000</v>
      </c>
      <c r="AB577" s="15">
        <f t="shared" si="295"/>
        <v>3.333333333333333</v>
      </c>
      <c r="AC577" s="34">
        <f t="shared" si="305"/>
        <v>0.63682209758717434</v>
      </c>
      <c r="AD577">
        <v>1246.953</v>
      </c>
      <c r="AE577">
        <f t="shared" si="298"/>
        <v>3.0958500844125241</v>
      </c>
      <c r="AF577">
        <v>3219.7179999999998</v>
      </c>
      <c r="AG577">
        <f t="shared" si="299"/>
        <v>3.5078178355445662</v>
      </c>
      <c r="AH577">
        <v>0</v>
      </c>
      <c r="AI577" s="9">
        <f t="shared" si="306"/>
        <v>0</v>
      </c>
      <c r="AJ577">
        <v>85</v>
      </c>
      <c r="AK577" t="s">
        <v>75</v>
      </c>
      <c r="AL577" s="42">
        <v>34.656907836978597</v>
      </c>
      <c r="AM577" s="24">
        <v>-0.01</v>
      </c>
      <c r="AN577" s="34">
        <f t="shared" si="307"/>
        <v>-4.3648054024500883E-3</v>
      </c>
      <c r="AO577">
        <v>1987</v>
      </c>
      <c r="AP577">
        <v>12</v>
      </c>
      <c r="AQ577">
        <v>70</v>
      </c>
      <c r="AR577">
        <v>70</v>
      </c>
      <c r="AS577">
        <f t="shared" si="296"/>
        <v>0</v>
      </c>
      <c r="AT577">
        <f t="shared" si="308"/>
        <v>1</v>
      </c>
      <c r="AU577">
        <f t="shared" si="309"/>
        <v>0</v>
      </c>
      <c r="AV577">
        <f t="shared" si="310"/>
        <v>0</v>
      </c>
      <c r="AW577">
        <f t="shared" si="311"/>
        <v>0</v>
      </c>
      <c r="AX577">
        <f t="shared" si="312"/>
        <v>0</v>
      </c>
      <c r="AY577">
        <f t="shared" si="313"/>
        <v>0</v>
      </c>
      <c r="AZ577">
        <f t="shared" si="314"/>
        <v>0</v>
      </c>
      <c r="BA577">
        <f t="shared" si="315"/>
        <v>0</v>
      </c>
      <c r="BB577">
        <f t="shared" si="316"/>
        <v>0</v>
      </c>
      <c r="BC577">
        <f t="shared" si="317"/>
        <v>0</v>
      </c>
      <c r="BD577">
        <f t="shared" si="318"/>
        <v>0</v>
      </c>
      <c r="BE577">
        <f t="shared" si="319"/>
        <v>0</v>
      </c>
      <c r="BF577">
        <f t="shared" si="320"/>
        <v>0</v>
      </c>
      <c r="BG577">
        <f t="shared" si="321"/>
        <v>0</v>
      </c>
      <c r="BH577">
        <f t="shared" si="322"/>
        <v>0</v>
      </c>
      <c r="BI577">
        <f t="shared" si="323"/>
        <v>0</v>
      </c>
    </row>
    <row r="578" spans="1:61" x14ac:dyDescent="0.35">
      <c r="A578" t="s">
        <v>51</v>
      </c>
      <c r="B578" s="1">
        <v>36494</v>
      </c>
      <c r="C578" t="s">
        <v>1152</v>
      </c>
      <c r="D578" t="s">
        <v>45</v>
      </c>
      <c r="E578" t="s">
        <v>1150</v>
      </c>
      <c r="F578" t="s">
        <v>602</v>
      </c>
      <c r="G578" t="s">
        <v>47</v>
      </c>
      <c r="H578" s="139">
        <f t="shared" si="297"/>
        <v>0</v>
      </c>
      <c r="I578" t="s">
        <v>234</v>
      </c>
      <c r="J578" t="s">
        <v>186</v>
      </c>
      <c r="K578" s="2">
        <f t="shared" si="300"/>
        <v>4</v>
      </c>
      <c r="L578">
        <v>281000000</v>
      </c>
      <c r="M578" s="2">
        <f t="shared" si="301"/>
        <v>8.4487063199050798</v>
      </c>
      <c r="N578">
        <f t="shared" si="325"/>
        <v>281000000</v>
      </c>
      <c r="O578">
        <v>0</v>
      </c>
      <c r="P578" s="1">
        <v>37705</v>
      </c>
      <c r="Q578" s="89">
        <f t="shared" si="302"/>
        <v>2003</v>
      </c>
      <c r="R578" t="s">
        <v>107</v>
      </c>
      <c r="S578">
        <v>360000000</v>
      </c>
      <c r="T578" s="21">
        <f t="shared" ref="T578:T641" si="327">YEARFRAC(B578,P578,3)</f>
        <v>3.3178082191780822</v>
      </c>
      <c r="U578">
        <v>0</v>
      </c>
      <c r="V578">
        <f t="shared" si="303"/>
        <v>0</v>
      </c>
      <c r="W578">
        <v>1962</v>
      </c>
      <c r="X578">
        <v>37</v>
      </c>
      <c r="Y578">
        <f t="shared" si="304"/>
        <v>1.5797835966168101</v>
      </c>
      <c r="Z578" s="45">
        <v>2.95</v>
      </c>
      <c r="AA578" s="9">
        <f t="shared" si="326"/>
        <v>79000000</v>
      </c>
      <c r="AB578" s="15">
        <f t="shared" ref="AB578:AB641" si="328">(S578/L578)-1</f>
        <v>0.28113879003558728</v>
      </c>
      <c r="AC578" s="34">
        <f t="shared" si="305"/>
        <v>0.1075961808622074</v>
      </c>
      <c r="AD578">
        <v>1246.953</v>
      </c>
      <c r="AE578">
        <f t="shared" si="298"/>
        <v>3.0958500844125241</v>
      </c>
      <c r="AF578">
        <v>3219.7179999999998</v>
      </c>
      <c r="AG578">
        <f t="shared" si="299"/>
        <v>3.5078178355445662</v>
      </c>
      <c r="AH578">
        <v>0</v>
      </c>
      <c r="AI578" s="9">
        <f t="shared" si="306"/>
        <v>0</v>
      </c>
      <c r="AJ578">
        <v>85</v>
      </c>
      <c r="AK578" t="s">
        <v>75</v>
      </c>
      <c r="AL578" s="42">
        <v>34.656907836978597</v>
      </c>
      <c r="AM578" s="24">
        <v>-0.37</v>
      </c>
      <c r="AN578" s="34">
        <f t="shared" si="307"/>
        <v>-0.20065945054641829</v>
      </c>
      <c r="AO578">
        <v>1987</v>
      </c>
      <c r="AP578">
        <v>12</v>
      </c>
      <c r="AQ578">
        <v>70</v>
      </c>
      <c r="AR578">
        <v>70</v>
      </c>
      <c r="AS578">
        <f t="shared" ref="AS578:AS641" si="329">IF(AC578=-1,1,0)</f>
        <v>0</v>
      </c>
      <c r="AT578">
        <f t="shared" si="308"/>
        <v>1</v>
      </c>
      <c r="AU578">
        <f t="shared" si="309"/>
        <v>0</v>
      </c>
      <c r="AV578">
        <f t="shared" si="310"/>
        <v>0</v>
      </c>
      <c r="AW578">
        <f t="shared" si="311"/>
        <v>0</v>
      </c>
      <c r="AX578">
        <f t="shared" si="312"/>
        <v>0</v>
      </c>
      <c r="AY578">
        <f t="shared" si="313"/>
        <v>0</v>
      </c>
      <c r="AZ578">
        <f t="shared" si="314"/>
        <v>0</v>
      </c>
      <c r="BA578">
        <f t="shared" si="315"/>
        <v>0</v>
      </c>
      <c r="BB578">
        <f t="shared" si="316"/>
        <v>0</v>
      </c>
      <c r="BC578">
        <f t="shared" si="317"/>
        <v>0</v>
      </c>
      <c r="BD578">
        <f t="shared" si="318"/>
        <v>0</v>
      </c>
      <c r="BE578">
        <f t="shared" si="319"/>
        <v>0</v>
      </c>
      <c r="BF578">
        <f t="shared" si="320"/>
        <v>0</v>
      </c>
      <c r="BG578">
        <f t="shared" si="321"/>
        <v>0</v>
      </c>
      <c r="BH578">
        <f t="shared" si="322"/>
        <v>0</v>
      </c>
      <c r="BI578">
        <f t="shared" si="323"/>
        <v>0</v>
      </c>
    </row>
    <row r="579" spans="1:61" x14ac:dyDescent="0.35">
      <c r="A579" t="s">
        <v>51</v>
      </c>
      <c r="B579" s="1">
        <v>36396</v>
      </c>
      <c r="C579" t="s">
        <v>1153</v>
      </c>
      <c r="D579" t="s">
        <v>45</v>
      </c>
      <c r="E579" t="s">
        <v>1150</v>
      </c>
      <c r="F579" t="s">
        <v>602</v>
      </c>
      <c r="G579" t="s">
        <v>47</v>
      </c>
      <c r="H579" s="139">
        <f t="shared" ref="H579:H642" si="330">IF(G579="domestic",0,1)</f>
        <v>0</v>
      </c>
      <c r="I579" t="s">
        <v>289</v>
      </c>
      <c r="J579" t="s">
        <v>235</v>
      </c>
      <c r="K579" s="2">
        <f t="shared" si="300"/>
        <v>1</v>
      </c>
      <c r="L579">
        <v>250000000</v>
      </c>
      <c r="M579" s="2">
        <f t="shared" si="301"/>
        <v>8.3979400086720375</v>
      </c>
      <c r="N579">
        <f t="shared" si="325"/>
        <v>250000000</v>
      </c>
      <c r="O579">
        <v>0</v>
      </c>
      <c r="P579" s="1">
        <v>37490</v>
      </c>
      <c r="Q579" s="89">
        <f t="shared" si="302"/>
        <v>2002</v>
      </c>
      <c r="R579" t="s">
        <v>107</v>
      </c>
      <c r="S579">
        <v>500000000</v>
      </c>
      <c r="T579" s="21">
        <f t="shared" si="327"/>
        <v>2.9972602739726026</v>
      </c>
      <c r="U579">
        <v>0</v>
      </c>
      <c r="V579">
        <f t="shared" si="303"/>
        <v>0</v>
      </c>
      <c r="W579">
        <v>1990</v>
      </c>
      <c r="X579">
        <v>9</v>
      </c>
      <c r="Y579">
        <f t="shared" si="304"/>
        <v>1</v>
      </c>
      <c r="Z579" s="45">
        <v>2.95</v>
      </c>
      <c r="AA579" s="9">
        <f t="shared" si="326"/>
        <v>250000000</v>
      </c>
      <c r="AB579" s="15">
        <f t="shared" si="328"/>
        <v>1</v>
      </c>
      <c r="AC579" s="34">
        <f t="shared" si="305"/>
        <v>0.3010299956639812</v>
      </c>
      <c r="AD579">
        <v>1246.953</v>
      </c>
      <c r="AE579">
        <f t="shared" ref="AE579:AE642" si="331">LOG(AD579)</f>
        <v>3.0958500844125241</v>
      </c>
      <c r="AF579">
        <v>3219.7179999999998</v>
      </c>
      <c r="AG579">
        <f t="shared" ref="AG579:AG642" si="332">LOG(AF579)</f>
        <v>3.5078178355445662</v>
      </c>
      <c r="AH579">
        <v>0</v>
      </c>
      <c r="AI579" s="9">
        <f t="shared" si="306"/>
        <v>0</v>
      </c>
      <c r="AJ579">
        <v>85</v>
      </c>
      <c r="AK579" t="s">
        <v>75</v>
      </c>
      <c r="AL579" s="42">
        <v>34.656907836978597</v>
      </c>
      <c r="AM579" s="24">
        <v>-0.28999999999999998</v>
      </c>
      <c r="AN579" s="34">
        <f t="shared" si="307"/>
        <v>-0.14874165128092473</v>
      </c>
      <c r="AO579">
        <v>1987</v>
      </c>
      <c r="AP579">
        <v>12</v>
      </c>
      <c r="AQ579">
        <v>70</v>
      </c>
      <c r="AR579">
        <v>70</v>
      </c>
      <c r="AS579">
        <f t="shared" si="329"/>
        <v>0</v>
      </c>
      <c r="AT579">
        <f t="shared" si="308"/>
        <v>1</v>
      </c>
      <c r="AU579">
        <f t="shared" si="309"/>
        <v>0</v>
      </c>
      <c r="AV579">
        <f t="shared" si="310"/>
        <v>0</v>
      </c>
      <c r="AW579">
        <f t="shared" si="311"/>
        <v>0</v>
      </c>
      <c r="AX579">
        <f t="shared" si="312"/>
        <v>0</v>
      </c>
      <c r="AY579">
        <f t="shared" si="313"/>
        <v>0</v>
      </c>
      <c r="AZ579">
        <f t="shared" si="314"/>
        <v>0</v>
      </c>
      <c r="BA579">
        <f t="shared" si="315"/>
        <v>0</v>
      </c>
      <c r="BB579">
        <f t="shared" si="316"/>
        <v>0</v>
      </c>
      <c r="BC579">
        <f t="shared" si="317"/>
        <v>0</v>
      </c>
      <c r="BD579">
        <f t="shared" si="318"/>
        <v>0</v>
      </c>
      <c r="BE579">
        <f t="shared" si="319"/>
        <v>0</v>
      </c>
      <c r="BF579">
        <f t="shared" si="320"/>
        <v>0</v>
      </c>
      <c r="BG579">
        <f t="shared" si="321"/>
        <v>0</v>
      </c>
      <c r="BH579">
        <f t="shared" si="322"/>
        <v>0</v>
      </c>
      <c r="BI579">
        <f t="shared" si="323"/>
        <v>0</v>
      </c>
    </row>
    <row r="580" spans="1:61" x14ac:dyDescent="0.35">
      <c r="A580" t="s">
        <v>51</v>
      </c>
      <c r="B580" s="1">
        <v>36404</v>
      </c>
      <c r="C580" t="s">
        <v>1154</v>
      </c>
      <c r="D580" t="s">
        <v>45</v>
      </c>
      <c r="E580" t="s">
        <v>1150</v>
      </c>
      <c r="F580" t="s">
        <v>602</v>
      </c>
      <c r="G580" t="s">
        <v>47</v>
      </c>
      <c r="H580" s="139">
        <f t="shared" si="330"/>
        <v>0</v>
      </c>
      <c r="I580" t="s">
        <v>234</v>
      </c>
      <c r="J580" t="s">
        <v>190</v>
      </c>
      <c r="K580" s="2">
        <f t="shared" si="300"/>
        <v>2</v>
      </c>
      <c r="L580">
        <v>161890000</v>
      </c>
      <c r="M580" s="2">
        <f t="shared" si="301"/>
        <v>8.2092200230649937</v>
      </c>
      <c r="N580">
        <f t="shared" si="325"/>
        <v>161890000</v>
      </c>
      <c r="O580">
        <v>0</v>
      </c>
      <c r="P580" s="1">
        <v>38265</v>
      </c>
      <c r="Q580" s="89">
        <f t="shared" si="302"/>
        <v>2004</v>
      </c>
      <c r="R580" t="s">
        <v>107</v>
      </c>
      <c r="S580">
        <v>529350000</v>
      </c>
      <c r="T580" s="21">
        <f t="shared" si="327"/>
        <v>5.0986301369863014</v>
      </c>
      <c r="U580">
        <v>0</v>
      </c>
      <c r="V580">
        <f t="shared" si="303"/>
        <v>0</v>
      </c>
      <c r="W580">
        <v>1947</v>
      </c>
      <c r="X580">
        <v>52</v>
      </c>
      <c r="Y580">
        <f t="shared" si="304"/>
        <v>1.7242758696007889</v>
      </c>
      <c r="Z580" s="45">
        <v>2.95</v>
      </c>
      <c r="AA580" s="9">
        <f t="shared" si="326"/>
        <v>367460000</v>
      </c>
      <c r="AB580" s="15">
        <f t="shared" si="328"/>
        <v>2.2698128358762122</v>
      </c>
      <c r="AC580" s="34">
        <f t="shared" si="305"/>
        <v>0.51452289435065757</v>
      </c>
      <c r="AD580">
        <v>1246.953</v>
      </c>
      <c r="AE580">
        <f t="shared" si="331"/>
        <v>3.0958500844125241</v>
      </c>
      <c r="AF580">
        <v>3219.7179999999998</v>
      </c>
      <c r="AG580">
        <f t="shared" si="332"/>
        <v>3.5078178355445662</v>
      </c>
      <c r="AH580">
        <v>0</v>
      </c>
      <c r="AI580" s="9">
        <f t="shared" si="306"/>
        <v>0</v>
      </c>
      <c r="AJ580">
        <v>85</v>
      </c>
      <c r="AK580" t="s">
        <v>75</v>
      </c>
      <c r="AL580" s="42">
        <v>34.656907836978597</v>
      </c>
      <c r="AM580" s="24">
        <v>-0.15</v>
      </c>
      <c r="AN580" s="34">
        <f t="shared" si="307"/>
        <v>-7.0581074285707285E-2</v>
      </c>
      <c r="AO580">
        <v>1987</v>
      </c>
      <c r="AP580">
        <v>12</v>
      </c>
      <c r="AQ580">
        <v>70</v>
      </c>
      <c r="AR580">
        <v>70</v>
      </c>
      <c r="AS580">
        <f t="shared" si="329"/>
        <v>0</v>
      </c>
      <c r="AT580">
        <f t="shared" si="308"/>
        <v>1</v>
      </c>
      <c r="AU580">
        <f t="shared" si="309"/>
        <v>0</v>
      </c>
      <c r="AV580">
        <f t="shared" si="310"/>
        <v>0</v>
      </c>
      <c r="AW580">
        <f t="shared" si="311"/>
        <v>0</v>
      </c>
      <c r="AX580">
        <f t="shared" si="312"/>
        <v>0</v>
      </c>
      <c r="AY580">
        <f t="shared" si="313"/>
        <v>0</v>
      </c>
      <c r="AZ580">
        <f t="shared" si="314"/>
        <v>0</v>
      </c>
      <c r="BA580">
        <f t="shared" si="315"/>
        <v>0</v>
      </c>
      <c r="BB580">
        <f t="shared" si="316"/>
        <v>0</v>
      </c>
      <c r="BC580">
        <f t="shared" si="317"/>
        <v>0</v>
      </c>
      <c r="BD580">
        <f t="shared" si="318"/>
        <v>0</v>
      </c>
      <c r="BE580">
        <f t="shared" si="319"/>
        <v>0</v>
      </c>
      <c r="BF580">
        <f t="shared" si="320"/>
        <v>0</v>
      </c>
      <c r="BG580">
        <f t="shared" si="321"/>
        <v>0</v>
      </c>
      <c r="BH580">
        <f t="shared" si="322"/>
        <v>0</v>
      </c>
      <c r="BI580">
        <f t="shared" si="323"/>
        <v>0</v>
      </c>
    </row>
    <row r="581" spans="1:61" x14ac:dyDescent="0.35">
      <c r="A581" t="s">
        <v>1155</v>
      </c>
      <c r="B581" s="1">
        <v>36525</v>
      </c>
      <c r="C581" t="s">
        <v>1156</v>
      </c>
      <c r="D581" t="s">
        <v>45</v>
      </c>
      <c r="E581" t="s">
        <v>1157</v>
      </c>
      <c r="F581" t="s">
        <v>602</v>
      </c>
      <c r="G581" t="s">
        <v>47</v>
      </c>
      <c r="H581" s="139">
        <f t="shared" si="330"/>
        <v>0</v>
      </c>
      <c r="I581" t="s">
        <v>234</v>
      </c>
      <c r="J581" t="s">
        <v>248</v>
      </c>
      <c r="K581" s="2">
        <f t="shared" si="300"/>
        <v>5</v>
      </c>
      <c r="L581">
        <v>402000000</v>
      </c>
      <c r="M581" s="2">
        <f t="shared" si="301"/>
        <v>8.6042260530844707</v>
      </c>
      <c r="N581">
        <f t="shared" si="325"/>
        <v>402000000</v>
      </c>
      <c r="O581">
        <v>0</v>
      </c>
      <c r="P581" s="1">
        <v>38629</v>
      </c>
      <c r="Q581" s="89">
        <f t="shared" si="302"/>
        <v>2005</v>
      </c>
      <c r="R581" t="s">
        <v>107</v>
      </c>
      <c r="S581">
        <v>320850000</v>
      </c>
      <c r="T581" s="21">
        <f t="shared" si="327"/>
        <v>5.7643835616438359</v>
      </c>
      <c r="U581">
        <v>0</v>
      </c>
      <c r="V581">
        <f t="shared" si="303"/>
        <v>0</v>
      </c>
      <c r="W581">
        <v>1977</v>
      </c>
      <c r="X581">
        <v>22</v>
      </c>
      <c r="Y581">
        <f t="shared" si="304"/>
        <v>1.3617278360175928</v>
      </c>
      <c r="Z581" s="45">
        <v>2.95</v>
      </c>
      <c r="AA581" s="9">
        <f t="shared" si="326"/>
        <v>-81150000</v>
      </c>
      <c r="AB581" s="15">
        <f t="shared" si="328"/>
        <v>-0.20186567164179103</v>
      </c>
      <c r="AC581" s="34">
        <f t="shared" si="305"/>
        <v>-9.7924009457260819E-2</v>
      </c>
      <c r="AD581">
        <v>1246.953</v>
      </c>
      <c r="AE581">
        <f t="shared" si="331"/>
        <v>3.0958500844125241</v>
      </c>
      <c r="AF581">
        <v>3219.7179999999998</v>
      </c>
      <c r="AG581">
        <f t="shared" si="332"/>
        <v>3.5078178355445662</v>
      </c>
      <c r="AH581">
        <v>0</v>
      </c>
      <c r="AI581" s="9">
        <f t="shared" si="306"/>
        <v>0</v>
      </c>
      <c r="AJ581">
        <v>85</v>
      </c>
      <c r="AK581" t="s">
        <v>75</v>
      </c>
      <c r="AL581" s="42">
        <v>34.656907836978597</v>
      </c>
      <c r="AM581" s="24">
        <v>-0.17</v>
      </c>
      <c r="AN581" s="34">
        <f t="shared" si="307"/>
        <v>-8.092190762392612E-2</v>
      </c>
      <c r="AO581">
        <v>1987</v>
      </c>
      <c r="AP581">
        <v>12</v>
      </c>
      <c r="AQ581">
        <v>70</v>
      </c>
      <c r="AR581">
        <v>70</v>
      </c>
      <c r="AS581">
        <f t="shared" si="329"/>
        <v>0</v>
      </c>
      <c r="AT581">
        <f t="shared" si="308"/>
        <v>1</v>
      </c>
      <c r="AU581">
        <f t="shared" si="309"/>
        <v>0</v>
      </c>
      <c r="AV581">
        <f t="shared" si="310"/>
        <v>0</v>
      </c>
      <c r="AW581">
        <f t="shared" si="311"/>
        <v>0</v>
      </c>
      <c r="AX581">
        <f t="shared" si="312"/>
        <v>0</v>
      </c>
      <c r="AY581">
        <f t="shared" si="313"/>
        <v>0</v>
      </c>
      <c r="AZ581">
        <f t="shared" si="314"/>
        <v>0</v>
      </c>
      <c r="BA581">
        <f t="shared" si="315"/>
        <v>0</v>
      </c>
      <c r="BB581">
        <f t="shared" si="316"/>
        <v>0</v>
      </c>
      <c r="BC581">
        <f t="shared" si="317"/>
        <v>0</v>
      </c>
      <c r="BD581">
        <f t="shared" si="318"/>
        <v>0</v>
      </c>
      <c r="BE581">
        <f t="shared" si="319"/>
        <v>0</v>
      </c>
      <c r="BF581">
        <f t="shared" si="320"/>
        <v>0</v>
      </c>
      <c r="BG581">
        <f t="shared" si="321"/>
        <v>0</v>
      </c>
      <c r="BH581">
        <f t="shared" si="322"/>
        <v>0</v>
      </c>
      <c r="BI581">
        <f t="shared" si="323"/>
        <v>0</v>
      </c>
    </row>
    <row r="582" spans="1:61" x14ac:dyDescent="0.35">
      <c r="A582" t="s">
        <v>51</v>
      </c>
      <c r="B582" s="1">
        <v>36829</v>
      </c>
      <c r="C582" t="s">
        <v>1158</v>
      </c>
      <c r="D582" t="s">
        <v>45</v>
      </c>
      <c r="E582" t="s">
        <v>1157</v>
      </c>
      <c r="F582" t="s">
        <v>602</v>
      </c>
      <c r="G582" t="s">
        <v>47</v>
      </c>
      <c r="H582" s="139">
        <f t="shared" si="330"/>
        <v>0</v>
      </c>
      <c r="I582" t="s">
        <v>234</v>
      </c>
      <c r="J582" t="s">
        <v>248</v>
      </c>
      <c r="K582" s="2">
        <f t="shared" ref="K582:K622" si="333">IF(J582="Consumer Discretionary",5,IF(J582="Industrials",1,IF(J582="Energy",3,IF(J582="Health Care",2,IF(J582="Communications",4,IF(J582="Financials",6,IF(J582="Consumer Staples",7,IF(J582="Materials",8,IF(J582="Technology",9,IF(J582="Utilities",10,""))))))))))</f>
        <v>5</v>
      </c>
      <c r="L582">
        <v>67500000</v>
      </c>
      <c r="M582" s="2">
        <f t="shared" ref="M582:M622" si="334">LOG(L582)</f>
        <v>7.8293037728310253</v>
      </c>
      <c r="N582">
        <f t="shared" si="325"/>
        <v>67500000</v>
      </c>
      <c r="O582">
        <v>0</v>
      </c>
      <c r="P582" s="1">
        <v>39265</v>
      </c>
      <c r="Q582" s="89">
        <f t="shared" ref="Q582:Q622" si="335">YEAR(P582)</f>
        <v>2007</v>
      </c>
      <c r="R582" t="s">
        <v>107</v>
      </c>
      <c r="S582">
        <v>92000000</v>
      </c>
      <c r="T582" s="21">
        <f t="shared" si="327"/>
        <v>6.6739726027397257</v>
      </c>
      <c r="U582">
        <v>0</v>
      </c>
      <c r="V582">
        <f t="shared" ref="V582:V622" si="336">LOG(1+U582)</f>
        <v>0</v>
      </c>
      <c r="W582">
        <v>1989</v>
      </c>
      <c r="X582">
        <v>11</v>
      </c>
      <c r="Y582">
        <f t="shared" ref="Y582:Y622" si="337">LOG(1+X582)</f>
        <v>1.0791812460476249</v>
      </c>
      <c r="Z582" s="45">
        <v>2.95</v>
      </c>
      <c r="AA582" s="9">
        <f t="shared" si="326"/>
        <v>24500000</v>
      </c>
      <c r="AB582" s="15">
        <f t="shared" si="328"/>
        <v>0.36296296296296293</v>
      </c>
      <c r="AC582" s="34">
        <f t="shared" ref="AC582:AC622" si="338">IF(AB582=-1,LOG(0.1),LOG(1+AB582))</f>
        <v>0.13448405451453033</v>
      </c>
      <c r="AD582">
        <v>1246.953</v>
      </c>
      <c r="AE582">
        <f t="shared" si="331"/>
        <v>3.0958500844125241</v>
      </c>
      <c r="AF582">
        <v>3219.7179999999998</v>
      </c>
      <c r="AG582">
        <f t="shared" si="332"/>
        <v>3.5078178355445662</v>
      </c>
      <c r="AH582">
        <v>0</v>
      </c>
      <c r="AI582" s="9">
        <f t="shared" ref="AI582:AI622" si="339">IF(AH582=0,0,LOG(1+AH582))</f>
        <v>0</v>
      </c>
      <c r="AJ582">
        <v>85</v>
      </c>
      <c r="AK582" t="s">
        <v>351</v>
      </c>
      <c r="AL582" s="42">
        <v>34.298950279384798</v>
      </c>
      <c r="AM582" s="24">
        <v>0.09</v>
      </c>
      <c r="AN582" s="34">
        <f t="shared" ref="AN582:AN622" si="340">LOG(1+AM582)</f>
        <v>3.7426497940623665E-2</v>
      </c>
      <c r="AO582">
        <v>1987</v>
      </c>
      <c r="AP582">
        <v>13</v>
      </c>
      <c r="AQ582">
        <v>70</v>
      </c>
      <c r="AR582">
        <v>70</v>
      </c>
      <c r="AS582">
        <f t="shared" si="329"/>
        <v>0</v>
      </c>
      <c r="AT582">
        <f t="shared" ref="AT582:AT622" si="341">IF($D582="US",1,0)</f>
        <v>1</v>
      </c>
      <c r="AU582">
        <f t="shared" ref="AU582:AU622" si="342">IF($D582="UK",1,0)</f>
        <v>0</v>
      </c>
      <c r="AV582">
        <f t="shared" ref="AV582:AV622" si="343">IF($D582="Norway",1,0)</f>
        <v>0</v>
      </c>
      <c r="AW582">
        <f t="shared" ref="AW582:AW622" si="344">IF($D582="Denmark",1,0)</f>
        <v>0</v>
      </c>
      <c r="AX582">
        <f t="shared" ref="AX582:AX622" si="345">IF($D582="Sweden",1,0)</f>
        <v>0</v>
      </c>
      <c r="AY582">
        <f t="shared" ref="AY582:AY622" si="346">IF($D582="Netherlands",1,0)</f>
        <v>0</v>
      </c>
      <c r="AZ582">
        <f t="shared" ref="AZ582:AZ622" si="347">IF($D582="France",1,0)</f>
        <v>0</v>
      </c>
      <c r="BA582">
        <f t="shared" ref="BA582:BA622" si="348">IF($D582="Belgium",1,0)</f>
        <v>0</v>
      </c>
      <c r="BB582">
        <f t="shared" ref="BB582:BB622" si="349">IF($D582="Germany",1,0)</f>
        <v>0</v>
      </c>
      <c r="BC582">
        <f t="shared" ref="BC582:BC622" si="350">IF($D582="Italy",1,0)</f>
        <v>0</v>
      </c>
      <c r="BD582">
        <f t="shared" ref="BD582:BD622" si="351">IF($D582="Spain",1,0)</f>
        <v>0</v>
      </c>
      <c r="BE582">
        <f t="shared" ref="BE582:BE622" si="352">IF($D582="Luxembourg",1,0)</f>
        <v>0</v>
      </c>
      <c r="BF582">
        <f t="shared" ref="BF582:BF622" si="353">IF($D582="Portugal",1,0)</f>
        <v>0</v>
      </c>
      <c r="BG582">
        <f t="shared" ref="BG582:BG622" si="354">IF($D582="Switzerland",1,0)</f>
        <v>0</v>
      </c>
      <c r="BH582">
        <f t="shared" ref="BH582:BH622" si="355">IF($D582="Ireland",1,0)</f>
        <v>0</v>
      </c>
      <c r="BI582">
        <f t="shared" ref="BI582:BI622" si="356">IF($D582="Finland",1,0)</f>
        <v>0</v>
      </c>
    </row>
    <row r="583" spans="1:61" x14ac:dyDescent="0.35">
      <c r="A583" t="s">
        <v>51</v>
      </c>
      <c r="B583" s="1">
        <v>37165</v>
      </c>
      <c r="C583" t="s">
        <v>1159</v>
      </c>
      <c r="D583" t="s">
        <v>45</v>
      </c>
      <c r="E583" t="s">
        <v>1157</v>
      </c>
      <c r="F583" t="s">
        <v>602</v>
      </c>
      <c r="G583" t="s">
        <v>47</v>
      </c>
      <c r="H583" s="139">
        <f t="shared" si="330"/>
        <v>0</v>
      </c>
      <c r="I583" t="s">
        <v>234</v>
      </c>
      <c r="J583" t="s">
        <v>190</v>
      </c>
      <c r="K583" s="2">
        <f t="shared" si="333"/>
        <v>2</v>
      </c>
      <c r="L583">
        <v>408000000</v>
      </c>
      <c r="M583" s="2">
        <f t="shared" si="334"/>
        <v>8.6106601630898805</v>
      </c>
      <c r="N583">
        <f t="shared" si="325"/>
        <v>408000000</v>
      </c>
      <c r="O583">
        <v>0</v>
      </c>
      <c r="P583" s="1">
        <v>39316</v>
      </c>
      <c r="Q583" s="89">
        <f t="shared" si="335"/>
        <v>2007</v>
      </c>
      <c r="R583" t="s">
        <v>107</v>
      </c>
      <c r="S583">
        <v>794450000</v>
      </c>
      <c r="T583" s="21">
        <f t="shared" si="327"/>
        <v>5.8931506849315065</v>
      </c>
      <c r="U583">
        <v>0</v>
      </c>
      <c r="V583">
        <f t="shared" si="336"/>
        <v>0</v>
      </c>
      <c r="W583">
        <v>2001</v>
      </c>
      <c r="X583">
        <v>0</v>
      </c>
      <c r="Y583">
        <f t="shared" si="337"/>
        <v>0</v>
      </c>
      <c r="Z583" s="45">
        <v>2.95</v>
      </c>
      <c r="AA583" s="9">
        <f t="shared" si="326"/>
        <v>386450000</v>
      </c>
      <c r="AB583" s="15">
        <f t="shared" si="328"/>
        <v>0.94718137254901968</v>
      </c>
      <c r="AC583" s="34">
        <f t="shared" si="338"/>
        <v>0.28940640628560588</v>
      </c>
      <c r="AD583">
        <v>1246.953</v>
      </c>
      <c r="AE583">
        <f t="shared" si="331"/>
        <v>3.0958500844125241</v>
      </c>
      <c r="AF583">
        <v>3219.7179999999998</v>
      </c>
      <c r="AG583">
        <f t="shared" si="332"/>
        <v>3.5078178355445662</v>
      </c>
      <c r="AH583">
        <v>0</v>
      </c>
      <c r="AI583" s="9">
        <f t="shared" si="339"/>
        <v>0</v>
      </c>
      <c r="AJ583">
        <v>85</v>
      </c>
      <c r="AK583" t="s">
        <v>305</v>
      </c>
      <c r="AL583" s="42">
        <v>35.608384832026097</v>
      </c>
      <c r="AM583" s="24">
        <v>0.41</v>
      </c>
      <c r="AN583" s="34">
        <f t="shared" si="340"/>
        <v>0.14921911265537988</v>
      </c>
      <c r="AO583">
        <v>1987</v>
      </c>
      <c r="AP583">
        <v>14</v>
      </c>
      <c r="AQ583">
        <v>70</v>
      </c>
      <c r="AR583">
        <v>70</v>
      </c>
      <c r="AS583">
        <f t="shared" si="329"/>
        <v>0</v>
      </c>
      <c r="AT583">
        <f t="shared" si="341"/>
        <v>1</v>
      </c>
      <c r="AU583">
        <f t="shared" si="342"/>
        <v>0</v>
      </c>
      <c r="AV583">
        <f t="shared" si="343"/>
        <v>0</v>
      </c>
      <c r="AW583">
        <f t="shared" si="344"/>
        <v>0</v>
      </c>
      <c r="AX583">
        <f t="shared" si="345"/>
        <v>0</v>
      </c>
      <c r="AY583">
        <f t="shared" si="346"/>
        <v>0</v>
      </c>
      <c r="AZ583">
        <f t="shared" si="347"/>
        <v>0</v>
      </c>
      <c r="BA583">
        <f t="shared" si="348"/>
        <v>0</v>
      </c>
      <c r="BB583">
        <f t="shared" si="349"/>
        <v>0</v>
      </c>
      <c r="BC583">
        <f t="shared" si="350"/>
        <v>0</v>
      </c>
      <c r="BD583">
        <f t="shared" si="351"/>
        <v>0</v>
      </c>
      <c r="BE583">
        <f t="shared" si="352"/>
        <v>0</v>
      </c>
      <c r="BF583">
        <f t="shared" si="353"/>
        <v>0</v>
      </c>
      <c r="BG583">
        <f t="shared" si="354"/>
        <v>0</v>
      </c>
      <c r="BH583">
        <f t="shared" si="355"/>
        <v>0</v>
      </c>
      <c r="BI583">
        <f t="shared" si="356"/>
        <v>0</v>
      </c>
    </row>
    <row r="584" spans="1:61" x14ac:dyDescent="0.35">
      <c r="A584" t="s">
        <v>51</v>
      </c>
      <c r="B584" s="1">
        <v>37015</v>
      </c>
      <c r="C584" t="s">
        <v>1160</v>
      </c>
      <c r="D584" t="s">
        <v>45</v>
      </c>
      <c r="E584" t="s">
        <v>1157</v>
      </c>
      <c r="F584" t="s">
        <v>602</v>
      </c>
      <c r="G584" t="s">
        <v>47</v>
      </c>
      <c r="H584" s="139">
        <f t="shared" si="330"/>
        <v>0</v>
      </c>
      <c r="I584" t="s">
        <v>234</v>
      </c>
      <c r="J584" t="s">
        <v>248</v>
      </c>
      <c r="K584" s="2">
        <f t="shared" si="333"/>
        <v>5</v>
      </c>
      <c r="L584">
        <v>190000000</v>
      </c>
      <c r="M584" s="2">
        <f t="shared" si="334"/>
        <v>8.2787536009528289</v>
      </c>
      <c r="N584">
        <f t="shared" si="325"/>
        <v>190000000</v>
      </c>
      <c r="O584">
        <v>0</v>
      </c>
      <c r="P584" s="1">
        <v>39797</v>
      </c>
      <c r="Q584" s="89">
        <f t="shared" si="335"/>
        <v>2008</v>
      </c>
      <c r="R584" t="s">
        <v>338</v>
      </c>
      <c r="S584">
        <v>0</v>
      </c>
      <c r="T584" s="21">
        <f t="shared" si="327"/>
        <v>7.6219178082191785</v>
      </c>
      <c r="U584">
        <v>0</v>
      </c>
      <c r="V584">
        <f t="shared" si="336"/>
        <v>0</v>
      </c>
      <c r="W584">
        <v>1986</v>
      </c>
      <c r="X584">
        <v>15</v>
      </c>
      <c r="Y584">
        <f t="shared" si="337"/>
        <v>1.2041199826559248</v>
      </c>
      <c r="Z584" s="45">
        <v>2.95</v>
      </c>
      <c r="AA584" s="9">
        <f t="shared" si="326"/>
        <v>-190000000</v>
      </c>
      <c r="AB584" s="15">
        <f t="shared" si="328"/>
        <v>-1</v>
      </c>
      <c r="AC584" s="34">
        <f t="shared" si="338"/>
        <v>-1</v>
      </c>
      <c r="AD584">
        <v>1246.953</v>
      </c>
      <c r="AE584">
        <f t="shared" si="331"/>
        <v>3.0958500844125241</v>
      </c>
      <c r="AF584">
        <v>3219.7179999999998</v>
      </c>
      <c r="AG584">
        <f t="shared" si="332"/>
        <v>3.5078178355445662</v>
      </c>
      <c r="AH584">
        <v>0</v>
      </c>
      <c r="AI584" s="9">
        <f t="shared" si="339"/>
        <v>0</v>
      </c>
      <c r="AJ584">
        <v>85</v>
      </c>
      <c r="AK584" t="s">
        <v>305</v>
      </c>
      <c r="AL584" s="42">
        <v>35.608384832026097</v>
      </c>
      <c r="AM584" s="24">
        <v>-0.31</v>
      </c>
      <c r="AN584" s="34">
        <f t="shared" si="340"/>
        <v>-0.16115090926274472</v>
      </c>
      <c r="AO584">
        <v>1987</v>
      </c>
      <c r="AP584">
        <v>14</v>
      </c>
      <c r="AQ584">
        <v>70</v>
      </c>
      <c r="AR584">
        <v>70</v>
      </c>
      <c r="AS584">
        <f t="shared" si="329"/>
        <v>1</v>
      </c>
      <c r="AT584">
        <f t="shared" si="341"/>
        <v>1</v>
      </c>
      <c r="AU584">
        <f t="shared" si="342"/>
        <v>0</v>
      </c>
      <c r="AV584">
        <f t="shared" si="343"/>
        <v>0</v>
      </c>
      <c r="AW584">
        <f t="shared" si="344"/>
        <v>0</v>
      </c>
      <c r="AX584">
        <f t="shared" si="345"/>
        <v>0</v>
      </c>
      <c r="AY584">
        <f t="shared" si="346"/>
        <v>0</v>
      </c>
      <c r="AZ584">
        <f t="shared" si="347"/>
        <v>0</v>
      </c>
      <c r="BA584">
        <f t="shared" si="348"/>
        <v>0</v>
      </c>
      <c r="BB584">
        <f t="shared" si="349"/>
        <v>0</v>
      </c>
      <c r="BC584">
        <f t="shared" si="350"/>
        <v>0</v>
      </c>
      <c r="BD584">
        <f t="shared" si="351"/>
        <v>0</v>
      </c>
      <c r="BE584">
        <f t="shared" si="352"/>
        <v>0</v>
      </c>
      <c r="BF584">
        <f t="shared" si="353"/>
        <v>0</v>
      </c>
      <c r="BG584">
        <f t="shared" si="354"/>
        <v>0</v>
      </c>
      <c r="BH584">
        <f t="shared" si="355"/>
        <v>0</v>
      </c>
      <c r="BI584">
        <f t="shared" si="356"/>
        <v>0</v>
      </c>
    </row>
    <row r="585" spans="1:61" x14ac:dyDescent="0.35">
      <c r="A585" t="s">
        <v>352</v>
      </c>
      <c r="B585" s="1">
        <v>37109</v>
      </c>
      <c r="C585" t="s">
        <v>1161</v>
      </c>
      <c r="D585" t="s">
        <v>45</v>
      </c>
      <c r="E585" t="s">
        <v>1157</v>
      </c>
      <c r="F585" t="s">
        <v>602</v>
      </c>
      <c r="G585" t="s">
        <v>47</v>
      </c>
      <c r="H585" s="139">
        <f t="shared" si="330"/>
        <v>0</v>
      </c>
      <c r="I585" t="s">
        <v>234</v>
      </c>
      <c r="J585" t="s">
        <v>178</v>
      </c>
      <c r="K585" s="2">
        <f t="shared" si="333"/>
        <v>9</v>
      </c>
      <c r="L585">
        <v>20000000</v>
      </c>
      <c r="M585" s="2">
        <f t="shared" si="334"/>
        <v>7.3010299956639813</v>
      </c>
      <c r="N585">
        <f t="shared" si="325"/>
        <v>20000000</v>
      </c>
      <c r="O585">
        <v>0</v>
      </c>
      <c r="P585" s="1">
        <v>38918</v>
      </c>
      <c r="Q585" s="89">
        <f t="shared" si="335"/>
        <v>2006</v>
      </c>
      <c r="R585" t="s">
        <v>338</v>
      </c>
      <c r="S585">
        <v>0</v>
      </c>
      <c r="T585" s="21">
        <f t="shared" si="327"/>
        <v>4.956164383561644</v>
      </c>
      <c r="U585">
        <v>0</v>
      </c>
      <c r="V585">
        <f t="shared" si="336"/>
        <v>0</v>
      </c>
      <c r="W585">
        <v>1998</v>
      </c>
      <c r="X585">
        <v>3</v>
      </c>
      <c r="Y585">
        <f t="shared" si="337"/>
        <v>0.6020599913279624</v>
      </c>
      <c r="Z585" s="45">
        <v>2.95</v>
      </c>
      <c r="AA585" s="9">
        <f t="shared" si="326"/>
        <v>-20000000</v>
      </c>
      <c r="AB585" s="15">
        <f t="shared" si="328"/>
        <v>-1</v>
      </c>
      <c r="AC585" s="34">
        <f t="shared" si="338"/>
        <v>-1</v>
      </c>
      <c r="AD585">
        <v>1246.953</v>
      </c>
      <c r="AE585">
        <f t="shared" si="331"/>
        <v>3.0958500844125241</v>
      </c>
      <c r="AF585">
        <v>3219.7179999999998</v>
      </c>
      <c r="AG585">
        <f t="shared" si="332"/>
        <v>3.5078178355445662</v>
      </c>
      <c r="AH585">
        <v>0</v>
      </c>
      <c r="AI585" s="9">
        <f t="shared" si="339"/>
        <v>0</v>
      </c>
      <c r="AJ585">
        <v>85</v>
      </c>
      <c r="AK585" t="s">
        <v>305</v>
      </c>
      <c r="AL585" s="42">
        <v>35.608384832026097</v>
      </c>
      <c r="AM585" s="24">
        <v>0.04</v>
      </c>
      <c r="AN585" s="34">
        <f t="shared" si="340"/>
        <v>1.703333929878037E-2</v>
      </c>
      <c r="AO585">
        <v>1987</v>
      </c>
      <c r="AP585">
        <v>14</v>
      </c>
      <c r="AQ585">
        <v>70</v>
      </c>
      <c r="AR585">
        <v>70</v>
      </c>
      <c r="AS585">
        <f t="shared" si="329"/>
        <v>1</v>
      </c>
      <c r="AT585">
        <f t="shared" si="341"/>
        <v>1</v>
      </c>
      <c r="AU585">
        <f t="shared" si="342"/>
        <v>0</v>
      </c>
      <c r="AV585">
        <f t="shared" si="343"/>
        <v>0</v>
      </c>
      <c r="AW585">
        <f t="shared" si="344"/>
        <v>0</v>
      </c>
      <c r="AX585">
        <f t="shared" si="345"/>
        <v>0</v>
      </c>
      <c r="AY585">
        <f t="shared" si="346"/>
        <v>0</v>
      </c>
      <c r="AZ585">
        <f t="shared" si="347"/>
        <v>0</v>
      </c>
      <c r="BA585">
        <f t="shared" si="348"/>
        <v>0</v>
      </c>
      <c r="BB585">
        <f t="shared" si="349"/>
        <v>0</v>
      </c>
      <c r="BC585">
        <f t="shared" si="350"/>
        <v>0</v>
      </c>
      <c r="BD585">
        <f t="shared" si="351"/>
        <v>0</v>
      </c>
      <c r="BE585">
        <f t="shared" si="352"/>
        <v>0</v>
      </c>
      <c r="BF585">
        <f t="shared" si="353"/>
        <v>0</v>
      </c>
      <c r="BG585">
        <f t="shared" si="354"/>
        <v>0</v>
      </c>
      <c r="BH585">
        <f t="shared" si="355"/>
        <v>0</v>
      </c>
      <c r="BI585">
        <f t="shared" si="356"/>
        <v>0</v>
      </c>
    </row>
    <row r="586" spans="1:61" x14ac:dyDescent="0.35">
      <c r="A586" t="s">
        <v>51</v>
      </c>
      <c r="B586" s="1">
        <v>37585</v>
      </c>
      <c r="C586" t="s">
        <v>1162</v>
      </c>
      <c r="D586" t="s">
        <v>45</v>
      </c>
      <c r="E586" t="s">
        <v>1157</v>
      </c>
      <c r="F586" t="s">
        <v>602</v>
      </c>
      <c r="G586" t="s">
        <v>47</v>
      </c>
      <c r="H586" s="139">
        <f t="shared" si="330"/>
        <v>0</v>
      </c>
      <c r="I586" t="s">
        <v>234</v>
      </c>
      <c r="J586" t="s">
        <v>235</v>
      </c>
      <c r="K586" s="2">
        <f t="shared" si="333"/>
        <v>1</v>
      </c>
      <c r="L586">
        <v>914180000</v>
      </c>
      <c r="M586" s="2">
        <f t="shared" si="334"/>
        <v>8.9610317157668646</v>
      </c>
      <c r="N586">
        <f t="shared" si="325"/>
        <v>914180000</v>
      </c>
      <c r="O586">
        <v>0</v>
      </c>
      <c r="P586" s="1">
        <v>38990</v>
      </c>
      <c r="Q586" s="89">
        <f t="shared" si="335"/>
        <v>2006</v>
      </c>
      <c r="R586" t="s">
        <v>54</v>
      </c>
      <c r="S586">
        <v>1825000000</v>
      </c>
      <c r="T586" s="21">
        <f t="shared" si="327"/>
        <v>3.8493150684931505</v>
      </c>
      <c r="U586">
        <v>0</v>
      </c>
      <c r="V586">
        <f t="shared" si="336"/>
        <v>0</v>
      </c>
      <c r="W586">
        <v>2002</v>
      </c>
      <c r="X586">
        <v>0</v>
      </c>
      <c r="Y586">
        <f t="shared" si="337"/>
        <v>0</v>
      </c>
      <c r="Z586" s="45">
        <v>2.95</v>
      </c>
      <c r="AA586" s="9">
        <f t="shared" si="326"/>
        <v>910820000</v>
      </c>
      <c r="AB586" s="15">
        <f t="shared" si="328"/>
        <v>0.99632457502898775</v>
      </c>
      <c r="AC586" s="34">
        <f t="shared" si="338"/>
        <v>0.30023115302562903</v>
      </c>
      <c r="AD586">
        <v>1246.953</v>
      </c>
      <c r="AE586">
        <f t="shared" si="331"/>
        <v>3.0958500844125241</v>
      </c>
      <c r="AF586">
        <v>3219.7179999999998</v>
      </c>
      <c r="AG586">
        <f t="shared" si="332"/>
        <v>3.5078178355445662</v>
      </c>
      <c r="AH586">
        <v>0</v>
      </c>
      <c r="AI586" s="9">
        <f t="shared" si="339"/>
        <v>0</v>
      </c>
      <c r="AJ586">
        <v>85</v>
      </c>
      <c r="AK586" t="s">
        <v>57</v>
      </c>
      <c r="AL586" s="42">
        <v>36.710134890601303</v>
      </c>
      <c r="AM586" s="24">
        <v>0.43</v>
      </c>
      <c r="AN586" s="34">
        <f t="shared" si="340"/>
        <v>0.1553360374650618</v>
      </c>
      <c r="AO586">
        <v>1987</v>
      </c>
      <c r="AP586">
        <v>15</v>
      </c>
      <c r="AQ586">
        <v>70</v>
      </c>
      <c r="AR586">
        <v>70</v>
      </c>
      <c r="AS586">
        <f t="shared" si="329"/>
        <v>0</v>
      </c>
      <c r="AT586">
        <f t="shared" si="341"/>
        <v>1</v>
      </c>
      <c r="AU586">
        <f t="shared" si="342"/>
        <v>0</v>
      </c>
      <c r="AV586">
        <f t="shared" si="343"/>
        <v>0</v>
      </c>
      <c r="AW586">
        <f t="shared" si="344"/>
        <v>0</v>
      </c>
      <c r="AX586">
        <f t="shared" si="345"/>
        <v>0</v>
      </c>
      <c r="AY586">
        <f t="shared" si="346"/>
        <v>0</v>
      </c>
      <c r="AZ586">
        <f t="shared" si="347"/>
        <v>0</v>
      </c>
      <c r="BA586">
        <f t="shared" si="348"/>
        <v>0</v>
      </c>
      <c r="BB586">
        <f t="shared" si="349"/>
        <v>0</v>
      </c>
      <c r="BC586">
        <f t="shared" si="350"/>
        <v>0</v>
      </c>
      <c r="BD586">
        <f t="shared" si="351"/>
        <v>0</v>
      </c>
      <c r="BE586">
        <f t="shared" si="352"/>
        <v>0</v>
      </c>
      <c r="BF586">
        <f t="shared" si="353"/>
        <v>0</v>
      </c>
      <c r="BG586">
        <f t="shared" si="354"/>
        <v>0</v>
      </c>
      <c r="BH586">
        <f t="shared" si="355"/>
        <v>0</v>
      </c>
      <c r="BI586">
        <f t="shared" si="356"/>
        <v>0</v>
      </c>
    </row>
    <row r="587" spans="1:61" x14ac:dyDescent="0.35">
      <c r="A587" t="s">
        <v>51</v>
      </c>
      <c r="B587" s="1">
        <v>37316</v>
      </c>
      <c r="C587" t="s">
        <v>1163</v>
      </c>
      <c r="D587" t="s">
        <v>45</v>
      </c>
      <c r="E587" t="s">
        <v>1157</v>
      </c>
      <c r="F587" t="s">
        <v>602</v>
      </c>
      <c r="G587" t="s">
        <v>47</v>
      </c>
      <c r="H587" s="139">
        <f t="shared" si="330"/>
        <v>0</v>
      </c>
      <c r="I587" t="s">
        <v>234</v>
      </c>
      <c r="J587" t="s">
        <v>178</v>
      </c>
      <c r="K587" s="2">
        <f t="shared" si="333"/>
        <v>9</v>
      </c>
      <c r="L587">
        <v>52000000</v>
      </c>
      <c r="M587" s="2">
        <f t="shared" si="334"/>
        <v>7.7160033436347994</v>
      </c>
      <c r="N587">
        <f t="shared" si="325"/>
        <v>52000000</v>
      </c>
      <c r="O587">
        <v>0</v>
      </c>
      <c r="P587" s="1">
        <v>39133</v>
      </c>
      <c r="Q587" s="89">
        <f t="shared" si="335"/>
        <v>2007</v>
      </c>
      <c r="R587" t="s">
        <v>107</v>
      </c>
      <c r="S587">
        <v>260000000</v>
      </c>
      <c r="T587" s="21">
        <f t="shared" si="327"/>
        <v>4.978082191780822</v>
      </c>
      <c r="U587">
        <v>0</v>
      </c>
      <c r="V587">
        <f t="shared" si="336"/>
        <v>0</v>
      </c>
      <c r="W587">
        <v>2002</v>
      </c>
      <c r="X587">
        <v>0</v>
      </c>
      <c r="Y587">
        <f t="shared" si="337"/>
        <v>0</v>
      </c>
      <c r="Z587" s="45">
        <v>2.95</v>
      </c>
      <c r="AA587" s="9">
        <f t="shared" si="326"/>
        <v>208000000</v>
      </c>
      <c r="AB587" s="15">
        <f t="shared" si="328"/>
        <v>4</v>
      </c>
      <c r="AC587" s="34">
        <f t="shared" si="338"/>
        <v>0.69897000433601886</v>
      </c>
      <c r="AD587">
        <v>1246.953</v>
      </c>
      <c r="AE587">
        <f t="shared" si="331"/>
        <v>3.0958500844125241</v>
      </c>
      <c r="AF587">
        <v>3219.7179999999998</v>
      </c>
      <c r="AG587">
        <f t="shared" si="332"/>
        <v>3.5078178355445662</v>
      </c>
      <c r="AH587">
        <v>0</v>
      </c>
      <c r="AI587" s="9">
        <f t="shared" si="339"/>
        <v>0</v>
      </c>
      <c r="AJ587">
        <v>85</v>
      </c>
      <c r="AK587" t="s">
        <v>57</v>
      </c>
      <c r="AL587" s="42">
        <v>36.710134890601303</v>
      </c>
      <c r="AM587" s="24">
        <v>0.28999999999999998</v>
      </c>
      <c r="AN587" s="34">
        <f t="shared" si="340"/>
        <v>0.11058971029924898</v>
      </c>
      <c r="AO587">
        <v>1987</v>
      </c>
      <c r="AP587">
        <v>15</v>
      </c>
      <c r="AQ587">
        <v>70</v>
      </c>
      <c r="AR587">
        <v>70</v>
      </c>
      <c r="AS587">
        <f t="shared" si="329"/>
        <v>0</v>
      </c>
      <c r="AT587">
        <f t="shared" si="341"/>
        <v>1</v>
      </c>
      <c r="AU587">
        <f t="shared" si="342"/>
        <v>0</v>
      </c>
      <c r="AV587">
        <f t="shared" si="343"/>
        <v>0</v>
      </c>
      <c r="AW587">
        <f t="shared" si="344"/>
        <v>0</v>
      </c>
      <c r="AX587">
        <f t="shared" si="345"/>
        <v>0</v>
      </c>
      <c r="AY587">
        <f t="shared" si="346"/>
        <v>0</v>
      </c>
      <c r="AZ587">
        <f t="shared" si="347"/>
        <v>0</v>
      </c>
      <c r="BA587">
        <f t="shared" si="348"/>
        <v>0</v>
      </c>
      <c r="BB587">
        <f t="shared" si="349"/>
        <v>0</v>
      </c>
      <c r="BC587">
        <f t="shared" si="350"/>
        <v>0</v>
      </c>
      <c r="BD587">
        <f t="shared" si="351"/>
        <v>0</v>
      </c>
      <c r="BE587">
        <f t="shared" si="352"/>
        <v>0</v>
      </c>
      <c r="BF587">
        <f t="shared" si="353"/>
        <v>0</v>
      </c>
      <c r="BG587">
        <f t="shared" si="354"/>
        <v>0</v>
      </c>
      <c r="BH587">
        <f t="shared" si="355"/>
        <v>0</v>
      </c>
      <c r="BI587">
        <f t="shared" si="356"/>
        <v>0</v>
      </c>
    </row>
    <row r="588" spans="1:61" x14ac:dyDescent="0.35">
      <c r="A588" t="s">
        <v>1164</v>
      </c>
      <c r="B588" s="1">
        <v>37679</v>
      </c>
      <c r="C588" t="s">
        <v>1165</v>
      </c>
      <c r="D588" t="s">
        <v>45</v>
      </c>
      <c r="E588" t="s">
        <v>1157</v>
      </c>
      <c r="F588" t="s">
        <v>602</v>
      </c>
      <c r="G588" t="s">
        <v>47</v>
      </c>
      <c r="H588" s="139">
        <f t="shared" si="330"/>
        <v>0</v>
      </c>
      <c r="I588" t="s">
        <v>234</v>
      </c>
      <c r="J588" t="s">
        <v>235</v>
      </c>
      <c r="K588" s="2">
        <f t="shared" si="333"/>
        <v>1</v>
      </c>
      <c r="L588">
        <v>300000000</v>
      </c>
      <c r="M588" s="2">
        <f t="shared" si="334"/>
        <v>8.4771212547196626</v>
      </c>
      <c r="N588">
        <f t="shared" si="325"/>
        <v>300000000</v>
      </c>
      <c r="O588">
        <v>0</v>
      </c>
      <c r="P588" s="1">
        <v>38176</v>
      </c>
      <c r="Q588" s="89">
        <f t="shared" si="335"/>
        <v>2004</v>
      </c>
      <c r="R588" t="s">
        <v>54</v>
      </c>
      <c r="S588">
        <v>650000000</v>
      </c>
      <c r="T588" s="21">
        <f t="shared" si="327"/>
        <v>1.3616438356164384</v>
      </c>
      <c r="U588">
        <v>0</v>
      </c>
      <c r="V588">
        <f t="shared" si="336"/>
        <v>0</v>
      </c>
      <c r="W588">
        <v>1956</v>
      </c>
      <c r="X588">
        <v>47</v>
      </c>
      <c r="Y588">
        <f t="shared" si="337"/>
        <v>1.6812412373755872</v>
      </c>
      <c r="Z588" s="45">
        <v>2.95</v>
      </c>
      <c r="AA588" s="9">
        <f t="shared" si="326"/>
        <v>350000000</v>
      </c>
      <c r="AB588" s="15">
        <f t="shared" si="328"/>
        <v>1.1666666666666665</v>
      </c>
      <c r="AC588" s="34">
        <f t="shared" si="338"/>
        <v>0.33579210192319309</v>
      </c>
      <c r="AD588">
        <v>1246.953</v>
      </c>
      <c r="AE588">
        <f t="shared" si="331"/>
        <v>3.0958500844125241</v>
      </c>
      <c r="AF588">
        <v>3219.7179999999998</v>
      </c>
      <c r="AG588">
        <f t="shared" si="332"/>
        <v>3.5078178355445662</v>
      </c>
      <c r="AH588">
        <v>0</v>
      </c>
      <c r="AI588" s="9">
        <f t="shared" si="339"/>
        <v>0</v>
      </c>
      <c r="AJ588">
        <v>85</v>
      </c>
      <c r="AK588" t="s">
        <v>301</v>
      </c>
      <c r="AL588" s="42">
        <v>37.256914365427299</v>
      </c>
      <c r="AM588" s="24">
        <v>0.32</v>
      </c>
      <c r="AN588" s="34">
        <f t="shared" si="340"/>
        <v>0.12057393120584989</v>
      </c>
      <c r="AO588">
        <v>1987</v>
      </c>
      <c r="AP588">
        <v>16</v>
      </c>
      <c r="AQ588">
        <v>70</v>
      </c>
      <c r="AR588">
        <v>70</v>
      </c>
      <c r="AS588">
        <f t="shared" si="329"/>
        <v>0</v>
      </c>
      <c r="AT588">
        <f t="shared" si="341"/>
        <v>1</v>
      </c>
      <c r="AU588">
        <f t="shared" si="342"/>
        <v>0</v>
      </c>
      <c r="AV588">
        <f t="shared" si="343"/>
        <v>0</v>
      </c>
      <c r="AW588">
        <f t="shared" si="344"/>
        <v>0</v>
      </c>
      <c r="AX588">
        <f t="shared" si="345"/>
        <v>0</v>
      </c>
      <c r="AY588">
        <f t="shared" si="346"/>
        <v>0</v>
      </c>
      <c r="AZ588">
        <f t="shared" si="347"/>
        <v>0</v>
      </c>
      <c r="BA588">
        <f t="shared" si="348"/>
        <v>0</v>
      </c>
      <c r="BB588">
        <f t="shared" si="349"/>
        <v>0</v>
      </c>
      <c r="BC588">
        <f t="shared" si="350"/>
        <v>0</v>
      </c>
      <c r="BD588">
        <f t="shared" si="351"/>
        <v>0</v>
      </c>
      <c r="BE588">
        <f t="shared" si="352"/>
        <v>0</v>
      </c>
      <c r="BF588">
        <f t="shared" si="353"/>
        <v>0</v>
      </c>
      <c r="BG588">
        <f t="shared" si="354"/>
        <v>0</v>
      </c>
      <c r="BH588">
        <f t="shared" si="355"/>
        <v>0</v>
      </c>
      <c r="BI588">
        <f t="shared" si="356"/>
        <v>0</v>
      </c>
    </row>
    <row r="589" spans="1:61" x14ac:dyDescent="0.35">
      <c r="A589" t="s">
        <v>51</v>
      </c>
      <c r="B589" s="1">
        <v>37792</v>
      </c>
      <c r="C589" t="s">
        <v>1166</v>
      </c>
      <c r="D589" t="s">
        <v>45</v>
      </c>
      <c r="E589" t="s">
        <v>1157</v>
      </c>
      <c r="F589" t="s">
        <v>602</v>
      </c>
      <c r="G589" t="s">
        <v>47</v>
      </c>
      <c r="H589" s="139">
        <f t="shared" si="330"/>
        <v>0</v>
      </c>
      <c r="I589" t="s">
        <v>234</v>
      </c>
      <c r="J589" t="s">
        <v>248</v>
      </c>
      <c r="K589" s="2">
        <f t="shared" si="333"/>
        <v>5</v>
      </c>
      <c r="L589">
        <v>800000000</v>
      </c>
      <c r="M589" s="2">
        <f t="shared" si="334"/>
        <v>8.9030899869919438</v>
      </c>
      <c r="N589">
        <f t="shared" si="325"/>
        <v>800000000</v>
      </c>
      <c r="O589">
        <v>0</v>
      </c>
      <c r="P589" s="1">
        <v>40632</v>
      </c>
      <c r="Q589" s="89">
        <f t="shared" si="335"/>
        <v>2011</v>
      </c>
      <c r="R589" t="s">
        <v>54</v>
      </c>
      <c r="S589">
        <v>980000000</v>
      </c>
      <c r="T589" s="21">
        <f t="shared" si="327"/>
        <v>7.7808219178082192</v>
      </c>
      <c r="U589">
        <v>0</v>
      </c>
      <c r="V589">
        <f t="shared" si="336"/>
        <v>0</v>
      </c>
      <c r="W589">
        <v>1958</v>
      </c>
      <c r="X589">
        <v>45</v>
      </c>
      <c r="Y589">
        <f t="shared" si="337"/>
        <v>1.6627578316815741</v>
      </c>
      <c r="Z589" s="45">
        <v>2.95</v>
      </c>
      <c r="AA589" s="9">
        <f t="shared" si="326"/>
        <v>180000000</v>
      </c>
      <c r="AB589" s="15">
        <f t="shared" si="328"/>
        <v>0.22500000000000009</v>
      </c>
      <c r="AC589" s="34">
        <f t="shared" si="338"/>
        <v>8.8136088700551299E-2</v>
      </c>
      <c r="AD589">
        <v>1246.953</v>
      </c>
      <c r="AE589">
        <f t="shared" si="331"/>
        <v>3.0958500844125241</v>
      </c>
      <c r="AF589">
        <v>3219.7179999999998</v>
      </c>
      <c r="AG589">
        <f t="shared" si="332"/>
        <v>3.5078178355445662</v>
      </c>
      <c r="AH589">
        <v>0</v>
      </c>
      <c r="AI589" s="9">
        <f t="shared" si="339"/>
        <v>0</v>
      </c>
      <c r="AJ589">
        <v>85</v>
      </c>
      <c r="AK589" t="s">
        <v>301</v>
      </c>
      <c r="AL589" s="42">
        <v>37.256914365427299</v>
      </c>
      <c r="AM589" s="24">
        <v>0.33</v>
      </c>
      <c r="AN589" s="34">
        <f t="shared" si="340"/>
        <v>0.12385164096708581</v>
      </c>
      <c r="AO589">
        <v>1987</v>
      </c>
      <c r="AP589">
        <v>16</v>
      </c>
      <c r="AQ589">
        <v>70</v>
      </c>
      <c r="AR589">
        <v>70</v>
      </c>
      <c r="AS589">
        <f t="shared" si="329"/>
        <v>0</v>
      </c>
      <c r="AT589">
        <f t="shared" si="341"/>
        <v>1</v>
      </c>
      <c r="AU589">
        <f t="shared" si="342"/>
        <v>0</v>
      </c>
      <c r="AV589">
        <f t="shared" si="343"/>
        <v>0</v>
      </c>
      <c r="AW589">
        <f t="shared" si="344"/>
        <v>0</v>
      </c>
      <c r="AX589">
        <f t="shared" si="345"/>
        <v>0</v>
      </c>
      <c r="AY589">
        <f t="shared" si="346"/>
        <v>0</v>
      </c>
      <c r="AZ589">
        <f t="shared" si="347"/>
        <v>0</v>
      </c>
      <c r="BA589">
        <f t="shared" si="348"/>
        <v>0</v>
      </c>
      <c r="BB589">
        <f t="shared" si="349"/>
        <v>0</v>
      </c>
      <c r="BC589">
        <f t="shared" si="350"/>
        <v>0</v>
      </c>
      <c r="BD589">
        <f t="shared" si="351"/>
        <v>0</v>
      </c>
      <c r="BE589">
        <f t="shared" si="352"/>
        <v>0</v>
      </c>
      <c r="BF589">
        <f t="shared" si="353"/>
        <v>0</v>
      </c>
      <c r="BG589">
        <f t="shared" si="354"/>
        <v>0</v>
      </c>
      <c r="BH589">
        <f t="shared" si="355"/>
        <v>0</v>
      </c>
      <c r="BI589">
        <f t="shared" si="356"/>
        <v>0</v>
      </c>
    </row>
    <row r="590" spans="1:61" x14ac:dyDescent="0.35">
      <c r="A590" t="s">
        <v>51</v>
      </c>
      <c r="B590" s="1">
        <v>38456</v>
      </c>
      <c r="C590" t="s">
        <v>1167</v>
      </c>
      <c r="D590" t="s">
        <v>45</v>
      </c>
      <c r="E590" t="s">
        <v>1157</v>
      </c>
      <c r="F590" t="s">
        <v>602</v>
      </c>
      <c r="G590" t="s">
        <v>47</v>
      </c>
      <c r="H590" s="139">
        <f t="shared" si="330"/>
        <v>0</v>
      </c>
      <c r="I590" t="s">
        <v>234</v>
      </c>
      <c r="J590" t="s">
        <v>186</v>
      </c>
      <c r="K590" s="2">
        <f t="shared" si="333"/>
        <v>4</v>
      </c>
      <c r="L590">
        <v>1650000000</v>
      </c>
      <c r="M590" s="2">
        <f t="shared" si="334"/>
        <v>9.2174839442139067</v>
      </c>
      <c r="N590">
        <f t="shared" si="325"/>
        <v>1650000000</v>
      </c>
      <c r="O590">
        <v>0</v>
      </c>
      <c r="P590" s="1">
        <v>39783</v>
      </c>
      <c r="Q590" s="89">
        <f t="shared" si="335"/>
        <v>2008</v>
      </c>
      <c r="R590" t="s">
        <v>1168</v>
      </c>
      <c r="S590">
        <v>0</v>
      </c>
      <c r="T590" s="21">
        <f t="shared" si="327"/>
        <v>3.6356164383561644</v>
      </c>
      <c r="U590">
        <v>0</v>
      </c>
      <c r="V590">
        <f t="shared" si="336"/>
        <v>0</v>
      </c>
      <c r="W590">
        <v>1883</v>
      </c>
      <c r="X590">
        <v>122</v>
      </c>
      <c r="Y590">
        <f t="shared" si="337"/>
        <v>2.0899051114393981</v>
      </c>
      <c r="Z590" s="45">
        <v>2.95</v>
      </c>
      <c r="AA590" s="9">
        <f t="shared" si="326"/>
        <v>-1650000000</v>
      </c>
      <c r="AB590" s="15">
        <f t="shared" si="328"/>
        <v>-1</v>
      </c>
      <c r="AC590" s="34">
        <f t="shared" si="338"/>
        <v>-1</v>
      </c>
      <c r="AD590">
        <v>1246.953</v>
      </c>
      <c r="AE590">
        <f t="shared" si="331"/>
        <v>3.0958500844125241</v>
      </c>
      <c r="AF590">
        <v>3219.7179999999998</v>
      </c>
      <c r="AG590">
        <f t="shared" si="332"/>
        <v>3.5078178355445662</v>
      </c>
      <c r="AH590">
        <v>0</v>
      </c>
      <c r="AI590" s="9">
        <f t="shared" si="339"/>
        <v>0</v>
      </c>
      <c r="AJ590">
        <v>85</v>
      </c>
      <c r="AK590" t="s">
        <v>100</v>
      </c>
      <c r="AL590" s="42">
        <v>36.959146749272797</v>
      </c>
      <c r="AM590" s="24">
        <v>-0.3</v>
      </c>
      <c r="AN590" s="34">
        <f t="shared" si="340"/>
        <v>-0.15490195998574319</v>
      </c>
      <c r="AO590">
        <v>1987</v>
      </c>
      <c r="AP590">
        <v>18</v>
      </c>
      <c r="AQ590">
        <v>70</v>
      </c>
      <c r="AR590">
        <v>70</v>
      </c>
      <c r="AS590">
        <f t="shared" si="329"/>
        <v>1</v>
      </c>
      <c r="AT590">
        <f t="shared" si="341"/>
        <v>1</v>
      </c>
      <c r="AU590">
        <f t="shared" si="342"/>
        <v>0</v>
      </c>
      <c r="AV590">
        <f t="shared" si="343"/>
        <v>0</v>
      </c>
      <c r="AW590">
        <f t="shared" si="344"/>
        <v>0</v>
      </c>
      <c r="AX590">
        <f t="shared" si="345"/>
        <v>0</v>
      </c>
      <c r="AY590">
        <f t="shared" si="346"/>
        <v>0</v>
      </c>
      <c r="AZ590">
        <f t="shared" si="347"/>
        <v>0</v>
      </c>
      <c r="BA590">
        <f t="shared" si="348"/>
        <v>0</v>
      </c>
      <c r="BB590">
        <f t="shared" si="349"/>
        <v>0</v>
      </c>
      <c r="BC590">
        <f t="shared" si="350"/>
        <v>0</v>
      </c>
      <c r="BD590">
        <f t="shared" si="351"/>
        <v>0</v>
      </c>
      <c r="BE590">
        <f t="shared" si="352"/>
        <v>0</v>
      </c>
      <c r="BF590">
        <f t="shared" si="353"/>
        <v>0</v>
      </c>
      <c r="BG590">
        <f t="shared" si="354"/>
        <v>0</v>
      </c>
      <c r="BH590">
        <f t="shared" si="355"/>
        <v>0</v>
      </c>
      <c r="BI590">
        <f t="shared" si="356"/>
        <v>0</v>
      </c>
    </row>
    <row r="591" spans="1:61" x14ac:dyDescent="0.35">
      <c r="A591" t="s">
        <v>51</v>
      </c>
      <c r="B591" s="1">
        <v>38628</v>
      </c>
      <c r="C591" t="s">
        <v>1169</v>
      </c>
      <c r="D591" t="s">
        <v>45</v>
      </c>
      <c r="E591" t="s">
        <v>1170</v>
      </c>
      <c r="F591" t="s">
        <v>602</v>
      </c>
      <c r="G591" t="s">
        <v>47</v>
      </c>
      <c r="H591" s="139">
        <f t="shared" si="330"/>
        <v>0</v>
      </c>
      <c r="I591" t="s">
        <v>234</v>
      </c>
      <c r="J591" t="s">
        <v>190</v>
      </c>
      <c r="K591" s="2">
        <f t="shared" si="333"/>
        <v>2</v>
      </c>
      <c r="L591">
        <v>360000000</v>
      </c>
      <c r="M591" s="2">
        <f t="shared" si="334"/>
        <v>8.5563025007672877</v>
      </c>
      <c r="N591">
        <f t="shared" si="325"/>
        <v>360000000</v>
      </c>
      <c r="O591">
        <v>0</v>
      </c>
      <c r="P591" s="1">
        <v>40002</v>
      </c>
      <c r="Q591" s="89">
        <f t="shared" si="335"/>
        <v>2009</v>
      </c>
      <c r="R591" t="s">
        <v>1168</v>
      </c>
      <c r="S591">
        <v>0</v>
      </c>
      <c r="T591" s="21">
        <f t="shared" si="327"/>
        <v>3.7643835616438355</v>
      </c>
      <c r="U591">
        <v>0</v>
      </c>
      <c r="V591">
        <f t="shared" si="336"/>
        <v>0</v>
      </c>
      <c r="W591">
        <v>2005</v>
      </c>
      <c r="X591">
        <v>0</v>
      </c>
      <c r="Y591">
        <f t="shared" si="337"/>
        <v>0</v>
      </c>
      <c r="Z591" s="45">
        <v>2.95</v>
      </c>
      <c r="AA591" s="9">
        <f t="shared" si="326"/>
        <v>-360000000</v>
      </c>
      <c r="AB591" s="15">
        <f t="shared" si="328"/>
        <v>-1</v>
      </c>
      <c r="AC591" s="34">
        <f t="shared" si="338"/>
        <v>-1</v>
      </c>
      <c r="AD591">
        <v>1421.558</v>
      </c>
      <c r="AE591">
        <f t="shared" si="331"/>
        <v>3.1527645837352773</v>
      </c>
      <c r="AF591">
        <v>3476.3409999999999</v>
      </c>
      <c r="AG591">
        <f t="shared" si="332"/>
        <v>3.5411223705253856</v>
      </c>
      <c r="AH591">
        <v>0</v>
      </c>
      <c r="AI591" s="9">
        <f t="shared" si="339"/>
        <v>0</v>
      </c>
      <c r="AJ591">
        <v>85</v>
      </c>
      <c r="AK591" t="s">
        <v>100</v>
      </c>
      <c r="AL591" s="42">
        <v>36.959146749272797</v>
      </c>
      <c r="AM591" s="24">
        <v>-0.28000000000000003</v>
      </c>
      <c r="AN591" s="34">
        <f t="shared" si="340"/>
        <v>-0.14266750356873156</v>
      </c>
      <c r="AO591">
        <v>1966</v>
      </c>
      <c r="AP591">
        <v>39</v>
      </c>
      <c r="AQ591">
        <v>70</v>
      </c>
      <c r="AR591">
        <v>70</v>
      </c>
      <c r="AS591">
        <f t="shared" si="329"/>
        <v>1</v>
      </c>
      <c r="AT591">
        <f t="shared" si="341"/>
        <v>1</v>
      </c>
      <c r="AU591">
        <f t="shared" si="342"/>
        <v>0</v>
      </c>
      <c r="AV591">
        <f t="shared" si="343"/>
        <v>0</v>
      </c>
      <c r="AW591">
        <f t="shared" si="344"/>
        <v>0</v>
      </c>
      <c r="AX591">
        <f t="shared" si="345"/>
        <v>0</v>
      </c>
      <c r="AY591">
        <f t="shared" si="346"/>
        <v>0</v>
      </c>
      <c r="AZ591">
        <f t="shared" si="347"/>
        <v>0</v>
      </c>
      <c r="BA591">
        <f t="shared" si="348"/>
        <v>0</v>
      </c>
      <c r="BB591">
        <f t="shared" si="349"/>
        <v>0</v>
      </c>
      <c r="BC591">
        <f t="shared" si="350"/>
        <v>0</v>
      </c>
      <c r="BD591">
        <f t="shared" si="351"/>
        <v>0</v>
      </c>
      <c r="BE591">
        <f t="shared" si="352"/>
        <v>0</v>
      </c>
      <c r="BF591">
        <f t="shared" si="353"/>
        <v>0</v>
      </c>
      <c r="BG591">
        <f t="shared" si="354"/>
        <v>0</v>
      </c>
      <c r="BH591">
        <f t="shared" si="355"/>
        <v>0</v>
      </c>
      <c r="BI591">
        <f t="shared" si="356"/>
        <v>0</v>
      </c>
    </row>
    <row r="592" spans="1:61" x14ac:dyDescent="0.35">
      <c r="A592" t="s">
        <v>51</v>
      </c>
      <c r="B592" s="1">
        <v>38628</v>
      </c>
      <c r="C592" t="s">
        <v>1171</v>
      </c>
      <c r="D592" t="s">
        <v>45</v>
      </c>
      <c r="E592" t="s">
        <v>1170</v>
      </c>
      <c r="F592" t="s">
        <v>602</v>
      </c>
      <c r="G592" t="s">
        <v>47</v>
      </c>
      <c r="H592" s="139">
        <f t="shared" si="330"/>
        <v>0</v>
      </c>
      <c r="I592" t="s">
        <v>234</v>
      </c>
      <c r="J592" t="s">
        <v>190</v>
      </c>
      <c r="K592" s="2">
        <f t="shared" si="333"/>
        <v>2</v>
      </c>
      <c r="L592">
        <v>270000000</v>
      </c>
      <c r="M592" s="2">
        <f t="shared" si="334"/>
        <v>8.4313637641589878</v>
      </c>
      <c r="N592">
        <f t="shared" si="325"/>
        <v>270000000</v>
      </c>
      <c r="O592">
        <v>0</v>
      </c>
      <c r="P592" s="1">
        <v>40002</v>
      </c>
      <c r="Q592" s="89">
        <f t="shared" si="335"/>
        <v>2009</v>
      </c>
      <c r="R592" t="s">
        <v>338</v>
      </c>
      <c r="S592">
        <v>0</v>
      </c>
      <c r="T592" s="21">
        <f t="shared" si="327"/>
        <v>3.7643835616438355</v>
      </c>
      <c r="U592">
        <v>0</v>
      </c>
      <c r="V592">
        <f t="shared" si="336"/>
        <v>0</v>
      </c>
      <c r="W592">
        <v>1990</v>
      </c>
      <c r="X592">
        <v>15</v>
      </c>
      <c r="Y592">
        <f t="shared" si="337"/>
        <v>1.2041199826559248</v>
      </c>
      <c r="Z592" s="45">
        <v>2.95</v>
      </c>
      <c r="AA592" s="9">
        <f t="shared" si="326"/>
        <v>-270000000</v>
      </c>
      <c r="AB592" s="15">
        <f t="shared" si="328"/>
        <v>-1</v>
      </c>
      <c r="AC592" s="34">
        <f t="shared" si="338"/>
        <v>-1</v>
      </c>
      <c r="AD592">
        <v>1421.558</v>
      </c>
      <c r="AE592">
        <f t="shared" si="331"/>
        <v>3.1527645837352773</v>
      </c>
      <c r="AF592">
        <v>3476.3409999999999</v>
      </c>
      <c r="AG592">
        <f t="shared" si="332"/>
        <v>3.5411223705253856</v>
      </c>
      <c r="AH592">
        <v>0</v>
      </c>
      <c r="AI592" s="9">
        <f t="shared" si="339"/>
        <v>0</v>
      </c>
      <c r="AJ592">
        <v>85</v>
      </c>
      <c r="AK592" t="s">
        <v>100</v>
      </c>
      <c r="AL592" s="42">
        <v>36.959146749272797</v>
      </c>
      <c r="AM592" s="24">
        <v>-0.28000000000000003</v>
      </c>
      <c r="AN592" s="34">
        <f t="shared" si="340"/>
        <v>-0.14266750356873156</v>
      </c>
      <c r="AO592">
        <v>1966</v>
      </c>
      <c r="AP592">
        <v>39</v>
      </c>
      <c r="AQ592">
        <v>70</v>
      </c>
      <c r="AR592">
        <v>70</v>
      </c>
      <c r="AS592">
        <f t="shared" si="329"/>
        <v>1</v>
      </c>
      <c r="AT592">
        <f t="shared" si="341"/>
        <v>1</v>
      </c>
      <c r="AU592">
        <f t="shared" si="342"/>
        <v>0</v>
      </c>
      <c r="AV592">
        <f t="shared" si="343"/>
        <v>0</v>
      </c>
      <c r="AW592">
        <f t="shared" si="344"/>
        <v>0</v>
      </c>
      <c r="AX592">
        <f t="shared" si="345"/>
        <v>0</v>
      </c>
      <c r="AY592">
        <f t="shared" si="346"/>
        <v>0</v>
      </c>
      <c r="AZ592">
        <f t="shared" si="347"/>
        <v>0</v>
      </c>
      <c r="BA592">
        <f t="shared" si="348"/>
        <v>0</v>
      </c>
      <c r="BB592">
        <f t="shared" si="349"/>
        <v>0</v>
      </c>
      <c r="BC592">
        <f t="shared" si="350"/>
        <v>0</v>
      </c>
      <c r="BD592">
        <f t="shared" si="351"/>
        <v>0</v>
      </c>
      <c r="BE592">
        <f t="shared" si="352"/>
        <v>0</v>
      </c>
      <c r="BF592">
        <f t="shared" si="353"/>
        <v>0</v>
      </c>
      <c r="BG592">
        <f t="shared" si="354"/>
        <v>0</v>
      </c>
      <c r="BH592">
        <f t="shared" si="355"/>
        <v>0</v>
      </c>
      <c r="BI592">
        <f t="shared" si="356"/>
        <v>0</v>
      </c>
    </row>
    <row r="593" spans="1:61" x14ac:dyDescent="0.35">
      <c r="A593" t="s">
        <v>1172</v>
      </c>
      <c r="B593" s="1">
        <v>36608</v>
      </c>
      <c r="C593" t="s">
        <v>1173</v>
      </c>
      <c r="D593" t="s">
        <v>45</v>
      </c>
      <c r="E593" t="s">
        <v>1174</v>
      </c>
      <c r="F593" t="s">
        <v>602</v>
      </c>
      <c r="G593" t="s">
        <v>47</v>
      </c>
      <c r="H593" s="139">
        <f t="shared" si="330"/>
        <v>0</v>
      </c>
      <c r="I593" t="s">
        <v>234</v>
      </c>
      <c r="J593" t="s">
        <v>190</v>
      </c>
      <c r="K593" s="2">
        <f t="shared" si="333"/>
        <v>2</v>
      </c>
      <c r="L593">
        <v>25000000</v>
      </c>
      <c r="M593" s="2">
        <f t="shared" si="334"/>
        <v>7.3979400086720375</v>
      </c>
      <c r="N593">
        <f t="shared" si="325"/>
        <v>25000000</v>
      </c>
      <c r="O593">
        <v>0</v>
      </c>
      <c r="P593" s="1">
        <v>37014</v>
      </c>
      <c r="Q593" s="89">
        <f t="shared" si="335"/>
        <v>2001</v>
      </c>
      <c r="R593" t="s">
        <v>338</v>
      </c>
      <c r="S593">
        <v>0</v>
      </c>
      <c r="T593" s="21">
        <f t="shared" si="327"/>
        <v>1.1123287671232878</v>
      </c>
      <c r="U593">
        <v>0</v>
      </c>
      <c r="V593">
        <f t="shared" si="336"/>
        <v>0</v>
      </c>
      <c r="W593">
        <v>2000</v>
      </c>
      <c r="X593">
        <v>0</v>
      </c>
      <c r="Y593">
        <f t="shared" si="337"/>
        <v>0</v>
      </c>
      <c r="Z593" s="45">
        <v>2.95</v>
      </c>
      <c r="AA593" s="9">
        <f t="shared" si="326"/>
        <v>-25000000</v>
      </c>
      <c r="AB593" s="15">
        <f t="shared" si="328"/>
        <v>-1</v>
      </c>
      <c r="AC593" s="34">
        <f t="shared" si="338"/>
        <v>-1</v>
      </c>
      <c r="AD593">
        <v>1421.558</v>
      </c>
      <c r="AE593">
        <f t="shared" si="331"/>
        <v>3.1527645837352773</v>
      </c>
      <c r="AF593">
        <v>3476.3409999999999</v>
      </c>
      <c r="AG593">
        <f t="shared" si="332"/>
        <v>3.5411223705253856</v>
      </c>
      <c r="AH593">
        <v>0</v>
      </c>
      <c r="AI593" s="9">
        <f t="shared" si="339"/>
        <v>0</v>
      </c>
      <c r="AJ593">
        <v>85</v>
      </c>
      <c r="AK593" t="s">
        <v>351</v>
      </c>
      <c r="AL593" s="42">
        <v>34.298950279384798</v>
      </c>
      <c r="AM593" s="24">
        <v>-0.18</v>
      </c>
      <c r="AN593" s="34">
        <f t="shared" si="340"/>
        <v>-8.6186147616283279E-2</v>
      </c>
      <c r="AO593">
        <v>1966</v>
      </c>
      <c r="AP593">
        <v>34</v>
      </c>
      <c r="AQ593">
        <v>70</v>
      </c>
      <c r="AR593">
        <v>70</v>
      </c>
      <c r="AS593">
        <f t="shared" si="329"/>
        <v>1</v>
      </c>
      <c r="AT593">
        <f t="shared" si="341"/>
        <v>1</v>
      </c>
      <c r="AU593">
        <f t="shared" si="342"/>
        <v>0</v>
      </c>
      <c r="AV593">
        <f t="shared" si="343"/>
        <v>0</v>
      </c>
      <c r="AW593">
        <f t="shared" si="344"/>
        <v>0</v>
      </c>
      <c r="AX593">
        <f t="shared" si="345"/>
        <v>0</v>
      </c>
      <c r="AY593">
        <f t="shared" si="346"/>
        <v>0</v>
      </c>
      <c r="AZ593">
        <f t="shared" si="347"/>
        <v>0</v>
      </c>
      <c r="BA593">
        <f t="shared" si="348"/>
        <v>0</v>
      </c>
      <c r="BB593">
        <f t="shared" si="349"/>
        <v>0</v>
      </c>
      <c r="BC593">
        <f t="shared" si="350"/>
        <v>0</v>
      </c>
      <c r="BD593">
        <f t="shared" si="351"/>
        <v>0</v>
      </c>
      <c r="BE593">
        <f t="shared" si="352"/>
        <v>0</v>
      </c>
      <c r="BF593">
        <f t="shared" si="353"/>
        <v>0</v>
      </c>
      <c r="BG593">
        <f t="shared" si="354"/>
        <v>0</v>
      </c>
      <c r="BH593">
        <f t="shared" si="355"/>
        <v>0</v>
      </c>
      <c r="BI593">
        <f t="shared" si="356"/>
        <v>0</v>
      </c>
    </row>
    <row r="594" spans="1:61" x14ac:dyDescent="0.35">
      <c r="A594" t="s">
        <v>51</v>
      </c>
      <c r="B594" s="1">
        <v>38260</v>
      </c>
      <c r="C594" t="s">
        <v>1175</v>
      </c>
      <c r="D594" t="s">
        <v>45</v>
      </c>
      <c r="E594" t="s">
        <v>693</v>
      </c>
      <c r="F594" t="s">
        <v>602</v>
      </c>
      <c r="G594" t="s">
        <v>47</v>
      </c>
      <c r="H594" s="139">
        <f t="shared" si="330"/>
        <v>0</v>
      </c>
      <c r="I594" t="s">
        <v>234</v>
      </c>
      <c r="J594" t="s">
        <v>190</v>
      </c>
      <c r="K594" s="2">
        <f t="shared" si="333"/>
        <v>2</v>
      </c>
      <c r="L594">
        <v>105000000</v>
      </c>
      <c r="M594" s="2">
        <f t="shared" si="334"/>
        <v>8.0211892990699383</v>
      </c>
      <c r="N594">
        <f t="shared" si="325"/>
        <v>105000000</v>
      </c>
      <c r="O594">
        <v>0</v>
      </c>
      <c r="P594" s="1">
        <v>42464</v>
      </c>
      <c r="Q594" s="89">
        <f t="shared" si="335"/>
        <v>2016</v>
      </c>
      <c r="R594" t="s">
        <v>107</v>
      </c>
      <c r="S594">
        <v>604800000</v>
      </c>
      <c r="T594" s="21">
        <f t="shared" si="327"/>
        <v>11.517808219178082</v>
      </c>
      <c r="U594">
        <v>0</v>
      </c>
      <c r="V594">
        <f t="shared" si="336"/>
        <v>0</v>
      </c>
      <c r="W594">
        <v>1976</v>
      </c>
      <c r="X594">
        <v>28</v>
      </c>
      <c r="Y594">
        <f t="shared" si="337"/>
        <v>1.4623979978989561</v>
      </c>
      <c r="Z594" s="45">
        <v>2.95</v>
      </c>
      <c r="AA594" s="9">
        <f t="shared" si="326"/>
        <v>499800000</v>
      </c>
      <c r="AB594" s="15">
        <f t="shared" si="328"/>
        <v>4.76</v>
      </c>
      <c r="AC594" s="34">
        <f t="shared" si="338"/>
        <v>0.76042248342321206</v>
      </c>
      <c r="AD594">
        <v>1455.045546765431</v>
      </c>
      <c r="AE594">
        <f t="shared" si="331"/>
        <v>3.1628765880980758</v>
      </c>
      <c r="AF594">
        <v>4062.5127653490554</v>
      </c>
      <c r="AG594">
        <f t="shared" si="332"/>
        <v>3.6087947386421786</v>
      </c>
      <c r="AH594">
        <v>0</v>
      </c>
      <c r="AI594" s="9">
        <f t="shared" si="339"/>
        <v>0</v>
      </c>
      <c r="AJ594">
        <v>85</v>
      </c>
      <c r="AK594" t="s">
        <v>215</v>
      </c>
      <c r="AL594" s="42">
        <v>36.876470987978301</v>
      </c>
      <c r="AM594" s="24">
        <v>0.85</v>
      </c>
      <c r="AN594" s="34">
        <f t="shared" si="340"/>
        <v>0.26717172840301384</v>
      </c>
      <c r="AO594">
        <v>1992</v>
      </c>
      <c r="AP594">
        <v>12</v>
      </c>
      <c r="AQ594">
        <v>70</v>
      </c>
      <c r="AR594">
        <v>70</v>
      </c>
      <c r="AS594">
        <f t="shared" si="329"/>
        <v>0</v>
      </c>
      <c r="AT594">
        <f t="shared" si="341"/>
        <v>1</v>
      </c>
      <c r="AU594">
        <f t="shared" si="342"/>
        <v>0</v>
      </c>
      <c r="AV594">
        <f t="shared" si="343"/>
        <v>0</v>
      </c>
      <c r="AW594">
        <f t="shared" si="344"/>
        <v>0</v>
      </c>
      <c r="AX594">
        <f t="shared" si="345"/>
        <v>0</v>
      </c>
      <c r="AY594">
        <f t="shared" si="346"/>
        <v>0</v>
      </c>
      <c r="AZ594">
        <f t="shared" si="347"/>
        <v>0</v>
      </c>
      <c r="BA594">
        <f t="shared" si="348"/>
        <v>0</v>
      </c>
      <c r="BB594">
        <f t="shared" si="349"/>
        <v>0</v>
      </c>
      <c r="BC594">
        <f t="shared" si="350"/>
        <v>0</v>
      </c>
      <c r="BD594">
        <f t="shared" si="351"/>
        <v>0</v>
      </c>
      <c r="BE594">
        <f t="shared" si="352"/>
        <v>0</v>
      </c>
      <c r="BF594">
        <f t="shared" si="353"/>
        <v>0</v>
      </c>
      <c r="BG594">
        <f t="shared" si="354"/>
        <v>0</v>
      </c>
      <c r="BH594">
        <f t="shared" si="355"/>
        <v>0</v>
      </c>
      <c r="BI594">
        <f t="shared" si="356"/>
        <v>0</v>
      </c>
    </row>
    <row r="595" spans="1:61" x14ac:dyDescent="0.35">
      <c r="A595" t="s">
        <v>1176</v>
      </c>
      <c r="B595" s="1">
        <v>35578</v>
      </c>
      <c r="C595" t="s">
        <v>1177</v>
      </c>
      <c r="D595" t="s">
        <v>45</v>
      </c>
      <c r="E595" t="s">
        <v>1178</v>
      </c>
      <c r="F595" t="s">
        <v>602</v>
      </c>
      <c r="G595" t="s">
        <v>47</v>
      </c>
      <c r="H595" s="139">
        <f t="shared" si="330"/>
        <v>0</v>
      </c>
      <c r="I595" t="s">
        <v>234</v>
      </c>
      <c r="J595" t="s">
        <v>186</v>
      </c>
      <c r="K595" s="2">
        <f t="shared" si="333"/>
        <v>4</v>
      </c>
      <c r="L595">
        <v>716010000</v>
      </c>
      <c r="M595" s="2">
        <f t="shared" si="334"/>
        <v>8.8549190878308881</v>
      </c>
      <c r="N595">
        <f t="shared" si="325"/>
        <v>716010000</v>
      </c>
      <c r="O595">
        <v>0</v>
      </c>
      <c r="P595" s="1">
        <v>36360</v>
      </c>
      <c r="Q595" s="89">
        <f t="shared" si="335"/>
        <v>1999</v>
      </c>
      <c r="R595" t="s">
        <v>107</v>
      </c>
      <c r="S595">
        <v>1329920000</v>
      </c>
      <c r="T595" s="21">
        <f t="shared" si="327"/>
        <v>2.1424657534246574</v>
      </c>
      <c r="U595">
        <v>0</v>
      </c>
      <c r="V595">
        <f t="shared" si="336"/>
        <v>0</v>
      </c>
      <c r="W595">
        <v>1997</v>
      </c>
      <c r="X595">
        <v>0</v>
      </c>
      <c r="Y595">
        <f t="shared" si="337"/>
        <v>0</v>
      </c>
      <c r="Z595" s="45">
        <v>2.95</v>
      </c>
      <c r="AA595" s="9">
        <f t="shared" si="326"/>
        <v>613910000</v>
      </c>
      <c r="AB595" s="15">
        <f t="shared" si="328"/>
        <v>0.8574042261979582</v>
      </c>
      <c r="AC595" s="34">
        <f t="shared" si="338"/>
        <v>0.26890642937415743</v>
      </c>
      <c r="AD595">
        <v>2315.9650000000001</v>
      </c>
      <c r="AE595">
        <f t="shared" si="331"/>
        <v>3.3647319918335836</v>
      </c>
      <c r="AF595">
        <v>3703.9029999999998</v>
      </c>
      <c r="AG595">
        <f t="shared" si="332"/>
        <v>3.568659604598353</v>
      </c>
      <c r="AH595">
        <v>0</v>
      </c>
      <c r="AI595" s="9">
        <f t="shared" si="339"/>
        <v>0</v>
      </c>
      <c r="AJ595">
        <v>85</v>
      </c>
      <c r="AK595" t="s">
        <v>187</v>
      </c>
      <c r="AL595" s="42">
        <v>35.968444143503902</v>
      </c>
      <c r="AM595" s="24">
        <v>0.66</v>
      </c>
      <c r="AN595" s="34">
        <f t="shared" si="340"/>
        <v>0.22010808804005513</v>
      </c>
      <c r="AO595">
        <v>1985</v>
      </c>
      <c r="AP595">
        <v>12</v>
      </c>
      <c r="AQ595">
        <v>70</v>
      </c>
      <c r="AR595">
        <v>70</v>
      </c>
      <c r="AS595">
        <f t="shared" si="329"/>
        <v>0</v>
      </c>
      <c r="AT595">
        <f t="shared" si="341"/>
        <v>1</v>
      </c>
      <c r="AU595">
        <f t="shared" si="342"/>
        <v>0</v>
      </c>
      <c r="AV595">
        <f t="shared" si="343"/>
        <v>0</v>
      </c>
      <c r="AW595">
        <f t="shared" si="344"/>
        <v>0</v>
      </c>
      <c r="AX595">
        <f t="shared" si="345"/>
        <v>0</v>
      </c>
      <c r="AY595">
        <f t="shared" si="346"/>
        <v>0</v>
      </c>
      <c r="AZ595">
        <f t="shared" si="347"/>
        <v>0</v>
      </c>
      <c r="BA595">
        <f t="shared" si="348"/>
        <v>0</v>
      </c>
      <c r="BB595">
        <f t="shared" si="349"/>
        <v>0</v>
      </c>
      <c r="BC595">
        <f t="shared" si="350"/>
        <v>0</v>
      </c>
      <c r="BD595">
        <f t="shared" si="351"/>
        <v>0</v>
      </c>
      <c r="BE595">
        <f t="shared" si="352"/>
        <v>0</v>
      </c>
      <c r="BF595">
        <f t="shared" si="353"/>
        <v>0</v>
      </c>
      <c r="BG595">
        <f t="shared" si="354"/>
        <v>0</v>
      </c>
      <c r="BH595">
        <f t="shared" si="355"/>
        <v>0</v>
      </c>
      <c r="BI595">
        <f t="shared" si="356"/>
        <v>0</v>
      </c>
    </row>
    <row r="596" spans="1:61" x14ac:dyDescent="0.35">
      <c r="A596" t="s">
        <v>51</v>
      </c>
      <c r="B596" s="1">
        <v>35702</v>
      </c>
      <c r="C596" t="s">
        <v>1179</v>
      </c>
      <c r="D596" t="s">
        <v>45</v>
      </c>
      <c r="E596" t="s">
        <v>1178</v>
      </c>
      <c r="F596" t="s">
        <v>602</v>
      </c>
      <c r="G596" t="s">
        <v>47</v>
      </c>
      <c r="H596" s="139">
        <f t="shared" si="330"/>
        <v>0</v>
      </c>
      <c r="I596" t="s">
        <v>289</v>
      </c>
      <c r="J596" t="s">
        <v>248</v>
      </c>
      <c r="K596" s="2">
        <f t="shared" si="333"/>
        <v>5</v>
      </c>
      <c r="L596">
        <v>650000000</v>
      </c>
      <c r="M596" s="2">
        <f t="shared" si="334"/>
        <v>8.8129133566428557</v>
      </c>
      <c r="N596">
        <f t="shared" si="325"/>
        <v>650000000</v>
      </c>
      <c r="O596">
        <v>0</v>
      </c>
      <c r="P596" s="1">
        <v>37957</v>
      </c>
      <c r="Q596" s="89">
        <f t="shared" si="335"/>
        <v>2003</v>
      </c>
      <c r="R596" t="s">
        <v>322</v>
      </c>
      <c r="S596">
        <v>912400000</v>
      </c>
      <c r="T596" s="21">
        <f t="shared" si="327"/>
        <v>6.1780821917808222</v>
      </c>
      <c r="U596">
        <v>0</v>
      </c>
      <c r="V596">
        <f t="shared" si="336"/>
        <v>0</v>
      </c>
      <c r="W596">
        <v>1994</v>
      </c>
      <c r="X596">
        <v>3</v>
      </c>
      <c r="Y596">
        <f t="shared" si="337"/>
        <v>0.6020599913279624</v>
      </c>
      <c r="Z596" s="45">
        <v>2.95</v>
      </c>
      <c r="AA596" s="9">
        <f t="shared" si="326"/>
        <v>262400000</v>
      </c>
      <c r="AB596" s="15">
        <f t="shared" si="328"/>
        <v>0.40369230769230779</v>
      </c>
      <c r="AC596" s="34">
        <f t="shared" si="338"/>
        <v>0.14727191996175543</v>
      </c>
      <c r="AD596">
        <v>2315.9650000000001</v>
      </c>
      <c r="AE596">
        <f t="shared" si="331"/>
        <v>3.3647319918335836</v>
      </c>
      <c r="AF596">
        <v>3703.9029999999998</v>
      </c>
      <c r="AG596">
        <f t="shared" si="332"/>
        <v>3.568659604598353</v>
      </c>
      <c r="AH596">
        <v>0</v>
      </c>
      <c r="AI596" s="9">
        <f t="shared" si="339"/>
        <v>0</v>
      </c>
      <c r="AJ596">
        <v>85</v>
      </c>
      <c r="AK596" t="s">
        <v>187</v>
      </c>
      <c r="AL596" s="42">
        <v>35.968444143503902</v>
      </c>
      <c r="AM596" s="24">
        <v>0.12</v>
      </c>
      <c r="AN596" s="34">
        <f t="shared" si="340"/>
        <v>4.9218022670181653E-2</v>
      </c>
      <c r="AO596">
        <v>1985</v>
      </c>
      <c r="AP596">
        <v>12</v>
      </c>
      <c r="AQ596">
        <v>70</v>
      </c>
      <c r="AR596">
        <v>70</v>
      </c>
      <c r="AS596">
        <f t="shared" si="329"/>
        <v>0</v>
      </c>
      <c r="AT596">
        <f t="shared" si="341"/>
        <v>1</v>
      </c>
      <c r="AU596">
        <f t="shared" si="342"/>
        <v>0</v>
      </c>
      <c r="AV596">
        <f t="shared" si="343"/>
        <v>0</v>
      </c>
      <c r="AW596">
        <f t="shared" si="344"/>
        <v>0</v>
      </c>
      <c r="AX596">
        <f t="shared" si="345"/>
        <v>0</v>
      </c>
      <c r="AY596">
        <f t="shared" si="346"/>
        <v>0</v>
      </c>
      <c r="AZ596">
        <f t="shared" si="347"/>
        <v>0</v>
      </c>
      <c r="BA596">
        <f t="shared" si="348"/>
        <v>0</v>
      </c>
      <c r="BB596">
        <f t="shared" si="349"/>
        <v>0</v>
      </c>
      <c r="BC596">
        <f t="shared" si="350"/>
        <v>0</v>
      </c>
      <c r="BD596">
        <f t="shared" si="351"/>
        <v>0</v>
      </c>
      <c r="BE596">
        <f t="shared" si="352"/>
        <v>0</v>
      </c>
      <c r="BF596">
        <f t="shared" si="353"/>
        <v>0</v>
      </c>
      <c r="BG596">
        <f t="shared" si="354"/>
        <v>0</v>
      </c>
      <c r="BH596">
        <f t="shared" si="355"/>
        <v>0</v>
      </c>
      <c r="BI596">
        <f t="shared" si="356"/>
        <v>0</v>
      </c>
    </row>
    <row r="597" spans="1:61" x14ac:dyDescent="0.35">
      <c r="A597" t="s">
        <v>51</v>
      </c>
      <c r="B597" s="1">
        <v>37683</v>
      </c>
      <c r="C597" t="s">
        <v>1180</v>
      </c>
      <c r="D597" t="s">
        <v>45</v>
      </c>
      <c r="E597" t="s">
        <v>646</v>
      </c>
      <c r="F597" t="s">
        <v>602</v>
      </c>
      <c r="G597" t="s">
        <v>47</v>
      </c>
      <c r="H597" s="139">
        <f t="shared" si="330"/>
        <v>0</v>
      </c>
      <c r="I597" t="s">
        <v>268</v>
      </c>
      <c r="J597" t="s">
        <v>248</v>
      </c>
      <c r="K597" s="2">
        <f t="shared" si="333"/>
        <v>5</v>
      </c>
      <c r="L597">
        <v>4725000000</v>
      </c>
      <c r="M597" s="2">
        <f t="shared" si="334"/>
        <v>9.6744018128452822</v>
      </c>
      <c r="N597">
        <f t="shared" si="325"/>
        <v>4725000000</v>
      </c>
      <c r="O597">
        <v>0</v>
      </c>
      <c r="P597" s="1">
        <v>41492</v>
      </c>
      <c r="Q597" s="89">
        <f t="shared" si="335"/>
        <v>2013</v>
      </c>
      <c r="R597" t="s">
        <v>322</v>
      </c>
      <c r="S597">
        <v>2874200000</v>
      </c>
      <c r="T597" s="21">
        <f t="shared" si="327"/>
        <v>10.435616438356165</v>
      </c>
      <c r="U597">
        <v>0</v>
      </c>
      <c r="V597">
        <f t="shared" si="336"/>
        <v>0</v>
      </c>
      <c r="W597">
        <v>1904</v>
      </c>
      <c r="X597">
        <v>99</v>
      </c>
      <c r="Y597">
        <f t="shared" si="337"/>
        <v>2</v>
      </c>
      <c r="Z597" s="45">
        <v>2.95</v>
      </c>
      <c r="AA597" s="9">
        <f t="shared" si="326"/>
        <v>-1850800000</v>
      </c>
      <c r="AB597" s="15">
        <f t="shared" si="328"/>
        <v>-0.39170370370370367</v>
      </c>
      <c r="AC597" s="34">
        <f t="shared" si="338"/>
        <v>-0.21588482779645182</v>
      </c>
      <c r="AD597">
        <v>2315.9650000000001</v>
      </c>
      <c r="AE597">
        <f t="shared" si="331"/>
        <v>3.3647319918335836</v>
      </c>
      <c r="AF597">
        <v>3703.9029999999998</v>
      </c>
      <c r="AG597">
        <f t="shared" si="332"/>
        <v>3.568659604598353</v>
      </c>
      <c r="AH597">
        <v>0</v>
      </c>
      <c r="AI597" s="9">
        <f t="shared" si="339"/>
        <v>0</v>
      </c>
      <c r="AJ597">
        <v>85</v>
      </c>
      <c r="AK597" t="s">
        <v>301</v>
      </c>
      <c r="AL597" s="42">
        <v>37.256914365427299</v>
      </c>
      <c r="AM597" s="24">
        <v>1.03</v>
      </c>
      <c r="AN597" s="34">
        <f t="shared" si="340"/>
        <v>0.30749603791321295</v>
      </c>
      <c r="AO597">
        <v>1985</v>
      </c>
      <c r="AP597">
        <v>18</v>
      </c>
      <c r="AQ597">
        <v>70</v>
      </c>
      <c r="AR597">
        <v>70</v>
      </c>
      <c r="AS597">
        <f t="shared" si="329"/>
        <v>0</v>
      </c>
      <c r="AT597">
        <f t="shared" si="341"/>
        <v>1</v>
      </c>
      <c r="AU597">
        <f t="shared" si="342"/>
        <v>0</v>
      </c>
      <c r="AV597">
        <f t="shared" si="343"/>
        <v>0</v>
      </c>
      <c r="AW597">
        <f t="shared" si="344"/>
        <v>0</v>
      </c>
      <c r="AX597">
        <f t="shared" si="345"/>
        <v>0</v>
      </c>
      <c r="AY597">
        <f t="shared" si="346"/>
        <v>0</v>
      </c>
      <c r="AZ597">
        <f t="shared" si="347"/>
        <v>0</v>
      </c>
      <c r="BA597">
        <f t="shared" si="348"/>
        <v>0</v>
      </c>
      <c r="BB597">
        <f t="shared" si="349"/>
        <v>0</v>
      </c>
      <c r="BC597">
        <f t="shared" si="350"/>
        <v>0</v>
      </c>
      <c r="BD597">
        <f t="shared" si="351"/>
        <v>0</v>
      </c>
      <c r="BE597">
        <f t="shared" si="352"/>
        <v>0</v>
      </c>
      <c r="BF597">
        <f t="shared" si="353"/>
        <v>0</v>
      </c>
      <c r="BG597">
        <f t="shared" si="354"/>
        <v>0</v>
      </c>
      <c r="BH597">
        <f t="shared" si="355"/>
        <v>0</v>
      </c>
      <c r="BI597">
        <f t="shared" si="356"/>
        <v>0</v>
      </c>
    </row>
    <row r="598" spans="1:61" x14ac:dyDescent="0.35">
      <c r="A598" t="s">
        <v>51</v>
      </c>
      <c r="B598" s="1">
        <v>38253</v>
      </c>
      <c r="C598" t="s">
        <v>1181</v>
      </c>
      <c r="D598" t="s">
        <v>45</v>
      </c>
      <c r="E598" t="s">
        <v>646</v>
      </c>
      <c r="F598" t="s">
        <v>602</v>
      </c>
      <c r="G598" t="s">
        <v>47</v>
      </c>
      <c r="H598" s="139">
        <f t="shared" si="330"/>
        <v>0</v>
      </c>
      <c r="I598" t="s">
        <v>289</v>
      </c>
      <c r="J598" t="s">
        <v>190</v>
      </c>
      <c r="K598" s="2">
        <f t="shared" si="333"/>
        <v>2</v>
      </c>
      <c r="L598">
        <v>1750000000</v>
      </c>
      <c r="M598" s="2">
        <f t="shared" si="334"/>
        <v>9.2430380486862944</v>
      </c>
      <c r="N598">
        <f t="shared" si="325"/>
        <v>1750000000</v>
      </c>
      <c r="O598">
        <v>0</v>
      </c>
      <c r="P598" s="1">
        <v>41548</v>
      </c>
      <c r="Q598" s="89">
        <f t="shared" si="335"/>
        <v>2013</v>
      </c>
      <c r="R598" s="8" t="s">
        <v>107</v>
      </c>
      <c r="S598">
        <v>4095920000</v>
      </c>
      <c r="T598" s="21">
        <f t="shared" si="327"/>
        <v>9.0273972602739718</v>
      </c>
      <c r="U598">
        <v>0</v>
      </c>
      <c r="V598">
        <f t="shared" si="336"/>
        <v>0</v>
      </c>
      <c r="W598">
        <v>1997</v>
      </c>
      <c r="X598">
        <v>7</v>
      </c>
      <c r="Y598">
        <f t="shared" si="337"/>
        <v>0.90308998699194354</v>
      </c>
      <c r="Z598" s="45">
        <v>2.95</v>
      </c>
      <c r="AA598" s="9">
        <f t="shared" si="326"/>
        <v>2345920000</v>
      </c>
      <c r="AB598" s="15">
        <f t="shared" si="328"/>
        <v>1.3405257142857141</v>
      </c>
      <c r="AC598" s="34">
        <f t="shared" si="338"/>
        <v>0.369313416884544</v>
      </c>
      <c r="AD598">
        <v>2315.9650000000001</v>
      </c>
      <c r="AE598">
        <f t="shared" si="331"/>
        <v>3.3647319918335836</v>
      </c>
      <c r="AF598">
        <v>3703.9029999999998</v>
      </c>
      <c r="AG598">
        <f t="shared" si="332"/>
        <v>3.568659604598353</v>
      </c>
      <c r="AH598">
        <v>0</v>
      </c>
      <c r="AI598" s="9">
        <f t="shared" si="339"/>
        <v>0</v>
      </c>
      <c r="AJ598">
        <v>85</v>
      </c>
      <c r="AK598" t="s">
        <v>215</v>
      </c>
      <c r="AL598" s="42">
        <v>36.876470987978301</v>
      </c>
      <c r="AM598" s="24">
        <v>0.53</v>
      </c>
      <c r="AN598" s="34">
        <f t="shared" si="340"/>
        <v>0.18469143081759881</v>
      </c>
      <c r="AO598">
        <v>1985</v>
      </c>
      <c r="AP598">
        <v>19</v>
      </c>
      <c r="AQ598">
        <v>70</v>
      </c>
      <c r="AR598">
        <v>70</v>
      </c>
      <c r="AS598">
        <f t="shared" si="329"/>
        <v>0</v>
      </c>
      <c r="AT598">
        <f t="shared" si="341"/>
        <v>1</v>
      </c>
      <c r="AU598">
        <f t="shared" si="342"/>
        <v>0</v>
      </c>
      <c r="AV598">
        <f t="shared" si="343"/>
        <v>0</v>
      </c>
      <c r="AW598">
        <f t="shared" si="344"/>
        <v>0</v>
      </c>
      <c r="AX598">
        <f t="shared" si="345"/>
        <v>0</v>
      </c>
      <c r="AY598">
        <f t="shared" si="346"/>
        <v>0</v>
      </c>
      <c r="AZ598">
        <f t="shared" si="347"/>
        <v>0</v>
      </c>
      <c r="BA598">
        <f t="shared" si="348"/>
        <v>0</v>
      </c>
      <c r="BB598">
        <f t="shared" si="349"/>
        <v>0</v>
      </c>
      <c r="BC598">
        <f t="shared" si="350"/>
        <v>0</v>
      </c>
      <c r="BD598">
        <f t="shared" si="351"/>
        <v>0</v>
      </c>
      <c r="BE598">
        <f t="shared" si="352"/>
        <v>0</v>
      </c>
      <c r="BF598">
        <f t="shared" si="353"/>
        <v>0</v>
      </c>
      <c r="BG598">
        <f t="shared" si="354"/>
        <v>0</v>
      </c>
      <c r="BH598">
        <f t="shared" si="355"/>
        <v>0</v>
      </c>
      <c r="BI598">
        <f t="shared" si="356"/>
        <v>0</v>
      </c>
    </row>
    <row r="599" spans="1:61" x14ac:dyDescent="0.35">
      <c r="A599" t="s">
        <v>51</v>
      </c>
      <c r="B599" s="1">
        <v>37908</v>
      </c>
      <c r="C599" t="s">
        <v>1182</v>
      </c>
      <c r="D599" t="s">
        <v>45</v>
      </c>
      <c r="E599" t="s">
        <v>1183</v>
      </c>
      <c r="F599" t="s">
        <v>602</v>
      </c>
      <c r="G599" t="s">
        <v>47</v>
      </c>
      <c r="H599" s="139">
        <f t="shared" si="330"/>
        <v>0</v>
      </c>
      <c r="I599" t="s">
        <v>234</v>
      </c>
      <c r="J599" t="s">
        <v>186</v>
      </c>
      <c r="K599" s="2">
        <f t="shared" si="333"/>
        <v>4</v>
      </c>
      <c r="L599">
        <v>1501910000</v>
      </c>
      <c r="M599" s="2">
        <f t="shared" si="334"/>
        <v>9.1766439089168497</v>
      </c>
      <c r="N599">
        <v>1169910000</v>
      </c>
      <c r="O599">
        <v>332000000</v>
      </c>
      <c r="P599" s="1">
        <v>40057</v>
      </c>
      <c r="Q599" s="89">
        <f t="shared" si="335"/>
        <v>2009</v>
      </c>
      <c r="R599" t="s">
        <v>338</v>
      </c>
      <c r="S599">
        <v>0</v>
      </c>
      <c r="T599" s="21">
        <f t="shared" si="327"/>
        <v>5.8876712328767127</v>
      </c>
      <c r="U599">
        <v>0</v>
      </c>
      <c r="V599">
        <f t="shared" si="336"/>
        <v>0</v>
      </c>
      <c r="W599">
        <v>1950</v>
      </c>
      <c r="X599">
        <v>53</v>
      </c>
      <c r="Y599">
        <f t="shared" si="337"/>
        <v>1.7323937598229686</v>
      </c>
      <c r="Z599" s="45">
        <v>2.95</v>
      </c>
      <c r="AA599" s="9">
        <f t="shared" si="326"/>
        <v>-1169910000</v>
      </c>
      <c r="AB599" s="15">
        <f t="shared" si="328"/>
        <v>-1</v>
      </c>
      <c r="AC599" s="34">
        <f t="shared" si="338"/>
        <v>-1</v>
      </c>
      <c r="AD599">
        <v>2315.9650000000001</v>
      </c>
      <c r="AE599">
        <f t="shared" si="331"/>
        <v>3.3647319918335836</v>
      </c>
      <c r="AF599">
        <v>3703.9029999999998</v>
      </c>
      <c r="AG599">
        <f t="shared" si="332"/>
        <v>3.568659604598353</v>
      </c>
      <c r="AH599">
        <v>0</v>
      </c>
      <c r="AI599" s="9">
        <f t="shared" si="339"/>
        <v>0</v>
      </c>
      <c r="AJ599">
        <v>85</v>
      </c>
      <c r="AK599" t="s">
        <v>301</v>
      </c>
      <c r="AL599" s="42">
        <v>37.256914365427299</v>
      </c>
      <c r="AM599" s="24">
        <v>-0.05</v>
      </c>
      <c r="AN599" s="34">
        <f t="shared" si="340"/>
        <v>-2.2276394711152253E-2</v>
      </c>
      <c r="AO599">
        <v>1985</v>
      </c>
      <c r="AP599">
        <v>18</v>
      </c>
      <c r="AQ599">
        <v>70</v>
      </c>
      <c r="AR599">
        <v>70</v>
      </c>
      <c r="AS599">
        <f t="shared" si="329"/>
        <v>1</v>
      </c>
      <c r="AT599">
        <f t="shared" si="341"/>
        <v>1</v>
      </c>
      <c r="AU599">
        <f t="shared" si="342"/>
        <v>0</v>
      </c>
      <c r="AV599">
        <f t="shared" si="343"/>
        <v>0</v>
      </c>
      <c r="AW599">
        <f t="shared" si="344"/>
        <v>0</v>
      </c>
      <c r="AX599">
        <f t="shared" si="345"/>
        <v>0</v>
      </c>
      <c r="AY599">
        <f t="shared" si="346"/>
        <v>0</v>
      </c>
      <c r="AZ599">
        <f t="shared" si="347"/>
        <v>0</v>
      </c>
      <c r="BA599">
        <f t="shared" si="348"/>
        <v>0</v>
      </c>
      <c r="BB599">
        <f t="shared" si="349"/>
        <v>0</v>
      </c>
      <c r="BC599">
        <f t="shared" si="350"/>
        <v>0</v>
      </c>
      <c r="BD599">
        <f t="shared" si="351"/>
        <v>0</v>
      </c>
      <c r="BE599">
        <f t="shared" si="352"/>
        <v>0</v>
      </c>
      <c r="BF599">
        <f t="shared" si="353"/>
        <v>0</v>
      </c>
      <c r="BG599">
        <f t="shared" si="354"/>
        <v>0</v>
      </c>
      <c r="BH599">
        <f t="shared" si="355"/>
        <v>0</v>
      </c>
      <c r="BI599">
        <f t="shared" si="356"/>
        <v>0</v>
      </c>
    </row>
    <row r="600" spans="1:61" x14ac:dyDescent="0.35">
      <c r="A600" t="s">
        <v>51</v>
      </c>
      <c r="B600" s="1">
        <v>38966</v>
      </c>
      <c r="C600" t="s">
        <v>1184</v>
      </c>
      <c r="D600" t="s">
        <v>59</v>
      </c>
      <c r="E600" t="s">
        <v>1185</v>
      </c>
      <c r="F600" t="s">
        <v>602</v>
      </c>
      <c r="G600" t="s">
        <v>64</v>
      </c>
      <c r="H600" s="139">
        <f t="shared" si="330"/>
        <v>1</v>
      </c>
      <c r="I600" t="s">
        <v>234</v>
      </c>
      <c r="J600" t="s">
        <v>178</v>
      </c>
      <c r="K600" s="2">
        <f t="shared" si="333"/>
        <v>9</v>
      </c>
      <c r="L600">
        <v>84000000</v>
      </c>
      <c r="M600" s="2">
        <f t="shared" si="334"/>
        <v>7.924279286061882</v>
      </c>
      <c r="N600">
        <f t="shared" ref="N600:N611" si="357">L600</f>
        <v>84000000</v>
      </c>
      <c r="O600">
        <v>0</v>
      </c>
      <c r="P600" s="1">
        <v>39427</v>
      </c>
      <c r="Q600" s="89">
        <f t="shared" si="335"/>
        <v>2007</v>
      </c>
      <c r="R600" t="s">
        <v>107</v>
      </c>
      <c r="S600">
        <v>200000000</v>
      </c>
      <c r="T600" s="21">
        <f t="shared" si="327"/>
        <v>1.263013698630137</v>
      </c>
      <c r="U600">
        <v>5897.96</v>
      </c>
      <c r="V600">
        <f t="shared" si="336"/>
        <v>3.7707754512906644</v>
      </c>
      <c r="W600">
        <v>1988</v>
      </c>
      <c r="X600">
        <v>18</v>
      </c>
      <c r="Y600">
        <f t="shared" si="337"/>
        <v>1.2787536009528289</v>
      </c>
      <c r="Z600" s="45">
        <v>2.3199999999999998</v>
      </c>
      <c r="AA600" s="9">
        <f t="shared" si="326"/>
        <v>116000000</v>
      </c>
      <c r="AB600" s="15">
        <f t="shared" si="328"/>
        <v>1.3809523809523809</v>
      </c>
      <c r="AC600" s="34">
        <f t="shared" si="338"/>
        <v>0.37675070960209955</v>
      </c>
      <c r="AD600">
        <v>2446.450593263969</v>
      </c>
      <c r="AE600">
        <f t="shared" si="331"/>
        <v>3.3885364494891754</v>
      </c>
      <c r="AF600">
        <v>6578.8244872547029</v>
      </c>
      <c r="AG600">
        <f t="shared" si="332"/>
        <v>3.818148300254375</v>
      </c>
      <c r="AH600">
        <v>132</v>
      </c>
      <c r="AI600" s="9">
        <f t="shared" si="339"/>
        <v>2.1238516409670858</v>
      </c>
      <c r="AJ600">
        <v>91.5</v>
      </c>
      <c r="AK600" s="23" t="s">
        <v>78</v>
      </c>
      <c r="AL600" s="42">
        <v>40.767390998852598</v>
      </c>
      <c r="AM600" s="24">
        <v>0.14000000000000001</v>
      </c>
      <c r="AN600" s="34">
        <f t="shared" si="340"/>
        <v>5.6904851336472641E-2</v>
      </c>
      <c r="AO600">
        <v>1968</v>
      </c>
      <c r="AP600">
        <v>38</v>
      </c>
      <c r="AQ600">
        <v>70</v>
      </c>
      <c r="AR600">
        <v>70</v>
      </c>
      <c r="AS600">
        <f t="shared" si="329"/>
        <v>0</v>
      </c>
      <c r="AT600">
        <f t="shared" si="341"/>
        <v>0</v>
      </c>
      <c r="AU600">
        <f t="shared" si="342"/>
        <v>1</v>
      </c>
      <c r="AV600">
        <f t="shared" si="343"/>
        <v>0</v>
      </c>
      <c r="AW600">
        <f t="shared" si="344"/>
        <v>0</v>
      </c>
      <c r="AX600">
        <f t="shared" si="345"/>
        <v>0</v>
      </c>
      <c r="AY600">
        <f t="shared" si="346"/>
        <v>0</v>
      </c>
      <c r="AZ600">
        <f t="shared" si="347"/>
        <v>0</v>
      </c>
      <c r="BA600">
        <f t="shared" si="348"/>
        <v>0</v>
      </c>
      <c r="BB600">
        <f t="shared" si="349"/>
        <v>0</v>
      </c>
      <c r="BC600">
        <f t="shared" si="350"/>
        <v>0</v>
      </c>
      <c r="BD600">
        <f t="shared" si="351"/>
        <v>0</v>
      </c>
      <c r="BE600">
        <f t="shared" si="352"/>
        <v>0</v>
      </c>
      <c r="BF600">
        <f t="shared" si="353"/>
        <v>0</v>
      </c>
      <c r="BG600">
        <f t="shared" si="354"/>
        <v>0</v>
      </c>
      <c r="BH600">
        <f t="shared" si="355"/>
        <v>0</v>
      </c>
      <c r="BI600">
        <f t="shared" si="356"/>
        <v>0</v>
      </c>
    </row>
    <row r="601" spans="1:61" x14ac:dyDescent="0.35">
      <c r="A601" t="s">
        <v>352</v>
      </c>
      <c r="B601" s="1">
        <v>37993</v>
      </c>
      <c r="C601" t="s">
        <v>1186</v>
      </c>
      <c r="D601" t="s">
        <v>59</v>
      </c>
      <c r="E601" t="s">
        <v>1187</v>
      </c>
      <c r="F601" t="s">
        <v>602</v>
      </c>
      <c r="G601" t="s">
        <v>64</v>
      </c>
      <c r="H601" s="139">
        <f t="shared" si="330"/>
        <v>1</v>
      </c>
      <c r="I601" t="s">
        <v>234</v>
      </c>
      <c r="J601" t="s">
        <v>248</v>
      </c>
      <c r="K601" s="2">
        <f t="shared" si="333"/>
        <v>5</v>
      </c>
      <c r="L601">
        <v>92000000</v>
      </c>
      <c r="M601" s="2">
        <f t="shared" si="334"/>
        <v>7.9637878273455556</v>
      </c>
      <c r="N601">
        <f t="shared" si="357"/>
        <v>92000000</v>
      </c>
      <c r="O601">
        <v>0</v>
      </c>
      <c r="P601" s="1">
        <v>39114</v>
      </c>
      <c r="Q601" s="89">
        <f t="shared" si="335"/>
        <v>2007</v>
      </c>
      <c r="R601" t="s">
        <v>54</v>
      </c>
      <c r="S601">
        <v>250137690</v>
      </c>
      <c r="T601" s="21">
        <f t="shared" si="327"/>
        <v>3.0712328767123287</v>
      </c>
      <c r="U601">
        <v>5897.96</v>
      </c>
      <c r="V601">
        <f t="shared" si="336"/>
        <v>3.7707754512906644</v>
      </c>
      <c r="W601">
        <v>1992</v>
      </c>
      <c r="X601">
        <v>12</v>
      </c>
      <c r="Y601">
        <f t="shared" si="337"/>
        <v>1.1139433523068367</v>
      </c>
      <c r="Z601" s="45">
        <v>2.3199999999999998</v>
      </c>
      <c r="AA601" s="9">
        <f t="shared" si="326"/>
        <v>158137690</v>
      </c>
      <c r="AB601" s="15">
        <f t="shared" si="328"/>
        <v>1.7188879347826087</v>
      </c>
      <c r="AC601" s="34">
        <f t="shared" si="338"/>
        <v>0.43439130751080973</v>
      </c>
      <c r="AD601">
        <v>2446.450593263969</v>
      </c>
      <c r="AE601">
        <f t="shared" si="331"/>
        <v>3.3885364494891754</v>
      </c>
      <c r="AF601">
        <v>6578.8244872547029</v>
      </c>
      <c r="AG601">
        <f t="shared" si="332"/>
        <v>3.818148300254375</v>
      </c>
      <c r="AH601">
        <v>132</v>
      </c>
      <c r="AI601" s="9">
        <f t="shared" si="339"/>
        <v>2.1238516409670858</v>
      </c>
      <c r="AJ601">
        <v>85</v>
      </c>
      <c r="AK601" s="23" t="s">
        <v>89</v>
      </c>
      <c r="AL601" s="42">
        <v>40.040400531970803</v>
      </c>
      <c r="AM601" s="24">
        <v>0.28000000000000003</v>
      </c>
      <c r="AN601" s="34">
        <f t="shared" si="340"/>
        <v>0.10720996964786837</v>
      </c>
      <c r="AO601">
        <v>1968</v>
      </c>
      <c r="AP601">
        <v>36</v>
      </c>
      <c r="AQ601">
        <v>70</v>
      </c>
      <c r="AR601">
        <v>70</v>
      </c>
      <c r="AS601">
        <f t="shared" si="329"/>
        <v>0</v>
      </c>
      <c r="AT601">
        <f t="shared" si="341"/>
        <v>0</v>
      </c>
      <c r="AU601">
        <f t="shared" si="342"/>
        <v>1</v>
      </c>
      <c r="AV601">
        <f t="shared" si="343"/>
        <v>0</v>
      </c>
      <c r="AW601">
        <f t="shared" si="344"/>
        <v>0</v>
      </c>
      <c r="AX601">
        <f t="shared" si="345"/>
        <v>0</v>
      </c>
      <c r="AY601">
        <f t="shared" si="346"/>
        <v>0</v>
      </c>
      <c r="AZ601">
        <f t="shared" si="347"/>
        <v>0</v>
      </c>
      <c r="BA601">
        <f t="shared" si="348"/>
        <v>0</v>
      </c>
      <c r="BB601">
        <f t="shared" si="349"/>
        <v>0</v>
      </c>
      <c r="BC601">
        <f t="shared" si="350"/>
        <v>0</v>
      </c>
      <c r="BD601">
        <f t="shared" si="351"/>
        <v>0</v>
      </c>
      <c r="BE601">
        <f t="shared" si="352"/>
        <v>0</v>
      </c>
      <c r="BF601">
        <f t="shared" si="353"/>
        <v>0</v>
      </c>
      <c r="BG601">
        <f t="shared" si="354"/>
        <v>0</v>
      </c>
      <c r="BH601">
        <f t="shared" si="355"/>
        <v>0</v>
      </c>
      <c r="BI601">
        <f t="shared" si="356"/>
        <v>0</v>
      </c>
    </row>
    <row r="602" spans="1:61" x14ac:dyDescent="0.35">
      <c r="A602" t="s">
        <v>352</v>
      </c>
      <c r="B602" s="1">
        <v>37900</v>
      </c>
      <c r="C602" t="s">
        <v>1188</v>
      </c>
      <c r="D602" t="s">
        <v>59</v>
      </c>
      <c r="E602" t="s">
        <v>1189</v>
      </c>
      <c r="F602" t="s">
        <v>602</v>
      </c>
      <c r="G602" t="s">
        <v>64</v>
      </c>
      <c r="H602" s="139">
        <f t="shared" si="330"/>
        <v>1</v>
      </c>
      <c r="I602" t="s">
        <v>234</v>
      </c>
      <c r="J602" t="s">
        <v>245</v>
      </c>
      <c r="K602" s="2">
        <f t="shared" si="333"/>
        <v>6</v>
      </c>
      <c r="L602">
        <v>49080000</v>
      </c>
      <c r="M602" s="2">
        <f t="shared" si="334"/>
        <v>7.690904554054967</v>
      </c>
      <c r="N602">
        <f t="shared" si="357"/>
        <v>49080000</v>
      </c>
      <c r="O602">
        <v>0</v>
      </c>
      <c r="P602" s="1">
        <v>40616</v>
      </c>
      <c r="Q602" s="89">
        <f t="shared" si="335"/>
        <v>2011</v>
      </c>
      <c r="R602" t="s">
        <v>322</v>
      </c>
      <c r="S602">
        <v>128000000</v>
      </c>
      <c r="T602" s="21">
        <f t="shared" si="327"/>
        <v>7.441095890410959</v>
      </c>
      <c r="U602">
        <v>5897.96</v>
      </c>
      <c r="V602">
        <f t="shared" si="336"/>
        <v>3.7707754512906644</v>
      </c>
      <c r="W602">
        <v>2000</v>
      </c>
      <c r="X602">
        <v>3</v>
      </c>
      <c r="Y602">
        <f t="shared" si="337"/>
        <v>0.6020599913279624</v>
      </c>
      <c r="Z602" s="45">
        <v>2.3199999999999998</v>
      </c>
      <c r="AA602" s="9">
        <f t="shared" si="326"/>
        <v>78920000</v>
      </c>
      <c r="AB602" s="15">
        <f t="shared" si="328"/>
        <v>1.6079869600651997</v>
      </c>
      <c r="AC602" s="34">
        <f t="shared" si="338"/>
        <v>0.41630541559290174</v>
      </c>
      <c r="AD602">
        <v>2446.450593263969</v>
      </c>
      <c r="AE602">
        <f t="shared" si="331"/>
        <v>3.3885364494891754</v>
      </c>
      <c r="AF602">
        <v>6578.8244872547029</v>
      </c>
      <c r="AG602">
        <f t="shared" si="332"/>
        <v>3.818148300254375</v>
      </c>
      <c r="AH602">
        <v>132</v>
      </c>
      <c r="AI602" s="9">
        <f t="shared" si="339"/>
        <v>2.1238516409670858</v>
      </c>
      <c r="AJ602">
        <v>85</v>
      </c>
      <c r="AK602" s="23" t="s">
        <v>246</v>
      </c>
      <c r="AL602" s="42">
        <v>38.7850112673514</v>
      </c>
      <c r="AM602" s="24">
        <v>0.25</v>
      </c>
      <c r="AN602" s="34">
        <f t="shared" si="340"/>
        <v>9.691001300805642E-2</v>
      </c>
      <c r="AO602">
        <v>1968</v>
      </c>
      <c r="AP602">
        <v>35</v>
      </c>
      <c r="AQ602">
        <v>70</v>
      </c>
      <c r="AR602">
        <v>70</v>
      </c>
      <c r="AS602">
        <f t="shared" si="329"/>
        <v>0</v>
      </c>
      <c r="AT602">
        <f t="shared" si="341"/>
        <v>0</v>
      </c>
      <c r="AU602">
        <f t="shared" si="342"/>
        <v>1</v>
      </c>
      <c r="AV602">
        <f t="shared" si="343"/>
        <v>0</v>
      </c>
      <c r="AW602">
        <f t="shared" si="344"/>
        <v>0</v>
      </c>
      <c r="AX602">
        <f t="shared" si="345"/>
        <v>0</v>
      </c>
      <c r="AY602">
        <f t="shared" si="346"/>
        <v>0</v>
      </c>
      <c r="AZ602">
        <f t="shared" si="347"/>
        <v>0</v>
      </c>
      <c r="BA602">
        <f t="shared" si="348"/>
        <v>0</v>
      </c>
      <c r="BB602">
        <f t="shared" si="349"/>
        <v>0</v>
      </c>
      <c r="BC602">
        <f t="shared" si="350"/>
        <v>0</v>
      </c>
      <c r="BD602">
        <f t="shared" si="351"/>
        <v>0</v>
      </c>
      <c r="BE602">
        <f t="shared" si="352"/>
        <v>0</v>
      </c>
      <c r="BF602">
        <f t="shared" si="353"/>
        <v>0</v>
      </c>
      <c r="BG602">
        <f t="shared" si="354"/>
        <v>0</v>
      </c>
      <c r="BH602">
        <f t="shared" si="355"/>
        <v>0</v>
      </c>
      <c r="BI602">
        <f t="shared" si="356"/>
        <v>0</v>
      </c>
    </row>
    <row r="603" spans="1:61" x14ac:dyDescent="0.35">
      <c r="A603" t="s">
        <v>352</v>
      </c>
      <c r="B603" s="1">
        <v>42275</v>
      </c>
      <c r="C603" t="s">
        <v>1190</v>
      </c>
      <c r="D603" t="s">
        <v>6</v>
      </c>
      <c r="E603" t="s">
        <v>1191</v>
      </c>
      <c r="F603" t="s">
        <v>602</v>
      </c>
      <c r="G603" t="s">
        <v>64</v>
      </c>
      <c r="H603" s="139">
        <f t="shared" si="330"/>
        <v>1</v>
      </c>
      <c r="I603" t="s">
        <v>234</v>
      </c>
      <c r="J603" t="s">
        <v>190</v>
      </c>
      <c r="K603" s="2">
        <f t="shared" si="333"/>
        <v>2</v>
      </c>
      <c r="L603">
        <v>27422566</v>
      </c>
      <c r="M603" s="2">
        <f t="shared" si="334"/>
        <v>7.4381080904060948</v>
      </c>
      <c r="N603">
        <f t="shared" si="357"/>
        <v>27422566</v>
      </c>
      <c r="O603">
        <v>0</v>
      </c>
      <c r="P603" s="1">
        <v>43454</v>
      </c>
      <c r="Q603" s="89">
        <f t="shared" si="335"/>
        <v>2018</v>
      </c>
      <c r="R603" t="s">
        <v>107</v>
      </c>
      <c r="S603">
        <v>186884740</v>
      </c>
      <c r="T603" s="21">
        <f t="shared" si="327"/>
        <v>3.2301369863013698</v>
      </c>
      <c r="U603">
        <v>6216.38</v>
      </c>
      <c r="V603">
        <f t="shared" si="336"/>
        <v>3.7936074118204202</v>
      </c>
      <c r="W603">
        <v>1986</v>
      </c>
      <c r="X603">
        <v>29</v>
      </c>
      <c r="Y603">
        <f t="shared" si="337"/>
        <v>1.4771212547196624</v>
      </c>
      <c r="Z603" s="45">
        <v>2.92</v>
      </c>
      <c r="AA603" s="9">
        <f t="shared" si="326"/>
        <v>159462174</v>
      </c>
      <c r="AB603" s="15">
        <f t="shared" si="328"/>
        <v>5.8149982755078424</v>
      </c>
      <c r="AC603" s="34">
        <f t="shared" si="338"/>
        <v>0.83346575027523784</v>
      </c>
      <c r="AD603">
        <v>2446.450593263969</v>
      </c>
      <c r="AE603">
        <f t="shared" si="331"/>
        <v>3.3885364494891754</v>
      </c>
      <c r="AF603">
        <v>6578.8244872547029</v>
      </c>
      <c r="AG603">
        <f t="shared" si="332"/>
        <v>3.818148300254375</v>
      </c>
      <c r="AH603">
        <v>544.83333333333303</v>
      </c>
      <c r="AI603" s="9">
        <f t="shared" si="339"/>
        <v>2.7370600539441581</v>
      </c>
      <c r="AJ603">
        <v>90.7</v>
      </c>
      <c r="AK603" s="23" t="s">
        <v>1192</v>
      </c>
      <c r="AL603" s="42">
        <v>53.736888616883299</v>
      </c>
      <c r="AM603" s="24">
        <v>0.31</v>
      </c>
      <c r="AN603" s="34">
        <f t="shared" si="340"/>
        <v>0.11727129565576427</v>
      </c>
      <c r="AO603">
        <v>1968</v>
      </c>
      <c r="AP603">
        <v>47</v>
      </c>
      <c r="AQ603">
        <v>80</v>
      </c>
      <c r="AR603">
        <v>70</v>
      </c>
      <c r="AS603">
        <f t="shared" si="329"/>
        <v>0</v>
      </c>
      <c r="AT603">
        <f t="shared" si="341"/>
        <v>0</v>
      </c>
      <c r="AU603">
        <f t="shared" si="342"/>
        <v>0</v>
      </c>
      <c r="AV603">
        <f t="shared" si="343"/>
        <v>0</v>
      </c>
      <c r="AW603">
        <f t="shared" si="344"/>
        <v>0</v>
      </c>
      <c r="AX603">
        <f t="shared" si="345"/>
        <v>0</v>
      </c>
      <c r="AY603">
        <f t="shared" si="346"/>
        <v>0</v>
      </c>
      <c r="AZ603">
        <f t="shared" si="347"/>
        <v>0</v>
      </c>
      <c r="BA603">
        <f t="shared" si="348"/>
        <v>1</v>
      </c>
      <c r="BB603">
        <f t="shared" si="349"/>
        <v>0</v>
      </c>
      <c r="BC603">
        <f t="shared" si="350"/>
        <v>0</v>
      </c>
      <c r="BD603">
        <f t="shared" si="351"/>
        <v>0</v>
      </c>
      <c r="BE603">
        <f t="shared" si="352"/>
        <v>0</v>
      </c>
      <c r="BF603">
        <f t="shared" si="353"/>
        <v>0</v>
      </c>
      <c r="BG603">
        <f t="shared" si="354"/>
        <v>0</v>
      </c>
      <c r="BH603">
        <f t="shared" si="355"/>
        <v>0</v>
      </c>
      <c r="BI603">
        <f t="shared" si="356"/>
        <v>0</v>
      </c>
    </row>
    <row r="604" spans="1:61" x14ac:dyDescent="0.35">
      <c r="A604" t="s">
        <v>51</v>
      </c>
      <c r="B604" s="1">
        <v>39019</v>
      </c>
      <c r="C604" t="s">
        <v>1193</v>
      </c>
      <c r="D604" t="s">
        <v>447</v>
      </c>
      <c r="E604" t="s">
        <v>1194</v>
      </c>
      <c r="F604" t="s">
        <v>602</v>
      </c>
      <c r="G604" t="s">
        <v>64</v>
      </c>
      <c r="H604" s="139">
        <f t="shared" si="330"/>
        <v>1</v>
      </c>
      <c r="I604" t="s">
        <v>234</v>
      </c>
      <c r="J604" t="s">
        <v>248</v>
      </c>
      <c r="K604" s="2">
        <f t="shared" si="333"/>
        <v>5</v>
      </c>
      <c r="L604">
        <v>153000000</v>
      </c>
      <c r="M604" s="2">
        <f t="shared" si="334"/>
        <v>8.1846914308175993</v>
      </c>
      <c r="N604">
        <f t="shared" si="357"/>
        <v>153000000</v>
      </c>
      <c r="O604">
        <v>0</v>
      </c>
      <c r="P604" s="1">
        <v>40393</v>
      </c>
      <c r="Q604" s="89">
        <f t="shared" si="335"/>
        <v>2010</v>
      </c>
      <c r="R604" t="s">
        <v>54</v>
      </c>
      <c r="S604">
        <v>324700000</v>
      </c>
      <c r="T604" s="21">
        <f t="shared" si="327"/>
        <v>3.7643835616438355</v>
      </c>
      <c r="U604">
        <v>6087.84</v>
      </c>
      <c r="V604">
        <f t="shared" si="336"/>
        <v>3.7845345619950592</v>
      </c>
      <c r="W604">
        <v>1999</v>
      </c>
      <c r="X604">
        <v>7</v>
      </c>
      <c r="Y604">
        <f t="shared" si="337"/>
        <v>0.90308998699194354</v>
      </c>
      <c r="Z604" s="45">
        <v>2.81</v>
      </c>
      <c r="AA604" s="9">
        <f t="shared" si="326"/>
        <v>171700000</v>
      </c>
      <c r="AB604" s="15">
        <f t="shared" si="328"/>
        <v>1.1222222222222222</v>
      </c>
      <c r="AC604" s="34">
        <f t="shared" si="338"/>
        <v>0.32679085780840267</v>
      </c>
      <c r="AD604">
        <v>2446.450593263969</v>
      </c>
      <c r="AE604">
        <f t="shared" si="331"/>
        <v>3.3885364494891754</v>
      </c>
      <c r="AF604">
        <v>6578.8244872547029</v>
      </c>
      <c r="AG604">
        <f t="shared" si="332"/>
        <v>3.818148300254375</v>
      </c>
      <c r="AH604">
        <v>824.83333333333303</v>
      </c>
      <c r="AI604" s="9">
        <f t="shared" si="339"/>
        <v>2.9168924084376502</v>
      </c>
      <c r="AJ604">
        <v>78.7</v>
      </c>
      <c r="AK604" s="23" t="s">
        <v>1195</v>
      </c>
      <c r="AL604" s="42">
        <v>38.284221616827402</v>
      </c>
      <c r="AM604" s="24">
        <v>-0.19</v>
      </c>
      <c r="AN604" s="34">
        <f t="shared" si="340"/>
        <v>-9.1514981121350217E-2</v>
      </c>
      <c r="AO604">
        <v>1968</v>
      </c>
      <c r="AP604">
        <v>38</v>
      </c>
      <c r="AQ604">
        <v>70</v>
      </c>
      <c r="AR604">
        <v>50</v>
      </c>
      <c r="AS604">
        <f t="shared" si="329"/>
        <v>0</v>
      </c>
      <c r="AT604">
        <f t="shared" si="341"/>
        <v>0</v>
      </c>
      <c r="AU604">
        <f t="shared" si="342"/>
        <v>0</v>
      </c>
      <c r="AV604">
        <f t="shared" si="343"/>
        <v>0</v>
      </c>
      <c r="AW604">
        <f t="shared" si="344"/>
        <v>0</v>
      </c>
      <c r="AX604">
        <f t="shared" si="345"/>
        <v>0</v>
      </c>
      <c r="AY604">
        <f t="shared" si="346"/>
        <v>0</v>
      </c>
      <c r="AZ604">
        <f t="shared" si="347"/>
        <v>0</v>
      </c>
      <c r="BA604">
        <f t="shared" si="348"/>
        <v>0</v>
      </c>
      <c r="BB604">
        <f t="shared" si="349"/>
        <v>0</v>
      </c>
      <c r="BC604">
        <f t="shared" si="350"/>
        <v>0</v>
      </c>
      <c r="BD604">
        <f t="shared" si="351"/>
        <v>1</v>
      </c>
      <c r="BE604">
        <f t="shared" si="352"/>
        <v>0</v>
      </c>
      <c r="BF604">
        <f t="shared" si="353"/>
        <v>0</v>
      </c>
      <c r="BG604">
        <f t="shared" si="354"/>
        <v>0</v>
      </c>
      <c r="BH604">
        <f t="shared" si="355"/>
        <v>0</v>
      </c>
      <c r="BI604">
        <f t="shared" si="356"/>
        <v>0</v>
      </c>
    </row>
    <row r="605" spans="1:61" x14ac:dyDescent="0.35">
      <c r="A605" t="s">
        <v>1196</v>
      </c>
      <c r="B605" s="1">
        <v>39783</v>
      </c>
      <c r="C605" t="s">
        <v>1197</v>
      </c>
      <c r="D605" t="s">
        <v>434</v>
      </c>
      <c r="E605" t="s">
        <v>1198</v>
      </c>
      <c r="F605" t="s">
        <v>602</v>
      </c>
      <c r="G605" t="s">
        <v>64</v>
      </c>
      <c r="H605" s="139">
        <f t="shared" si="330"/>
        <v>1</v>
      </c>
      <c r="I605" t="s">
        <v>234</v>
      </c>
      <c r="J605" t="s">
        <v>186</v>
      </c>
      <c r="K605" s="2">
        <f t="shared" si="333"/>
        <v>4</v>
      </c>
      <c r="L605">
        <v>1100000000</v>
      </c>
      <c r="M605" s="2">
        <f t="shared" si="334"/>
        <v>9.0413926851582254</v>
      </c>
      <c r="N605">
        <f t="shared" si="357"/>
        <v>1100000000</v>
      </c>
      <c r="O605">
        <v>0</v>
      </c>
      <c r="P605" s="1">
        <v>40648</v>
      </c>
      <c r="Q605" s="89">
        <f t="shared" si="335"/>
        <v>2011</v>
      </c>
      <c r="R605" t="s">
        <v>107</v>
      </c>
      <c r="S605">
        <v>1605000000</v>
      </c>
      <c r="T605" s="21">
        <f t="shared" si="327"/>
        <v>2.3698630136986303</v>
      </c>
      <c r="U605">
        <v>7216.98</v>
      </c>
      <c r="V605">
        <f t="shared" si="336"/>
        <v>3.8584156743566731</v>
      </c>
      <c r="W605">
        <v>2005</v>
      </c>
      <c r="X605">
        <v>3</v>
      </c>
      <c r="Y605">
        <f t="shared" si="337"/>
        <v>0.6020599913279624</v>
      </c>
      <c r="Z605" s="45">
        <v>2.66</v>
      </c>
      <c r="AA605" s="9">
        <f t="shared" si="326"/>
        <v>505000000</v>
      </c>
      <c r="AB605" s="15">
        <f t="shared" si="328"/>
        <v>0.45909090909090899</v>
      </c>
      <c r="AC605" s="34">
        <f t="shared" si="338"/>
        <v>0.16408235158266582</v>
      </c>
      <c r="AD605">
        <v>2446.450593263969</v>
      </c>
      <c r="AE605">
        <f t="shared" si="331"/>
        <v>3.3885364494891754</v>
      </c>
      <c r="AF605">
        <v>6578.8244872547029</v>
      </c>
      <c r="AG605">
        <f t="shared" si="332"/>
        <v>3.818148300254375</v>
      </c>
      <c r="AH605">
        <v>649.83333333333303</v>
      </c>
      <c r="AI605" s="9">
        <f t="shared" si="339"/>
        <v>2.8134697878296753</v>
      </c>
      <c r="AJ605">
        <v>77</v>
      </c>
      <c r="AK605" s="23" t="s">
        <v>435</v>
      </c>
      <c r="AL605" s="42">
        <v>47.830384300274197</v>
      </c>
      <c r="AM605" s="24">
        <v>0.62</v>
      </c>
      <c r="AN605" s="34">
        <f t="shared" si="340"/>
        <v>0.20951501454263097</v>
      </c>
      <c r="AO605">
        <v>1968</v>
      </c>
      <c r="AP605">
        <v>40</v>
      </c>
      <c r="AQ605">
        <v>90</v>
      </c>
      <c r="AR605">
        <v>70</v>
      </c>
      <c r="AS605">
        <f t="shared" si="329"/>
        <v>0</v>
      </c>
      <c r="AT605">
        <f t="shared" si="341"/>
        <v>0</v>
      </c>
      <c r="AU605">
        <f t="shared" si="342"/>
        <v>0</v>
      </c>
      <c r="AV605">
        <f t="shared" si="343"/>
        <v>0</v>
      </c>
      <c r="AW605">
        <f t="shared" si="344"/>
        <v>0</v>
      </c>
      <c r="AX605">
        <f t="shared" si="345"/>
        <v>0</v>
      </c>
      <c r="AY605">
        <f t="shared" si="346"/>
        <v>0</v>
      </c>
      <c r="AZ605">
        <f t="shared" si="347"/>
        <v>0</v>
      </c>
      <c r="BA605">
        <f t="shared" si="348"/>
        <v>0</v>
      </c>
      <c r="BB605">
        <f t="shared" si="349"/>
        <v>0</v>
      </c>
      <c r="BC605">
        <f t="shared" si="350"/>
        <v>1</v>
      </c>
      <c r="BD605">
        <f t="shared" si="351"/>
        <v>0</v>
      </c>
      <c r="BE605">
        <f t="shared" si="352"/>
        <v>0</v>
      </c>
      <c r="BF605">
        <f t="shared" si="353"/>
        <v>0</v>
      </c>
      <c r="BG605">
        <f t="shared" si="354"/>
        <v>0</v>
      </c>
      <c r="BH605">
        <f t="shared" si="355"/>
        <v>0</v>
      </c>
      <c r="BI605">
        <f t="shared" si="356"/>
        <v>0</v>
      </c>
    </row>
    <row r="606" spans="1:61" x14ac:dyDescent="0.35">
      <c r="A606" t="s">
        <v>352</v>
      </c>
      <c r="B606" s="1">
        <v>41388</v>
      </c>
      <c r="C606" s="8" t="s">
        <v>1199</v>
      </c>
      <c r="D606" t="s">
        <v>163</v>
      </c>
      <c r="E606" t="s">
        <v>1200</v>
      </c>
      <c r="F606" t="s">
        <v>2</v>
      </c>
      <c r="G606" t="s">
        <v>64</v>
      </c>
      <c r="H606" s="139">
        <f t="shared" si="330"/>
        <v>1</v>
      </c>
      <c r="I606" t="s">
        <v>234</v>
      </c>
      <c r="J606" t="s">
        <v>190</v>
      </c>
      <c r="K606" s="2">
        <f t="shared" si="333"/>
        <v>2</v>
      </c>
      <c r="L606">
        <v>18200000</v>
      </c>
      <c r="M606" s="2">
        <f t="shared" si="334"/>
        <v>7.2600713879850751</v>
      </c>
      <c r="N606">
        <f t="shared" si="357"/>
        <v>18200000</v>
      </c>
      <c r="O606">
        <v>0</v>
      </c>
      <c r="P606" s="1">
        <v>41733</v>
      </c>
      <c r="Q606" s="89">
        <f t="shared" si="335"/>
        <v>2014</v>
      </c>
      <c r="R606" t="s">
        <v>49</v>
      </c>
      <c r="S606">
        <v>34670000</v>
      </c>
      <c r="T606" s="21">
        <f t="shared" si="327"/>
        <v>0.9452054794520548</v>
      </c>
      <c r="U606">
        <v>684.28</v>
      </c>
      <c r="V606">
        <f t="shared" si="336"/>
        <v>2.8358680570524939</v>
      </c>
      <c r="W606">
        <v>2001</v>
      </c>
      <c r="X606">
        <v>12</v>
      </c>
      <c r="Y606">
        <f t="shared" si="337"/>
        <v>1.1139433523068367</v>
      </c>
      <c r="Z606" s="45">
        <v>2.85</v>
      </c>
      <c r="AA606" s="9">
        <f t="shared" si="326"/>
        <v>16470000</v>
      </c>
      <c r="AB606" s="15">
        <f t="shared" si="328"/>
        <v>0.90494505494505484</v>
      </c>
      <c r="AC606" s="34">
        <f t="shared" si="338"/>
        <v>0.27988245367132186</v>
      </c>
      <c r="AD606">
        <v>2515.7884814779904</v>
      </c>
      <c r="AE606">
        <f t="shared" si="331"/>
        <v>3.4006741243771632</v>
      </c>
      <c r="AF606">
        <v>6800.8294844000393</v>
      </c>
      <c r="AG606">
        <f t="shared" si="332"/>
        <v>3.8325618860191688</v>
      </c>
      <c r="AH606" s="9">
        <v>1412.5</v>
      </c>
      <c r="AI606" s="9">
        <f t="shared" si="339"/>
        <v>3.1502958128255383</v>
      </c>
      <c r="AJ606">
        <v>84</v>
      </c>
      <c r="AK606" s="23" t="s">
        <v>662</v>
      </c>
      <c r="AL606" s="42">
        <v>57.2278620378247</v>
      </c>
      <c r="AM606" s="24">
        <v>0.18</v>
      </c>
      <c r="AN606" s="34">
        <f t="shared" si="340"/>
        <v>7.1882007306125359E-2</v>
      </c>
      <c r="AO606">
        <v>1996</v>
      </c>
      <c r="AP606">
        <v>17</v>
      </c>
      <c r="AQ606">
        <v>85</v>
      </c>
      <c r="AR606">
        <v>80</v>
      </c>
      <c r="AS606">
        <f t="shared" si="329"/>
        <v>0</v>
      </c>
      <c r="AT606">
        <f t="shared" si="341"/>
        <v>0</v>
      </c>
      <c r="AU606">
        <f t="shared" si="342"/>
        <v>0</v>
      </c>
      <c r="AV606">
        <f t="shared" si="343"/>
        <v>0</v>
      </c>
      <c r="AW606">
        <f t="shared" si="344"/>
        <v>0</v>
      </c>
      <c r="AX606">
        <f t="shared" si="345"/>
        <v>0</v>
      </c>
      <c r="AY606">
        <f t="shared" si="346"/>
        <v>0</v>
      </c>
      <c r="AZ606">
        <f t="shared" si="347"/>
        <v>1</v>
      </c>
      <c r="BA606">
        <f t="shared" si="348"/>
        <v>0</v>
      </c>
      <c r="BB606">
        <f t="shared" si="349"/>
        <v>0</v>
      </c>
      <c r="BC606">
        <f t="shared" si="350"/>
        <v>0</v>
      </c>
      <c r="BD606">
        <f t="shared" si="351"/>
        <v>0</v>
      </c>
      <c r="BE606">
        <f t="shared" si="352"/>
        <v>0</v>
      </c>
      <c r="BF606">
        <f t="shared" si="353"/>
        <v>0</v>
      </c>
      <c r="BG606">
        <f t="shared" si="354"/>
        <v>0</v>
      </c>
      <c r="BH606">
        <f t="shared" si="355"/>
        <v>0</v>
      </c>
      <c r="BI606">
        <f t="shared" si="356"/>
        <v>0</v>
      </c>
    </row>
    <row r="607" spans="1:61" x14ac:dyDescent="0.35">
      <c r="A607" t="s">
        <v>352</v>
      </c>
      <c r="B607" s="1">
        <v>39870</v>
      </c>
      <c r="C607" s="8" t="s">
        <v>1201</v>
      </c>
      <c r="D607" t="s">
        <v>45</v>
      </c>
      <c r="E607" t="s">
        <v>1202</v>
      </c>
      <c r="F607" t="s">
        <v>2</v>
      </c>
      <c r="G607" t="s">
        <v>1203</v>
      </c>
      <c r="H607" s="139">
        <f t="shared" si="330"/>
        <v>1</v>
      </c>
      <c r="I607" t="s">
        <v>234</v>
      </c>
      <c r="J607" t="s">
        <v>178</v>
      </c>
      <c r="K607" s="2">
        <f t="shared" si="333"/>
        <v>9</v>
      </c>
      <c r="L607">
        <v>6000000</v>
      </c>
      <c r="M607" s="2">
        <f t="shared" si="334"/>
        <v>6.7781512503836439</v>
      </c>
      <c r="N607">
        <f t="shared" si="357"/>
        <v>6000000</v>
      </c>
      <c r="O607">
        <v>0</v>
      </c>
      <c r="P607" s="1">
        <v>40682</v>
      </c>
      <c r="Q607" s="89">
        <f t="shared" si="335"/>
        <v>2011</v>
      </c>
      <c r="R607" t="s">
        <v>107</v>
      </c>
      <c r="S607">
        <v>40000000</v>
      </c>
      <c r="T607" s="21">
        <f t="shared" si="327"/>
        <v>2.2246575342465755</v>
      </c>
      <c r="U607">
        <v>6815.73</v>
      </c>
      <c r="V607">
        <f t="shared" si="336"/>
        <v>3.8335760926148099</v>
      </c>
      <c r="W607">
        <v>2000</v>
      </c>
      <c r="X607">
        <v>9</v>
      </c>
      <c r="Y607">
        <f t="shared" si="337"/>
        <v>1</v>
      </c>
      <c r="Z607" s="45">
        <v>2.85</v>
      </c>
      <c r="AA607" s="9">
        <f t="shared" si="326"/>
        <v>34000000</v>
      </c>
      <c r="AB607" s="15">
        <f t="shared" si="328"/>
        <v>5.666666666666667</v>
      </c>
      <c r="AC607" s="34">
        <f t="shared" si="338"/>
        <v>0.82390874094431876</v>
      </c>
      <c r="AD607">
        <v>2515.7884814779904</v>
      </c>
      <c r="AE607">
        <f t="shared" si="331"/>
        <v>3.4006741243771632</v>
      </c>
      <c r="AF607">
        <v>6800.8294844000393</v>
      </c>
      <c r="AG607">
        <f t="shared" si="332"/>
        <v>3.8325618860191688</v>
      </c>
      <c r="AH607">
        <v>819</v>
      </c>
      <c r="AI607" s="9">
        <f t="shared" si="339"/>
        <v>2.9138138523837167</v>
      </c>
      <c r="AJ607">
        <v>91.9</v>
      </c>
      <c r="AK607" s="23" t="s">
        <v>174</v>
      </c>
      <c r="AL607" s="42">
        <v>43.262530407091703</v>
      </c>
      <c r="AM607" s="24">
        <v>0.78</v>
      </c>
      <c r="AN607" s="34">
        <f t="shared" si="340"/>
        <v>0.250420002308894</v>
      </c>
      <c r="AO607">
        <v>1996</v>
      </c>
      <c r="AP607">
        <v>13</v>
      </c>
      <c r="AQ607">
        <v>70</v>
      </c>
      <c r="AR607">
        <v>70</v>
      </c>
      <c r="AS607">
        <f t="shared" si="329"/>
        <v>0</v>
      </c>
      <c r="AT607">
        <f t="shared" si="341"/>
        <v>1</v>
      </c>
      <c r="AU607">
        <f t="shared" si="342"/>
        <v>0</v>
      </c>
      <c r="AV607">
        <f t="shared" si="343"/>
        <v>0</v>
      </c>
      <c r="AW607">
        <f t="shared" si="344"/>
        <v>0</v>
      </c>
      <c r="AX607">
        <f t="shared" si="345"/>
        <v>0</v>
      </c>
      <c r="AY607">
        <f t="shared" si="346"/>
        <v>0</v>
      </c>
      <c r="AZ607">
        <f t="shared" si="347"/>
        <v>0</v>
      </c>
      <c r="BA607">
        <f t="shared" si="348"/>
        <v>0</v>
      </c>
      <c r="BB607">
        <f t="shared" si="349"/>
        <v>0</v>
      </c>
      <c r="BC607">
        <f t="shared" si="350"/>
        <v>0</v>
      </c>
      <c r="BD607">
        <f t="shared" si="351"/>
        <v>0</v>
      </c>
      <c r="BE607">
        <f t="shared" si="352"/>
        <v>0</v>
      </c>
      <c r="BF607">
        <f t="shared" si="353"/>
        <v>0</v>
      </c>
      <c r="BG607">
        <f t="shared" si="354"/>
        <v>0</v>
      </c>
      <c r="BH607">
        <f t="shared" si="355"/>
        <v>0</v>
      </c>
      <c r="BI607">
        <f t="shared" si="356"/>
        <v>0</v>
      </c>
    </row>
    <row r="608" spans="1:61" x14ac:dyDescent="0.35">
      <c r="A608" t="s">
        <v>352</v>
      </c>
      <c r="B608" s="1">
        <v>39384</v>
      </c>
      <c r="C608" s="8" t="s">
        <v>1204</v>
      </c>
      <c r="D608" t="s">
        <v>59</v>
      </c>
      <c r="E608" t="s">
        <v>1205</v>
      </c>
      <c r="F608" t="s">
        <v>2</v>
      </c>
      <c r="G608" t="s">
        <v>1203</v>
      </c>
      <c r="H608" s="139">
        <f t="shared" si="330"/>
        <v>1</v>
      </c>
      <c r="I608" t="s">
        <v>234</v>
      </c>
      <c r="J608" t="s">
        <v>190</v>
      </c>
      <c r="K608" s="2">
        <f t="shared" si="333"/>
        <v>2</v>
      </c>
      <c r="L608">
        <v>40000000</v>
      </c>
      <c r="M608" s="2">
        <f t="shared" si="334"/>
        <v>7.6020599913279625</v>
      </c>
      <c r="N608">
        <f t="shared" si="357"/>
        <v>40000000</v>
      </c>
      <c r="O608">
        <v>0</v>
      </c>
      <c r="P608" s="1">
        <v>41600</v>
      </c>
      <c r="Q608" s="89">
        <f t="shared" si="335"/>
        <v>2013</v>
      </c>
      <c r="R608" t="s">
        <v>49</v>
      </c>
      <c r="S608">
        <v>74000000</v>
      </c>
      <c r="T608" s="21">
        <f t="shared" si="327"/>
        <v>6.0712328767123287</v>
      </c>
      <c r="U608">
        <v>1153.8900000000001</v>
      </c>
      <c r="V608">
        <f t="shared" si="336"/>
        <v>3.0625406208792199</v>
      </c>
      <c r="W608">
        <v>2002</v>
      </c>
      <c r="X608">
        <v>5</v>
      </c>
      <c r="Y608">
        <f t="shared" si="337"/>
        <v>0.77815125038364363</v>
      </c>
      <c r="Z608" s="45">
        <v>2.69</v>
      </c>
      <c r="AA608" s="9">
        <f t="shared" si="326"/>
        <v>34000000</v>
      </c>
      <c r="AB608" s="15">
        <f t="shared" si="328"/>
        <v>0.85000000000000009</v>
      </c>
      <c r="AC608" s="34">
        <f t="shared" si="338"/>
        <v>0.26717172840301384</v>
      </c>
      <c r="AD608">
        <v>2515.7884814779904</v>
      </c>
      <c r="AE608">
        <f t="shared" si="331"/>
        <v>3.4006741243771632</v>
      </c>
      <c r="AF608">
        <v>6800.8294844000393</v>
      </c>
      <c r="AG608">
        <f t="shared" si="332"/>
        <v>3.8325618860191688</v>
      </c>
      <c r="AH608" s="9">
        <v>854.67</v>
      </c>
      <c r="AI608" s="9">
        <f t="shared" si="339"/>
        <v>2.9323063057851897</v>
      </c>
      <c r="AJ608">
        <v>91.2</v>
      </c>
      <c r="AK608" s="23" t="s">
        <v>191</v>
      </c>
      <c r="AL608" s="42">
        <v>40.902544500539101</v>
      </c>
      <c r="AM608" s="24">
        <v>0.17</v>
      </c>
      <c r="AN608" s="34">
        <f t="shared" si="340"/>
        <v>6.8185861746161619E-2</v>
      </c>
      <c r="AO608">
        <v>1996</v>
      </c>
      <c r="AP608">
        <v>11</v>
      </c>
      <c r="AQ608">
        <v>70</v>
      </c>
      <c r="AR608">
        <v>70</v>
      </c>
      <c r="AS608">
        <f t="shared" si="329"/>
        <v>0</v>
      </c>
      <c r="AT608">
        <f t="shared" si="341"/>
        <v>0</v>
      </c>
      <c r="AU608">
        <f t="shared" si="342"/>
        <v>1</v>
      </c>
      <c r="AV608">
        <f t="shared" si="343"/>
        <v>0</v>
      </c>
      <c r="AW608">
        <f t="shared" si="344"/>
        <v>0</v>
      </c>
      <c r="AX608">
        <f t="shared" si="345"/>
        <v>0</v>
      </c>
      <c r="AY608">
        <f t="shared" si="346"/>
        <v>0</v>
      </c>
      <c r="AZ608">
        <f t="shared" si="347"/>
        <v>0</v>
      </c>
      <c r="BA608">
        <f t="shared" si="348"/>
        <v>0</v>
      </c>
      <c r="BB608">
        <f t="shared" si="349"/>
        <v>0</v>
      </c>
      <c r="BC608">
        <f t="shared" si="350"/>
        <v>0</v>
      </c>
      <c r="BD608">
        <f t="shared" si="351"/>
        <v>0</v>
      </c>
      <c r="BE608">
        <f t="shared" si="352"/>
        <v>0</v>
      </c>
      <c r="BF608">
        <f t="shared" si="353"/>
        <v>0</v>
      </c>
      <c r="BG608">
        <f t="shared" si="354"/>
        <v>0</v>
      </c>
      <c r="BH608">
        <f t="shared" si="355"/>
        <v>0</v>
      </c>
      <c r="BI608">
        <f t="shared" si="356"/>
        <v>0</v>
      </c>
    </row>
    <row r="609" spans="1:61" x14ac:dyDescent="0.35">
      <c r="A609" t="s">
        <v>51</v>
      </c>
      <c r="B609" s="1">
        <v>39539</v>
      </c>
      <c r="C609" t="s">
        <v>1206</v>
      </c>
      <c r="D609" t="s">
        <v>1</v>
      </c>
      <c r="E609" t="s">
        <v>1207</v>
      </c>
      <c r="F609" t="s">
        <v>577</v>
      </c>
      <c r="G609" t="s">
        <v>64</v>
      </c>
      <c r="H609" s="139">
        <f t="shared" si="330"/>
        <v>1</v>
      </c>
      <c r="I609" t="s">
        <v>234</v>
      </c>
      <c r="J609" t="s">
        <v>190</v>
      </c>
      <c r="K609" s="2">
        <f t="shared" si="333"/>
        <v>2</v>
      </c>
      <c r="L609">
        <v>395000000</v>
      </c>
      <c r="M609" s="2">
        <f t="shared" si="334"/>
        <v>8.5965970956264606</v>
      </c>
      <c r="N609">
        <f t="shared" si="357"/>
        <v>395000000</v>
      </c>
      <c r="O609">
        <v>0</v>
      </c>
      <c r="P609" s="1">
        <v>41547</v>
      </c>
      <c r="Q609" s="89">
        <f t="shared" si="335"/>
        <v>2013</v>
      </c>
      <c r="R609" t="s">
        <v>107</v>
      </c>
      <c r="S609">
        <v>700000000</v>
      </c>
      <c r="T609" s="21">
        <f t="shared" si="327"/>
        <v>5.5013698630136982</v>
      </c>
      <c r="U609">
        <v>1153.8900000000001</v>
      </c>
      <c r="V609">
        <f t="shared" si="336"/>
        <v>3.0625406208792199</v>
      </c>
      <c r="W609">
        <v>1946</v>
      </c>
      <c r="X609">
        <v>62</v>
      </c>
      <c r="Y609">
        <f t="shared" si="337"/>
        <v>1.7993405494535817</v>
      </c>
      <c r="Z609" s="45">
        <v>3.06</v>
      </c>
      <c r="AA609" s="9">
        <f t="shared" si="326"/>
        <v>305000000</v>
      </c>
      <c r="AB609" s="15">
        <f t="shared" si="328"/>
        <v>0.77215189873417711</v>
      </c>
      <c r="AC609" s="34">
        <f t="shared" si="338"/>
        <v>0.24850094438779657</v>
      </c>
      <c r="AD609">
        <v>1581.4506539833533</v>
      </c>
      <c r="AE609">
        <f t="shared" si="331"/>
        <v>3.1990556451691736</v>
      </c>
      <c r="AF609">
        <v>6004.75624256837</v>
      </c>
      <c r="AG609">
        <f t="shared" si="332"/>
        <v>3.7784953823207492</v>
      </c>
      <c r="AH609">
        <v>742.83333333333303</v>
      </c>
      <c r="AI609" s="9">
        <f t="shared" si="339"/>
        <v>2.8714756364568856</v>
      </c>
      <c r="AJ609">
        <v>89.1</v>
      </c>
      <c r="AK609" s="23" t="s">
        <v>1208</v>
      </c>
      <c r="AL609" s="42">
        <v>40.193544405546298</v>
      </c>
      <c r="AM609" s="24">
        <v>0.23</v>
      </c>
      <c r="AN609" s="34">
        <f t="shared" si="340"/>
        <v>8.9905111439397931E-2</v>
      </c>
      <c r="AO609">
        <v>1945</v>
      </c>
      <c r="AP609">
        <v>63</v>
      </c>
      <c r="AQ609">
        <v>70</v>
      </c>
      <c r="AR609">
        <v>50</v>
      </c>
      <c r="AS609">
        <f t="shared" si="329"/>
        <v>0</v>
      </c>
      <c r="AT609">
        <f t="shared" si="341"/>
        <v>0</v>
      </c>
      <c r="AU609">
        <f t="shared" si="342"/>
        <v>0</v>
      </c>
      <c r="AV609">
        <f t="shared" si="343"/>
        <v>1</v>
      </c>
      <c r="AW609">
        <f t="shared" si="344"/>
        <v>0</v>
      </c>
      <c r="AX609">
        <f t="shared" si="345"/>
        <v>0</v>
      </c>
      <c r="AY609">
        <f t="shared" si="346"/>
        <v>0</v>
      </c>
      <c r="AZ609">
        <f t="shared" si="347"/>
        <v>0</v>
      </c>
      <c r="BA609">
        <f t="shared" si="348"/>
        <v>0</v>
      </c>
      <c r="BB609">
        <f t="shared" si="349"/>
        <v>0</v>
      </c>
      <c r="BC609">
        <f t="shared" si="350"/>
        <v>0</v>
      </c>
      <c r="BD609">
        <f t="shared" si="351"/>
        <v>0</v>
      </c>
      <c r="BE609">
        <f t="shared" si="352"/>
        <v>0</v>
      </c>
      <c r="BF609">
        <f t="shared" si="353"/>
        <v>0</v>
      </c>
      <c r="BG609">
        <f t="shared" si="354"/>
        <v>0</v>
      </c>
      <c r="BH609">
        <f t="shared" si="355"/>
        <v>0</v>
      </c>
      <c r="BI609">
        <f t="shared" si="356"/>
        <v>0</v>
      </c>
    </row>
    <row r="610" spans="1:61" x14ac:dyDescent="0.35">
      <c r="A610" t="s">
        <v>51</v>
      </c>
      <c r="B610" s="1">
        <v>39430</v>
      </c>
      <c r="C610" t="s">
        <v>1209</v>
      </c>
      <c r="D610" t="s">
        <v>4</v>
      </c>
      <c r="E610" t="s">
        <v>1207</v>
      </c>
      <c r="F610" t="s">
        <v>577</v>
      </c>
      <c r="G610" t="s">
        <v>64</v>
      </c>
      <c r="H610" s="139">
        <f t="shared" si="330"/>
        <v>1</v>
      </c>
      <c r="I610" t="s">
        <v>234</v>
      </c>
      <c r="J610" t="s">
        <v>235</v>
      </c>
      <c r="K610" s="2">
        <f t="shared" si="333"/>
        <v>1</v>
      </c>
      <c r="L610">
        <v>730000000</v>
      </c>
      <c r="M610" s="2">
        <f t="shared" si="334"/>
        <v>8.8633228601204568</v>
      </c>
      <c r="N610">
        <f t="shared" si="357"/>
        <v>730000000</v>
      </c>
      <c r="O610">
        <v>0</v>
      </c>
      <c r="P610" s="1">
        <v>40247</v>
      </c>
      <c r="Q610" s="89">
        <f t="shared" si="335"/>
        <v>2010</v>
      </c>
      <c r="R610" t="s">
        <v>107</v>
      </c>
      <c r="S610">
        <v>230600000</v>
      </c>
      <c r="T610" s="21">
        <f t="shared" si="327"/>
        <v>2.2383561643835614</v>
      </c>
      <c r="U610">
        <v>1433.25</v>
      </c>
      <c r="V610">
        <f t="shared" si="336"/>
        <v>3.1566248585544785</v>
      </c>
      <c r="W610">
        <v>1955</v>
      </c>
      <c r="X610">
        <v>52</v>
      </c>
      <c r="Y610">
        <f t="shared" si="337"/>
        <v>1.7242758696007889</v>
      </c>
      <c r="Z610" s="45">
        <v>3.03</v>
      </c>
      <c r="AA610" s="9">
        <f t="shared" si="326"/>
        <v>-499400000</v>
      </c>
      <c r="AB610" s="15">
        <f t="shared" si="328"/>
        <v>-0.68410958904109587</v>
      </c>
      <c r="AC610" s="34">
        <f t="shared" si="338"/>
        <v>-0.50046355716177571</v>
      </c>
      <c r="AD610">
        <v>1581.4506539833533</v>
      </c>
      <c r="AE610">
        <f t="shared" si="331"/>
        <v>3.1990556451691736</v>
      </c>
      <c r="AF610">
        <v>6004.75624256837</v>
      </c>
      <c r="AG610">
        <f t="shared" si="332"/>
        <v>3.7784953823207492</v>
      </c>
      <c r="AH610">
        <v>697</v>
      </c>
      <c r="AI610" s="9">
        <f t="shared" si="339"/>
        <v>2.8438554226231609</v>
      </c>
      <c r="AJ610">
        <v>94.2</v>
      </c>
      <c r="AK610" s="23" t="s">
        <v>426</v>
      </c>
      <c r="AL610" s="42">
        <v>49.278563385512697</v>
      </c>
      <c r="AM610" s="24">
        <v>-0.22</v>
      </c>
      <c r="AN610" s="34">
        <f t="shared" si="340"/>
        <v>-0.10790539730951958</v>
      </c>
      <c r="AO610">
        <v>1945</v>
      </c>
      <c r="AP610">
        <v>62</v>
      </c>
      <c r="AQ610">
        <v>70</v>
      </c>
      <c r="AR610">
        <v>70</v>
      </c>
      <c r="AS610">
        <f t="shared" si="329"/>
        <v>0</v>
      </c>
      <c r="AT610">
        <f t="shared" si="341"/>
        <v>0</v>
      </c>
      <c r="AU610">
        <f t="shared" si="342"/>
        <v>0</v>
      </c>
      <c r="AV610">
        <f t="shared" si="343"/>
        <v>0</v>
      </c>
      <c r="AW610">
        <f t="shared" si="344"/>
        <v>0</v>
      </c>
      <c r="AX610">
        <f t="shared" si="345"/>
        <v>1</v>
      </c>
      <c r="AY610">
        <f t="shared" si="346"/>
        <v>0</v>
      </c>
      <c r="AZ610">
        <f t="shared" si="347"/>
        <v>0</v>
      </c>
      <c r="BA610">
        <f t="shared" si="348"/>
        <v>0</v>
      </c>
      <c r="BB610">
        <f t="shared" si="349"/>
        <v>0</v>
      </c>
      <c r="BC610">
        <f t="shared" si="350"/>
        <v>0</v>
      </c>
      <c r="BD610">
        <f t="shared" si="351"/>
        <v>0</v>
      </c>
      <c r="BE610">
        <f t="shared" si="352"/>
        <v>0</v>
      </c>
      <c r="BF610">
        <f t="shared" si="353"/>
        <v>0</v>
      </c>
      <c r="BG610">
        <f t="shared" si="354"/>
        <v>0</v>
      </c>
      <c r="BH610">
        <f t="shared" si="355"/>
        <v>0</v>
      </c>
      <c r="BI610">
        <f t="shared" si="356"/>
        <v>0</v>
      </c>
    </row>
    <row r="611" spans="1:61" ht="13.5" customHeight="1" x14ac:dyDescent="0.35">
      <c r="A611" t="s">
        <v>51</v>
      </c>
      <c r="B611" s="1">
        <v>40659</v>
      </c>
      <c r="C611" s="35" t="s">
        <v>1210</v>
      </c>
      <c r="D611" t="s">
        <v>2</v>
      </c>
      <c r="E611" t="s">
        <v>1211</v>
      </c>
      <c r="F611" t="s">
        <v>602</v>
      </c>
      <c r="G611" t="s">
        <v>64</v>
      </c>
      <c r="H611" s="139">
        <f t="shared" si="330"/>
        <v>1</v>
      </c>
      <c r="I611" t="s">
        <v>234</v>
      </c>
      <c r="J611" t="s">
        <v>178</v>
      </c>
      <c r="K611" s="2">
        <f t="shared" si="333"/>
        <v>9</v>
      </c>
      <c r="L611">
        <v>239600000</v>
      </c>
      <c r="M611" s="2">
        <f t="shared" si="334"/>
        <v>8.3794868137172731</v>
      </c>
      <c r="N611">
        <f t="shared" si="357"/>
        <v>239600000</v>
      </c>
      <c r="O611">
        <v>0</v>
      </c>
      <c r="P611" s="1">
        <v>42451</v>
      </c>
      <c r="Q611" s="89">
        <f t="shared" si="335"/>
        <v>2016</v>
      </c>
      <c r="R611" t="s">
        <v>107</v>
      </c>
      <c r="S611">
        <v>80000000</v>
      </c>
      <c r="T611" s="21">
        <f t="shared" si="327"/>
        <v>4.9095890410958907</v>
      </c>
      <c r="U611">
        <v>6815.73</v>
      </c>
      <c r="V611">
        <f t="shared" si="336"/>
        <v>3.8335760926148099</v>
      </c>
      <c r="W611">
        <v>2002</v>
      </c>
      <c r="X611">
        <v>9</v>
      </c>
      <c r="Y611">
        <f t="shared" si="337"/>
        <v>1</v>
      </c>
      <c r="Z611" s="45">
        <v>2.85</v>
      </c>
      <c r="AA611" s="9">
        <f t="shared" si="326"/>
        <v>-159600000</v>
      </c>
      <c r="AB611" s="15">
        <f t="shared" si="328"/>
        <v>-0.666110183639399</v>
      </c>
      <c r="AC611" s="34">
        <f t="shared" si="338"/>
        <v>-0.47639682672533018</v>
      </c>
      <c r="AD611">
        <v>2446.450593263969</v>
      </c>
      <c r="AE611">
        <f t="shared" si="331"/>
        <v>3.3885364494891754</v>
      </c>
      <c r="AF611">
        <v>6578.8244872547029</v>
      </c>
      <c r="AG611">
        <f t="shared" si="332"/>
        <v>3.818148300254375</v>
      </c>
      <c r="AH611">
        <v>819</v>
      </c>
      <c r="AI611" s="9">
        <f t="shared" si="339"/>
        <v>2.9138138523837167</v>
      </c>
      <c r="AJ611">
        <v>89.6</v>
      </c>
      <c r="AK611" s="23" t="s">
        <v>365</v>
      </c>
      <c r="AL611" s="42">
        <v>44.7100017757258</v>
      </c>
      <c r="AM611" s="24">
        <v>0.52</v>
      </c>
      <c r="AN611" s="34">
        <f t="shared" si="340"/>
        <v>0.18184358794477254</v>
      </c>
      <c r="AO611">
        <v>1968</v>
      </c>
      <c r="AP611">
        <v>43</v>
      </c>
      <c r="AQ611">
        <v>70</v>
      </c>
      <c r="AR611">
        <v>70</v>
      </c>
      <c r="AS611">
        <f t="shared" si="329"/>
        <v>0</v>
      </c>
      <c r="AT611">
        <f t="shared" si="341"/>
        <v>0</v>
      </c>
      <c r="AU611">
        <f t="shared" si="342"/>
        <v>0</v>
      </c>
      <c r="AV611">
        <f t="shared" si="343"/>
        <v>0</v>
      </c>
      <c r="AW611">
        <f t="shared" si="344"/>
        <v>0</v>
      </c>
      <c r="AX611">
        <f t="shared" si="345"/>
        <v>0</v>
      </c>
      <c r="AY611">
        <f t="shared" si="346"/>
        <v>0</v>
      </c>
      <c r="AZ611">
        <f t="shared" si="347"/>
        <v>0</v>
      </c>
      <c r="BA611">
        <f t="shared" si="348"/>
        <v>0</v>
      </c>
      <c r="BB611">
        <f t="shared" si="349"/>
        <v>1</v>
      </c>
      <c r="BC611">
        <f t="shared" si="350"/>
        <v>0</v>
      </c>
      <c r="BD611">
        <f t="shared" si="351"/>
        <v>0</v>
      </c>
      <c r="BE611">
        <f t="shared" si="352"/>
        <v>0</v>
      </c>
      <c r="BF611">
        <f t="shared" si="353"/>
        <v>0</v>
      </c>
      <c r="BG611">
        <f t="shared" si="354"/>
        <v>0</v>
      </c>
      <c r="BH611">
        <f t="shared" si="355"/>
        <v>0</v>
      </c>
      <c r="BI611">
        <f t="shared" si="356"/>
        <v>0</v>
      </c>
    </row>
    <row r="612" spans="1:61" x14ac:dyDescent="0.35">
      <c r="A612" t="s">
        <v>51</v>
      </c>
      <c r="B612" s="1">
        <v>38453</v>
      </c>
      <c r="C612" t="s">
        <v>1212</v>
      </c>
      <c r="D612" t="s">
        <v>45</v>
      </c>
      <c r="E612" t="s">
        <v>681</v>
      </c>
      <c r="F612" t="s">
        <v>602</v>
      </c>
      <c r="G612" t="s">
        <v>47</v>
      </c>
      <c r="H612" s="139">
        <f t="shared" si="330"/>
        <v>0</v>
      </c>
      <c r="I612" t="s">
        <v>234</v>
      </c>
      <c r="J612" t="s">
        <v>186</v>
      </c>
      <c r="K612" s="2">
        <f t="shared" si="333"/>
        <v>4</v>
      </c>
      <c r="L612">
        <v>4812070000</v>
      </c>
      <c r="M612" s="2">
        <f t="shared" si="334"/>
        <v>9.6823319362888824</v>
      </c>
      <c r="N612">
        <v>2850910000</v>
      </c>
      <c r="O612">
        <v>1961160000</v>
      </c>
      <c r="P612" s="1">
        <v>40485</v>
      </c>
      <c r="Q612" s="89">
        <f t="shared" si="335"/>
        <v>2010</v>
      </c>
      <c r="R612" t="s">
        <v>338</v>
      </c>
      <c r="S612">
        <v>0</v>
      </c>
      <c r="T612" s="21">
        <f t="shared" si="327"/>
        <v>5.5671232876712331</v>
      </c>
      <c r="U612">
        <v>0</v>
      </c>
      <c r="V612">
        <f t="shared" si="336"/>
        <v>0</v>
      </c>
      <c r="W612">
        <v>1924</v>
      </c>
      <c r="X612">
        <v>81</v>
      </c>
      <c r="Y612">
        <f t="shared" si="337"/>
        <v>1.9138138523837167</v>
      </c>
      <c r="Z612" s="45">
        <v>2.95</v>
      </c>
      <c r="AA612" s="9">
        <f t="shared" si="326"/>
        <v>-2850910000</v>
      </c>
      <c r="AB612" s="15">
        <f t="shared" si="328"/>
        <v>-1</v>
      </c>
      <c r="AC612" s="34">
        <f t="shared" si="338"/>
        <v>-1</v>
      </c>
      <c r="AD612">
        <v>1455.046</v>
      </c>
      <c r="AE612">
        <f t="shared" si="331"/>
        <v>3.1628767233771686</v>
      </c>
      <c r="AF612">
        <v>4062.5129999999999</v>
      </c>
      <c r="AG612">
        <f t="shared" si="332"/>
        <v>3.6087947637270492</v>
      </c>
      <c r="AH612">
        <v>0</v>
      </c>
      <c r="AI612" s="9">
        <f t="shared" si="339"/>
        <v>0</v>
      </c>
      <c r="AJ612">
        <v>85</v>
      </c>
      <c r="AK612" t="s">
        <v>100</v>
      </c>
      <c r="AL612" s="42">
        <v>36.959146749272797</v>
      </c>
      <c r="AM612" s="24">
        <v>0.01</v>
      </c>
      <c r="AN612" s="34">
        <f t="shared" si="340"/>
        <v>4.3213737826425782E-3</v>
      </c>
      <c r="AO612">
        <v>1992</v>
      </c>
      <c r="AP612">
        <v>13</v>
      </c>
      <c r="AQ612">
        <v>70</v>
      </c>
      <c r="AR612">
        <v>70</v>
      </c>
      <c r="AS612">
        <f t="shared" si="329"/>
        <v>1</v>
      </c>
      <c r="AT612">
        <f t="shared" si="341"/>
        <v>1</v>
      </c>
      <c r="AU612">
        <f t="shared" si="342"/>
        <v>0</v>
      </c>
      <c r="AV612">
        <f t="shared" si="343"/>
        <v>0</v>
      </c>
      <c r="AW612">
        <f t="shared" si="344"/>
        <v>0</v>
      </c>
      <c r="AX612">
        <f t="shared" si="345"/>
        <v>0</v>
      </c>
      <c r="AY612">
        <f t="shared" si="346"/>
        <v>0</v>
      </c>
      <c r="AZ612">
        <f t="shared" si="347"/>
        <v>0</v>
      </c>
      <c r="BA612">
        <f t="shared" si="348"/>
        <v>0</v>
      </c>
      <c r="BB612">
        <f t="shared" si="349"/>
        <v>0</v>
      </c>
      <c r="BC612">
        <f t="shared" si="350"/>
        <v>0</v>
      </c>
      <c r="BD612">
        <f t="shared" si="351"/>
        <v>0</v>
      </c>
      <c r="BE612">
        <f t="shared" si="352"/>
        <v>0</v>
      </c>
      <c r="BF612">
        <f t="shared" si="353"/>
        <v>0</v>
      </c>
      <c r="BG612">
        <f t="shared" si="354"/>
        <v>0</v>
      </c>
      <c r="BH612">
        <f t="shared" si="355"/>
        <v>0</v>
      </c>
      <c r="BI612">
        <f t="shared" si="356"/>
        <v>0</v>
      </c>
    </row>
    <row r="613" spans="1:61" x14ac:dyDescent="0.35">
      <c r="A613" t="s">
        <v>352</v>
      </c>
      <c r="B613" s="1">
        <v>36739</v>
      </c>
      <c r="C613" t="s">
        <v>1213</v>
      </c>
      <c r="D613" t="s">
        <v>45</v>
      </c>
      <c r="E613" t="s">
        <v>1214</v>
      </c>
      <c r="F613" t="s">
        <v>602</v>
      </c>
      <c r="G613" t="s">
        <v>47</v>
      </c>
      <c r="H613" s="139">
        <f t="shared" si="330"/>
        <v>0</v>
      </c>
      <c r="I613" t="s">
        <v>234</v>
      </c>
      <c r="J613" t="s">
        <v>178</v>
      </c>
      <c r="K613" s="2">
        <f t="shared" si="333"/>
        <v>9</v>
      </c>
      <c r="L613">
        <v>36000000</v>
      </c>
      <c r="M613" s="2">
        <f t="shared" si="334"/>
        <v>7.5563025007672868</v>
      </c>
      <c r="N613">
        <f>L613</f>
        <v>36000000</v>
      </c>
      <c r="O613">
        <v>0</v>
      </c>
      <c r="P613" s="1">
        <v>37499</v>
      </c>
      <c r="Q613" s="89">
        <f t="shared" si="335"/>
        <v>2002</v>
      </c>
      <c r="R613" t="s">
        <v>338</v>
      </c>
      <c r="S613">
        <v>0</v>
      </c>
      <c r="T613" s="21">
        <f t="shared" si="327"/>
        <v>2.0821917808219177</v>
      </c>
      <c r="U613">
        <v>0</v>
      </c>
      <c r="V613">
        <f t="shared" si="336"/>
        <v>0</v>
      </c>
      <c r="W613">
        <v>2000</v>
      </c>
      <c r="X613">
        <v>0</v>
      </c>
      <c r="Y613">
        <f t="shared" si="337"/>
        <v>0</v>
      </c>
      <c r="Z613" s="45">
        <v>2.95</v>
      </c>
      <c r="AA613" s="9">
        <f t="shared" si="326"/>
        <v>-36000000</v>
      </c>
      <c r="AB613" s="15">
        <f t="shared" si="328"/>
        <v>-1</v>
      </c>
      <c r="AC613" s="34">
        <f t="shared" si="338"/>
        <v>-1</v>
      </c>
      <c r="AD613">
        <v>1455.046</v>
      </c>
      <c r="AE613">
        <f t="shared" si="331"/>
        <v>3.1628767233771686</v>
      </c>
      <c r="AF613">
        <v>4062.5129999999999</v>
      </c>
      <c r="AG613">
        <f t="shared" si="332"/>
        <v>3.6087947637270492</v>
      </c>
      <c r="AH613">
        <v>0</v>
      </c>
      <c r="AI613" s="9">
        <f t="shared" si="339"/>
        <v>0</v>
      </c>
      <c r="AJ613">
        <v>85</v>
      </c>
      <c r="AK613" t="s">
        <v>351</v>
      </c>
      <c r="AL613" s="42">
        <v>34.298950279384798</v>
      </c>
      <c r="AM613" s="24">
        <v>-0.36</v>
      </c>
      <c r="AN613" s="34">
        <f t="shared" si="340"/>
        <v>-0.19382002601611281</v>
      </c>
      <c r="AO613">
        <v>1992</v>
      </c>
      <c r="AP613">
        <v>8</v>
      </c>
      <c r="AQ613">
        <v>70</v>
      </c>
      <c r="AR613">
        <v>70</v>
      </c>
      <c r="AS613">
        <f t="shared" si="329"/>
        <v>1</v>
      </c>
      <c r="AT613">
        <f t="shared" si="341"/>
        <v>1</v>
      </c>
      <c r="AU613">
        <f t="shared" si="342"/>
        <v>0</v>
      </c>
      <c r="AV613">
        <f t="shared" si="343"/>
        <v>0</v>
      </c>
      <c r="AW613">
        <f t="shared" si="344"/>
        <v>0</v>
      </c>
      <c r="AX613">
        <f t="shared" si="345"/>
        <v>0</v>
      </c>
      <c r="AY613">
        <f t="shared" si="346"/>
        <v>0</v>
      </c>
      <c r="AZ613">
        <f t="shared" si="347"/>
        <v>0</v>
      </c>
      <c r="BA613">
        <f t="shared" si="348"/>
        <v>0</v>
      </c>
      <c r="BB613">
        <f t="shared" si="349"/>
        <v>0</v>
      </c>
      <c r="BC613">
        <f t="shared" si="350"/>
        <v>0</v>
      </c>
      <c r="BD613">
        <f t="shared" si="351"/>
        <v>0</v>
      </c>
      <c r="BE613">
        <f t="shared" si="352"/>
        <v>0</v>
      </c>
      <c r="BF613">
        <f t="shared" si="353"/>
        <v>0</v>
      </c>
      <c r="BG613">
        <f t="shared" si="354"/>
        <v>0</v>
      </c>
      <c r="BH613">
        <f t="shared" si="355"/>
        <v>0</v>
      </c>
      <c r="BI613">
        <f t="shared" si="356"/>
        <v>0</v>
      </c>
    </row>
    <row r="614" spans="1:61" x14ac:dyDescent="0.35">
      <c r="A614" t="s">
        <v>51</v>
      </c>
      <c r="B614" s="1">
        <v>35713</v>
      </c>
      <c r="C614" t="s">
        <v>1215</v>
      </c>
      <c r="D614" t="s">
        <v>45</v>
      </c>
      <c r="E614" t="s">
        <v>684</v>
      </c>
      <c r="F614" t="s">
        <v>602</v>
      </c>
      <c r="G614" t="s">
        <v>47</v>
      </c>
      <c r="H614" s="139">
        <f t="shared" si="330"/>
        <v>0</v>
      </c>
      <c r="I614" t="s">
        <v>234</v>
      </c>
      <c r="J614" t="s">
        <v>190</v>
      </c>
      <c r="K614" s="2">
        <f t="shared" si="333"/>
        <v>2</v>
      </c>
      <c r="L614">
        <v>1335100000</v>
      </c>
      <c r="M614" s="2">
        <f t="shared" si="334"/>
        <v>9.1255137959041157</v>
      </c>
      <c r="N614">
        <f>L614</f>
        <v>1335100000</v>
      </c>
      <c r="O614">
        <v>0</v>
      </c>
      <c r="P614" s="1">
        <v>37166</v>
      </c>
      <c r="Q614" s="89">
        <f t="shared" si="335"/>
        <v>2001</v>
      </c>
      <c r="R614" t="s">
        <v>338</v>
      </c>
      <c r="S614">
        <v>0</v>
      </c>
      <c r="T614" s="21">
        <f t="shared" si="327"/>
        <v>3.9808219178082194</v>
      </c>
      <c r="U614">
        <v>0</v>
      </c>
      <c r="V614">
        <f t="shared" si="336"/>
        <v>0</v>
      </c>
      <c r="W614">
        <v>1984</v>
      </c>
      <c r="X614">
        <v>13</v>
      </c>
      <c r="Y614">
        <f t="shared" si="337"/>
        <v>1.146128035678238</v>
      </c>
      <c r="Z614" s="45">
        <v>2.95</v>
      </c>
      <c r="AA614" s="9">
        <f t="shared" si="326"/>
        <v>-1335100000</v>
      </c>
      <c r="AB614" s="15">
        <f t="shared" si="328"/>
        <v>-1</v>
      </c>
      <c r="AC614" s="34">
        <f t="shared" si="338"/>
        <v>-1</v>
      </c>
      <c r="AD614">
        <v>1455.046</v>
      </c>
      <c r="AE614">
        <f t="shared" si="331"/>
        <v>3.1628767233771686</v>
      </c>
      <c r="AF614">
        <v>4062.5129999999999</v>
      </c>
      <c r="AG614">
        <f t="shared" si="332"/>
        <v>3.6087947637270492</v>
      </c>
      <c r="AH614">
        <v>0</v>
      </c>
      <c r="AI614" s="9">
        <f t="shared" si="339"/>
        <v>0</v>
      </c>
      <c r="AJ614">
        <v>85</v>
      </c>
      <c r="AK614" t="s">
        <v>187</v>
      </c>
      <c r="AL614" s="42">
        <v>35.968444143503902</v>
      </c>
      <c r="AM614" s="24">
        <v>0.09</v>
      </c>
      <c r="AN614" s="34">
        <f t="shared" si="340"/>
        <v>3.7426497940623665E-2</v>
      </c>
      <c r="AO614">
        <v>1992</v>
      </c>
      <c r="AP614">
        <v>5</v>
      </c>
      <c r="AQ614">
        <v>70</v>
      </c>
      <c r="AR614">
        <v>70</v>
      </c>
      <c r="AS614">
        <f t="shared" si="329"/>
        <v>1</v>
      </c>
      <c r="AT614">
        <f t="shared" si="341"/>
        <v>1</v>
      </c>
      <c r="AU614">
        <f t="shared" si="342"/>
        <v>0</v>
      </c>
      <c r="AV614">
        <f t="shared" si="343"/>
        <v>0</v>
      </c>
      <c r="AW614">
        <f t="shared" si="344"/>
        <v>0</v>
      </c>
      <c r="AX614">
        <f t="shared" si="345"/>
        <v>0</v>
      </c>
      <c r="AY614">
        <f t="shared" si="346"/>
        <v>0</v>
      </c>
      <c r="AZ614">
        <f t="shared" si="347"/>
        <v>0</v>
      </c>
      <c r="BA614">
        <f t="shared" si="348"/>
        <v>0</v>
      </c>
      <c r="BB614">
        <f t="shared" si="349"/>
        <v>0</v>
      </c>
      <c r="BC614">
        <f t="shared" si="350"/>
        <v>0</v>
      </c>
      <c r="BD614">
        <f t="shared" si="351"/>
        <v>0</v>
      </c>
      <c r="BE614">
        <f t="shared" si="352"/>
        <v>0</v>
      </c>
      <c r="BF614">
        <f t="shared" si="353"/>
        <v>0</v>
      </c>
      <c r="BG614">
        <f t="shared" si="354"/>
        <v>0</v>
      </c>
      <c r="BH614">
        <f t="shared" si="355"/>
        <v>0</v>
      </c>
      <c r="BI614">
        <f t="shared" si="356"/>
        <v>0</v>
      </c>
    </row>
    <row r="615" spans="1:61" x14ac:dyDescent="0.35">
      <c r="A615" t="s">
        <v>352</v>
      </c>
      <c r="B615" s="1">
        <v>36612</v>
      </c>
      <c r="C615" t="s">
        <v>1216</v>
      </c>
      <c r="D615" t="s">
        <v>45</v>
      </c>
      <c r="E615" t="s">
        <v>1217</v>
      </c>
      <c r="F615" t="s">
        <v>602</v>
      </c>
      <c r="G615" t="s">
        <v>47</v>
      </c>
      <c r="H615" s="139">
        <f t="shared" si="330"/>
        <v>0</v>
      </c>
      <c r="I615" t="s">
        <v>234</v>
      </c>
      <c r="J615" t="s">
        <v>186</v>
      </c>
      <c r="K615" s="2">
        <f t="shared" si="333"/>
        <v>4</v>
      </c>
      <c r="L615">
        <v>175000000</v>
      </c>
      <c r="M615" s="2">
        <f t="shared" si="334"/>
        <v>8.2430380486862944</v>
      </c>
      <c r="N615">
        <f>L615</f>
        <v>175000000</v>
      </c>
      <c r="O615">
        <v>0</v>
      </c>
      <c r="P615" s="1">
        <v>37000</v>
      </c>
      <c r="Q615" s="89">
        <f t="shared" si="335"/>
        <v>2001</v>
      </c>
      <c r="R615" t="s">
        <v>338</v>
      </c>
      <c r="S615">
        <v>0</v>
      </c>
      <c r="T615" s="21">
        <f t="shared" si="327"/>
        <v>1.0630136986301371</v>
      </c>
      <c r="U615">
        <v>0</v>
      </c>
      <c r="V615">
        <f t="shared" si="336"/>
        <v>0</v>
      </c>
      <c r="W615">
        <v>1997</v>
      </c>
      <c r="X615">
        <v>3</v>
      </c>
      <c r="Y615">
        <f t="shared" si="337"/>
        <v>0.6020599913279624</v>
      </c>
      <c r="Z615" s="45">
        <v>2.95</v>
      </c>
      <c r="AA615" s="9">
        <f t="shared" si="326"/>
        <v>-175000000</v>
      </c>
      <c r="AB615" s="15">
        <f t="shared" si="328"/>
        <v>-1</v>
      </c>
      <c r="AC615" s="34">
        <f t="shared" si="338"/>
        <v>-1</v>
      </c>
      <c r="AD615">
        <v>1455.046</v>
      </c>
      <c r="AE615">
        <f t="shared" si="331"/>
        <v>3.1628767233771686</v>
      </c>
      <c r="AF615">
        <v>4062.5129999999999</v>
      </c>
      <c r="AG615">
        <f t="shared" si="332"/>
        <v>3.6087947637270492</v>
      </c>
      <c r="AH615">
        <v>0</v>
      </c>
      <c r="AI615" s="9">
        <f t="shared" si="339"/>
        <v>0</v>
      </c>
      <c r="AJ615">
        <v>85</v>
      </c>
      <c r="AK615" t="s">
        <v>351</v>
      </c>
      <c r="AL615" s="42">
        <v>34.298950279384798</v>
      </c>
      <c r="AM615" s="24">
        <v>-0.18</v>
      </c>
      <c r="AN615" s="34">
        <f t="shared" si="340"/>
        <v>-8.6186147616283279E-2</v>
      </c>
      <c r="AO615">
        <v>1992</v>
      </c>
      <c r="AP615">
        <v>8</v>
      </c>
      <c r="AQ615">
        <v>70</v>
      </c>
      <c r="AR615">
        <v>70</v>
      </c>
      <c r="AS615">
        <f t="shared" si="329"/>
        <v>1</v>
      </c>
      <c r="AT615">
        <f t="shared" si="341"/>
        <v>1</v>
      </c>
      <c r="AU615">
        <f t="shared" si="342"/>
        <v>0</v>
      </c>
      <c r="AV615">
        <f t="shared" si="343"/>
        <v>0</v>
      </c>
      <c r="AW615">
        <f t="shared" si="344"/>
        <v>0</v>
      </c>
      <c r="AX615">
        <f t="shared" si="345"/>
        <v>0</v>
      </c>
      <c r="AY615">
        <f t="shared" si="346"/>
        <v>0</v>
      </c>
      <c r="AZ615">
        <f t="shared" si="347"/>
        <v>0</v>
      </c>
      <c r="BA615">
        <f t="shared" si="348"/>
        <v>0</v>
      </c>
      <c r="BB615">
        <f t="shared" si="349"/>
        <v>0</v>
      </c>
      <c r="BC615">
        <f t="shared" si="350"/>
        <v>0</v>
      </c>
      <c r="BD615">
        <f t="shared" si="351"/>
        <v>0</v>
      </c>
      <c r="BE615">
        <f t="shared" si="352"/>
        <v>0</v>
      </c>
      <c r="BF615">
        <f t="shared" si="353"/>
        <v>0</v>
      </c>
      <c r="BG615">
        <f t="shared" si="354"/>
        <v>0</v>
      </c>
      <c r="BH615">
        <f t="shared" si="355"/>
        <v>0</v>
      </c>
      <c r="BI615">
        <f t="shared" si="356"/>
        <v>0</v>
      </c>
    </row>
    <row r="616" spans="1:61" x14ac:dyDescent="0.35">
      <c r="A616" t="s">
        <v>51</v>
      </c>
      <c r="B616" s="1">
        <v>39071</v>
      </c>
      <c r="C616" t="s">
        <v>1218</v>
      </c>
      <c r="D616" t="s">
        <v>45</v>
      </c>
      <c r="E616" t="s">
        <v>1219</v>
      </c>
      <c r="F616" t="s">
        <v>602</v>
      </c>
      <c r="G616" t="s">
        <v>47</v>
      </c>
      <c r="H616" s="139">
        <f t="shared" si="330"/>
        <v>0</v>
      </c>
      <c r="I616" t="s">
        <v>234</v>
      </c>
      <c r="J616" t="s">
        <v>326</v>
      </c>
      <c r="K616" s="2">
        <f t="shared" si="333"/>
        <v>8</v>
      </c>
      <c r="L616">
        <v>2301620000</v>
      </c>
      <c r="M616" s="2">
        <f t="shared" si="334"/>
        <v>9.3620336227143426</v>
      </c>
      <c r="N616">
        <v>1692920000</v>
      </c>
      <c r="O616">
        <v>608700000</v>
      </c>
      <c r="P616" s="1">
        <v>39856</v>
      </c>
      <c r="Q616" s="89">
        <f t="shared" si="335"/>
        <v>2009</v>
      </c>
      <c r="R616" t="s">
        <v>338</v>
      </c>
      <c r="S616">
        <v>0</v>
      </c>
      <c r="T616" s="21">
        <f t="shared" si="327"/>
        <v>2.1506849315068495</v>
      </c>
      <c r="U616">
        <v>0</v>
      </c>
      <c r="V616">
        <f t="shared" si="336"/>
        <v>0</v>
      </c>
      <c r="W616">
        <v>2004</v>
      </c>
      <c r="X616">
        <v>2</v>
      </c>
      <c r="Y616">
        <f t="shared" si="337"/>
        <v>0.47712125471966244</v>
      </c>
      <c r="Z616" s="45">
        <v>2.95</v>
      </c>
      <c r="AA616" s="9">
        <f t="shared" si="326"/>
        <v>-1692920000</v>
      </c>
      <c r="AB616" s="15">
        <f t="shared" si="328"/>
        <v>-1</v>
      </c>
      <c r="AC616" s="34">
        <f t="shared" si="338"/>
        <v>-1</v>
      </c>
      <c r="AD616">
        <v>1455.046</v>
      </c>
      <c r="AE616">
        <f t="shared" si="331"/>
        <v>3.1628767233771686</v>
      </c>
      <c r="AF616">
        <v>4062.5129999999999</v>
      </c>
      <c r="AG616">
        <f t="shared" si="332"/>
        <v>3.6087947637270492</v>
      </c>
      <c r="AH616">
        <v>0</v>
      </c>
      <c r="AI616" s="9">
        <f t="shared" si="339"/>
        <v>0</v>
      </c>
      <c r="AJ616">
        <v>93.2</v>
      </c>
      <c r="AK616" t="s">
        <v>103</v>
      </c>
      <c r="AL616" s="42">
        <v>36.669158714517401</v>
      </c>
      <c r="AM616" s="24">
        <v>-0.41</v>
      </c>
      <c r="AN616" s="34">
        <f t="shared" si="340"/>
        <v>-0.22914798835785574</v>
      </c>
      <c r="AO616">
        <v>1992</v>
      </c>
      <c r="AP616">
        <v>14</v>
      </c>
      <c r="AQ616">
        <v>70</v>
      </c>
      <c r="AR616">
        <v>70</v>
      </c>
      <c r="AS616">
        <f t="shared" si="329"/>
        <v>1</v>
      </c>
      <c r="AT616">
        <f t="shared" si="341"/>
        <v>1</v>
      </c>
      <c r="AU616">
        <f t="shared" si="342"/>
        <v>0</v>
      </c>
      <c r="AV616">
        <f t="shared" si="343"/>
        <v>0</v>
      </c>
      <c r="AW616">
        <f t="shared" si="344"/>
        <v>0</v>
      </c>
      <c r="AX616">
        <f t="shared" si="345"/>
        <v>0</v>
      </c>
      <c r="AY616">
        <f t="shared" si="346"/>
        <v>0</v>
      </c>
      <c r="AZ616">
        <f t="shared" si="347"/>
        <v>0</v>
      </c>
      <c r="BA616">
        <f t="shared" si="348"/>
        <v>0</v>
      </c>
      <c r="BB616">
        <f t="shared" si="349"/>
        <v>0</v>
      </c>
      <c r="BC616">
        <f t="shared" si="350"/>
        <v>0</v>
      </c>
      <c r="BD616">
        <f t="shared" si="351"/>
        <v>0</v>
      </c>
      <c r="BE616">
        <f t="shared" si="352"/>
        <v>0</v>
      </c>
      <c r="BF616">
        <f t="shared" si="353"/>
        <v>0</v>
      </c>
      <c r="BG616">
        <f t="shared" si="354"/>
        <v>0</v>
      </c>
      <c r="BH616">
        <f t="shared" si="355"/>
        <v>0</v>
      </c>
      <c r="BI616">
        <f t="shared" si="356"/>
        <v>0</v>
      </c>
    </row>
    <row r="617" spans="1:61" x14ac:dyDescent="0.35">
      <c r="A617" t="s">
        <v>352</v>
      </c>
      <c r="B617" s="1">
        <v>39553</v>
      </c>
      <c r="C617" t="s">
        <v>1220</v>
      </c>
      <c r="D617" t="s">
        <v>45</v>
      </c>
      <c r="E617" t="s">
        <v>1221</v>
      </c>
      <c r="F617" t="s">
        <v>602</v>
      </c>
      <c r="G617" t="s">
        <v>47</v>
      </c>
      <c r="H617" s="139">
        <f t="shared" si="330"/>
        <v>0</v>
      </c>
      <c r="I617" t="s">
        <v>234</v>
      </c>
      <c r="J617" t="s">
        <v>245</v>
      </c>
      <c r="K617" s="2">
        <f t="shared" si="333"/>
        <v>6</v>
      </c>
      <c r="L617">
        <v>7040000000</v>
      </c>
      <c r="M617" s="2">
        <f t="shared" si="334"/>
        <v>9.8475726591421129</v>
      </c>
      <c r="N617">
        <f>L617</f>
        <v>7040000000</v>
      </c>
      <c r="O617">
        <v>0</v>
      </c>
      <c r="P617" s="1">
        <v>39717</v>
      </c>
      <c r="Q617" s="89">
        <f t="shared" si="335"/>
        <v>2008</v>
      </c>
      <c r="R617" t="s">
        <v>338</v>
      </c>
      <c r="S617">
        <v>0</v>
      </c>
      <c r="T617" s="21">
        <f t="shared" si="327"/>
        <v>0.44931506849315067</v>
      </c>
      <c r="U617">
        <v>0</v>
      </c>
      <c r="V617">
        <f t="shared" si="336"/>
        <v>0</v>
      </c>
      <c r="W617">
        <v>1889</v>
      </c>
      <c r="X617">
        <v>119</v>
      </c>
      <c r="Y617">
        <f t="shared" si="337"/>
        <v>2.0791812460476247</v>
      </c>
      <c r="Z617" s="45">
        <v>2.95</v>
      </c>
      <c r="AA617" s="9">
        <f t="shared" si="326"/>
        <v>-7040000000</v>
      </c>
      <c r="AB617" s="15">
        <f t="shared" si="328"/>
        <v>-1</v>
      </c>
      <c r="AC617" s="34">
        <f t="shared" si="338"/>
        <v>-1</v>
      </c>
      <c r="AD617">
        <v>1455.046</v>
      </c>
      <c r="AE617">
        <f t="shared" si="331"/>
        <v>3.1628767233771686</v>
      </c>
      <c r="AF617">
        <v>4062.5129999999999</v>
      </c>
      <c r="AG617">
        <f t="shared" si="332"/>
        <v>3.6087947637270492</v>
      </c>
      <c r="AH617">
        <v>0</v>
      </c>
      <c r="AI617" s="9">
        <f t="shared" si="339"/>
        <v>0</v>
      </c>
      <c r="AJ617">
        <v>92.6</v>
      </c>
      <c r="AK617" t="s">
        <v>222</v>
      </c>
      <c r="AL617" s="42">
        <v>39.823361151429197</v>
      </c>
      <c r="AM617" s="24">
        <v>-0.09</v>
      </c>
      <c r="AN617" s="34">
        <f t="shared" si="340"/>
        <v>-4.0958607678906384E-2</v>
      </c>
      <c r="AO617">
        <v>1992</v>
      </c>
      <c r="AP617">
        <v>16</v>
      </c>
      <c r="AQ617">
        <v>70</v>
      </c>
      <c r="AR617">
        <v>70</v>
      </c>
      <c r="AS617">
        <f t="shared" si="329"/>
        <v>1</v>
      </c>
      <c r="AT617">
        <f t="shared" si="341"/>
        <v>1</v>
      </c>
      <c r="AU617">
        <f t="shared" si="342"/>
        <v>0</v>
      </c>
      <c r="AV617">
        <f t="shared" si="343"/>
        <v>0</v>
      </c>
      <c r="AW617">
        <f t="shared" si="344"/>
        <v>0</v>
      </c>
      <c r="AX617">
        <f t="shared" si="345"/>
        <v>0</v>
      </c>
      <c r="AY617">
        <f t="shared" si="346"/>
        <v>0</v>
      </c>
      <c r="AZ617">
        <f t="shared" si="347"/>
        <v>0</v>
      </c>
      <c r="BA617">
        <f t="shared" si="348"/>
        <v>0</v>
      </c>
      <c r="BB617">
        <f t="shared" si="349"/>
        <v>0</v>
      </c>
      <c r="BC617">
        <f t="shared" si="350"/>
        <v>0</v>
      </c>
      <c r="BD617">
        <f t="shared" si="351"/>
        <v>0</v>
      </c>
      <c r="BE617">
        <f t="shared" si="352"/>
        <v>0</v>
      </c>
      <c r="BF617">
        <f t="shared" si="353"/>
        <v>0</v>
      </c>
      <c r="BG617">
        <f t="shared" si="354"/>
        <v>0</v>
      </c>
      <c r="BH617">
        <f t="shared" si="355"/>
        <v>0</v>
      </c>
      <c r="BI617">
        <f t="shared" si="356"/>
        <v>0</v>
      </c>
    </row>
    <row r="618" spans="1:61" x14ac:dyDescent="0.35">
      <c r="A618" t="s">
        <v>51</v>
      </c>
      <c r="B618" s="1">
        <v>35538</v>
      </c>
      <c r="C618" t="s">
        <v>362</v>
      </c>
      <c r="D618" t="s">
        <v>45</v>
      </c>
      <c r="E618" t="s">
        <v>689</v>
      </c>
      <c r="F618" t="s">
        <v>602</v>
      </c>
      <c r="G618" t="s">
        <v>47</v>
      </c>
      <c r="H618" s="139">
        <f t="shared" si="330"/>
        <v>0</v>
      </c>
      <c r="I618" t="s">
        <v>234</v>
      </c>
      <c r="J618" t="s">
        <v>269</v>
      </c>
      <c r="K618" s="2">
        <f t="shared" si="333"/>
        <v>7</v>
      </c>
      <c r="L618">
        <v>800000000</v>
      </c>
      <c r="M618" s="2">
        <f t="shared" si="334"/>
        <v>8.9030899869919438</v>
      </c>
      <c r="N618">
        <f>L618</f>
        <v>800000000</v>
      </c>
      <c r="O618">
        <v>0</v>
      </c>
      <c r="P618" s="1">
        <v>38240</v>
      </c>
      <c r="Q618" s="89">
        <f t="shared" si="335"/>
        <v>2004</v>
      </c>
      <c r="R618" t="s">
        <v>322</v>
      </c>
      <c r="S618">
        <v>182710000</v>
      </c>
      <c r="T618" s="21">
        <f t="shared" si="327"/>
        <v>7.4027397260273968</v>
      </c>
      <c r="U618">
        <v>0</v>
      </c>
      <c r="V618">
        <f t="shared" si="336"/>
        <v>0</v>
      </c>
      <c r="W618">
        <v>1898</v>
      </c>
      <c r="X618">
        <v>99</v>
      </c>
      <c r="Y618">
        <f t="shared" si="337"/>
        <v>2</v>
      </c>
      <c r="Z618" s="45">
        <v>2.95</v>
      </c>
      <c r="AA618" s="9">
        <f t="shared" si="326"/>
        <v>-617290000</v>
      </c>
      <c r="AB618" s="15">
        <f t="shared" si="328"/>
        <v>-0.77161250000000003</v>
      </c>
      <c r="AC618" s="34">
        <f t="shared" si="338"/>
        <v>-0.64132766938232411</v>
      </c>
      <c r="AD618">
        <v>1455.046</v>
      </c>
      <c r="AE618">
        <f t="shared" si="331"/>
        <v>3.1628767233771686</v>
      </c>
      <c r="AF618">
        <v>4062.5129999999999</v>
      </c>
      <c r="AG618">
        <f t="shared" si="332"/>
        <v>3.6087947637270492</v>
      </c>
      <c r="AH618">
        <v>0</v>
      </c>
      <c r="AI618" s="9">
        <f t="shared" si="339"/>
        <v>0</v>
      </c>
      <c r="AJ618">
        <v>85</v>
      </c>
      <c r="AK618" t="s">
        <v>187</v>
      </c>
      <c r="AL618" s="42">
        <v>35.968444143503902</v>
      </c>
      <c r="AM618" s="24">
        <v>0.47</v>
      </c>
      <c r="AN618" s="34">
        <f t="shared" si="340"/>
        <v>0.16731733474817609</v>
      </c>
      <c r="AO618">
        <v>1992</v>
      </c>
      <c r="AP618">
        <v>5</v>
      </c>
      <c r="AQ618">
        <v>70</v>
      </c>
      <c r="AR618">
        <v>70</v>
      </c>
      <c r="AS618">
        <f t="shared" si="329"/>
        <v>0</v>
      </c>
      <c r="AT618">
        <f t="shared" si="341"/>
        <v>1</v>
      </c>
      <c r="AU618">
        <f t="shared" si="342"/>
        <v>0</v>
      </c>
      <c r="AV618">
        <f t="shared" si="343"/>
        <v>0</v>
      </c>
      <c r="AW618">
        <f t="shared" si="344"/>
        <v>0</v>
      </c>
      <c r="AX618">
        <f t="shared" si="345"/>
        <v>0</v>
      </c>
      <c r="AY618">
        <f t="shared" si="346"/>
        <v>0</v>
      </c>
      <c r="AZ618">
        <f t="shared" si="347"/>
        <v>0</v>
      </c>
      <c r="BA618">
        <f t="shared" si="348"/>
        <v>0</v>
      </c>
      <c r="BB618">
        <f t="shared" si="349"/>
        <v>0</v>
      </c>
      <c r="BC618">
        <f t="shared" si="350"/>
        <v>0</v>
      </c>
      <c r="BD618">
        <f t="shared" si="351"/>
        <v>0</v>
      </c>
      <c r="BE618">
        <f t="shared" si="352"/>
        <v>0</v>
      </c>
      <c r="BF618">
        <f t="shared" si="353"/>
        <v>0</v>
      </c>
      <c r="BG618">
        <f t="shared" si="354"/>
        <v>0</v>
      </c>
      <c r="BH618">
        <f t="shared" si="355"/>
        <v>0</v>
      </c>
      <c r="BI618">
        <f t="shared" si="356"/>
        <v>0</v>
      </c>
    </row>
    <row r="619" spans="1:61" x14ac:dyDescent="0.35">
      <c r="A619" t="s">
        <v>1222</v>
      </c>
      <c r="B619" s="1">
        <v>35928</v>
      </c>
      <c r="C619" t="s">
        <v>1223</v>
      </c>
      <c r="D619" t="s">
        <v>45</v>
      </c>
      <c r="E619" t="s">
        <v>684</v>
      </c>
      <c r="F619" t="s">
        <v>602</v>
      </c>
      <c r="G619" t="s">
        <v>47</v>
      </c>
      <c r="H619" s="139">
        <f t="shared" si="330"/>
        <v>0</v>
      </c>
      <c r="I619" t="s">
        <v>234</v>
      </c>
      <c r="J619" t="s">
        <v>190</v>
      </c>
      <c r="K619" s="2">
        <f t="shared" si="333"/>
        <v>2</v>
      </c>
      <c r="L619">
        <v>350000000</v>
      </c>
      <c r="M619" s="2">
        <f t="shared" si="334"/>
        <v>8.5440680443502757</v>
      </c>
      <c r="N619">
        <f>L619</f>
        <v>350000000</v>
      </c>
      <c r="O619">
        <v>0</v>
      </c>
      <c r="P619" s="1">
        <v>38198</v>
      </c>
      <c r="Q619" s="89">
        <f t="shared" si="335"/>
        <v>2004</v>
      </c>
      <c r="R619" t="s">
        <v>107</v>
      </c>
      <c r="S619">
        <v>1058722600</v>
      </c>
      <c r="T619" s="21">
        <f t="shared" si="327"/>
        <v>6.2191780821917808</v>
      </c>
      <c r="U619">
        <v>0</v>
      </c>
      <c r="V619">
        <f t="shared" si="336"/>
        <v>0</v>
      </c>
      <c r="W619">
        <v>1984</v>
      </c>
      <c r="X619">
        <v>14</v>
      </c>
      <c r="Y619">
        <f t="shared" si="337"/>
        <v>1.1760912590556813</v>
      </c>
      <c r="Z619" s="45">
        <v>2.95</v>
      </c>
      <c r="AA619" s="9">
        <f t="shared" si="326"/>
        <v>708722600</v>
      </c>
      <c r="AB619" s="15">
        <f t="shared" si="328"/>
        <v>2.0249217142857141</v>
      </c>
      <c r="AC619" s="34">
        <f t="shared" si="338"/>
        <v>0.48071413948644659</v>
      </c>
      <c r="AD619">
        <v>1455.046</v>
      </c>
      <c r="AE619">
        <f t="shared" si="331"/>
        <v>3.1628767233771686</v>
      </c>
      <c r="AF619">
        <v>4062.5129999999999</v>
      </c>
      <c r="AG619">
        <f t="shared" si="332"/>
        <v>3.6087947637270492</v>
      </c>
      <c r="AH619">
        <v>0</v>
      </c>
      <c r="AI619" s="9">
        <f t="shared" si="339"/>
        <v>0</v>
      </c>
      <c r="AJ619">
        <v>85</v>
      </c>
      <c r="AK619" t="s">
        <v>75</v>
      </c>
      <c r="AL619" s="42">
        <v>35.119429201759203</v>
      </c>
      <c r="AM619" s="24">
        <v>-0.02</v>
      </c>
      <c r="AN619" s="34">
        <f t="shared" si="340"/>
        <v>-8.7739243075051505E-3</v>
      </c>
      <c r="AO619">
        <v>1992</v>
      </c>
      <c r="AP619">
        <v>6</v>
      </c>
      <c r="AQ619">
        <v>70</v>
      </c>
      <c r="AR619">
        <v>70</v>
      </c>
      <c r="AS619">
        <f t="shared" si="329"/>
        <v>0</v>
      </c>
      <c r="AT619">
        <f t="shared" si="341"/>
        <v>1</v>
      </c>
      <c r="AU619">
        <f t="shared" si="342"/>
        <v>0</v>
      </c>
      <c r="AV619">
        <f t="shared" si="343"/>
        <v>0</v>
      </c>
      <c r="AW619">
        <f t="shared" si="344"/>
        <v>0</v>
      </c>
      <c r="AX619">
        <f t="shared" si="345"/>
        <v>0</v>
      </c>
      <c r="AY619">
        <f t="shared" si="346"/>
        <v>0</v>
      </c>
      <c r="AZ619">
        <f t="shared" si="347"/>
        <v>0</v>
      </c>
      <c r="BA619">
        <f t="shared" si="348"/>
        <v>0</v>
      </c>
      <c r="BB619">
        <f t="shared" si="349"/>
        <v>0</v>
      </c>
      <c r="BC619">
        <f t="shared" si="350"/>
        <v>0</v>
      </c>
      <c r="BD619">
        <f t="shared" si="351"/>
        <v>0</v>
      </c>
      <c r="BE619">
        <f t="shared" si="352"/>
        <v>0</v>
      </c>
      <c r="BF619">
        <f t="shared" si="353"/>
        <v>0</v>
      </c>
      <c r="BG619">
        <f t="shared" si="354"/>
        <v>0</v>
      </c>
      <c r="BH619">
        <f t="shared" si="355"/>
        <v>0</v>
      </c>
      <c r="BI619">
        <f t="shared" si="356"/>
        <v>0</v>
      </c>
    </row>
    <row r="620" spans="1:61" x14ac:dyDescent="0.35">
      <c r="A620" t="s">
        <v>517</v>
      </c>
      <c r="B620" s="1">
        <v>36271</v>
      </c>
      <c r="C620" t="s">
        <v>1224</v>
      </c>
      <c r="D620" t="s">
        <v>45</v>
      </c>
      <c r="E620" t="s">
        <v>684</v>
      </c>
      <c r="F620" t="s">
        <v>602</v>
      </c>
      <c r="G620" t="s">
        <v>47</v>
      </c>
      <c r="H620" s="139">
        <f t="shared" si="330"/>
        <v>0</v>
      </c>
      <c r="I620" t="s">
        <v>234</v>
      </c>
      <c r="J620" t="s">
        <v>183</v>
      </c>
      <c r="K620" s="2">
        <f t="shared" si="333"/>
        <v>3</v>
      </c>
      <c r="L620">
        <v>140000000</v>
      </c>
      <c r="M620" s="2">
        <f t="shared" si="334"/>
        <v>8.1461280356782382</v>
      </c>
      <c r="N620">
        <f>L620</f>
        <v>140000000</v>
      </c>
      <c r="O620">
        <v>0</v>
      </c>
      <c r="P620" s="1">
        <v>38069</v>
      </c>
      <c r="Q620" s="89">
        <f t="shared" si="335"/>
        <v>2004</v>
      </c>
      <c r="R620" t="s">
        <v>322</v>
      </c>
      <c r="S620">
        <v>140700000</v>
      </c>
      <c r="T620" s="21">
        <f t="shared" si="327"/>
        <v>4.9260273972602739</v>
      </c>
      <c r="U620">
        <v>0</v>
      </c>
      <c r="V620">
        <f t="shared" si="336"/>
        <v>0</v>
      </c>
      <c r="W620">
        <v>1951</v>
      </c>
      <c r="X620">
        <v>48</v>
      </c>
      <c r="Y620">
        <f t="shared" si="337"/>
        <v>1.6901960800285136</v>
      </c>
      <c r="Z620" s="45">
        <v>2.95</v>
      </c>
      <c r="AA620" s="9">
        <f t="shared" si="326"/>
        <v>700000</v>
      </c>
      <c r="AB620" s="15">
        <f t="shared" si="328"/>
        <v>4.9999999999998934E-3</v>
      </c>
      <c r="AC620" s="34">
        <f t="shared" si="338"/>
        <v>2.1660617565076304E-3</v>
      </c>
      <c r="AD620">
        <v>1455.046</v>
      </c>
      <c r="AE620">
        <f t="shared" si="331"/>
        <v>3.1628767233771686</v>
      </c>
      <c r="AF620">
        <v>4062.5129999999999</v>
      </c>
      <c r="AG620">
        <f t="shared" si="332"/>
        <v>3.6087947637270492</v>
      </c>
      <c r="AH620">
        <v>0</v>
      </c>
      <c r="AI620" s="9">
        <f t="shared" si="339"/>
        <v>0</v>
      </c>
      <c r="AJ620">
        <v>85</v>
      </c>
      <c r="AK620" t="s">
        <v>75</v>
      </c>
      <c r="AL620" s="42">
        <v>34.656907836978597</v>
      </c>
      <c r="AM620" s="24">
        <v>-0.18</v>
      </c>
      <c r="AN620" s="34">
        <f t="shared" si="340"/>
        <v>-8.6186147616283279E-2</v>
      </c>
      <c r="AO620">
        <v>1992</v>
      </c>
      <c r="AP620">
        <v>7</v>
      </c>
      <c r="AQ620">
        <v>70</v>
      </c>
      <c r="AR620">
        <v>70</v>
      </c>
      <c r="AS620">
        <f t="shared" si="329"/>
        <v>0</v>
      </c>
      <c r="AT620">
        <f t="shared" si="341"/>
        <v>1</v>
      </c>
      <c r="AU620">
        <f t="shared" si="342"/>
        <v>0</v>
      </c>
      <c r="AV620">
        <f t="shared" si="343"/>
        <v>0</v>
      </c>
      <c r="AW620">
        <f t="shared" si="344"/>
        <v>0</v>
      </c>
      <c r="AX620">
        <f t="shared" si="345"/>
        <v>0</v>
      </c>
      <c r="AY620">
        <f t="shared" si="346"/>
        <v>0</v>
      </c>
      <c r="AZ620">
        <f t="shared" si="347"/>
        <v>0</v>
      </c>
      <c r="BA620">
        <f t="shared" si="348"/>
        <v>0</v>
      </c>
      <c r="BB620">
        <f t="shared" si="349"/>
        <v>0</v>
      </c>
      <c r="BC620">
        <f t="shared" si="350"/>
        <v>0</v>
      </c>
      <c r="BD620">
        <f t="shared" si="351"/>
        <v>0</v>
      </c>
      <c r="BE620">
        <f t="shared" si="352"/>
        <v>0</v>
      </c>
      <c r="BF620">
        <f t="shared" si="353"/>
        <v>0</v>
      </c>
      <c r="BG620">
        <f t="shared" si="354"/>
        <v>0</v>
      </c>
      <c r="BH620">
        <f t="shared" si="355"/>
        <v>0</v>
      </c>
      <c r="BI620">
        <f t="shared" si="356"/>
        <v>0</v>
      </c>
    </row>
    <row r="621" spans="1:61" x14ac:dyDescent="0.35">
      <c r="A621" t="s">
        <v>51</v>
      </c>
      <c r="B621" s="1">
        <v>36802</v>
      </c>
      <c r="C621" t="s">
        <v>1225</v>
      </c>
      <c r="D621" t="s">
        <v>45</v>
      </c>
      <c r="E621" t="s">
        <v>1214</v>
      </c>
      <c r="F621" t="s">
        <v>602</v>
      </c>
      <c r="G621" t="s">
        <v>47</v>
      </c>
      <c r="H621" s="139">
        <f t="shared" si="330"/>
        <v>0</v>
      </c>
      <c r="I621" t="s">
        <v>234</v>
      </c>
      <c r="J621" t="s">
        <v>248</v>
      </c>
      <c r="K621" s="2">
        <f t="shared" si="333"/>
        <v>5</v>
      </c>
      <c r="L621">
        <v>534330000</v>
      </c>
      <c r="M621" s="2">
        <f t="shared" si="334"/>
        <v>8.727809558365383</v>
      </c>
      <c r="N621">
        <v>464360000</v>
      </c>
      <c r="O621">
        <v>69970000</v>
      </c>
      <c r="P621" s="1">
        <v>38282</v>
      </c>
      <c r="Q621" s="89">
        <f t="shared" si="335"/>
        <v>2004</v>
      </c>
      <c r="R621" t="s">
        <v>322</v>
      </c>
      <c r="S621">
        <v>247300000</v>
      </c>
      <c r="T621" s="21">
        <f t="shared" si="327"/>
        <v>4.0547945205479454</v>
      </c>
      <c r="U621">
        <v>0</v>
      </c>
      <c r="V621">
        <f t="shared" si="336"/>
        <v>0</v>
      </c>
      <c r="W621">
        <v>1965</v>
      </c>
      <c r="X621">
        <v>35</v>
      </c>
      <c r="Y621">
        <f t="shared" si="337"/>
        <v>1.5563025007672873</v>
      </c>
      <c r="Z621" s="45">
        <v>2.95</v>
      </c>
      <c r="AA621" s="9">
        <f t="shared" si="326"/>
        <v>-217060000</v>
      </c>
      <c r="AB621" s="15">
        <f t="shared" si="328"/>
        <v>-0.53717739973424661</v>
      </c>
      <c r="AC621" s="34">
        <f t="shared" si="338"/>
        <v>-0.3345854420040863</v>
      </c>
      <c r="AD621">
        <v>1455.046</v>
      </c>
      <c r="AE621">
        <f t="shared" si="331"/>
        <v>3.1628767233771686</v>
      </c>
      <c r="AF621">
        <v>4062.5129999999999</v>
      </c>
      <c r="AG621">
        <f t="shared" si="332"/>
        <v>3.6087947637270492</v>
      </c>
      <c r="AH621">
        <v>0</v>
      </c>
      <c r="AI621" s="9">
        <f t="shared" si="339"/>
        <v>0</v>
      </c>
      <c r="AJ621">
        <v>85</v>
      </c>
      <c r="AK621" t="s">
        <v>351</v>
      </c>
      <c r="AL621" s="42">
        <v>34.298950279384798</v>
      </c>
      <c r="AM621" s="24">
        <v>-0.23</v>
      </c>
      <c r="AN621" s="34">
        <f t="shared" si="340"/>
        <v>-0.11350927482751812</v>
      </c>
      <c r="AO621">
        <v>1992</v>
      </c>
      <c r="AP621">
        <v>8</v>
      </c>
      <c r="AQ621">
        <v>70</v>
      </c>
      <c r="AR621">
        <v>70</v>
      </c>
      <c r="AS621">
        <f t="shared" si="329"/>
        <v>0</v>
      </c>
      <c r="AT621">
        <f t="shared" si="341"/>
        <v>1</v>
      </c>
      <c r="AU621">
        <f t="shared" si="342"/>
        <v>0</v>
      </c>
      <c r="AV621">
        <f t="shared" si="343"/>
        <v>0</v>
      </c>
      <c r="AW621">
        <f t="shared" si="344"/>
        <v>0</v>
      </c>
      <c r="AX621">
        <f t="shared" si="345"/>
        <v>0</v>
      </c>
      <c r="AY621">
        <f t="shared" si="346"/>
        <v>0</v>
      </c>
      <c r="AZ621">
        <f t="shared" si="347"/>
        <v>0</v>
      </c>
      <c r="BA621">
        <f t="shared" si="348"/>
        <v>0</v>
      </c>
      <c r="BB621">
        <f t="shared" si="349"/>
        <v>0</v>
      </c>
      <c r="BC621">
        <f t="shared" si="350"/>
        <v>0</v>
      </c>
      <c r="BD621">
        <f t="shared" si="351"/>
        <v>0</v>
      </c>
      <c r="BE621">
        <f t="shared" si="352"/>
        <v>0</v>
      </c>
      <c r="BF621">
        <f t="shared" si="353"/>
        <v>0</v>
      </c>
      <c r="BG621">
        <f t="shared" si="354"/>
        <v>0</v>
      </c>
      <c r="BH621">
        <f t="shared" si="355"/>
        <v>0</v>
      </c>
      <c r="BI621">
        <f t="shared" si="356"/>
        <v>0</v>
      </c>
    </row>
    <row r="622" spans="1:61" x14ac:dyDescent="0.35">
      <c r="A622" t="s">
        <v>51</v>
      </c>
      <c r="B622" s="1">
        <v>36852</v>
      </c>
      <c r="C622" t="s">
        <v>1226</v>
      </c>
      <c r="D622" t="s">
        <v>45</v>
      </c>
      <c r="E622" t="s">
        <v>1214</v>
      </c>
      <c r="F622" t="s">
        <v>602</v>
      </c>
      <c r="G622" t="s">
        <v>64</v>
      </c>
      <c r="H622" s="139">
        <f t="shared" si="330"/>
        <v>1</v>
      </c>
      <c r="I622" t="s">
        <v>234</v>
      </c>
      <c r="J622" t="s">
        <v>178</v>
      </c>
      <c r="K622" s="2">
        <f t="shared" si="333"/>
        <v>9</v>
      </c>
      <c r="L622">
        <v>2000000000</v>
      </c>
      <c r="M622" s="2">
        <f t="shared" si="334"/>
        <v>9.3010299956639813</v>
      </c>
      <c r="N622">
        <f>L622</f>
        <v>2000000000</v>
      </c>
      <c r="O622">
        <v>0</v>
      </c>
      <c r="P622" s="1">
        <v>39288</v>
      </c>
      <c r="Q622" s="89">
        <f t="shared" si="335"/>
        <v>2007</v>
      </c>
      <c r="R622" t="s">
        <v>322</v>
      </c>
      <c r="S622">
        <v>2630700000</v>
      </c>
      <c r="T622" s="21">
        <f t="shared" si="327"/>
        <v>6.6739726027397257</v>
      </c>
      <c r="U622">
        <v>0</v>
      </c>
      <c r="V622">
        <f t="shared" si="336"/>
        <v>0</v>
      </c>
      <c r="W622">
        <v>1979</v>
      </c>
      <c r="X622">
        <v>21</v>
      </c>
      <c r="Y622">
        <f t="shared" si="337"/>
        <v>1.3424226808222062</v>
      </c>
      <c r="Z622" s="45">
        <v>2.95</v>
      </c>
      <c r="AA622" s="9">
        <f t="shared" si="326"/>
        <v>630700000</v>
      </c>
      <c r="AB622" s="15">
        <f t="shared" si="328"/>
        <v>0.31535000000000002</v>
      </c>
      <c r="AC622" s="34">
        <f t="shared" si="338"/>
        <v>0.11904132913278011</v>
      </c>
      <c r="AD622">
        <v>1455.046</v>
      </c>
      <c r="AE622">
        <f t="shared" si="331"/>
        <v>3.1628767233771686</v>
      </c>
      <c r="AF622">
        <v>4062.5129999999999</v>
      </c>
      <c r="AG622">
        <f t="shared" si="332"/>
        <v>3.6087947637270492</v>
      </c>
      <c r="AH622">
        <v>0</v>
      </c>
      <c r="AI622" s="9">
        <f t="shared" si="339"/>
        <v>0</v>
      </c>
      <c r="AJ622">
        <v>85</v>
      </c>
      <c r="AK622" t="s">
        <v>351</v>
      </c>
      <c r="AL622" s="42">
        <v>34.298950279384798</v>
      </c>
      <c r="AM622" s="24">
        <v>0.15</v>
      </c>
      <c r="AN622" s="34">
        <f t="shared" si="340"/>
        <v>6.069784035361165E-2</v>
      </c>
      <c r="AO622">
        <v>1992</v>
      </c>
      <c r="AP622">
        <v>8</v>
      </c>
      <c r="AQ622">
        <v>70</v>
      </c>
      <c r="AR622">
        <v>70</v>
      </c>
      <c r="AS622">
        <f t="shared" si="329"/>
        <v>0</v>
      </c>
      <c r="AT622">
        <f t="shared" si="341"/>
        <v>1</v>
      </c>
      <c r="AU622">
        <f t="shared" si="342"/>
        <v>0</v>
      </c>
      <c r="AV622">
        <f t="shared" si="343"/>
        <v>0</v>
      </c>
      <c r="AW622">
        <f t="shared" si="344"/>
        <v>0</v>
      </c>
      <c r="AX622">
        <f t="shared" si="345"/>
        <v>0</v>
      </c>
      <c r="AY622">
        <f t="shared" si="346"/>
        <v>0</v>
      </c>
      <c r="AZ622">
        <f t="shared" si="347"/>
        <v>0</v>
      </c>
      <c r="BA622">
        <f t="shared" si="348"/>
        <v>0</v>
      </c>
      <c r="BB622">
        <f t="shared" si="349"/>
        <v>0</v>
      </c>
      <c r="BC622">
        <f t="shared" si="350"/>
        <v>0</v>
      </c>
      <c r="BD622">
        <f t="shared" si="351"/>
        <v>0</v>
      </c>
      <c r="BE622">
        <f t="shared" si="352"/>
        <v>0</v>
      </c>
      <c r="BF622">
        <f t="shared" si="353"/>
        <v>0</v>
      </c>
      <c r="BG622">
        <f t="shared" si="354"/>
        <v>0</v>
      </c>
      <c r="BH622">
        <f t="shared" si="355"/>
        <v>0</v>
      </c>
      <c r="BI622">
        <f t="shared" si="356"/>
        <v>0</v>
      </c>
    </row>
    <row r="623" spans="1:61" x14ac:dyDescent="0.35">
      <c r="A623" t="s">
        <v>1227</v>
      </c>
      <c r="B623" s="1">
        <v>36742</v>
      </c>
      <c r="C623" t="s">
        <v>1228</v>
      </c>
      <c r="D623" t="s">
        <v>45</v>
      </c>
      <c r="E623" t="s">
        <v>1214</v>
      </c>
      <c r="F623" t="s">
        <v>602</v>
      </c>
      <c r="G623" t="s">
        <v>47</v>
      </c>
      <c r="H623" s="139">
        <f t="shared" si="330"/>
        <v>0</v>
      </c>
      <c r="I623" t="s">
        <v>234</v>
      </c>
      <c r="J623" t="s">
        <v>178</v>
      </c>
      <c r="K623" s="2">
        <f t="shared" ref="K623:K642" si="358">IF(J623="Consumer Discretionary",5,IF(J623="Industrials",1,IF(J623="Energy",3,IF(J623="Health Care",2,IF(J623="Communications",4,IF(J623="Financials",6,IF(J623="Consumer Staples",7,IF(J623="Materials",8,IF(J623="Technology",9,IF(J623="Utilities",10,""))))))))))</f>
        <v>9</v>
      </c>
      <c r="L623">
        <v>375000000</v>
      </c>
      <c r="M623" s="2">
        <f t="shared" ref="M623:M642" si="359">LOG(L623)</f>
        <v>8.5740312677277188</v>
      </c>
      <c r="N623">
        <f>L623</f>
        <v>375000000</v>
      </c>
      <c r="O623">
        <v>0</v>
      </c>
      <c r="P623" s="1">
        <v>39297</v>
      </c>
      <c r="Q623" s="89">
        <f t="shared" ref="Q623:Q642" si="360">YEAR(P623)</f>
        <v>2007</v>
      </c>
      <c r="R623" t="s">
        <v>107</v>
      </c>
      <c r="S623">
        <v>121050000</v>
      </c>
      <c r="T623" s="21">
        <f t="shared" si="327"/>
        <v>7</v>
      </c>
      <c r="U623">
        <v>0</v>
      </c>
      <c r="V623">
        <f t="shared" ref="V623:V642" si="361">LOG(1+U623)</f>
        <v>0</v>
      </c>
      <c r="W623">
        <v>2000</v>
      </c>
      <c r="X623">
        <v>0</v>
      </c>
      <c r="Y623">
        <f t="shared" ref="Y623:Y642" si="362">LOG(1+X623)</f>
        <v>0</v>
      </c>
      <c r="Z623" s="45">
        <v>2.95</v>
      </c>
      <c r="AA623" s="9">
        <f t="shared" si="326"/>
        <v>-253950000</v>
      </c>
      <c r="AB623" s="15">
        <f t="shared" si="328"/>
        <v>-0.67720000000000002</v>
      </c>
      <c r="AC623" s="34">
        <f t="shared" ref="AC623:AC642" si="363">IF(AB623=-1,LOG(0.1),LOG(1+AB623))</f>
        <v>-0.49106647394996722</v>
      </c>
      <c r="AD623">
        <v>1455.046</v>
      </c>
      <c r="AE623">
        <f t="shared" si="331"/>
        <v>3.1628767233771686</v>
      </c>
      <c r="AF623">
        <v>4062.5129999999999</v>
      </c>
      <c r="AG623">
        <f t="shared" si="332"/>
        <v>3.6087947637270492</v>
      </c>
      <c r="AH623">
        <v>0</v>
      </c>
      <c r="AI623" s="9">
        <f t="shared" ref="AI623:AI642" si="364">IF(AH623=0,0,LOG(1+AH623))</f>
        <v>0</v>
      </c>
      <c r="AJ623">
        <v>85</v>
      </c>
      <c r="AK623" t="s">
        <v>351</v>
      </c>
      <c r="AL623" s="42">
        <v>34.298950279384798</v>
      </c>
      <c r="AM623" s="24">
        <v>-0.02</v>
      </c>
      <c r="AN623" s="34">
        <f t="shared" ref="AN623:AN642" si="365">LOG(1+AM623)</f>
        <v>-8.7739243075051505E-3</v>
      </c>
      <c r="AO623">
        <v>1992</v>
      </c>
      <c r="AP623">
        <v>8</v>
      </c>
      <c r="AQ623">
        <v>70</v>
      </c>
      <c r="AR623">
        <v>70</v>
      </c>
      <c r="AS623">
        <f t="shared" si="329"/>
        <v>0</v>
      </c>
      <c r="AT623">
        <f t="shared" ref="AT623:AT642" si="366">IF($D623="US",1,0)</f>
        <v>1</v>
      </c>
      <c r="AU623">
        <f t="shared" ref="AU623:AU642" si="367">IF($D623="UK",1,0)</f>
        <v>0</v>
      </c>
      <c r="AV623">
        <f t="shared" ref="AV623:AV642" si="368">IF($D623="Norway",1,0)</f>
        <v>0</v>
      </c>
      <c r="AW623">
        <f t="shared" ref="AW623:AW642" si="369">IF($D623="Denmark",1,0)</f>
        <v>0</v>
      </c>
      <c r="AX623">
        <f t="shared" ref="AX623:AX642" si="370">IF($D623="Sweden",1,0)</f>
        <v>0</v>
      </c>
      <c r="AY623">
        <f t="shared" ref="AY623:AY642" si="371">IF($D623="Netherlands",1,0)</f>
        <v>0</v>
      </c>
      <c r="AZ623">
        <f t="shared" ref="AZ623:AZ642" si="372">IF($D623="France",1,0)</f>
        <v>0</v>
      </c>
      <c r="BA623">
        <f t="shared" ref="BA623:BA642" si="373">IF($D623="Belgium",1,0)</f>
        <v>0</v>
      </c>
      <c r="BB623">
        <f t="shared" ref="BB623:BB642" si="374">IF($D623="Germany",1,0)</f>
        <v>0</v>
      </c>
      <c r="BC623">
        <f t="shared" ref="BC623:BC642" si="375">IF($D623="Italy",1,0)</f>
        <v>0</v>
      </c>
      <c r="BD623">
        <f t="shared" ref="BD623:BD642" si="376">IF($D623="Spain",1,0)</f>
        <v>0</v>
      </c>
      <c r="BE623">
        <f t="shared" ref="BE623:BE642" si="377">IF($D623="Luxembourg",1,0)</f>
        <v>0</v>
      </c>
      <c r="BF623">
        <f t="shared" ref="BF623:BF642" si="378">IF($D623="Portugal",1,0)</f>
        <v>0</v>
      </c>
      <c r="BG623">
        <f t="shared" ref="BG623:BG642" si="379">IF($D623="Switzerland",1,0)</f>
        <v>0</v>
      </c>
      <c r="BH623">
        <f t="shared" ref="BH623:BH642" si="380">IF($D623="Ireland",1,0)</f>
        <v>0</v>
      </c>
      <c r="BI623">
        <f t="shared" ref="BI623:BI642" si="381">IF($D623="Finland",1,0)</f>
        <v>0</v>
      </c>
    </row>
    <row r="624" spans="1:61" x14ac:dyDescent="0.35">
      <c r="A624" t="s">
        <v>51</v>
      </c>
      <c r="B624" s="1">
        <v>38093</v>
      </c>
      <c r="C624" t="s">
        <v>1229</v>
      </c>
      <c r="D624" t="s">
        <v>45</v>
      </c>
      <c r="E624" t="s">
        <v>1230</v>
      </c>
      <c r="F624" t="s">
        <v>602</v>
      </c>
      <c r="G624" t="s">
        <v>47</v>
      </c>
      <c r="H624" s="139">
        <f t="shared" si="330"/>
        <v>0</v>
      </c>
      <c r="I624" t="s">
        <v>234</v>
      </c>
      <c r="J624" t="s">
        <v>178</v>
      </c>
      <c r="K624" s="2">
        <f t="shared" si="358"/>
        <v>9</v>
      </c>
      <c r="L624">
        <v>100000000</v>
      </c>
      <c r="M624" s="2">
        <f t="shared" si="359"/>
        <v>8</v>
      </c>
      <c r="N624">
        <f>L624</f>
        <v>100000000</v>
      </c>
      <c r="O624">
        <v>0</v>
      </c>
      <c r="P624" s="1">
        <v>40784</v>
      </c>
      <c r="Q624" s="89">
        <f t="shared" si="360"/>
        <v>2011</v>
      </c>
      <c r="R624" t="s">
        <v>54</v>
      </c>
      <c r="S624">
        <v>523740000</v>
      </c>
      <c r="T624" s="21">
        <f t="shared" si="327"/>
        <v>7.3726027397260276</v>
      </c>
      <c r="U624">
        <v>0</v>
      </c>
      <c r="V624">
        <f t="shared" si="361"/>
        <v>0</v>
      </c>
      <c r="W624">
        <v>1988</v>
      </c>
      <c r="X624">
        <v>16</v>
      </c>
      <c r="Y624">
        <f t="shared" si="362"/>
        <v>1.2304489213782739</v>
      </c>
      <c r="Z624" s="45">
        <v>2.95</v>
      </c>
      <c r="AA624" s="9">
        <f t="shared" si="326"/>
        <v>423740000</v>
      </c>
      <c r="AB624" s="15">
        <f t="shared" si="328"/>
        <v>4.2374000000000001</v>
      </c>
      <c r="AC624" s="34">
        <f t="shared" si="363"/>
        <v>0.71911574387644306</v>
      </c>
      <c r="AD624">
        <v>1455.046</v>
      </c>
      <c r="AE624">
        <f t="shared" si="331"/>
        <v>3.1628767233771686</v>
      </c>
      <c r="AF624">
        <v>4062.5129999999999</v>
      </c>
      <c r="AG624">
        <f t="shared" si="332"/>
        <v>3.6087947637270492</v>
      </c>
      <c r="AH624">
        <v>0</v>
      </c>
      <c r="AI624" s="9">
        <f t="shared" si="364"/>
        <v>0</v>
      </c>
      <c r="AJ624">
        <v>85</v>
      </c>
      <c r="AK624" t="s">
        <v>215</v>
      </c>
      <c r="AL624" s="42">
        <v>36.876470987978301</v>
      </c>
      <c r="AM624" s="24">
        <v>7.0000000000000007E-2</v>
      </c>
      <c r="AN624" s="34">
        <f t="shared" si="365"/>
        <v>2.9383777685209667E-2</v>
      </c>
      <c r="AO624">
        <v>1992</v>
      </c>
      <c r="AP624">
        <v>12</v>
      </c>
      <c r="AQ624">
        <v>70</v>
      </c>
      <c r="AR624">
        <v>70</v>
      </c>
      <c r="AS624">
        <f t="shared" si="329"/>
        <v>0</v>
      </c>
      <c r="AT624">
        <f t="shared" si="366"/>
        <v>1</v>
      </c>
      <c r="AU624">
        <f t="shared" si="367"/>
        <v>0</v>
      </c>
      <c r="AV624">
        <f t="shared" si="368"/>
        <v>0</v>
      </c>
      <c r="AW624">
        <f t="shared" si="369"/>
        <v>0</v>
      </c>
      <c r="AX624">
        <f t="shared" si="370"/>
        <v>0</v>
      </c>
      <c r="AY624">
        <f t="shared" si="371"/>
        <v>0</v>
      </c>
      <c r="AZ624">
        <f t="shared" si="372"/>
        <v>0</v>
      </c>
      <c r="BA624">
        <f t="shared" si="373"/>
        <v>0</v>
      </c>
      <c r="BB624">
        <f t="shared" si="374"/>
        <v>0</v>
      </c>
      <c r="BC624">
        <f t="shared" si="375"/>
        <v>0</v>
      </c>
      <c r="BD624">
        <f t="shared" si="376"/>
        <v>0</v>
      </c>
      <c r="BE624">
        <f t="shared" si="377"/>
        <v>0</v>
      </c>
      <c r="BF624">
        <f t="shared" si="378"/>
        <v>0</v>
      </c>
      <c r="BG624">
        <f t="shared" si="379"/>
        <v>0</v>
      </c>
      <c r="BH624">
        <f t="shared" si="380"/>
        <v>0</v>
      </c>
      <c r="BI624">
        <f t="shared" si="381"/>
        <v>0</v>
      </c>
    </row>
    <row r="625" spans="1:61" x14ac:dyDescent="0.35">
      <c r="A625" t="s">
        <v>51</v>
      </c>
      <c r="B625" s="1">
        <v>38184</v>
      </c>
      <c r="C625" t="s">
        <v>1231</v>
      </c>
      <c r="D625" t="s">
        <v>45</v>
      </c>
      <c r="E625" t="s">
        <v>1230</v>
      </c>
      <c r="F625" t="s">
        <v>602</v>
      </c>
      <c r="G625" t="s">
        <v>47</v>
      </c>
      <c r="H625" s="139">
        <f t="shared" si="330"/>
        <v>0</v>
      </c>
      <c r="I625" t="s">
        <v>234</v>
      </c>
      <c r="J625" t="s">
        <v>178</v>
      </c>
      <c r="K625" s="2">
        <f t="shared" si="358"/>
        <v>9</v>
      </c>
      <c r="L625">
        <v>235000000</v>
      </c>
      <c r="M625" s="2">
        <f t="shared" si="359"/>
        <v>8.3710678622717367</v>
      </c>
      <c r="N625">
        <f>L625</f>
        <v>235000000</v>
      </c>
      <c r="O625">
        <v>0</v>
      </c>
      <c r="P625" s="1">
        <v>39387</v>
      </c>
      <c r="Q625" s="89">
        <f t="shared" si="360"/>
        <v>2007</v>
      </c>
      <c r="R625" t="s">
        <v>107</v>
      </c>
      <c r="S625">
        <v>205000000</v>
      </c>
      <c r="T625" s="21">
        <f t="shared" si="327"/>
        <v>3.2958904109589042</v>
      </c>
      <c r="U625">
        <v>0</v>
      </c>
      <c r="V625">
        <f t="shared" si="361"/>
        <v>0</v>
      </c>
      <c r="W625">
        <v>1986</v>
      </c>
      <c r="X625">
        <v>18</v>
      </c>
      <c r="Y625">
        <f t="shared" si="362"/>
        <v>1.2787536009528289</v>
      </c>
      <c r="Z625" s="45">
        <v>2.95</v>
      </c>
      <c r="AA625" s="9">
        <f t="shared" si="326"/>
        <v>-30000000</v>
      </c>
      <c r="AB625" s="15">
        <f t="shared" si="328"/>
        <v>-0.12765957446808507</v>
      </c>
      <c r="AC625" s="34">
        <f t="shared" si="363"/>
        <v>-5.9314001215981953E-2</v>
      </c>
      <c r="AD625">
        <v>1455.046</v>
      </c>
      <c r="AE625">
        <f t="shared" si="331"/>
        <v>3.1628767233771686</v>
      </c>
      <c r="AF625">
        <v>4062.5129999999999</v>
      </c>
      <c r="AG625">
        <f t="shared" si="332"/>
        <v>3.6087947637270492</v>
      </c>
      <c r="AH625">
        <v>0</v>
      </c>
      <c r="AI625" s="9">
        <f t="shared" si="364"/>
        <v>0</v>
      </c>
      <c r="AJ625">
        <v>85</v>
      </c>
      <c r="AK625" t="s">
        <v>215</v>
      </c>
      <c r="AL625" s="42">
        <v>36.876470987978301</v>
      </c>
      <c r="AM625" s="24">
        <v>0.37</v>
      </c>
      <c r="AN625" s="34">
        <f t="shared" si="365"/>
        <v>0.13672056715640679</v>
      </c>
      <c r="AO625">
        <v>1992</v>
      </c>
      <c r="AP625">
        <v>12</v>
      </c>
      <c r="AQ625">
        <v>70</v>
      </c>
      <c r="AR625">
        <v>70</v>
      </c>
      <c r="AS625">
        <f t="shared" si="329"/>
        <v>0</v>
      </c>
      <c r="AT625">
        <f t="shared" si="366"/>
        <v>1</v>
      </c>
      <c r="AU625">
        <f t="shared" si="367"/>
        <v>0</v>
      </c>
      <c r="AV625">
        <f t="shared" si="368"/>
        <v>0</v>
      </c>
      <c r="AW625">
        <f t="shared" si="369"/>
        <v>0</v>
      </c>
      <c r="AX625">
        <f t="shared" si="370"/>
        <v>0</v>
      </c>
      <c r="AY625">
        <f t="shared" si="371"/>
        <v>0</v>
      </c>
      <c r="AZ625">
        <f t="shared" si="372"/>
        <v>0</v>
      </c>
      <c r="BA625">
        <f t="shared" si="373"/>
        <v>0</v>
      </c>
      <c r="BB625">
        <f t="shared" si="374"/>
        <v>0</v>
      </c>
      <c r="BC625">
        <f t="shared" si="375"/>
        <v>0</v>
      </c>
      <c r="BD625">
        <f t="shared" si="376"/>
        <v>0</v>
      </c>
      <c r="BE625">
        <f t="shared" si="377"/>
        <v>0</v>
      </c>
      <c r="BF625">
        <f t="shared" si="378"/>
        <v>0</v>
      </c>
      <c r="BG625">
        <f t="shared" si="379"/>
        <v>0</v>
      </c>
      <c r="BH625">
        <f t="shared" si="380"/>
        <v>0</v>
      </c>
      <c r="BI625">
        <f t="shared" si="381"/>
        <v>0</v>
      </c>
    </row>
    <row r="626" spans="1:61" x14ac:dyDescent="0.35">
      <c r="A626" t="s">
        <v>51</v>
      </c>
      <c r="B626" s="1">
        <v>38632</v>
      </c>
      <c r="C626" t="s">
        <v>1232</v>
      </c>
      <c r="D626" t="s">
        <v>45</v>
      </c>
      <c r="E626" t="s">
        <v>1233</v>
      </c>
      <c r="F626" t="s">
        <v>602</v>
      </c>
      <c r="G626" t="s">
        <v>47</v>
      </c>
      <c r="H626" s="139">
        <f t="shared" si="330"/>
        <v>0</v>
      </c>
      <c r="I626" t="s">
        <v>234</v>
      </c>
      <c r="J626" t="s">
        <v>248</v>
      </c>
      <c r="K626" s="2">
        <f t="shared" si="358"/>
        <v>5</v>
      </c>
      <c r="L626">
        <v>5044340000</v>
      </c>
      <c r="M626" s="2">
        <f t="shared" si="359"/>
        <v>9.7028043513244029</v>
      </c>
      <c r="N626">
        <v>4945230000</v>
      </c>
      <c r="O626">
        <v>99110000</v>
      </c>
      <c r="P626" s="1">
        <v>41572</v>
      </c>
      <c r="Q626" s="89">
        <f t="shared" si="360"/>
        <v>2013</v>
      </c>
      <c r="R626" t="s">
        <v>107</v>
      </c>
      <c r="S626">
        <v>6000000000</v>
      </c>
      <c r="T626" s="21">
        <f t="shared" si="327"/>
        <v>8.0547945205479454</v>
      </c>
      <c r="U626">
        <v>0</v>
      </c>
      <c r="V626">
        <f t="shared" si="361"/>
        <v>0</v>
      </c>
      <c r="W626">
        <v>1907</v>
      </c>
      <c r="X626">
        <v>98</v>
      </c>
      <c r="Y626">
        <f t="shared" si="362"/>
        <v>1.9956351945975499</v>
      </c>
      <c r="Z626" s="45">
        <v>2.95</v>
      </c>
      <c r="AA626" s="9">
        <f t="shared" si="326"/>
        <v>1054770000</v>
      </c>
      <c r="AB626" s="15">
        <f t="shared" si="328"/>
        <v>0.18945194019435641</v>
      </c>
      <c r="AC626" s="34">
        <f t="shared" si="363"/>
        <v>7.5346899059240954E-2</v>
      </c>
      <c r="AD626">
        <v>1455.046</v>
      </c>
      <c r="AE626">
        <f t="shared" si="331"/>
        <v>3.1628767233771686</v>
      </c>
      <c r="AF626">
        <v>4062.5129999999999</v>
      </c>
      <c r="AG626">
        <f t="shared" si="332"/>
        <v>3.6087947637270492</v>
      </c>
      <c r="AH626">
        <v>0</v>
      </c>
      <c r="AI626" s="9">
        <f t="shared" si="364"/>
        <v>0</v>
      </c>
      <c r="AJ626">
        <v>85</v>
      </c>
      <c r="AK626" t="s">
        <v>100</v>
      </c>
      <c r="AL626" s="42">
        <v>36.959146749272797</v>
      </c>
      <c r="AM626" s="24">
        <v>0.47</v>
      </c>
      <c r="AN626" s="34">
        <f t="shared" si="365"/>
        <v>0.16731733474817609</v>
      </c>
      <c r="AO626">
        <v>1992</v>
      </c>
      <c r="AP626">
        <v>13</v>
      </c>
      <c r="AQ626">
        <v>70</v>
      </c>
      <c r="AR626">
        <v>70</v>
      </c>
      <c r="AS626">
        <f t="shared" si="329"/>
        <v>0</v>
      </c>
      <c r="AT626">
        <f t="shared" si="366"/>
        <v>1</v>
      </c>
      <c r="AU626">
        <f t="shared" si="367"/>
        <v>0</v>
      </c>
      <c r="AV626">
        <f t="shared" si="368"/>
        <v>0</v>
      </c>
      <c r="AW626">
        <f t="shared" si="369"/>
        <v>0</v>
      </c>
      <c r="AX626">
        <f t="shared" si="370"/>
        <v>0</v>
      </c>
      <c r="AY626">
        <f t="shared" si="371"/>
        <v>0</v>
      </c>
      <c r="AZ626">
        <f t="shared" si="372"/>
        <v>0</v>
      </c>
      <c r="BA626">
        <f t="shared" si="373"/>
        <v>0</v>
      </c>
      <c r="BB626">
        <f t="shared" si="374"/>
        <v>0</v>
      </c>
      <c r="BC626">
        <f t="shared" si="375"/>
        <v>0</v>
      </c>
      <c r="BD626">
        <f t="shared" si="376"/>
        <v>0</v>
      </c>
      <c r="BE626">
        <f t="shared" si="377"/>
        <v>0</v>
      </c>
      <c r="BF626">
        <f t="shared" si="378"/>
        <v>0</v>
      </c>
      <c r="BG626">
        <f t="shared" si="379"/>
        <v>0</v>
      </c>
      <c r="BH626">
        <f t="shared" si="380"/>
        <v>0</v>
      </c>
      <c r="BI626">
        <f t="shared" si="381"/>
        <v>0</v>
      </c>
    </row>
    <row r="627" spans="1:61" x14ac:dyDescent="0.35">
      <c r="A627" t="s">
        <v>51</v>
      </c>
      <c r="B627" s="1">
        <v>38335</v>
      </c>
      <c r="C627" t="s">
        <v>1234</v>
      </c>
      <c r="D627" t="s">
        <v>45</v>
      </c>
      <c r="E627" t="s">
        <v>681</v>
      </c>
      <c r="F627" t="s">
        <v>602</v>
      </c>
      <c r="G627" t="s">
        <v>47</v>
      </c>
      <c r="H627" s="139">
        <f t="shared" si="330"/>
        <v>0</v>
      </c>
      <c r="I627" t="s">
        <v>234</v>
      </c>
      <c r="J627" t="s">
        <v>279</v>
      </c>
      <c r="K627" s="2">
        <f t="shared" si="358"/>
        <v>10</v>
      </c>
      <c r="L627">
        <v>3602100000</v>
      </c>
      <c r="M627" s="2">
        <f t="shared" si="359"/>
        <v>9.5565557653534068</v>
      </c>
      <c r="N627">
        <f>L627+O627</f>
        <v>3557540000</v>
      </c>
      <c r="O627">
        <v>-44560000</v>
      </c>
      <c r="P627" s="1">
        <v>38750</v>
      </c>
      <c r="Q627" s="89">
        <f t="shared" si="360"/>
        <v>2006</v>
      </c>
      <c r="R627" t="s">
        <v>107</v>
      </c>
      <c r="S627">
        <v>5800000000</v>
      </c>
      <c r="T627" s="21">
        <f t="shared" si="327"/>
        <v>1.1369863013698631</v>
      </c>
      <c r="U627">
        <v>0</v>
      </c>
      <c r="V627">
        <f t="shared" si="361"/>
        <v>0</v>
      </c>
      <c r="W627">
        <v>2001</v>
      </c>
      <c r="X627">
        <v>3</v>
      </c>
      <c r="Y627">
        <f t="shared" si="362"/>
        <v>0.6020599913279624</v>
      </c>
      <c r="Z627" s="45">
        <v>2.95</v>
      </c>
      <c r="AA627" s="9">
        <f t="shared" si="326"/>
        <v>2242460000</v>
      </c>
      <c r="AB627" s="15">
        <f t="shared" si="328"/>
        <v>0.61017184420199322</v>
      </c>
      <c r="AC627" s="34">
        <f t="shared" si="363"/>
        <v>0.20687222820953113</v>
      </c>
      <c r="AD627">
        <v>1455.046</v>
      </c>
      <c r="AE627">
        <f t="shared" si="331"/>
        <v>3.1628767233771686</v>
      </c>
      <c r="AF627">
        <v>4062.5129999999999</v>
      </c>
      <c r="AG627">
        <f t="shared" si="332"/>
        <v>3.6087947637270492</v>
      </c>
      <c r="AH627">
        <v>0</v>
      </c>
      <c r="AI627" s="9">
        <f t="shared" si="364"/>
        <v>0</v>
      </c>
      <c r="AJ627">
        <v>85</v>
      </c>
      <c r="AK627" t="s">
        <v>215</v>
      </c>
      <c r="AL627" s="42">
        <v>36.876470987978301</v>
      </c>
      <c r="AM627" s="24">
        <v>0.06</v>
      </c>
      <c r="AN627" s="34">
        <f t="shared" si="365"/>
        <v>2.5305865264770262E-2</v>
      </c>
      <c r="AO627">
        <v>1992</v>
      </c>
      <c r="AP627">
        <v>12</v>
      </c>
      <c r="AQ627">
        <v>70</v>
      </c>
      <c r="AR627">
        <v>70</v>
      </c>
      <c r="AS627">
        <f t="shared" si="329"/>
        <v>0</v>
      </c>
      <c r="AT627">
        <f t="shared" si="366"/>
        <v>1</v>
      </c>
      <c r="AU627">
        <f t="shared" si="367"/>
        <v>0</v>
      </c>
      <c r="AV627">
        <f t="shared" si="368"/>
        <v>0</v>
      </c>
      <c r="AW627">
        <f t="shared" si="369"/>
        <v>0</v>
      </c>
      <c r="AX627">
        <f t="shared" si="370"/>
        <v>0</v>
      </c>
      <c r="AY627">
        <f t="shared" si="371"/>
        <v>0</v>
      </c>
      <c r="AZ627">
        <f t="shared" si="372"/>
        <v>0</v>
      </c>
      <c r="BA627">
        <f t="shared" si="373"/>
        <v>0</v>
      </c>
      <c r="BB627">
        <f t="shared" si="374"/>
        <v>0</v>
      </c>
      <c r="BC627">
        <f t="shared" si="375"/>
        <v>0</v>
      </c>
      <c r="BD627">
        <f t="shared" si="376"/>
        <v>0</v>
      </c>
      <c r="BE627">
        <f t="shared" si="377"/>
        <v>0</v>
      </c>
      <c r="BF627">
        <f t="shared" si="378"/>
        <v>0</v>
      </c>
      <c r="BG627">
        <f t="shared" si="379"/>
        <v>0</v>
      </c>
      <c r="BH627">
        <f t="shared" si="380"/>
        <v>0</v>
      </c>
      <c r="BI627">
        <f t="shared" si="381"/>
        <v>0</v>
      </c>
    </row>
    <row r="628" spans="1:61" x14ac:dyDescent="0.35">
      <c r="A628" t="s">
        <v>51</v>
      </c>
      <c r="B628" s="1">
        <v>39366</v>
      </c>
      <c r="C628" t="s">
        <v>356</v>
      </c>
      <c r="D628" t="s">
        <v>45</v>
      </c>
      <c r="E628" t="s">
        <v>681</v>
      </c>
      <c r="F628" t="s">
        <v>602</v>
      </c>
      <c r="G628" t="s">
        <v>47</v>
      </c>
      <c r="H628" s="139">
        <f t="shared" si="330"/>
        <v>0</v>
      </c>
      <c r="I628" t="s">
        <v>268</v>
      </c>
      <c r="J628" t="s">
        <v>279</v>
      </c>
      <c r="K628" s="2">
        <f t="shared" si="358"/>
        <v>10</v>
      </c>
      <c r="L628">
        <v>48405150000</v>
      </c>
      <c r="M628" s="2">
        <f t="shared" si="359"/>
        <v>10.684891570272443</v>
      </c>
      <c r="N628">
        <v>31039150000</v>
      </c>
      <c r="O628">
        <v>17366000000</v>
      </c>
      <c r="P628" s="1">
        <v>42967</v>
      </c>
      <c r="Q628" s="89">
        <f t="shared" si="360"/>
        <v>2017</v>
      </c>
      <c r="R628" t="s">
        <v>107</v>
      </c>
      <c r="S628">
        <v>18800000000</v>
      </c>
      <c r="T628" s="21">
        <f t="shared" si="327"/>
        <v>9.8657534246575338</v>
      </c>
      <c r="U628">
        <v>0</v>
      </c>
      <c r="V628">
        <f t="shared" si="361"/>
        <v>0</v>
      </c>
      <c r="W628">
        <v>1912</v>
      </c>
      <c r="X628">
        <v>95</v>
      </c>
      <c r="Y628">
        <f t="shared" si="362"/>
        <v>1.9822712330395684</v>
      </c>
      <c r="Z628" s="45">
        <v>2.95</v>
      </c>
      <c r="AA628" s="9">
        <f t="shared" ref="AA628:AA691" si="382">S628-N628</f>
        <v>-12239150000</v>
      </c>
      <c r="AB628" s="15">
        <f t="shared" si="328"/>
        <v>-0.61161157438826241</v>
      </c>
      <c r="AC628" s="34">
        <f t="shared" si="363"/>
        <v>-0.41073372100876349</v>
      </c>
      <c r="AD628">
        <v>1455.046</v>
      </c>
      <c r="AE628">
        <f t="shared" si="331"/>
        <v>3.1628767233771686</v>
      </c>
      <c r="AF628">
        <v>4062.5129999999999</v>
      </c>
      <c r="AG628">
        <f t="shared" si="332"/>
        <v>3.6087947637270492</v>
      </c>
      <c r="AH628">
        <v>0</v>
      </c>
      <c r="AI628" s="9">
        <f t="shared" si="364"/>
        <v>0</v>
      </c>
      <c r="AJ628">
        <v>91.4</v>
      </c>
      <c r="AK628" t="s">
        <v>103</v>
      </c>
      <c r="AL628" s="42">
        <v>37.425715444240403</v>
      </c>
      <c r="AM628" s="24">
        <v>0.56000000000000005</v>
      </c>
      <c r="AN628" s="34">
        <f t="shared" si="365"/>
        <v>0.19312459835446161</v>
      </c>
      <c r="AO628">
        <v>1992</v>
      </c>
      <c r="AP628">
        <v>15</v>
      </c>
      <c r="AQ628">
        <v>70</v>
      </c>
      <c r="AR628">
        <v>70</v>
      </c>
      <c r="AS628">
        <f t="shared" si="329"/>
        <v>0</v>
      </c>
      <c r="AT628">
        <f t="shared" si="366"/>
        <v>1</v>
      </c>
      <c r="AU628">
        <f t="shared" si="367"/>
        <v>0</v>
      </c>
      <c r="AV628">
        <f t="shared" si="368"/>
        <v>0</v>
      </c>
      <c r="AW628">
        <f t="shared" si="369"/>
        <v>0</v>
      </c>
      <c r="AX628">
        <f t="shared" si="370"/>
        <v>0</v>
      </c>
      <c r="AY628">
        <f t="shared" si="371"/>
        <v>0</v>
      </c>
      <c r="AZ628">
        <f t="shared" si="372"/>
        <v>0</v>
      </c>
      <c r="BA628">
        <f t="shared" si="373"/>
        <v>0</v>
      </c>
      <c r="BB628">
        <f t="shared" si="374"/>
        <v>0</v>
      </c>
      <c r="BC628">
        <f t="shared" si="375"/>
        <v>0</v>
      </c>
      <c r="BD628">
        <f t="shared" si="376"/>
        <v>0</v>
      </c>
      <c r="BE628">
        <f t="shared" si="377"/>
        <v>0</v>
      </c>
      <c r="BF628">
        <f t="shared" si="378"/>
        <v>0</v>
      </c>
      <c r="BG628">
        <f t="shared" si="379"/>
        <v>0</v>
      </c>
      <c r="BH628">
        <f t="shared" si="380"/>
        <v>0</v>
      </c>
      <c r="BI628">
        <f t="shared" si="381"/>
        <v>0</v>
      </c>
    </row>
    <row r="629" spans="1:61" x14ac:dyDescent="0.35">
      <c r="A629" t="s">
        <v>51</v>
      </c>
      <c r="B629" s="1">
        <v>39017</v>
      </c>
      <c r="C629" t="s">
        <v>1235</v>
      </c>
      <c r="D629" t="s">
        <v>45</v>
      </c>
      <c r="E629" t="s">
        <v>677</v>
      </c>
      <c r="F629" t="s">
        <v>602</v>
      </c>
      <c r="G629" t="s">
        <v>47</v>
      </c>
      <c r="H629" s="139">
        <f t="shared" si="330"/>
        <v>0</v>
      </c>
      <c r="I629" t="s">
        <v>268</v>
      </c>
      <c r="J629" t="s">
        <v>248</v>
      </c>
      <c r="K629" s="2">
        <f t="shared" si="358"/>
        <v>5</v>
      </c>
      <c r="L629">
        <v>1793700000</v>
      </c>
      <c r="M629" s="2">
        <f t="shared" si="359"/>
        <v>9.253749808139812</v>
      </c>
      <c r="N629">
        <v>1657630000</v>
      </c>
      <c r="O629">
        <v>136070000</v>
      </c>
      <c r="P629" s="1">
        <v>42410</v>
      </c>
      <c r="Q629" s="89">
        <f t="shared" si="360"/>
        <v>2016</v>
      </c>
      <c r="R629" t="s">
        <v>54</v>
      </c>
      <c r="S629">
        <v>4600000000</v>
      </c>
      <c r="T629" s="21">
        <f t="shared" si="327"/>
        <v>9.2958904109589042</v>
      </c>
      <c r="U629">
        <v>0</v>
      </c>
      <c r="V629">
        <f t="shared" si="361"/>
        <v>0</v>
      </c>
      <c r="W629">
        <v>1965</v>
      </c>
      <c r="X629">
        <v>41</v>
      </c>
      <c r="Y629">
        <f t="shared" si="362"/>
        <v>1.6232492903979006</v>
      </c>
      <c r="Z629" s="45">
        <v>2.95</v>
      </c>
      <c r="AA629" s="9">
        <f t="shared" si="382"/>
        <v>2942370000</v>
      </c>
      <c r="AB629" s="15">
        <f t="shared" si="328"/>
        <v>1.56453141550984</v>
      </c>
      <c r="AC629" s="34">
        <f t="shared" si="363"/>
        <v>0.40900802354176158</v>
      </c>
      <c r="AD629">
        <v>1455.046</v>
      </c>
      <c r="AE629">
        <f t="shared" si="331"/>
        <v>3.1628767233771686</v>
      </c>
      <c r="AF629">
        <v>4062.5129999999999</v>
      </c>
      <c r="AG629">
        <f t="shared" si="332"/>
        <v>3.6087947637270492</v>
      </c>
      <c r="AH629">
        <v>0</v>
      </c>
      <c r="AI629" s="9">
        <f t="shared" si="364"/>
        <v>0</v>
      </c>
      <c r="AJ629">
        <v>93.2</v>
      </c>
      <c r="AK629" t="s">
        <v>103</v>
      </c>
      <c r="AL629" s="42">
        <v>36.669158714517401</v>
      </c>
      <c r="AM629" s="24">
        <v>0.34</v>
      </c>
      <c r="AN629" s="34">
        <f t="shared" si="365"/>
        <v>0.12710479836480765</v>
      </c>
      <c r="AO629">
        <v>1992</v>
      </c>
      <c r="AP629">
        <v>14</v>
      </c>
      <c r="AQ629">
        <v>70</v>
      </c>
      <c r="AR629">
        <v>70</v>
      </c>
      <c r="AS629">
        <f t="shared" si="329"/>
        <v>0</v>
      </c>
      <c r="AT629">
        <f t="shared" si="366"/>
        <v>1</v>
      </c>
      <c r="AU629">
        <f t="shared" si="367"/>
        <v>0</v>
      </c>
      <c r="AV629">
        <f t="shared" si="368"/>
        <v>0</v>
      </c>
      <c r="AW629">
        <f t="shared" si="369"/>
        <v>0</v>
      </c>
      <c r="AX629">
        <f t="shared" si="370"/>
        <v>0</v>
      </c>
      <c r="AY629">
        <f t="shared" si="371"/>
        <v>0</v>
      </c>
      <c r="AZ629">
        <f t="shared" si="372"/>
        <v>0</v>
      </c>
      <c r="BA629">
        <f t="shared" si="373"/>
        <v>0</v>
      </c>
      <c r="BB629">
        <f t="shared" si="374"/>
        <v>0</v>
      </c>
      <c r="BC629">
        <f t="shared" si="375"/>
        <v>0</v>
      </c>
      <c r="BD629">
        <f t="shared" si="376"/>
        <v>0</v>
      </c>
      <c r="BE629">
        <f t="shared" si="377"/>
        <v>0</v>
      </c>
      <c r="BF629">
        <f t="shared" si="378"/>
        <v>0</v>
      </c>
      <c r="BG629">
        <f t="shared" si="379"/>
        <v>0</v>
      </c>
      <c r="BH629">
        <f t="shared" si="380"/>
        <v>0</v>
      </c>
      <c r="BI629">
        <f t="shared" si="381"/>
        <v>0</v>
      </c>
    </row>
    <row r="630" spans="1:61" x14ac:dyDescent="0.35">
      <c r="A630" t="s">
        <v>51</v>
      </c>
      <c r="B630" s="1">
        <v>39051</v>
      </c>
      <c r="C630" t="s">
        <v>1236</v>
      </c>
      <c r="D630" t="s">
        <v>45</v>
      </c>
      <c r="E630" t="s">
        <v>677</v>
      </c>
      <c r="F630" t="s">
        <v>602</v>
      </c>
      <c r="G630" t="s">
        <v>47</v>
      </c>
      <c r="H630" s="139">
        <f t="shared" si="330"/>
        <v>0</v>
      </c>
      <c r="I630" t="s">
        <v>268</v>
      </c>
      <c r="J630" t="s">
        <v>178</v>
      </c>
      <c r="K630" s="2">
        <f t="shared" si="358"/>
        <v>9</v>
      </c>
      <c r="L630">
        <v>1072870000</v>
      </c>
      <c r="M630" s="2">
        <f t="shared" si="359"/>
        <v>9.030547101553049</v>
      </c>
      <c r="N630">
        <v>1320400000</v>
      </c>
      <c r="O630">
        <v>-247530000</v>
      </c>
      <c r="P630" s="1">
        <v>40479</v>
      </c>
      <c r="Q630" s="89">
        <f t="shared" si="360"/>
        <v>2010</v>
      </c>
      <c r="R630" t="s">
        <v>107</v>
      </c>
      <c r="S630">
        <v>2125000000</v>
      </c>
      <c r="T630" s="21">
        <f t="shared" si="327"/>
        <v>3.9123287671232876</v>
      </c>
      <c r="U630">
        <v>0</v>
      </c>
      <c r="V630">
        <f t="shared" si="361"/>
        <v>0</v>
      </c>
      <c r="W630">
        <v>1969</v>
      </c>
      <c r="X630">
        <v>37</v>
      </c>
      <c r="Y630">
        <f t="shared" si="362"/>
        <v>1.5797835966168101</v>
      </c>
      <c r="Z630" s="45">
        <v>2.95</v>
      </c>
      <c r="AA630" s="9">
        <f t="shared" si="382"/>
        <v>804600000</v>
      </c>
      <c r="AB630" s="15">
        <f t="shared" si="328"/>
        <v>0.98066867374425604</v>
      </c>
      <c r="AC630" s="34">
        <f t="shared" si="363"/>
        <v>0.29681183283328078</v>
      </c>
      <c r="AD630">
        <v>1455.046</v>
      </c>
      <c r="AE630">
        <f t="shared" si="331"/>
        <v>3.1628767233771686</v>
      </c>
      <c r="AF630">
        <v>4062.5129999999999</v>
      </c>
      <c r="AG630">
        <f t="shared" si="332"/>
        <v>3.6087947637270492</v>
      </c>
      <c r="AH630">
        <v>0</v>
      </c>
      <c r="AI630" s="9">
        <f t="shared" si="364"/>
        <v>0</v>
      </c>
      <c r="AJ630">
        <v>93.2</v>
      </c>
      <c r="AK630" t="s">
        <v>103</v>
      </c>
      <c r="AL630" s="42">
        <v>36.669158714517401</v>
      </c>
      <c r="AM630" s="24">
        <v>-0.15</v>
      </c>
      <c r="AN630" s="34">
        <f t="shared" si="365"/>
        <v>-7.0581074285707285E-2</v>
      </c>
      <c r="AO630">
        <v>1992</v>
      </c>
      <c r="AP630">
        <v>14</v>
      </c>
      <c r="AQ630">
        <v>70</v>
      </c>
      <c r="AR630">
        <v>70</v>
      </c>
      <c r="AS630">
        <f t="shared" si="329"/>
        <v>0</v>
      </c>
      <c r="AT630">
        <f t="shared" si="366"/>
        <v>1</v>
      </c>
      <c r="AU630">
        <f t="shared" si="367"/>
        <v>0</v>
      </c>
      <c r="AV630">
        <f t="shared" si="368"/>
        <v>0</v>
      </c>
      <c r="AW630">
        <f t="shared" si="369"/>
        <v>0</v>
      </c>
      <c r="AX630">
        <f t="shared" si="370"/>
        <v>0</v>
      </c>
      <c r="AY630">
        <f t="shared" si="371"/>
        <v>0</v>
      </c>
      <c r="AZ630">
        <f t="shared" si="372"/>
        <v>0</v>
      </c>
      <c r="BA630">
        <f t="shared" si="373"/>
        <v>0</v>
      </c>
      <c r="BB630">
        <f t="shared" si="374"/>
        <v>0</v>
      </c>
      <c r="BC630">
        <f t="shared" si="375"/>
        <v>0</v>
      </c>
      <c r="BD630">
        <f t="shared" si="376"/>
        <v>0</v>
      </c>
      <c r="BE630">
        <f t="shared" si="377"/>
        <v>0</v>
      </c>
      <c r="BF630">
        <f t="shared" si="378"/>
        <v>0</v>
      </c>
      <c r="BG630">
        <f t="shared" si="379"/>
        <v>0</v>
      </c>
      <c r="BH630">
        <f t="shared" si="380"/>
        <v>0</v>
      </c>
      <c r="BI630">
        <f t="shared" si="381"/>
        <v>0</v>
      </c>
    </row>
    <row r="631" spans="1:61" x14ac:dyDescent="0.35">
      <c r="A631" t="s">
        <v>51</v>
      </c>
      <c r="B631" s="1">
        <v>39113</v>
      </c>
      <c r="C631" t="s">
        <v>1237</v>
      </c>
      <c r="D631" t="s">
        <v>45</v>
      </c>
      <c r="E631" t="s">
        <v>677</v>
      </c>
      <c r="F631" t="s">
        <v>602</v>
      </c>
      <c r="G631" t="s">
        <v>47</v>
      </c>
      <c r="H631" s="139">
        <f t="shared" si="330"/>
        <v>0</v>
      </c>
      <c r="I631" t="s">
        <v>234</v>
      </c>
      <c r="J631" t="s">
        <v>248</v>
      </c>
      <c r="K631" s="2">
        <f t="shared" si="358"/>
        <v>5</v>
      </c>
      <c r="L631">
        <v>750000000</v>
      </c>
      <c r="M631" s="2">
        <f t="shared" si="359"/>
        <v>8.8750612633917001</v>
      </c>
      <c r="N631">
        <f>L631</f>
        <v>750000000</v>
      </c>
      <c r="O631">
        <v>0</v>
      </c>
      <c r="P631" s="1">
        <v>41194</v>
      </c>
      <c r="Q631" s="89">
        <f t="shared" si="360"/>
        <v>2012</v>
      </c>
      <c r="R631" t="s">
        <v>107</v>
      </c>
      <c r="S631">
        <v>1100000000</v>
      </c>
      <c r="T631" s="21">
        <f t="shared" si="327"/>
        <v>5.7013698630136984</v>
      </c>
      <c r="U631">
        <v>0</v>
      </c>
      <c r="V631">
        <f t="shared" si="361"/>
        <v>0</v>
      </c>
      <c r="W631">
        <v>1950</v>
      </c>
      <c r="X631">
        <v>57</v>
      </c>
      <c r="Y631">
        <f t="shared" si="362"/>
        <v>1.7634279935629373</v>
      </c>
      <c r="Z631" s="45">
        <v>2.95</v>
      </c>
      <c r="AA631" s="9">
        <f t="shared" si="382"/>
        <v>350000000</v>
      </c>
      <c r="AB631" s="15">
        <f t="shared" si="328"/>
        <v>0.46666666666666656</v>
      </c>
      <c r="AC631" s="34">
        <f t="shared" si="363"/>
        <v>0.16633142176652496</v>
      </c>
      <c r="AD631">
        <v>1455.046</v>
      </c>
      <c r="AE631">
        <f t="shared" si="331"/>
        <v>3.1628767233771686</v>
      </c>
      <c r="AF631">
        <v>4062.5129999999999</v>
      </c>
      <c r="AG631">
        <f t="shared" si="332"/>
        <v>3.6087947637270492</v>
      </c>
      <c r="AH631">
        <v>0</v>
      </c>
      <c r="AI631" s="9">
        <f t="shared" si="364"/>
        <v>0</v>
      </c>
      <c r="AJ631">
        <v>91.4</v>
      </c>
      <c r="AK631" t="s">
        <v>103</v>
      </c>
      <c r="AL631" s="42">
        <v>37.425715444240403</v>
      </c>
      <c r="AM631" s="24">
        <v>-0.01</v>
      </c>
      <c r="AN631" s="34">
        <f t="shared" si="365"/>
        <v>-4.3648054024500883E-3</v>
      </c>
      <c r="AO631">
        <v>1992</v>
      </c>
      <c r="AP631">
        <v>15</v>
      </c>
      <c r="AQ631">
        <v>70</v>
      </c>
      <c r="AR631">
        <v>70</v>
      </c>
      <c r="AS631">
        <f t="shared" si="329"/>
        <v>0</v>
      </c>
      <c r="AT631">
        <f t="shared" si="366"/>
        <v>1</v>
      </c>
      <c r="AU631">
        <f t="shared" si="367"/>
        <v>0</v>
      </c>
      <c r="AV631">
        <f t="shared" si="368"/>
        <v>0</v>
      </c>
      <c r="AW631">
        <f t="shared" si="369"/>
        <v>0</v>
      </c>
      <c r="AX631">
        <f t="shared" si="370"/>
        <v>0</v>
      </c>
      <c r="AY631">
        <f t="shared" si="371"/>
        <v>0</v>
      </c>
      <c r="AZ631">
        <f t="shared" si="372"/>
        <v>0</v>
      </c>
      <c r="BA631">
        <f t="shared" si="373"/>
        <v>0</v>
      </c>
      <c r="BB631">
        <f t="shared" si="374"/>
        <v>0</v>
      </c>
      <c r="BC631">
        <f t="shared" si="375"/>
        <v>0</v>
      </c>
      <c r="BD631">
        <f t="shared" si="376"/>
        <v>0</v>
      </c>
      <c r="BE631">
        <f t="shared" si="377"/>
        <v>0</v>
      </c>
      <c r="BF631">
        <f t="shared" si="378"/>
        <v>0</v>
      </c>
      <c r="BG631">
        <f t="shared" si="379"/>
        <v>0</v>
      </c>
      <c r="BH631">
        <f t="shared" si="380"/>
        <v>0</v>
      </c>
      <c r="BI631">
        <f t="shared" si="381"/>
        <v>0</v>
      </c>
    </row>
    <row r="632" spans="1:61" x14ac:dyDescent="0.35">
      <c r="A632" t="s">
        <v>51</v>
      </c>
      <c r="B632" s="1">
        <v>39405</v>
      </c>
      <c r="C632" t="s">
        <v>1238</v>
      </c>
      <c r="D632" t="s">
        <v>45</v>
      </c>
      <c r="E632" t="s">
        <v>677</v>
      </c>
      <c r="F632" t="s">
        <v>602</v>
      </c>
      <c r="G632" t="s">
        <v>47</v>
      </c>
      <c r="H632" s="139">
        <f t="shared" si="330"/>
        <v>0</v>
      </c>
      <c r="I632" t="s">
        <v>268</v>
      </c>
      <c r="J632" t="s">
        <v>186</v>
      </c>
      <c r="K632" s="2">
        <f t="shared" si="358"/>
        <v>4</v>
      </c>
      <c r="L632">
        <v>27149000000</v>
      </c>
      <c r="M632" s="2">
        <f t="shared" si="359"/>
        <v>10.433753837516758</v>
      </c>
      <c r="N632">
        <v>24989200000</v>
      </c>
      <c r="O632">
        <v>2159800000</v>
      </c>
      <c r="P632" s="1">
        <v>39822</v>
      </c>
      <c r="Q632" s="89">
        <f t="shared" si="360"/>
        <v>2009</v>
      </c>
      <c r="R632" t="s">
        <v>107</v>
      </c>
      <c r="S632">
        <v>28100000000</v>
      </c>
      <c r="T632" s="21">
        <f t="shared" si="327"/>
        <v>1.1424657534246576</v>
      </c>
      <c r="U632">
        <v>0</v>
      </c>
      <c r="V632">
        <f t="shared" si="361"/>
        <v>0</v>
      </c>
      <c r="W632">
        <v>1960</v>
      </c>
      <c r="X632">
        <v>47</v>
      </c>
      <c r="Y632">
        <f t="shared" si="362"/>
        <v>1.6812412373755872</v>
      </c>
      <c r="Z632" s="45">
        <v>2.95</v>
      </c>
      <c r="AA632" s="9">
        <f t="shared" si="382"/>
        <v>3110800000</v>
      </c>
      <c r="AB632" s="15">
        <f t="shared" si="328"/>
        <v>3.5028914508821618E-2</v>
      </c>
      <c r="AC632" s="34">
        <f t="shared" si="363"/>
        <v>1.4952482388323004E-2</v>
      </c>
      <c r="AD632">
        <v>1455.046</v>
      </c>
      <c r="AE632">
        <f t="shared" si="331"/>
        <v>3.1628767233771686</v>
      </c>
      <c r="AF632">
        <v>4062.5129999999999</v>
      </c>
      <c r="AG632">
        <f t="shared" si="332"/>
        <v>3.6087947637270492</v>
      </c>
      <c r="AH632">
        <v>0</v>
      </c>
      <c r="AI632" s="9">
        <f t="shared" si="364"/>
        <v>0</v>
      </c>
      <c r="AJ632">
        <v>91.4</v>
      </c>
      <c r="AK632" t="s">
        <v>103</v>
      </c>
      <c r="AL632" s="42">
        <v>37.425715444240403</v>
      </c>
      <c r="AM632" s="24">
        <v>-0.38</v>
      </c>
      <c r="AN632" s="34">
        <f t="shared" si="365"/>
        <v>-0.20760831050174613</v>
      </c>
      <c r="AO632">
        <v>1992</v>
      </c>
      <c r="AP632">
        <v>15</v>
      </c>
      <c r="AQ632">
        <v>70</v>
      </c>
      <c r="AR632">
        <v>70</v>
      </c>
      <c r="AS632">
        <f t="shared" si="329"/>
        <v>0</v>
      </c>
      <c r="AT632">
        <f t="shared" si="366"/>
        <v>1</v>
      </c>
      <c r="AU632">
        <f t="shared" si="367"/>
        <v>0</v>
      </c>
      <c r="AV632">
        <f t="shared" si="368"/>
        <v>0</v>
      </c>
      <c r="AW632">
        <f t="shared" si="369"/>
        <v>0</v>
      </c>
      <c r="AX632">
        <f t="shared" si="370"/>
        <v>0</v>
      </c>
      <c r="AY632">
        <f t="shared" si="371"/>
        <v>0</v>
      </c>
      <c r="AZ632">
        <f t="shared" si="372"/>
        <v>0</v>
      </c>
      <c r="BA632">
        <f t="shared" si="373"/>
        <v>0</v>
      </c>
      <c r="BB632">
        <f t="shared" si="374"/>
        <v>0</v>
      </c>
      <c r="BC632">
        <f t="shared" si="375"/>
        <v>0</v>
      </c>
      <c r="BD632">
        <f t="shared" si="376"/>
        <v>0</v>
      </c>
      <c r="BE632">
        <f t="shared" si="377"/>
        <v>0</v>
      </c>
      <c r="BF632">
        <f t="shared" si="378"/>
        <v>0</v>
      </c>
      <c r="BG632">
        <f t="shared" si="379"/>
        <v>0</v>
      </c>
      <c r="BH632">
        <f t="shared" si="380"/>
        <v>0</v>
      </c>
      <c r="BI632">
        <f t="shared" si="381"/>
        <v>0</v>
      </c>
    </row>
    <row r="633" spans="1:61" x14ac:dyDescent="0.35">
      <c r="A633" t="s">
        <v>51</v>
      </c>
      <c r="B633" s="1">
        <v>39351</v>
      </c>
      <c r="C633" t="s">
        <v>359</v>
      </c>
      <c r="D633" t="s">
        <v>45</v>
      </c>
      <c r="E633" t="s">
        <v>677</v>
      </c>
      <c r="F633" t="s">
        <v>602</v>
      </c>
      <c r="G633" t="s">
        <v>47</v>
      </c>
      <c r="H633" s="139">
        <f t="shared" si="330"/>
        <v>0</v>
      </c>
      <c r="I633" t="s">
        <v>268</v>
      </c>
      <c r="J633" t="s">
        <v>190</v>
      </c>
      <c r="K633" s="2">
        <f t="shared" si="358"/>
        <v>2</v>
      </c>
      <c r="L633">
        <v>11426960000</v>
      </c>
      <c r="M633" s="2">
        <f t="shared" si="359"/>
        <v>10.057930707138228</v>
      </c>
      <c r="N633">
        <v>11317740000</v>
      </c>
      <c r="O633">
        <v>109220000</v>
      </c>
      <c r="P633" s="1">
        <v>42179</v>
      </c>
      <c r="Q633" s="89">
        <f t="shared" si="360"/>
        <v>2015</v>
      </c>
      <c r="R633" t="s">
        <v>107</v>
      </c>
      <c r="S633">
        <v>13350000000</v>
      </c>
      <c r="T633" s="21">
        <f t="shared" si="327"/>
        <v>7.7479452054794518</v>
      </c>
      <c r="U633">
        <v>0</v>
      </c>
      <c r="V633">
        <f t="shared" si="361"/>
        <v>0</v>
      </c>
      <c r="W633">
        <v>1977</v>
      </c>
      <c r="X633">
        <v>30</v>
      </c>
      <c r="Y633">
        <f t="shared" si="362"/>
        <v>1.4913616938342726</v>
      </c>
      <c r="Z633" s="45">
        <v>2.95</v>
      </c>
      <c r="AA633" s="9">
        <f t="shared" si="382"/>
        <v>2032260000</v>
      </c>
      <c r="AB633" s="15">
        <f t="shared" si="328"/>
        <v>0.16828972885176818</v>
      </c>
      <c r="AC633" s="34">
        <f t="shared" si="363"/>
        <v>6.7550558562365803E-2</v>
      </c>
      <c r="AD633">
        <v>1455.046</v>
      </c>
      <c r="AE633">
        <f t="shared" si="331"/>
        <v>3.1628767233771686</v>
      </c>
      <c r="AF633">
        <v>4062.5129999999999</v>
      </c>
      <c r="AG633">
        <f t="shared" si="332"/>
        <v>3.6087947637270492</v>
      </c>
      <c r="AH633">
        <v>0</v>
      </c>
      <c r="AI633" s="9">
        <f t="shared" si="364"/>
        <v>0</v>
      </c>
      <c r="AJ633">
        <v>91.4</v>
      </c>
      <c r="AK633" t="s">
        <v>103</v>
      </c>
      <c r="AL633" s="42">
        <v>37.425715444240403</v>
      </c>
      <c r="AM633" s="24">
        <v>0.38</v>
      </c>
      <c r="AN633" s="34">
        <f t="shared" si="365"/>
        <v>0.13987908640123647</v>
      </c>
      <c r="AO633">
        <v>1992</v>
      </c>
      <c r="AP633">
        <v>15</v>
      </c>
      <c r="AQ633">
        <v>70</v>
      </c>
      <c r="AR633">
        <v>70</v>
      </c>
      <c r="AS633">
        <f t="shared" si="329"/>
        <v>0</v>
      </c>
      <c r="AT633">
        <f t="shared" si="366"/>
        <v>1</v>
      </c>
      <c r="AU633">
        <f t="shared" si="367"/>
        <v>0</v>
      </c>
      <c r="AV633">
        <f t="shared" si="368"/>
        <v>0</v>
      </c>
      <c r="AW633">
        <f t="shared" si="369"/>
        <v>0</v>
      </c>
      <c r="AX633">
        <f t="shared" si="370"/>
        <v>0</v>
      </c>
      <c r="AY633">
        <f t="shared" si="371"/>
        <v>0</v>
      </c>
      <c r="AZ633">
        <f t="shared" si="372"/>
        <v>0</v>
      </c>
      <c r="BA633">
        <f t="shared" si="373"/>
        <v>0</v>
      </c>
      <c r="BB633">
        <f t="shared" si="374"/>
        <v>0</v>
      </c>
      <c r="BC633">
        <f t="shared" si="375"/>
        <v>0</v>
      </c>
      <c r="BD633">
        <f t="shared" si="376"/>
        <v>0</v>
      </c>
      <c r="BE633">
        <f t="shared" si="377"/>
        <v>0</v>
      </c>
      <c r="BF633">
        <f t="shared" si="378"/>
        <v>0</v>
      </c>
      <c r="BG633">
        <f t="shared" si="379"/>
        <v>0</v>
      </c>
      <c r="BH633">
        <f t="shared" si="380"/>
        <v>0</v>
      </c>
      <c r="BI633">
        <f t="shared" si="381"/>
        <v>0</v>
      </c>
    </row>
    <row r="634" spans="1:61" x14ac:dyDescent="0.35">
      <c r="A634" t="s">
        <v>51</v>
      </c>
      <c r="B634" s="1">
        <v>39479</v>
      </c>
      <c r="C634" t="s">
        <v>1239</v>
      </c>
      <c r="D634" t="s">
        <v>45</v>
      </c>
      <c r="E634" t="s">
        <v>677</v>
      </c>
      <c r="F634" t="s">
        <v>602</v>
      </c>
      <c r="G634" t="s">
        <v>47</v>
      </c>
      <c r="H634" s="139">
        <f t="shared" si="330"/>
        <v>0</v>
      </c>
      <c r="I634" t="s">
        <v>234</v>
      </c>
      <c r="J634" t="s">
        <v>248</v>
      </c>
      <c r="K634" s="2">
        <f t="shared" si="358"/>
        <v>5</v>
      </c>
      <c r="L634">
        <v>441790000</v>
      </c>
      <c r="M634" s="2">
        <f t="shared" si="359"/>
        <v>8.6452158813091362</v>
      </c>
      <c r="N634">
        <f>L634</f>
        <v>441790000</v>
      </c>
      <c r="O634">
        <v>0</v>
      </c>
      <c r="P634" s="1">
        <v>40025</v>
      </c>
      <c r="Q634" s="89">
        <f t="shared" si="360"/>
        <v>2009</v>
      </c>
      <c r="R634" t="s">
        <v>107</v>
      </c>
      <c r="S634">
        <v>31000000</v>
      </c>
      <c r="T634" s="21">
        <f t="shared" si="327"/>
        <v>1.4958904109589042</v>
      </c>
      <c r="U634">
        <v>0</v>
      </c>
      <c r="V634">
        <f t="shared" si="361"/>
        <v>0</v>
      </c>
      <c r="W634">
        <v>1996</v>
      </c>
      <c r="X634">
        <v>12</v>
      </c>
      <c r="Y634">
        <f t="shared" si="362"/>
        <v>1.1139433523068367</v>
      </c>
      <c r="Z634" s="45">
        <v>2.95</v>
      </c>
      <c r="AA634" s="9">
        <f t="shared" si="382"/>
        <v>-410790000</v>
      </c>
      <c r="AB634" s="15">
        <f t="shared" si="328"/>
        <v>-0.92983091514067773</v>
      </c>
      <c r="AC634" s="34">
        <f t="shared" si="363"/>
        <v>-1.153854187474864</v>
      </c>
      <c r="AD634">
        <v>1455.046</v>
      </c>
      <c r="AE634">
        <f t="shared" si="331"/>
        <v>3.1628767233771686</v>
      </c>
      <c r="AF634">
        <v>4062.5129999999999</v>
      </c>
      <c r="AG634">
        <f t="shared" si="332"/>
        <v>3.6087947637270492</v>
      </c>
      <c r="AH634">
        <v>0</v>
      </c>
      <c r="AI634" s="9">
        <f t="shared" si="364"/>
        <v>0</v>
      </c>
      <c r="AJ634">
        <v>92.6</v>
      </c>
      <c r="AK634" t="s">
        <v>222</v>
      </c>
      <c r="AL634" s="42">
        <v>39.823361151429197</v>
      </c>
      <c r="AM634" s="24">
        <v>-0.28999999999999998</v>
      </c>
      <c r="AN634" s="34">
        <f t="shared" si="365"/>
        <v>-0.14874165128092473</v>
      </c>
      <c r="AO634">
        <v>1992</v>
      </c>
      <c r="AP634">
        <v>16</v>
      </c>
      <c r="AQ634">
        <v>70</v>
      </c>
      <c r="AR634">
        <v>70</v>
      </c>
      <c r="AS634">
        <f t="shared" si="329"/>
        <v>0</v>
      </c>
      <c r="AT634">
        <f t="shared" si="366"/>
        <v>1</v>
      </c>
      <c r="AU634">
        <f t="shared" si="367"/>
        <v>0</v>
      </c>
      <c r="AV634">
        <f t="shared" si="368"/>
        <v>0</v>
      </c>
      <c r="AW634">
        <f t="shared" si="369"/>
        <v>0</v>
      </c>
      <c r="AX634">
        <f t="shared" si="370"/>
        <v>0</v>
      </c>
      <c r="AY634">
        <f t="shared" si="371"/>
        <v>0</v>
      </c>
      <c r="AZ634">
        <f t="shared" si="372"/>
        <v>0</v>
      </c>
      <c r="BA634">
        <f t="shared" si="373"/>
        <v>0</v>
      </c>
      <c r="BB634">
        <f t="shared" si="374"/>
        <v>0</v>
      </c>
      <c r="BC634">
        <f t="shared" si="375"/>
        <v>0</v>
      </c>
      <c r="BD634">
        <f t="shared" si="376"/>
        <v>0</v>
      </c>
      <c r="BE634">
        <f t="shared" si="377"/>
        <v>0</v>
      </c>
      <c r="BF634">
        <f t="shared" si="378"/>
        <v>0</v>
      </c>
      <c r="BG634">
        <f t="shared" si="379"/>
        <v>0</v>
      </c>
      <c r="BH634">
        <f t="shared" si="380"/>
        <v>0</v>
      </c>
      <c r="BI634">
        <f t="shared" si="381"/>
        <v>0</v>
      </c>
    </row>
    <row r="635" spans="1:61" x14ac:dyDescent="0.35">
      <c r="A635" t="s">
        <v>51</v>
      </c>
      <c r="B635" s="1">
        <v>39504</v>
      </c>
      <c r="C635" t="s">
        <v>1240</v>
      </c>
      <c r="D635" t="s">
        <v>45</v>
      </c>
      <c r="E635" t="s">
        <v>677</v>
      </c>
      <c r="F635" t="s">
        <v>602</v>
      </c>
      <c r="G635" t="s">
        <v>47</v>
      </c>
      <c r="H635" s="139">
        <f t="shared" si="330"/>
        <v>0</v>
      </c>
      <c r="I635" t="s">
        <v>268</v>
      </c>
      <c r="J635" t="s">
        <v>190</v>
      </c>
      <c r="K635" s="2">
        <f t="shared" si="358"/>
        <v>2</v>
      </c>
      <c r="L635">
        <v>983670000</v>
      </c>
      <c r="M635" s="2">
        <f t="shared" si="359"/>
        <v>8.9928494264636107</v>
      </c>
      <c r="N635">
        <v>1292650000</v>
      </c>
      <c r="O635">
        <v>-308980000</v>
      </c>
      <c r="P635" s="1">
        <v>41673</v>
      </c>
      <c r="Q635" s="89">
        <f t="shared" si="360"/>
        <v>2014</v>
      </c>
      <c r="R635" t="s">
        <v>107</v>
      </c>
      <c r="S635">
        <v>2900000000</v>
      </c>
      <c r="T635" s="21">
        <f t="shared" si="327"/>
        <v>5.9424657534246572</v>
      </c>
      <c r="U635">
        <v>0</v>
      </c>
      <c r="V635">
        <f t="shared" si="361"/>
        <v>0</v>
      </c>
      <c r="W635">
        <v>1991</v>
      </c>
      <c r="X635">
        <v>17</v>
      </c>
      <c r="Y635">
        <f t="shared" si="362"/>
        <v>1.255272505103306</v>
      </c>
      <c r="Z635" s="45">
        <v>2.95</v>
      </c>
      <c r="AA635" s="9">
        <f t="shared" si="382"/>
        <v>1607350000</v>
      </c>
      <c r="AB635" s="15">
        <f t="shared" si="328"/>
        <v>1.9481431780983458</v>
      </c>
      <c r="AC635" s="34">
        <f t="shared" si="363"/>
        <v>0.46954857143534467</v>
      </c>
      <c r="AD635">
        <v>1455.046</v>
      </c>
      <c r="AE635">
        <f t="shared" si="331"/>
        <v>3.1628767233771686</v>
      </c>
      <c r="AF635">
        <v>4062.5129999999999</v>
      </c>
      <c r="AG635">
        <f t="shared" si="332"/>
        <v>3.6087947637270492</v>
      </c>
      <c r="AH635">
        <v>0</v>
      </c>
      <c r="AI635" s="9">
        <f t="shared" si="364"/>
        <v>0</v>
      </c>
      <c r="AJ635">
        <v>92.6</v>
      </c>
      <c r="AK635" t="s">
        <v>222</v>
      </c>
      <c r="AL635" s="42">
        <v>39.823361151429197</v>
      </c>
      <c r="AM635" s="24">
        <v>0.26</v>
      </c>
      <c r="AN635" s="34">
        <f t="shared" si="365"/>
        <v>0.10037054511756291</v>
      </c>
      <c r="AO635">
        <v>1992</v>
      </c>
      <c r="AP635">
        <v>16</v>
      </c>
      <c r="AQ635">
        <v>70</v>
      </c>
      <c r="AR635">
        <v>70</v>
      </c>
      <c r="AS635">
        <f t="shared" si="329"/>
        <v>0</v>
      </c>
      <c r="AT635">
        <f t="shared" si="366"/>
        <v>1</v>
      </c>
      <c r="AU635">
        <f t="shared" si="367"/>
        <v>0</v>
      </c>
      <c r="AV635">
        <f t="shared" si="368"/>
        <v>0</v>
      </c>
      <c r="AW635">
        <f t="shared" si="369"/>
        <v>0</v>
      </c>
      <c r="AX635">
        <f t="shared" si="370"/>
        <v>0</v>
      </c>
      <c r="AY635">
        <f t="shared" si="371"/>
        <v>0</v>
      </c>
      <c r="AZ635">
        <f t="shared" si="372"/>
        <v>0</v>
      </c>
      <c r="BA635">
        <f t="shared" si="373"/>
        <v>0</v>
      </c>
      <c r="BB635">
        <f t="shared" si="374"/>
        <v>0</v>
      </c>
      <c r="BC635">
        <f t="shared" si="375"/>
        <v>0</v>
      </c>
      <c r="BD635">
        <f t="shared" si="376"/>
        <v>0</v>
      </c>
      <c r="BE635">
        <f t="shared" si="377"/>
        <v>0</v>
      </c>
      <c r="BF635">
        <f t="shared" si="378"/>
        <v>0</v>
      </c>
      <c r="BG635">
        <f t="shared" si="379"/>
        <v>0</v>
      </c>
      <c r="BH635">
        <f t="shared" si="380"/>
        <v>0</v>
      </c>
      <c r="BI635">
        <f t="shared" si="381"/>
        <v>0</v>
      </c>
    </row>
    <row r="636" spans="1:61" x14ac:dyDescent="0.35">
      <c r="A636" t="s">
        <v>51</v>
      </c>
      <c r="B636" s="1">
        <v>39706</v>
      </c>
      <c r="C636" t="s">
        <v>1241</v>
      </c>
      <c r="D636" t="s">
        <v>45</v>
      </c>
      <c r="E636" t="s">
        <v>677</v>
      </c>
      <c r="F636" t="s">
        <v>602</v>
      </c>
      <c r="G636" t="s">
        <v>47</v>
      </c>
      <c r="H636" s="139">
        <f t="shared" si="330"/>
        <v>0</v>
      </c>
      <c r="I636" t="s">
        <v>234</v>
      </c>
      <c r="J636" t="s">
        <v>186</v>
      </c>
      <c r="K636" s="2">
        <f t="shared" si="358"/>
        <v>4</v>
      </c>
      <c r="L636">
        <v>480000000</v>
      </c>
      <c r="M636" s="2">
        <f t="shared" si="359"/>
        <v>8.6812412373755876</v>
      </c>
      <c r="N636">
        <f>L636</f>
        <v>480000000</v>
      </c>
      <c r="O636">
        <v>0</v>
      </c>
      <c r="P636" s="1">
        <v>42124</v>
      </c>
      <c r="Q636" s="89">
        <f t="shared" si="360"/>
        <v>2015</v>
      </c>
      <c r="R636" t="s">
        <v>107</v>
      </c>
      <c r="S636">
        <v>600000000</v>
      </c>
      <c r="T636" s="21">
        <f t="shared" si="327"/>
        <v>6.624657534246575</v>
      </c>
      <c r="U636">
        <v>0</v>
      </c>
      <c r="V636">
        <f t="shared" si="361"/>
        <v>0</v>
      </c>
      <c r="W636">
        <v>1998</v>
      </c>
      <c r="X636">
        <v>10</v>
      </c>
      <c r="Y636">
        <f t="shared" si="362"/>
        <v>1.0413926851582251</v>
      </c>
      <c r="Z636" s="45">
        <v>2.95</v>
      </c>
      <c r="AA636" s="9">
        <f t="shared" si="382"/>
        <v>120000000</v>
      </c>
      <c r="AB636" s="15">
        <f t="shared" si="328"/>
        <v>0.25</v>
      </c>
      <c r="AC636" s="34">
        <f t="shared" si="363"/>
        <v>9.691001300805642E-2</v>
      </c>
      <c r="AD636">
        <v>1455.046</v>
      </c>
      <c r="AE636">
        <f t="shared" si="331"/>
        <v>3.1628767233771686</v>
      </c>
      <c r="AF636">
        <v>4062.5129999999999</v>
      </c>
      <c r="AG636">
        <f t="shared" si="332"/>
        <v>3.6087947637270492</v>
      </c>
      <c r="AH636">
        <v>0</v>
      </c>
      <c r="AI636" s="9">
        <f t="shared" si="364"/>
        <v>0</v>
      </c>
      <c r="AJ636">
        <v>92.6</v>
      </c>
      <c r="AK636" t="s">
        <v>222</v>
      </c>
      <c r="AL636" s="42">
        <v>39.823361151429197</v>
      </c>
      <c r="AM636" s="24">
        <v>0.75</v>
      </c>
      <c r="AN636" s="34">
        <f t="shared" si="365"/>
        <v>0.24303804868629444</v>
      </c>
      <c r="AO636">
        <v>1992</v>
      </c>
      <c r="AP636">
        <v>16</v>
      </c>
      <c r="AQ636">
        <v>70</v>
      </c>
      <c r="AR636">
        <v>70</v>
      </c>
      <c r="AS636">
        <f t="shared" si="329"/>
        <v>0</v>
      </c>
      <c r="AT636">
        <f t="shared" si="366"/>
        <v>1</v>
      </c>
      <c r="AU636">
        <f t="shared" si="367"/>
        <v>0</v>
      </c>
      <c r="AV636">
        <f t="shared" si="368"/>
        <v>0</v>
      </c>
      <c r="AW636">
        <f t="shared" si="369"/>
        <v>0</v>
      </c>
      <c r="AX636">
        <f t="shared" si="370"/>
        <v>0</v>
      </c>
      <c r="AY636">
        <f t="shared" si="371"/>
        <v>0</v>
      </c>
      <c r="AZ636">
        <f t="shared" si="372"/>
        <v>0</v>
      </c>
      <c r="BA636">
        <f t="shared" si="373"/>
        <v>0</v>
      </c>
      <c r="BB636">
        <f t="shared" si="374"/>
        <v>0</v>
      </c>
      <c r="BC636">
        <f t="shared" si="375"/>
        <v>0</v>
      </c>
      <c r="BD636">
        <f t="shared" si="376"/>
        <v>0</v>
      </c>
      <c r="BE636">
        <f t="shared" si="377"/>
        <v>0</v>
      </c>
      <c r="BF636">
        <f t="shared" si="378"/>
        <v>0</v>
      </c>
      <c r="BG636">
        <f t="shared" si="379"/>
        <v>0</v>
      </c>
      <c r="BH636">
        <f t="shared" si="380"/>
        <v>0</v>
      </c>
      <c r="BI636">
        <f t="shared" si="381"/>
        <v>0</v>
      </c>
    </row>
    <row r="637" spans="1:61" x14ac:dyDescent="0.35">
      <c r="A637" t="s">
        <v>51</v>
      </c>
      <c r="B637" s="1">
        <v>39174</v>
      </c>
      <c r="C637" t="s">
        <v>1242</v>
      </c>
      <c r="D637" t="s">
        <v>45</v>
      </c>
      <c r="E637" t="s">
        <v>1219</v>
      </c>
      <c r="F637" t="s">
        <v>602</v>
      </c>
      <c r="G637" t="s">
        <v>47</v>
      </c>
      <c r="H637" s="139">
        <f t="shared" si="330"/>
        <v>0</v>
      </c>
      <c r="I637" t="s">
        <v>268</v>
      </c>
      <c r="J637" t="s">
        <v>178</v>
      </c>
      <c r="K637" s="2">
        <f t="shared" si="358"/>
        <v>9</v>
      </c>
      <c r="L637">
        <v>4997640000</v>
      </c>
      <c r="M637" s="2">
        <f t="shared" si="359"/>
        <v>9.6987649689484012</v>
      </c>
      <c r="N637">
        <v>4376890000</v>
      </c>
      <c r="O637">
        <v>620760000</v>
      </c>
      <c r="P637" s="1">
        <v>43430</v>
      </c>
      <c r="Q637" s="89">
        <f t="shared" si="360"/>
        <v>2018</v>
      </c>
      <c r="R637" t="s">
        <v>322</v>
      </c>
      <c r="S637">
        <v>4904600000</v>
      </c>
      <c r="T637" s="21">
        <f t="shared" si="327"/>
        <v>11.66027397260274</v>
      </c>
      <c r="U637">
        <v>0</v>
      </c>
      <c r="V637">
        <f t="shared" si="361"/>
        <v>0</v>
      </c>
      <c r="W637">
        <v>1960</v>
      </c>
      <c r="X637">
        <v>47</v>
      </c>
      <c r="Y637">
        <f t="shared" si="362"/>
        <v>1.6812412373755872</v>
      </c>
      <c r="Z637" s="45">
        <v>2.95</v>
      </c>
      <c r="AA637" s="9">
        <f t="shared" si="382"/>
        <v>527710000</v>
      </c>
      <c r="AB637" s="15">
        <f t="shared" si="328"/>
        <v>-1.8616787123522327E-2</v>
      </c>
      <c r="AC637" s="34">
        <f t="shared" si="363"/>
        <v>-8.1613751481204207E-3</v>
      </c>
      <c r="AD637">
        <v>1455.046</v>
      </c>
      <c r="AE637">
        <f t="shared" si="331"/>
        <v>3.1628767233771686</v>
      </c>
      <c r="AF637">
        <v>4062.5129999999999</v>
      </c>
      <c r="AG637">
        <f t="shared" si="332"/>
        <v>3.6087947637270492</v>
      </c>
      <c r="AH637">
        <v>0</v>
      </c>
      <c r="AI637" s="9">
        <f t="shared" si="364"/>
        <v>0</v>
      </c>
      <c r="AJ637">
        <v>91.4</v>
      </c>
      <c r="AK637" t="s">
        <v>103</v>
      </c>
      <c r="AL637" s="42">
        <v>37.425715444240403</v>
      </c>
      <c r="AM637" s="24">
        <v>0.88</v>
      </c>
      <c r="AN637" s="34">
        <f t="shared" si="365"/>
        <v>0.27415784926367981</v>
      </c>
      <c r="AO637">
        <v>1992</v>
      </c>
      <c r="AP637">
        <v>15</v>
      </c>
      <c r="AQ637">
        <v>70</v>
      </c>
      <c r="AR637">
        <v>70</v>
      </c>
      <c r="AS637">
        <f t="shared" si="329"/>
        <v>0</v>
      </c>
      <c r="AT637">
        <f t="shared" si="366"/>
        <v>1</v>
      </c>
      <c r="AU637">
        <f t="shared" si="367"/>
        <v>0</v>
      </c>
      <c r="AV637">
        <f t="shared" si="368"/>
        <v>0</v>
      </c>
      <c r="AW637">
        <f t="shared" si="369"/>
        <v>0</v>
      </c>
      <c r="AX637">
        <f t="shared" si="370"/>
        <v>0</v>
      </c>
      <c r="AY637">
        <f t="shared" si="371"/>
        <v>0</v>
      </c>
      <c r="AZ637">
        <f t="shared" si="372"/>
        <v>0</v>
      </c>
      <c r="BA637">
        <f t="shared" si="373"/>
        <v>0</v>
      </c>
      <c r="BB637">
        <f t="shared" si="374"/>
        <v>0</v>
      </c>
      <c r="BC637">
        <f t="shared" si="375"/>
        <v>0</v>
      </c>
      <c r="BD637">
        <f t="shared" si="376"/>
        <v>0</v>
      </c>
      <c r="BE637">
        <f t="shared" si="377"/>
        <v>0</v>
      </c>
      <c r="BF637">
        <f t="shared" si="378"/>
        <v>0</v>
      </c>
      <c r="BG637">
        <f t="shared" si="379"/>
        <v>0</v>
      </c>
      <c r="BH637">
        <f t="shared" si="380"/>
        <v>0</v>
      </c>
      <c r="BI637">
        <f t="shared" si="381"/>
        <v>0</v>
      </c>
    </row>
    <row r="638" spans="1:61" x14ac:dyDescent="0.35">
      <c r="A638" t="s">
        <v>51</v>
      </c>
      <c r="B638" s="1">
        <v>40388</v>
      </c>
      <c r="C638" t="s">
        <v>1243</v>
      </c>
      <c r="D638" t="s">
        <v>45</v>
      </c>
      <c r="E638" t="s">
        <v>691</v>
      </c>
      <c r="F638" t="s">
        <v>602</v>
      </c>
      <c r="G638" t="s">
        <v>47</v>
      </c>
      <c r="H638" s="139">
        <f t="shared" si="330"/>
        <v>0</v>
      </c>
      <c r="I638" t="s">
        <v>234</v>
      </c>
      <c r="J638" t="s">
        <v>178</v>
      </c>
      <c r="K638" s="2">
        <f t="shared" si="358"/>
        <v>9</v>
      </c>
      <c r="L638">
        <v>1400000000</v>
      </c>
      <c r="M638" s="2">
        <f t="shared" si="359"/>
        <v>9.1461280356782382</v>
      </c>
      <c r="N638">
        <f>L638</f>
        <v>1400000000</v>
      </c>
      <c r="O638">
        <v>0</v>
      </c>
      <c r="P638" s="1">
        <v>42551</v>
      </c>
      <c r="Q638" s="89">
        <f t="shared" si="360"/>
        <v>2016</v>
      </c>
      <c r="R638" t="s">
        <v>54</v>
      </c>
      <c r="S638">
        <v>2700000000</v>
      </c>
      <c r="T638" s="21">
        <f t="shared" si="327"/>
        <v>5.9260273972602739</v>
      </c>
      <c r="U638">
        <v>0</v>
      </c>
      <c r="V638">
        <f t="shared" si="361"/>
        <v>0</v>
      </c>
      <c r="W638">
        <v>1969</v>
      </c>
      <c r="X638">
        <v>41</v>
      </c>
      <c r="Y638">
        <f t="shared" si="362"/>
        <v>1.6232492903979006</v>
      </c>
      <c r="Z638" s="45">
        <v>2.95</v>
      </c>
      <c r="AA638" s="9">
        <f t="shared" si="382"/>
        <v>1300000000</v>
      </c>
      <c r="AB638" s="15">
        <f t="shared" si="328"/>
        <v>0.9285714285714286</v>
      </c>
      <c r="AC638" s="34">
        <f t="shared" si="363"/>
        <v>0.2852357284807493</v>
      </c>
      <c r="AD638">
        <v>1455.046</v>
      </c>
      <c r="AE638">
        <f t="shared" si="331"/>
        <v>3.1628767233771686</v>
      </c>
      <c r="AF638">
        <v>4062.5129999999999</v>
      </c>
      <c r="AG638">
        <f t="shared" si="332"/>
        <v>3.6087947637270492</v>
      </c>
      <c r="AH638">
        <v>0</v>
      </c>
      <c r="AI638" s="9">
        <f t="shared" si="364"/>
        <v>0</v>
      </c>
      <c r="AJ638">
        <v>91.3</v>
      </c>
      <c r="AK638" t="s">
        <v>136</v>
      </c>
      <c r="AL638" s="42">
        <v>43.1672842383418</v>
      </c>
      <c r="AM638" s="24">
        <v>0.91</v>
      </c>
      <c r="AN638" s="34">
        <f t="shared" si="365"/>
        <v>0.28103336724772759</v>
      </c>
      <c r="AO638">
        <v>1992</v>
      </c>
      <c r="AP638">
        <v>18</v>
      </c>
      <c r="AQ638">
        <v>70</v>
      </c>
      <c r="AR638">
        <v>70</v>
      </c>
      <c r="AS638">
        <f t="shared" si="329"/>
        <v>0</v>
      </c>
      <c r="AT638">
        <f t="shared" si="366"/>
        <v>1</v>
      </c>
      <c r="AU638">
        <f t="shared" si="367"/>
        <v>0</v>
      </c>
      <c r="AV638">
        <f t="shared" si="368"/>
        <v>0</v>
      </c>
      <c r="AW638">
        <f t="shared" si="369"/>
        <v>0</v>
      </c>
      <c r="AX638">
        <f t="shared" si="370"/>
        <v>0</v>
      </c>
      <c r="AY638">
        <f t="shared" si="371"/>
        <v>0</v>
      </c>
      <c r="AZ638">
        <f t="shared" si="372"/>
        <v>0</v>
      </c>
      <c r="BA638">
        <f t="shared" si="373"/>
        <v>0</v>
      </c>
      <c r="BB638">
        <f t="shared" si="374"/>
        <v>0</v>
      </c>
      <c r="BC638">
        <f t="shared" si="375"/>
        <v>0</v>
      </c>
      <c r="BD638">
        <f t="shared" si="376"/>
        <v>0</v>
      </c>
      <c r="BE638">
        <f t="shared" si="377"/>
        <v>0</v>
      </c>
      <c r="BF638">
        <f t="shared" si="378"/>
        <v>0</v>
      </c>
      <c r="BG638">
        <f t="shared" si="379"/>
        <v>0</v>
      </c>
      <c r="BH638">
        <f t="shared" si="380"/>
        <v>0</v>
      </c>
      <c r="BI638">
        <f t="shared" si="381"/>
        <v>0</v>
      </c>
    </row>
    <row r="639" spans="1:61" x14ac:dyDescent="0.35">
      <c r="A639" t="s">
        <v>352</v>
      </c>
      <c r="B639" s="1">
        <v>41404</v>
      </c>
      <c r="C639" t="s">
        <v>1244</v>
      </c>
      <c r="D639" t="s">
        <v>45</v>
      </c>
      <c r="E639" t="s">
        <v>691</v>
      </c>
      <c r="F639" t="s">
        <v>602</v>
      </c>
      <c r="G639" t="s">
        <v>47</v>
      </c>
      <c r="H639" s="139">
        <f t="shared" si="330"/>
        <v>0</v>
      </c>
      <c r="I639" t="s">
        <v>234</v>
      </c>
      <c r="J639" t="s">
        <v>178</v>
      </c>
      <c r="K639" s="2">
        <f t="shared" si="358"/>
        <v>9</v>
      </c>
      <c r="L639">
        <v>190440000</v>
      </c>
      <c r="M639" s="2">
        <f t="shared" si="359"/>
        <v>8.2797581728024738</v>
      </c>
      <c r="N639">
        <f>L639</f>
        <v>190440000</v>
      </c>
      <c r="O639">
        <v>0</v>
      </c>
      <c r="P639" s="1">
        <v>41865</v>
      </c>
      <c r="Q639" s="89">
        <f t="shared" si="360"/>
        <v>2014</v>
      </c>
      <c r="R639" t="s">
        <v>322</v>
      </c>
      <c r="S639">
        <v>117500000</v>
      </c>
      <c r="T639" s="21">
        <f t="shared" si="327"/>
        <v>1.263013698630137</v>
      </c>
      <c r="U639">
        <v>0</v>
      </c>
      <c r="V639">
        <f t="shared" si="361"/>
        <v>0</v>
      </c>
      <c r="W639">
        <v>1983</v>
      </c>
      <c r="X639">
        <v>30</v>
      </c>
      <c r="Y639">
        <f t="shared" si="362"/>
        <v>1.4913616938342726</v>
      </c>
      <c r="Z639" s="45">
        <v>2.95</v>
      </c>
      <c r="AA639" s="9">
        <f t="shared" si="382"/>
        <v>-72940000</v>
      </c>
      <c r="AB639" s="15">
        <f t="shared" si="328"/>
        <v>-0.38300777147658061</v>
      </c>
      <c r="AC639" s="34">
        <f t="shared" si="363"/>
        <v>-0.20972030619471799</v>
      </c>
      <c r="AD639">
        <v>1455.046</v>
      </c>
      <c r="AE639">
        <f t="shared" si="331"/>
        <v>3.1628767233771686</v>
      </c>
      <c r="AF639">
        <v>4062.5129999999999</v>
      </c>
      <c r="AG639">
        <f t="shared" si="332"/>
        <v>3.6087947637270492</v>
      </c>
      <c r="AH639">
        <v>0</v>
      </c>
      <c r="AI639" s="9">
        <f t="shared" si="364"/>
        <v>0</v>
      </c>
      <c r="AJ639">
        <v>90.5</v>
      </c>
      <c r="AK639" t="s">
        <v>222</v>
      </c>
      <c r="AL639" s="42">
        <v>39.010023979360902</v>
      </c>
      <c r="AM639" s="24">
        <v>0.2</v>
      </c>
      <c r="AN639" s="34">
        <f t="shared" si="365"/>
        <v>7.9181246047624818E-2</v>
      </c>
      <c r="AO639">
        <v>1992</v>
      </c>
      <c r="AP639">
        <v>21</v>
      </c>
      <c r="AQ639">
        <v>70</v>
      </c>
      <c r="AR639">
        <v>70</v>
      </c>
      <c r="AS639">
        <f t="shared" si="329"/>
        <v>0</v>
      </c>
      <c r="AT639">
        <f t="shared" si="366"/>
        <v>1</v>
      </c>
      <c r="AU639">
        <f t="shared" si="367"/>
        <v>0</v>
      </c>
      <c r="AV639">
        <f t="shared" si="368"/>
        <v>0</v>
      </c>
      <c r="AW639">
        <f t="shared" si="369"/>
        <v>0</v>
      </c>
      <c r="AX639">
        <f t="shared" si="370"/>
        <v>0</v>
      </c>
      <c r="AY639">
        <f t="shared" si="371"/>
        <v>0</v>
      </c>
      <c r="AZ639">
        <f t="shared" si="372"/>
        <v>0</v>
      </c>
      <c r="BA639">
        <f t="shared" si="373"/>
        <v>0</v>
      </c>
      <c r="BB639">
        <f t="shared" si="374"/>
        <v>0</v>
      </c>
      <c r="BC639">
        <f t="shared" si="375"/>
        <v>0</v>
      </c>
      <c r="BD639">
        <f t="shared" si="376"/>
        <v>0</v>
      </c>
      <c r="BE639">
        <f t="shared" si="377"/>
        <v>0</v>
      </c>
      <c r="BF639">
        <f t="shared" si="378"/>
        <v>0</v>
      </c>
      <c r="BG639">
        <f t="shared" si="379"/>
        <v>0</v>
      </c>
      <c r="BH639">
        <f t="shared" si="380"/>
        <v>0</v>
      </c>
      <c r="BI639">
        <f t="shared" si="381"/>
        <v>0</v>
      </c>
    </row>
    <row r="640" spans="1:61" x14ac:dyDescent="0.35">
      <c r="A640" t="s">
        <v>51</v>
      </c>
      <c r="B640" s="1">
        <v>41852</v>
      </c>
      <c r="C640" t="s">
        <v>1245</v>
      </c>
      <c r="D640" t="s">
        <v>45</v>
      </c>
      <c r="E640" t="s">
        <v>691</v>
      </c>
      <c r="F640" t="s">
        <v>602</v>
      </c>
      <c r="G640" t="s">
        <v>47</v>
      </c>
      <c r="H640" s="139">
        <f t="shared" si="330"/>
        <v>0</v>
      </c>
      <c r="I640" t="s">
        <v>234</v>
      </c>
      <c r="J640" t="s">
        <v>245</v>
      </c>
      <c r="K640" s="2">
        <f t="shared" si="358"/>
        <v>6</v>
      </c>
      <c r="L640">
        <v>1500000000</v>
      </c>
      <c r="M640" s="2">
        <f t="shared" si="359"/>
        <v>9.1760912590556813</v>
      </c>
      <c r="N640">
        <f>L640</f>
        <v>1500000000</v>
      </c>
      <c r="O640">
        <v>0</v>
      </c>
      <c r="P640" s="1">
        <v>43251</v>
      </c>
      <c r="Q640" s="89">
        <f t="shared" si="360"/>
        <v>2018</v>
      </c>
      <c r="R640" t="s">
        <v>107</v>
      </c>
      <c r="S640">
        <v>2499110000</v>
      </c>
      <c r="T640" s="21">
        <f t="shared" si="327"/>
        <v>3.8328767123287673</v>
      </c>
      <c r="U640">
        <v>0</v>
      </c>
      <c r="V640">
        <f t="shared" si="361"/>
        <v>0</v>
      </c>
      <c r="W640">
        <v>1964</v>
      </c>
      <c r="X640">
        <v>50</v>
      </c>
      <c r="Y640">
        <f t="shared" si="362"/>
        <v>1.7075701760979363</v>
      </c>
      <c r="Z640" s="45">
        <v>2.95</v>
      </c>
      <c r="AA640" s="9">
        <f t="shared" si="382"/>
        <v>999110000</v>
      </c>
      <c r="AB640" s="15">
        <f t="shared" si="328"/>
        <v>0.6660733333333333</v>
      </c>
      <c r="AC640" s="34">
        <f t="shared" si="363"/>
        <v>0.22169411325389282</v>
      </c>
      <c r="AD640">
        <v>1455.046</v>
      </c>
      <c r="AE640">
        <f t="shared" si="331"/>
        <v>3.1628767233771686</v>
      </c>
      <c r="AF640">
        <v>4062.5129999999999</v>
      </c>
      <c r="AG640">
        <f t="shared" si="332"/>
        <v>3.6087947637270492</v>
      </c>
      <c r="AH640">
        <v>0</v>
      </c>
      <c r="AI640" s="9">
        <f t="shared" si="364"/>
        <v>0</v>
      </c>
      <c r="AJ640">
        <v>89.2</v>
      </c>
      <c r="AK640" t="s">
        <v>313</v>
      </c>
      <c r="AL640" s="42">
        <v>38.344872802923099</v>
      </c>
      <c r="AM640" s="24">
        <v>0.41</v>
      </c>
      <c r="AN640" s="34">
        <f t="shared" si="365"/>
        <v>0.14921911265537988</v>
      </c>
      <c r="AO640">
        <v>1992</v>
      </c>
      <c r="AP640">
        <v>22</v>
      </c>
      <c r="AQ640">
        <v>70</v>
      </c>
      <c r="AR640">
        <v>70</v>
      </c>
      <c r="AS640">
        <f t="shared" si="329"/>
        <v>0</v>
      </c>
      <c r="AT640">
        <f t="shared" si="366"/>
        <v>1</v>
      </c>
      <c r="AU640">
        <f t="shared" si="367"/>
        <v>0</v>
      </c>
      <c r="AV640">
        <f t="shared" si="368"/>
        <v>0</v>
      </c>
      <c r="AW640">
        <f t="shared" si="369"/>
        <v>0</v>
      </c>
      <c r="AX640">
        <f t="shared" si="370"/>
        <v>0</v>
      </c>
      <c r="AY640">
        <f t="shared" si="371"/>
        <v>0</v>
      </c>
      <c r="AZ640">
        <f t="shared" si="372"/>
        <v>0</v>
      </c>
      <c r="BA640">
        <f t="shared" si="373"/>
        <v>0</v>
      </c>
      <c r="BB640">
        <f t="shared" si="374"/>
        <v>0</v>
      </c>
      <c r="BC640">
        <f t="shared" si="375"/>
        <v>0</v>
      </c>
      <c r="BD640">
        <f t="shared" si="376"/>
        <v>0</v>
      </c>
      <c r="BE640">
        <f t="shared" si="377"/>
        <v>0</v>
      </c>
      <c r="BF640">
        <f t="shared" si="378"/>
        <v>0</v>
      </c>
      <c r="BG640">
        <f t="shared" si="379"/>
        <v>0</v>
      </c>
      <c r="BH640">
        <f t="shared" si="380"/>
        <v>0</v>
      </c>
      <c r="BI640">
        <f t="shared" si="381"/>
        <v>0</v>
      </c>
    </row>
    <row r="641" spans="1:61" x14ac:dyDescent="0.35">
      <c r="A641" t="s">
        <v>51</v>
      </c>
      <c r="B641" s="1">
        <v>41183</v>
      </c>
      <c r="C641" t="s">
        <v>798</v>
      </c>
      <c r="D641" t="s">
        <v>45</v>
      </c>
      <c r="E641" t="s">
        <v>1246</v>
      </c>
      <c r="F641" t="s">
        <v>602</v>
      </c>
      <c r="G641" t="s">
        <v>47</v>
      </c>
      <c r="H641" s="139">
        <f t="shared" si="330"/>
        <v>0</v>
      </c>
      <c r="I641" t="s">
        <v>234</v>
      </c>
      <c r="J641" t="s">
        <v>190</v>
      </c>
      <c r="K641" s="2">
        <f t="shared" si="358"/>
        <v>2</v>
      </c>
      <c r="L641">
        <v>1934200000</v>
      </c>
      <c r="M641" s="2">
        <f t="shared" si="359"/>
        <v>9.2865013789535684</v>
      </c>
      <c r="N641">
        <v>1858310000</v>
      </c>
      <c r="O641">
        <v>75890000</v>
      </c>
      <c r="P641" s="1">
        <v>42245</v>
      </c>
      <c r="Q641" s="89">
        <f t="shared" si="360"/>
        <v>2015</v>
      </c>
      <c r="R641" t="s">
        <v>107</v>
      </c>
      <c r="S641">
        <v>8090040000</v>
      </c>
      <c r="T641" s="21">
        <f t="shared" si="327"/>
        <v>2.9095890410958902</v>
      </c>
      <c r="U641">
        <v>0</v>
      </c>
      <c r="V641">
        <f t="shared" si="361"/>
        <v>0</v>
      </c>
      <c r="W641">
        <v>1978</v>
      </c>
      <c r="X641">
        <v>34</v>
      </c>
      <c r="Y641">
        <f t="shared" si="362"/>
        <v>1.5440680443502757</v>
      </c>
      <c r="Z641" s="45">
        <v>2.95</v>
      </c>
      <c r="AA641" s="9">
        <f t="shared" si="382"/>
        <v>6231730000</v>
      </c>
      <c r="AB641" s="15">
        <f t="shared" si="328"/>
        <v>3.1826284768896702</v>
      </c>
      <c r="AC641" s="34">
        <f t="shared" si="363"/>
        <v>0.62144928996850934</v>
      </c>
      <c r="AD641">
        <v>1455.046</v>
      </c>
      <c r="AE641">
        <f t="shared" si="331"/>
        <v>3.1628767233771686</v>
      </c>
      <c r="AF641">
        <v>4062.5129999999999</v>
      </c>
      <c r="AG641">
        <f t="shared" si="332"/>
        <v>3.6087947637270492</v>
      </c>
      <c r="AH641">
        <v>0</v>
      </c>
      <c r="AI641" s="9">
        <f t="shared" si="364"/>
        <v>0</v>
      </c>
      <c r="AJ641">
        <v>91.1</v>
      </c>
      <c r="AK641" t="s">
        <v>144</v>
      </c>
      <c r="AL641" s="42">
        <v>40.229046020662899</v>
      </c>
      <c r="AM641" s="24">
        <v>0.38</v>
      </c>
      <c r="AN641" s="34">
        <f t="shared" si="365"/>
        <v>0.13987908640123647</v>
      </c>
      <c r="AO641">
        <v>1992</v>
      </c>
      <c r="AP641">
        <v>20</v>
      </c>
      <c r="AQ641">
        <v>70</v>
      </c>
      <c r="AR641">
        <v>70</v>
      </c>
      <c r="AS641">
        <f t="shared" si="329"/>
        <v>0</v>
      </c>
      <c r="AT641">
        <f t="shared" si="366"/>
        <v>1</v>
      </c>
      <c r="AU641">
        <f t="shared" si="367"/>
        <v>0</v>
      </c>
      <c r="AV641">
        <f t="shared" si="368"/>
        <v>0</v>
      </c>
      <c r="AW641">
        <f t="shared" si="369"/>
        <v>0</v>
      </c>
      <c r="AX641">
        <f t="shared" si="370"/>
        <v>0</v>
      </c>
      <c r="AY641">
        <f t="shared" si="371"/>
        <v>0</v>
      </c>
      <c r="AZ641">
        <f t="shared" si="372"/>
        <v>0</v>
      </c>
      <c r="BA641">
        <f t="shared" si="373"/>
        <v>0</v>
      </c>
      <c r="BB641">
        <f t="shared" si="374"/>
        <v>0</v>
      </c>
      <c r="BC641">
        <f t="shared" si="375"/>
        <v>0</v>
      </c>
      <c r="BD641">
        <f t="shared" si="376"/>
        <v>0</v>
      </c>
      <c r="BE641">
        <f t="shared" si="377"/>
        <v>0</v>
      </c>
      <c r="BF641">
        <f t="shared" si="378"/>
        <v>0</v>
      </c>
      <c r="BG641">
        <f t="shared" si="379"/>
        <v>0</v>
      </c>
      <c r="BH641">
        <f t="shared" si="380"/>
        <v>0</v>
      </c>
      <c r="BI641">
        <f t="shared" si="381"/>
        <v>0</v>
      </c>
    </row>
    <row r="642" spans="1:61" x14ac:dyDescent="0.35">
      <c r="A642" t="s">
        <v>51</v>
      </c>
      <c r="B642" s="1">
        <v>43193</v>
      </c>
      <c r="C642" t="s">
        <v>1247</v>
      </c>
      <c r="D642" t="s">
        <v>45</v>
      </c>
      <c r="E642" t="s">
        <v>1248</v>
      </c>
      <c r="F642" t="s">
        <v>602</v>
      </c>
      <c r="G642" t="s">
        <v>47</v>
      </c>
      <c r="H642" s="139">
        <f t="shared" si="330"/>
        <v>0</v>
      </c>
      <c r="I642" t="s">
        <v>234</v>
      </c>
      <c r="J642" t="s">
        <v>190</v>
      </c>
      <c r="K642" s="2">
        <f t="shared" si="358"/>
        <v>2</v>
      </c>
      <c r="L642">
        <v>300000000</v>
      </c>
      <c r="M642" s="2">
        <f t="shared" si="359"/>
        <v>8.4771212547196626</v>
      </c>
      <c r="N642">
        <f>L642</f>
        <v>300000000</v>
      </c>
      <c r="O642">
        <v>0</v>
      </c>
      <c r="P642" s="1">
        <v>43383</v>
      </c>
      <c r="Q642" s="89">
        <f t="shared" si="360"/>
        <v>2018</v>
      </c>
      <c r="R642" t="s">
        <v>49</v>
      </c>
      <c r="S642">
        <v>372.6</v>
      </c>
      <c r="T642" s="21">
        <f t="shared" ref="T642:T701" si="383">YEARFRAC(B642,P642,3)</f>
        <v>0.52054794520547942</v>
      </c>
      <c r="U642">
        <v>0</v>
      </c>
      <c r="V642">
        <f t="shared" si="361"/>
        <v>0</v>
      </c>
      <c r="W642">
        <v>2017</v>
      </c>
      <c r="X642">
        <v>1</v>
      </c>
      <c r="Y642">
        <f t="shared" si="362"/>
        <v>0.3010299956639812</v>
      </c>
      <c r="Z642" s="45">
        <v>2.95</v>
      </c>
      <c r="AA642" s="9">
        <f t="shared" si="382"/>
        <v>-299999627.39999998</v>
      </c>
      <c r="AB642" s="15">
        <f t="shared" ref="AB642:AB701" si="384">(S642/L642)-1</f>
        <v>-0.99999875800000004</v>
      </c>
      <c r="AC642" s="34">
        <f t="shared" si="363"/>
        <v>-5.9058784041745138</v>
      </c>
      <c r="AD642">
        <v>1455.046</v>
      </c>
      <c r="AE642">
        <f t="shared" si="331"/>
        <v>3.1628767233771686</v>
      </c>
      <c r="AF642">
        <v>4062.5129999999999</v>
      </c>
      <c r="AG642">
        <f t="shared" si="332"/>
        <v>3.6087947637270492</v>
      </c>
      <c r="AH642">
        <v>0</v>
      </c>
      <c r="AI642" s="9">
        <f t="shared" si="364"/>
        <v>0</v>
      </c>
      <c r="AJ642">
        <v>82.7</v>
      </c>
      <c r="AK642" s="44" t="e">
        <f>#REF!</f>
        <v>#REF!</v>
      </c>
      <c r="AL642" s="42">
        <v>37.950861553017603</v>
      </c>
      <c r="AM642" s="24">
        <v>7.0000000000000007E-2</v>
      </c>
      <c r="AN642" s="34">
        <f t="shared" si="365"/>
        <v>2.9383777685209667E-2</v>
      </c>
      <c r="AO642">
        <v>1992</v>
      </c>
      <c r="AP642">
        <v>26</v>
      </c>
      <c r="AQ642">
        <v>70</v>
      </c>
      <c r="AR642">
        <v>70</v>
      </c>
      <c r="AS642">
        <f t="shared" ref="AS642:AS701" si="385">IF(AC642=-1,1,0)</f>
        <v>0</v>
      </c>
      <c r="AT642">
        <f t="shared" si="366"/>
        <v>1</v>
      </c>
      <c r="AU642">
        <f t="shared" si="367"/>
        <v>0</v>
      </c>
      <c r="AV642">
        <f t="shared" si="368"/>
        <v>0</v>
      </c>
      <c r="AW642">
        <f t="shared" si="369"/>
        <v>0</v>
      </c>
      <c r="AX642">
        <f t="shared" si="370"/>
        <v>0</v>
      </c>
      <c r="AY642">
        <f t="shared" si="371"/>
        <v>0</v>
      </c>
      <c r="AZ642">
        <f t="shared" si="372"/>
        <v>0</v>
      </c>
      <c r="BA642">
        <f t="shared" si="373"/>
        <v>0</v>
      </c>
      <c r="BB642">
        <f t="shared" si="374"/>
        <v>0</v>
      </c>
      <c r="BC642">
        <f t="shared" si="375"/>
        <v>0</v>
      </c>
      <c r="BD642">
        <f t="shared" si="376"/>
        <v>0</v>
      </c>
      <c r="BE642">
        <f t="shared" si="377"/>
        <v>0</v>
      </c>
      <c r="BF642">
        <f t="shared" si="378"/>
        <v>0</v>
      </c>
      <c r="BG642">
        <f t="shared" si="379"/>
        <v>0</v>
      </c>
      <c r="BH642">
        <f t="shared" si="380"/>
        <v>0</v>
      </c>
      <c r="BI642">
        <f t="shared" si="381"/>
        <v>0</v>
      </c>
    </row>
    <row r="643" spans="1:61" x14ac:dyDescent="0.35">
      <c r="A643" t="s">
        <v>51</v>
      </c>
      <c r="B643" s="1">
        <v>39071</v>
      </c>
      <c r="C643" t="s">
        <v>1218</v>
      </c>
      <c r="D643" t="s">
        <v>45</v>
      </c>
      <c r="E643" t="s">
        <v>1219</v>
      </c>
      <c r="F643" t="s">
        <v>602</v>
      </c>
      <c r="G643" t="s">
        <v>47</v>
      </c>
      <c r="H643" s="139">
        <f t="shared" ref="H643:H701" si="386">IF(G643="domestic",0,1)</f>
        <v>0</v>
      </c>
      <c r="I643" t="s">
        <v>234</v>
      </c>
      <c r="J643" t="s">
        <v>326</v>
      </c>
      <c r="K643" s="2">
        <f t="shared" ref="K643:K701" si="387">IF(J643="Consumer Discretionary",5,IF(J643="Industrials",1,IF(J643="Energy",3,IF(J643="Health Care",2,IF(J643="Communications",4,IF(J643="Financials",6,IF(J643="Consumer Staples",7,IF(J643="Materials",8,IF(J643="Technology",9,IF(J643="Utilities",10,""))))))))))</f>
        <v>8</v>
      </c>
      <c r="L643">
        <v>2301620000</v>
      </c>
      <c r="M643" s="2">
        <f t="shared" ref="M643:M701" si="388">LOG(L643)</f>
        <v>9.3620336227143426</v>
      </c>
      <c r="N643">
        <v>1692920000</v>
      </c>
      <c r="O643">
        <v>608700000</v>
      </c>
      <c r="P643" s="1">
        <v>39856</v>
      </c>
      <c r="Q643" s="89">
        <f t="shared" ref="Q643:Q701" si="389">YEAR(P643)</f>
        <v>2009</v>
      </c>
      <c r="R643" t="s">
        <v>338</v>
      </c>
      <c r="S643">
        <v>0</v>
      </c>
      <c r="T643" s="21">
        <f t="shared" si="383"/>
        <v>2.1506849315068495</v>
      </c>
      <c r="U643">
        <v>0</v>
      </c>
      <c r="V643">
        <f t="shared" ref="V643:V701" si="390">LOG(1+U643)</f>
        <v>0</v>
      </c>
      <c r="W643">
        <v>2004</v>
      </c>
      <c r="X643">
        <v>2</v>
      </c>
      <c r="Y643">
        <f t="shared" ref="Y643:Y701" si="391">LOG(1+X643)</f>
        <v>0.47712125471966244</v>
      </c>
      <c r="Z643" s="45">
        <v>2.95</v>
      </c>
      <c r="AA643" s="9">
        <f t="shared" si="382"/>
        <v>-1692920000</v>
      </c>
      <c r="AB643" s="15">
        <f t="shared" si="384"/>
        <v>-1</v>
      </c>
      <c r="AC643" s="34">
        <f t="shared" ref="AC643:AC701" si="392">IF(AB643=-1,LOG(0.1),LOG(1+AB643))</f>
        <v>-1</v>
      </c>
      <c r="AD643">
        <v>1455.046</v>
      </c>
      <c r="AE643">
        <f t="shared" ref="AE643:AE701" si="393">LOG(AD643)</f>
        <v>3.1628767233771686</v>
      </c>
      <c r="AF643">
        <v>4062.5129999999999</v>
      </c>
      <c r="AG643">
        <f t="shared" ref="AG643:AG701" si="394">LOG(AF643)</f>
        <v>3.6087947637270492</v>
      </c>
      <c r="AH643">
        <v>0</v>
      </c>
      <c r="AI643" s="9">
        <f t="shared" ref="AI643:AI701" si="395">IF(AH643=0,0,LOG(1+AH643))</f>
        <v>0</v>
      </c>
      <c r="AJ643">
        <v>93.2</v>
      </c>
      <c r="AK643" t="s">
        <v>103</v>
      </c>
      <c r="AL643" s="42">
        <v>36.669158714517401</v>
      </c>
      <c r="AM643" s="24">
        <v>-0.41</v>
      </c>
      <c r="AN643" s="34">
        <f t="shared" ref="AN643:AN701" si="396">LOG(1+AM643)</f>
        <v>-0.22914798835785574</v>
      </c>
      <c r="AO643">
        <v>1992</v>
      </c>
      <c r="AP643">
        <v>14</v>
      </c>
      <c r="AQ643">
        <v>70</v>
      </c>
      <c r="AR643">
        <v>70</v>
      </c>
      <c r="AS643">
        <f t="shared" si="385"/>
        <v>1</v>
      </c>
      <c r="AT643">
        <f t="shared" ref="AT643:AT701" si="397">IF($D643="US",1,0)</f>
        <v>1</v>
      </c>
      <c r="AU643">
        <f t="shared" ref="AU643:AU701" si="398">IF($D643="UK",1,0)</f>
        <v>0</v>
      </c>
      <c r="AV643">
        <f t="shared" ref="AV643:AV701" si="399">IF($D643="Norway",1,0)</f>
        <v>0</v>
      </c>
      <c r="AW643">
        <f t="shared" ref="AW643:AW701" si="400">IF($D643="Denmark",1,0)</f>
        <v>0</v>
      </c>
      <c r="AX643">
        <f t="shared" ref="AX643:AX701" si="401">IF($D643="Sweden",1,0)</f>
        <v>0</v>
      </c>
      <c r="AY643">
        <f t="shared" ref="AY643:AY701" si="402">IF($D643="Netherlands",1,0)</f>
        <v>0</v>
      </c>
      <c r="AZ643">
        <f t="shared" ref="AZ643:AZ701" si="403">IF($D643="France",1,0)</f>
        <v>0</v>
      </c>
      <c r="BA643">
        <f t="shared" ref="BA643:BA701" si="404">IF($D643="Belgium",1,0)</f>
        <v>0</v>
      </c>
      <c r="BB643">
        <f t="shared" ref="BB643:BB701" si="405">IF($D643="Germany",1,0)</f>
        <v>0</v>
      </c>
      <c r="BC643">
        <f t="shared" ref="BC643:BC701" si="406">IF($D643="Italy",1,0)</f>
        <v>0</v>
      </c>
      <c r="BD643">
        <f t="shared" ref="BD643:BD701" si="407">IF($D643="Spain",1,0)</f>
        <v>0</v>
      </c>
      <c r="BE643">
        <f t="shared" ref="BE643:BE701" si="408">IF($D643="Luxembourg",1,0)</f>
        <v>0</v>
      </c>
      <c r="BF643">
        <f t="shared" ref="BF643:BF701" si="409">IF($D643="Portugal",1,0)</f>
        <v>0</v>
      </c>
      <c r="BG643">
        <f t="shared" ref="BG643:BG701" si="410">IF($D643="Switzerland",1,0)</f>
        <v>0</v>
      </c>
      <c r="BH643">
        <f t="shared" ref="BH643:BH701" si="411">IF($D643="Ireland",1,0)</f>
        <v>0</v>
      </c>
      <c r="BI643">
        <f t="shared" ref="BI643:BI701" si="412">IF($D643="Finland",1,0)</f>
        <v>0</v>
      </c>
    </row>
    <row r="644" spans="1:61" x14ac:dyDescent="0.35">
      <c r="A644" t="s">
        <v>51</v>
      </c>
      <c r="B644" s="1">
        <v>33883</v>
      </c>
      <c r="C644" t="s">
        <v>1147</v>
      </c>
      <c r="D644" t="s">
        <v>45</v>
      </c>
      <c r="E644" t="s">
        <v>1148</v>
      </c>
      <c r="F644" t="s">
        <v>602</v>
      </c>
      <c r="G644" t="s">
        <v>47</v>
      </c>
      <c r="H644" s="139">
        <f t="shared" si="386"/>
        <v>0</v>
      </c>
      <c r="I644" t="s">
        <v>234</v>
      </c>
      <c r="J644" t="s">
        <v>178</v>
      </c>
      <c r="K644" s="2">
        <f t="shared" si="387"/>
        <v>9</v>
      </c>
      <c r="L644">
        <v>100000000</v>
      </c>
      <c r="M644" s="2">
        <f t="shared" si="388"/>
        <v>8</v>
      </c>
      <c r="N644">
        <f t="shared" ref="N644:N661" si="413">L644</f>
        <v>100000000</v>
      </c>
      <c r="O644">
        <v>0</v>
      </c>
      <c r="P644" s="1">
        <v>34655</v>
      </c>
      <c r="Q644" s="89">
        <f t="shared" si="389"/>
        <v>1994</v>
      </c>
      <c r="R644" t="s">
        <v>107</v>
      </c>
      <c r="S644">
        <v>97890000</v>
      </c>
      <c r="T644" s="21">
        <f t="shared" si="383"/>
        <v>2.1150684931506851</v>
      </c>
      <c r="U644">
        <v>0</v>
      </c>
      <c r="V644">
        <f t="shared" si="390"/>
        <v>0</v>
      </c>
      <c r="W644">
        <v>1955</v>
      </c>
      <c r="X644">
        <v>37</v>
      </c>
      <c r="Y644">
        <f t="shared" si="391"/>
        <v>1.5797835966168101</v>
      </c>
      <c r="Z644" s="45">
        <v>2.95</v>
      </c>
      <c r="AA644" s="9">
        <f t="shared" si="382"/>
        <v>-2110000</v>
      </c>
      <c r="AB644" s="15">
        <f t="shared" si="384"/>
        <v>-2.1100000000000008E-2</v>
      </c>
      <c r="AC644" s="34">
        <f t="shared" si="392"/>
        <v>-9.2616714924626583E-3</v>
      </c>
      <c r="AD644">
        <v>1246.953</v>
      </c>
      <c r="AE644">
        <f t="shared" si="393"/>
        <v>3.0958500844125241</v>
      </c>
      <c r="AF644">
        <v>3219.7179999999998</v>
      </c>
      <c r="AG644">
        <f t="shared" si="394"/>
        <v>3.5078178355445662</v>
      </c>
      <c r="AH644">
        <v>0</v>
      </c>
      <c r="AI644" s="9">
        <f t="shared" si="395"/>
        <v>0</v>
      </c>
      <c r="AJ644">
        <v>85</v>
      </c>
      <c r="AK644" t="s">
        <v>222</v>
      </c>
      <c r="AL644" s="42">
        <v>39.367752568237798</v>
      </c>
      <c r="AM644" s="24">
        <v>0.14000000000000001</v>
      </c>
      <c r="AN644" s="34">
        <f t="shared" si="396"/>
        <v>5.6904851336472641E-2</v>
      </c>
      <c r="AO644">
        <v>1987</v>
      </c>
      <c r="AP644">
        <v>5</v>
      </c>
      <c r="AQ644">
        <v>70</v>
      </c>
      <c r="AR644">
        <v>70</v>
      </c>
      <c r="AS644">
        <f t="shared" si="385"/>
        <v>0</v>
      </c>
      <c r="AT644">
        <f t="shared" si="397"/>
        <v>1</v>
      </c>
      <c r="AU644">
        <f t="shared" si="398"/>
        <v>0</v>
      </c>
      <c r="AV644">
        <f t="shared" si="399"/>
        <v>0</v>
      </c>
      <c r="AW644">
        <f t="shared" si="400"/>
        <v>0</v>
      </c>
      <c r="AX644">
        <f t="shared" si="401"/>
        <v>0</v>
      </c>
      <c r="AY644">
        <f t="shared" si="402"/>
        <v>0</v>
      </c>
      <c r="AZ644">
        <f t="shared" si="403"/>
        <v>0</v>
      </c>
      <c r="BA644">
        <f t="shared" si="404"/>
        <v>0</v>
      </c>
      <c r="BB644">
        <f t="shared" si="405"/>
        <v>0</v>
      </c>
      <c r="BC644">
        <f t="shared" si="406"/>
        <v>0</v>
      </c>
      <c r="BD644">
        <f t="shared" si="407"/>
        <v>0</v>
      </c>
      <c r="BE644">
        <f t="shared" si="408"/>
        <v>0</v>
      </c>
      <c r="BF644">
        <f t="shared" si="409"/>
        <v>0</v>
      </c>
      <c r="BG644">
        <f t="shared" si="410"/>
        <v>0</v>
      </c>
      <c r="BH644">
        <f t="shared" si="411"/>
        <v>0</v>
      </c>
      <c r="BI644">
        <f t="shared" si="412"/>
        <v>0</v>
      </c>
    </row>
    <row r="645" spans="1:61" x14ac:dyDescent="0.35">
      <c r="A645" t="s">
        <v>51</v>
      </c>
      <c r="B645" s="1">
        <v>35064</v>
      </c>
      <c r="C645" t="s">
        <v>1149</v>
      </c>
      <c r="D645" t="s">
        <v>45</v>
      </c>
      <c r="E645" t="s">
        <v>1150</v>
      </c>
      <c r="F645" t="s">
        <v>602</v>
      </c>
      <c r="G645" t="s">
        <v>47</v>
      </c>
      <c r="H645" s="139">
        <f t="shared" si="386"/>
        <v>0</v>
      </c>
      <c r="I645" t="s">
        <v>234</v>
      </c>
      <c r="J645" t="s">
        <v>235</v>
      </c>
      <c r="K645" s="2">
        <f t="shared" si="387"/>
        <v>1</v>
      </c>
      <c r="L645">
        <v>750000000</v>
      </c>
      <c r="M645" s="2">
        <f t="shared" si="388"/>
        <v>8.8750612633917001</v>
      </c>
      <c r="N645">
        <f t="shared" si="413"/>
        <v>750000000</v>
      </c>
      <c r="O645">
        <v>0</v>
      </c>
      <c r="P645" s="1">
        <v>36199</v>
      </c>
      <c r="Q645" s="89">
        <f t="shared" si="389"/>
        <v>1999</v>
      </c>
      <c r="R645" t="s">
        <v>107</v>
      </c>
      <c r="S645">
        <v>385000000</v>
      </c>
      <c r="T645" s="21">
        <f t="shared" si="383"/>
        <v>3.1095890410958904</v>
      </c>
      <c r="U645">
        <v>0</v>
      </c>
      <c r="V645">
        <f t="shared" si="390"/>
        <v>0</v>
      </c>
      <c r="W645">
        <v>1995</v>
      </c>
      <c r="X645">
        <v>0</v>
      </c>
      <c r="Y645">
        <f t="shared" si="391"/>
        <v>0</v>
      </c>
      <c r="Z645" s="45">
        <v>2.95</v>
      </c>
      <c r="AA645" s="9">
        <f t="shared" si="382"/>
        <v>-365000000</v>
      </c>
      <c r="AB645" s="15">
        <f t="shared" si="384"/>
        <v>-0.48666666666666669</v>
      </c>
      <c r="AC645" s="34">
        <f t="shared" si="392"/>
        <v>-0.2896005338831994</v>
      </c>
      <c r="AD645">
        <v>1246.953</v>
      </c>
      <c r="AE645">
        <f t="shared" si="393"/>
        <v>3.0958500844125241</v>
      </c>
      <c r="AF645">
        <v>3219.7179999999998</v>
      </c>
      <c r="AG645">
        <f t="shared" si="394"/>
        <v>3.5078178355445662</v>
      </c>
      <c r="AH645">
        <v>0</v>
      </c>
      <c r="AI645" s="9">
        <f t="shared" si="395"/>
        <v>0</v>
      </c>
      <c r="AJ645">
        <v>85</v>
      </c>
      <c r="AK645" t="s">
        <v>332</v>
      </c>
      <c r="AL645" s="42">
        <v>37.808596853116498</v>
      </c>
      <c r="AM645" s="24">
        <v>1.02</v>
      </c>
      <c r="AN645" s="34">
        <f t="shared" si="396"/>
        <v>0.30535136944662378</v>
      </c>
      <c r="AO645">
        <v>1987</v>
      </c>
      <c r="AP645">
        <v>8</v>
      </c>
      <c r="AQ645">
        <v>70</v>
      </c>
      <c r="AR645">
        <v>70</v>
      </c>
      <c r="AS645">
        <f t="shared" si="385"/>
        <v>0</v>
      </c>
      <c r="AT645">
        <f t="shared" si="397"/>
        <v>1</v>
      </c>
      <c r="AU645">
        <f t="shared" si="398"/>
        <v>0</v>
      </c>
      <c r="AV645">
        <f t="shared" si="399"/>
        <v>0</v>
      </c>
      <c r="AW645">
        <f t="shared" si="400"/>
        <v>0</v>
      </c>
      <c r="AX645">
        <f t="shared" si="401"/>
        <v>0</v>
      </c>
      <c r="AY645">
        <f t="shared" si="402"/>
        <v>0</v>
      </c>
      <c r="AZ645">
        <f t="shared" si="403"/>
        <v>0</v>
      </c>
      <c r="BA645">
        <f t="shared" si="404"/>
        <v>0</v>
      </c>
      <c r="BB645">
        <f t="shared" si="405"/>
        <v>0</v>
      </c>
      <c r="BC645">
        <f t="shared" si="406"/>
        <v>0</v>
      </c>
      <c r="BD645">
        <f t="shared" si="407"/>
        <v>0</v>
      </c>
      <c r="BE645">
        <f t="shared" si="408"/>
        <v>0</v>
      </c>
      <c r="BF645">
        <f t="shared" si="409"/>
        <v>0</v>
      </c>
      <c r="BG645">
        <f t="shared" si="410"/>
        <v>0</v>
      </c>
      <c r="BH645">
        <f t="shared" si="411"/>
        <v>0</v>
      </c>
      <c r="BI645">
        <f t="shared" si="412"/>
        <v>0</v>
      </c>
    </row>
    <row r="646" spans="1:61" x14ac:dyDescent="0.35">
      <c r="A646" t="s">
        <v>51</v>
      </c>
      <c r="B646" s="1">
        <v>36396</v>
      </c>
      <c r="C646" t="s">
        <v>1153</v>
      </c>
      <c r="D646" t="s">
        <v>45</v>
      </c>
      <c r="E646" t="s">
        <v>1150</v>
      </c>
      <c r="F646" t="s">
        <v>602</v>
      </c>
      <c r="G646" t="s">
        <v>47</v>
      </c>
      <c r="H646" s="139">
        <f t="shared" si="386"/>
        <v>0</v>
      </c>
      <c r="I646" t="s">
        <v>234</v>
      </c>
      <c r="J646" t="s">
        <v>235</v>
      </c>
      <c r="K646" s="2">
        <f t="shared" si="387"/>
        <v>1</v>
      </c>
      <c r="L646">
        <v>250000000</v>
      </c>
      <c r="M646" s="2">
        <f t="shared" si="388"/>
        <v>8.3979400086720375</v>
      </c>
      <c r="N646">
        <f t="shared" si="413"/>
        <v>250000000</v>
      </c>
      <c r="O646">
        <v>0</v>
      </c>
      <c r="P646" s="1">
        <v>37490</v>
      </c>
      <c r="Q646" s="89">
        <f t="shared" si="389"/>
        <v>2002</v>
      </c>
      <c r="R646" t="s">
        <v>107</v>
      </c>
      <c r="S646">
        <v>500000000</v>
      </c>
      <c r="T646" s="21">
        <f t="shared" si="383"/>
        <v>2.9972602739726026</v>
      </c>
      <c r="U646">
        <v>0</v>
      </c>
      <c r="V646">
        <f t="shared" si="390"/>
        <v>0</v>
      </c>
      <c r="W646">
        <v>1931</v>
      </c>
      <c r="X646">
        <v>68</v>
      </c>
      <c r="Y646">
        <f t="shared" si="391"/>
        <v>1.8388490907372552</v>
      </c>
      <c r="Z646" s="45">
        <v>2.95</v>
      </c>
      <c r="AA646" s="9">
        <f t="shared" si="382"/>
        <v>250000000</v>
      </c>
      <c r="AB646" s="15">
        <f t="shared" si="384"/>
        <v>1</v>
      </c>
      <c r="AC646" s="34">
        <f t="shared" si="392"/>
        <v>0.3010299956639812</v>
      </c>
      <c r="AD646">
        <v>1246.953</v>
      </c>
      <c r="AE646">
        <f t="shared" si="393"/>
        <v>3.0958500844125241</v>
      </c>
      <c r="AF646">
        <v>3219.7179999999998</v>
      </c>
      <c r="AG646">
        <f t="shared" si="394"/>
        <v>3.5078178355445662</v>
      </c>
      <c r="AH646">
        <v>0</v>
      </c>
      <c r="AI646" s="9">
        <f t="shared" si="395"/>
        <v>0</v>
      </c>
      <c r="AJ646">
        <v>85</v>
      </c>
      <c r="AK646" t="s">
        <v>75</v>
      </c>
      <c r="AL646" s="42">
        <v>34.656907836978597</v>
      </c>
      <c r="AM646" s="24">
        <v>-0.28999999999999998</v>
      </c>
      <c r="AN646" s="34">
        <f t="shared" si="396"/>
        <v>-0.14874165128092473</v>
      </c>
      <c r="AO646">
        <v>1987</v>
      </c>
      <c r="AP646">
        <v>12</v>
      </c>
      <c r="AQ646">
        <v>70</v>
      </c>
      <c r="AR646">
        <v>70</v>
      </c>
      <c r="AS646">
        <f t="shared" si="385"/>
        <v>0</v>
      </c>
      <c r="AT646">
        <f t="shared" si="397"/>
        <v>1</v>
      </c>
      <c r="AU646">
        <f t="shared" si="398"/>
        <v>0</v>
      </c>
      <c r="AV646">
        <f t="shared" si="399"/>
        <v>0</v>
      </c>
      <c r="AW646">
        <f t="shared" si="400"/>
        <v>0</v>
      </c>
      <c r="AX646">
        <f t="shared" si="401"/>
        <v>0</v>
      </c>
      <c r="AY646">
        <f t="shared" si="402"/>
        <v>0</v>
      </c>
      <c r="AZ646">
        <f t="shared" si="403"/>
        <v>0</v>
      </c>
      <c r="BA646">
        <f t="shared" si="404"/>
        <v>0</v>
      </c>
      <c r="BB646">
        <f t="shared" si="405"/>
        <v>0</v>
      </c>
      <c r="BC646">
        <f t="shared" si="406"/>
        <v>0</v>
      </c>
      <c r="BD646">
        <f t="shared" si="407"/>
        <v>0</v>
      </c>
      <c r="BE646">
        <f t="shared" si="408"/>
        <v>0</v>
      </c>
      <c r="BF646">
        <f t="shared" si="409"/>
        <v>0</v>
      </c>
      <c r="BG646">
        <f t="shared" si="410"/>
        <v>0</v>
      </c>
      <c r="BH646">
        <f t="shared" si="411"/>
        <v>0</v>
      </c>
      <c r="BI646">
        <f t="shared" si="412"/>
        <v>0</v>
      </c>
    </row>
    <row r="647" spans="1:61" x14ac:dyDescent="0.35">
      <c r="A647" t="s">
        <v>51</v>
      </c>
      <c r="B647" s="1">
        <v>36404</v>
      </c>
      <c r="C647" t="s">
        <v>1154</v>
      </c>
      <c r="D647" t="s">
        <v>45</v>
      </c>
      <c r="E647" t="s">
        <v>1150</v>
      </c>
      <c r="F647" t="s">
        <v>602</v>
      </c>
      <c r="G647" t="s">
        <v>47</v>
      </c>
      <c r="H647" s="139">
        <f t="shared" si="386"/>
        <v>0</v>
      </c>
      <c r="I647" t="s">
        <v>234</v>
      </c>
      <c r="J647" t="s">
        <v>190</v>
      </c>
      <c r="K647" s="2">
        <f t="shared" si="387"/>
        <v>2</v>
      </c>
      <c r="L647">
        <v>161890000</v>
      </c>
      <c r="M647" s="2">
        <f t="shared" si="388"/>
        <v>8.2092200230649937</v>
      </c>
      <c r="N647">
        <f t="shared" si="413"/>
        <v>161890000</v>
      </c>
      <c r="O647">
        <v>0</v>
      </c>
      <c r="P647" s="1">
        <v>38265</v>
      </c>
      <c r="Q647" s="89">
        <f t="shared" si="389"/>
        <v>2004</v>
      </c>
      <c r="R647" t="s">
        <v>107</v>
      </c>
      <c r="S647">
        <v>529350000</v>
      </c>
      <c r="T647" s="21">
        <f t="shared" si="383"/>
        <v>5.0986301369863014</v>
      </c>
      <c r="U647">
        <v>0</v>
      </c>
      <c r="V647">
        <f t="shared" si="390"/>
        <v>0</v>
      </c>
      <c r="W647">
        <v>1977</v>
      </c>
      <c r="X647">
        <v>22</v>
      </c>
      <c r="Y647">
        <f t="shared" si="391"/>
        <v>1.3617278360175928</v>
      </c>
      <c r="Z647" s="45">
        <v>2.95</v>
      </c>
      <c r="AA647" s="9">
        <f t="shared" si="382"/>
        <v>367460000</v>
      </c>
      <c r="AB647" s="15">
        <f t="shared" si="384"/>
        <v>2.2698128358762122</v>
      </c>
      <c r="AC647" s="34">
        <f t="shared" si="392"/>
        <v>0.51452289435065757</v>
      </c>
      <c r="AD647">
        <v>1246.953</v>
      </c>
      <c r="AE647">
        <f t="shared" si="393"/>
        <v>3.0958500844125241</v>
      </c>
      <c r="AF647">
        <v>3219.7179999999998</v>
      </c>
      <c r="AG647">
        <f t="shared" si="394"/>
        <v>3.5078178355445662</v>
      </c>
      <c r="AH647">
        <v>0</v>
      </c>
      <c r="AI647" s="9">
        <f t="shared" si="395"/>
        <v>0</v>
      </c>
      <c r="AJ647">
        <v>85</v>
      </c>
      <c r="AK647" t="s">
        <v>75</v>
      </c>
      <c r="AL647" s="42">
        <v>34.656907836978597</v>
      </c>
      <c r="AM647" s="24">
        <v>-0.15</v>
      </c>
      <c r="AN647" s="34">
        <f t="shared" si="396"/>
        <v>-7.0581074285707285E-2</v>
      </c>
      <c r="AO647">
        <v>1987</v>
      </c>
      <c r="AP647">
        <v>12</v>
      </c>
      <c r="AQ647">
        <v>70</v>
      </c>
      <c r="AR647">
        <v>70</v>
      </c>
      <c r="AS647">
        <f t="shared" si="385"/>
        <v>0</v>
      </c>
      <c r="AT647">
        <f t="shared" si="397"/>
        <v>1</v>
      </c>
      <c r="AU647">
        <f t="shared" si="398"/>
        <v>0</v>
      </c>
      <c r="AV647">
        <f t="shared" si="399"/>
        <v>0</v>
      </c>
      <c r="AW647">
        <f t="shared" si="400"/>
        <v>0</v>
      </c>
      <c r="AX647">
        <f t="shared" si="401"/>
        <v>0</v>
      </c>
      <c r="AY647">
        <f t="shared" si="402"/>
        <v>0</v>
      </c>
      <c r="AZ647">
        <f t="shared" si="403"/>
        <v>0</v>
      </c>
      <c r="BA647">
        <f t="shared" si="404"/>
        <v>0</v>
      </c>
      <c r="BB647">
        <f t="shared" si="405"/>
        <v>0</v>
      </c>
      <c r="BC647">
        <f t="shared" si="406"/>
        <v>0</v>
      </c>
      <c r="BD647">
        <f t="shared" si="407"/>
        <v>0</v>
      </c>
      <c r="BE647">
        <f t="shared" si="408"/>
        <v>0</v>
      </c>
      <c r="BF647">
        <f t="shared" si="409"/>
        <v>0</v>
      </c>
      <c r="BG647">
        <f t="shared" si="410"/>
        <v>0</v>
      </c>
      <c r="BH647">
        <f t="shared" si="411"/>
        <v>0</v>
      </c>
      <c r="BI647">
        <f t="shared" si="412"/>
        <v>0</v>
      </c>
    </row>
    <row r="648" spans="1:61" x14ac:dyDescent="0.35">
      <c r="A648" t="s">
        <v>1155</v>
      </c>
      <c r="B648" s="1">
        <v>36525</v>
      </c>
      <c r="C648" t="s">
        <v>1156</v>
      </c>
      <c r="D648" t="s">
        <v>45</v>
      </c>
      <c r="E648" t="s">
        <v>1157</v>
      </c>
      <c r="F648" t="s">
        <v>602</v>
      </c>
      <c r="G648" t="s">
        <v>47</v>
      </c>
      <c r="H648" s="139">
        <f t="shared" si="386"/>
        <v>0</v>
      </c>
      <c r="I648" t="s">
        <v>597</v>
      </c>
      <c r="J648" t="s">
        <v>248</v>
      </c>
      <c r="K648" s="2">
        <f t="shared" si="387"/>
        <v>5</v>
      </c>
      <c r="L648">
        <v>402000000</v>
      </c>
      <c r="M648" s="2">
        <f t="shared" si="388"/>
        <v>8.6042260530844707</v>
      </c>
      <c r="N648">
        <f t="shared" si="413"/>
        <v>402000000</v>
      </c>
      <c r="O648">
        <v>0</v>
      </c>
      <c r="P648" s="1">
        <v>38629</v>
      </c>
      <c r="Q648" s="89">
        <f t="shared" si="389"/>
        <v>2005</v>
      </c>
      <c r="R648" t="s">
        <v>107</v>
      </c>
      <c r="S648">
        <v>345000000</v>
      </c>
      <c r="T648" s="21">
        <f t="shared" si="383"/>
        <v>5.7643835616438359</v>
      </c>
      <c r="U648">
        <v>0</v>
      </c>
      <c r="V648">
        <f t="shared" si="390"/>
        <v>0</v>
      </c>
      <c r="W648">
        <v>1997</v>
      </c>
      <c r="X648">
        <v>2</v>
      </c>
      <c r="Y648">
        <f t="shared" si="391"/>
        <v>0.47712125471966244</v>
      </c>
      <c r="Z648" s="45">
        <v>2.95</v>
      </c>
      <c r="AA648" s="9">
        <f t="shared" si="382"/>
        <v>-57000000</v>
      </c>
      <c r="AB648" s="15">
        <f t="shared" si="384"/>
        <v>-0.14179104477611937</v>
      </c>
      <c r="AC648" s="34">
        <f t="shared" si="392"/>
        <v>-6.6406958011195921E-2</v>
      </c>
      <c r="AD648">
        <v>1246.953</v>
      </c>
      <c r="AE648">
        <f t="shared" si="393"/>
        <v>3.0958500844125241</v>
      </c>
      <c r="AF648">
        <v>3219.7179999999998</v>
      </c>
      <c r="AG648">
        <f t="shared" si="394"/>
        <v>3.5078178355445662</v>
      </c>
      <c r="AH648">
        <v>0</v>
      </c>
      <c r="AI648" s="9">
        <f t="shared" si="395"/>
        <v>0</v>
      </c>
      <c r="AJ648">
        <v>85</v>
      </c>
      <c r="AK648" t="s">
        <v>75</v>
      </c>
      <c r="AL648" s="42">
        <v>34.656907836978597</v>
      </c>
      <c r="AM648" s="24">
        <v>-0.17</v>
      </c>
      <c r="AN648" s="34">
        <f t="shared" si="396"/>
        <v>-8.092190762392612E-2</v>
      </c>
      <c r="AO648">
        <v>1987</v>
      </c>
      <c r="AP648">
        <v>12</v>
      </c>
      <c r="AQ648">
        <v>70</v>
      </c>
      <c r="AR648">
        <v>70</v>
      </c>
      <c r="AS648">
        <f t="shared" si="385"/>
        <v>0</v>
      </c>
      <c r="AT648">
        <f t="shared" si="397"/>
        <v>1</v>
      </c>
      <c r="AU648">
        <f t="shared" si="398"/>
        <v>0</v>
      </c>
      <c r="AV648">
        <f t="shared" si="399"/>
        <v>0</v>
      </c>
      <c r="AW648">
        <f t="shared" si="400"/>
        <v>0</v>
      </c>
      <c r="AX648">
        <f t="shared" si="401"/>
        <v>0</v>
      </c>
      <c r="AY648">
        <f t="shared" si="402"/>
        <v>0</v>
      </c>
      <c r="AZ648">
        <f t="shared" si="403"/>
        <v>0</v>
      </c>
      <c r="BA648">
        <f t="shared" si="404"/>
        <v>0</v>
      </c>
      <c r="BB648">
        <f t="shared" si="405"/>
        <v>0</v>
      </c>
      <c r="BC648">
        <f t="shared" si="406"/>
        <v>0</v>
      </c>
      <c r="BD648">
        <f t="shared" si="407"/>
        <v>0</v>
      </c>
      <c r="BE648">
        <f t="shared" si="408"/>
        <v>0</v>
      </c>
      <c r="BF648">
        <f t="shared" si="409"/>
        <v>0</v>
      </c>
      <c r="BG648">
        <f t="shared" si="410"/>
        <v>0</v>
      </c>
      <c r="BH648">
        <f t="shared" si="411"/>
        <v>0</v>
      </c>
      <c r="BI648">
        <f t="shared" si="412"/>
        <v>0</v>
      </c>
    </row>
    <row r="649" spans="1:61" x14ac:dyDescent="0.35">
      <c r="A649" t="s">
        <v>51</v>
      </c>
      <c r="B649" s="1">
        <v>36829</v>
      </c>
      <c r="C649" t="s">
        <v>1158</v>
      </c>
      <c r="D649" t="s">
        <v>45</v>
      </c>
      <c r="E649" t="s">
        <v>1157</v>
      </c>
      <c r="F649" t="s">
        <v>602</v>
      </c>
      <c r="G649" t="s">
        <v>47</v>
      </c>
      <c r="H649" s="139">
        <f t="shared" si="386"/>
        <v>0</v>
      </c>
      <c r="I649" t="s">
        <v>234</v>
      </c>
      <c r="J649" t="s">
        <v>248</v>
      </c>
      <c r="K649" s="2">
        <f t="shared" si="387"/>
        <v>5</v>
      </c>
      <c r="L649">
        <v>67500000</v>
      </c>
      <c r="M649" s="2">
        <f t="shared" si="388"/>
        <v>7.8293037728310253</v>
      </c>
      <c r="N649">
        <f t="shared" si="413"/>
        <v>67500000</v>
      </c>
      <c r="O649">
        <v>0</v>
      </c>
      <c r="P649" s="1">
        <v>39265</v>
      </c>
      <c r="Q649" s="89">
        <f t="shared" si="389"/>
        <v>2007</v>
      </c>
      <c r="R649" t="s">
        <v>107</v>
      </c>
      <c r="S649">
        <v>92000000</v>
      </c>
      <c r="T649" s="21">
        <f t="shared" si="383"/>
        <v>6.6739726027397257</v>
      </c>
      <c r="U649">
        <v>0</v>
      </c>
      <c r="V649">
        <f t="shared" si="390"/>
        <v>0</v>
      </c>
      <c r="W649">
        <v>1989</v>
      </c>
      <c r="X649">
        <v>11</v>
      </c>
      <c r="Y649">
        <f t="shared" si="391"/>
        <v>1.0791812460476249</v>
      </c>
      <c r="Z649" s="45">
        <v>2.95</v>
      </c>
      <c r="AA649" s="9">
        <f t="shared" si="382"/>
        <v>24500000</v>
      </c>
      <c r="AB649" s="15">
        <f t="shared" si="384"/>
        <v>0.36296296296296293</v>
      </c>
      <c r="AC649" s="34">
        <f t="shared" si="392"/>
        <v>0.13448405451453033</v>
      </c>
      <c r="AD649">
        <v>1246.953</v>
      </c>
      <c r="AE649">
        <f t="shared" si="393"/>
        <v>3.0958500844125241</v>
      </c>
      <c r="AF649">
        <v>3219.7179999999998</v>
      </c>
      <c r="AG649">
        <f t="shared" si="394"/>
        <v>3.5078178355445662</v>
      </c>
      <c r="AH649">
        <v>0</v>
      </c>
      <c r="AI649" s="9">
        <f t="shared" si="395"/>
        <v>0</v>
      </c>
      <c r="AJ649">
        <v>85</v>
      </c>
      <c r="AK649" t="s">
        <v>351</v>
      </c>
      <c r="AL649" s="42">
        <v>34.298950279384798</v>
      </c>
      <c r="AM649" s="24">
        <v>0.09</v>
      </c>
      <c r="AN649" s="34">
        <f t="shared" si="396"/>
        <v>3.7426497940623665E-2</v>
      </c>
      <c r="AO649">
        <v>1987</v>
      </c>
      <c r="AP649">
        <v>13</v>
      </c>
      <c r="AQ649">
        <v>70</v>
      </c>
      <c r="AR649">
        <v>70</v>
      </c>
      <c r="AS649">
        <f t="shared" si="385"/>
        <v>0</v>
      </c>
      <c r="AT649">
        <f t="shared" si="397"/>
        <v>1</v>
      </c>
      <c r="AU649">
        <f t="shared" si="398"/>
        <v>0</v>
      </c>
      <c r="AV649">
        <f t="shared" si="399"/>
        <v>0</v>
      </c>
      <c r="AW649">
        <f t="shared" si="400"/>
        <v>0</v>
      </c>
      <c r="AX649">
        <f t="shared" si="401"/>
        <v>0</v>
      </c>
      <c r="AY649">
        <f t="shared" si="402"/>
        <v>0</v>
      </c>
      <c r="AZ649">
        <f t="shared" si="403"/>
        <v>0</v>
      </c>
      <c r="BA649">
        <f t="shared" si="404"/>
        <v>0</v>
      </c>
      <c r="BB649">
        <f t="shared" si="405"/>
        <v>0</v>
      </c>
      <c r="BC649">
        <f t="shared" si="406"/>
        <v>0</v>
      </c>
      <c r="BD649">
        <f t="shared" si="407"/>
        <v>0</v>
      </c>
      <c r="BE649">
        <f t="shared" si="408"/>
        <v>0</v>
      </c>
      <c r="BF649">
        <f t="shared" si="409"/>
        <v>0</v>
      </c>
      <c r="BG649">
        <f t="shared" si="410"/>
        <v>0</v>
      </c>
      <c r="BH649">
        <f t="shared" si="411"/>
        <v>0</v>
      </c>
      <c r="BI649">
        <f t="shared" si="412"/>
        <v>0</v>
      </c>
    </row>
    <row r="650" spans="1:61" x14ac:dyDescent="0.35">
      <c r="A650" t="s">
        <v>51</v>
      </c>
      <c r="B650" s="1">
        <v>37165</v>
      </c>
      <c r="C650" t="s">
        <v>1159</v>
      </c>
      <c r="D650" t="s">
        <v>45</v>
      </c>
      <c r="E650" t="s">
        <v>1157</v>
      </c>
      <c r="F650" t="s">
        <v>602</v>
      </c>
      <c r="G650" t="s">
        <v>47</v>
      </c>
      <c r="H650" s="139">
        <f t="shared" si="386"/>
        <v>0</v>
      </c>
      <c r="I650" t="s">
        <v>234</v>
      </c>
      <c r="J650" t="s">
        <v>190</v>
      </c>
      <c r="K650" s="2">
        <f t="shared" si="387"/>
        <v>2</v>
      </c>
      <c r="L650">
        <v>408000000</v>
      </c>
      <c r="M650" s="2">
        <f t="shared" si="388"/>
        <v>8.6106601630898805</v>
      </c>
      <c r="N650">
        <f t="shared" si="413"/>
        <v>408000000</v>
      </c>
      <c r="O650">
        <v>0</v>
      </c>
      <c r="P650" s="1">
        <v>39316</v>
      </c>
      <c r="Q650" s="89">
        <f t="shared" si="389"/>
        <v>2007</v>
      </c>
      <c r="R650" t="s">
        <v>107</v>
      </c>
      <c r="S650">
        <v>794450000</v>
      </c>
      <c r="T650" s="21">
        <f t="shared" si="383"/>
        <v>5.8931506849315065</v>
      </c>
      <c r="U650">
        <v>0</v>
      </c>
      <c r="V650">
        <f t="shared" si="390"/>
        <v>0</v>
      </c>
      <c r="W650">
        <v>2001</v>
      </c>
      <c r="X650">
        <v>0</v>
      </c>
      <c r="Y650">
        <f t="shared" si="391"/>
        <v>0</v>
      </c>
      <c r="Z650" s="45">
        <v>2.95</v>
      </c>
      <c r="AA650" s="9">
        <f t="shared" si="382"/>
        <v>386450000</v>
      </c>
      <c r="AB650" s="15">
        <f t="shared" si="384"/>
        <v>0.94718137254901968</v>
      </c>
      <c r="AC650" s="34">
        <f t="shared" si="392"/>
        <v>0.28940640628560588</v>
      </c>
      <c r="AD650">
        <v>1246.953</v>
      </c>
      <c r="AE650">
        <f t="shared" si="393"/>
        <v>3.0958500844125241</v>
      </c>
      <c r="AF650">
        <v>3219.7179999999998</v>
      </c>
      <c r="AG650">
        <f t="shared" si="394"/>
        <v>3.5078178355445662</v>
      </c>
      <c r="AH650">
        <v>0</v>
      </c>
      <c r="AI650" s="9">
        <f t="shared" si="395"/>
        <v>0</v>
      </c>
      <c r="AJ650">
        <v>85</v>
      </c>
      <c r="AK650" t="s">
        <v>305</v>
      </c>
      <c r="AL650" s="42">
        <v>35.608384832026097</v>
      </c>
      <c r="AM650" s="24">
        <v>0.41</v>
      </c>
      <c r="AN650" s="34">
        <f t="shared" si="396"/>
        <v>0.14921911265537988</v>
      </c>
      <c r="AO650">
        <v>1987</v>
      </c>
      <c r="AP650">
        <v>14</v>
      </c>
      <c r="AQ650">
        <v>70</v>
      </c>
      <c r="AR650">
        <v>70</v>
      </c>
      <c r="AS650">
        <f t="shared" si="385"/>
        <v>0</v>
      </c>
      <c r="AT650">
        <f t="shared" si="397"/>
        <v>1</v>
      </c>
      <c r="AU650">
        <f t="shared" si="398"/>
        <v>0</v>
      </c>
      <c r="AV650">
        <f t="shared" si="399"/>
        <v>0</v>
      </c>
      <c r="AW650">
        <f t="shared" si="400"/>
        <v>0</v>
      </c>
      <c r="AX650">
        <f t="shared" si="401"/>
        <v>0</v>
      </c>
      <c r="AY650">
        <f t="shared" si="402"/>
        <v>0</v>
      </c>
      <c r="AZ650">
        <f t="shared" si="403"/>
        <v>0</v>
      </c>
      <c r="BA650">
        <f t="shared" si="404"/>
        <v>0</v>
      </c>
      <c r="BB650">
        <f t="shared" si="405"/>
        <v>0</v>
      </c>
      <c r="BC650">
        <f t="shared" si="406"/>
        <v>0</v>
      </c>
      <c r="BD650">
        <f t="shared" si="407"/>
        <v>0</v>
      </c>
      <c r="BE650">
        <f t="shared" si="408"/>
        <v>0</v>
      </c>
      <c r="BF650">
        <f t="shared" si="409"/>
        <v>0</v>
      </c>
      <c r="BG650">
        <f t="shared" si="410"/>
        <v>0</v>
      </c>
      <c r="BH650">
        <f t="shared" si="411"/>
        <v>0</v>
      </c>
      <c r="BI650">
        <f t="shared" si="412"/>
        <v>0</v>
      </c>
    </row>
    <row r="651" spans="1:61" x14ac:dyDescent="0.35">
      <c r="A651" t="s">
        <v>51</v>
      </c>
      <c r="B651" s="1">
        <v>37015</v>
      </c>
      <c r="C651" t="s">
        <v>1160</v>
      </c>
      <c r="D651" t="s">
        <v>45</v>
      </c>
      <c r="E651" t="s">
        <v>1157</v>
      </c>
      <c r="F651" t="s">
        <v>602</v>
      </c>
      <c r="G651" t="s">
        <v>47</v>
      </c>
      <c r="H651" s="139">
        <f t="shared" si="386"/>
        <v>0</v>
      </c>
      <c r="I651" t="s">
        <v>234</v>
      </c>
      <c r="J651" t="s">
        <v>248</v>
      </c>
      <c r="K651" s="2">
        <f t="shared" si="387"/>
        <v>5</v>
      </c>
      <c r="L651">
        <v>190000000</v>
      </c>
      <c r="M651" s="2">
        <f t="shared" si="388"/>
        <v>8.2787536009528289</v>
      </c>
      <c r="N651">
        <f t="shared" si="413"/>
        <v>190000000</v>
      </c>
      <c r="O651">
        <v>0</v>
      </c>
      <c r="P651" s="1">
        <v>39797</v>
      </c>
      <c r="Q651" s="89">
        <f t="shared" si="389"/>
        <v>2008</v>
      </c>
      <c r="R651" t="s">
        <v>338</v>
      </c>
      <c r="S651">
        <v>0</v>
      </c>
      <c r="T651" s="21">
        <f t="shared" si="383"/>
        <v>7.6219178082191785</v>
      </c>
      <c r="U651">
        <v>0</v>
      </c>
      <c r="V651">
        <f t="shared" si="390"/>
        <v>0</v>
      </c>
      <c r="W651">
        <v>1986</v>
      </c>
      <c r="X651">
        <v>15</v>
      </c>
      <c r="Y651">
        <f t="shared" si="391"/>
        <v>1.2041199826559248</v>
      </c>
      <c r="Z651" s="45">
        <v>2.95</v>
      </c>
      <c r="AA651" s="9">
        <f t="shared" si="382"/>
        <v>-190000000</v>
      </c>
      <c r="AB651" s="15">
        <f t="shared" si="384"/>
        <v>-1</v>
      </c>
      <c r="AC651" s="34">
        <f t="shared" si="392"/>
        <v>-1</v>
      </c>
      <c r="AD651">
        <v>1246.953</v>
      </c>
      <c r="AE651">
        <f t="shared" si="393"/>
        <v>3.0958500844125241</v>
      </c>
      <c r="AF651">
        <v>3219.7179999999998</v>
      </c>
      <c r="AG651">
        <f t="shared" si="394"/>
        <v>3.5078178355445662</v>
      </c>
      <c r="AH651">
        <v>0</v>
      </c>
      <c r="AI651" s="9">
        <f t="shared" si="395"/>
        <v>0</v>
      </c>
      <c r="AJ651">
        <v>85</v>
      </c>
      <c r="AK651" t="s">
        <v>305</v>
      </c>
      <c r="AL651" s="42">
        <v>35.608384832026097</v>
      </c>
      <c r="AM651" s="24">
        <v>-0.31</v>
      </c>
      <c r="AN651" s="34">
        <f t="shared" si="396"/>
        <v>-0.16115090926274472</v>
      </c>
      <c r="AO651">
        <v>1987</v>
      </c>
      <c r="AP651">
        <v>14</v>
      </c>
      <c r="AQ651">
        <v>70</v>
      </c>
      <c r="AR651">
        <v>70</v>
      </c>
      <c r="AS651">
        <f t="shared" si="385"/>
        <v>1</v>
      </c>
      <c r="AT651">
        <f t="shared" si="397"/>
        <v>1</v>
      </c>
      <c r="AU651">
        <f t="shared" si="398"/>
        <v>0</v>
      </c>
      <c r="AV651">
        <f t="shared" si="399"/>
        <v>0</v>
      </c>
      <c r="AW651">
        <f t="shared" si="400"/>
        <v>0</v>
      </c>
      <c r="AX651">
        <f t="shared" si="401"/>
        <v>0</v>
      </c>
      <c r="AY651">
        <f t="shared" si="402"/>
        <v>0</v>
      </c>
      <c r="AZ651">
        <f t="shared" si="403"/>
        <v>0</v>
      </c>
      <c r="BA651">
        <f t="shared" si="404"/>
        <v>0</v>
      </c>
      <c r="BB651">
        <f t="shared" si="405"/>
        <v>0</v>
      </c>
      <c r="BC651">
        <f t="shared" si="406"/>
        <v>0</v>
      </c>
      <c r="BD651">
        <f t="shared" si="407"/>
        <v>0</v>
      </c>
      <c r="BE651">
        <f t="shared" si="408"/>
        <v>0</v>
      </c>
      <c r="BF651">
        <f t="shared" si="409"/>
        <v>0</v>
      </c>
      <c r="BG651">
        <f t="shared" si="410"/>
        <v>0</v>
      </c>
      <c r="BH651">
        <f t="shared" si="411"/>
        <v>0</v>
      </c>
      <c r="BI651">
        <f t="shared" si="412"/>
        <v>0</v>
      </c>
    </row>
    <row r="652" spans="1:61" x14ac:dyDescent="0.35">
      <c r="A652" t="s">
        <v>1249</v>
      </c>
      <c r="B652" s="1">
        <v>37109</v>
      </c>
      <c r="C652" t="s">
        <v>1161</v>
      </c>
      <c r="D652" t="s">
        <v>45</v>
      </c>
      <c r="E652" t="s">
        <v>1157</v>
      </c>
      <c r="F652" t="s">
        <v>602</v>
      </c>
      <c r="G652" t="s">
        <v>47</v>
      </c>
      <c r="H652" s="139">
        <f t="shared" si="386"/>
        <v>0</v>
      </c>
      <c r="I652" t="s">
        <v>234</v>
      </c>
      <c r="J652" t="s">
        <v>178</v>
      </c>
      <c r="K652" s="2">
        <f t="shared" si="387"/>
        <v>9</v>
      </c>
      <c r="L652">
        <v>20000000</v>
      </c>
      <c r="M652" s="2">
        <f t="shared" si="388"/>
        <v>7.3010299956639813</v>
      </c>
      <c r="N652">
        <f t="shared" si="413"/>
        <v>20000000</v>
      </c>
      <c r="O652">
        <v>0</v>
      </c>
      <c r="P652" s="1">
        <v>38918</v>
      </c>
      <c r="Q652" s="89">
        <f t="shared" si="389"/>
        <v>2006</v>
      </c>
      <c r="R652" t="s">
        <v>338</v>
      </c>
      <c r="S652">
        <v>0</v>
      </c>
      <c r="T652" s="21">
        <f t="shared" si="383"/>
        <v>4.956164383561644</v>
      </c>
      <c r="U652">
        <v>0</v>
      </c>
      <c r="V652">
        <f t="shared" si="390"/>
        <v>0</v>
      </c>
      <c r="W652">
        <v>1998</v>
      </c>
      <c r="X652">
        <v>3</v>
      </c>
      <c r="Y652">
        <f t="shared" si="391"/>
        <v>0.6020599913279624</v>
      </c>
      <c r="Z652" s="45">
        <v>2.95</v>
      </c>
      <c r="AA652" s="9">
        <f t="shared" si="382"/>
        <v>-20000000</v>
      </c>
      <c r="AB652" s="15">
        <f t="shared" si="384"/>
        <v>-1</v>
      </c>
      <c r="AC652" s="34">
        <f t="shared" si="392"/>
        <v>-1</v>
      </c>
      <c r="AD652">
        <v>1246.953</v>
      </c>
      <c r="AE652">
        <f t="shared" si="393"/>
        <v>3.0958500844125241</v>
      </c>
      <c r="AF652">
        <v>3219.7179999999998</v>
      </c>
      <c r="AG652">
        <f t="shared" si="394"/>
        <v>3.5078178355445662</v>
      </c>
      <c r="AH652">
        <v>0</v>
      </c>
      <c r="AI652" s="9">
        <f t="shared" si="395"/>
        <v>0</v>
      </c>
      <c r="AJ652">
        <v>85</v>
      </c>
      <c r="AK652" t="s">
        <v>305</v>
      </c>
      <c r="AL652" s="42">
        <v>35.608384832026097</v>
      </c>
      <c r="AM652" s="24">
        <v>0.04</v>
      </c>
      <c r="AN652" s="34">
        <f t="shared" si="396"/>
        <v>1.703333929878037E-2</v>
      </c>
      <c r="AO652">
        <v>1987</v>
      </c>
      <c r="AP652">
        <v>14</v>
      </c>
      <c r="AQ652">
        <v>70</v>
      </c>
      <c r="AR652">
        <v>70</v>
      </c>
      <c r="AS652">
        <f t="shared" si="385"/>
        <v>1</v>
      </c>
      <c r="AT652">
        <f t="shared" si="397"/>
        <v>1</v>
      </c>
      <c r="AU652">
        <f t="shared" si="398"/>
        <v>0</v>
      </c>
      <c r="AV652">
        <f t="shared" si="399"/>
        <v>0</v>
      </c>
      <c r="AW652">
        <f t="shared" si="400"/>
        <v>0</v>
      </c>
      <c r="AX652">
        <f t="shared" si="401"/>
        <v>0</v>
      </c>
      <c r="AY652">
        <f t="shared" si="402"/>
        <v>0</v>
      </c>
      <c r="AZ652">
        <f t="shared" si="403"/>
        <v>0</v>
      </c>
      <c r="BA652">
        <f t="shared" si="404"/>
        <v>0</v>
      </c>
      <c r="BB652">
        <f t="shared" si="405"/>
        <v>0</v>
      </c>
      <c r="BC652">
        <f t="shared" si="406"/>
        <v>0</v>
      </c>
      <c r="BD652">
        <f t="shared" si="407"/>
        <v>0</v>
      </c>
      <c r="BE652">
        <f t="shared" si="408"/>
        <v>0</v>
      </c>
      <c r="BF652">
        <f t="shared" si="409"/>
        <v>0</v>
      </c>
      <c r="BG652">
        <f t="shared" si="410"/>
        <v>0</v>
      </c>
      <c r="BH652">
        <f t="shared" si="411"/>
        <v>0</v>
      </c>
      <c r="BI652">
        <f t="shared" si="412"/>
        <v>0</v>
      </c>
    </row>
    <row r="653" spans="1:61" x14ac:dyDescent="0.35">
      <c r="A653" t="s">
        <v>352</v>
      </c>
      <c r="B653" s="1">
        <v>37552</v>
      </c>
      <c r="C653" t="s">
        <v>1250</v>
      </c>
      <c r="D653" t="s">
        <v>45</v>
      </c>
      <c r="E653" t="s">
        <v>1157</v>
      </c>
      <c r="F653" t="s">
        <v>602</v>
      </c>
      <c r="G653" t="s">
        <v>47</v>
      </c>
      <c r="H653" s="139">
        <f t="shared" si="386"/>
        <v>0</v>
      </c>
      <c r="I653" t="s">
        <v>234</v>
      </c>
      <c r="J653" t="s">
        <v>235</v>
      </c>
      <c r="K653" s="2">
        <f t="shared" si="387"/>
        <v>1</v>
      </c>
      <c r="L653">
        <v>15000000</v>
      </c>
      <c r="M653" s="2">
        <f t="shared" si="388"/>
        <v>7.1760912590556813</v>
      </c>
      <c r="N653">
        <f t="shared" si="413"/>
        <v>15000000</v>
      </c>
      <c r="O653">
        <v>0</v>
      </c>
      <c r="P653" s="1">
        <v>38325</v>
      </c>
      <c r="Q653" s="89">
        <f t="shared" si="389"/>
        <v>2004</v>
      </c>
      <c r="R653" t="s">
        <v>338</v>
      </c>
      <c r="S653">
        <v>0</v>
      </c>
      <c r="T653" s="21">
        <f t="shared" si="383"/>
        <v>2.117808219178082</v>
      </c>
      <c r="U653">
        <v>0</v>
      </c>
      <c r="V653">
        <f t="shared" si="390"/>
        <v>0</v>
      </c>
      <c r="W653">
        <v>1941</v>
      </c>
      <c r="X653">
        <v>61</v>
      </c>
      <c r="Y653">
        <f t="shared" si="391"/>
        <v>1.7923916894982539</v>
      </c>
      <c r="Z653" s="45">
        <v>2.95</v>
      </c>
      <c r="AA653" s="9">
        <f t="shared" si="382"/>
        <v>-15000000</v>
      </c>
      <c r="AB653" s="15">
        <f t="shared" si="384"/>
        <v>-1</v>
      </c>
      <c r="AC653" s="34">
        <f t="shared" si="392"/>
        <v>-1</v>
      </c>
      <c r="AD653">
        <v>1246.953</v>
      </c>
      <c r="AE653">
        <f t="shared" si="393"/>
        <v>3.0958500844125241</v>
      </c>
      <c r="AF653">
        <v>3219.7179999999998</v>
      </c>
      <c r="AG653">
        <f t="shared" si="394"/>
        <v>3.5078178355445662</v>
      </c>
      <c r="AH653">
        <v>0</v>
      </c>
      <c r="AI653" s="9">
        <f t="shared" si="395"/>
        <v>0</v>
      </c>
      <c r="AJ653">
        <v>85</v>
      </c>
      <c r="AK653" t="s">
        <v>57</v>
      </c>
      <c r="AL653" s="42">
        <v>36.710134890601303</v>
      </c>
      <c r="AM653" s="24">
        <v>0.33</v>
      </c>
      <c r="AN653" s="34">
        <f t="shared" si="396"/>
        <v>0.12385164096708581</v>
      </c>
      <c r="AO653">
        <v>1987</v>
      </c>
      <c r="AP653">
        <v>15</v>
      </c>
      <c r="AQ653">
        <v>70</v>
      </c>
      <c r="AR653">
        <v>70</v>
      </c>
      <c r="AS653">
        <f t="shared" si="385"/>
        <v>1</v>
      </c>
      <c r="AT653">
        <f t="shared" si="397"/>
        <v>1</v>
      </c>
      <c r="AU653">
        <f t="shared" si="398"/>
        <v>0</v>
      </c>
      <c r="AV653">
        <f t="shared" si="399"/>
        <v>0</v>
      </c>
      <c r="AW653">
        <f t="shared" si="400"/>
        <v>0</v>
      </c>
      <c r="AX653">
        <f t="shared" si="401"/>
        <v>0</v>
      </c>
      <c r="AY653">
        <f t="shared" si="402"/>
        <v>0</v>
      </c>
      <c r="AZ653">
        <f t="shared" si="403"/>
        <v>0</v>
      </c>
      <c r="BA653">
        <f t="shared" si="404"/>
        <v>0</v>
      </c>
      <c r="BB653">
        <f t="shared" si="405"/>
        <v>0</v>
      </c>
      <c r="BC653">
        <f t="shared" si="406"/>
        <v>0</v>
      </c>
      <c r="BD653">
        <f t="shared" si="407"/>
        <v>0</v>
      </c>
      <c r="BE653">
        <f t="shared" si="408"/>
        <v>0</v>
      </c>
      <c r="BF653">
        <f t="shared" si="409"/>
        <v>0</v>
      </c>
      <c r="BG653">
        <f t="shared" si="410"/>
        <v>0</v>
      </c>
      <c r="BH653">
        <f t="shared" si="411"/>
        <v>0</v>
      </c>
      <c r="BI653">
        <f t="shared" si="412"/>
        <v>0</v>
      </c>
    </row>
    <row r="654" spans="1:61" x14ac:dyDescent="0.35">
      <c r="A654" t="s">
        <v>51</v>
      </c>
      <c r="B654" s="1">
        <v>37585</v>
      </c>
      <c r="C654" t="s">
        <v>1162</v>
      </c>
      <c r="D654" t="s">
        <v>45</v>
      </c>
      <c r="E654" t="s">
        <v>1157</v>
      </c>
      <c r="F654" t="s">
        <v>602</v>
      </c>
      <c r="G654" t="s">
        <v>47</v>
      </c>
      <c r="H654" s="139">
        <f t="shared" si="386"/>
        <v>0</v>
      </c>
      <c r="I654" t="s">
        <v>234</v>
      </c>
      <c r="J654" t="s">
        <v>235</v>
      </c>
      <c r="K654" s="2">
        <f t="shared" si="387"/>
        <v>1</v>
      </c>
      <c r="L654">
        <v>586800000</v>
      </c>
      <c r="M654" s="2">
        <f t="shared" si="388"/>
        <v>8.7684901051712458</v>
      </c>
      <c r="N654">
        <f t="shared" si="413"/>
        <v>586800000</v>
      </c>
      <c r="O654">
        <v>0</v>
      </c>
      <c r="P654" s="1">
        <v>38990</v>
      </c>
      <c r="Q654" s="89">
        <f t="shared" si="389"/>
        <v>2006</v>
      </c>
      <c r="R654" t="s">
        <v>54</v>
      </c>
      <c r="S654">
        <v>1825000000</v>
      </c>
      <c r="T654" s="21">
        <f t="shared" si="383"/>
        <v>3.8493150684931505</v>
      </c>
      <c r="U654">
        <v>0</v>
      </c>
      <c r="V654">
        <f t="shared" si="390"/>
        <v>0</v>
      </c>
      <c r="W654">
        <v>2002</v>
      </c>
      <c r="X654">
        <v>0</v>
      </c>
      <c r="Y654">
        <f t="shared" si="391"/>
        <v>0</v>
      </c>
      <c r="Z654" s="45">
        <v>2.95</v>
      </c>
      <c r="AA654" s="9">
        <f t="shared" si="382"/>
        <v>1238200000</v>
      </c>
      <c r="AB654" s="15">
        <f t="shared" si="384"/>
        <v>2.1100886162235857</v>
      </c>
      <c r="AC654" s="34">
        <f t="shared" si="392"/>
        <v>0.49277276362124844</v>
      </c>
      <c r="AD654">
        <v>1246.953</v>
      </c>
      <c r="AE654">
        <f t="shared" si="393"/>
        <v>3.0958500844125241</v>
      </c>
      <c r="AF654">
        <v>3219.7179999999998</v>
      </c>
      <c r="AG654">
        <f t="shared" si="394"/>
        <v>3.5078178355445662</v>
      </c>
      <c r="AH654">
        <v>0</v>
      </c>
      <c r="AI654" s="9">
        <f t="shared" si="395"/>
        <v>0</v>
      </c>
      <c r="AJ654">
        <v>85</v>
      </c>
      <c r="AK654" t="s">
        <v>57</v>
      </c>
      <c r="AL654" s="42">
        <v>36.710134890601303</v>
      </c>
      <c r="AM654" s="24">
        <v>0.43</v>
      </c>
      <c r="AN654" s="34">
        <f t="shared" si="396"/>
        <v>0.1553360374650618</v>
      </c>
      <c r="AO654">
        <v>1987</v>
      </c>
      <c r="AP654">
        <v>15</v>
      </c>
      <c r="AQ654">
        <v>70</v>
      </c>
      <c r="AR654">
        <v>70</v>
      </c>
      <c r="AS654">
        <f t="shared" si="385"/>
        <v>0</v>
      </c>
      <c r="AT654">
        <f t="shared" si="397"/>
        <v>1</v>
      </c>
      <c r="AU654">
        <f t="shared" si="398"/>
        <v>0</v>
      </c>
      <c r="AV654">
        <f t="shared" si="399"/>
        <v>0</v>
      </c>
      <c r="AW654">
        <f t="shared" si="400"/>
        <v>0</v>
      </c>
      <c r="AX654">
        <f t="shared" si="401"/>
        <v>0</v>
      </c>
      <c r="AY654">
        <f t="shared" si="402"/>
        <v>0</v>
      </c>
      <c r="AZ654">
        <f t="shared" si="403"/>
        <v>0</v>
      </c>
      <c r="BA654">
        <f t="shared" si="404"/>
        <v>0</v>
      </c>
      <c r="BB654">
        <f t="shared" si="405"/>
        <v>0</v>
      </c>
      <c r="BC654">
        <f t="shared" si="406"/>
        <v>0</v>
      </c>
      <c r="BD654">
        <f t="shared" si="407"/>
        <v>0</v>
      </c>
      <c r="BE654">
        <f t="shared" si="408"/>
        <v>0</v>
      </c>
      <c r="BF654">
        <f t="shared" si="409"/>
        <v>0</v>
      </c>
      <c r="BG654">
        <f t="shared" si="410"/>
        <v>0</v>
      </c>
      <c r="BH654">
        <f t="shared" si="411"/>
        <v>0</v>
      </c>
      <c r="BI654">
        <f t="shared" si="412"/>
        <v>0</v>
      </c>
    </row>
    <row r="655" spans="1:61" x14ac:dyDescent="0.35">
      <c r="A655" t="s">
        <v>1164</v>
      </c>
      <c r="B655" s="1">
        <v>37679</v>
      </c>
      <c r="C655" t="s">
        <v>1165</v>
      </c>
      <c r="D655" t="s">
        <v>45</v>
      </c>
      <c r="E655" t="s">
        <v>1157</v>
      </c>
      <c r="F655" t="s">
        <v>602</v>
      </c>
      <c r="G655" t="s">
        <v>47</v>
      </c>
      <c r="H655" s="139">
        <f t="shared" si="386"/>
        <v>0</v>
      </c>
      <c r="I655" t="s">
        <v>234</v>
      </c>
      <c r="J655" t="s">
        <v>235</v>
      </c>
      <c r="K655" s="2">
        <f t="shared" si="387"/>
        <v>1</v>
      </c>
      <c r="L655">
        <v>300000000</v>
      </c>
      <c r="M655" s="2">
        <f t="shared" si="388"/>
        <v>8.4771212547196626</v>
      </c>
      <c r="N655">
        <f t="shared" si="413"/>
        <v>300000000</v>
      </c>
      <c r="O655">
        <v>0</v>
      </c>
      <c r="P655" s="1">
        <v>38176</v>
      </c>
      <c r="Q655" s="89">
        <f t="shared" si="389"/>
        <v>2004</v>
      </c>
      <c r="R655" t="s">
        <v>54</v>
      </c>
      <c r="S655">
        <v>650000000</v>
      </c>
      <c r="T655" s="21">
        <f t="shared" si="383"/>
        <v>1.3616438356164384</v>
      </c>
      <c r="U655">
        <v>0</v>
      </c>
      <c r="V655">
        <f t="shared" si="390"/>
        <v>0</v>
      </c>
      <c r="W655">
        <v>1956</v>
      </c>
      <c r="X655">
        <v>47</v>
      </c>
      <c r="Y655">
        <f t="shared" si="391"/>
        <v>1.6812412373755872</v>
      </c>
      <c r="Z655" s="45">
        <v>2.95</v>
      </c>
      <c r="AA655" s="9">
        <f t="shared" si="382"/>
        <v>350000000</v>
      </c>
      <c r="AB655" s="15">
        <f t="shared" si="384"/>
        <v>1.1666666666666665</v>
      </c>
      <c r="AC655" s="34">
        <f t="shared" si="392"/>
        <v>0.33579210192319309</v>
      </c>
      <c r="AD655">
        <v>1246.953</v>
      </c>
      <c r="AE655">
        <f t="shared" si="393"/>
        <v>3.0958500844125241</v>
      </c>
      <c r="AF655">
        <v>3219.7179999999998</v>
      </c>
      <c r="AG655">
        <f t="shared" si="394"/>
        <v>3.5078178355445662</v>
      </c>
      <c r="AH655">
        <v>0</v>
      </c>
      <c r="AI655" s="9">
        <f t="shared" si="395"/>
        <v>0</v>
      </c>
      <c r="AJ655">
        <v>85</v>
      </c>
      <c r="AK655" t="s">
        <v>301</v>
      </c>
      <c r="AL655" s="42">
        <v>37.256914365427299</v>
      </c>
      <c r="AM655" s="24">
        <v>0.32</v>
      </c>
      <c r="AN655" s="34">
        <f t="shared" si="396"/>
        <v>0.12057393120584989</v>
      </c>
      <c r="AO655">
        <v>1987</v>
      </c>
      <c r="AP655">
        <v>16</v>
      </c>
      <c r="AQ655">
        <v>70</v>
      </c>
      <c r="AR655">
        <v>70</v>
      </c>
      <c r="AS655">
        <f t="shared" si="385"/>
        <v>0</v>
      </c>
      <c r="AT655">
        <f t="shared" si="397"/>
        <v>1</v>
      </c>
      <c r="AU655">
        <f t="shared" si="398"/>
        <v>0</v>
      </c>
      <c r="AV655">
        <f t="shared" si="399"/>
        <v>0</v>
      </c>
      <c r="AW655">
        <f t="shared" si="400"/>
        <v>0</v>
      </c>
      <c r="AX655">
        <f t="shared" si="401"/>
        <v>0</v>
      </c>
      <c r="AY655">
        <f t="shared" si="402"/>
        <v>0</v>
      </c>
      <c r="AZ655">
        <f t="shared" si="403"/>
        <v>0</v>
      </c>
      <c r="BA655">
        <f t="shared" si="404"/>
        <v>0</v>
      </c>
      <c r="BB655">
        <f t="shared" si="405"/>
        <v>0</v>
      </c>
      <c r="BC655">
        <f t="shared" si="406"/>
        <v>0</v>
      </c>
      <c r="BD655">
        <f t="shared" si="407"/>
        <v>0</v>
      </c>
      <c r="BE655">
        <f t="shared" si="408"/>
        <v>0</v>
      </c>
      <c r="BF655">
        <f t="shared" si="409"/>
        <v>0</v>
      </c>
      <c r="BG655">
        <f t="shared" si="410"/>
        <v>0</v>
      </c>
      <c r="BH655">
        <f t="shared" si="411"/>
        <v>0</v>
      </c>
      <c r="BI655">
        <f t="shared" si="412"/>
        <v>0</v>
      </c>
    </row>
    <row r="656" spans="1:61" x14ac:dyDescent="0.35">
      <c r="A656" t="s">
        <v>51</v>
      </c>
      <c r="B656" s="1">
        <v>37792</v>
      </c>
      <c r="C656" t="s">
        <v>1166</v>
      </c>
      <c r="D656" t="s">
        <v>45</v>
      </c>
      <c r="E656" t="s">
        <v>1157</v>
      </c>
      <c r="F656" t="s">
        <v>602</v>
      </c>
      <c r="G656" t="s">
        <v>47</v>
      </c>
      <c r="H656" s="139">
        <f t="shared" si="386"/>
        <v>0</v>
      </c>
      <c r="I656" t="s">
        <v>234</v>
      </c>
      <c r="J656" t="s">
        <v>248</v>
      </c>
      <c r="K656" s="2">
        <f t="shared" si="387"/>
        <v>5</v>
      </c>
      <c r="L656">
        <v>800000000</v>
      </c>
      <c r="M656" s="2">
        <f t="shared" si="388"/>
        <v>8.9030899869919438</v>
      </c>
      <c r="N656">
        <f t="shared" si="413"/>
        <v>800000000</v>
      </c>
      <c r="O656">
        <v>0</v>
      </c>
      <c r="P656" s="1">
        <v>40632</v>
      </c>
      <c r="Q656" s="89">
        <f t="shared" si="389"/>
        <v>2011</v>
      </c>
      <c r="R656" t="s">
        <v>54</v>
      </c>
      <c r="S656">
        <v>980000000</v>
      </c>
      <c r="T656" s="21">
        <f t="shared" si="383"/>
        <v>7.7808219178082192</v>
      </c>
      <c r="U656">
        <v>0</v>
      </c>
      <c r="V656">
        <f t="shared" si="390"/>
        <v>0</v>
      </c>
      <c r="W656">
        <v>1958</v>
      </c>
      <c r="X656">
        <v>45</v>
      </c>
      <c r="Y656">
        <f t="shared" si="391"/>
        <v>1.6627578316815741</v>
      </c>
      <c r="Z656" s="45">
        <v>2.95</v>
      </c>
      <c r="AA656" s="9">
        <f t="shared" si="382"/>
        <v>180000000</v>
      </c>
      <c r="AB656" s="15">
        <f t="shared" si="384"/>
        <v>0.22500000000000009</v>
      </c>
      <c r="AC656" s="34">
        <f t="shared" si="392"/>
        <v>8.8136088700551299E-2</v>
      </c>
      <c r="AD656">
        <v>1246.953</v>
      </c>
      <c r="AE656">
        <f t="shared" si="393"/>
        <v>3.0958500844125241</v>
      </c>
      <c r="AF656">
        <v>3219.7179999999998</v>
      </c>
      <c r="AG656">
        <f t="shared" si="394"/>
        <v>3.5078178355445662</v>
      </c>
      <c r="AH656">
        <v>0</v>
      </c>
      <c r="AI656" s="9">
        <f t="shared" si="395"/>
        <v>0</v>
      </c>
      <c r="AJ656">
        <v>85</v>
      </c>
      <c r="AK656" t="s">
        <v>301</v>
      </c>
      <c r="AL656" s="42">
        <v>37.256914365427299</v>
      </c>
      <c r="AM656" s="24">
        <v>0.33</v>
      </c>
      <c r="AN656" s="34">
        <f t="shared" si="396"/>
        <v>0.12385164096708581</v>
      </c>
      <c r="AO656">
        <v>1987</v>
      </c>
      <c r="AP656">
        <v>16</v>
      </c>
      <c r="AQ656">
        <v>70</v>
      </c>
      <c r="AR656">
        <v>70</v>
      </c>
      <c r="AS656">
        <f t="shared" si="385"/>
        <v>0</v>
      </c>
      <c r="AT656">
        <f t="shared" si="397"/>
        <v>1</v>
      </c>
      <c r="AU656">
        <f t="shared" si="398"/>
        <v>0</v>
      </c>
      <c r="AV656">
        <f t="shared" si="399"/>
        <v>0</v>
      </c>
      <c r="AW656">
        <f t="shared" si="400"/>
        <v>0</v>
      </c>
      <c r="AX656">
        <f t="shared" si="401"/>
        <v>0</v>
      </c>
      <c r="AY656">
        <f t="shared" si="402"/>
        <v>0</v>
      </c>
      <c r="AZ656">
        <f t="shared" si="403"/>
        <v>0</v>
      </c>
      <c r="BA656">
        <f t="shared" si="404"/>
        <v>0</v>
      </c>
      <c r="BB656">
        <f t="shared" si="405"/>
        <v>0</v>
      </c>
      <c r="BC656">
        <f t="shared" si="406"/>
        <v>0</v>
      </c>
      <c r="BD656">
        <f t="shared" si="407"/>
        <v>0</v>
      </c>
      <c r="BE656">
        <f t="shared" si="408"/>
        <v>0</v>
      </c>
      <c r="BF656">
        <f t="shared" si="409"/>
        <v>0</v>
      </c>
      <c r="BG656">
        <f t="shared" si="410"/>
        <v>0</v>
      </c>
      <c r="BH656">
        <f t="shared" si="411"/>
        <v>0</v>
      </c>
      <c r="BI656">
        <f t="shared" si="412"/>
        <v>0</v>
      </c>
    </row>
    <row r="657" spans="1:61" x14ac:dyDescent="0.35">
      <c r="A657" t="s">
        <v>51</v>
      </c>
      <c r="B657" s="1">
        <v>38944</v>
      </c>
      <c r="C657" t="s">
        <v>1251</v>
      </c>
      <c r="D657" t="s">
        <v>45</v>
      </c>
      <c r="E657" t="s">
        <v>651</v>
      </c>
      <c r="F657" t="s">
        <v>602</v>
      </c>
      <c r="G657" t="s">
        <v>47</v>
      </c>
      <c r="H657" s="139">
        <f t="shared" si="386"/>
        <v>0</v>
      </c>
      <c r="I657" t="s">
        <v>234</v>
      </c>
      <c r="J657" t="s">
        <v>248</v>
      </c>
      <c r="K657" s="2">
        <f t="shared" si="387"/>
        <v>5</v>
      </c>
      <c r="L657">
        <v>400000000</v>
      </c>
      <c r="M657" s="2">
        <f t="shared" si="388"/>
        <v>8.6020599913279625</v>
      </c>
      <c r="N657">
        <f t="shared" si="413"/>
        <v>400000000</v>
      </c>
      <c r="O657">
        <v>0</v>
      </c>
      <c r="P657" s="1">
        <v>40648</v>
      </c>
      <c r="Q657" s="89">
        <f t="shared" si="389"/>
        <v>2011</v>
      </c>
      <c r="R657" t="s">
        <v>107</v>
      </c>
      <c r="S657">
        <v>350000000</v>
      </c>
      <c r="T657" s="21">
        <f t="shared" si="383"/>
        <v>4.6684931506849319</v>
      </c>
      <c r="U657">
        <v>0</v>
      </c>
      <c r="V657">
        <f t="shared" si="390"/>
        <v>0</v>
      </c>
      <c r="W657">
        <v>1977</v>
      </c>
      <c r="X657">
        <v>29</v>
      </c>
      <c r="Y657">
        <f t="shared" si="391"/>
        <v>1.4771212547196624</v>
      </c>
      <c r="Z657" s="45">
        <v>2.95</v>
      </c>
      <c r="AA657" s="9">
        <f t="shared" si="382"/>
        <v>-50000000</v>
      </c>
      <c r="AB657" s="15">
        <f t="shared" si="384"/>
        <v>-0.125</v>
      </c>
      <c r="AC657" s="34">
        <f t="shared" si="392"/>
        <v>-5.7991946977686754E-2</v>
      </c>
      <c r="AD657">
        <v>2315.9650000000001</v>
      </c>
      <c r="AE657">
        <f t="shared" si="393"/>
        <v>3.3647319918335836</v>
      </c>
      <c r="AF657">
        <v>3703.9029999999998</v>
      </c>
      <c r="AG657">
        <f t="shared" si="394"/>
        <v>3.568659604598353</v>
      </c>
      <c r="AH657">
        <v>0</v>
      </c>
      <c r="AI657" s="9">
        <f t="shared" si="395"/>
        <v>0</v>
      </c>
      <c r="AJ657">
        <v>93.2</v>
      </c>
      <c r="AK657" s="23" t="s">
        <v>103</v>
      </c>
      <c r="AL657" s="42">
        <v>36.669158714517401</v>
      </c>
      <c r="AM657" s="24">
        <v>0.03</v>
      </c>
      <c r="AN657" s="34">
        <f t="shared" si="396"/>
        <v>1.2837224705172217E-2</v>
      </c>
      <c r="AO657">
        <v>1985</v>
      </c>
      <c r="AP657">
        <v>21</v>
      </c>
      <c r="AQ657">
        <v>70</v>
      </c>
      <c r="AR657">
        <v>70</v>
      </c>
      <c r="AS657">
        <f t="shared" si="385"/>
        <v>0</v>
      </c>
      <c r="AT657">
        <f t="shared" si="397"/>
        <v>1</v>
      </c>
      <c r="AU657">
        <f t="shared" si="398"/>
        <v>0</v>
      </c>
      <c r="AV657">
        <f t="shared" si="399"/>
        <v>0</v>
      </c>
      <c r="AW657">
        <f t="shared" si="400"/>
        <v>0</v>
      </c>
      <c r="AX657">
        <f t="shared" si="401"/>
        <v>0</v>
      </c>
      <c r="AY657">
        <f t="shared" si="402"/>
        <v>0</v>
      </c>
      <c r="AZ657">
        <f t="shared" si="403"/>
        <v>0</v>
      </c>
      <c r="BA657">
        <f t="shared" si="404"/>
        <v>0</v>
      </c>
      <c r="BB657">
        <f t="shared" si="405"/>
        <v>0</v>
      </c>
      <c r="BC657">
        <f t="shared" si="406"/>
        <v>0</v>
      </c>
      <c r="BD657">
        <f t="shared" si="407"/>
        <v>0</v>
      </c>
      <c r="BE657">
        <f t="shared" si="408"/>
        <v>0</v>
      </c>
      <c r="BF657">
        <f t="shared" si="409"/>
        <v>0</v>
      </c>
      <c r="BG657">
        <f t="shared" si="410"/>
        <v>0</v>
      </c>
      <c r="BH657">
        <f t="shared" si="411"/>
        <v>0</v>
      </c>
      <c r="BI657">
        <f t="shared" si="412"/>
        <v>0</v>
      </c>
    </row>
    <row r="658" spans="1:61" x14ac:dyDescent="0.35">
      <c r="A658" t="s">
        <v>51</v>
      </c>
      <c r="B658" s="1">
        <v>39202</v>
      </c>
      <c r="C658" t="s">
        <v>1252</v>
      </c>
      <c r="D658" t="s">
        <v>45</v>
      </c>
      <c r="E658" t="s">
        <v>651</v>
      </c>
      <c r="F658" t="s">
        <v>602</v>
      </c>
      <c r="G658" t="s">
        <v>47</v>
      </c>
      <c r="H658" s="139">
        <f t="shared" si="386"/>
        <v>0</v>
      </c>
      <c r="I658" t="s">
        <v>234</v>
      </c>
      <c r="J658" t="s">
        <v>269</v>
      </c>
      <c r="K658" s="2">
        <f t="shared" si="387"/>
        <v>7</v>
      </c>
      <c r="L658">
        <v>2160000000</v>
      </c>
      <c r="M658" s="2">
        <f t="shared" si="388"/>
        <v>9.3344537511509316</v>
      </c>
      <c r="N658">
        <f t="shared" si="413"/>
        <v>2160000000</v>
      </c>
      <c r="O658">
        <v>0</v>
      </c>
      <c r="P658" s="1">
        <v>42128</v>
      </c>
      <c r="Q658" s="89">
        <f t="shared" si="389"/>
        <v>2015</v>
      </c>
      <c r="R658" t="s">
        <v>322</v>
      </c>
      <c r="S658">
        <v>2490400000</v>
      </c>
      <c r="T658" s="21">
        <f t="shared" si="383"/>
        <v>8.0164383561643842</v>
      </c>
      <c r="U658">
        <v>0</v>
      </c>
      <c r="V658">
        <f t="shared" si="390"/>
        <v>0</v>
      </c>
      <c r="W658">
        <v>1998</v>
      </c>
      <c r="X658">
        <v>9</v>
      </c>
      <c r="Y658">
        <f t="shared" si="391"/>
        <v>1</v>
      </c>
      <c r="Z658" s="45">
        <v>2.95</v>
      </c>
      <c r="AA658" s="9">
        <f t="shared" si="382"/>
        <v>330400000</v>
      </c>
      <c r="AB658" s="15">
        <f t="shared" si="384"/>
        <v>0.15296296296296297</v>
      </c>
      <c r="AC658" s="34">
        <f t="shared" si="392"/>
        <v>6.1815356523527966E-2</v>
      </c>
      <c r="AD658">
        <v>2315.9650000000001</v>
      </c>
      <c r="AE658">
        <f t="shared" si="393"/>
        <v>3.3647319918335836</v>
      </c>
      <c r="AF658">
        <v>3703.9029999999998</v>
      </c>
      <c r="AG658">
        <f t="shared" si="394"/>
        <v>3.568659604598353</v>
      </c>
      <c r="AH658">
        <v>0</v>
      </c>
      <c r="AI658" s="9">
        <f t="shared" si="395"/>
        <v>0</v>
      </c>
      <c r="AJ658">
        <v>91.4</v>
      </c>
      <c r="AK658" s="23" t="s">
        <v>103</v>
      </c>
      <c r="AL658" s="42">
        <v>37.425715444240403</v>
      </c>
      <c r="AM658" s="24">
        <v>0.43</v>
      </c>
      <c r="AN658" s="34">
        <f t="shared" si="396"/>
        <v>0.1553360374650618</v>
      </c>
      <c r="AO658">
        <v>1985</v>
      </c>
      <c r="AP658">
        <v>22</v>
      </c>
      <c r="AQ658">
        <v>70</v>
      </c>
      <c r="AR658">
        <v>70</v>
      </c>
      <c r="AS658">
        <f t="shared" si="385"/>
        <v>0</v>
      </c>
      <c r="AT658">
        <f t="shared" si="397"/>
        <v>1</v>
      </c>
      <c r="AU658">
        <f t="shared" si="398"/>
        <v>0</v>
      </c>
      <c r="AV658">
        <f t="shared" si="399"/>
        <v>0</v>
      </c>
      <c r="AW658">
        <f t="shared" si="400"/>
        <v>0</v>
      </c>
      <c r="AX658">
        <f t="shared" si="401"/>
        <v>0</v>
      </c>
      <c r="AY658">
        <f t="shared" si="402"/>
        <v>0</v>
      </c>
      <c r="AZ658">
        <f t="shared" si="403"/>
        <v>0</v>
      </c>
      <c r="BA658">
        <f t="shared" si="404"/>
        <v>0</v>
      </c>
      <c r="BB658">
        <f t="shared" si="405"/>
        <v>0</v>
      </c>
      <c r="BC658">
        <f t="shared" si="406"/>
        <v>0</v>
      </c>
      <c r="BD658">
        <f t="shared" si="407"/>
        <v>0</v>
      </c>
      <c r="BE658">
        <f t="shared" si="408"/>
        <v>0</v>
      </c>
      <c r="BF658">
        <f t="shared" si="409"/>
        <v>0</v>
      </c>
      <c r="BG658">
        <f t="shared" si="410"/>
        <v>0</v>
      </c>
      <c r="BH658">
        <f t="shared" si="411"/>
        <v>0</v>
      </c>
      <c r="BI658">
        <f t="shared" si="412"/>
        <v>0</v>
      </c>
    </row>
    <row r="659" spans="1:61" x14ac:dyDescent="0.35">
      <c r="A659" t="s">
        <v>51</v>
      </c>
      <c r="B659" s="1">
        <v>39351</v>
      </c>
      <c r="C659" t="s">
        <v>359</v>
      </c>
      <c r="D659" t="s">
        <v>45</v>
      </c>
      <c r="E659" t="s">
        <v>651</v>
      </c>
      <c r="F659" t="s">
        <v>602</v>
      </c>
      <c r="G659" t="s">
        <v>47</v>
      </c>
      <c r="H659" s="139">
        <f t="shared" si="386"/>
        <v>0</v>
      </c>
      <c r="I659" t="s">
        <v>234</v>
      </c>
      <c r="J659" t="s">
        <v>190</v>
      </c>
      <c r="K659" s="2">
        <f t="shared" si="387"/>
        <v>2</v>
      </c>
      <c r="L659">
        <v>11400000000</v>
      </c>
      <c r="M659" s="2">
        <f t="shared" si="388"/>
        <v>10.056904851336473</v>
      </c>
      <c r="N659">
        <f t="shared" si="413"/>
        <v>11400000000</v>
      </c>
      <c r="O659">
        <v>0</v>
      </c>
      <c r="P659" s="1">
        <v>42179</v>
      </c>
      <c r="Q659" s="89">
        <f t="shared" si="389"/>
        <v>2015</v>
      </c>
      <c r="R659" t="s">
        <v>107</v>
      </c>
      <c r="S659">
        <v>13350000000</v>
      </c>
      <c r="T659" s="21">
        <f t="shared" si="383"/>
        <v>7.7479452054794518</v>
      </c>
      <c r="U659">
        <v>0</v>
      </c>
      <c r="V659">
        <f t="shared" si="390"/>
        <v>0</v>
      </c>
      <c r="W659">
        <v>1977</v>
      </c>
      <c r="X659">
        <v>30</v>
      </c>
      <c r="Y659">
        <f t="shared" si="391"/>
        <v>1.4913616938342726</v>
      </c>
      <c r="Z659" s="45">
        <v>2.95</v>
      </c>
      <c r="AA659" s="9">
        <f t="shared" si="382"/>
        <v>1950000000</v>
      </c>
      <c r="AB659" s="15">
        <f t="shared" si="384"/>
        <v>0.17105263157894735</v>
      </c>
      <c r="AC659" s="34">
        <f t="shared" si="392"/>
        <v>6.857641436412143E-2</v>
      </c>
      <c r="AD659">
        <v>2315.9650000000001</v>
      </c>
      <c r="AE659">
        <f t="shared" si="393"/>
        <v>3.3647319918335836</v>
      </c>
      <c r="AF659">
        <v>3703.9029999999998</v>
      </c>
      <c r="AG659">
        <f t="shared" si="394"/>
        <v>3.568659604598353</v>
      </c>
      <c r="AH659">
        <v>0</v>
      </c>
      <c r="AI659" s="9">
        <f t="shared" si="395"/>
        <v>0</v>
      </c>
      <c r="AJ659">
        <v>91.4</v>
      </c>
      <c r="AK659" s="23" t="s">
        <v>103</v>
      </c>
      <c r="AL659" s="42">
        <v>37.425715444240403</v>
      </c>
      <c r="AM659" s="24">
        <v>0.38</v>
      </c>
      <c r="AN659" s="34">
        <f t="shared" si="396"/>
        <v>0.13987908640123647</v>
      </c>
      <c r="AO659">
        <v>1985</v>
      </c>
      <c r="AP659">
        <v>22</v>
      </c>
      <c r="AQ659">
        <v>70</v>
      </c>
      <c r="AR659">
        <v>70</v>
      </c>
      <c r="AS659">
        <f t="shared" si="385"/>
        <v>0</v>
      </c>
      <c r="AT659">
        <f t="shared" si="397"/>
        <v>1</v>
      </c>
      <c r="AU659">
        <f t="shared" si="398"/>
        <v>0</v>
      </c>
      <c r="AV659">
        <f t="shared" si="399"/>
        <v>0</v>
      </c>
      <c r="AW659">
        <f t="shared" si="400"/>
        <v>0</v>
      </c>
      <c r="AX659">
        <f t="shared" si="401"/>
        <v>0</v>
      </c>
      <c r="AY659">
        <f t="shared" si="402"/>
        <v>0</v>
      </c>
      <c r="AZ659">
        <f t="shared" si="403"/>
        <v>0</v>
      </c>
      <c r="BA659">
        <f t="shared" si="404"/>
        <v>0</v>
      </c>
      <c r="BB659">
        <f t="shared" si="405"/>
        <v>0</v>
      </c>
      <c r="BC659">
        <f t="shared" si="406"/>
        <v>0</v>
      </c>
      <c r="BD659">
        <f t="shared" si="407"/>
        <v>0</v>
      </c>
      <c r="BE659">
        <f t="shared" si="408"/>
        <v>0</v>
      </c>
      <c r="BF659">
        <f t="shared" si="409"/>
        <v>0</v>
      </c>
      <c r="BG659">
        <f t="shared" si="410"/>
        <v>0</v>
      </c>
      <c r="BH659">
        <f t="shared" si="411"/>
        <v>0</v>
      </c>
      <c r="BI659">
        <f t="shared" si="412"/>
        <v>0</v>
      </c>
    </row>
    <row r="660" spans="1:61" x14ac:dyDescent="0.35">
      <c r="A660" t="s">
        <v>51</v>
      </c>
      <c r="B660" s="1">
        <v>39654</v>
      </c>
      <c r="C660" t="s">
        <v>221</v>
      </c>
      <c r="D660" t="s">
        <v>45</v>
      </c>
      <c r="E660" t="s">
        <v>651</v>
      </c>
      <c r="F660" t="s">
        <v>602</v>
      </c>
      <c r="G660" t="s">
        <v>47</v>
      </c>
      <c r="H660" s="139">
        <f t="shared" si="386"/>
        <v>0</v>
      </c>
      <c r="I660" t="s">
        <v>234</v>
      </c>
      <c r="J660" t="s">
        <v>248</v>
      </c>
      <c r="K660" s="2">
        <f t="shared" si="387"/>
        <v>5</v>
      </c>
      <c r="L660">
        <v>700000000</v>
      </c>
      <c r="M660" s="2">
        <f t="shared" si="388"/>
        <v>8.8450980400142569</v>
      </c>
      <c r="N660">
        <f t="shared" si="413"/>
        <v>700000000</v>
      </c>
      <c r="O660">
        <v>0</v>
      </c>
      <c r="P660" s="1">
        <v>42340</v>
      </c>
      <c r="Q660" s="89">
        <f t="shared" si="389"/>
        <v>2015</v>
      </c>
      <c r="R660" t="s">
        <v>114</v>
      </c>
      <c r="S660">
        <v>1680000000</v>
      </c>
      <c r="T660" s="21">
        <f t="shared" si="383"/>
        <v>7.3589041095890408</v>
      </c>
      <c r="U660">
        <v>0</v>
      </c>
      <c r="V660">
        <f t="shared" si="390"/>
        <v>0</v>
      </c>
      <c r="W660">
        <v>1957</v>
      </c>
      <c r="X660">
        <v>51</v>
      </c>
      <c r="Y660">
        <f t="shared" si="391"/>
        <v>1.7160033436347992</v>
      </c>
      <c r="Z660" s="45">
        <v>2.95</v>
      </c>
      <c r="AA660" s="9">
        <f t="shared" si="382"/>
        <v>980000000</v>
      </c>
      <c r="AB660" s="15">
        <f t="shared" si="384"/>
        <v>1.4</v>
      </c>
      <c r="AC660" s="34">
        <f t="shared" si="392"/>
        <v>0.38021124171160603</v>
      </c>
      <c r="AD660">
        <v>2315.9650000000001</v>
      </c>
      <c r="AE660">
        <f t="shared" si="393"/>
        <v>3.3647319918335836</v>
      </c>
      <c r="AF660">
        <v>3703.9029999999998</v>
      </c>
      <c r="AG660">
        <f t="shared" si="394"/>
        <v>3.568659604598353</v>
      </c>
      <c r="AH660">
        <v>0</v>
      </c>
      <c r="AI660" s="9">
        <f t="shared" si="395"/>
        <v>0</v>
      </c>
      <c r="AJ660">
        <v>92.6</v>
      </c>
      <c r="AK660" s="23" t="s">
        <v>222</v>
      </c>
      <c r="AL660" s="42">
        <v>39.823361151429197</v>
      </c>
      <c r="AM660" s="24">
        <v>0.65</v>
      </c>
      <c r="AN660" s="34">
        <f t="shared" si="396"/>
        <v>0.21748394421390627</v>
      </c>
      <c r="AO660">
        <v>1985</v>
      </c>
      <c r="AP660">
        <v>23</v>
      </c>
      <c r="AQ660">
        <v>70</v>
      </c>
      <c r="AR660">
        <v>70</v>
      </c>
      <c r="AS660">
        <f t="shared" si="385"/>
        <v>0</v>
      </c>
      <c r="AT660">
        <f t="shared" si="397"/>
        <v>1</v>
      </c>
      <c r="AU660">
        <f t="shared" si="398"/>
        <v>0</v>
      </c>
      <c r="AV660">
        <f t="shared" si="399"/>
        <v>0</v>
      </c>
      <c r="AW660">
        <f t="shared" si="400"/>
        <v>0</v>
      </c>
      <c r="AX660">
        <f t="shared" si="401"/>
        <v>0</v>
      </c>
      <c r="AY660">
        <f t="shared" si="402"/>
        <v>0</v>
      </c>
      <c r="AZ660">
        <f t="shared" si="403"/>
        <v>0</v>
      </c>
      <c r="BA660">
        <f t="shared" si="404"/>
        <v>0</v>
      </c>
      <c r="BB660">
        <f t="shared" si="405"/>
        <v>0</v>
      </c>
      <c r="BC660">
        <f t="shared" si="406"/>
        <v>0</v>
      </c>
      <c r="BD660">
        <f t="shared" si="407"/>
        <v>0</v>
      </c>
      <c r="BE660">
        <f t="shared" si="408"/>
        <v>0</v>
      </c>
      <c r="BF660">
        <f t="shared" si="409"/>
        <v>0</v>
      </c>
      <c r="BG660">
        <f t="shared" si="410"/>
        <v>0</v>
      </c>
      <c r="BH660">
        <f t="shared" si="411"/>
        <v>0</v>
      </c>
      <c r="BI660">
        <f t="shared" si="412"/>
        <v>0</v>
      </c>
    </row>
    <row r="661" spans="1:61" x14ac:dyDescent="0.35">
      <c r="A661" t="s">
        <v>51</v>
      </c>
      <c r="B661" s="1">
        <v>39703</v>
      </c>
      <c r="C661" t="s">
        <v>1253</v>
      </c>
      <c r="D661" t="s">
        <v>45</v>
      </c>
      <c r="E661" t="s">
        <v>651</v>
      </c>
      <c r="F661" t="s">
        <v>602</v>
      </c>
      <c r="G661" t="s">
        <v>47</v>
      </c>
      <c r="H661" s="139">
        <f t="shared" si="386"/>
        <v>0</v>
      </c>
      <c r="I661" t="s">
        <v>234</v>
      </c>
      <c r="J661" t="s">
        <v>186</v>
      </c>
      <c r="K661" s="2">
        <f t="shared" si="387"/>
        <v>4</v>
      </c>
      <c r="L661">
        <v>3500000000</v>
      </c>
      <c r="M661" s="2">
        <f t="shared" si="388"/>
        <v>9.5440680443502757</v>
      </c>
      <c r="N661">
        <f t="shared" si="413"/>
        <v>3500000000</v>
      </c>
      <c r="O661">
        <v>0</v>
      </c>
      <c r="P661" s="1">
        <v>43181</v>
      </c>
      <c r="Q661" s="89">
        <f t="shared" si="389"/>
        <v>2018</v>
      </c>
      <c r="R661" t="s">
        <v>107</v>
      </c>
      <c r="S661">
        <v>300000000</v>
      </c>
      <c r="T661" s="21">
        <f t="shared" si="383"/>
        <v>9.5287671232876718</v>
      </c>
      <c r="U661">
        <v>0</v>
      </c>
      <c r="V661">
        <f t="shared" si="390"/>
        <v>0</v>
      </c>
      <c r="W661">
        <v>1982</v>
      </c>
      <c r="X661">
        <v>26</v>
      </c>
      <c r="Y661">
        <f t="shared" si="391"/>
        <v>1.4313637641589874</v>
      </c>
      <c r="Z661" s="45">
        <v>2.95</v>
      </c>
      <c r="AA661" s="9">
        <f t="shared" si="382"/>
        <v>-3200000000</v>
      </c>
      <c r="AB661" s="15">
        <f t="shared" si="384"/>
        <v>-0.91428571428571426</v>
      </c>
      <c r="AC661" s="34">
        <f t="shared" si="392"/>
        <v>-1.0669467896306131</v>
      </c>
      <c r="AD661">
        <v>2315.9650000000001</v>
      </c>
      <c r="AE661">
        <f t="shared" si="393"/>
        <v>3.3647319918335836</v>
      </c>
      <c r="AF661">
        <v>3703.9029999999998</v>
      </c>
      <c r="AG661">
        <f t="shared" si="394"/>
        <v>3.568659604598353</v>
      </c>
      <c r="AH661">
        <v>0</v>
      </c>
      <c r="AI661" s="9">
        <f t="shared" si="395"/>
        <v>0</v>
      </c>
      <c r="AJ661">
        <v>92.6</v>
      </c>
      <c r="AK661" s="23" t="s">
        <v>222</v>
      </c>
      <c r="AL661" s="42">
        <v>39.823361151429197</v>
      </c>
      <c r="AM661" s="24">
        <v>1.1100000000000001</v>
      </c>
      <c r="AN661" s="34">
        <f t="shared" si="396"/>
        <v>0.32428245529769273</v>
      </c>
      <c r="AO661">
        <v>1985</v>
      </c>
      <c r="AP661">
        <v>23</v>
      </c>
      <c r="AQ661">
        <v>70</v>
      </c>
      <c r="AR661">
        <v>70</v>
      </c>
      <c r="AS661">
        <f t="shared" si="385"/>
        <v>0</v>
      </c>
      <c r="AT661">
        <f t="shared" si="397"/>
        <v>1</v>
      </c>
      <c r="AU661">
        <f t="shared" si="398"/>
        <v>0</v>
      </c>
      <c r="AV661">
        <f t="shared" si="399"/>
        <v>0</v>
      </c>
      <c r="AW661">
        <f t="shared" si="400"/>
        <v>0</v>
      </c>
      <c r="AX661">
        <f t="shared" si="401"/>
        <v>0</v>
      </c>
      <c r="AY661">
        <f t="shared" si="402"/>
        <v>0</v>
      </c>
      <c r="AZ661">
        <f t="shared" si="403"/>
        <v>0</v>
      </c>
      <c r="BA661">
        <f t="shared" si="404"/>
        <v>0</v>
      </c>
      <c r="BB661">
        <f t="shared" si="405"/>
        <v>0</v>
      </c>
      <c r="BC661">
        <f t="shared" si="406"/>
        <v>0</v>
      </c>
      <c r="BD661">
        <f t="shared" si="407"/>
        <v>0</v>
      </c>
      <c r="BE661">
        <f t="shared" si="408"/>
        <v>0</v>
      </c>
      <c r="BF661">
        <f t="shared" si="409"/>
        <v>0</v>
      </c>
      <c r="BG661">
        <f t="shared" si="410"/>
        <v>0</v>
      </c>
      <c r="BH661">
        <f t="shared" si="411"/>
        <v>0</v>
      </c>
      <c r="BI661">
        <f t="shared" si="412"/>
        <v>0</v>
      </c>
    </row>
    <row r="662" spans="1:61" x14ac:dyDescent="0.35">
      <c r="A662" t="s">
        <v>51</v>
      </c>
      <c r="B662" s="1">
        <v>40574</v>
      </c>
      <c r="C662" t="s">
        <v>1254</v>
      </c>
      <c r="D662" t="s">
        <v>45</v>
      </c>
      <c r="E662" t="s">
        <v>651</v>
      </c>
      <c r="F662" t="s">
        <v>602</v>
      </c>
      <c r="G662" t="s">
        <v>47</v>
      </c>
      <c r="H662" s="139">
        <f t="shared" si="386"/>
        <v>0</v>
      </c>
      <c r="I662" t="s">
        <v>268</v>
      </c>
      <c r="J662" t="s">
        <v>326</v>
      </c>
      <c r="K662" s="2">
        <f t="shared" si="387"/>
        <v>8</v>
      </c>
      <c r="L662">
        <v>603870000</v>
      </c>
      <c r="M662" s="2">
        <f t="shared" si="388"/>
        <v>8.7809434545825091</v>
      </c>
      <c r="N662">
        <v>328130000</v>
      </c>
      <c r="O662">
        <v>275750000</v>
      </c>
      <c r="P662" s="1">
        <v>42278</v>
      </c>
      <c r="Q662" s="89">
        <f t="shared" si="389"/>
        <v>2015</v>
      </c>
      <c r="R662" t="s">
        <v>107</v>
      </c>
      <c r="S662">
        <v>2450000000</v>
      </c>
      <c r="T662" s="21">
        <f t="shared" si="383"/>
        <v>4.6684931506849319</v>
      </c>
      <c r="U662">
        <v>0</v>
      </c>
      <c r="V662">
        <f t="shared" si="390"/>
        <v>0</v>
      </c>
      <c r="W662">
        <v>1992</v>
      </c>
      <c r="X662">
        <v>19</v>
      </c>
      <c r="Y662">
        <f t="shared" si="391"/>
        <v>1.3010299956639813</v>
      </c>
      <c r="Z662" s="45">
        <v>2.95</v>
      </c>
      <c r="AA662" s="9">
        <f t="shared" si="382"/>
        <v>2121870000</v>
      </c>
      <c r="AB662" s="15">
        <f t="shared" si="384"/>
        <v>3.0571646215245005</v>
      </c>
      <c r="AC662" s="34">
        <f t="shared" si="392"/>
        <v>0.60822262978202302</v>
      </c>
      <c r="AD662">
        <v>2315.9650000000001</v>
      </c>
      <c r="AE662">
        <f t="shared" si="393"/>
        <v>3.3647319918335836</v>
      </c>
      <c r="AF662">
        <v>3703.9029999999998</v>
      </c>
      <c r="AG662">
        <f t="shared" si="394"/>
        <v>3.568659604598353</v>
      </c>
      <c r="AH662">
        <v>0</v>
      </c>
      <c r="AI662" s="9">
        <f t="shared" si="395"/>
        <v>0</v>
      </c>
      <c r="AJ662">
        <v>91</v>
      </c>
      <c r="AK662" s="23" t="s">
        <v>141</v>
      </c>
      <c r="AL662" s="42">
        <v>42.048698215007001</v>
      </c>
      <c r="AM662" s="24">
        <v>0.5</v>
      </c>
      <c r="AN662" s="34">
        <f t="shared" si="396"/>
        <v>0.17609125905568124</v>
      </c>
      <c r="AO662">
        <v>1985</v>
      </c>
      <c r="AP662">
        <v>26</v>
      </c>
      <c r="AQ662">
        <v>70</v>
      </c>
      <c r="AR662">
        <v>70</v>
      </c>
      <c r="AS662">
        <f t="shared" si="385"/>
        <v>0</v>
      </c>
      <c r="AT662">
        <f t="shared" si="397"/>
        <v>1</v>
      </c>
      <c r="AU662">
        <f t="shared" si="398"/>
        <v>0</v>
      </c>
      <c r="AV662">
        <f t="shared" si="399"/>
        <v>0</v>
      </c>
      <c r="AW662">
        <f t="shared" si="400"/>
        <v>0</v>
      </c>
      <c r="AX662">
        <f t="shared" si="401"/>
        <v>0</v>
      </c>
      <c r="AY662">
        <f t="shared" si="402"/>
        <v>0</v>
      </c>
      <c r="AZ662">
        <f t="shared" si="403"/>
        <v>0</v>
      </c>
      <c r="BA662">
        <f t="shared" si="404"/>
        <v>0</v>
      </c>
      <c r="BB662">
        <f t="shared" si="405"/>
        <v>0</v>
      </c>
      <c r="BC662">
        <f t="shared" si="406"/>
        <v>0</v>
      </c>
      <c r="BD662">
        <f t="shared" si="407"/>
        <v>0</v>
      </c>
      <c r="BE662">
        <f t="shared" si="408"/>
        <v>0</v>
      </c>
      <c r="BF662">
        <f t="shared" si="409"/>
        <v>0</v>
      </c>
      <c r="BG662">
        <f t="shared" si="410"/>
        <v>0</v>
      </c>
      <c r="BH662">
        <f t="shared" si="411"/>
        <v>0</v>
      </c>
      <c r="BI662">
        <f t="shared" si="412"/>
        <v>0</v>
      </c>
    </row>
    <row r="663" spans="1:61" x14ac:dyDescent="0.35">
      <c r="A663" t="s">
        <v>1155</v>
      </c>
      <c r="B663" s="1">
        <v>38460</v>
      </c>
      <c r="C663" t="s">
        <v>1255</v>
      </c>
      <c r="D663" t="s">
        <v>45</v>
      </c>
      <c r="E663" t="s">
        <v>1256</v>
      </c>
      <c r="F663" t="s">
        <v>602</v>
      </c>
      <c r="G663" t="s">
        <v>47</v>
      </c>
      <c r="H663" s="139">
        <f t="shared" si="386"/>
        <v>0</v>
      </c>
      <c r="I663" t="s">
        <v>234</v>
      </c>
      <c r="J663" t="s">
        <v>235</v>
      </c>
      <c r="K663" s="2">
        <f t="shared" si="387"/>
        <v>1</v>
      </c>
      <c r="L663">
        <v>225000000</v>
      </c>
      <c r="M663" s="2">
        <f t="shared" si="388"/>
        <v>8.3521825181113627</v>
      </c>
      <c r="N663">
        <f>L663</f>
        <v>225000000</v>
      </c>
      <c r="O663">
        <v>0</v>
      </c>
      <c r="P663" s="1">
        <v>39295</v>
      </c>
      <c r="Q663" s="89">
        <f t="shared" si="389"/>
        <v>2007</v>
      </c>
      <c r="R663" t="s">
        <v>54</v>
      </c>
      <c r="S663">
        <v>1325250000</v>
      </c>
      <c r="T663" s="21">
        <f t="shared" si="383"/>
        <v>2.2876712328767121</v>
      </c>
      <c r="U663">
        <v>0</v>
      </c>
      <c r="V663">
        <f t="shared" si="390"/>
        <v>0</v>
      </c>
      <c r="W663">
        <v>2002</v>
      </c>
      <c r="X663">
        <v>3</v>
      </c>
      <c r="Y663">
        <f t="shared" si="391"/>
        <v>0.6020599913279624</v>
      </c>
      <c r="Z663" s="45">
        <v>2.95</v>
      </c>
      <c r="AA663" s="9">
        <f t="shared" si="382"/>
        <v>1100250000</v>
      </c>
      <c r="AB663" s="15">
        <f t="shared" si="384"/>
        <v>4.8899999999999997</v>
      </c>
      <c r="AC663" s="34">
        <f t="shared" si="392"/>
        <v>0.77011529478710161</v>
      </c>
      <c r="AD663">
        <v>2315.9650000000001</v>
      </c>
      <c r="AE663">
        <f t="shared" si="393"/>
        <v>3.3647319918335836</v>
      </c>
      <c r="AF663">
        <v>3703.9029999999998</v>
      </c>
      <c r="AG663">
        <f t="shared" si="394"/>
        <v>3.568659604598353</v>
      </c>
      <c r="AH663">
        <v>0</v>
      </c>
      <c r="AI663" s="9">
        <f t="shared" si="395"/>
        <v>0</v>
      </c>
      <c r="AJ663">
        <v>85</v>
      </c>
      <c r="AK663" s="23" t="s">
        <v>100</v>
      </c>
      <c r="AL663" s="42">
        <v>36.959146749272797</v>
      </c>
      <c r="AM663" s="24">
        <v>0.28000000000000003</v>
      </c>
      <c r="AN663" s="34">
        <f t="shared" si="396"/>
        <v>0.10720996964786837</v>
      </c>
      <c r="AO663">
        <v>1985</v>
      </c>
      <c r="AP663">
        <v>20</v>
      </c>
      <c r="AQ663">
        <v>70</v>
      </c>
      <c r="AR663">
        <v>70</v>
      </c>
      <c r="AS663">
        <f t="shared" si="385"/>
        <v>0</v>
      </c>
      <c r="AT663">
        <f t="shared" si="397"/>
        <v>1</v>
      </c>
      <c r="AU663">
        <f t="shared" si="398"/>
        <v>0</v>
      </c>
      <c r="AV663">
        <f t="shared" si="399"/>
        <v>0</v>
      </c>
      <c r="AW663">
        <f t="shared" si="400"/>
        <v>0</v>
      </c>
      <c r="AX663">
        <f t="shared" si="401"/>
        <v>0</v>
      </c>
      <c r="AY663">
        <f t="shared" si="402"/>
        <v>0</v>
      </c>
      <c r="AZ663">
        <f t="shared" si="403"/>
        <v>0</v>
      </c>
      <c r="BA663">
        <f t="shared" si="404"/>
        <v>0</v>
      </c>
      <c r="BB663">
        <f t="shared" si="405"/>
        <v>0</v>
      </c>
      <c r="BC663">
        <f t="shared" si="406"/>
        <v>0</v>
      </c>
      <c r="BD663">
        <f t="shared" si="407"/>
        <v>0</v>
      </c>
      <c r="BE663">
        <f t="shared" si="408"/>
        <v>0</v>
      </c>
      <c r="BF663">
        <f t="shared" si="409"/>
        <v>0</v>
      </c>
      <c r="BG663">
        <f t="shared" si="410"/>
        <v>0</v>
      </c>
      <c r="BH663">
        <f t="shared" si="411"/>
        <v>0</v>
      </c>
      <c r="BI663">
        <f t="shared" si="412"/>
        <v>0</v>
      </c>
    </row>
    <row r="664" spans="1:61" x14ac:dyDescent="0.35">
      <c r="A664" t="s">
        <v>51</v>
      </c>
      <c r="B664" s="1">
        <v>32508</v>
      </c>
      <c r="C664" t="s">
        <v>1257</v>
      </c>
      <c r="D664" t="s">
        <v>45</v>
      </c>
      <c r="E664" t="s">
        <v>1258</v>
      </c>
      <c r="F664" t="s">
        <v>602</v>
      </c>
      <c r="G664" t="s">
        <v>47</v>
      </c>
      <c r="H664" s="139">
        <f t="shared" si="386"/>
        <v>0</v>
      </c>
      <c r="I664" t="s">
        <v>234</v>
      </c>
      <c r="J664" t="s">
        <v>248</v>
      </c>
      <c r="K664" s="2">
        <f t="shared" si="387"/>
        <v>5</v>
      </c>
      <c r="L664">
        <v>2610000000</v>
      </c>
      <c r="M664" s="2">
        <f t="shared" si="388"/>
        <v>9.4166405073382808</v>
      </c>
      <c r="N664">
        <f>L664</f>
        <v>2610000000</v>
      </c>
      <c r="O664">
        <v>0</v>
      </c>
      <c r="P664" s="1">
        <v>36948</v>
      </c>
      <c r="Q664" s="89">
        <f t="shared" si="389"/>
        <v>2001</v>
      </c>
      <c r="R664" t="s">
        <v>701</v>
      </c>
      <c r="S664">
        <v>260000000</v>
      </c>
      <c r="T664" s="21">
        <f t="shared" si="383"/>
        <v>12.164383561643836</v>
      </c>
      <c r="U664">
        <v>0</v>
      </c>
      <c r="V664">
        <f t="shared" si="390"/>
        <v>0</v>
      </c>
      <c r="W664">
        <v>1843</v>
      </c>
      <c r="X664">
        <v>145</v>
      </c>
      <c r="Y664">
        <f t="shared" si="391"/>
        <v>2.1643528557844371</v>
      </c>
      <c r="Z664" s="45">
        <v>2.95</v>
      </c>
      <c r="AA664" s="9">
        <f t="shared" si="382"/>
        <v>-2350000000</v>
      </c>
      <c r="AB664" s="15">
        <f t="shared" si="384"/>
        <v>-0.90038314176245215</v>
      </c>
      <c r="AC664" s="34">
        <f t="shared" si="392"/>
        <v>-1.0016671593674633</v>
      </c>
      <c r="AD664">
        <v>2315.9650000000001</v>
      </c>
      <c r="AE664">
        <f t="shared" si="393"/>
        <v>3.3647319918335836</v>
      </c>
      <c r="AF664">
        <v>3703.9029999999998</v>
      </c>
      <c r="AG664">
        <f t="shared" si="394"/>
        <v>3.568659604598353</v>
      </c>
      <c r="AH664">
        <v>0</v>
      </c>
      <c r="AI664" s="9">
        <f t="shared" si="395"/>
        <v>0</v>
      </c>
      <c r="AJ664">
        <v>85</v>
      </c>
      <c r="AK664" t="s">
        <v>1259</v>
      </c>
      <c r="AL664" s="42">
        <v>36.691491429861301</v>
      </c>
      <c r="AM664" s="24">
        <v>3.56</v>
      </c>
      <c r="AN664" s="34">
        <f t="shared" si="396"/>
        <v>0.658964842664435</v>
      </c>
      <c r="AO664">
        <v>1985</v>
      </c>
      <c r="AP664">
        <v>3</v>
      </c>
      <c r="AQ664">
        <v>70</v>
      </c>
      <c r="AR664">
        <v>70</v>
      </c>
      <c r="AS664">
        <f t="shared" si="385"/>
        <v>0</v>
      </c>
      <c r="AT664">
        <f t="shared" si="397"/>
        <v>1</v>
      </c>
      <c r="AU664">
        <f t="shared" si="398"/>
        <v>0</v>
      </c>
      <c r="AV664">
        <f t="shared" si="399"/>
        <v>0</v>
      </c>
      <c r="AW664">
        <f t="shared" si="400"/>
        <v>0</v>
      </c>
      <c r="AX664">
        <f t="shared" si="401"/>
        <v>0</v>
      </c>
      <c r="AY664">
        <f t="shared" si="402"/>
        <v>0</v>
      </c>
      <c r="AZ664">
        <f t="shared" si="403"/>
        <v>0</v>
      </c>
      <c r="BA664">
        <f t="shared" si="404"/>
        <v>0</v>
      </c>
      <c r="BB664">
        <f t="shared" si="405"/>
        <v>0</v>
      </c>
      <c r="BC664">
        <f t="shared" si="406"/>
        <v>0</v>
      </c>
      <c r="BD664">
        <f t="shared" si="407"/>
        <v>0</v>
      </c>
      <c r="BE664">
        <f t="shared" si="408"/>
        <v>0</v>
      </c>
      <c r="BF664">
        <f t="shared" si="409"/>
        <v>0</v>
      </c>
      <c r="BG664">
        <f t="shared" si="410"/>
        <v>0</v>
      </c>
      <c r="BH664">
        <f t="shared" si="411"/>
        <v>0</v>
      </c>
      <c r="BI664">
        <f t="shared" si="412"/>
        <v>0</v>
      </c>
    </row>
    <row r="665" spans="1:61" x14ac:dyDescent="0.35">
      <c r="A665" t="s">
        <v>1164</v>
      </c>
      <c r="B665" s="1">
        <v>34603</v>
      </c>
      <c r="C665" t="s">
        <v>1260</v>
      </c>
      <c r="D665" t="s">
        <v>45</v>
      </c>
      <c r="E665" t="s">
        <v>1178</v>
      </c>
      <c r="F665" t="s">
        <v>602</v>
      </c>
      <c r="G665" t="s">
        <v>47</v>
      </c>
      <c r="H665" s="139">
        <f t="shared" si="386"/>
        <v>0</v>
      </c>
      <c r="I665" t="s">
        <v>234</v>
      </c>
      <c r="J665" t="s">
        <v>186</v>
      </c>
      <c r="K665" s="2">
        <f t="shared" si="387"/>
        <v>4</v>
      </c>
      <c r="L665">
        <v>26000000</v>
      </c>
      <c r="M665" s="2">
        <f t="shared" si="388"/>
        <v>7.4149733479708182</v>
      </c>
      <c r="N665">
        <f>L665</f>
        <v>26000000</v>
      </c>
      <c r="O665">
        <v>0</v>
      </c>
      <c r="P665" s="1">
        <v>35170</v>
      </c>
      <c r="Q665" s="89">
        <f t="shared" si="389"/>
        <v>1996</v>
      </c>
      <c r="R665" t="s">
        <v>107</v>
      </c>
      <c r="S665">
        <v>112000000</v>
      </c>
      <c r="T665" s="21">
        <f t="shared" si="383"/>
        <v>1.5534246575342465</v>
      </c>
      <c r="U665">
        <v>0</v>
      </c>
      <c r="V665">
        <f t="shared" si="390"/>
        <v>0</v>
      </c>
      <c r="W665">
        <v>1989</v>
      </c>
      <c r="X665">
        <v>5</v>
      </c>
      <c r="Y665">
        <f t="shared" si="391"/>
        <v>0.77815125038364363</v>
      </c>
      <c r="Z665" s="45">
        <v>2.95</v>
      </c>
      <c r="AA665" s="9">
        <f t="shared" si="382"/>
        <v>86000000</v>
      </c>
      <c r="AB665" s="15">
        <f t="shared" si="384"/>
        <v>3.3076923076923075</v>
      </c>
      <c r="AC665" s="34">
        <f t="shared" si="392"/>
        <v>0.63424467469936363</v>
      </c>
      <c r="AD665">
        <v>2315.9650000000001</v>
      </c>
      <c r="AE665">
        <f t="shared" si="393"/>
        <v>3.3647319918335836</v>
      </c>
      <c r="AF665">
        <v>3703.9029999999998</v>
      </c>
      <c r="AG665">
        <f t="shared" si="394"/>
        <v>3.568659604598353</v>
      </c>
      <c r="AH665">
        <v>0</v>
      </c>
      <c r="AI665" s="9">
        <f t="shared" si="395"/>
        <v>0</v>
      </c>
      <c r="AJ665">
        <v>85</v>
      </c>
      <c r="AK665" t="s">
        <v>50</v>
      </c>
      <c r="AL665" s="42">
        <v>37.8446121410093</v>
      </c>
      <c r="AM665" s="24">
        <v>0.39</v>
      </c>
      <c r="AN665" s="34">
        <f t="shared" si="396"/>
        <v>0.14301480025409513</v>
      </c>
      <c r="AO665">
        <v>1985</v>
      </c>
      <c r="AP665">
        <v>9</v>
      </c>
      <c r="AQ665">
        <v>70</v>
      </c>
      <c r="AR665">
        <v>70</v>
      </c>
      <c r="AS665">
        <f t="shared" si="385"/>
        <v>0</v>
      </c>
      <c r="AT665">
        <f t="shared" si="397"/>
        <v>1</v>
      </c>
      <c r="AU665">
        <f t="shared" si="398"/>
        <v>0</v>
      </c>
      <c r="AV665">
        <f t="shared" si="399"/>
        <v>0</v>
      </c>
      <c r="AW665">
        <f t="shared" si="400"/>
        <v>0</v>
      </c>
      <c r="AX665">
        <f t="shared" si="401"/>
        <v>0</v>
      </c>
      <c r="AY665">
        <f t="shared" si="402"/>
        <v>0</v>
      </c>
      <c r="AZ665">
        <f t="shared" si="403"/>
        <v>0</v>
      </c>
      <c r="BA665">
        <f t="shared" si="404"/>
        <v>0</v>
      </c>
      <c r="BB665">
        <f t="shared" si="405"/>
        <v>0</v>
      </c>
      <c r="BC665">
        <f t="shared" si="406"/>
        <v>0</v>
      </c>
      <c r="BD665">
        <f t="shared" si="407"/>
        <v>0</v>
      </c>
      <c r="BE665">
        <f t="shared" si="408"/>
        <v>0</v>
      </c>
      <c r="BF665">
        <f t="shared" si="409"/>
        <v>0</v>
      </c>
      <c r="BG665">
        <f t="shared" si="410"/>
        <v>0</v>
      </c>
      <c r="BH665">
        <f t="shared" si="411"/>
        <v>0</v>
      </c>
      <c r="BI665">
        <f t="shared" si="412"/>
        <v>0</v>
      </c>
    </row>
    <row r="666" spans="1:61" x14ac:dyDescent="0.35">
      <c r="A666" t="s">
        <v>352</v>
      </c>
      <c r="B666" s="1">
        <v>35144</v>
      </c>
      <c r="C666" t="s">
        <v>1261</v>
      </c>
      <c r="D666" t="s">
        <v>45</v>
      </c>
      <c r="E666" t="s">
        <v>1178</v>
      </c>
      <c r="F666" t="s">
        <v>602</v>
      </c>
      <c r="G666" t="s">
        <v>47</v>
      </c>
      <c r="H666" s="139">
        <f t="shared" si="386"/>
        <v>0</v>
      </c>
      <c r="I666" t="s">
        <v>234</v>
      </c>
      <c r="J666" t="s">
        <v>326</v>
      </c>
      <c r="K666" s="2">
        <f t="shared" si="387"/>
        <v>8</v>
      </c>
      <c r="L666">
        <v>30000000</v>
      </c>
      <c r="M666" s="2">
        <f t="shared" si="388"/>
        <v>7.4771212547196626</v>
      </c>
      <c r="N666">
        <f>L666</f>
        <v>30000000</v>
      </c>
      <c r="O666">
        <v>0</v>
      </c>
      <c r="P666" s="1">
        <v>36983</v>
      </c>
      <c r="Q666" s="89">
        <f t="shared" si="389"/>
        <v>2001</v>
      </c>
      <c r="R666" t="s">
        <v>338</v>
      </c>
      <c r="S666">
        <v>0</v>
      </c>
      <c r="T666" s="21">
        <f t="shared" si="383"/>
        <v>5.0383561643835613</v>
      </c>
      <c r="U666">
        <v>0</v>
      </c>
      <c r="V666">
        <f t="shared" si="390"/>
        <v>0</v>
      </c>
      <c r="W666">
        <v>1838</v>
      </c>
      <c r="X666">
        <v>158</v>
      </c>
      <c r="Y666">
        <f t="shared" si="391"/>
        <v>2.2013971243204513</v>
      </c>
      <c r="Z666" s="45">
        <v>2.95</v>
      </c>
      <c r="AA666" s="9">
        <f t="shared" si="382"/>
        <v>-30000000</v>
      </c>
      <c r="AB666" s="15">
        <f t="shared" si="384"/>
        <v>-1</v>
      </c>
      <c r="AC666" s="34">
        <f t="shared" si="392"/>
        <v>-1</v>
      </c>
      <c r="AD666">
        <v>2315.9650000000001</v>
      </c>
      <c r="AE666">
        <f t="shared" si="393"/>
        <v>3.3647319918335836</v>
      </c>
      <c r="AF666">
        <v>3703.9029999999998</v>
      </c>
      <c r="AG666">
        <f t="shared" si="394"/>
        <v>3.568659604598353</v>
      </c>
      <c r="AH666">
        <v>0</v>
      </c>
      <c r="AI666" s="9">
        <f t="shared" si="395"/>
        <v>0</v>
      </c>
      <c r="AJ666">
        <v>85</v>
      </c>
      <c r="AK666" t="s">
        <v>55</v>
      </c>
      <c r="AL666" s="42">
        <v>37.123527923893597</v>
      </c>
      <c r="AM666" s="24">
        <v>0.76</v>
      </c>
      <c r="AN666" s="34">
        <f t="shared" si="396"/>
        <v>0.24551266781414982</v>
      </c>
      <c r="AO666">
        <v>1985</v>
      </c>
      <c r="AP666">
        <v>11</v>
      </c>
      <c r="AQ666">
        <v>70</v>
      </c>
      <c r="AR666">
        <v>70</v>
      </c>
      <c r="AS666">
        <f t="shared" si="385"/>
        <v>1</v>
      </c>
      <c r="AT666">
        <f t="shared" si="397"/>
        <v>1</v>
      </c>
      <c r="AU666">
        <f t="shared" si="398"/>
        <v>0</v>
      </c>
      <c r="AV666">
        <f t="shared" si="399"/>
        <v>0</v>
      </c>
      <c r="AW666">
        <f t="shared" si="400"/>
        <v>0</v>
      </c>
      <c r="AX666">
        <f t="shared" si="401"/>
        <v>0</v>
      </c>
      <c r="AY666">
        <f t="shared" si="402"/>
        <v>0</v>
      </c>
      <c r="AZ666">
        <f t="shared" si="403"/>
        <v>0</v>
      </c>
      <c r="BA666">
        <f t="shared" si="404"/>
        <v>0</v>
      </c>
      <c r="BB666">
        <f t="shared" si="405"/>
        <v>0</v>
      </c>
      <c r="BC666">
        <f t="shared" si="406"/>
        <v>0</v>
      </c>
      <c r="BD666">
        <f t="shared" si="407"/>
        <v>0</v>
      </c>
      <c r="BE666">
        <f t="shared" si="408"/>
        <v>0</v>
      </c>
      <c r="BF666">
        <f t="shared" si="409"/>
        <v>0</v>
      </c>
      <c r="BG666">
        <f t="shared" si="410"/>
        <v>0</v>
      </c>
      <c r="BH666">
        <f t="shared" si="411"/>
        <v>0</v>
      </c>
      <c r="BI666">
        <f t="shared" si="412"/>
        <v>0</v>
      </c>
    </row>
    <row r="667" spans="1:61" x14ac:dyDescent="0.35">
      <c r="A667" t="s">
        <v>51</v>
      </c>
      <c r="B667" s="1">
        <v>35306</v>
      </c>
      <c r="C667" t="s">
        <v>1262</v>
      </c>
      <c r="D667" t="s">
        <v>45</v>
      </c>
      <c r="E667" t="s">
        <v>1178</v>
      </c>
      <c r="F667" t="s">
        <v>602</v>
      </c>
      <c r="G667" t="s">
        <v>47</v>
      </c>
      <c r="H667" s="139">
        <f t="shared" si="386"/>
        <v>0</v>
      </c>
      <c r="I667" t="s">
        <v>234</v>
      </c>
      <c r="J667" t="s">
        <v>248</v>
      </c>
      <c r="K667" s="2">
        <f t="shared" si="387"/>
        <v>5</v>
      </c>
      <c r="L667">
        <v>320000000</v>
      </c>
      <c r="M667" s="2">
        <f t="shared" si="388"/>
        <v>8.5051499783199063</v>
      </c>
      <c r="N667">
        <f>L667</f>
        <v>320000000</v>
      </c>
      <c r="O667">
        <v>0</v>
      </c>
      <c r="P667" s="1">
        <v>36878</v>
      </c>
      <c r="Q667" s="89">
        <f t="shared" si="389"/>
        <v>2000</v>
      </c>
      <c r="R667" t="s">
        <v>338</v>
      </c>
      <c r="S667">
        <v>0</v>
      </c>
      <c r="T667" s="21">
        <f t="shared" si="383"/>
        <v>4.3068493150684928</v>
      </c>
      <c r="U667">
        <v>0</v>
      </c>
      <c r="V667">
        <f t="shared" si="390"/>
        <v>0</v>
      </c>
      <c r="W667">
        <v>1991</v>
      </c>
      <c r="X667">
        <v>5</v>
      </c>
      <c r="Y667">
        <f t="shared" si="391"/>
        <v>0.77815125038364363</v>
      </c>
      <c r="Z667" s="45">
        <v>2.95</v>
      </c>
      <c r="AA667" s="9">
        <f t="shared" si="382"/>
        <v>-320000000</v>
      </c>
      <c r="AB667" s="15">
        <f t="shared" si="384"/>
        <v>-1</v>
      </c>
      <c r="AC667" s="34">
        <f t="shared" si="392"/>
        <v>-1</v>
      </c>
      <c r="AD667">
        <v>2315.9650000000001</v>
      </c>
      <c r="AE667">
        <f t="shared" si="393"/>
        <v>3.3647319918335836</v>
      </c>
      <c r="AF667">
        <v>3703.9029999999998</v>
      </c>
      <c r="AG667">
        <f t="shared" si="394"/>
        <v>3.568659604598353</v>
      </c>
      <c r="AH667">
        <v>0</v>
      </c>
      <c r="AI667" s="9">
        <f t="shared" si="395"/>
        <v>0</v>
      </c>
      <c r="AJ667">
        <v>85</v>
      </c>
      <c r="AK667" t="s">
        <v>55</v>
      </c>
      <c r="AL667" s="42">
        <v>37.123527923893597</v>
      </c>
      <c r="AM667" s="24">
        <v>1.01</v>
      </c>
      <c r="AN667" s="34">
        <f t="shared" si="396"/>
        <v>0.30319605742048883</v>
      </c>
      <c r="AO667">
        <v>1985</v>
      </c>
      <c r="AP667">
        <v>11</v>
      </c>
      <c r="AQ667">
        <v>70</v>
      </c>
      <c r="AR667">
        <v>70</v>
      </c>
      <c r="AS667">
        <f t="shared" si="385"/>
        <v>1</v>
      </c>
      <c r="AT667">
        <f t="shared" si="397"/>
        <v>1</v>
      </c>
      <c r="AU667">
        <f t="shared" si="398"/>
        <v>0</v>
      </c>
      <c r="AV667">
        <f t="shared" si="399"/>
        <v>0</v>
      </c>
      <c r="AW667">
        <f t="shared" si="400"/>
        <v>0</v>
      </c>
      <c r="AX667">
        <f t="shared" si="401"/>
        <v>0</v>
      </c>
      <c r="AY667">
        <f t="shared" si="402"/>
        <v>0</v>
      </c>
      <c r="AZ667">
        <f t="shared" si="403"/>
        <v>0</v>
      </c>
      <c r="BA667">
        <f t="shared" si="404"/>
        <v>0</v>
      </c>
      <c r="BB667">
        <f t="shared" si="405"/>
        <v>0</v>
      </c>
      <c r="BC667">
        <f t="shared" si="406"/>
        <v>0</v>
      </c>
      <c r="BD667">
        <f t="shared" si="407"/>
        <v>0</v>
      </c>
      <c r="BE667">
        <f t="shared" si="408"/>
        <v>0</v>
      </c>
      <c r="BF667">
        <f t="shared" si="409"/>
        <v>0</v>
      </c>
      <c r="BG667">
        <f t="shared" si="410"/>
        <v>0</v>
      </c>
      <c r="BH667">
        <f t="shared" si="411"/>
        <v>0</v>
      </c>
      <c r="BI667">
        <f t="shared" si="412"/>
        <v>0</v>
      </c>
    </row>
    <row r="668" spans="1:61" x14ac:dyDescent="0.35">
      <c r="A668" t="s">
        <v>51</v>
      </c>
      <c r="B668" s="1">
        <v>40557</v>
      </c>
      <c r="C668" t="s">
        <v>1263</v>
      </c>
      <c r="D668" t="s">
        <v>45</v>
      </c>
      <c r="E668" t="s">
        <v>1264</v>
      </c>
      <c r="F668" t="s">
        <v>602</v>
      </c>
      <c r="G668" t="s">
        <v>47</v>
      </c>
      <c r="H668" s="139">
        <f t="shared" si="386"/>
        <v>0</v>
      </c>
      <c r="I668" t="s">
        <v>268</v>
      </c>
      <c r="J668" t="s">
        <v>178</v>
      </c>
      <c r="K668" s="2">
        <f t="shared" si="387"/>
        <v>9</v>
      </c>
      <c r="L668">
        <v>3787800000</v>
      </c>
      <c r="M668" s="2">
        <f t="shared" si="388"/>
        <v>9.5783870397109983</v>
      </c>
      <c r="N668">
        <v>3010490000</v>
      </c>
      <c r="O668">
        <v>777310000</v>
      </c>
      <c r="P668" s="1">
        <v>42684</v>
      </c>
      <c r="Q668" s="89">
        <f t="shared" si="389"/>
        <v>2016</v>
      </c>
      <c r="R668" t="s">
        <v>322</v>
      </c>
      <c r="S668">
        <v>2253500000</v>
      </c>
      <c r="T668" s="21">
        <f t="shared" si="383"/>
        <v>5.8273972602739725</v>
      </c>
      <c r="U668">
        <v>0</v>
      </c>
      <c r="V668">
        <f t="shared" si="390"/>
        <v>0</v>
      </c>
      <c r="W668">
        <v>1976</v>
      </c>
      <c r="X668">
        <v>35</v>
      </c>
      <c r="Y668">
        <f t="shared" si="391"/>
        <v>1.5563025007672873</v>
      </c>
      <c r="Z668" s="45">
        <v>2.95</v>
      </c>
      <c r="AA668" s="9">
        <f t="shared" si="382"/>
        <v>-756990000</v>
      </c>
      <c r="AB668" s="15">
        <f t="shared" si="384"/>
        <v>-0.40506362532340667</v>
      </c>
      <c r="AC668" s="34">
        <f t="shared" si="392"/>
        <v>-0.22552947730400111</v>
      </c>
      <c r="AD668">
        <v>1246.953</v>
      </c>
      <c r="AE668">
        <f t="shared" si="393"/>
        <v>3.0958500844125241</v>
      </c>
      <c r="AF668">
        <v>3219.7179999999998</v>
      </c>
      <c r="AG668">
        <f t="shared" si="394"/>
        <v>3.5078178355445662</v>
      </c>
      <c r="AH668">
        <v>0</v>
      </c>
      <c r="AI668" s="9">
        <f t="shared" si="395"/>
        <v>0</v>
      </c>
      <c r="AJ668">
        <v>91</v>
      </c>
      <c r="AK668" t="s">
        <v>141</v>
      </c>
      <c r="AL668" s="42">
        <v>42.048698215007001</v>
      </c>
      <c r="AM668" s="24">
        <v>0.68</v>
      </c>
      <c r="AN668" s="34">
        <f t="shared" si="396"/>
        <v>0.2253092817258629</v>
      </c>
      <c r="AO668">
        <v>1987</v>
      </c>
      <c r="AP668">
        <v>24</v>
      </c>
      <c r="AQ668">
        <v>70</v>
      </c>
      <c r="AR668">
        <v>70</v>
      </c>
      <c r="AS668">
        <f t="shared" si="385"/>
        <v>0</v>
      </c>
      <c r="AT668">
        <f t="shared" si="397"/>
        <v>1</v>
      </c>
      <c r="AU668">
        <f t="shared" si="398"/>
        <v>0</v>
      </c>
      <c r="AV668">
        <f t="shared" si="399"/>
        <v>0</v>
      </c>
      <c r="AW668">
        <f t="shared" si="400"/>
        <v>0</v>
      </c>
      <c r="AX668">
        <f t="shared" si="401"/>
        <v>0</v>
      </c>
      <c r="AY668">
        <f t="shared" si="402"/>
        <v>0</v>
      </c>
      <c r="AZ668">
        <f t="shared" si="403"/>
        <v>0</v>
      </c>
      <c r="BA668">
        <f t="shared" si="404"/>
        <v>0</v>
      </c>
      <c r="BB668">
        <f t="shared" si="405"/>
        <v>0</v>
      </c>
      <c r="BC668">
        <f t="shared" si="406"/>
        <v>0</v>
      </c>
      <c r="BD668">
        <f t="shared" si="407"/>
        <v>0</v>
      </c>
      <c r="BE668">
        <f t="shared" si="408"/>
        <v>0</v>
      </c>
      <c r="BF668">
        <f t="shared" si="409"/>
        <v>0</v>
      </c>
      <c r="BG668">
        <f t="shared" si="410"/>
        <v>0</v>
      </c>
      <c r="BH668">
        <f t="shared" si="411"/>
        <v>0</v>
      </c>
      <c r="BI668">
        <f t="shared" si="412"/>
        <v>0</v>
      </c>
    </row>
    <row r="669" spans="1:61" x14ac:dyDescent="0.35">
      <c r="A669" t="s">
        <v>51</v>
      </c>
      <c r="B669" s="1">
        <v>38681</v>
      </c>
      <c r="C669" t="s">
        <v>1265</v>
      </c>
      <c r="D669" t="s">
        <v>45</v>
      </c>
      <c r="E669" t="s">
        <v>1266</v>
      </c>
      <c r="F669" t="s">
        <v>602</v>
      </c>
      <c r="G669" t="s">
        <v>47</v>
      </c>
      <c r="H669" s="139">
        <f t="shared" si="386"/>
        <v>0</v>
      </c>
      <c r="I669" t="s">
        <v>268</v>
      </c>
      <c r="J669" t="s">
        <v>178</v>
      </c>
      <c r="K669" s="2">
        <f t="shared" si="387"/>
        <v>9</v>
      </c>
      <c r="L669">
        <v>800540000</v>
      </c>
      <c r="M669" s="2">
        <f t="shared" si="388"/>
        <v>8.9033830368740166</v>
      </c>
      <c r="N669">
        <v>908790000</v>
      </c>
      <c r="O669">
        <v>-108250000</v>
      </c>
      <c r="P669" s="1">
        <v>40267</v>
      </c>
      <c r="Q669" s="89">
        <f t="shared" si="389"/>
        <v>2010</v>
      </c>
      <c r="R669" t="s">
        <v>49</v>
      </c>
      <c r="S669">
        <v>43125831</v>
      </c>
      <c r="T669" s="21">
        <f t="shared" si="383"/>
        <v>4.3452054794520549</v>
      </c>
      <c r="U669">
        <v>0</v>
      </c>
      <c r="V669">
        <f t="shared" si="390"/>
        <v>0</v>
      </c>
      <c r="W669">
        <v>1986</v>
      </c>
      <c r="X669">
        <v>19</v>
      </c>
      <c r="Y669">
        <f t="shared" si="391"/>
        <v>1.3010299956639813</v>
      </c>
      <c r="Z669" s="45">
        <v>2.95</v>
      </c>
      <c r="AA669" s="9">
        <f t="shared" si="382"/>
        <v>-865664169</v>
      </c>
      <c r="AB669" s="15">
        <f t="shared" si="384"/>
        <v>-0.94612907412496561</v>
      </c>
      <c r="AC669" s="34">
        <f t="shared" si="392"/>
        <v>-1.2686455602074718</v>
      </c>
      <c r="AD669">
        <v>1246.953</v>
      </c>
      <c r="AE669">
        <f t="shared" si="393"/>
        <v>3.0958500844125241</v>
      </c>
      <c r="AF669">
        <v>3219.7179999999998</v>
      </c>
      <c r="AG669">
        <f t="shared" si="394"/>
        <v>3.5078178355445662</v>
      </c>
      <c r="AH669">
        <v>0</v>
      </c>
      <c r="AI669" s="9">
        <f t="shared" si="395"/>
        <v>0</v>
      </c>
      <c r="AJ669">
        <v>85</v>
      </c>
      <c r="AK669" t="s">
        <v>100</v>
      </c>
      <c r="AL669" s="42">
        <v>36.959146749272797</v>
      </c>
      <c r="AM669" s="24">
        <v>-7.0000000000000007E-2</v>
      </c>
      <c r="AN669" s="34">
        <f t="shared" si="396"/>
        <v>-3.1517051446064911E-2</v>
      </c>
      <c r="AO669">
        <v>1987</v>
      </c>
      <c r="AP669">
        <v>18</v>
      </c>
      <c r="AQ669">
        <v>70</v>
      </c>
      <c r="AR669">
        <v>70</v>
      </c>
      <c r="AS669">
        <f t="shared" si="385"/>
        <v>0</v>
      </c>
      <c r="AT669">
        <f t="shared" si="397"/>
        <v>1</v>
      </c>
      <c r="AU669">
        <f t="shared" si="398"/>
        <v>0</v>
      </c>
      <c r="AV669">
        <f t="shared" si="399"/>
        <v>0</v>
      </c>
      <c r="AW669">
        <f t="shared" si="400"/>
        <v>0</v>
      </c>
      <c r="AX669">
        <f t="shared" si="401"/>
        <v>0</v>
      </c>
      <c r="AY669">
        <f t="shared" si="402"/>
        <v>0</v>
      </c>
      <c r="AZ669">
        <f t="shared" si="403"/>
        <v>0</v>
      </c>
      <c r="BA669">
        <f t="shared" si="404"/>
        <v>0</v>
      </c>
      <c r="BB669">
        <f t="shared" si="405"/>
        <v>0</v>
      </c>
      <c r="BC669">
        <f t="shared" si="406"/>
        <v>0</v>
      </c>
      <c r="BD669">
        <f t="shared" si="407"/>
        <v>0</v>
      </c>
      <c r="BE669">
        <f t="shared" si="408"/>
        <v>0</v>
      </c>
      <c r="BF669">
        <f t="shared" si="409"/>
        <v>0</v>
      </c>
      <c r="BG669">
        <f t="shared" si="410"/>
        <v>0</v>
      </c>
      <c r="BH669">
        <f t="shared" si="411"/>
        <v>0</v>
      </c>
      <c r="BI669">
        <f t="shared" si="412"/>
        <v>0</v>
      </c>
    </row>
    <row r="670" spans="1:61" x14ac:dyDescent="0.35">
      <c r="A670" t="s">
        <v>51</v>
      </c>
      <c r="B670" s="1">
        <v>38577</v>
      </c>
      <c r="C670" t="s">
        <v>1267</v>
      </c>
      <c r="D670" t="s">
        <v>45</v>
      </c>
      <c r="E670" t="s">
        <v>1266</v>
      </c>
      <c r="F670" t="s">
        <v>602</v>
      </c>
      <c r="G670" t="s">
        <v>47</v>
      </c>
      <c r="H670" s="139">
        <f t="shared" si="386"/>
        <v>0</v>
      </c>
      <c r="I670" t="s">
        <v>234</v>
      </c>
      <c r="J670" t="s">
        <v>190</v>
      </c>
      <c r="K670" s="2">
        <f t="shared" si="387"/>
        <v>2</v>
      </c>
      <c r="L670">
        <v>555000000</v>
      </c>
      <c r="M670" s="2">
        <f t="shared" si="388"/>
        <v>8.7442929831226763</v>
      </c>
      <c r="N670">
        <f>L670</f>
        <v>555000000</v>
      </c>
      <c r="O670">
        <v>0</v>
      </c>
      <c r="P670" s="1">
        <v>41428</v>
      </c>
      <c r="Q670" s="89">
        <f t="shared" si="389"/>
        <v>2013</v>
      </c>
      <c r="R670" t="s">
        <v>107</v>
      </c>
      <c r="S670">
        <v>320000000</v>
      </c>
      <c r="T670" s="21">
        <f t="shared" si="383"/>
        <v>7.8109589041095893</v>
      </c>
      <c r="U670">
        <v>0</v>
      </c>
      <c r="V670">
        <f t="shared" si="390"/>
        <v>0</v>
      </c>
      <c r="W670">
        <v>1993</v>
      </c>
      <c r="X670">
        <v>12</v>
      </c>
      <c r="Y670">
        <f t="shared" si="391"/>
        <v>1.1139433523068367</v>
      </c>
      <c r="Z670" s="45">
        <v>2.95</v>
      </c>
      <c r="AA670" s="9">
        <f t="shared" si="382"/>
        <v>-235000000</v>
      </c>
      <c r="AB670" s="15">
        <f t="shared" si="384"/>
        <v>-0.42342342342342343</v>
      </c>
      <c r="AC670" s="34">
        <f t="shared" si="392"/>
        <v>-0.23914300480277026</v>
      </c>
      <c r="AD670">
        <v>1246.953</v>
      </c>
      <c r="AE670">
        <f t="shared" si="393"/>
        <v>3.0958500844125241</v>
      </c>
      <c r="AF670">
        <v>3219.7179999999998</v>
      </c>
      <c r="AG670">
        <f t="shared" si="394"/>
        <v>3.5078178355445662</v>
      </c>
      <c r="AH670">
        <v>0</v>
      </c>
      <c r="AI670" s="9">
        <f t="shared" si="395"/>
        <v>0</v>
      </c>
      <c r="AJ670">
        <v>85</v>
      </c>
      <c r="AK670" t="s">
        <v>100</v>
      </c>
      <c r="AL670" s="42">
        <v>36.959146749272797</v>
      </c>
      <c r="AM670" s="24">
        <v>0.33</v>
      </c>
      <c r="AN670" s="34">
        <f t="shared" si="396"/>
        <v>0.12385164096708581</v>
      </c>
      <c r="AO670">
        <v>1987</v>
      </c>
      <c r="AP670">
        <v>18</v>
      </c>
      <c r="AQ670">
        <v>70</v>
      </c>
      <c r="AR670">
        <v>70</v>
      </c>
      <c r="AS670">
        <f t="shared" si="385"/>
        <v>0</v>
      </c>
      <c r="AT670">
        <f t="shared" si="397"/>
        <v>1</v>
      </c>
      <c r="AU670">
        <f t="shared" si="398"/>
        <v>0</v>
      </c>
      <c r="AV670">
        <f t="shared" si="399"/>
        <v>0</v>
      </c>
      <c r="AW670">
        <f t="shared" si="400"/>
        <v>0</v>
      </c>
      <c r="AX670">
        <f t="shared" si="401"/>
        <v>0</v>
      </c>
      <c r="AY670">
        <f t="shared" si="402"/>
        <v>0</v>
      </c>
      <c r="AZ670">
        <f t="shared" si="403"/>
        <v>0</v>
      </c>
      <c r="BA670">
        <f t="shared" si="404"/>
        <v>0</v>
      </c>
      <c r="BB670">
        <f t="shared" si="405"/>
        <v>0</v>
      </c>
      <c r="BC670">
        <f t="shared" si="406"/>
        <v>0</v>
      </c>
      <c r="BD670">
        <f t="shared" si="407"/>
        <v>0</v>
      </c>
      <c r="BE670">
        <f t="shared" si="408"/>
        <v>0</v>
      </c>
      <c r="BF670">
        <f t="shared" si="409"/>
        <v>0</v>
      </c>
      <c r="BG670">
        <f t="shared" si="410"/>
        <v>0</v>
      </c>
      <c r="BH670">
        <f t="shared" si="411"/>
        <v>0</v>
      </c>
      <c r="BI670">
        <f t="shared" si="412"/>
        <v>0</v>
      </c>
    </row>
    <row r="671" spans="1:61" x14ac:dyDescent="0.35">
      <c r="A671" t="s">
        <v>43</v>
      </c>
      <c r="B671" s="1">
        <v>38929</v>
      </c>
      <c r="C671" t="s">
        <v>1268</v>
      </c>
      <c r="D671" t="s">
        <v>45</v>
      </c>
      <c r="E671" t="s">
        <v>1266</v>
      </c>
      <c r="F671" t="s">
        <v>602</v>
      </c>
      <c r="G671" t="s">
        <v>47</v>
      </c>
      <c r="H671" s="139">
        <f t="shared" si="386"/>
        <v>0</v>
      </c>
      <c r="I671" t="s">
        <v>234</v>
      </c>
      <c r="J671" t="s">
        <v>248</v>
      </c>
      <c r="K671" s="2">
        <f t="shared" si="387"/>
        <v>5</v>
      </c>
      <c r="L671">
        <v>1100000000</v>
      </c>
      <c r="M671" s="2">
        <f t="shared" si="388"/>
        <v>9.0413926851582254</v>
      </c>
      <c r="N671">
        <f>L671</f>
        <v>1100000000</v>
      </c>
      <c r="O671">
        <v>0</v>
      </c>
      <c r="P671" s="1">
        <v>40415</v>
      </c>
      <c r="Q671" s="89">
        <f t="shared" si="389"/>
        <v>2010</v>
      </c>
      <c r="R671" t="s">
        <v>338</v>
      </c>
      <c r="S671">
        <v>0</v>
      </c>
      <c r="T671" s="21">
        <f t="shared" si="383"/>
        <v>4.0712328767123287</v>
      </c>
      <c r="U671">
        <v>0</v>
      </c>
      <c r="V671">
        <f t="shared" si="390"/>
        <v>0</v>
      </c>
      <c r="W671">
        <v>1932</v>
      </c>
      <c r="X671">
        <v>74</v>
      </c>
      <c r="Y671">
        <f t="shared" si="391"/>
        <v>1.8750612633917001</v>
      </c>
      <c r="Z671" s="45">
        <v>2.95</v>
      </c>
      <c r="AA671" s="9">
        <f t="shared" si="382"/>
        <v>-1100000000</v>
      </c>
      <c r="AB671" s="15">
        <f t="shared" si="384"/>
        <v>-1</v>
      </c>
      <c r="AC671" s="34">
        <f t="shared" si="392"/>
        <v>-1</v>
      </c>
      <c r="AD671">
        <v>1246.953</v>
      </c>
      <c r="AE671">
        <f t="shared" si="393"/>
        <v>3.0958500844125241</v>
      </c>
      <c r="AF671">
        <v>3219.7179999999998</v>
      </c>
      <c r="AG671">
        <f t="shared" si="394"/>
        <v>3.5078178355445662</v>
      </c>
      <c r="AH671">
        <v>0</v>
      </c>
      <c r="AI671" s="9">
        <f t="shared" si="395"/>
        <v>0</v>
      </c>
      <c r="AJ671">
        <v>93.2</v>
      </c>
      <c r="AK671" t="s">
        <v>103</v>
      </c>
      <c r="AL671" s="42">
        <v>36.669158714517401</v>
      </c>
      <c r="AM671" s="24">
        <v>-0.17</v>
      </c>
      <c r="AN671" s="34">
        <f t="shared" si="396"/>
        <v>-8.092190762392612E-2</v>
      </c>
      <c r="AO671">
        <v>1987</v>
      </c>
      <c r="AP671">
        <v>19</v>
      </c>
      <c r="AQ671">
        <v>70</v>
      </c>
      <c r="AR671">
        <v>70</v>
      </c>
      <c r="AS671">
        <f t="shared" si="385"/>
        <v>1</v>
      </c>
      <c r="AT671">
        <f t="shared" si="397"/>
        <v>1</v>
      </c>
      <c r="AU671">
        <f t="shared" si="398"/>
        <v>0</v>
      </c>
      <c r="AV671">
        <f t="shared" si="399"/>
        <v>0</v>
      </c>
      <c r="AW671">
        <f t="shared" si="400"/>
        <v>0</v>
      </c>
      <c r="AX671">
        <f t="shared" si="401"/>
        <v>0</v>
      </c>
      <c r="AY671">
        <f t="shared" si="402"/>
        <v>0</v>
      </c>
      <c r="AZ671">
        <f t="shared" si="403"/>
        <v>0</v>
      </c>
      <c r="BA671">
        <f t="shared" si="404"/>
        <v>0</v>
      </c>
      <c r="BB671">
        <f t="shared" si="405"/>
        <v>0</v>
      </c>
      <c r="BC671">
        <f t="shared" si="406"/>
        <v>0</v>
      </c>
      <c r="BD671">
        <f t="shared" si="407"/>
        <v>0</v>
      </c>
      <c r="BE671">
        <f t="shared" si="408"/>
        <v>0</v>
      </c>
      <c r="BF671">
        <f t="shared" si="409"/>
        <v>0</v>
      </c>
      <c r="BG671">
        <f t="shared" si="410"/>
        <v>0</v>
      </c>
      <c r="BH671">
        <f t="shared" si="411"/>
        <v>0</v>
      </c>
      <c r="BI671">
        <f t="shared" si="412"/>
        <v>0</v>
      </c>
    </row>
    <row r="672" spans="1:61" x14ac:dyDescent="0.35">
      <c r="A672" t="s">
        <v>51</v>
      </c>
      <c r="B672" s="1">
        <v>39106</v>
      </c>
      <c r="C672" t="s">
        <v>104</v>
      </c>
      <c r="D672" t="s">
        <v>45</v>
      </c>
      <c r="E672" t="s">
        <v>1266</v>
      </c>
      <c r="F672" t="s">
        <v>602</v>
      </c>
      <c r="G672" t="s">
        <v>47</v>
      </c>
      <c r="H672" s="139">
        <f t="shared" si="386"/>
        <v>0</v>
      </c>
      <c r="I672" t="s">
        <v>234</v>
      </c>
      <c r="J672" t="s">
        <v>178</v>
      </c>
      <c r="K672" s="2">
        <f t="shared" si="387"/>
        <v>9</v>
      </c>
      <c r="L672">
        <v>1271390000</v>
      </c>
      <c r="M672" s="2">
        <f t="shared" si="388"/>
        <v>9.1042787912049477</v>
      </c>
      <c r="N672">
        <f>L672</f>
        <v>1271390000</v>
      </c>
      <c r="O672">
        <v>0</v>
      </c>
      <c r="P672" s="1">
        <v>41288</v>
      </c>
      <c r="Q672" s="89">
        <f t="shared" si="389"/>
        <v>2013</v>
      </c>
      <c r="R672" t="s">
        <v>107</v>
      </c>
      <c r="S672">
        <v>1015000000</v>
      </c>
      <c r="T672" s="21">
        <f t="shared" si="383"/>
        <v>5.978082191780822</v>
      </c>
      <c r="U672">
        <v>0</v>
      </c>
      <c r="V672">
        <f t="shared" si="390"/>
        <v>0</v>
      </c>
      <c r="W672">
        <v>1992</v>
      </c>
      <c r="X672">
        <v>15</v>
      </c>
      <c r="Y672">
        <f t="shared" si="391"/>
        <v>1.2041199826559248</v>
      </c>
      <c r="Z672" s="45">
        <v>2.95</v>
      </c>
      <c r="AA672" s="9">
        <f t="shared" si="382"/>
        <v>-256390000</v>
      </c>
      <c r="AB672" s="15">
        <f t="shared" si="384"/>
        <v>-0.20166117399067163</v>
      </c>
      <c r="AC672" s="34">
        <f t="shared" si="392"/>
        <v>-9.7812748955715761E-2</v>
      </c>
      <c r="AD672">
        <v>1246.953</v>
      </c>
      <c r="AE672">
        <f t="shared" si="393"/>
        <v>3.0958500844125241</v>
      </c>
      <c r="AF672">
        <v>3219.7179999999998</v>
      </c>
      <c r="AG672">
        <f t="shared" si="394"/>
        <v>3.5078178355445662</v>
      </c>
      <c r="AH672">
        <v>0</v>
      </c>
      <c r="AI672" s="9">
        <f t="shared" si="395"/>
        <v>0</v>
      </c>
      <c r="AJ672">
        <v>91.4</v>
      </c>
      <c r="AK672" t="s">
        <v>103</v>
      </c>
      <c r="AL672" s="42">
        <v>37.425715444240403</v>
      </c>
      <c r="AM672" s="24">
        <v>0.02</v>
      </c>
      <c r="AN672" s="34">
        <f t="shared" si="396"/>
        <v>8.6001717619175692E-3</v>
      </c>
      <c r="AO672">
        <v>1987</v>
      </c>
      <c r="AP672">
        <v>20</v>
      </c>
      <c r="AQ672">
        <v>70</v>
      </c>
      <c r="AR672">
        <v>70</v>
      </c>
      <c r="AS672">
        <f t="shared" si="385"/>
        <v>0</v>
      </c>
      <c r="AT672">
        <f t="shared" si="397"/>
        <v>1</v>
      </c>
      <c r="AU672">
        <f t="shared" si="398"/>
        <v>0</v>
      </c>
      <c r="AV672">
        <f t="shared" si="399"/>
        <v>0</v>
      </c>
      <c r="AW672">
        <f t="shared" si="400"/>
        <v>0</v>
      </c>
      <c r="AX672">
        <f t="shared" si="401"/>
        <v>0</v>
      </c>
      <c r="AY672">
        <f t="shared" si="402"/>
        <v>0</v>
      </c>
      <c r="AZ672">
        <f t="shared" si="403"/>
        <v>0</v>
      </c>
      <c r="BA672">
        <f t="shared" si="404"/>
        <v>0</v>
      </c>
      <c r="BB672">
        <f t="shared" si="405"/>
        <v>0</v>
      </c>
      <c r="BC672">
        <f t="shared" si="406"/>
        <v>0</v>
      </c>
      <c r="BD672">
        <f t="shared" si="407"/>
        <v>0</v>
      </c>
      <c r="BE672">
        <f t="shared" si="408"/>
        <v>0</v>
      </c>
      <c r="BF672">
        <f t="shared" si="409"/>
        <v>0</v>
      </c>
      <c r="BG672">
        <f t="shared" si="410"/>
        <v>0</v>
      </c>
      <c r="BH672">
        <f t="shared" si="411"/>
        <v>0</v>
      </c>
      <c r="BI672">
        <f t="shared" si="412"/>
        <v>0</v>
      </c>
    </row>
    <row r="673" spans="1:61" x14ac:dyDescent="0.35">
      <c r="A673" t="s">
        <v>51</v>
      </c>
      <c r="B673" s="1">
        <v>39295</v>
      </c>
      <c r="C673" t="s">
        <v>1269</v>
      </c>
      <c r="D673" t="s">
        <v>45</v>
      </c>
      <c r="E673" t="s">
        <v>1266</v>
      </c>
      <c r="F673" t="s">
        <v>602</v>
      </c>
      <c r="G673" t="s">
        <v>47</v>
      </c>
      <c r="H673" s="139">
        <f t="shared" si="386"/>
        <v>0</v>
      </c>
      <c r="I673" t="s">
        <v>234</v>
      </c>
      <c r="J673" t="s">
        <v>235</v>
      </c>
      <c r="K673" s="2">
        <f t="shared" si="387"/>
        <v>1</v>
      </c>
      <c r="L673">
        <v>1475000000</v>
      </c>
      <c r="M673" s="2">
        <f t="shared" si="388"/>
        <v>9.1687920203141822</v>
      </c>
      <c r="N673">
        <f>L673</f>
        <v>1475000000</v>
      </c>
      <c r="O673">
        <v>0</v>
      </c>
      <c r="P673" s="1">
        <v>42034</v>
      </c>
      <c r="Q673" s="89">
        <f t="shared" si="389"/>
        <v>2015</v>
      </c>
      <c r="R673" t="s">
        <v>107</v>
      </c>
      <c r="S673">
        <v>1400000000</v>
      </c>
      <c r="T673" s="21">
        <f t="shared" si="383"/>
        <v>7.5041095890410956</v>
      </c>
      <c r="U673">
        <v>0</v>
      </c>
      <c r="V673">
        <f t="shared" si="390"/>
        <v>0</v>
      </c>
      <c r="W673">
        <v>1898</v>
      </c>
      <c r="X673">
        <v>109</v>
      </c>
      <c r="Y673">
        <f t="shared" si="391"/>
        <v>2.0413926851582249</v>
      </c>
      <c r="Z673" s="45">
        <v>2.95</v>
      </c>
      <c r="AA673" s="9">
        <f t="shared" si="382"/>
        <v>-75000000</v>
      </c>
      <c r="AB673" s="15">
        <f t="shared" si="384"/>
        <v>-5.084745762711862E-2</v>
      </c>
      <c r="AC673" s="34">
        <f t="shared" si="392"/>
        <v>-2.2663984635943761E-2</v>
      </c>
      <c r="AD673">
        <v>1246.953</v>
      </c>
      <c r="AE673">
        <f t="shared" si="393"/>
        <v>3.0958500844125241</v>
      </c>
      <c r="AF673">
        <v>3219.7179999999998</v>
      </c>
      <c r="AG673">
        <f t="shared" si="394"/>
        <v>3.5078178355445662</v>
      </c>
      <c r="AH673">
        <v>0</v>
      </c>
      <c r="AI673" s="9">
        <f t="shared" si="395"/>
        <v>0</v>
      </c>
      <c r="AJ673">
        <v>91.4</v>
      </c>
      <c r="AK673" t="s">
        <v>103</v>
      </c>
      <c r="AL673" s="42">
        <v>37.425715444240403</v>
      </c>
      <c r="AM673" s="24">
        <v>0.36</v>
      </c>
      <c r="AN673" s="34">
        <f t="shared" si="396"/>
        <v>0.13353890837021748</v>
      </c>
      <c r="AO673">
        <v>1987</v>
      </c>
      <c r="AP673">
        <v>20</v>
      </c>
      <c r="AQ673">
        <v>70</v>
      </c>
      <c r="AR673">
        <v>70</v>
      </c>
      <c r="AS673">
        <f t="shared" si="385"/>
        <v>0</v>
      </c>
      <c r="AT673">
        <f t="shared" si="397"/>
        <v>1</v>
      </c>
      <c r="AU673">
        <f t="shared" si="398"/>
        <v>0</v>
      </c>
      <c r="AV673">
        <f t="shared" si="399"/>
        <v>0</v>
      </c>
      <c r="AW673">
        <f t="shared" si="400"/>
        <v>0</v>
      </c>
      <c r="AX673">
        <f t="shared" si="401"/>
        <v>0</v>
      </c>
      <c r="AY673">
        <f t="shared" si="402"/>
        <v>0</v>
      </c>
      <c r="AZ673">
        <f t="shared" si="403"/>
        <v>0</v>
      </c>
      <c r="BA673">
        <f t="shared" si="404"/>
        <v>0</v>
      </c>
      <c r="BB673">
        <f t="shared" si="405"/>
        <v>0</v>
      </c>
      <c r="BC673">
        <f t="shared" si="406"/>
        <v>0</v>
      </c>
      <c r="BD673">
        <f t="shared" si="407"/>
        <v>0</v>
      </c>
      <c r="BE673">
        <f t="shared" si="408"/>
        <v>0</v>
      </c>
      <c r="BF673">
        <f t="shared" si="409"/>
        <v>0</v>
      </c>
      <c r="BG673">
        <f t="shared" si="410"/>
        <v>0</v>
      </c>
      <c r="BH673">
        <f t="shared" si="411"/>
        <v>0</v>
      </c>
      <c r="BI673">
        <f t="shared" si="412"/>
        <v>0</v>
      </c>
    </row>
    <row r="674" spans="1:61" x14ac:dyDescent="0.35">
      <c r="A674" t="s">
        <v>51</v>
      </c>
      <c r="B674" s="1">
        <v>39301</v>
      </c>
      <c r="C674" t="s">
        <v>1270</v>
      </c>
      <c r="D674" t="s">
        <v>45</v>
      </c>
      <c r="E674" t="s">
        <v>1266</v>
      </c>
      <c r="F674" t="s">
        <v>602</v>
      </c>
      <c r="G674" t="s">
        <v>47</v>
      </c>
      <c r="H674" s="139">
        <f t="shared" si="386"/>
        <v>0</v>
      </c>
      <c r="I674" t="s">
        <v>234</v>
      </c>
      <c r="J674" t="s">
        <v>235</v>
      </c>
      <c r="K674" s="2">
        <f t="shared" si="387"/>
        <v>1</v>
      </c>
      <c r="L674">
        <v>5575000000</v>
      </c>
      <c r="M674" s="2">
        <f t="shared" si="388"/>
        <v>9.746244871720199</v>
      </c>
      <c r="N674">
        <f>L674</f>
        <v>5575000000</v>
      </c>
      <c r="O674">
        <v>0</v>
      </c>
      <c r="P674" s="1">
        <v>41885</v>
      </c>
      <c r="Q674" s="89">
        <f t="shared" si="389"/>
        <v>2014</v>
      </c>
      <c r="R674" t="s">
        <v>322</v>
      </c>
      <c r="S674">
        <v>4868400000</v>
      </c>
      <c r="T674" s="21">
        <f t="shared" si="383"/>
        <v>7.0794520547945208</v>
      </c>
      <c r="U674">
        <v>0</v>
      </c>
      <c r="V674">
        <f t="shared" si="390"/>
        <v>0</v>
      </c>
      <c r="W674">
        <v>1915</v>
      </c>
      <c r="X674">
        <v>92</v>
      </c>
      <c r="Y674">
        <f t="shared" si="391"/>
        <v>1.968482948553935</v>
      </c>
      <c r="Z674" s="45">
        <v>2.95</v>
      </c>
      <c r="AA674" s="9">
        <f t="shared" si="382"/>
        <v>-706600000</v>
      </c>
      <c r="AB674" s="15">
        <f t="shared" si="384"/>
        <v>-0.12674439461883413</v>
      </c>
      <c r="AC674" s="34">
        <f t="shared" si="392"/>
        <v>-5.8858617968247297E-2</v>
      </c>
      <c r="AD674">
        <v>1246.953</v>
      </c>
      <c r="AE674">
        <f t="shared" si="393"/>
        <v>3.0958500844125241</v>
      </c>
      <c r="AF674">
        <v>3219.7179999999998</v>
      </c>
      <c r="AG674">
        <f t="shared" si="394"/>
        <v>3.5078178355445662</v>
      </c>
      <c r="AH674">
        <v>0</v>
      </c>
      <c r="AI674" s="9">
        <f t="shared" si="395"/>
        <v>0</v>
      </c>
      <c r="AJ674">
        <v>91.4</v>
      </c>
      <c r="AK674" t="s">
        <v>103</v>
      </c>
      <c r="AL674" s="42">
        <v>37.425715444240403</v>
      </c>
      <c r="AM674" s="24">
        <v>0.35</v>
      </c>
      <c r="AN674" s="34">
        <f t="shared" si="396"/>
        <v>0.13033376849500614</v>
      </c>
      <c r="AO674">
        <v>1987</v>
      </c>
      <c r="AP674">
        <v>20</v>
      </c>
      <c r="AQ674">
        <v>70</v>
      </c>
      <c r="AR674">
        <v>70</v>
      </c>
      <c r="AS674">
        <f t="shared" si="385"/>
        <v>0</v>
      </c>
      <c r="AT674">
        <f t="shared" si="397"/>
        <v>1</v>
      </c>
      <c r="AU674">
        <f t="shared" si="398"/>
        <v>0</v>
      </c>
      <c r="AV674">
        <f t="shared" si="399"/>
        <v>0</v>
      </c>
      <c r="AW674">
        <f t="shared" si="400"/>
        <v>0</v>
      </c>
      <c r="AX674">
        <f t="shared" si="401"/>
        <v>0</v>
      </c>
      <c r="AY674">
        <f t="shared" si="402"/>
        <v>0</v>
      </c>
      <c r="AZ674">
        <f t="shared" si="403"/>
        <v>0</v>
      </c>
      <c r="BA674">
        <f t="shared" si="404"/>
        <v>0</v>
      </c>
      <c r="BB674">
        <f t="shared" si="405"/>
        <v>0</v>
      </c>
      <c r="BC674">
        <f t="shared" si="406"/>
        <v>0</v>
      </c>
      <c r="BD674">
        <f t="shared" si="407"/>
        <v>0</v>
      </c>
      <c r="BE674">
        <f t="shared" si="408"/>
        <v>0</v>
      </c>
      <c r="BF674">
        <f t="shared" si="409"/>
        <v>0</v>
      </c>
      <c r="BG674">
        <f t="shared" si="410"/>
        <v>0</v>
      </c>
      <c r="BH674">
        <f t="shared" si="411"/>
        <v>0</v>
      </c>
      <c r="BI674">
        <f t="shared" si="412"/>
        <v>0</v>
      </c>
    </row>
    <row r="675" spans="1:61" x14ac:dyDescent="0.35">
      <c r="A675" t="s">
        <v>51</v>
      </c>
      <c r="B675" s="1">
        <v>39462</v>
      </c>
      <c r="C675" t="s">
        <v>1271</v>
      </c>
      <c r="D675" t="s">
        <v>45</v>
      </c>
      <c r="E675" t="s">
        <v>1170</v>
      </c>
      <c r="F675" t="s">
        <v>602</v>
      </c>
      <c r="G675" t="s">
        <v>47</v>
      </c>
      <c r="H675" s="139">
        <f t="shared" si="386"/>
        <v>0</v>
      </c>
      <c r="I675" t="s">
        <v>268</v>
      </c>
      <c r="J675" t="s">
        <v>190</v>
      </c>
      <c r="K675" s="2">
        <f t="shared" si="387"/>
        <v>2</v>
      </c>
      <c r="L675">
        <v>201960000</v>
      </c>
      <c r="M675" s="2">
        <f t="shared" si="388"/>
        <v>8.305265362023448</v>
      </c>
      <c r="N675">
        <v>236790000</v>
      </c>
      <c r="O675">
        <v>34830000</v>
      </c>
      <c r="P675" s="1">
        <v>40301</v>
      </c>
      <c r="Q675" s="89">
        <f t="shared" si="389"/>
        <v>2010</v>
      </c>
      <c r="R675" t="s">
        <v>107</v>
      </c>
      <c r="S675">
        <v>44000000</v>
      </c>
      <c r="T675" s="21">
        <f t="shared" si="383"/>
        <v>2.2986301369863016</v>
      </c>
      <c r="U675">
        <v>0</v>
      </c>
      <c r="V675">
        <f t="shared" si="390"/>
        <v>0</v>
      </c>
      <c r="W675">
        <v>1965</v>
      </c>
      <c r="X675">
        <v>43</v>
      </c>
      <c r="Y675">
        <f t="shared" si="391"/>
        <v>1.6434526764861874</v>
      </c>
      <c r="Z675" s="45">
        <v>2.95</v>
      </c>
      <c r="AA675" s="9">
        <f t="shared" si="382"/>
        <v>-192790000</v>
      </c>
      <c r="AB675" s="15">
        <f t="shared" si="384"/>
        <v>-0.78213507625272327</v>
      </c>
      <c r="AC675" s="34">
        <f t="shared" si="392"/>
        <v>-0.66181268553726114</v>
      </c>
      <c r="AD675">
        <v>1421.558</v>
      </c>
      <c r="AE675">
        <f t="shared" si="393"/>
        <v>3.1527645837352773</v>
      </c>
      <c r="AF675">
        <v>3476.3409999999999</v>
      </c>
      <c r="AG675">
        <f t="shared" si="394"/>
        <v>3.5411223705253856</v>
      </c>
      <c r="AH675">
        <v>0</v>
      </c>
      <c r="AI675" s="9">
        <f t="shared" si="395"/>
        <v>0</v>
      </c>
      <c r="AJ675">
        <v>92.6</v>
      </c>
      <c r="AK675" t="s">
        <v>222</v>
      </c>
      <c r="AL675" s="42">
        <v>39.823361151429197</v>
      </c>
      <c r="AM675" s="24">
        <v>-0.13</v>
      </c>
      <c r="AN675" s="34">
        <f t="shared" si="396"/>
        <v>-6.0480747381381476E-2</v>
      </c>
      <c r="AO675">
        <v>1966</v>
      </c>
      <c r="AP675">
        <v>42</v>
      </c>
      <c r="AQ675">
        <v>70</v>
      </c>
      <c r="AR675">
        <v>70</v>
      </c>
      <c r="AS675">
        <f t="shared" si="385"/>
        <v>0</v>
      </c>
      <c r="AT675">
        <f t="shared" si="397"/>
        <v>1</v>
      </c>
      <c r="AU675">
        <f t="shared" si="398"/>
        <v>0</v>
      </c>
      <c r="AV675">
        <f t="shared" si="399"/>
        <v>0</v>
      </c>
      <c r="AW675">
        <f t="shared" si="400"/>
        <v>0</v>
      </c>
      <c r="AX675">
        <f t="shared" si="401"/>
        <v>0</v>
      </c>
      <c r="AY675">
        <f t="shared" si="402"/>
        <v>0</v>
      </c>
      <c r="AZ675">
        <f t="shared" si="403"/>
        <v>0</v>
      </c>
      <c r="BA675">
        <f t="shared" si="404"/>
        <v>0</v>
      </c>
      <c r="BB675">
        <f t="shared" si="405"/>
        <v>0</v>
      </c>
      <c r="BC675">
        <f t="shared" si="406"/>
        <v>0</v>
      </c>
      <c r="BD675">
        <f t="shared" si="407"/>
        <v>0</v>
      </c>
      <c r="BE675">
        <f t="shared" si="408"/>
        <v>0</v>
      </c>
      <c r="BF675">
        <f t="shared" si="409"/>
        <v>0</v>
      </c>
      <c r="BG675">
        <f t="shared" si="410"/>
        <v>0</v>
      </c>
      <c r="BH675">
        <f t="shared" si="411"/>
        <v>0</v>
      </c>
      <c r="BI675">
        <f t="shared" si="412"/>
        <v>0</v>
      </c>
    </row>
    <row r="676" spans="1:61" x14ac:dyDescent="0.35">
      <c r="A676" t="s">
        <v>1029</v>
      </c>
      <c r="B676" s="1">
        <v>33969</v>
      </c>
      <c r="C676" t="s">
        <v>1272</v>
      </c>
      <c r="D676" t="s">
        <v>45</v>
      </c>
      <c r="E676" t="s">
        <v>705</v>
      </c>
      <c r="F676" t="s">
        <v>602</v>
      </c>
      <c r="G676" t="s">
        <v>47</v>
      </c>
      <c r="H676" s="139">
        <f t="shared" si="386"/>
        <v>0</v>
      </c>
      <c r="I676" t="s">
        <v>234</v>
      </c>
      <c r="J676" t="s">
        <v>178</v>
      </c>
      <c r="K676" s="2">
        <f t="shared" si="387"/>
        <v>9</v>
      </c>
      <c r="L676">
        <v>10000000</v>
      </c>
      <c r="M676" s="2">
        <f t="shared" si="388"/>
        <v>7</v>
      </c>
      <c r="N676">
        <f>L676</f>
        <v>10000000</v>
      </c>
      <c r="O676">
        <v>0</v>
      </c>
      <c r="P676" s="1">
        <v>34843</v>
      </c>
      <c r="Q676" s="89">
        <f t="shared" si="389"/>
        <v>1995</v>
      </c>
      <c r="R676" t="s">
        <v>107</v>
      </c>
      <c r="S676">
        <v>41889000</v>
      </c>
      <c r="T676" s="21">
        <f t="shared" si="383"/>
        <v>2.3945205479452056</v>
      </c>
      <c r="U676">
        <v>0</v>
      </c>
      <c r="V676">
        <f t="shared" si="390"/>
        <v>0</v>
      </c>
      <c r="W676">
        <v>1987</v>
      </c>
      <c r="X676">
        <v>5</v>
      </c>
      <c r="Y676">
        <f t="shared" si="391"/>
        <v>0.77815125038364363</v>
      </c>
      <c r="Z676" s="45">
        <v>2.95</v>
      </c>
      <c r="AA676" s="9">
        <f t="shared" si="382"/>
        <v>31889000</v>
      </c>
      <c r="AB676" s="15">
        <f t="shared" si="384"/>
        <v>3.1889000000000003</v>
      </c>
      <c r="AC676" s="34">
        <f t="shared" si="392"/>
        <v>0.6220999927396933</v>
      </c>
      <c r="AD676">
        <v>1421.558</v>
      </c>
      <c r="AE676">
        <f t="shared" si="393"/>
        <v>3.1527645837352773</v>
      </c>
      <c r="AF676">
        <v>3476.3409999999999</v>
      </c>
      <c r="AG676">
        <f t="shared" si="394"/>
        <v>3.5411223705253856</v>
      </c>
      <c r="AH676">
        <v>0</v>
      </c>
      <c r="AI676" s="9">
        <f t="shared" si="395"/>
        <v>0</v>
      </c>
      <c r="AJ676">
        <v>85</v>
      </c>
      <c r="AK676" t="s">
        <v>222</v>
      </c>
      <c r="AL676" s="42">
        <v>39.367752568237798</v>
      </c>
      <c r="AM676" s="24">
        <v>0.21</v>
      </c>
      <c r="AN676" s="34">
        <f t="shared" si="396"/>
        <v>8.2785370316450071E-2</v>
      </c>
      <c r="AO676">
        <v>1966</v>
      </c>
      <c r="AP676">
        <v>26</v>
      </c>
      <c r="AQ676">
        <v>70</v>
      </c>
      <c r="AR676">
        <v>70</v>
      </c>
      <c r="AS676">
        <f t="shared" si="385"/>
        <v>0</v>
      </c>
      <c r="AT676">
        <f t="shared" si="397"/>
        <v>1</v>
      </c>
      <c r="AU676">
        <f t="shared" si="398"/>
        <v>0</v>
      </c>
      <c r="AV676">
        <f t="shared" si="399"/>
        <v>0</v>
      </c>
      <c r="AW676">
        <f t="shared" si="400"/>
        <v>0</v>
      </c>
      <c r="AX676">
        <f t="shared" si="401"/>
        <v>0</v>
      </c>
      <c r="AY676">
        <f t="shared" si="402"/>
        <v>0</v>
      </c>
      <c r="AZ676">
        <f t="shared" si="403"/>
        <v>0</v>
      </c>
      <c r="BA676">
        <f t="shared" si="404"/>
        <v>0</v>
      </c>
      <c r="BB676">
        <f t="shared" si="405"/>
        <v>0</v>
      </c>
      <c r="BC676">
        <f t="shared" si="406"/>
        <v>0</v>
      </c>
      <c r="BD676">
        <f t="shared" si="407"/>
        <v>0</v>
      </c>
      <c r="BE676">
        <f t="shared" si="408"/>
        <v>0</v>
      </c>
      <c r="BF676">
        <f t="shared" si="409"/>
        <v>0</v>
      </c>
      <c r="BG676">
        <f t="shared" si="410"/>
        <v>0</v>
      </c>
      <c r="BH676">
        <f t="shared" si="411"/>
        <v>0</v>
      </c>
      <c r="BI676">
        <f t="shared" si="412"/>
        <v>0</v>
      </c>
    </row>
    <row r="677" spans="1:61" x14ac:dyDescent="0.35">
      <c r="A677" t="s">
        <v>352</v>
      </c>
      <c r="B677" s="1">
        <v>33785</v>
      </c>
      <c r="C677" t="s">
        <v>1273</v>
      </c>
      <c r="D677" t="s">
        <v>45</v>
      </c>
      <c r="E677" t="s">
        <v>705</v>
      </c>
      <c r="F677" t="s">
        <v>602</v>
      </c>
      <c r="G677" t="s">
        <v>47</v>
      </c>
      <c r="H677" s="139">
        <f t="shared" si="386"/>
        <v>0</v>
      </c>
      <c r="I677" t="s">
        <v>234</v>
      </c>
      <c r="J677" t="s">
        <v>235</v>
      </c>
      <c r="K677" s="2">
        <f t="shared" si="387"/>
        <v>1</v>
      </c>
      <c r="L677">
        <v>16000000</v>
      </c>
      <c r="M677" s="2">
        <f t="shared" si="388"/>
        <v>7.204119982655925</v>
      </c>
      <c r="N677">
        <f>L677</f>
        <v>16000000</v>
      </c>
      <c r="O677">
        <v>0</v>
      </c>
      <c r="P677" s="1">
        <v>35135</v>
      </c>
      <c r="Q677" s="89">
        <f t="shared" si="389"/>
        <v>1996</v>
      </c>
      <c r="R677" t="s">
        <v>338</v>
      </c>
      <c r="S677">
        <v>0</v>
      </c>
      <c r="T677" s="21">
        <f t="shared" si="383"/>
        <v>3.6986301369863015</v>
      </c>
      <c r="U677">
        <v>0</v>
      </c>
      <c r="V677">
        <f t="shared" si="390"/>
        <v>0</v>
      </c>
      <c r="W677">
        <v>1937</v>
      </c>
      <c r="X677">
        <v>55</v>
      </c>
      <c r="Y677">
        <f t="shared" si="391"/>
        <v>1.7481880270062005</v>
      </c>
      <c r="Z677" s="45">
        <v>2.95</v>
      </c>
      <c r="AA677" s="9">
        <f t="shared" si="382"/>
        <v>-16000000</v>
      </c>
      <c r="AB677" s="15">
        <f t="shared" si="384"/>
        <v>-1</v>
      </c>
      <c r="AC677" s="34">
        <f t="shared" si="392"/>
        <v>-1</v>
      </c>
      <c r="AD677">
        <v>1421.558</v>
      </c>
      <c r="AE677">
        <f t="shared" si="393"/>
        <v>3.1527645837352773</v>
      </c>
      <c r="AF677">
        <v>3476.3409999999999</v>
      </c>
      <c r="AG677">
        <f t="shared" si="394"/>
        <v>3.5411223705253856</v>
      </c>
      <c r="AH677">
        <v>0</v>
      </c>
      <c r="AI677" s="9">
        <f t="shared" si="395"/>
        <v>0</v>
      </c>
      <c r="AJ677">
        <v>85</v>
      </c>
      <c r="AK677" t="s">
        <v>222</v>
      </c>
      <c r="AL677" s="42">
        <v>39.367752568237798</v>
      </c>
      <c r="AM677" s="24">
        <v>0.56999999999999995</v>
      </c>
      <c r="AN677" s="34">
        <f t="shared" si="396"/>
        <v>0.19589965240923368</v>
      </c>
      <c r="AO677">
        <v>1966</v>
      </c>
      <c r="AP677">
        <v>26</v>
      </c>
      <c r="AQ677">
        <v>70</v>
      </c>
      <c r="AR677">
        <v>70</v>
      </c>
      <c r="AS677">
        <f t="shared" si="385"/>
        <v>1</v>
      </c>
      <c r="AT677">
        <f t="shared" si="397"/>
        <v>1</v>
      </c>
      <c r="AU677">
        <f t="shared" si="398"/>
        <v>0</v>
      </c>
      <c r="AV677">
        <f t="shared" si="399"/>
        <v>0</v>
      </c>
      <c r="AW677">
        <f t="shared" si="400"/>
        <v>0</v>
      </c>
      <c r="AX677">
        <f t="shared" si="401"/>
        <v>0</v>
      </c>
      <c r="AY677">
        <f t="shared" si="402"/>
        <v>0</v>
      </c>
      <c r="AZ677">
        <f t="shared" si="403"/>
        <v>0</v>
      </c>
      <c r="BA677">
        <f t="shared" si="404"/>
        <v>0</v>
      </c>
      <c r="BB677">
        <f t="shared" si="405"/>
        <v>0</v>
      </c>
      <c r="BC677">
        <f t="shared" si="406"/>
        <v>0</v>
      </c>
      <c r="BD677">
        <f t="shared" si="407"/>
        <v>0</v>
      </c>
      <c r="BE677">
        <f t="shared" si="408"/>
        <v>0</v>
      </c>
      <c r="BF677">
        <f t="shared" si="409"/>
        <v>0</v>
      </c>
      <c r="BG677">
        <f t="shared" si="410"/>
        <v>0</v>
      </c>
      <c r="BH677">
        <f t="shared" si="411"/>
        <v>0</v>
      </c>
      <c r="BI677">
        <f t="shared" si="412"/>
        <v>0</v>
      </c>
    </row>
    <row r="678" spans="1:61" x14ac:dyDescent="0.35">
      <c r="A678" t="s">
        <v>51</v>
      </c>
      <c r="B678" s="1">
        <v>40725</v>
      </c>
      <c r="C678" t="s">
        <v>1274</v>
      </c>
      <c r="D678" t="s">
        <v>45</v>
      </c>
      <c r="E678" t="s">
        <v>698</v>
      </c>
      <c r="F678" t="s">
        <v>602</v>
      </c>
      <c r="G678" t="s">
        <v>47</v>
      </c>
      <c r="H678" s="139">
        <f t="shared" si="386"/>
        <v>0</v>
      </c>
      <c r="I678" t="s">
        <v>268</v>
      </c>
      <c r="J678" t="s">
        <v>190</v>
      </c>
      <c r="K678" s="2">
        <f t="shared" si="387"/>
        <v>2</v>
      </c>
      <c r="L678">
        <v>676540000</v>
      </c>
      <c r="M678" s="2">
        <f t="shared" si="388"/>
        <v>8.8302934790795664</v>
      </c>
      <c r="N678">
        <v>440240000</v>
      </c>
      <c r="O678">
        <v>236300000</v>
      </c>
      <c r="P678" s="1">
        <v>41490</v>
      </c>
      <c r="Q678" s="89">
        <f t="shared" si="389"/>
        <v>2013</v>
      </c>
      <c r="R678" t="s">
        <v>1102</v>
      </c>
      <c r="S678">
        <v>0</v>
      </c>
      <c r="T678" s="21">
        <f t="shared" si="383"/>
        <v>2.095890410958904</v>
      </c>
      <c r="U678">
        <v>0</v>
      </c>
      <c r="V678">
        <f t="shared" si="390"/>
        <v>0</v>
      </c>
      <c r="W678">
        <v>1948</v>
      </c>
      <c r="X678">
        <v>63</v>
      </c>
      <c r="Y678">
        <f t="shared" si="391"/>
        <v>1.8061799739838871</v>
      </c>
      <c r="Z678" s="45">
        <v>2.95</v>
      </c>
      <c r="AA678" s="9">
        <f t="shared" si="382"/>
        <v>-440240000</v>
      </c>
      <c r="AB678" s="15">
        <f t="shared" si="384"/>
        <v>-1</v>
      </c>
      <c r="AC678" s="34">
        <f t="shared" si="392"/>
        <v>-1</v>
      </c>
      <c r="AD678">
        <v>1421.558</v>
      </c>
      <c r="AE678">
        <f t="shared" si="393"/>
        <v>3.1527645837352773</v>
      </c>
      <c r="AF678">
        <v>3476.3409999999999</v>
      </c>
      <c r="AG678">
        <f t="shared" si="394"/>
        <v>3.5411223705253856</v>
      </c>
      <c r="AH678">
        <v>0</v>
      </c>
      <c r="AI678" s="9">
        <f t="shared" si="395"/>
        <v>0</v>
      </c>
      <c r="AJ678">
        <v>91</v>
      </c>
      <c r="AK678" t="s">
        <v>141</v>
      </c>
      <c r="AL678" s="42">
        <v>42.048698215007001</v>
      </c>
      <c r="AM678" s="24">
        <v>0.28000000000000003</v>
      </c>
      <c r="AN678" s="34">
        <f t="shared" si="396"/>
        <v>0.10720996964786837</v>
      </c>
      <c r="AO678">
        <v>1966</v>
      </c>
      <c r="AP678">
        <v>45</v>
      </c>
      <c r="AQ678">
        <v>70</v>
      </c>
      <c r="AR678">
        <v>70</v>
      </c>
      <c r="AS678">
        <f t="shared" si="385"/>
        <v>1</v>
      </c>
      <c r="AT678">
        <f t="shared" si="397"/>
        <v>1</v>
      </c>
      <c r="AU678">
        <f t="shared" si="398"/>
        <v>0</v>
      </c>
      <c r="AV678">
        <f t="shared" si="399"/>
        <v>0</v>
      </c>
      <c r="AW678">
        <f t="shared" si="400"/>
        <v>0</v>
      </c>
      <c r="AX678">
        <f t="shared" si="401"/>
        <v>0</v>
      </c>
      <c r="AY678">
        <f t="shared" si="402"/>
        <v>0</v>
      </c>
      <c r="AZ678">
        <f t="shared" si="403"/>
        <v>0</v>
      </c>
      <c r="BA678">
        <f t="shared" si="404"/>
        <v>0</v>
      </c>
      <c r="BB678">
        <f t="shared" si="405"/>
        <v>0</v>
      </c>
      <c r="BC678">
        <f t="shared" si="406"/>
        <v>0</v>
      </c>
      <c r="BD678">
        <f t="shared" si="407"/>
        <v>0</v>
      </c>
      <c r="BE678">
        <f t="shared" si="408"/>
        <v>0</v>
      </c>
      <c r="BF678">
        <f t="shared" si="409"/>
        <v>0</v>
      </c>
      <c r="BG678">
        <f t="shared" si="410"/>
        <v>0</v>
      </c>
      <c r="BH678">
        <f t="shared" si="411"/>
        <v>0</v>
      </c>
      <c r="BI678">
        <f t="shared" si="412"/>
        <v>0</v>
      </c>
    </row>
    <row r="679" spans="1:61" x14ac:dyDescent="0.35">
      <c r="A679" t="s">
        <v>352</v>
      </c>
      <c r="B679" s="1">
        <v>38132</v>
      </c>
      <c r="C679" t="s">
        <v>1275</v>
      </c>
      <c r="D679" t="s">
        <v>45</v>
      </c>
      <c r="E679" t="s">
        <v>695</v>
      </c>
      <c r="F679" t="s">
        <v>602</v>
      </c>
      <c r="G679" t="s">
        <v>47</v>
      </c>
      <c r="H679" s="139">
        <f t="shared" si="386"/>
        <v>0</v>
      </c>
      <c r="I679" t="s">
        <v>234</v>
      </c>
      <c r="J679" t="s">
        <v>190</v>
      </c>
      <c r="K679" s="2">
        <f t="shared" si="387"/>
        <v>2</v>
      </c>
      <c r="L679">
        <v>51000000</v>
      </c>
      <c r="M679" s="2">
        <f t="shared" si="388"/>
        <v>7.7075701760979367</v>
      </c>
      <c r="N679">
        <f t="shared" ref="N679:N691" si="414">L679</f>
        <v>51000000</v>
      </c>
      <c r="O679">
        <v>0</v>
      </c>
      <c r="P679" s="1">
        <v>40128</v>
      </c>
      <c r="Q679" s="89">
        <f t="shared" si="389"/>
        <v>2009</v>
      </c>
      <c r="R679" t="s">
        <v>1102</v>
      </c>
      <c r="S679">
        <v>0</v>
      </c>
      <c r="T679" s="21">
        <f t="shared" si="383"/>
        <v>5.4684931506849317</v>
      </c>
      <c r="U679">
        <v>0</v>
      </c>
      <c r="V679">
        <f t="shared" si="390"/>
        <v>0</v>
      </c>
      <c r="W679">
        <v>1992</v>
      </c>
      <c r="X679">
        <v>12</v>
      </c>
      <c r="Y679">
        <f t="shared" si="391"/>
        <v>1.1139433523068367</v>
      </c>
      <c r="Z679" s="45">
        <v>2.95</v>
      </c>
      <c r="AA679" s="9">
        <f t="shared" si="382"/>
        <v>-51000000</v>
      </c>
      <c r="AB679" s="15">
        <f t="shared" si="384"/>
        <v>-1</v>
      </c>
      <c r="AC679" s="34">
        <f t="shared" si="392"/>
        <v>-1</v>
      </c>
      <c r="AD679">
        <v>1421.558</v>
      </c>
      <c r="AE679">
        <f t="shared" si="393"/>
        <v>3.1527645837352773</v>
      </c>
      <c r="AF679">
        <v>3476.3409999999999</v>
      </c>
      <c r="AG679">
        <f t="shared" si="394"/>
        <v>3.5411223705253856</v>
      </c>
      <c r="AH679">
        <v>0</v>
      </c>
      <c r="AI679" s="9">
        <f t="shared" si="395"/>
        <v>0</v>
      </c>
      <c r="AJ679">
        <v>85</v>
      </c>
      <c r="AK679" t="s">
        <v>215</v>
      </c>
      <c r="AL679" s="42">
        <v>36.876470987978301</v>
      </c>
      <c r="AM679" s="24">
        <v>-0.01</v>
      </c>
      <c r="AN679" s="34">
        <f t="shared" si="396"/>
        <v>-4.3648054024500883E-3</v>
      </c>
      <c r="AO679">
        <v>1966</v>
      </c>
      <c r="AP679">
        <v>38</v>
      </c>
      <c r="AQ679">
        <v>70</v>
      </c>
      <c r="AR679">
        <v>70</v>
      </c>
      <c r="AS679">
        <f t="shared" si="385"/>
        <v>1</v>
      </c>
      <c r="AT679">
        <f t="shared" si="397"/>
        <v>1</v>
      </c>
      <c r="AU679">
        <f t="shared" si="398"/>
        <v>0</v>
      </c>
      <c r="AV679">
        <f t="shared" si="399"/>
        <v>0</v>
      </c>
      <c r="AW679">
        <f t="shared" si="400"/>
        <v>0</v>
      </c>
      <c r="AX679">
        <f t="shared" si="401"/>
        <v>0</v>
      </c>
      <c r="AY679">
        <f t="shared" si="402"/>
        <v>0</v>
      </c>
      <c r="AZ679">
        <f t="shared" si="403"/>
        <v>0</v>
      </c>
      <c r="BA679">
        <f t="shared" si="404"/>
        <v>0</v>
      </c>
      <c r="BB679">
        <f t="shared" si="405"/>
        <v>0</v>
      </c>
      <c r="BC679">
        <f t="shared" si="406"/>
        <v>0</v>
      </c>
      <c r="BD679">
        <f t="shared" si="407"/>
        <v>0</v>
      </c>
      <c r="BE679">
        <f t="shared" si="408"/>
        <v>0</v>
      </c>
      <c r="BF679">
        <f t="shared" si="409"/>
        <v>0</v>
      </c>
      <c r="BG679">
        <f t="shared" si="410"/>
        <v>0</v>
      </c>
      <c r="BH679">
        <f t="shared" si="411"/>
        <v>0</v>
      </c>
      <c r="BI679">
        <f t="shared" si="412"/>
        <v>0</v>
      </c>
    </row>
    <row r="680" spans="1:61" x14ac:dyDescent="0.35">
      <c r="A680" t="s">
        <v>51</v>
      </c>
      <c r="B680" s="1">
        <v>36692</v>
      </c>
      <c r="C680" t="s">
        <v>1276</v>
      </c>
      <c r="D680" t="s">
        <v>45</v>
      </c>
      <c r="E680" t="s">
        <v>703</v>
      </c>
      <c r="F680" t="s">
        <v>602</v>
      </c>
      <c r="G680" t="s">
        <v>47</v>
      </c>
      <c r="H680" s="139">
        <f t="shared" si="386"/>
        <v>0</v>
      </c>
      <c r="I680" t="s">
        <v>234</v>
      </c>
      <c r="J680" t="s">
        <v>248</v>
      </c>
      <c r="K680" s="2">
        <f t="shared" si="387"/>
        <v>5</v>
      </c>
      <c r="L680">
        <v>65580000</v>
      </c>
      <c r="M680" s="2">
        <f t="shared" si="388"/>
        <v>7.8167714123333463</v>
      </c>
      <c r="N680">
        <f t="shared" si="414"/>
        <v>65580000</v>
      </c>
      <c r="O680">
        <v>0</v>
      </c>
      <c r="P680" s="1">
        <v>37610</v>
      </c>
      <c r="Q680" s="89">
        <f t="shared" si="389"/>
        <v>2002</v>
      </c>
      <c r="R680" t="s">
        <v>338</v>
      </c>
      <c r="S680">
        <v>0</v>
      </c>
      <c r="T680" s="21">
        <f t="shared" si="383"/>
        <v>2.515068493150685</v>
      </c>
      <c r="U680">
        <v>0</v>
      </c>
      <c r="V680">
        <f t="shared" si="390"/>
        <v>0</v>
      </c>
      <c r="W680">
        <v>1989</v>
      </c>
      <c r="X680">
        <v>11</v>
      </c>
      <c r="Y680">
        <f t="shared" si="391"/>
        <v>1.0791812460476249</v>
      </c>
      <c r="Z680" s="45">
        <v>2.95</v>
      </c>
      <c r="AA680" s="9">
        <f t="shared" si="382"/>
        <v>-65580000</v>
      </c>
      <c r="AB680" s="15">
        <f t="shared" si="384"/>
        <v>-1</v>
      </c>
      <c r="AC680" s="34">
        <f t="shared" si="392"/>
        <v>-1</v>
      </c>
      <c r="AD680">
        <v>1421.558</v>
      </c>
      <c r="AE680">
        <f t="shared" si="393"/>
        <v>3.1527645837352773</v>
      </c>
      <c r="AF680">
        <v>3476.3409999999999</v>
      </c>
      <c r="AG680">
        <f t="shared" si="394"/>
        <v>3.5411223705253856</v>
      </c>
      <c r="AH680">
        <v>0</v>
      </c>
      <c r="AI680" s="9">
        <f t="shared" si="395"/>
        <v>0</v>
      </c>
      <c r="AJ680">
        <v>85</v>
      </c>
      <c r="AK680" t="s">
        <v>351</v>
      </c>
      <c r="AL680" s="42">
        <v>34.298950279384798</v>
      </c>
      <c r="AM680" s="24">
        <v>-0.39</v>
      </c>
      <c r="AN680" s="34">
        <f t="shared" si="396"/>
        <v>-0.21467016498923297</v>
      </c>
      <c r="AO680">
        <v>1966</v>
      </c>
      <c r="AP680">
        <v>34</v>
      </c>
      <c r="AQ680">
        <v>70</v>
      </c>
      <c r="AR680">
        <v>70</v>
      </c>
      <c r="AS680">
        <f t="shared" si="385"/>
        <v>1</v>
      </c>
      <c r="AT680">
        <f t="shared" si="397"/>
        <v>1</v>
      </c>
      <c r="AU680">
        <f t="shared" si="398"/>
        <v>0</v>
      </c>
      <c r="AV680">
        <f t="shared" si="399"/>
        <v>0</v>
      </c>
      <c r="AW680">
        <f t="shared" si="400"/>
        <v>0</v>
      </c>
      <c r="AX680">
        <f t="shared" si="401"/>
        <v>0</v>
      </c>
      <c r="AY680">
        <f t="shared" si="402"/>
        <v>0</v>
      </c>
      <c r="AZ680">
        <f t="shared" si="403"/>
        <v>0</v>
      </c>
      <c r="BA680">
        <f t="shared" si="404"/>
        <v>0</v>
      </c>
      <c r="BB680">
        <f t="shared" si="405"/>
        <v>0</v>
      </c>
      <c r="BC680">
        <f t="shared" si="406"/>
        <v>0</v>
      </c>
      <c r="BD680">
        <f t="shared" si="407"/>
        <v>0</v>
      </c>
      <c r="BE680">
        <f t="shared" si="408"/>
        <v>0</v>
      </c>
      <c r="BF680">
        <f t="shared" si="409"/>
        <v>0</v>
      </c>
      <c r="BG680">
        <f t="shared" si="410"/>
        <v>0</v>
      </c>
      <c r="BH680">
        <f t="shared" si="411"/>
        <v>0</v>
      </c>
      <c r="BI680">
        <f t="shared" si="412"/>
        <v>0</v>
      </c>
    </row>
    <row r="681" spans="1:61" x14ac:dyDescent="0.35">
      <c r="A681" t="s">
        <v>1277</v>
      </c>
      <c r="B681" s="1">
        <v>40466</v>
      </c>
      <c r="C681" t="s">
        <v>1278</v>
      </c>
      <c r="D681" t="s">
        <v>45</v>
      </c>
      <c r="E681" t="s">
        <v>1279</v>
      </c>
      <c r="F681" t="s">
        <v>602</v>
      </c>
      <c r="G681" t="s">
        <v>47</v>
      </c>
      <c r="H681" s="139">
        <f t="shared" si="386"/>
        <v>0</v>
      </c>
      <c r="I681" t="s">
        <v>234</v>
      </c>
      <c r="J681" t="s">
        <v>190</v>
      </c>
      <c r="K681" s="2">
        <f t="shared" si="387"/>
        <v>2</v>
      </c>
      <c r="L681">
        <v>48800000</v>
      </c>
      <c r="M681" s="2">
        <f t="shared" si="388"/>
        <v>7.6884198220027109</v>
      </c>
      <c r="N681">
        <f t="shared" si="414"/>
        <v>48800000</v>
      </c>
      <c r="O681">
        <v>0</v>
      </c>
      <c r="P681" s="1">
        <v>41260</v>
      </c>
      <c r="Q681" s="89">
        <f t="shared" si="389"/>
        <v>2012</v>
      </c>
      <c r="R681" t="s">
        <v>107</v>
      </c>
      <c r="S681">
        <v>338050000</v>
      </c>
      <c r="T681" s="21">
        <f t="shared" si="383"/>
        <v>2.1753424657534248</v>
      </c>
      <c r="U681">
        <v>0</v>
      </c>
      <c r="V681">
        <f t="shared" si="390"/>
        <v>0</v>
      </c>
      <c r="W681">
        <v>1989</v>
      </c>
      <c r="X681">
        <v>21</v>
      </c>
      <c r="Y681">
        <f t="shared" si="391"/>
        <v>1.3424226808222062</v>
      </c>
      <c r="Z681" s="45">
        <v>2.95</v>
      </c>
      <c r="AA681" s="9">
        <f t="shared" si="382"/>
        <v>289250000</v>
      </c>
      <c r="AB681" s="15">
        <f t="shared" si="384"/>
        <v>5.9272540983606561</v>
      </c>
      <c r="AC681" s="34">
        <f t="shared" si="392"/>
        <v>0.84056111826942603</v>
      </c>
      <c r="AD681">
        <v>1455.046</v>
      </c>
      <c r="AE681">
        <f t="shared" si="393"/>
        <v>3.1628767233771686</v>
      </c>
      <c r="AF681">
        <v>4062.5129999999999</v>
      </c>
      <c r="AG681">
        <f t="shared" si="394"/>
        <v>3.6087947637270492</v>
      </c>
      <c r="AH681">
        <v>0</v>
      </c>
      <c r="AI681" s="9">
        <f t="shared" si="395"/>
        <v>0</v>
      </c>
      <c r="AJ681">
        <v>91.3</v>
      </c>
      <c r="AK681" t="s">
        <v>136</v>
      </c>
      <c r="AL681" s="42">
        <v>43.1672842383418</v>
      </c>
      <c r="AM681" s="24">
        <v>0.22</v>
      </c>
      <c r="AN681" s="34">
        <f t="shared" si="396"/>
        <v>8.6359830674748214E-2</v>
      </c>
      <c r="AO681">
        <v>1992</v>
      </c>
      <c r="AP681">
        <v>18</v>
      </c>
      <c r="AQ681">
        <v>70</v>
      </c>
      <c r="AR681">
        <v>70</v>
      </c>
      <c r="AS681">
        <f t="shared" si="385"/>
        <v>0</v>
      </c>
      <c r="AT681">
        <f t="shared" si="397"/>
        <v>1</v>
      </c>
      <c r="AU681">
        <f t="shared" si="398"/>
        <v>0</v>
      </c>
      <c r="AV681">
        <f t="shared" si="399"/>
        <v>0</v>
      </c>
      <c r="AW681">
        <f t="shared" si="400"/>
        <v>0</v>
      </c>
      <c r="AX681">
        <f t="shared" si="401"/>
        <v>0</v>
      </c>
      <c r="AY681">
        <f t="shared" si="402"/>
        <v>0</v>
      </c>
      <c r="AZ681">
        <f t="shared" si="403"/>
        <v>0</v>
      </c>
      <c r="BA681">
        <f t="shared" si="404"/>
        <v>0</v>
      </c>
      <c r="BB681">
        <f t="shared" si="405"/>
        <v>0</v>
      </c>
      <c r="BC681">
        <f t="shared" si="406"/>
        <v>0</v>
      </c>
      <c r="BD681">
        <f t="shared" si="407"/>
        <v>0</v>
      </c>
      <c r="BE681">
        <f t="shared" si="408"/>
        <v>0</v>
      </c>
      <c r="BF681">
        <f t="shared" si="409"/>
        <v>0</v>
      </c>
      <c r="BG681">
        <f t="shared" si="410"/>
        <v>0</v>
      </c>
      <c r="BH681">
        <f t="shared" si="411"/>
        <v>0</v>
      </c>
      <c r="BI681">
        <f t="shared" si="412"/>
        <v>0</v>
      </c>
    </row>
    <row r="682" spans="1:61" x14ac:dyDescent="0.35">
      <c r="A682" t="s">
        <v>51</v>
      </c>
      <c r="B682" s="1">
        <v>41373</v>
      </c>
      <c r="C682" t="s">
        <v>1280</v>
      </c>
      <c r="D682" t="s">
        <v>45</v>
      </c>
      <c r="E682" t="s">
        <v>1281</v>
      </c>
      <c r="F682" t="s">
        <v>602</v>
      </c>
      <c r="G682" t="s">
        <v>47</v>
      </c>
      <c r="H682" s="139">
        <f t="shared" si="386"/>
        <v>0</v>
      </c>
      <c r="I682" t="s">
        <v>234</v>
      </c>
      <c r="J682" t="s">
        <v>178</v>
      </c>
      <c r="K682" s="2">
        <f t="shared" si="387"/>
        <v>9</v>
      </c>
      <c r="L682">
        <v>1000000000</v>
      </c>
      <c r="M682" s="2">
        <f t="shared" si="388"/>
        <v>9</v>
      </c>
      <c r="N682">
        <f t="shared" si="414"/>
        <v>1000000000</v>
      </c>
      <c r="O682">
        <v>0</v>
      </c>
      <c r="P682" s="1">
        <v>43374</v>
      </c>
      <c r="Q682" s="89">
        <f t="shared" si="389"/>
        <v>2018</v>
      </c>
      <c r="R682" t="s">
        <v>107</v>
      </c>
      <c r="S682">
        <v>1450000000</v>
      </c>
      <c r="T682" s="21">
        <f t="shared" si="383"/>
        <v>5.4821917808219176</v>
      </c>
      <c r="U682">
        <v>0</v>
      </c>
      <c r="V682">
        <f t="shared" si="390"/>
        <v>0</v>
      </c>
      <c r="W682">
        <v>1995</v>
      </c>
      <c r="X682">
        <v>18</v>
      </c>
      <c r="Y682">
        <f t="shared" si="391"/>
        <v>1.2787536009528289</v>
      </c>
      <c r="Z682" s="45">
        <v>2.95</v>
      </c>
      <c r="AA682" s="9">
        <f t="shared" si="382"/>
        <v>450000000</v>
      </c>
      <c r="AB682" s="15">
        <f t="shared" si="384"/>
        <v>0.44999999999999996</v>
      </c>
      <c r="AC682" s="34">
        <f t="shared" si="392"/>
        <v>0.16136800223497488</v>
      </c>
      <c r="AD682">
        <v>1455.046</v>
      </c>
      <c r="AE682">
        <f t="shared" si="393"/>
        <v>3.1628767233771686</v>
      </c>
      <c r="AF682">
        <v>4062.5129999999999</v>
      </c>
      <c r="AG682">
        <f t="shared" si="394"/>
        <v>3.6087947637270492</v>
      </c>
      <c r="AH682">
        <v>0</v>
      </c>
      <c r="AI682" s="9">
        <f t="shared" si="395"/>
        <v>0</v>
      </c>
      <c r="AJ682">
        <v>90.5</v>
      </c>
      <c r="AK682" t="s">
        <v>222</v>
      </c>
      <c r="AL682" s="42">
        <v>39.010023979360902</v>
      </c>
      <c r="AM682" s="24">
        <v>0.86</v>
      </c>
      <c r="AN682" s="34">
        <f t="shared" si="396"/>
        <v>0.26951294421791627</v>
      </c>
      <c r="AO682">
        <v>1992</v>
      </c>
      <c r="AP682">
        <v>21</v>
      </c>
      <c r="AQ682">
        <v>70</v>
      </c>
      <c r="AR682">
        <v>70</v>
      </c>
      <c r="AS682">
        <f t="shared" si="385"/>
        <v>0</v>
      </c>
      <c r="AT682">
        <f t="shared" si="397"/>
        <v>1</v>
      </c>
      <c r="AU682">
        <f t="shared" si="398"/>
        <v>0</v>
      </c>
      <c r="AV682">
        <f t="shared" si="399"/>
        <v>0</v>
      </c>
      <c r="AW682">
        <f t="shared" si="400"/>
        <v>0</v>
      </c>
      <c r="AX682">
        <f t="shared" si="401"/>
        <v>0</v>
      </c>
      <c r="AY682">
        <f t="shared" si="402"/>
        <v>0</v>
      </c>
      <c r="AZ682">
        <f t="shared" si="403"/>
        <v>0</v>
      </c>
      <c r="BA682">
        <f t="shared" si="404"/>
        <v>0</v>
      </c>
      <c r="BB682">
        <f t="shared" si="405"/>
        <v>0</v>
      </c>
      <c r="BC682">
        <f t="shared" si="406"/>
        <v>0</v>
      </c>
      <c r="BD682">
        <f t="shared" si="407"/>
        <v>0</v>
      </c>
      <c r="BE682">
        <f t="shared" si="408"/>
        <v>0</v>
      </c>
      <c r="BF682">
        <f t="shared" si="409"/>
        <v>0</v>
      </c>
      <c r="BG682">
        <f t="shared" si="410"/>
        <v>0</v>
      </c>
      <c r="BH682">
        <f t="shared" si="411"/>
        <v>0</v>
      </c>
      <c r="BI682">
        <f t="shared" si="412"/>
        <v>0</v>
      </c>
    </row>
    <row r="683" spans="1:61" x14ac:dyDescent="0.35">
      <c r="A683" t="s">
        <v>352</v>
      </c>
      <c r="B683" s="1">
        <v>36598</v>
      </c>
      <c r="C683" t="s">
        <v>1282</v>
      </c>
      <c r="D683" t="s">
        <v>45</v>
      </c>
      <c r="E683" t="s">
        <v>1283</v>
      </c>
      <c r="F683" t="s">
        <v>602</v>
      </c>
      <c r="G683" t="s">
        <v>47</v>
      </c>
      <c r="H683" s="139">
        <f t="shared" si="386"/>
        <v>0</v>
      </c>
      <c r="I683" t="s">
        <v>234</v>
      </c>
      <c r="J683" t="s">
        <v>178</v>
      </c>
      <c r="K683" s="2">
        <f t="shared" si="387"/>
        <v>9</v>
      </c>
      <c r="L683">
        <v>40000000</v>
      </c>
      <c r="M683" s="2">
        <f t="shared" si="388"/>
        <v>7.6020599913279625</v>
      </c>
      <c r="N683">
        <f t="shared" si="414"/>
        <v>40000000</v>
      </c>
      <c r="O683">
        <v>0</v>
      </c>
      <c r="P683" s="1">
        <v>38694</v>
      </c>
      <c r="Q683" s="89">
        <f t="shared" si="389"/>
        <v>2005</v>
      </c>
      <c r="R683" t="s">
        <v>338</v>
      </c>
      <c r="S683">
        <v>0</v>
      </c>
      <c r="T683" s="21">
        <f t="shared" si="383"/>
        <v>5.7424657534246579</v>
      </c>
      <c r="U683">
        <v>0</v>
      </c>
      <c r="V683">
        <f t="shared" si="390"/>
        <v>0</v>
      </c>
      <c r="W683">
        <v>1996</v>
      </c>
      <c r="X683">
        <v>4</v>
      </c>
      <c r="Y683">
        <f t="shared" si="391"/>
        <v>0.69897000433601886</v>
      </c>
      <c r="Z683" s="45">
        <v>2.95</v>
      </c>
      <c r="AA683" s="9">
        <f t="shared" si="382"/>
        <v>-40000000</v>
      </c>
      <c r="AB683" s="15">
        <f t="shared" si="384"/>
        <v>-1</v>
      </c>
      <c r="AC683" s="34">
        <f t="shared" si="392"/>
        <v>-1</v>
      </c>
      <c r="AD683">
        <v>1246.953</v>
      </c>
      <c r="AE683">
        <f t="shared" si="393"/>
        <v>3.0958500844125241</v>
      </c>
      <c r="AF683">
        <v>3219.7179999999998</v>
      </c>
      <c r="AG683">
        <f t="shared" si="394"/>
        <v>3.5078178355445662</v>
      </c>
      <c r="AH683">
        <v>0</v>
      </c>
      <c r="AI683" s="9">
        <f t="shared" si="395"/>
        <v>0</v>
      </c>
      <c r="AJ683">
        <v>85</v>
      </c>
      <c r="AK683" s="23" t="s">
        <v>351</v>
      </c>
      <c r="AL683" s="42">
        <v>34.298950279384798</v>
      </c>
      <c r="AM683" s="24">
        <v>-0.09</v>
      </c>
      <c r="AN683" s="34">
        <f t="shared" si="396"/>
        <v>-4.0958607678906384E-2</v>
      </c>
      <c r="AO683">
        <v>1987</v>
      </c>
      <c r="AP683">
        <v>13</v>
      </c>
      <c r="AQ683">
        <v>70</v>
      </c>
      <c r="AR683">
        <v>70</v>
      </c>
      <c r="AS683">
        <f t="shared" si="385"/>
        <v>1</v>
      </c>
      <c r="AT683">
        <f t="shared" si="397"/>
        <v>1</v>
      </c>
      <c r="AU683">
        <f t="shared" si="398"/>
        <v>0</v>
      </c>
      <c r="AV683">
        <f t="shared" si="399"/>
        <v>0</v>
      </c>
      <c r="AW683">
        <f t="shared" si="400"/>
        <v>0</v>
      </c>
      <c r="AX683">
        <f t="shared" si="401"/>
        <v>0</v>
      </c>
      <c r="AY683">
        <f t="shared" si="402"/>
        <v>0</v>
      </c>
      <c r="AZ683">
        <f t="shared" si="403"/>
        <v>0</v>
      </c>
      <c r="BA683">
        <f t="shared" si="404"/>
        <v>0</v>
      </c>
      <c r="BB683">
        <f t="shared" si="405"/>
        <v>0</v>
      </c>
      <c r="BC683">
        <f t="shared" si="406"/>
        <v>0</v>
      </c>
      <c r="BD683">
        <f t="shared" si="407"/>
        <v>0</v>
      </c>
      <c r="BE683">
        <f t="shared" si="408"/>
        <v>0</v>
      </c>
      <c r="BF683">
        <f t="shared" si="409"/>
        <v>0</v>
      </c>
      <c r="BG683">
        <f t="shared" si="410"/>
        <v>0</v>
      </c>
      <c r="BH683">
        <f t="shared" si="411"/>
        <v>0</v>
      </c>
      <c r="BI683">
        <f t="shared" si="412"/>
        <v>0</v>
      </c>
    </row>
    <row r="684" spans="1:61" x14ac:dyDescent="0.35">
      <c r="A684" t="s">
        <v>352</v>
      </c>
      <c r="B684" s="1">
        <v>36991</v>
      </c>
      <c r="C684" t="s">
        <v>1284</v>
      </c>
      <c r="D684" t="s">
        <v>45</v>
      </c>
      <c r="E684" t="s">
        <v>1285</v>
      </c>
      <c r="F684" t="s">
        <v>602</v>
      </c>
      <c r="G684" t="s">
        <v>47</v>
      </c>
      <c r="H684" s="139">
        <f t="shared" si="386"/>
        <v>0</v>
      </c>
      <c r="I684" t="s">
        <v>234</v>
      </c>
      <c r="J684" t="s">
        <v>186</v>
      </c>
      <c r="K684" s="2">
        <f t="shared" si="387"/>
        <v>4</v>
      </c>
      <c r="L684">
        <v>275000000</v>
      </c>
      <c r="M684" s="2">
        <f t="shared" si="388"/>
        <v>8.4393326938302629</v>
      </c>
      <c r="N684">
        <f t="shared" si="414"/>
        <v>275000000</v>
      </c>
      <c r="O684">
        <v>0</v>
      </c>
      <c r="P684" s="1">
        <v>38567</v>
      </c>
      <c r="Q684" s="89">
        <f t="shared" si="389"/>
        <v>2005</v>
      </c>
      <c r="R684" t="s">
        <v>338</v>
      </c>
      <c r="S684">
        <v>0</v>
      </c>
      <c r="T684" s="21">
        <f t="shared" si="383"/>
        <v>4.3178082191780822</v>
      </c>
      <c r="U684">
        <v>0</v>
      </c>
      <c r="V684">
        <f t="shared" si="390"/>
        <v>0</v>
      </c>
      <c r="W684">
        <v>1999</v>
      </c>
      <c r="X684">
        <v>2</v>
      </c>
      <c r="Y684">
        <f t="shared" si="391"/>
        <v>0.47712125471966244</v>
      </c>
      <c r="Z684" s="45">
        <v>2.95</v>
      </c>
      <c r="AA684" s="9">
        <f t="shared" si="382"/>
        <v>-275000000</v>
      </c>
      <c r="AB684" s="15">
        <f t="shared" si="384"/>
        <v>-1</v>
      </c>
      <c r="AC684" s="34">
        <f t="shared" si="392"/>
        <v>-1</v>
      </c>
      <c r="AD684">
        <v>1246.953</v>
      </c>
      <c r="AE684">
        <f t="shared" si="393"/>
        <v>3.0958500844125241</v>
      </c>
      <c r="AF684">
        <v>3219.7179999999998</v>
      </c>
      <c r="AG684">
        <f t="shared" si="394"/>
        <v>3.5078178355445662</v>
      </c>
      <c r="AH684">
        <v>0</v>
      </c>
      <c r="AI684" s="9">
        <f t="shared" si="395"/>
        <v>0</v>
      </c>
      <c r="AJ684">
        <v>85</v>
      </c>
      <c r="AK684" s="23" t="s">
        <v>305</v>
      </c>
      <c r="AL684" s="42">
        <v>35.608384832026097</v>
      </c>
      <c r="AM684" s="24">
        <v>7.0000000000000007E-2</v>
      </c>
      <c r="AN684" s="34">
        <f t="shared" si="396"/>
        <v>2.9383777685209667E-2</v>
      </c>
      <c r="AO684">
        <v>1987</v>
      </c>
      <c r="AP684">
        <v>14</v>
      </c>
      <c r="AQ684">
        <v>70</v>
      </c>
      <c r="AR684">
        <v>70</v>
      </c>
      <c r="AS684">
        <f t="shared" si="385"/>
        <v>1</v>
      </c>
      <c r="AT684">
        <f t="shared" si="397"/>
        <v>1</v>
      </c>
      <c r="AU684">
        <f t="shared" si="398"/>
        <v>0</v>
      </c>
      <c r="AV684">
        <f t="shared" si="399"/>
        <v>0</v>
      </c>
      <c r="AW684">
        <f t="shared" si="400"/>
        <v>0</v>
      </c>
      <c r="AX684">
        <f t="shared" si="401"/>
        <v>0</v>
      </c>
      <c r="AY684">
        <f t="shared" si="402"/>
        <v>0</v>
      </c>
      <c r="AZ684">
        <f t="shared" si="403"/>
        <v>0</v>
      </c>
      <c r="BA684">
        <f t="shared" si="404"/>
        <v>0</v>
      </c>
      <c r="BB684">
        <f t="shared" si="405"/>
        <v>0</v>
      </c>
      <c r="BC684">
        <f t="shared" si="406"/>
        <v>0</v>
      </c>
      <c r="BD684">
        <f t="shared" si="407"/>
        <v>0</v>
      </c>
      <c r="BE684">
        <f t="shared" si="408"/>
        <v>0</v>
      </c>
      <c r="BF684">
        <f t="shared" si="409"/>
        <v>0</v>
      </c>
      <c r="BG684">
        <f t="shared" si="410"/>
        <v>0</v>
      </c>
      <c r="BH684">
        <f t="shared" si="411"/>
        <v>0</v>
      </c>
      <c r="BI684">
        <f t="shared" si="412"/>
        <v>0</v>
      </c>
    </row>
    <row r="685" spans="1:61" x14ac:dyDescent="0.35">
      <c r="A685" t="s">
        <v>664</v>
      </c>
      <c r="B685" s="1">
        <v>37328</v>
      </c>
      <c r="C685" t="s">
        <v>1286</v>
      </c>
      <c r="D685" t="s">
        <v>45</v>
      </c>
      <c r="E685" t="s">
        <v>610</v>
      </c>
      <c r="F685" t="s">
        <v>602</v>
      </c>
      <c r="G685" t="s">
        <v>47</v>
      </c>
      <c r="H685" s="139">
        <f t="shared" si="386"/>
        <v>0</v>
      </c>
      <c r="I685" t="s">
        <v>234</v>
      </c>
      <c r="J685" t="s">
        <v>235</v>
      </c>
      <c r="K685" s="2">
        <f t="shared" si="387"/>
        <v>1</v>
      </c>
      <c r="L685">
        <v>41600000</v>
      </c>
      <c r="M685" s="2">
        <f t="shared" si="388"/>
        <v>7.6190933306267423</v>
      </c>
      <c r="N685">
        <f t="shared" si="414"/>
        <v>41600000</v>
      </c>
      <c r="O685">
        <v>0</v>
      </c>
      <c r="P685" s="1">
        <v>38534</v>
      </c>
      <c r="Q685" s="89">
        <f t="shared" si="389"/>
        <v>2005</v>
      </c>
      <c r="R685" t="s">
        <v>107</v>
      </c>
      <c r="S685">
        <v>223350600</v>
      </c>
      <c r="T685" s="21">
        <f t="shared" si="383"/>
        <v>3.3041095890410959</v>
      </c>
      <c r="U685">
        <v>0</v>
      </c>
      <c r="V685">
        <f t="shared" si="390"/>
        <v>0</v>
      </c>
      <c r="W685">
        <v>1999</v>
      </c>
      <c r="X685">
        <v>3</v>
      </c>
      <c r="Y685">
        <f t="shared" si="391"/>
        <v>0.6020599913279624</v>
      </c>
      <c r="Z685" s="45">
        <v>2.95</v>
      </c>
      <c r="AA685" s="9">
        <f t="shared" si="382"/>
        <v>181750600</v>
      </c>
      <c r="AB685" s="15">
        <f t="shared" si="384"/>
        <v>4.369004807692308</v>
      </c>
      <c r="AC685" s="34">
        <f t="shared" si="392"/>
        <v>0.72989379285377709</v>
      </c>
      <c r="AD685">
        <v>1246.953</v>
      </c>
      <c r="AE685">
        <f t="shared" si="393"/>
        <v>3.0958500844125241</v>
      </c>
      <c r="AF685">
        <v>3219.7179999999998</v>
      </c>
      <c r="AG685">
        <f t="shared" si="394"/>
        <v>3.5078178355445662</v>
      </c>
      <c r="AH685">
        <v>0</v>
      </c>
      <c r="AI685" s="9">
        <f t="shared" si="395"/>
        <v>0</v>
      </c>
      <c r="AJ685">
        <v>85</v>
      </c>
      <c r="AK685" s="23" t="s">
        <v>57</v>
      </c>
      <c r="AL685" s="42">
        <v>36.710134890601303</v>
      </c>
      <c r="AM685" s="24">
        <v>0.03</v>
      </c>
      <c r="AN685" s="34">
        <f t="shared" si="396"/>
        <v>1.2837224705172217E-2</v>
      </c>
      <c r="AO685">
        <v>1987</v>
      </c>
      <c r="AP685">
        <v>15</v>
      </c>
      <c r="AQ685">
        <v>70</v>
      </c>
      <c r="AR685">
        <v>70</v>
      </c>
      <c r="AS685">
        <f t="shared" si="385"/>
        <v>0</v>
      </c>
      <c r="AT685">
        <f t="shared" si="397"/>
        <v>1</v>
      </c>
      <c r="AU685">
        <f t="shared" si="398"/>
        <v>0</v>
      </c>
      <c r="AV685">
        <f t="shared" si="399"/>
        <v>0</v>
      </c>
      <c r="AW685">
        <f t="shared" si="400"/>
        <v>0</v>
      </c>
      <c r="AX685">
        <f t="shared" si="401"/>
        <v>0</v>
      </c>
      <c r="AY685">
        <f t="shared" si="402"/>
        <v>0</v>
      </c>
      <c r="AZ685">
        <f t="shared" si="403"/>
        <v>0</v>
      </c>
      <c r="BA685">
        <f t="shared" si="404"/>
        <v>0</v>
      </c>
      <c r="BB685">
        <f t="shared" si="405"/>
        <v>0</v>
      </c>
      <c r="BC685">
        <f t="shared" si="406"/>
        <v>0</v>
      </c>
      <c r="BD685">
        <f t="shared" si="407"/>
        <v>0</v>
      </c>
      <c r="BE685">
        <f t="shared" si="408"/>
        <v>0</v>
      </c>
      <c r="BF685">
        <f t="shared" si="409"/>
        <v>0</v>
      </c>
      <c r="BG685">
        <f t="shared" si="410"/>
        <v>0</v>
      </c>
      <c r="BH685">
        <f t="shared" si="411"/>
        <v>0</v>
      </c>
      <c r="BI685">
        <f t="shared" si="412"/>
        <v>0</v>
      </c>
    </row>
    <row r="686" spans="1:61" x14ac:dyDescent="0.35">
      <c r="A686" t="s">
        <v>51</v>
      </c>
      <c r="B686" s="1">
        <v>38075</v>
      </c>
      <c r="C686" t="s">
        <v>1287</v>
      </c>
      <c r="D686" t="s">
        <v>45</v>
      </c>
      <c r="E686" t="s">
        <v>610</v>
      </c>
      <c r="F686" t="s">
        <v>602</v>
      </c>
      <c r="G686" t="s">
        <v>47</v>
      </c>
      <c r="H686" s="139">
        <f t="shared" si="386"/>
        <v>0</v>
      </c>
      <c r="I686" t="s">
        <v>234</v>
      </c>
      <c r="J686" t="s">
        <v>248</v>
      </c>
      <c r="K686" s="2">
        <f t="shared" si="387"/>
        <v>5</v>
      </c>
      <c r="L686">
        <v>125500000</v>
      </c>
      <c r="M686" s="2">
        <f t="shared" si="388"/>
        <v>8.0986437258170572</v>
      </c>
      <c r="N686">
        <f t="shared" si="414"/>
        <v>125500000</v>
      </c>
      <c r="O686">
        <v>0</v>
      </c>
      <c r="P686" s="1">
        <v>39647</v>
      </c>
      <c r="Q686" s="89">
        <f t="shared" si="389"/>
        <v>2008</v>
      </c>
      <c r="R686" t="s">
        <v>107</v>
      </c>
      <c r="S686">
        <v>275000000</v>
      </c>
      <c r="T686" s="21">
        <f t="shared" si="383"/>
        <v>4.3068493150684928</v>
      </c>
      <c r="U686">
        <v>0</v>
      </c>
      <c r="V686">
        <f t="shared" si="390"/>
        <v>0</v>
      </c>
      <c r="W686">
        <v>1960</v>
      </c>
      <c r="X686">
        <v>44</v>
      </c>
      <c r="Y686">
        <f t="shared" si="391"/>
        <v>1.6532125137753437</v>
      </c>
      <c r="Z686" s="45">
        <v>2.95</v>
      </c>
      <c r="AA686" s="9">
        <f t="shared" si="382"/>
        <v>149500000</v>
      </c>
      <c r="AB686" s="15">
        <f t="shared" si="384"/>
        <v>1.191235059760956</v>
      </c>
      <c r="AC686" s="34">
        <f t="shared" si="392"/>
        <v>0.3406889680132057</v>
      </c>
      <c r="AD686">
        <v>1246.953</v>
      </c>
      <c r="AE686">
        <f t="shared" si="393"/>
        <v>3.0958500844125241</v>
      </c>
      <c r="AF686">
        <v>3219.7179999999998</v>
      </c>
      <c r="AG686">
        <f t="shared" si="394"/>
        <v>3.5078178355445662</v>
      </c>
      <c r="AH686">
        <v>0</v>
      </c>
      <c r="AI686" s="9">
        <f t="shared" si="395"/>
        <v>0</v>
      </c>
      <c r="AJ686">
        <v>85</v>
      </c>
      <c r="AK686" s="23" t="s">
        <v>215</v>
      </c>
      <c r="AL686" s="42">
        <v>36.876470987978301</v>
      </c>
      <c r="AM686" s="24">
        <v>0.12</v>
      </c>
      <c r="AN686" s="34">
        <f t="shared" si="396"/>
        <v>4.9218022670181653E-2</v>
      </c>
      <c r="AO686">
        <v>1987</v>
      </c>
      <c r="AP686">
        <v>17</v>
      </c>
      <c r="AQ686">
        <v>70</v>
      </c>
      <c r="AR686">
        <v>70</v>
      </c>
      <c r="AS686">
        <f t="shared" si="385"/>
        <v>0</v>
      </c>
      <c r="AT686">
        <f t="shared" si="397"/>
        <v>1</v>
      </c>
      <c r="AU686">
        <f t="shared" si="398"/>
        <v>0</v>
      </c>
      <c r="AV686">
        <f t="shared" si="399"/>
        <v>0</v>
      </c>
      <c r="AW686">
        <f t="shared" si="400"/>
        <v>0</v>
      </c>
      <c r="AX686">
        <f t="shared" si="401"/>
        <v>0</v>
      </c>
      <c r="AY686">
        <f t="shared" si="402"/>
        <v>0</v>
      </c>
      <c r="AZ686">
        <f t="shared" si="403"/>
        <v>0</v>
      </c>
      <c r="BA686">
        <f t="shared" si="404"/>
        <v>0</v>
      </c>
      <c r="BB686">
        <f t="shared" si="405"/>
        <v>0</v>
      </c>
      <c r="BC686">
        <f t="shared" si="406"/>
        <v>0</v>
      </c>
      <c r="BD686">
        <f t="shared" si="407"/>
        <v>0</v>
      </c>
      <c r="BE686">
        <f t="shared" si="408"/>
        <v>0</v>
      </c>
      <c r="BF686">
        <f t="shared" si="409"/>
        <v>0</v>
      </c>
      <c r="BG686">
        <f t="shared" si="410"/>
        <v>0</v>
      </c>
      <c r="BH686">
        <f t="shared" si="411"/>
        <v>0</v>
      </c>
      <c r="BI686">
        <f t="shared" si="412"/>
        <v>0</v>
      </c>
    </row>
    <row r="687" spans="1:61" x14ac:dyDescent="0.35">
      <c r="A687" t="s">
        <v>352</v>
      </c>
      <c r="B687" s="1">
        <v>38085</v>
      </c>
      <c r="C687" t="s">
        <v>1288</v>
      </c>
      <c r="D687" t="s">
        <v>45</v>
      </c>
      <c r="E687" t="s">
        <v>610</v>
      </c>
      <c r="F687" t="s">
        <v>602</v>
      </c>
      <c r="G687" t="s">
        <v>47</v>
      </c>
      <c r="H687" s="139">
        <f t="shared" si="386"/>
        <v>0</v>
      </c>
      <c r="I687" t="s">
        <v>234</v>
      </c>
      <c r="J687" t="s">
        <v>178</v>
      </c>
      <c r="K687" s="2">
        <f t="shared" si="387"/>
        <v>9</v>
      </c>
      <c r="L687">
        <v>8000000</v>
      </c>
      <c r="M687" s="2">
        <f t="shared" si="388"/>
        <v>6.9030899869919438</v>
      </c>
      <c r="N687">
        <f t="shared" si="414"/>
        <v>8000000</v>
      </c>
      <c r="O687">
        <v>0</v>
      </c>
      <c r="P687" s="1">
        <v>39646</v>
      </c>
      <c r="Q687" s="89">
        <f t="shared" si="389"/>
        <v>2008</v>
      </c>
      <c r="R687" t="s">
        <v>338</v>
      </c>
      <c r="S687">
        <v>0</v>
      </c>
      <c r="T687" s="21">
        <f t="shared" si="383"/>
        <v>4.2767123287671236</v>
      </c>
      <c r="U687">
        <v>0</v>
      </c>
      <c r="V687">
        <f t="shared" si="390"/>
        <v>0</v>
      </c>
      <c r="W687">
        <v>2000</v>
      </c>
      <c r="X687">
        <v>4</v>
      </c>
      <c r="Y687">
        <f t="shared" si="391"/>
        <v>0.69897000433601886</v>
      </c>
      <c r="Z687" s="45">
        <v>2.95</v>
      </c>
      <c r="AA687" s="9">
        <f t="shared" si="382"/>
        <v>-8000000</v>
      </c>
      <c r="AB687" s="15">
        <f t="shared" si="384"/>
        <v>-1</v>
      </c>
      <c r="AC687" s="34">
        <f t="shared" si="392"/>
        <v>-1</v>
      </c>
      <c r="AD687">
        <v>1246.953</v>
      </c>
      <c r="AE687">
        <f t="shared" si="393"/>
        <v>3.0958500844125241</v>
      </c>
      <c r="AF687">
        <v>3219.7179999999998</v>
      </c>
      <c r="AG687">
        <f t="shared" si="394"/>
        <v>3.5078178355445662</v>
      </c>
      <c r="AH687">
        <v>0</v>
      </c>
      <c r="AI687" s="9">
        <f t="shared" si="395"/>
        <v>0</v>
      </c>
      <c r="AJ687">
        <v>85</v>
      </c>
      <c r="AK687" s="23" t="s">
        <v>215</v>
      </c>
      <c r="AL687" s="42">
        <v>36.876470987978301</v>
      </c>
      <c r="AM687" s="24">
        <v>0.11</v>
      </c>
      <c r="AN687" s="34">
        <f t="shared" si="396"/>
        <v>4.5322978786657475E-2</v>
      </c>
      <c r="AO687">
        <v>1987</v>
      </c>
      <c r="AP687">
        <v>17</v>
      </c>
      <c r="AQ687">
        <v>70</v>
      </c>
      <c r="AR687">
        <v>70</v>
      </c>
      <c r="AS687">
        <f t="shared" si="385"/>
        <v>1</v>
      </c>
      <c r="AT687">
        <f t="shared" si="397"/>
        <v>1</v>
      </c>
      <c r="AU687">
        <f t="shared" si="398"/>
        <v>0</v>
      </c>
      <c r="AV687">
        <f t="shared" si="399"/>
        <v>0</v>
      </c>
      <c r="AW687">
        <f t="shared" si="400"/>
        <v>0</v>
      </c>
      <c r="AX687">
        <f t="shared" si="401"/>
        <v>0</v>
      </c>
      <c r="AY687">
        <f t="shared" si="402"/>
        <v>0</v>
      </c>
      <c r="AZ687">
        <f t="shared" si="403"/>
        <v>0</v>
      </c>
      <c r="BA687">
        <f t="shared" si="404"/>
        <v>0</v>
      </c>
      <c r="BB687">
        <f t="shared" si="405"/>
        <v>0</v>
      </c>
      <c r="BC687">
        <f t="shared" si="406"/>
        <v>0</v>
      </c>
      <c r="BD687">
        <f t="shared" si="407"/>
        <v>0</v>
      </c>
      <c r="BE687">
        <f t="shared" si="408"/>
        <v>0</v>
      </c>
      <c r="BF687">
        <f t="shared" si="409"/>
        <v>0</v>
      </c>
      <c r="BG687">
        <f t="shared" si="410"/>
        <v>0</v>
      </c>
      <c r="BH687">
        <f t="shared" si="411"/>
        <v>0</v>
      </c>
      <c r="BI687">
        <f t="shared" si="412"/>
        <v>0</v>
      </c>
    </row>
    <row r="688" spans="1:61" x14ac:dyDescent="0.35">
      <c r="A688" t="s">
        <v>51</v>
      </c>
      <c r="B688" s="1">
        <v>38411</v>
      </c>
      <c r="C688" t="s">
        <v>1289</v>
      </c>
      <c r="D688" t="s">
        <v>45</v>
      </c>
      <c r="E688" t="s">
        <v>610</v>
      </c>
      <c r="F688" t="s">
        <v>602</v>
      </c>
      <c r="G688" t="s">
        <v>47</v>
      </c>
      <c r="H688" s="139">
        <f t="shared" si="386"/>
        <v>0</v>
      </c>
      <c r="I688" t="s">
        <v>234</v>
      </c>
      <c r="J688" t="s">
        <v>248</v>
      </c>
      <c r="K688" s="2">
        <f t="shared" si="387"/>
        <v>5</v>
      </c>
      <c r="L688">
        <v>40000000</v>
      </c>
      <c r="M688" s="2">
        <f t="shared" si="388"/>
        <v>7.6020599913279625</v>
      </c>
      <c r="N688">
        <f t="shared" si="414"/>
        <v>40000000</v>
      </c>
      <c r="O688">
        <v>0</v>
      </c>
      <c r="P688" s="1">
        <v>40388</v>
      </c>
      <c r="Q688" s="89">
        <f t="shared" si="389"/>
        <v>2010</v>
      </c>
      <c r="R688" t="s">
        <v>107</v>
      </c>
      <c r="S688">
        <v>92000000</v>
      </c>
      <c r="T688" s="21">
        <f t="shared" si="383"/>
        <v>5.4164383561643836</v>
      </c>
      <c r="U688">
        <v>0</v>
      </c>
      <c r="V688">
        <f t="shared" si="390"/>
        <v>0</v>
      </c>
      <c r="W688">
        <v>1972</v>
      </c>
      <c r="X688">
        <v>33</v>
      </c>
      <c r="Y688">
        <f t="shared" si="391"/>
        <v>1.5314789170422551</v>
      </c>
      <c r="Z688" s="45">
        <v>2.95</v>
      </c>
      <c r="AA688" s="9">
        <f t="shared" si="382"/>
        <v>52000000</v>
      </c>
      <c r="AB688" s="15">
        <f t="shared" si="384"/>
        <v>1.2999999999999998</v>
      </c>
      <c r="AC688" s="34">
        <f t="shared" si="392"/>
        <v>0.36172783601759284</v>
      </c>
      <c r="AD688">
        <v>1246.953</v>
      </c>
      <c r="AE688">
        <f t="shared" si="393"/>
        <v>3.0958500844125241</v>
      </c>
      <c r="AF688">
        <v>3219.7179999999998</v>
      </c>
      <c r="AG688">
        <f t="shared" si="394"/>
        <v>3.5078178355445662</v>
      </c>
      <c r="AH688">
        <v>0</v>
      </c>
      <c r="AI688" s="9">
        <f t="shared" si="395"/>
        <v>0</v>
      </c>
      <c r="AJ688">
        <v>85</v>
      </c>
      <c r="AK688" s="23" t="s">
        <v>100</v>
      </c>
      <c r="AL688" s="42">
        <v>36.959146749272797</v>
      </c>
      <c r="AM688" s="24">
        <v>-0.08</v>
      </c>
      <c r="AN688" s="34">
        <f t="shared" si="396"/>
        <v>-3.6212172654444715E-2</v>
      </c>
      <c r="AO688">
        <v>1987</v>
      </c>
      <c r="AP688">
        <v>18</v>
      </c>
      <c r="AQ688">
        <v>70</v>
      </c>
      <c r="AR688">
        <v>70</v>
      </c>
      <c r="AS688">
        <f t="shared" si="385"/>
        <v>0</v>
      </c>
      <c r="AT688">
        <f>IF($D688="US",1,0)</f>
        <v>1</v>
      </c>
      <c r="AU688">
        <f t="shared" si="398"/>
        <v>0</v>
      </c>
      <c r="AV688">
        <f t="shared" si="399"/>
        <v>0</v>
      </c>
      <c r="AW688">
        <f t="shared" si="400"/>
        <v>0</v>
      </c>
      <c r="AX688">
        <f t="shared" si="401"/>
        <v>0</v>
      </c>
      <c r="AY688">
        <f t="shared" si="402"/>
        <v>0</v>
      </c>
      <c r="AZ688">
        <f t="shared" si="403"/>
        <v>0</v>
      </c>
      <c r="BA688">
        <f t="shared" si="404"/>
        <v>0</v>
      </c>
      <c r="BB688">
        <f t="shared" si="405"/>
        <v>0</v>
      </c>
      <c r="BC688">
        <f t="shared" si="406"/>
        <v>0</v>
      </c>
      <c r="BD688">
        <f t="shared" si="407"/>
        <v>0</v>
      </c>
      <c r="BE688">
        <f t="shared" si="408"/>
        <v>0</v>
      </c>
      <c r="BF688">
        <f t="shared" si="409"/>
        <v>0</v>
      </c>
      <c r="BG688">
        <f t="shared" si="410"/>
        <v>0</v>
      </c>
      <c r="BH688">
        <f t="shared" si="411"/>
        <v>0</v>
      </c>
      <c r="BI688">
        <f t="shared" si="412"/>
        <v>0</v>
      </c>
    </row>
    <row r="689" spans="1:61" x14ac:dyDescent="0.35">
      <c r="A689" t="s">
        <v>1029</v>
      </c>
      <c r="B689" s="1">
        <v>38383</v>
      </c>
      <c r="C689" t="s">
        <v>1290</v>
      </c>
      <c r="D689" t="s">
        <v>45</v>
      </c>
      <c r="E689" t="s">
        <v>1291</v>
      </c>
      <c r="F689" t="s">
        <v>602</v>
      </c>
      <c r="G689" t="s">
        <v>47</v>
      </c>
      <c r="H689" s="139">
        <f t="shared" si="386"/>
        <v>0</v>
      </c>
      <c r="I689" t="s">
        <v>234</v>
      </c>
      <c r="J689" t="s">
        <v>183</v>
      </c>
      <c r="K689" s="2">
        <f t="shared" si="387"/>
        <v>3</v>
      </c>
      <c r="L689">
        <v>75000000</v>
      </c>
      <c r="M689" s="2">
        <f t="shared" si="388"/>
        <v>7.8750612633917001</v>
      </c>
      <c r="N689">
        <f t="shared" si="414"/>
        <v>75000000</v>
      </c>
      <c r="O689">
        <v>0</v>
      </c>
      <c r="P689" s="1">
        <v>39651</v>
      </c>
      <c r="Q689" s="89">
        <f t="shared" si="389"/>
        <v>2008</v>
      </c>
      <c r="R689" t="s">
        <v>1102</v>
      </c>
      <c r="S689">
        <v>0</v>
      </c>
      <c r="T689" s="21">
        <f t="shared" si="383"/>
        <v>3.473972602739726</v>
      </c>
      <c r="U689">
        <v>0</v>
      </c>
      <c r="V689">
        <f t="shared" si="390"/>
        <v>0</v>
      </c>
      <c r="W689">
        <v>2001</v>
      </c>
      <c r="X689">
        <v>4</v>
      </c>
      <c r="Y689">
        <f t="shared" si="391"/>
        <v>0.69897000433601886</v>
      </c>
      <c r="Z689" s="45">
        <v>2.95</v>
      </c>
      <c r="AA689" s="9">
        <f t="shared" si="382"/>
        <v>-75000000</v>
      </c>
      <c r="AB689" s="15">
        <f t="shared" si="384"/>
        <v>-1</v>
      </c>
      <c r="AC689" s="34">
        <f t="shared" si="392"/>
        <v>-1</v>
      </c>
      <c r="AD689">
        <v>1246.953</v>
      </c>
      <c r="AE689">
        <f t="shared" si="393"/>
        <v>3.0958500844125241</v>
      </c>
      <c r="AF689">
        <v>3219.7179999999998</v>
      </c>
      <c r="AG689">
        <f t="shared" si="394"/>
        <v>3.5078178355445662</v>
      </c>
      <c r="AH689">
        <v>0</v>
      </c>
      <c r="AI689" s="9">
        <f t="shared" si="395"/>
        <v>0</v>
      </c>
      <c r="AJ689">
        <v>85</v>
      </c>
      <c r="AK689" t="s">
        <v>100</v>
      </c>
      <c r="AL689" s="42">
        <v>36.959146749272797</v>
      </c>
      <c r="AM689" s="24">
        <v>0.08</v>
      </c>
      <c r="AN689" s="34">
        <f t="shared" si="396"/>
        <v>3.342375548694973E-2</v>
      </c>
      <c r="AO689">
        <v>1987</v>
      </c>
      <c r="AP689">
        <v>18</v>
      </c>
      <c r="AQ689">
        <v>70</v>
      </c>
      <c r="AR689">
        <v>70</v>
      </c>
      <c r="AS689">
        <f t="shared" si="385"/>
        <v>1</v>
      </c>
      <c r="AT689">
        <f t="shared" si="397"/>
        <v>1</v>
      </c>
      <c r="AU689">
        <f t="shared" si="398"/>
        <v>0</v>
      </c>
      <c r="AV689">
        <f t="shared" si="399"/>
        <v>0</v>
      </c>
      <c r="AW689">
        <f t="shared" si="400"/>
        <v>0</v>
      </c>
      <c r="AX689">
        <f t="shared" si="401"/>
        <v>0</v>
      </c>
      <c r="AY689">
        <f t="shared" si="402"/>
        <v>0</v>
      </c>
      <c r="AZ689">
        <f t="shared" si="403"/>
        <v>0</v>
      </c>
      <c r="BA689">
        <f t="shared" si="404"/>
        <v>0</v>
      </c>
      <c r="BB689">
        <f t="shared" si="405"/>
        <v>0</v>
      </c>
      <c r="BC689">
        <f t="shared" si="406"/>
        <v>0</v>
      </c>
      <c r="BD689">
        <f t="shared" si="407"/>
        <v>0</v>
      </c>
      <c r="BE689">
        <f t="shared" si="408"/>
        <v>0</v>
      </c>
      <c r="BF689">
        <f t="shared" si="409"/>
        <v>0</v>
      </c>
      <c r="BG689">
        <f t="shared" si="410"/>
        <v>0</v>
      </c>
      <c r="BH689">
        <f t="shared" si="411"/>
        <v>0</v>
      </c>
      <c r="BI689">
        <f t="shared" si="412"/>
        <v>0</v>
      </c>
    </row>
    <row r="690" spans="1:61" x14ac:dyDescent="0.35">
      <c r="A690" t="s">
        <v>1292</v>
      </c>
      <c r="B690" s="1">
        <v>37789</v>
      </c>
      <c r="C690" t="s">
        <v>1293</v>
      </c>
      <c r="D690" t="s">
        <v>45</v>
      </c>
      <c r="E690" t="s">
        <v>635</v>
      </c>
      <c r="F690" t="s">
        <v>602</v>
      </c>
      <c r="G690" t="s">
        <v>47</v>
      </c>
      <c r="H690" s="139">
        <f t="shared" si="386"/>
        <v>0</v>
      </c>
      <c r="I690" t="s">
        <v>234</v>
      </c>
      <c r="J690" t="s">
        <v>183</v>
      </c>
      <c r="K690" s="2">
        <f t="shared" si="387"/>
        <v>3</v>
      </c>
      <c r="L690">
        <v>1082000000</v>
      </c>
      <c r="M690" s="2">
        <f t="shared" si="388"/>
        <v>9.0342272607705514</v>
      </c>
      <c r="N690">
        <f t="shared" si="414"/>
        <v>1082000000</v>
      </c>
      <c r="O690">
        <v>0</v>
      </c>
      <c r="P690" s="1">
        <v>40084</v>
      </c>
      <c r="Q690" s="89">
        <f t="shared" si="389"/>
        <v>2009</v>
      </c>
      <c r="R690" t="s">
        <v>107</v>
      </c>
      <c r="S690">
        <v>1285731720</v>
      </c>
      <c r="T690" s="21">
        <f t="shared" si="383"/>
        <v>6.2876712328767121</v>
      </c>
      <c r="U690">
        <v>0</v>
      </c>
      <c r="V690">
        <f t="shared" si="390"/>
        <v>0</v>
      </c>
      <c r="W690">
        <v>2000</v>
      </c>
      <c r="X690">
        <v>3</v>
      </c>
      <c r="Y690">
        <f t="shared" si="391"/>
        <v>0.6020599913279624</v>
      </c>
      <c r="Z690" s="45">
        <v>2.95</v>
      </c>
      <c r="AA690" s="9">
        <f t="shared" si="382"/>
        <v>203731720</v>
      </c>
      <c r="AB690" s="15">
        <f t="shared" si="384"/>
        <v>0.18829179297597043</v>
      </c>
      <c r="AC690" s="34">
        <f t="shared" si="392"/>
        <v>7.4923097647764739E-2</v>
      </c>
      <c r="AD690">
        <v>1246.953</v>
      </c>
      <c r="AE690">
        <f t="shared" si="393"/>
        <v>3.0958500844125241</v>
      </c>
      <c r="AF690">
        <v>3219.7179999999998</v>
      </c>
      <c r="AG690">
        <f t="shared" si="394"/>
        <v>3.5078178355445662</v>
      </c>
      <c r="AH690">
        <v>0</v>
      </c>
      <c r="AI690" s="9">
        <f t="shared" si="395"/>
        <v>0</v>
      </c>
      <c r="AJ690">
        <v>85</v>
      </c>
      <c r="AK690" t="s">
        <v>301</v>
      </c>
      <c r="AL690" s="42">
        <v>37.256914365427299</v>
      </c>
      <c r="AM690" s="24">
        <v>0.05</v>
      </c>
      <c r="AN690" s="34">
        <f t="shared" si="396"/>
        <v>2.1189299069938092E-2</v>
      </c>
      <c r="AO690">
        <v>2003</v>
      </c>
      <c r="AP690">
        <v>0</v>
      </c>
      <c r="AQ690">
        <v>70</v>
      </c>
      <c r="AR690">
        <v>70</v>
      </c>
      <c r="AS690">
        <f t="shared" si="385"/>
        <v>0</v>
      </c>
      <c r="AT690">
        <f t="shared" si="397"/>
        <v>1</v>
      </c>
      <c r="AU690">
        <f t="shared" si="398"/>
        <v>0</v>
      </c>
      <c r="AV690">
        <f t="shared" si="399"/>
        <v>0</v>
      </c>
      <c r="AW690">
        <f t="shared" si="400"/>
        <v>0</v>
      </c>
      <c r="AX690">
        <f t="shared" si="401"/>
        <v>0</v>
      </c>
      <c r="AY690">
        <f t="shared" si="402"/>
        <v>0</v>
      </c>
      <c r="AZ690">
        <f t="shared" si="403"/>
        <v>0</v>
      </c>
      <c r="BA690">
        <f t="shared" si="404"/>
        <v>0</v>
      </c>
      <c r="BB690">
        <f t="shared" si="405"/>
        <v>0</v>
      </c>
      <c r="BC690">
        <f t="shared" si="406"/>
        <v>0</v>
      </c>
      <c r="BD690">
        <f t="shared" si="407"/>
        <v>0</v>
      </c>
      <c r="BE690">
        <f t="shared" si="408"/>
        <v>0</v>
      </c>
      <c r="BF690">
        <f t="shared" si="409"/>
        <v>0</v>
      </c>
      <c r="BG690">
        <f t="shared" si="410"/>
        <v>0</v>
      </c>
      <c r="BH690">
        <f t="shared" si="411"/>
        <v>0</v>
      </c>
      <c r="BI690">
        <f t="shared" si="412"/>
        <v>0</v>
      </c>
    </row>
    <row r="691" spans="1:61" x14ac:dyDescent="0.35">
      <c r="A691" t="s">
        <v>51</v>
      </c>
      <c r="B691" s="1">
        <v>38049</v>
      </c>
      <c r="C691" t="s">
        <v>1294</v>
      </c>
      <c r="D691" t="s">
        <v>45</v>
      </c>
      <c r="E691" t="s">
        <v>635</v>
      </c>
      <c r="F691" t="s">
        <v>602</v>
      </c>
      <c r="G691" t="s">
        <v>47</v>
      </c>
      <c r="H691" s="139">
        <f t="shared" si="386"/>
        <v>0</v>
      </c>
      <c r="I691" t="s">
        <v>234</v>
      </c>
      <c r="J691" t="s">
        <v>183</v>
      </c>
      <c r="K691" s="2">
        <f t="shared" si="387"/>
        <v>3</v>
      </c>
      <c r="L691">
        <v>271100000</v>
      </c>
      <c r="M691" s="2">
        <f t="shared" si="388"/>
        <v>8.4331295175804861</v>
      </c>
      <c r="N691">
        <f t="shared" si="414"/>
        <v>271100000</v>
      </c>
      <c r="O691">
        <v>0</v>
      </c>
      <c r="P691" s="1">
        <v>38454</v>
      </c>
      <c r="Q691" s="89">
        <f t="shared" si="389"/>
        <v>2005</v>
      </c>
      <c r="R691" t="s">
        <v>107</v>
      </c>
      <c r="S691">
        <v>363000000</v>
      </c>
      <c r="T691" s="21">
        <f t="shared" si="383"/>
        <v>1.1095890410958904</v>
      </c>
      <c r="U691">
        <v>0</v>
      </c>
      <c r="V691">
        <f t="shared" si="390"/>
        <v>0</v>
      </c>
      <c r="W691">
        <v>1983</v>
      </c>
      <c r="X691">
        <v>21</v>
      </c>
      <c r="Y691">
        <f t="shared" si="391"/>
        <v>1.3424226808222062</v>
      </c>
      <c r="Z691" s="45">
        <v>2.95</v>
      </c>
      <c r="AA691" s="9">
        <f t="shared" si="382"/>
        <v>91900000</v>
      </c>
      <c r="AB691" s="15">
        <f t="shared" si="384"/>
        <v>0.33898930284028039</v>
      </c>
      <c r="AC691" s="34">
        <f t="shared" si="392"/>
        <v>0.12677710745562698</v>
      </c>
      <c r="AD691">
        <v>1246.953</v>
      </c>
      <c r="AE691">
        <f t="shared" si="393"/>
        <v>3.0958500844125241</v>
      </c>
      <c r="AF691">
        <v>3219.7179999999998</v>
      </c>
      <c r="AG691">
        <f t="shared" si="394"/>
        <v>3.5078178355445662</v>
      </c>
      <c r="AH691">
        <v>0</v>
      </c>
      <c r="AI691" s="9">
        <f t="shared" si="395"/>
        <v>0</v>
      </c>
      <c r="AJ691">
        <v>85</v>
      </c>
      <c r="AK691" t="s">
        <v>215</v>
      </c>
      <c r="AL691" s="42">
        <v>36.876470987978301</v>
      </c>
      <c r="AM691" s="24">
        <v>0.03</v>
      </c>
      <c r="AN691" s="34">
        <f t="shared" si="396"/>
        <v>1.2837224705172217E-2</v>
      </c>
      <c r="AO691">
        <v>2003</v>
      </c>
      <c r="AP691">
        <v>1</v>
      </c>
      <c r="AQ691">
        <v>70</v>
      </c>
      <c r="AR691">
        <v>70</v>
      </c>
      <c r="AS691">
        <f t="shared" si="385"/>
        <v>0</v>
      </c>
      <c r="AT691">
        <f t="shared" si="397"/>
        <v>1</v>
      </c>
      <c r="AU691">
        <f t="shared" si="398"/>
        <v>0</v>
      </c>
      <c r="AV691">
        <f t="shared" si="399"/>
        <v>0</v>
      </c>
      <c r="AW691">
        <f t="shared" si="400"/>
        <v>0</v>
      </c>
      <c r="AX691">
        <f t="shared" si="401"/>
        <v>0</v>
      </c>
      <c r="AY691">
        <f t="shared" si="402"/>
        <v>0</v>
      </c>
      <c r="AZ691">
        <f t="shared" si="403"/>
        <v>0</v>
      </c>
      <c r="BA691">
        <f t="shared" si="404"/>
        <v>0</v>
      </c>
      <c r="BB691">
        <f t="shared" si="405"/>
        <v>0</v>
      </c>
      <c r="BC691">
        <f t="shared" si="406"/>
        <v>0</v>
      </c>
      <c r="BD691">
        <f t="shared" si="407"/>
        <v>0</v>
      </c>
      <c r="BE691">
        <f t="shared" si="408"/>
        <v>0</v>
      </c>
      <c r="BF691">
        <f t="shared" si="409"/>
        <v>0</v>
      </c>
      <c r="BG691">
        <f t="shared" si="410"/>
        <v>0</v>
      </c>
      <c r="BH691">
        <f t="shared" si="411"/>
        <v>0</v>
      </c>
      <c r="BI691">
        <f t="shared" si="412"/>
        <v>0</v>
      </c>
    </row>
    <row r="692" spans="1:61" x14ac:dyDescent="0.35">
      <c r="A692" t="s">
        <v>51</v>
      </c>
      <c r="B692" s="1">
        <v>41596</v>
      </c>
      <c r="C692" t="s">
        <v>1295</v>
      </c>
      <c r="D692" t="s">
        <v>45</v>
      </c>
      <c r="E692" t="s">
        <v>1296</v>
      </c>
      <c r="F692" t="s">
        <v>602</v>
      </c>
      <c r="G692" t="s">
        <v>47</v>
      </c>
      <c r="H692" s="139">
        <f t="shared" si="386"/>
        <v>0</v>
      </c>
      <c r="I692" t="s">
        <v>234</v>
      </c>
      <c r="J692" t="s">
        <v>186</v>
      </c>
      <c r="K692" s="2">
        <f t="shared" si="387"/>
        <v>4</v>
      </c>
      <c r="L692">
        <v>800250000</v>
      </c>
      <c r="M692" s="2">
        <f t="shared" si="388"/>
        <v>8.9032256828161707</v>
      </c>
      <c r="N692">
        <v>904270000</v>
      </c>
      <c r="O692">
        <v>-104020000</v>
      </c>
      <c r="P692" s="1">
        <v>42985</v>
      </c>
      <c r="Q692" s="89">
        <f t="shared" si="389"/>
        <v>2017</v>
      </c>
      <c r="R692" t="s">
        <v>107</v>
      </c>
      <c r="S692">
        <v>1200000000</v>
      </c>
      <c r="T692" s="21">
        <f t="shared" si="383"/>
        <v>3.8054794520547945</v>
      </c>
      <c r="U692">
        <v>0</v>
      </c>
      <c r="V692">
        <f t="shared" si="390"/>
        <v>0</v>
      </c>
      <c r="W692">
        <v>1999</v>
      </c>
      <c r="X692">
        <v>14</v>
      </c>
      <c r="Y692">
        <f t="shared" si="391"/>
        <v>1.1760912590556813</v>
      </c>
      <c r="Z692" s="45">
        <v>2.95</v>
      </c>
      <c r="AA692" s="9">
        <f t="shared" ref="AA692:AA701" si="415">S692-N692</f>
        <v>295730000</v>
      </c>
      <c r="AB692" s="15">
        <f t="shared" si="384"/>
        <v>0.499531396438613</v>
      </c>
      <c r="AC692" s="34">
        <f t="shared" si="392"/>
        <v>0.17595556323145492</v>
      </c>
      <c r="AD692">
        <v>6514.6683673469379</v>
      </c>
      <c r="AE692">
        <f t="shared" si="393"/>
        <v>3.8138923126200468</v>
      </c>
      <c r="AF692">
        <v>8828.125</v>
      </c>
      <c r="AG692">
        <f t="shared" si="394"/>
        <v>3.9458684738355512</v>
      </c>
      <c r="AH692">
        <v>0</v>
      </c>
      <c r="AI692" s="9">
        <f t="shared" si="395"/>
        <v>0</v>
      </c>
      <c r="AJ692">
        <v>90.5</v>
      </c>
      <c r="AK692" s="23" t="s">
        <v>222</v>
      </c>
      <c r="AL692" s="42">
        <v>39.010023979360902</v>
      </c>
      <c r="AM692" s="24">
        <v>0.38</v>
      </c>
      <c r="AN692" s="34">
        <f t="shared" si="396"/>
        <v>0.13987908640123647</v>
      </c>
      <c r="AO692">
        <v>2000</v>
      </c>
      <c r="AP692">
        <v>13</v>
      </c>
      <c r="AQ692">
        <v>70</v>
      </c>
      <c r="AR692">
        <v>70</v>
      </c>
      <c r="AS692">
        <f t="shared" si="385"/>
        <v>0</v>
      </c>
      <c r="AT692">
        <f t="shared" si="397"/>
        <v>1</v>
      </c>
      <c r="AU692">
        <f t="shared" si="398"/>
        <v>0</v>
      </c>
      <c r="AV692">
        <f t="shared" si="399"/>
        <v>0</v>
      </c>
      <c r="AW692">
        <f t="shared" si="400"/>
        <v>0</v>
      </c>
      <c r="AX692">
        <f t="shared" si="401"/>
        <v>0</v>
      </c>
      <c r="AY692">
        <f t="shared" si="402"/>
        <v>0</v>
      </c>
      <c r="AZ692">
        <f t="shared" si="403"/>
        <v>0</v>
      </c>
      <c r="BA692">
        <f t="shared" si="404"/>
        <v>0</v>
      </c>
      <c r="BB692">
        <f t="shared" si="405"/>
        <v>0</v>
      </c>
      <c r="BC692">
        <f t="shared" si="406"/>
        <v>0</v>
      </c>
      <c r="BD692">
        <f t="shared" si="407"/>
        <v>0</v>
      </c>
      <c r="BE692">
        <f t="shared" si="408"/>
        <v>0</v>
      </c>
      <c r="BF692">
        <f t="shared" si="409"/>
        <v>0</v>
      </c>
      <c r="BG692">
        <f t="shared" si="410"/>
        <v>0</v>
      </c>
      <c r="BH692">
        <f t="shared" si="411"/>
        <v>0</v>
      </c>
      <c r="BI692">
        <f t="shared" si="412"/>
        <v>0</v>
      </c>
    </row>
    <row r="693" spans="1:61" x14ac:dyDescent="0.35">
      <c r="A693" t="s">
        <v>51</v>
      </c>
      <c r="B693" s="1">
        <v>41451</v>
      </c>
      <c r="C693" t="s">
        <v>1297</v>
      </c>
      <c r="D693" t="s">
        <v>45</v>
      </c>
      <c r="E693" t="s">
        <v>1296</v>
      </c>
      <c r="F693" t="s">
        <v>602</v>
      </c>
      <c r="G693" t="s">
        <v>47</v>
      </c>
      <c r="H693" s="139">
        <f t="shared" si="386"/>
        <v>0</v>
      </c>
      <c r="I693" t="s">
        <v>268</v>
      </c>
      <c r="J693" t="s">
        <v>178</v>
      </c>
      <c r="K693" s="2">
        <f t="shared" si="387"/>
        <v>9</v>
      </c>
      <c r="L693">
        <v>889150000</v>
      </c>
      <c r="M693" s="2">
        <f t="shared" si="388"/>
        <v>8.948975032822915</v>
      </c>
      <c r="N693">
        <v>904840000</v>
      </c>
      <c r="O693">
        <v>-15690000</v>
      </c>
      <c r="P693" s="1">
        <v>42153</v>
      </c>
      <c r="Q693" s="89">
        <f t="shared" si="389"/>
        <v>2015</v>
      </c>
      <c r="R693" t="s">
        <v>107</v>
      </c>
      <c r="S693">
        <v>1300000000</v>
      </c>
      <c r="T693" s="21">
        <f t="shared" si="383"/>
        <v>1.9232876712328768</v>
      </c>
      <c r="U693">
        <v>0</v>
      </c>
      <c r="V693">
        <f t="shared" si="390"/>
        <v>0</v>
      </c>
      <c r="W693">
        <v>1994</v>
      </c>
      <c r="X693">
        <v>19</v>
      </c>
      <c r="Y693">
        <f t="shared" si="391"/>
        <v>1.3010299956639813</v>
      </c>
      <c r="Z693" s="45">
        <v>2.95</v>
      </c>
      <c r="AA693" s="9">
        <f t="shared" si="415"/>
        <v>395160000</v>
      </c>
      <c r="AB693" s="15">
        <f t="shared" si="384"/>
        <v>0.46207051678569422</v>
      </c>
      <c r="AC693" s="34">
        <f t="shared" si="392"/>
        <v>0.16496831948392221</v>
      </c>
      <c r="AD693">
        <v>6514.6683673469379</v>
      </c>
      <c r="AE693">
        <f t="shared" si="393"/>
        <v>3.8138923126200468</v>
      </c>
      <c r="AF693">
        <v>8828.125</v>
      </c>
      <c r="AG693">
        <f t="shared" si="394"/>
        <v>3.9458684738355512</v>
      </c>
      <c r="AH693">
        <v>0</v>
      </c>
      <c r="AI693" s="9">
        <f t="shared" si="395"/>
        <v>0</v>
      </c>
      <c r="AJ693">
        <v>90.5</v>
      </c>
      <c r="AK693" s="23" t="s">
        <v>222</v>
      </c>
      <c r="AL693" s="42">
        <v>39.010023979360902</v>
      </c>
      <c r="AM693" s="24">
        <v>0.31</v>
      </c>
      <c r="AN693" s="34">
        <f t="shared" si="396"/>
        <v>0.11727129565576427</v>
      </c>
      <c r="AO693">
        <v>2000</v>
      </c>
      <c r="AP693">
        <v>13</v>
      </c>
      <c r="AQ693">
        <v>70</v>
      </c>
      <c r="AR693">
        <v>70</v>
      </c>
      <c r="AS693">
        <f t="shared" si="385"/>
        <v>0</v>
      </c>
      <c r="AT693">
        <f t="shared" si="397"/>
        <v>1</v>
      </c>
      <c r="AU693">
        <f t="shared" si="398"/>
        <v>0</v>
      </c>
      <c r="AV693">
        <f t="shared" si="399"/>
        <v>0</v>
      </c>
      <c r="AW693">
        <f t="shared" si="400"/>
        <v>0</v>
      </c>
      <c r="AX693">
        <f t="shared" si="401"/>
        <v>0</v>
      </c>
      <c r="AY693">
        <f t="shared" si="402"/>
        <v>0</v>
      </c>
      <c r="AZ693">
        <f t="shared" si="403"/>
        <v>0</v>
      </c>
      <c r="BA693">
        <f t="shared" si="404"/>
        <v>0</v>
      </c>
      <c r="BB693">
        <f t="shared" si="405"/>
        <v>0</v>
      </c>
      <c r="BC693">
        <f t="shared" si="406"/>
        <v>0</v>
      </c>
      <c r="BD693">
        <f t="shared" si="407"/>
        <v>0</v>
      </c>
      <c r="BE693">
        <f t="shared" si="408"/>
        <v>0</v>
      </c>
      <c r="BF693">
        <f t="shared" si="409"/>
        <v>0</v>
      </c>
      <c r="BG693">
        <f t="shared" si="410"/>
        <v>0</v>
      </c>
      <c r="BH693">
        <f t="shared" si="411"/>
        <v>0</v>
      </c>
      <c r="BI693">
        <f t="shared" si="412"/>
        <v>0</v>
      </c>
    </row>
    <row r="694" spans="1:61" x14ac:dyDescent="0.35">
      <c r="A694" t="s">
        <v>51</v>
      </c>
      <c r="B694" s="1">
        <v>39366</v>
      </c>
      <c r="C694" t="s">
        <v>1298</v>
      </c>
      <c r="D694" t="s">
        <v>45</v>
      </c>
      <c r="E694" t="s">
        <v>1299</v>
      </c>
      <c r="F694" t="s">
        <v>602</v>
      </c>
      <c r="G694" t="s">
        <v>47</v>
      </c>
      <c r="H694" s="139">
        <f t="shared" si="386"/>
        <v>0</v>
      </c>
      <c r="I694" t="s">
        <v>234</v>
      </c>
      <c r="J694" t="s">
        <v>178</v>
      </c>
      <c r="K694" s="2">
        <f t="shared" si="387"/>
        <v>9</v>
      </c>
      <c r="L694">
        <v>381500000</v>
      </c>
      <c r="M694" s="2">
        <f t="shared" si="388"/>
        <v>8.5814945422908995</v>
      </c>
      <c r="N694">
        <f>L694</f>
        <v>381500000</v>
      </c>
      <c r="O694">
        <v>0</v>
      </c>
      <c r="P694" s="1">
        <v>41144</v>
      </c>
      <c r="Q694" s="89">
        <f t="shared" si="389"/>
        <v>2012</v>
      </c>
      <c r="R694" t="s">
        <v>107</v>
      </c>
      <c r="S694">
        <v>1415000000</v>
      </c>
      <c r="T694" s="21">
        <f t="shared" si="383"/>
        <v>4.8712328767123285</v>
      </c>
      <c r="U694">
        <v>0</v>
      </c>
      <c r="V694">
        <f t="shared" si="390"/>
        <v>0</v>
      </c>
      <c r="W694">
        <v>1979</v>
      </c>
      <c r="X694">
        <v>28</v>
      </c>
      <c r="Y694">
        <f t="shared" si="391"/>
        <v>1.4623979978989561</v>
      </c>
      <c r="Z694" s="45">
        <v>2.95</v>
      </c>
      <c r="AA694" s="9">
        <f t="shared" si="415"/>
        <v>1033500000</v>
      </c>
      <c r="AB694" s="15">
        <f t="shared" si="384"/>
        <v>2.709043250327654</v>
      </c>
      <c r="AC694" s="34">
        <f t="shared" si="392"/>
        <v>0.56926189756940981</v>
      </c>
      <c r="AD694">
        <v>6514.6683673469379</v>
      </c>
      <c r="AE694">
        <f t="shared" si="393"/>
        <v>3.8138923126200468</v>
      </c>
      <c r="AF694">
        <v>8828.125</v>
      </c>
      <c r="AG694">
        <f t="shared" si="394"/>
        <v>3.9458684738355512</v>
      </c>
      <c r="AH694">
        <v>0</v>
      </c>
      <c r="AI694" s="9">
        <f t="shared" si="395"/>
        <v>0</v>
      </c>
      <c r="AJ694">
        <v>91.4</v>
      </c>
      <c r="AK694" s="23" t="s">
        <v>103</v>
      </c>
      <c r="AL694" s="42">
        <v>37.425715444240403</v>
      </c>
      <c r="AM694" s="24">
        <v>-0.1</v>
      </c>
      <c r="AN694" s="34">
        <f t="shared" si="396"/>
        <v>-4.5757490560675115E-2</v>
      </c>
      <c r="AO694">
        <v>2000</v>
      </c>
      <c r="AP694">
        <v>7</v>
      </c>
      <c r="AQ694">
        <v>70</v>
      </c>
      <c r="AR694">
        <v>70</v>
      </c>
      <c r="AS694">
        <f t="shared" si="385"/>
        <v>0</v>
      </c>
      <c r="AT694">
        <f t="shared" si="397"/>
        <v>1</v>
      </c>
      <c r="AU694">
        <f t="shared" si="398"/>
        <v>0</v>
      </c>
      <c r="AV694">
        <f t="shared" si="399"/>
        <v>0</v>
      </c>
      <c r="AW694">
        <f t="shared" si="400"/>
        <v>0</v>
      </c>
      <c r="AX694">
        <f t="shared" si="401"/>
        <v>0</v>
      </c>
      <c r="AY694">
        <f t="shared" si="402"/>
        <v>0</v>
      </c>
      <c r="AZ694">
        <f t="shared" si="403"/>
        <v>0</v>
      </c>
      <c r="BA694">
        <f t="shared" si="404"/>
        <v>0</v>
      </c>
      <c r="BB694">
        <f t="shared" si="405"/>
        <v>0</v>
      </c>
      <c r="BC694">
        <f t="shared" si="406"/>
        <v>0</v>
      </c>
      <c r="BD694">
        <f t="shared" si="407"/>
        <v>0</v>
      </c>
      <c r="BE694">
        <f t="shared" si="408"/>
        <v>0</v>
      </c>
      <c r="BF694">
        <f t="shared" si="409"/>
        <v>0</v>
      </c>
      <c r="BG694">
        <f t="shared" si="410"/>
        <v>0</v>
      </c>
      <c r="BH694">
        <f t="shared" si="411"/>
        <v>0</v>
      </c>
      <c r="BI694">
        <f t="shared" si="412"/>
        <v>0</v>
      </c>
    </row>
    <row r="695" spans="1:61" x14ac:dyDescent="0.35">
      <c r="A695" t="s">
        <v>51</v>
      </c>
      <c r="B695" s="1">
        <v>37358</v>
      </c>
      <c r="C695" t="s">
        <v>1300</v>
      </c>
      <c r="D695" t="s">
        <v>45</v>
      </c>
      <c r="E695" t="s">
        <v>1301</v>
      </c>
      <c r="F695" t="s">
        <v>602</v>
      </c>
      <c r="G695" t="s">
        <v>47</v>
      </c>
      <c r="H695" s="139">
        <f t="shared" si="386"/>
        <v>0</v>
      </c>
      <c r="I695" t="s">
        <v>268</v>
      </c>
      <c r="J695" t="s">
        <v>248</v>
      </c>
      <c r="K695" s="2">
        <f t="shared" si="387"/>
        <v>5</v>
      </c>
      <c r="L695">
        <v>265170000</v>
      </c>
      <c r="M695" s="2">
        <f t="shared" si="388"/>
        <v>8.4235243886187163</v>
      </c>
      <c r="N695">
        <v>18620000</v>
      </c>
      <c r="O695">
        <v>246550000</v>
      </c>
      <c r="P695" s="1">
        <v>38356</v>
      </c>
      <c r="Q695" s="89">
        <f t="shared" si="389"/>
        <v>2005</v>
      </c>
      <c r="R695" t="s">
        <v>114</v>
      </c>
      <c r="S695">
        <v>150000000</v>
      </c>
      <c r="T695" s="21">
        <f t="shared" si="383"/>
        <v>2.7342465753424658</v>
      </c>
      <c r="U695">
        <v>0</v>
      </c>
      <c r="V695">
        <f t="shared" si="390"/>
        <v>0</v>
      </c>
      <c r="W695">
        <v>1696</v>
      </c>
      <c r="X695">
        <v>306</v>
      </c>
      <c r="Y695">
        <f t="shared" si="391"/>
        <v>2.4871383754771865</v>
      </c>
      <c r="Z695" s="45">
        <v>2.95</v>
      </c>
      <c r="AA695" s="9">
        <f t="shared" si="415"/>
        <v>131380000</v>
      </c>
      <c r="AB695" s="15">
        <f t="shared" si="384"/>
        <v>-0.43432514990383531</v>
      </c>
      <c r="AC695" s="34">
        <f t="shared" si="392"/>
        <v>-0.24743312956303581</v>
      </c>
      <c r="AD695">
        <v>3153.6123909420644</v>
      </c>
      <c r="AE695">
        <f t="shared" si="393"/>
        <v>3.4988083133366845</v>
      </c>
      <c r="AF695">
        <v>4253.5045583766305</v>
      </c>
      <c r="AG695">
        <f t="shared" si="394"/>
        <v>3.6287469025639267</v>
      </c>
      <c r="AH695">
        <v>0</v>
      </c>
      <c r="AI695" s="9">
        <f t="shared" si="395"/>
        <v>0</v>
      </c>
      <c r="AJ695">
        <v>85</v>
      </c>
      <c r="AK695" s="23" t="s">
        <v>57</v>
      </c>
      <c r="AL695" s="42">
        <v>36.710134890601303</v>
      </c>
      <c r="AM695" s="24">
        <v>7.0000000000000007E-2</v>
      </c>
      <c r="AN695" s="34">
        <f t="shared" si="396"/>
        <v>2.9383777685209667E-2</v>
      </c>
      <c r="AO695">
        <v>1999</v>
      </c>
      <c r="AP695">
        <v>3</v>
      </c>
      <c r="AQ695">
        <v>70</v>
      </c>
      <c r="AR695">
        <v>70</v>
      </c>
      <c r="AS695">
        <f t="shared" si="385"/>
        <v>0</v>
      </c>
      <c r="AT695">
        <f t="shared" si="397"/>
        <v>1</v>
      </c>
      <c r="AU695">
        <f t="shared" si="398"/>
        <v>0</v>
      </c>
      <c r="AV695">
        <f t="shared" si="399"/>
        <v>0</v>
      </c>
      <c r="AW695">
        <f t="shared" si="400"/>
        <v>0</v>
      </c>
      <c r="AX695">
        <f t="shared" si="401"/>
        <v>0</v>
      </c>
      <c r="AY695">
        <f t="shared" si="402"/>
        <v>0</v>
      </c>
      <c r="AZ695">
        <f t="shared" si="403"/>
        <v>0</v>
      </c>
      <c r="BA695">
        <f t="shared" si="404"/>
        <v>0</v>
      </c>
      <c r="BB695">
        <f t="shared" si="405"/>
        <v>0</v>
      </c>
      <c r="BC695">
        <f t="shared" si="406"/>
        <v>0</v>
      </c>
      <c r="BD695">
        <f t="shared" si="407"/>
        <v>0</v>
      </c>
      <c r="BE695">
        <f t="shared" si="408"/>
        <v>0</v>
      </c>
      <c r="BF695">
        <f t="shared" si="409"/>
        <v>0</v>
      </c>
      <c r="BG695">
        <f t="shared" si="410"/>
        <v>0</v>
      </c>
      <c r="BH695">
        <f t="shared" si="411"/>
        <v>0</v>
      </c>
      <c r="BI695">
        <f t="shared" si="412"/>
        <v>0</v>
      </c>
    </row>
    <row r="696" spans="1:61" x14ac:dyDescent="0.35">
      <c r="A696" t="s">
        <v>51</v>
      </c>
      <c r="B696" s="1">
        <v>40389</v>
      </c>
      <c r="C696" t="s">
        <v>1302</v>
      </c>
      <c r="D696" t="s">
        <v>45</v>
      </c>
      <c r="E696" t="s">
        <v>1303</v>
      </c>
      <c r="F696" t="s">
        <v>602</v>
      </c>
      <c r="G696" t="s">
        <v>47</v>
      </c>
      <c r="H696" s="139">
        <f t="shared" si="386"/>
        <v>0</v>
      </c>
      <c r="I696" t="s">
        <v>234</v>
      </c>
      <c r="J696" t="s">
        <v>178</v>
      </c>
      <c r="K696" s="2">
        <f t="shared" si="387"/>
        <v>9</v>
      </c>
      <c r="L696">
        <v>2996240000</v>
      </c>
      <c r="M696" s="2">
        <f t="shared" si="388"/>
        <v>9.4765765975791929</v>
      </c>
      <c r="N696">
        <f>L696</f>
        <v>2996240000</v>
      </c>
      <c r="O696">
        <v>0</v>
      </c>
      <c r="P696" s="1">
        <v>42352</v>
      </c>
      <c r="Q696" s="89">
        <f t="shared" si="389"/>
        <v>2015</v>
      </c>
      <c r="R696" t="s">
        <v>107</v>
      </c>
      <c r="S696">
        <v>5200000000</v>
      </c>
      <c r="T696" s="21">
        <f t="shared" si="383"/>
        <v>5.3780821917808215</v>
      </c>
      <c r="U696">
        <v>0</v>
      </c>
      <c r="V696">
        <f t="shared" si="390"/>
        <v>0</v>
      </c>
      <c r="W696">
        <v>1968</v>
      </c>
      <c r="X696">
        <v>42</v>
      </c>
      <c r="Y696">
        <f t="shared" si="391"/>
        <v>1.6334684555795864</v>
      </c>
      <c r="Z696" s="45">
        <v>2.95</v>
      </c>
      <c r="AA696" s="9">
        <f t="shared" si="415"/>
        <v>2203760000</v>
      </c>
      <c r="AB696" s="15">
        <f t="shared" si="384"/>
        <v>0.73550850399166956</v>
      </c>
      <c r="AC696" s="34">
        <f t="shared" si="392"/>
        <v>0.23942674605560585</v>
      </c>
      <c r="AD696">
        <v>3287.5739644970417</v>
      </c>
      <c r="AE696">
        <f t="shared" si="393"/>
        <v>3.5168755324519045</v>
      </c>
      <c r="AF696">
        <v>6440.2366863905318</v>
      </c>
      <c r="AG696">
        <f t="shared" si="394"/>
        <v>3.8089018284940463</v>
      </c>
      <c r="AH696">
        <v>0</v>
      </c>
      <c r="AI696" s="9">
        <f t="shared" si="395"/>
        <v>0</v>
      </c>
      <c r="AJ696">
        <v>91.3</v>
      </c>
      <c r="AK696" s="23" t="s">
        <v>136</v>
      </c>
      <c r="AL696" s="42">
        <v>43.1672842383418</v>
      </c>
      <c r="AM696" s="24">
        <v>0.84</v>
      </c>
      <c r="AN696" s="34">
        <f t="shared" si="396"/>
        <v>0.26481782300953643</v>
      </c>
      <c r="AO696">
        <v>1999</v>
      </c>
      <c r="AP696">
        <v>11</v>
      </c>
      <c r="AQ696">
        <v>70</v>
      </c>
      <c r="AR696">
        <v>70</v>
      </c>
      <c r="AS696">
        <f t="shared" si="385"/>
        <v>0</v>
      </c>
      <c r="AT696">
        <f t="shared" si="397"/>
        <v>1</v>
      </c>
      <c r="AU696">
        <f t="shared" si="398"/>
        <v>0</v>
      </c>
      <c r="AV696">
        <f t="shared" si="399"/>
        <v>0</v>
      </c>
      <c r="AW696">
        <f t="shared" si="400"/>
        <v>0</v>
      </c>
      <c r="AX696">
        <f t="shared" si="401"/>
        <v>0</v>
      </c>
      <c r="AY696">
        <f t="shared" si="402"/>
        <v>0</v>
      </c>
      <c r="AZ696">
        <f t="shared" si="403"/>
        <v>0</v>
      </c>
      <c r="BA696">
        <f t="shared" si="404"/>
        <v>0</v>
      </c>
      <c r="BB696">
        <f t="shared" si="405"/>
        <v>0</v>
      </c>
      <c r="BC696">
        <f t="shared" si="406"/>
        <v>0</v>
      </c>
      <c r="BD696">
        <f t="shared" si="407"/>
        <v>0</v>
      </c>
      <c r="BE696">
        <f t="shared" si="408"/>
        <v>0</v>
      </c>
      <c r="BF696">
        <f t="shared" si="409"/>
        <v>0</v>
      </c>
      <c r="BG696">
        <f t="shared" si="410"/>
        <v>0</v>
      </c>
      <c r="BH696">
        <f t="shared" si="411"/>
        <v>0</v>
      </c>
      <c r="BI696">
        <f t="shared" si="412"/>
        <v>0</v>
      </c>
    </row>
    <row r="697" spans="1:61" x14ac:dyDescent="0.35">
      <c r="A697" t="s">
        <v>1277</v>
      </c>
      <c r="B697" s="1">
        <v>39435</v>
      </c>
      <c r="C697" t="s">
        <v>1304</v>
      </c>
      <c r="D697" t="s">
        <v>45</v>
      </c>
      <c r="E697" t="s">
        <v>1303</v>
      </c>
      <c r="F697" t="s">
        <v>602</v>
      </c>
      <c r="G697" t="s">
        <v>47</v>
      </c>
      <c r="H697" s="139">
        <f t="shared" si="386"/>
        <v>0</v>
      </c>
      <c r="I697" t="s">
        <v>234</v>
      </c>
      <c r="J697" t="s">
        <v>186</v>
      </c>
      <c r="K697" s="2">
        <f t="shared" si="387"/>
        <v>4</v>
      </c>
      <c r="L697">
        <v>200000000</v>
      </c>
      <c r="M697" s="2">
        <f t="shared" si="388"/>
        <v>8.3010299956639813</v>
      </c>
      <c r="N697">
        <f>L697</f>
        <v>200000000</v>
      </c>
      <c r="O697">
        <v>0</v>
      </c>
      <c r="P697" s="1">
        <v>42186</v>
      </c>
      <c r="Q697" s="89">
        <f t="shared" si="389"/>
        <v>2015</v>
      </c>
      <c r="R697" t="s">
        <v>107</v>
      </c>
      <c r="S697">
        <v>200000000</v>
      </c>
      <c r="T697" s="21">
        <f t="shared" si="383"/>
        <v>7.536986301369863</v>
      </c>
      <c r="U697">
        <v>0</v>
      </c>
      <c r="V697">
        <f t="shared" si="390"/>
        <v>0</v>
      </c>
      <c r="W697">
        <v>1998</v>
      </c>
      <c r="X697">
        <v>9</v>
      </c>
      <c r="Y697">
        <f t="shared" si="391"/>
        <v>1</v>
      </c>
      <c r="Z697" s="45">
        <v>2.95</v>
      </c>
      <c r="AA697" s="9">
        <f t="shared" si="415"/>
        <v>0</v>
      </c>
      <c r="AB697" s="15">
        <f t="shared" si="384"/>
        <v>0</v>
      </c>
      <c r="AC697" s="34">
        <f t="shared" si="392"/>
        <v>0</v>
      </c>
      <c r="AD697">
        <v>3287.5739644970417</v>
      </c>
      <c r="AE697">
        <f t="shared" si="393"/>
        <v>3.5168755324519045</v>
      </c>
      <c r="AF697">
        <v>6440.2366863905318</v>
      </c>
      <c r="AG697">
        <f t="shared" si="394"/>
        <v>3.8089018284940463</v>
      </c>
      <c r="AH697">
        <v>0</v>
      </c>
      <c r="AI697" s="9">
        <f t="shared" si="395"/>
        <v>0</v>
      </c>
      <c r="AJ697">
        <v>91.4</v>
      </c>
      <c r="AK697" s="23" t="s">
        <v>103</v>
      </c>
      <c r="AL697" s="42">
        <v>37.425715444240403</v>
      </c>
      <c r="AM697" s="24">
        <v>0.39</v>
      </c>
      <c r="AN697" s="34">
        <f t="shared" si="396"/>
        <v>0.14301480025409513</v>
      </c>
      <c r="AO697">
        <v>1999</v>
      </c>
      <c r="AP697">
        <v>8</v>
      </c>
      <c r="AQ697">
        <v>70</v>
      </c>
      <c r="AR697">
        <v>70</v>
      </c>
      <c r="AS697">
        <f t="shared" si="385"/>
        <v>0</v>
      </c>
      <c r="AT697">
        <f t="shared" si="397"/>
        <v>1</v>
      </c>
      <c r="AU697">
        <f t="shared" si="398"/>
        <v>0</v>
      </c>
      <c r="AV697">
        <f t="shared" si="399"/>
        <v>0</v>
      </c>
      <c r="AW697">
        <f t="shared" si="400"/>
        <v>0</v>
      </c>
      <c r="AX697">
        <f t="shared" si="401"/>
        <v>0</v>
      </c>
      <c r="AY697">
        <f t="shared" si="402"/>
        <v>0</v>
      </c>
      <c r="AZ697">
        <f t="shared" si="403"/>
        <v>0</v>
      </c>
      <c r="BA697">
        <f t="shared" si="404"/>
        <v>0</v>
      </c>
      <c r="BB697">
        <f t="shared" si="405"/>
        <v>0</v>
      </c>
      <c r="BC697">
        <f t="shared" si="406"/>
        <v>0</v>
      </c>
      <c r="BD697">
        <f t="shared" si="407"/>
        <v>0</v>
      </c>
      <c r="BE697">
        <f t="shared" si="408"/>
        <v>0</v>
      </c>
      <c r="BF697">
        <f t="shared" si="409"/>
        <v>0</v>
      </c>
      <c r="BG697">
        <f t="shared" si="410"/>
        <v>0</v>
      </c>
      <c r="BH697">
        <f t="shared" si="411"/>
        <v>0</v>
      </c>
      <c r="BI697">
        <f t="shared" si="412"/>
        <v>0</v>
      </c>
    </row>
    <row r="698" spans="1:61" x14ac:dyDescent="0.35">
      <c r="A698" t="s">
        <v>51</v>
      </c>
      <c r="B698" s="1">
        <v>38184</v>
      </c>
      <c r="C698" t="s">
        <v>1231</v>
      </c>
      <c r="D698" t="s">
        <v>45</v>
      </c>
      <c r="E698" t="s">
        <v>1305</v>
      </c>
      <c r="F698" t="s">
        <v>602</v>
      </c>
      <c r="G698" t="s">
        <v>47</v>
      </c>
      <c r="H698" s="139">
        <f t="shared" si="386"/>
        <v>0</v>
      </c>
      <c r="I698" t="s">
        <v>234</v>
      </c>
      <c r="J698" t="s">
        <v>178</v>
      </c>
      <c r="K698" s="2">
        <f t="shared" si="387"/>
        <v>9</v>
      </c>
      <c r="L698">
        <v>235000000</v>
      </c>
      <c r="M698" s="2">
        <f t="shared" si="388"/>
        <v>8.3710678622717367</v>
      </c>
      <c r="N698">
        <f>L698</f>
        <v>235000000</v>
      </c>
      <c r="O698">
        <v>0</v>
      </c>
      <c r="P698" s="1">
        <v>39387</v>
      </c>
      <c r="Q698" s="89">
        <f t="shared" si="389"/>
        <v>2007</v>
      </c>
      <c r="R698" t="s">
        <v>107</v>
      </c>
      <c r="S698">
        <v>205020000</v>
      </c>
      <c r="T698" s="21">
        <f t="shared" si="383"/>
        <v>3.2958904109589042</v>
      </c>
      <c r="U698">
        <v>0</v>
      </c>
      <c r="V698">
        <f t="shared" si="390"/>
        <v>0</v>
      </c>
      <c r="W698">
        <v>1984</v>
      </c>
      <c r="X698">
        <v>20</v>
      </c>
      <c r="Y698">
        <f t="shared" si="391"/>
        <v>1.3222192947339193</v>
      </c>
      <c r="Z698" s="45">
        <v>2.95</v>
      </c>
      <c r="AA698" s="9">
        <f t="shared" si="415"/>
        <v>-29980000</v>
      </c>
      <c r="AB698" s="15">
        <f t="shared" si="384"/>
        <v>-0.12757446808510642</v>
      </c>
      <c r="AC698" s="34">
        <f t="shared" si="392"/>
        <v>-5.9271633089329853E-2</v>
      </c>
      <c r="AD698">
        <v>3287.5739644970417</v>
      </c>
      <c r="AE698">
        <f t="shared" si="393"/>
        <v>3.5168755324519045</v>
      </c>
      <c r="AF698">
        <v>6440.2366863905318</v>
      </c>
      <c r="AG698">
        <f t="shared" si="394"/>
        <v>3.8089018284940463</v>
      </c>
      <c r="AH698">
        <v>0</v>
      </c>
      <c r="AI698" s="9">
        <f t="shared" si="395"/>
        <v>0</v>
      </c>
      <c r="AJ698">
        <v>85</v>
      </c>
      <c r="AK698" s="23" t="s">
        <v>215</v>
      </c>
      <c r="AL698" s="42">
        <v>36.876470987978301</v>
      </c>
      <c r="AM698" s="24">
        <v>0.28999999999999998</v>
      </c>
      <c r="AN698" s="34">
        <f t="shared" si="396"/>
        <v>0.11058971029924898</v>
      </c>
      <c r="AO698">
        <v>1999</v>
      </c>
      <c r="AP698">
        <v>5</v>
      </c>
      <c r="AQ698">
        <v>70</v>
      </c>
      <c r="AR698">
        <v>70</v>
      </c>
      <c r="AS698">
        <f t="shared" si="385"/>
        <v>0</v>
      </c>
      <c r="AT698">
        <f t="shared" si="397"/>
        <v>1</v>
      </c>
      <c r="AU698">
        <f t="shared" si="398"/>
        <v>0</v>
      </c>
      <c r="AV698">
        <f t="shared" si="399"/>
        <v>0</v>
      </c>
      <c r="AW698">
        <f t="shared" si="400"/>
        <v>0</v>
      </c>
      <c r="AX698">
        <f t="shared" si="401"/>
        <v>0</v>
      </c>
      <c r="AY698">
        <f t="shared" si="402"/>
        <v>0</v>
      </c>
      <c r="AZ698">
        <f t="shared" si="403"/>
        <v>0</v>
      </c>
      <c r="BA698">
        <f t="shared" si="404"/>
        <v>0</v>
      </c>
      <c r="BB698">
        <f t="shared" si="405"/>
        <v>0</v>
      </c>
      <c r="BC698">
        <f t="shared" si="406"/>
        <v>0</v>
      </c>
      <c r="BD698">
        <f t="shared" si="407"/>
        <v>0</v>
      </c>
      <c r="BE698">
        <f t="shared" si="408"/>
        <v>0</v>
      </c>
      <c r="BF698">
        <f t="shared" si="409"/>
        <v>0</v>
      </c>
      <c r="BG698">
        <f t="shared" si="410"/>
        <v>0</v>
      </c>
      <c r="BH698">
        <f t="shared" si="411"/>
        <v>0</v>
      </c>
      <c r="BI698">
        <f t="shared" si="412"/>
        <v>0</v>
      </c>
    </row>
    <row r="699" spans="1:61" x14ac:dyDescent="0.35">
      <c r="A699" t="s">
        <v>51</v>
      </c>
      <c r="B699" s="1">
        <v>38789</v>
      </c>
      <c r="C699" t="s">
        <v>804</v>
      </c>
      <c r="D699" t="s">
        <v>45</v>
      </c>
      <c r="E699" t="s">
        <v>1306</v>
      </c>
      <c r="F699" t="s">
        <v>602</v>
      </c>
      <c r="G699" t="s">
        <v>47</v>
      </c>
      <c r="H699" s="139">
        <f t="shared" si="386"/>
        <v>0</v>
      </c>
      <c r="I699" t="s">
        <v>234</v>
      </c>
      <c r="J699" t="s">
        <v>178</v>
      </c>
      <c r="K699" s="2">
        <f t="shared" si="387"/>
        <v>9</v>
      </c>
      <c r="L699">
        <v>1092150000</v>
      </c>
      <c r="M699" s="2">
        <f t="shared" si="388"/>
        <v>9.0382822901072792</v>
      </c>
      <c r="N699">
        <v>1003710000</v>
      </c>
      <c r="O699">
        <v>88440000</v>
      </c>
      <c r="P699" s="1">
        <v>41708</v>
      </c>
      <c r="Q699" s="89">
        <f t="shared" si="389"/>
        <v>2014</v>
      </c>
      <c r="R699" t="s">
        <v>54</v>
      </c>
      <c r="S699">
        <v>763990000</v>
      </c>
      <c r="T699" s="21">
        <f t="shared" si="383"/>
        <v>7.9972602739726026</v>
      </c>
      <c r="U699">
        <v>0</v>
      </c>
      <c r="V699">
        <f t="shared" si="390"/>
        <v>0</v>
      </c>
      <c r="W699">
        <v>1980</v>
      </c>
      <c r="X699">
        <v>26</v>
      </c>
      <c r="Y699">
        <f t="shared" si="391"/>
        <v>1.4313637641589874</v>
      </c>
      <c r="Z699" s="45">
        <v>2.95</v>
      </c>
      <c r="AA699" s="9">
        <f t="shared" si="415"/>
        <v>-239720000</v>
      </c>
      <c r="AB699" s="15">
        <f t="shared" si="384"/>
        <v>-0.30047154694867917</v>
      </c>
      <c r="AC699" s="34">
        <f t="shared" si="392"/>
        <v>-0.15519461605153834</v>
      </c>
      <c r="AD699">
        <v>3287.5739644970417</v>
      </c>
      <c r="AE699">
        <f t="shared" si="393"/>
        <v>3.5168755324519045</v>
      </c>
      <c r="AF699">
        <v>6440.2366863905318</v>
      </c>
      <c r="AG699">
        <f t="shared" si="394"/>
        <v>3.8089018284940463</v>
      </c>
      <c r="AH699">
        <v>0</v>
      </c>
      <c r="AI699" s="9">
        <f t="shared" si="395"/>
        <v>0</v>
      </c>
      <c r="AJ699">
        <v>93.2</v>
      </c>
      <c r="AK699" s="23" t="s">
        <v>103</v>
      </c>
      <c r="AL699" s="42">
        <v>36.669158714517401</v>
      </c>
      <c r="AM699" s="24">
        <v>0.53</v>
      </c>
      <c r="AN699" s="34">
        <f t="shared" si="396"/>
        <v>0.18469143081759881</v>
      </c>
      <c r="AO699">
        <v>1999</v>
      </c>
      <c r="AP699">
        <v>7</v>
      </c>
      <c r="AQ699">
        <v>70</v>
      </c>
      <c r="AR699">
        <v>70</v>
      </c>
      <c r="AS699">
        <f t="shared" si="385"/>
        <v>0</v>
      </c>
      <c r="AT699">
        <f>IF($D699="US",1,0)</f>
        <v>1</v>
      </c>
      <c r="AU699">
        <f t="shared" si="398"/>
        <v>0</v>
      </c>
      <c r="AV699">
        <f t="shared" si="399"/>
        <v>0</v>
      </c>
      <c r="AW699">
        <f t="shared" si="400"/>
        <v>0</v>
      </c>
      <c r="AX699">
        <f t="shared" si="401"/>
        <v>0</v>
      </c>
      <c r="AY699">
        <f t="shared" si="402"/>
        <v>0</v>
      </c>
      <c r="AZ699">
        <f t="shared" si="403"/>
        <v>0</v>
      </c>
      <c r="BA699">
        <f t="shared" si="404"/>
        <v>0</v>
      </c>
      <c r="BB699">
        <f t="shared" si="405"/>
        <v>0</v>
      </c>
      <c r="BC699">
        <f t="shared" si="406"/>
        <v>0</v>
      </c>
      <c r="BD699">
        <f t="shared" si="407"/>
        <v>0</v>
      </c>
      <c r="BE699">
        <f t="shared" si="408"/>
        <v>0</v>
      </c>
      <c r="BF699">
        <f t="shared" si="409"/>
        <v>0</v>
      </c>
      <c r="BG699">
        <f t="shared" si="410"/>
        <v>0</v>
      </c>
      <c r="BH699">
        <f t="shared" si="411"/>
        <v>0</v>
      </c>
      <c r="BI699">
        <f t="shared" si="412"/>
        <v>0</v>
      </c>
    </row>
    <row r="700" spans="1:61" x14ac:dyDescent="0.35">
      <c r="A700" t="s">
        <v>51</v>
      </c>
      <c r="B700" s="1">
        <v>36167</v>
      </c>
      <c r="C700" t="s">
        <v>1307</v>
      </c>
      <c r="D700" t="s">
        <v>45</v>
      </c>
      <c r="E700" t="s">
        <v>1308</v>
      </c>
      <c r="F700" t="s">
        <v>602</v>
      </c>
      <c r="G700" t="s">
        <v>47</v>
      </c>
      <c r="H700" s="139">
        <f t="shared" si="386"/>
        <v>0</v>
      </c>
      <c r="I700" t="s">
        <v>268</v>
      </c>
      <c r="J700" t="s">
        <v>186</v>
      </c>
      <c r="K700" s="2">
        <f t="shared" si="387"/>
        <v>4</v>
      </c>
      <c r="L700">
        <v>2652000000</v>
      </c>
      <c r="M700" s="2">
        <f t="shared" si="388"/>
        <v>9.4235735197327362</v>
      </c>
      <c r="N700">
        <v>1081000000</v>
      </c>
      <c r="O700">
        <v>1571000000</v>
      </c>
      <c r="P700" s="1">
        <v>40126</v>
      </c>
      <c r="Q700" s="89">
        <f t="shared" si="389"/>
        <v>2009</v>
      </c>
      <c r="R700" t="s">
        <v>107</v>
      </c>
      <c r="S700">
        <v>2808990000</v>
      </c>
      <c r="T700" s="21">
        <f t="shared" si="383"/>
        <v>10.846575342465753</v>
      </c>
      <c r="U700">
        <v>0</v>
      </c>
      <c r="V700">
        <f t="shared" si="390"/>
        <v>0</v>
      </c>
      <c r="W700">
        <v>2009</v>
      </c>
      <c r="X700">
        <v>20</v>
      </c>
      <c r="Y700">
        <f t="shared" si="391"/>
        <v>1.3222192947339193</v>
      </c>
      <c r="Z700" s="45">
        <v>2.95</v>
      </c>
      <c r="AA700" s="9">
        <f t="shared" si="415"/>
        <v>1727990000</v>
      </c>
      <c r="AB700" s="15">
        <f t="shared" si="384"/>
        <v>5.9196832579185621E-2</v>
      </c>
      <c r="AC700" s="34">
        <f t="shared" si="392"/>
        <v>2.4976673383919339E-2</v>
      </c>
      <c r="AD700">
        <v>2443.0081229801726</v>
      </c>
      <c r="AE700">
        <f t="shared" si="393"/>
        <v>3.3879249110011078</v>
      </c>
      <c r="AF700">
        <v>8757.9701283954928</v>
      </c>
      <c r="AG700">
        <f t="shared" si="394"/>
        <v>3.9424034595709814</v>
      </c>
      <c r="AH700">
        <v>0</v>
      </c>
      <c r="AI700" s="9">
        <f t="shared" si="395"/>
        <v>0</v>
      </c>
      <c r="AJ700">
        <v>85</v>
      </c>
      <c r="AK700" s="23" t="s">
        <v>75</v>
      </c>
      <c r="AL700" s="42">
        <v>34.656907836978597</v>
      </c>
      <c r="AM700" s="24">
        <v>-0.24</v>
      </c>
      <c r="AN700" s="34">
        <f t="shared" si="396"/>
        <v>-0.11918640771920865</v>
      </c>
      <c r="AO700">
        <v>1979</v>
      </c>
      <c r="AP700">
        <v>20</v>
      </c>
      <c r="AQ700">
        <v>70</v>
      </c>
      <c r="AR700">
        <v>70</v>
      </c>
      <c r="AS700">
        <f t="shared" si="385"/>
        <v>0</v>
      </c>
      <c r="AT700">
        <f t="shared" si="397"/>
        <v>1</v>
      </c>
      <c r="AU700">
        <f t="shared" si="398"/>
        <v>0</v>
      </c>
      <c r="AV700">
        <f t="shared" si="399"/>
        <v>0</v>
      </c>
      <c r="AW700">
        <f t="shared" si="400"/>
        <v>0</v>
      </c>
      <c r="AX700">
        <f t="shared" si="401"/>
        <v>0</v>
      </c>
      <c r="AY700">
        <f t="shared" si="402"/>
        <v>0</v>
      </c>
      <c r="AZ700">
        <f t="shared" si="403"/>
        <v>0</v>
      </c>
      <c r="BA700">
        <f t="shared" si="404"/>
        <v>0</v>
      </c>
      <c r="BB700">
        <f t="shared" si="405"/>
        <v>0</v>
      </c>
      <c r="BC700">
        <f t="shared" si="406"/>
        <v>0</v>
      </c>
      <c r="BD700">
        <f t="shared" si="407"/>
        <v>0</v>
      </c>
      <c r="BE700">
        <f t="shared" si="408"/>
        <v>0</v>
      </c>
      <c r="BF700">
        <f t="shared" si="409"/>
        <v>0</v>
      </c>
      <c r="BG700">
        <f t="shared" si="410"/>
        <v>0</v>
      </c>
      <c r="BH700">
        <f t="shared" si="411"/>
        <v>0</v>
      </c>
      <c r="BI700">
        <f t="shared" si="412"/>
        <v>0</v>
      </c>
    </row>
    <row r="701" spans="1:61" x14ac:dyDescent="0.35">
      <c r="A701" t="s">
        <v>51</v>
      </c>
      <c r="B701" s="1">
        <v>39384</v>
      </c>
      <c r="C701" t="s">
        <v>1309</v>
      </c>
      <c r="D701" t="s">
        <v>45</v>
      </c>
      <c r="E701" t="s">
        <v>1310</v>
      </c>
      <c r="F701" t="s">
        <v>602</v>
      </c>
      <c r="G701" t="s">
        <v>47</v>
      </c>
      <c r="H701" s="139">
        <f t="shared" si="386"/>
        <v>0</v>
      </c>
      <c r="I701" t="s">
        <v>234</v>
      </c>
      <c r="J701" t="s">
        <v>190</v>
      </c>
      <c r="K701" s="2">
        <f t="shared" si="387"/>
        <v>2</v>
      </c>
      <c r="L701">
        <v>3955300000</v>
      </c>
      <c r="M701" s="2">
        <f t="shared" si="388"/>
        <v>9.5971794292757728</v>
      </c>
      <c r="N701">
        <f>L701</f>
        <v>3955300000</v>
      </c>
      <c r="O701">
        <v>0</v>
      </c>
      <c r="P701" s="1">
        <v>41492</v>
      </c>
      <c r="Q701" s="89">
        <f t="shared" si="389"/>
        <v>2013</v>
      </c>
      <c r="R701" t="s">
        <v>107</v>
      </c>
      <c r="S701">
        <v>8700000000</v>
      </c>
      <c r="T701" s="21">
        <f t="shared" si="383"/>
        <v>5.7753424657534245</v>
      </c>
      <c r="U701">
        <v>0</v>
      </c>
      <c r="V701">
        <f t="shared" si="390"/>
        <v>0</v>
      </c>
      <c r="W701">
        <v>1853</v>
      </c>
      <c r="X701">
        <v>154</v>
      </c>
      <c r="Y701">
        <f t="shared" si="391"/>
        <v>2.1903316981702914</v>
      </c>
      <c r="Z701" s="45">
        <v>2.95</v>
      </c>
      <c r="AA701" s="9">
        <f t="shared" si="415"/>
        <v>4744700000</v>
      </c>
      <c r="AB701" s="15">
        <f t="shared" si="384"/>
        <v>1.1995803099638458</v>
      </c>
      <c r="AC701" s="34">
        <f t="shared" si="392"/>
        <v>0.34233982334284546</v>
      </c>
      <c r="AD701">
        <v>2443.0081229801726</v>
      </c>
      <c r="AE701">
        <f t="shared" si="393"/>
        <v>3.3879249110011078</v>
      </c>
      <c r="AF701">
        <v>8757.9701283954928</v>
      </c>
      <c r="AG701">
        <f t="shared" si="394"/>
        <v>3.9424034595709814</v>
      </c>
      <c r="AH701">
        <v>0</v>
      </c>
      <c r="AI701" s="9">
        <f t="shared" si="395"/>
        <v>0</v>
      </c>
      <c r="AJ701">
        <v>91.4</v>
      </c>
      <c r="AK701" s="23" t="s">
        <v>103</v>
      </c>
      <c r="AL701" s="42">
        <v>37.425715444240403</v>
      </c>
      <c r="AM701" s="24">
        <v>7.0000000000000007E-2</v>
      </c>
      <c r="AN701" s="34">
        <f t="shared" si="396"/>
        <v>2.9383777685209667E-2</v>
      </c>
      <c r="AO701">
        <v>1979</v>
      </c>
      <c r="AP701">
        <v>28</v>
      </c>
      <c r="AQ701">
        <v>70</v>
      </c>
      <c r="AR701">
        <v>70</v>
      </c>
      <c r="AS701">
        <f t="shared" si="385"/>
        <v>0</v>
      </c>
      <c r="AT701">
        <f t="shared" si="397"/>
        <v>1</v>
      </c>
      <c r="AU701">
        <f t="shared" si="398"/>
        <v>0</v>
      </c>
      <c r="AV701">
        <f t="shared" si="399"/>
        <v>0</v>
      </c>
      <c r="AW701">
        <f t="shared" si="400"/>
        <v>0</v>
      </c>
      <c r="AX701">
        <f t="shared" si="401"/>
        <v>0</v>
      </c>
      <c r="AY701">
        <f t="shared" si="402"/>
        <v>0</v>
      </c>
      <c r="AZ701">
        <f t="shared" si="403"/>
        <v>0</v>
      </c>
      <c r="BA701">
        <f t="shared" si="404"/>
        <v>0</v>
      </c>
      <c r="BB701">
        <f t="shared" si="405"/>
        <v>0</v>
      </c>
      <c r="BC701">
        <f t="shared" si="406"/>
        <v>0</v>
      </c>
      <c r="BD701">
        <f t="shared" si="407"/>
        <v>0</v>
      </c>
      <c r="BE701">
        <f t="shared" si="408"/>
        <v>0</v>
      </c>
      <c r="BF701">
        <f t="shared" si="409"/>
        <v>0</v>
      </c>
      <c r="BG701">
        <f t="shared" si="410"/>
        <v>0</v>
      </c>
      <c r="BH701">
        <f t="shared" si="411"/>
        <v>0</v>
      </c>
      <c r="BI701">
        <f t="shared" si="412"/>
        <v>0</v>
      </c>
    </row>
    <row r="702" spans="1:61" x14ac:dyDescent="0.35">
      <c r="H702" s="139"/>
      <c r="AB702" s="15"/>
      <c r="AC702" s="15"/>
      <c r="AT702">
        <f t="shared" ref="AT702:BI702" si="416">SUM(AT2:AT701)</f>
        <v>244</v>
      </c>
      <c r="AU702">
        <f t="shared" si="416"/>
        <v>171</v>
      </c>
      <c r="AV702">
        <f t="shared" si="416"/>
        <v>15</v>
      </c>
      <c r="AW702">
        <f t="shared" si="416"/>
        <v>6</v>
      </c>
      <c r="AX702">
        <f t="shared" si="416"/>
        <v>23</v>
      </c>
      <c r="AY702">
        <f t="shared" si="416"/>
        <v>36</v>
      </c>
      <c r="AZ702">
        <f t="shared" si="416"/>
        <v>66</v>
      </c>
      <c r="BA702">
        <f t="shared" si="416"/>
        <v>9</v>
      </c>
      <c r="BB702">
        <f t="shared" si="416"/>
        <v>78</v>
      </c>
      <c r="BC702">
        <f t="shared" si="416"/>
        <v>14</v>
      </c>
      <c r="BD702">
        <f t="shared" si="416"/>
        <v>8</v>
      </c>
      <c r="BE702">
        <f t="shared" si="416"/>
        <v>9</v>
      </c>
      <c r="BF702">
        <f t="shared" si="416"/>
        <v>1</v>
      </c>
      <c r="BG702">
        <f t="shared" si="416"/>
        <v>7</v>
      </c>
      <c r="BH702">
        <f t="shared" si="416"/>
        <v>8</v>
      </c>
      <c r="BI702">
        <f t="shared" si="416"/>
        <v>5</v>
      </c>
    </row>
    <row r="703" spans="1:61" x14ac:dyDescent="0.35">
      <c r="H703" s="139"/>
      <c r="AA703" t="s">
        <v>1337</v>
      </c>
      <c r="AB703" s="15">
        <f>AVERAGE(AB2:AB701)</f>
        <v>1.6017377428549555</v>
      </c>
      <c r="AC703" s="15"/>
      <c r="AD703" s="15"/>
      <c r="AF703" s="15"/>
      <c r="AH703" s="15"/>
      <c r="AI703" s="15"/>
      <c r="AJ703" s="15"/>
      <c r="AK703" s="15"/>
      <c r="AL703" s="15"/>
      <c r="AM703" s="15">
        <f>AVERAGE(AM2:AM701)</f>
        <v>0.29625722543352617</v>
      </c>
    </row>
    <row r="704" spans="1:61" x14ac:dyDescent="0.35">
      <c r="H704" s="139"/>
      <c r="AA704" t="s">
        <v>1338</v>
      </c>
      <c r="AB704" s="15">
        <f>MEDIAN(AB2:AB701)</f>
        <v>0.67491654197749062</v>
      </c>
      <c r="AC704" s="15"/>
      <c r="AD704" s="15"/>
      <c r="AF704" s="15"/>
      <c r="AH704" s="15"/>
      <c r="AI704" s="15"/>
      <c r="AJ704" s="15"/>
      <c r="AK704" s="15"/>
      <c r="AL704" s="15"/>
      <c r="AM704" s="15">
        <f>MEDIAN(AM2:AM701)</f>
        <v>0.25</v>
      </c>
    </row>
    <row r="705" spans="8:39" x14ac:dyDescent="0.35">
      <c r="H705" s="139"/>
      <c r="AA705" t="s">
        <v>1339</v>
      </c>
      <c r="AB705" s="15">
        <f>MIN(AB2:AB701)</f>
        <v>-1</v>
      </c>
      <c r="AC705" s="15"/>
      <c r="AD705" s="15"/>
      <c r="AF705" s="15"/>
      <c r="AH705" s="15"/>
      <c r="AI705" s="15"/>
      <c r="AJ705" s="15"/>
      <c r="AK705" s="15"/>
      <c r="AL705" s="15"/>
      <c r="AM705" s="15">
        <f>MIN(AM2:AM701)</f>
        <v>-0.49</v>
      </c>
    </row>
    <row r="706" spans="8:39" x14ac:dyDescent="0.35">
      <c r="H706" s="139"/>
      <c r="AA706" t="s">
        <v>1340</v>
      </c>
      <c r="AB706" s="15">
        <f>MAX(AB2:AB701)</f>
        <v>39</v>
      </c>
      <c r="AC706" s="15"/>
      <c r="AD706" s="15"/>
      <c r="AF706" s="15"/>
      <c r="AH706" s="15"/>
      <c r="AI706" s="15"/>
      <c r="AJ706" s="15"/>
      <c r="AK706" s="15"/>
      <c r="AL706" s="15"/>
      <c r="AM706" s="15">
        <f>MAX(AM2:AM701)</f>
        <v>3.56</v>
      </c>
    </row>
    <row r="707" spans="8:39" x14ac:dyDescent="0.35">
      <c r="H707" s="139"/>
      <c r="AA707" t="s">
        <v>1341</v>
      </c>
      <c r="AB707" s="80">
        <f>_xlfn.PERCENTILE.EXC(AB2:AB701,0.25)</f>
        <v>-6.3049720970388717E-2</v>
      </c>
      <c r="AC707" s="80"/>
      <c r="AD707" s="80"/>
      <c r="AF707" s="80"/>
      <c r="AH707" s="80"/>
      <c r="AI707" s="80"/>
      <c r="AJ707" s="80"/>
      <c r="AK707" s="80"/>
      <c r="AL707" s="80"/>
      <c r="AM707" s="80">
        <f>_xlfn.PERCENTILE.EXC(AM2:AM701,0.25)</f>
        <v>-0.01</v>
      </c>
    </row>
    <row r="708" spans="8:39" x14ac:dyDescent="0.35">
      <c r="H708" s="139"/>
      <c r="AA708" t="s">
        <v>1342</v>
      </c>
      <c r="AB708" s="80">
        <f>_xlfn.PERCENTILE.EXC(AB2:AB701,0.75)</f>
        <v>1.6356923921902131</v>
      </c>
      <c r="AC708" s="80"/>
      <c r="AD708" s="80"/>
      <c r="AF708" s="80"/>
      <c r="AH708" s="80"/>
      <c r="AI708" s="80"/>
      <c r="AJ708" s="80"/>
      <c r="AK708" s="80"/>
      <c r="AL708" s="80"/>
      <c r="AM708" s="80">
        <f>_xlfn.PERCENTILE.EXC(AM2:AM701,0.75)</f>
        <v>0.51</v>
      </c>
    </row>
    <row r="709" spans="8:39" x14ac:dyDescent="0.35">
      <c r="H709" s="139"/>
      <c r="AA709" t="s">
        <v>1343</v>
      </c>
      <c r="AB709" s="80">
        <f>_xlfn.PERCENTILE.EXC(AB2:AB701,0.5)</f>
        <v>0.67491654197749062</v>
      </c>
      <c r="AC709" s="80"/>
      <c r="AD709" s="80"/>
      <c r="AF709" s="80"/>
      <c r="AH709" s="80"/>
      <c r="AI709" s="80"/>
      <c r="AJ709" s="80"/>
      <c r="AK709" s="80"/>
      <c r="AL709" s="80"/>
      <c r="AM709" s="80">
        <f>_xlfn.PERCENTILE.EXC(AM2:AM701,0.5)</f>
        <v>0.25</v>
      </c>
    </row>
    <row r="710" spans="8:39" x14ac:dyDescent="0.35">
      <c r="H710" s="139"/>
      <c r="AA710" t="s">
        <v>1344</v>
      </c>
      <c r="AB710">
        <f>_xlfn.STDEV.P(AB2:AB701)</f>
        <v>3.9089125031931449</v>
      </c>
      <c r="AK710"/>
      <c r="AM710">
        <f t="shared" ref="AM710" si="417">_xlfn.STDEV.P(AM2:AM701)</f>
        <v>0.41489152808637947</v>
      </c>
    </row>
  </sheetData>
  <autoFilter ref="A1:AL696"/>
  <conditionalFormatting sqref="C668:C696 C702:C1048576 E697:E701 C611 C600:C608 C1:C2 C20:C34 C54:C61 C439:C481 C63:C67 C69:C71 C403:C437 C74:C75 C77:C80 C82:C83 C85:C89 C286:C290 C91:C93 C95:C115 C117:C127 C129:C161 C163:C171 C177 C182:C188 C190:C195 C197:C203 C205:C220 C223:C235 C484:C499 C237:C241 C243:C279 C292:C326 C281:C284 C328:C338 C340:C343 C345:C401 C501:C523 C173:C175">
    <cfRule type="duplicateValues" dxfId="67" priority="19"/>
  </conditionalFormatting>
  <conditionalFormatting sqref="B695:B1048576 B668:B685 B611 B600:B608 B1:B14 B28:B96 B104:B118 B211:B229 B508:B523 B434:B451 B374:B419 B461:B477 B125:B154 B231:B252">
    <cfRule type="duplicateValues" dxfId="66" priority="17"/>
  </conditionalFormatting>
  <conditionalFormatting sqref="C668:C696 C702:C1048576 E697:E701 C611 C484:C499 C439:C481 C1:C2 C54:C61 C20:C35 C63:C67 C69:C71 C403:C437 C74:C75 C77:C80 C82:C83 C85:C89 C286:C290 C91:C93 C95:C115 C117:C127 C129:C161 C163:C171 C177 C182:C188 C190:C195 C197:C203 C205:C220 C223:C235 C237:C241 C243:C279 C292:C326 C281:C284 C328:C338 C340:C343 C345:C401 C501:C540 C542:C608 C173:C175">
    <cfRule type="duplicateValues" dxfId="65" priority="14"/>
  </conditionalFormatting>
  <conditionalFormatting sqref="C270:C279 C286 C281:C284">
    <cfRule type="duplicateValues" dxfId="64" priority="99"/>
  </conditionalFormatting>
  <conditionalFormatting sqref="C574">
    <cfRule type="duplicateValues" dxfId="63" priority="659"/>
  </conditionalFormatting>
  <conditionalFormatting sqref="C657:C663">
    <cfRule type="duplicateValues" dxfId="62" priority="2439"/>
  </conditionalFormatting>
  <conditionalFormatting sqref="C664:C667">
    <cfRule type="duplicateValues" dxfId="61" priority="2767"/>
  </conditionalFormatting>
  <conditionalFormatting sqref="C595:C599">
    <cfRule type="duplicateValues" dxfId="60" priority="2851"/>
  </conditionalFormatting>
  <conditionalFormatting sqref="B253 B255:B258 B261:B333">
    <cfRule type="duplicateValues" dxfId="59" priority="11"/>
  </conditionalFormatting>
  <conditionalFormatting sqref="B334">
    <cfRule type="duplicateValues" dxfId="58" priority="10"/>
  </conditionalFormatting>
  <conditionalFormatting sqref="B254">
    <cfRule type="duplicateValues" dxfId="57" priority="8"/>
  </conditionalFormatting>
  <conditionalFormatting sqref="B259">
    <cfRule type="duplicateValues" dxfId="56" priority="4"/>
  </conditionalFormatting>
  <conditionalFormatting sqref="B260">
    <cfRule type="duplicateValues" dxfId="55" priority="5"/>
  </conditionalFormatting>
  <conditionalFormatting sqref="B335:B373">
    <cfRule type="duplicateValues" dxfId="54" priority="2935"/>
  </conditionalFormatting>
  <conditionalFormatting sqref="C172">
    <cfRule type="duplicateValues" dxfId="53" priority="3"/>
  </conditionalFormatting>
  <conditionalFormatting sqref="B172">
    <cfRule type="duplicateValues" dxfId="52" priority="2"/>
  </conditionalFormatting>
  <conditionalFormatting sqref="C172">
    <cfRule type="duplicateValues" dxfId="51" priority="1"/>
  </conditionalFormatting>
  <pageMargins left="0.7" right="0.7" top="0.75" bottom="0.75" header="0.3" footer="0.3"/>
  <pageSetup paperSize="9" orientation="portrait" horizontalDpi="200" verticalDpi="2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54"/>
  <sheetViews>
    <sheetView workbookViewId="0">
      <pane ySplit="1" topLeftCell="A2" activePane="bottomLeft" state="frozen"/>
      <selection pane="bottomLeft" activeCell="AE10" sqref="AE10"/>
    </sheetView>
  </sheetViews>
  <sheetFormatPr defaultRowHeight="14.5" x14ac:dyDescent="0.35"/>
  <cols>
    <col min="14" max="14" width="9.1796875" style="34"/>
  </cols>
  <sheetData>
    <row r="1" spans="1:29" x14ac:dyDescent="0.35">
      <c r="B1" s="6" t="s">
        <v>1311</v>
      </c>
      <c r="C1" s="6" t="s">
        <v>1330</v>
      </c>
      <c r="D1" s="6" t="s">
        <v>23</v>
      </c>
      <c r="E1" s="6" t="s">
        <v>1312</v>
      </c>
      <c r="F1" s="6" t="s">
        <v>1359</v>
      </c>
      <c r="G1" s="6" t="s">
        <v>1313</v>
      </c>
      <c r="H1" s="6" t="s">
        <v>1361</v>
      </c>
      <c r="I1" s="46" t="s">
        <v>1314</v>
      </c>
      <c r="J1" s="46" t="s">
        <v>1362</v>
      </c>
      <c r="K1" s="6" t="s">
        <v>1315</v>
      </c>
      <c r="L1" s="6" t="s">
        <v>1316</v>
      </c>
      <c r="M1" s="6" t="s">
        <v>1354</v>
      </c>
      <c r="N1" s="130" t="s">
        <v>1363</v>
      </c>
      <c r="O1" s="6" t="s">
        <v>40</v>
      </c>
      <c r="P1" s="6" t="s">
        <v>1318</v>
      </c>
      <c r="Q1" s="6" t="s">
        <v>41</v>
      </c>
      <c r="R1" s="6" t="s">
        <v>42</v>
      </c>
      <c r="S1" s="6" t="s">
        <v>35</v>
      </c>
      <c r="T1" s="22" t="s">
        <v>36</v>
      </c>
      <c r="U1" s="6" t="s">
        <v>37</v>
      </c>
      <c r="V1" s="6" t="s">
        <v>31</v>
      </c>
      <c r="W1" s="6" t="s">
        <v>1364</v>
      </c>
      <c r="X1" s="6" t="s">
        <v>32</v>
      </c>
      <c r="Y1" s="6" t="s">
        <v>33</v>
      </c>
      <c r="Z1" s="6" t="s">
        <v>1365</v>
      </c>
      <c r="AA1" s="6" t="s">
        <v>1366</v>
      </c>
      <c r="AB1" s="6" t="s">
        <v>1317</v>
      </c>
      <c r="AC1" s="6"/>
    </row>
    <row r="2" spans="1:29" x14ac:dyDescent="0.35">
      <c r="A2" s="58" t="s">
        <v>45</v>
      </c>
      <c r="B2" s="129">
        <v>-0.8</v>
      </c>
      <c r="C2" s="50">
        <f>IF(B2=-1,-1,LOG(1+B2))</f>
        <v>-0.69897000433601886</v>
      </c>
      <c r="D2" s="50">
        <v>2.2219178082191782</v>
      </c>
      <c r="E2" s="50">
        <v>0</v>
      </c>
      <c r="F2" s="50">
        <f>IF(E2=0,0,LOG(E2))</f>
        <v>0</v>
      </c>
      <c r="G2" s="50">
        <v>108</v>
      </c>
      <c r="H2" s="50">
        <f>IF(G2=0,0,LOG(G2))</f>
        <v>2.0334237554869499</v>
      </c>
      <c r="I2" s="71">
        <v>2.95</v>
      </c>
      <c r="J2" s="71">
        <f>IF(K2=0,0,LOG(K2))</f>
        <v>0</v>
      </c>
      <c r="K2" s="60">
        <v>0</v>
      </c>
      <c r="L2" s="61">
        <v>0.7</v>
      </c>
      <c r="M2" s="60">
        <f>LOG(1+L2)</f>
        <v>0.23044892137827391</v>
      </c>
      <c r="N2" s="62">
        <f>IF(O2=0,0,LOG(O2))</f>
        <v>0.95424250943932487</v>
      </c>
      <c r="O2" s="50">
        <v>9</v>
      </c>
      <c r="P2" s="50">
        <f t="shared" ref="P2:P65" si="0">IF(E2=0,0,1)</f>
        <v>0</v>
      </c>
      <c r="Q2" s="50">
        <v>70</v>
      </c>
      <c r="R2" s="50">
        <v>70</v>
      </c>
      <c r="S2" s="50">
        <v>85</v>
      </c>
      <c r="T2" s="62">
        <v>26.2</v>
      </c>
      <c r="U2" s="63">
        <v>37.8446121410093</v>
      </c>
      <c r="V2" s="50">
        <v>2315.9650000000001</v>
      </c>
      <c r="W2" s="50">
        <f>LOG(V2)</f>
        <v>3.3647319918335836</v>
      </c>
      <c r="X2" s="64">
        <v>4</v>
      </c>
      <c r="Y2" s="50">
        <v>3703.9029999999998</v>
      </c>
      <c r="Z2" s="50">
        <f>LOG(Y2)</f>
        <v>3.568659604598353</v>
      </c>
      <c r="AA2" s="50">
        <f>LOG(AB2)</f>
        <v>9.0413926851582254</v>
      </c>
      <c r="AB2" s="83">
        <v>1100000000</v>
      </c>
    </row>
    <row r="3" spans="1:29" x14ac:dyDescent="0.35">
      <c r="A3" s="51" t="s">
        <v>45</v>
      </c>
      <c r="B3" s="52">
        <v>14.227272727272727</v>
      </c>
      <c r="C3" s="50">
        <f t="shared" ref="C3:C66" si="1">IF(B3=-1,-1,LOG(1+B3))</f>
        <v>1.182622126214639</v>
      </c>
      <c r="D3" s="52">
        <v>6.2547945205479456</v>
      </c>
      <c r="E3" s="52">
        <v>0</v>
      </c>
      <c r="F3" s="50">
        <f t="shared" ref="F3:F66" si="2">IF(E3=0,0,LOG(E3))</f>
        <v>0</v>
      </c>
      <c r="G3" s="52">
        <v>29</v>
      </c>
      <c r="H3" s="50">
        <f t="shared" ref="H3:H66" si="3">IF(G3=0,0,LOG(G3))</f>
        <v>1.4623979978989561</v>
      </c>
      <c r="I3" s="65">
        <v>2.95</v>
      </c>
      <c r="J3" s="71">
        <f t="shared" ref="J3:J66" si="4">IF(K3=0,0,LOG(K3))</f>
        <v>0</v>
      </c>
      <c r="K3" s="53">
        <v>0</v>
      </c>
      <c r="L3" s="54">
        <v>0.22</v>
      </c>
      <c r="M3" s="60">
        <f t="shared" ref="M3:M66" si="5">LOG(1+L3)</f>
        <v>8.6359830674748214E-2</v>
      </c>
      <c r="N3" s="62">
        <f t="shared" ref="N3:N66" si="6">IF(O3=0,0,LOG(O3))</f>
        <v>0</v>
      </c>
      <c r="O3" s="52">
        <v>0</v>
      </c>
      <c r="P3" s="52">
        <f t="shared" si="0"/>
        <v>0</v>
      </c>
      <c r="Q3" s="52">
        <v>70</v>
      </c>
      <c r="R3" s="52">
        <v>70</v>
      </c>
      <c r="S3" s="52">
        <v>85</v>
      </c>
      <c r="T3" s="55">
        <v>27</v>
      </c>
      <c r="U3" s="56">
        <v>37.123527923893597</v>
      </c>
      <c r="V3" s="52">
        <v>2232.1428599999999</v>
      </c>
      <c r="W3" s="50">
        <f t="shared" ref="W3:W66" si="7">LOG(V3)</f>
        <v>3.3487219865577531</v>
      </c>
      <c r="X3" s="57">
        <v>2</v>
      </c>
      <c r="Y3" s="57">
        <v>5650.5102040816337</v>
      </c>
      <c r="Z3" s="50">
        <f t="shared" ref="Z3:Z66" si="8">LOG(Y3)</f>
        <v>3.7520876635386311</v>
      </c>
      <c r="AA3" s="50">
        <f t="shared" ref="AA3:AA66" si="9">LOG(AB3)</f>
        <v>7.7403626894942441</v>
      </c>
      <c r="AB3" s="84">
        <v>55000000</v>
      </c>
    </row>
    <row r="4" spans="1:29" x14ac:dyDescent="0.35">
      <c r="A4" s="58" t="s">
        <v>45</v>
      </c>
      <c r="B4" s="50">
        <v>1.6865671641791047</v>
      </c>
      <c r="C4" s="50">
        <f t="shared" si="1"/>
        <v>0.42919770240247967</v>
      </c>
      <c r="D4" s="50">
        <v>0.34246575342465752</v>
      </c>
      <c r="E4" s="50">
        <v>0</v>
      </c>
      <c r="F4" s="50">
        <f t="shared" si="2"/>
        <v>0</v>
      </c>
      <c r="G4" s="50">
        <v>35</v>
      </c>
      <c r="H4" s="50">
        <f t="shared" si="3"/>
        <v>1.5440680443502757</v>
      </c>
      <c r="I4" s="59">
        <v>2.95</v>
      </c>
      <c r="J4" s="71">
        <f t="shared" si="4"/>
        <v>0</v>
      </c>
      <c r="K4" s="60">
        <v>0</v>
      </c>
      <c r="L4" s="61">
        <v>-0.24</v>
      </c>
      <c r="M4" s="60">
        <f t="shared" si="5"/>
        <v>-0.11918640771920865</v>
      </c>
      <c r="N4" s="62">
        <f t="shared" si="6"/>
        <v>1.2041199826559248</v>
      </c>
      <c r="O4" s="50">
        <v>16</v>
      </c>
      <c r="P4" s="50">
        <f t="shared" si="0"/>
        <v>0</v>
      </c>
      <c r="Q4" s="50">
        <v>70</v>
      </c>
      <c r="R4" s="50">
        <v>70</v>
      </c>
      <c r="S4" s="50">
        <v>85</v>
      </c>
      <c r="T4" s="62">
        <v>24.9</v>
      </c>
      <c r="U4" s="63">
        <v>36.710134890601303</v>
      </c>
      <c r="V4" s="50">
        <v>2346.775510204081</v>
      </c>
      <c r="W4" s="50">
        <f t="shared" si="7"/>
        <v>3.3704715474841587</v>
      </c>
      <c r="X4" s="64">
        <v>1</v>
      </c>
      <c r="Y4" s="50">
        <v>4324.8979591836742</v>
      </c>
      <c r="Z4" s="50">
        <f t="shared" si="8"/>
        <v>3.6359758652606611</v>
      </c>
      <c r="AA4" s="50">
        <f t="shared" si="9"/>
        <v>8.9229848157088831</v>
      </c>
      <c r="AB4" s="83">
        <v>837500000</v>
      </c>
    </row>
    <row r="5" spans="1:29" x14ac:dyDescent="0.35">
      <c r="A5" s="51" t="s">
        <v>45</v>
      </c>
      <c r="B5" s="52">
        <v>0.77927927927927931</v>
      </c>
      <c r="C5" s="50">
        <f t="shared" si="1"/>
        <v>0.25024412117582162</v>
      </c>
      <c r="D5" s="52">
        <v>11.731506849315069</v>
      </c>
      <c r="E5" s="52">
        <v>0</v>
      </c>
      <c r="F5" s="50">
        <f t="shared" si="2"/>
        <v>0</v>
      </c>
      <c r="G5" s="52">
        <v>20</v>
      </c>
      <c r="H5" s="50">
        <f t="shared" si="3"/>
        <v>1.3010299956639813</v>
      </c>
      <c r="I5" s="65">
        <v>2.95</v>
      </c>
      <c r="J5" s="71">
        <f t="shared" si="4"/>
        <v>0</v>
      </c>
      <c r="K5" s="53">
        <v>0</v>
      </c>
      <c r="L5" s="54">
        <v>-0.02</v>
      </c>
      <c r="M5" s="60">
        <f t="shared" si="5"/>
        <v>-8.7739243075051505E-3</v>
      </c>
      <c r="N5" s="62">
        <f t="shared" si="6"/>
        <v>1.3010299956639813</v>
      </c>
      <c r="O5" s="52">
        <v>20</v>
      </c>
      <c r="P5" s="52">
        <f t="shared" si="0"/>
        <v>0</v>
      </c>
      <c r="Q5" s="52">
        <v>70</v>
      </c>
      <c r="R5" s="52">
        <v>70</v>
      </c>
      <c r="S5" s="52">
        <v>85</v>
      </c>
      <c r="T5" s="55">
        <v>27.8</v>
      </c>
      <c r="U5" s="56">
        <v>34.656907836978597</v>
      </c>
      <c r="V5" s="52">
        <v>2443.0081229801726</v>
      </c>
      <c r="W5" s="50">
        <f t="shared" si="7"/>
        <v>3.3879249110011078</v>
      </c>
      <c r="X5" s="57">
        <v>1</v>
      </c>
      <c r="Y5" s="52">
        <v>8757.9701283954928</v>
      </c>
      <c r="Z5" s="50">
        <f t="shared" si="8"/>
        <v>3.9424034595709814</v>
      </c>
      <c r="AA5" s="50">
        <f t="shared" si="9"/>
        <v>8.8876173003357355</v>
      </c>
      <c r="AB5" s="84">
        <v>772000000</v>
      </c>
    </row>
    <row r="6" spans="1:29" x14ac:dyDescent="0.35">
      <c r="A6" s="58" t="s">
        <v>45</v>
      </c>
      <c r="B6" s="50">
        <v>0.49571132000000007</v>
      </c>
      <c r="C6" s="50">
        <f t="shared" si="1"/>
        <v>0.17484778054114877</v>
      </c>
      <c r="D6" s="50">
        <v>2.1041095890410957</v>
      </c>
      <c r="E6" s="50">
        <v>0</v>
      </c>
      <c r="F6" s="50">
        <f t="shared" si="2"/>
        <v>0</v>
      </c>
      <c r="G6" s="50">
        <v>121</v>
      </c>
      <c r="H6" s="50">
        <f t="shared" si="3"/>
        <v>2.0827853703164503</v>
      </c>
      <c r="I6" s="59">
        <v>2.95</v>
      </c>
      <c r="J6" s="71">
        <f t="shared" si="4"/>
        <v>0</v>
      </c>
      <c r="K6" s="60">
        <v>0</v>
      </c>
      <c r="L6" s="61">
        <v>0.41</v>
      </c>
      <c r="M6" s="60">
        <f t="shared" si="5"/>
        <v>0.14921911265537988</v>
      </c>
      <c r="N6" s="62">
        <f t="shared" si="6"/>
        <v>1.5314789170422551</v>
      </c>
      <c r="O6" s="50">
        <v>34</v>
      </c>
      <c r="P6" s="50">
        <f t="shared" si="0"/>
        <v>0</v>
      </c>
      <c r="Q6" s="50">
        <v>70</v>
      </c>
      <c r="R6" s="50">
        <v>70</v>
      </c>
      <c r="S6" s="50">
        <v>85</v>
      </c>
      <c r="T6" s="62">
        <v>24.9</v>
      </c>
      <c r="U6" s="63">
        <v>36.710134890601303</v>
      </c>
      <c r="V6" s="50">
        <v>2446.451</v>
      </c>
      <c r="W6" s="50">
        <f t="shared" si="7"/>
        <v>3.388536521693045</v>
      </c>
      <c r="X6" s="64">
        <v>2</v>
      </c>
      <c r="Y6" s="50">
        <v>6578.8239999999996</v>
      </c>
      <c r="Z6" s="50">
        <f t="shared" si="8"/>
        <v>3.8181482680887449</v>
      </c>
      <c r="AA6" s="50">
        <f t="shared" si="9"/>
        <v>8.5440680443502757</v>
      </c>
      <c r="AB6" s="83">
        <v>350000000</v>
      </c>
    </row>
    <row r="7" spans="1:29" x14ac:dyDescent="0.35">
      <c r="A7" s="51" t="s">
        <v>45</v>
      </c>
      <c r="B7" s="52">
        <v>-0.26101759938617941</v>
      </c>
      <c r="C7" s="50">
        <f t="shared" si="1"/>
        <v>-0.13136590451088112</v>
      </c>
      <c r="D7" s="52">
        <v>1.8410958904109589</v>
      </c>
      <c r="E7" s="52">
        <v>0</v>
      </c>
      <c r="F7" s="50">
        <f t="shared" si="2"/>
        <v>0</v>
      </c>
      <c r="G7" s="52">
        <v>13</v>
      </c>
      <c r="H7" s="50">
        <f t="shared" si="3"/>
        <v>1.1139433523068367</v>
      </c>
      <c r="I7" s="65">
        <v>2.95</v>
      </c>
      <c r="J7" s="71">
        <f t="shared" si="4"/>
        <v>0</v>
      </c>
      <c r="K7" s="53">
        <v>0</v>
      </c>
      <c r="L7" s="54">
        <v>0.22</v>
      </c>
      <c r="M7" s="60">
        <f t="shared" si="5"/>
        <v>8.6359830674748214E-2</v>
      </c>
      <c r="N7" s="62">
        <f t="shared" si="6"/>
        <v>1.3222192947339193</v>
      </c>
      <c r="O7" s="52">
        <v>21</v>
      </c>
      <c r="P7" s="52">
        <f t="shared" si="0"/>
        <v>0</v>
      </c>
      <c r="Q7" s="52">
        <v>70</v>
      </c>
      <c r="R7" s="52">
        <v>70</v>
      </c>
      <c r="S7" s="52">
        <v>85</v>
      </c>
      <c r="T7" s="55">
        <v>25.9</v>
      </c>
      <c r="U7" s="56">
        <v>36.959146749272797</v>
      </c>
      <c r="V7" s="52">
        <v>4192.5515477649324</v>
      </c>
      <c r="W7" s="50">
        <f t="shared" si="7"/>
        <v>3.6224784109972026</v>
      </c>
      <c r="X7" s="57">
        <v>2</v>
      </c>
      <c r="Y7" s="52">
        <v>6098.886461718791</v>
      </c>
      <c r="Z7" s="50">
        <f t="shared" si="8"/>
        <v>3.7852505485064163</v>
      </c>
      <c r="AA7" s="50">
        <f t="shared" si="9"/>
        <v>8.6201985388932822</v>
      </c>
      <c r="AB7" s="84">
        <v>417060000</v>
      </c>
    </row>
    <row r="8" spans="1:29" x14ac:dyDescent="0.35">
      <c r="A8" s="58" t="s">
        <v>45</v>
      </c>
      <c r="B8" s="50">
        <v>-0.33275555555555558</v>
      </c>
      <c r="C8" s="50">
        <f t="shared" si="1"/>
        <v>-0.17571503351222853</v>
      </c>
      <c r="D8" s="50">
        <v>8.1095890410958908</v>
      </c>
      <c r="E8" s="50">
        <v>0</v>
      </c>
      <c r="F8" s="50">
        <f t="shared" si="2"/>
        <v>0</v>
      </c>
      <c r="G8" s="50">
        <v>39</v>
      </c>
      <c r="H8" s="50">
        <f t="shared" si="3"/>
        <v>1.5910646070264991</v>
      </c>
      <c r="I8" s="59">
        <v>2.95</v>
      </c>
      <c r="J8" s="71">
        <f t="shared" si="4"/>
        <v>0</v>
      </c>
      <c r="K8" s="60">
        <v>0</v>
      </c>
      <c r="L8" s="61">
        <v>0.54</v>
      </c>
      <c r="M8" s="60">
        <f t="shared" si="5"/>
        <v>0.18752072083646307</v>
      </c>
      <c r="N8" s="62">
        <f t="shared" si="6"/>
        <v>1.2041199826559248</v>
      </c>
      <c r="O8" s="50">
        <v>16</v>
      </c>
      <c r="P8" s="50">
        <f t="shared" si="0"/>
        <v>0</v>
      </c>
      <c r="Q8" s="50">
        <v>70</v>
      </c>
      <c r="R8" s="50">
        <v>70</v>
      </c>
      <c r="S8" s="50">
        <v>93.2</v>
      </c>
      <c r="T8" s="62">
        <v>26.7</v>
      </c>
      <c r="U8" s="63">
        <v>36.669158714517401</v>
      </c>
      <c r="V8" s="50">
        <v>1518.5350000000001</v>
      </c>
      <c r="W8" s="50">
        <f t="shared" si="7"/>
        <v>3.1814248062191788</v>
      </c>
      <c r="X8" s="64">
        <v>2</v>
      </c>
      <c r="Y8" s="50">
        <v>5363.16</v>
      </c>
      <c r="Z8" s="50">
        <f t="shared" si="8"/>
        <v>3.7294207535322617</v>
      </c>
      <c r="AA8" s="50">
        <f t="shared" si="9"/>
        <v>9.3521825181113627</v>
      </c>
      <c r="AB8" s="83">
        <v>2250000000</v>
      </c>
    </row>
    <row r="9" spans="1:29" x14ac:dyDescent="0.35">
      <c r="A9" s="51" t="s">
        <v>45</v>
      </c>
      <c r="B9" s="52">
        <v>0.22133179313166318</v>
      </c>
      <c r="C9" s="50">
        <f t="shared" si="1"/>
        <v>8.6833662594784505E-2</v>
      </c>
      <c r="D9" s="52">
        <v>6.2520547945205482</v>
      </c>
      <c r="E9" s="52">
        <v>0</v>
      </c>
      <c r="F9" s="50">
        <f t="shared" si="2"/>
        <v>0</v>
      </c>
      <c r="G9" s="52">
        <v>14</v>
      </c>
      <c r="H9" s="50">
        <f t="shared" si="3"/>
        <v>1.146128035678238</v>
      </c>
      <c r="I9" s="65">
        <v>2.95</v>
      </c>
      <c r="J9" s="71">
        <f t="shared" si="4"/>
        <v>0</v>
      </c>
      <c r="K9" s="53">
        <v>0</v>
      </c>
      <c r="L9" s="54">
        <v>7.0000000000000007E-2</v>
      </c>
      <c r="M9" s="60">
        <f t="shared" si="5"/>
        <v>2.9383777685209667E-2</v>
      </c>
      <c r="N9" s="62">
        <f t="shared" si="6"/>
        <v>1.2787536009528289</v>
      </c>
      <c r="O9" s="52">
        <v>19</v>
      </c>
      <c r="P9" s="52">
        <f t="shared" si="0"/>
        <v>0</v>
      </c>
      <c r="Q9" s="52">
        <v>70</v>
      </c>
      <c r="R9" s="52">
        <v>70</v>
      </c>
      <c r="S9" s="52">
        <v>93.2</v>
      </c>
      <c r="T9" s="55">
        <v>26.7</v>
      </c>
      <c r="U9" s="56">
        <v>36.669158714517401</v>
      </c>
      <c r="V9" s="55">
        <v>1246.953</v>
      </c>
      <c r="W9" s="50">
        <f t="shared" si="7"/>
        <v>3.0958500844125241</v>
      </c>
      <c r="X9" s="57">
        <v>3</v>
      </c>
      <c r="Y9" s="52">
        <v>3219.7179999999998</v>
      </c>
      <c r="Z9" s="50">
        <f t="shared" si="8"/>
        <v>3.5078178355445662</v>
      </c>
      <c r="AA9" s="50">
        <f t="shared" si="9"/>
        <v>9.1042787912049477</v>
      </c>
      <c r="AB9" s="84">
        <v>1271390000</v>
      </c>
    </row>
    <row r="10" spans="1:29" x14ac:dyDescent="0.35">
      <c r="A10" s="58" t="s">
        <v>45</v>
      </c>
      <c r="B10" s="50">
        <v>0.28692767466468383</v>
      </c>
      <c r="C10" s="50">
        <f t="shared" si="1"/>
        <v>0.10955414024032455</v>
      </c>
      <c r="D10" s="50">
        <v>6.9452054794520546</v>
      </c>
      <c r="E10" s="50">
        <v>0</v>
      </c>
      <c r="F10" s="50">
        <f t="shared" si="2"/>
        <v>0</v>
      </c>
      <c r="G10" s="50">
        <v>37</v>
      </c>
      <c r="H10" s="50">
        <f t="shared" si="3"/>
        <v>1.568201724066995</v>
      </c>
      <c r="I10" s="59">
        <v>2.95</v>
      </c>
      <c r="J10" s="71">
        <f t="shared" si="4"/>
        <v>0</v>
      </c>
      <c r="K10" s="60">
        <v>0</v>
      </c>
      <c r="L10" s="61">
        <v>0.21</v>
      </c>
      <c r="M10" s="60">
        <f t="shared" si="5"/>
        <v>8.2785370316450071E-2</v>
      </c>
      <c r="N10" s="62">
        <f t="shared" si="6"/>
        <v>1.146128035678238</v>
      </c>
      <c r="O10" s="50">
        <v>14</v>
      </c>
      <c r="P10" s="50">
        <f t="shared" si="0"/>
        <v>0</v>
      </c>
      <c r="Q10" s="50">
        <v>70</v>
      </c>
      <c r="R10" s="50">
        <v>70</v>
      </c>
      <c r="S10" s="50">
        <v>93.2</v>
      </c>
      <c r="T10" s="62">
        <v>26.7</v>
      </c>
      <c r="U10" s="63">
        <v>36.669158714517401</v>
      </c>
      <c r="V10" s="50">
        <v>1486.1596345068529</v>
      </c>
      <c r="W10" s="50">
        <f t="shared" si="7"/>
        <v>3.172065461283164</v>
      </c>
      <c r="X10" s="64">
        <v>2</v>
      </c>
      <c r="Y10" s="50">
        <v>7950.819672131146</v>
      </c>
      <c r="Z10" s="50">
        <f t="shared" si="8"/>
        <v>3.9004119035914964</v>
      </c>
      <c r="AA10" s="50">
        <f t="shared" si="9"/>
        <v>9.2148650326276833</v>
      </c>
      <c r="AB10" s="83">
        <v>1640080000</v>
      </c>
    </row>
    <row r="11" spans="1:29" x14ac:dyDescent="0.35">
      <c r="A11" s="51" t="s">
        <v>45</v>
      </c>
      <c r="B11" s="52">
        <v>1.0228310502283104</v>
      </c>
      <c r="C11" s="50">
        <f t="shared" si="1"/>
        <v>0.30595961138295119</v>
      </c>
      <c r="D11" s="52">
        <v>5.2986301369863016</v>
      </c>
      <c r="E11" s="52">
        <v>0</v>
      </c>
      <c r="F11" s="50">
        <f t="shared" si="2"/>
        <v>0</v>
      </c>
      <c r="G11" s="52">
        <v>7</v>
      </c>
      <c r="H11" s="50">
        <f t="shared" si="3"/>
        <v>0.84509804001425681</v>
      </c>
      <c r="I11" s="65">
        <v>2.95</v>
      </c>
      <c r="J11" s="71">
        <f t="shared" si="4"/>
        <v>0</v>
      </c>
      <c r="K11" s="53">
        <v>0</v>
      </c>
      <c r="L11" s="54">
        <v>-0.1</v>
      </c>
      <c r="M11" s="60">
        <f t="shared" si="5"/>
        <v>-4.5757490560675115E-2</v>
      </c>
      <c r="N11" s="62">
        <f t="shared" si="6"/>
        <v>1.255272505103306</v>
      </c>
      <c r="O11" s="52">
        <v>18</v>
      </c>
      <c r="P11" s="52">
        <f t="shared" si="0"/>
        <v>0</v>
      </c>
      <c r="Q11" s="52">
        <v>70</v>
      </c>
      <c r="R11" s="52">
        <v>70</v>
      </c>
      <c r="S11" s="52">
        <v>91.4</v>
      </c>
      <c r="T11" s="55">
        <v>26.7</v>
      </c>
      <c r="U11" s="56">
        <v>37.425715444240403</v>
      </c>
      <c r="V11" s="52">
        <v>2652.825836216839</v>
      </c>
      <c r="W11" s="50">
        <f t="shared" si="7"/>
        <v>3.4237087385413827</v>
      </c>
      <c r="X11" s="57">
        <v>5</v>
      </c>
      <c r="Y11" s="52">
        <v>4960.527482912571</v>
      </c>
      <c r="Z11" s="50">
        <f t="shared" si="8"/>
        <v>3.6955278601067114</v>
      </c>
      <c r="AA11" s="50">
        <f t="shared" si="9"/>
        <v>8.151063253353751</v>
      </c>
      <c r="AB11" s="84">
        <v>141600000</v>
      </c>
    </row>
    <row r="12" spans="1:29" x14ac:dyDescent="0.35">
      <c r="A12" s="58" t="s">
        <v>45</v>
      </c>
      <c r="B12" s="50">
        <v>-1</v>
      </c>
      <c r="C12" s="50">
        <f t="shared" si="1"/>
        <v>-1</v>
      </c>
      <c r="D12" s="50">
        <v>3.1232876712328768</v>
      </c>
      <c r="E12" s="50">
        <v>0</v>
      </c>
      <c r="F12" s="50">
        <f t="shared" si="2"/>
        <v>0</v>
      </c>
      <c r="G12" s="50">
        <v>18</v>
      </c>
      <c r="H12" s="50">
        <f t="shared" si="3"/>
        <v>1.255272505103306</v>
      </c>
      <c r="I12" s="59">
        <v>2.95</v>
      </c>
      <c r="J12" s="71">
        <f t="shared" si="4"/>
        <v>0</v>
      </c>
      <c r="K12" s="60">
        <v>0</v>
      </c>
      <c r="L12" s="61">
        <v>-0.2</v>
      </c>
      <c r="M12" s="60">
        <f t="shared" si="5"/>
        <v>-9.6910013008056392E-2</v>
      </c>
      <c r="N12" s="62">
        <f t="shared" si="6"/>
        <v>1.6627578316815741</v>
      </c>
      <c r="O12" s="50">
        <v>46</v>
      </c>
      <c r="P12" s="50">
        <f t="shared" si="0"/>
        <v>0</v>
      </c>
      <c r="Q12" s="50">
        <v>70</v>
      </c>
      <c r="R12" s="50">
        <v>70</v>
      </c>
      <c r="S12" s="50">
        <v>91.4</v>
      </c>
      <c r="T12" s="62">
        <v>26.7</v>
      </c>
      <c r="U12" s="63">
        <v>37.425715444240403</v>
      </c>
      <c r="V12" s="50">
        <v>1663.3600000000004</v>
      </c>
      <c r="W12" s="50">
        <f t="shared" si="7"/>
        <v>3.2209862534849001</v>
      </c>
      <c r="X12" s="64">
        <v>2</v>
      </c>
      <c r="Y12" s="64">
        <v>9531.5199999999986</v>
      </c>
      <c r="Z12" s="50">
        <f t="shared" si="8"/>
        <v>3.979162163489756</v>
      </c>
      <c r="AA12" s="50">
        <f t="shared" si="9"/>
        <v>8.6117233080073419</v>
      </c>
      <c r="AB12" s="83">
        <v>409000000</v>
      </c>
    </row>
    <row r="13" spans="1:29" x14ac:dyDescent="0.35">
      <c r="A13" s="51" t="s">
        <v>45</v>
      </c>
      <c r="B13" s="52">
        <v>0.37777797145769632</v>
      </c>
      <c r="C13" s="50">
        <f t="shared" si="1"/>
        <v>0.13917923677347679</v>
      </c>
      <c r="D13" s="52">
        <v>3.4684931506849317</v>
      </c>
      <c r="E13" s="52">
        <v>0</v>
      </c>
      <c r="F13" s="50">
        <f t="shared" si="2"/>
        <v>0</v>
      </c>
      <c r="G13" s="52">
        <v>26</v>
      </c>
      <c r="H13" s="50">
        <f t="shared" si="3"/>
        <v>1.414973347970818</v>
      </c>
      <c r="I13" s="65">
        <v>2.95</v>
      </c>
      <c r="J13" s="71">
        <f t="shared" si="4"/>
        <v>0</v>
      </c>
      <c r="K13" s="53">
        <v>0</v>
      </c>
      <c r="L13" s="54">
        <v>-0.17</v>
      </c>
      <c r="M13" s="60">
        <f t="shared" si="5"/>
        <v>-8.092190762392612E-2</v>
      </c>
      <c r="N13" s="62">
        <f t="shared" si="6"/>
        <v>1.3617278360175928</v>
      </c>
      <c r="O13" s="52">
        <v>23</v>
      </c>
      <c r="P13" s="52">
        <f t="shared" si="0"/>
        <v>0</v>
      </c>
      <c r="Q13" s="52">
        <v>70</v>
      </c>
      <c r="R13" s="52">
        <v>70</v>
      </c>
      <c r="S13" s="52">
        <v>91.4</v>
      </c>
      <c r="T13" s="55">
        <v>26.7</v>
      </c>
      <c r="U13" s="56">
        <v>37.425715444240403</v>
      </c>
      <c r="V13" s="52">
        <v>2800</v>
      </c>
      <c r="W13" s="50">
        <f t="shared" si="7"/>
        <v>3.4471580313422194</v>
      </c>
      <c r="X13" s="57">
        <v>1</v>
      </c>
      <c r="Y13" s="52">
        <v>6800</v>
      </c>
      <c r="Z13" s="50">
        <f t="shared" si="8"/>
        <v>3.8325089127062362</v>
      </c>
      <c r="AA13" s="50">
        <f t="shared" si="9"/>
        <v>7.9916690073799481</v>
      </c>
      <c r="AB13" s="84">
        <v>98100000</v>
      </c>
    </row>
    <row r="14" spans="1:29" x14ac:dyDescent="0.35">
      <c r="A14" s="58" t="s">
        <v>45</v>
      </c>
      <c r="B14" s="50">
        <v>1.0428783603968705</v>
      </c>
      <c r="C14" s="50">
        <f t="shared" si="1"/>
        <v>0.31024250810031523</v>
      </c>
      <c r="D14" s="50">
        <v>5.0356164383561648</v>
      </c>
      <c r="E14" s="50">
        <v>0</v>
      </c>
      <c r="F14" s="50">
        <f t="shared" si="2"/>
        <v>0</v>
      </c>
      <c r="G14" s="50">
        <v>32</v>
      </c>
      <c r="H14" s="50">
        <f t="shared" si="3"/>
        <v>1.505149978319906</v>
      </c>
      <c r="I14" s="59">
        <v>2.95</v>
      </c>
      <c r="J14" s="71">
        <f t="shared" si="4"/>
        <v>0</v>
      </c>
      <c r="K14" s="60">
        <v>0</v>
      </c>
      <c r="L14" s="61">
        <v>-0.06</v>
      </c>
      <c r="M14" s="60">
        <f t="shared" si="5"/>
        <v>-2.6872146400301365E-2</v>
      </c>
      <c r="N14" s="62">
        <f t="shared" si="6"/>
        <v>1.3617278360175928</v>
      </c>
      <c r="O14" s="50">
        <v>23</v>
      </c>
      <c r="P14" s="50">
        <f t="shared" si="0"/>
        <v>0</v>
      </c>
      <c r="Q14" s="50">
        <v>70</v>
      </c>
      <c r="R14" s="50">
        <v>70</v>
      </c>
      <c r="S14" s="50">
        <v>91.4</v>
      </c>
      <c r="T14" s="62">
        <v>26.7</v>
      </c>
      <c r="U14" s="63">
        <v>37.425715444240403</v>
      </c>
      <c r="V14" s="50">
        <v>2108.7257617728528</v>
      </c>
      <c r="W14" s="50">
        <f t="shared" si="7"/>
        <v>3.3240201037352737</v>
      </c>
      <c r="X14" s="64">
        <v>1</v>
      </c>
      <c r="Y14" s="50">
        <v>5865.6509695290861</v>
      </c>
      <c r="Z14" s="50">
        <f t="shared" si="8"/>
        <v>3.7683162170970865</v>
      </c>
      <c r="AA14" s="50">
        <f t="shared" si="9"/>
        <v>9.4162476342971413</v>
      </c>
      <c r="AB14" s="83">
        <v>2607640000</v>
      </c>
    </row>
    <row r="15" spans="1:29" x14ac:dyDescent="0.35">
      <c r="A15" s="51" t="s">
        <v>45</v>
      </c>
      <c r="B15" s="52">
        <v>0.84551372391114699</v>
      </c>
      <c r="C15" s="50">
        <f t="shared" si="1"/>
        <v>0.26611727911537691</v>
      </c>
      <c r="D15" s="52">
        <v>3.7041095890410958</v>
      </c>
      <c r="E15" s="52">
        <v>0</v>
      </c>
      <c r="F15" s="50">
        <f t="shared" si="2"/>
        <v>0</v>
      </c>
      <c r="G15" s="52">
        <v>12</v>
      </c>
      <c r="H15" s="50">
        <f t="shared" si="3"/>
        <v>1.0791812460476249</v>
      </c>
      <c r="I15" s="65">
        <v>2.95</v>
      </c>
      <c r="J15" s="71">
        <f t="shared" si="4"/>
        <v>0</v>
      </c>
      <c r="K15" s="53">
        <v>0</v>
      </c>
      <c r="L15" s="54">
        <v>0.68</v>
      </c>
      <c r="M15" s="60">
        <f t="shared" si="5"/>
        <v>0.2253092817258629</v>
      </c>
      <c r="N15" s="62">
        <f t="shared" si="6"/>
        <v>1.414973347970818</v>
      </c>
      <c r="O15" s="52">
        <v>26</v>
      </c>
      <c r="P15" s="52">
        <f t="shared" si="0"/>
        <v>0</v>
      </c>
      <c r="Q15" s="52">
        <v>70</v>
      </c>
      <c r="R15" s="52">
        <v>70</v>
      </c>
      <c r="S15" s="52">
        <v>91.3</v>
      </c>
      <c r="T15" s="55">
        <v>23.5</v>
      </c>
      <c r="U15" s="56">
        <v>43.1672842383418</v>
      </c>
      <c r="V15" s="52">
        <v>2108.7257617728528</v>
      </c>
      <c r="W15" s="50">
        <f t="shared" si="7"/>
        <v>3.3240201037352737</v>
      </c>
      <c r="X15" s="57">
        <v>1</v>
      </c>
      <c r="Y15" s="52">
        <v>5865.6509695290861</v>
      </c>
      <c r="Z15" s="50">
        <f t="shared" si="8"/>
        <v>3.7683162170970865</v>
      </c>
      <c r="AA15" s="50">
        <f t="shared" si="9"/>
        <v>8.7302491709849903</v>
      </c>
      <c r="AB15" s="84">
        <v>537340000</v>
      </c>
    </row>
    <row r="16" spans="1:29" x14ac:dyDescent="0.35">
      <c r="A16" s="58" t="s">
        <v>45</v>
      </c>
      <c r="B16" s="50">
        <v>1.1632145368016875</v>
      </c>
      <c r="C16" s="50">
        <f t="shared" si="1"/>
        <v>0.3350995927302664</v>
      </c>
      <c r="D16" s="50">
        <v>6.6109589041095891</v>
      </c>
      <c r="E16" s="50">
        <v>0</v>
      </c>
      <c r="F16" s="50">
        <f t="shared" si="2"/>
        <v>0</v>
      </c>
      <c r="G16" s="50">
        <v>15</v>
      </c>
      <c r="H16" s="50">
        <f t="shared" si="3"/>
        <v>1.1760912590556813</v>
      </c>
      <c r="I16" s="59">
        <v>2.95</v>
      </c>
      <c r="J16" s="71">
        <f t="shared" si="4"/>
        <v>0</v>
      </c>
      <c r="K16" s="60">
        <v>0</v>
      </c>
      <c r="L16" s="61">
        <v>1.05</v>
      </c>
      <c r="M16" s="60">
        <f t="shared" si="5"/>
        <v>0.31175386105575426</v>
      </c>
      <c r="N16" s="62">
        <f t="shared" si="6"/>
        <v>1.255272505103306</v>
      </c>
      <c r="O16" s="50">
        <v>18</v>
      </c>
      <c r="P16" s="50">
        <f t="shared" si="0"/>
        <v>0</v>
      </c>
      <c r="Q16" s="50">
        <v>70</v>
      </c>
      <c r="R16" s="50">
        <v>70</v>
      </c>
      <c r="S16" s="50">
        <v>91.3</v>
      </c>
      <c r="T16" s="62">
        <v>23.5</v>
      </c>
      <c r="U16" s="63">
        <v>43.1672842383418</v>
      </c>
      <c r="V16" s="50">
        <v>2210.8843537414964</v>
      </c>
      <c r="W16" s="50">
        <f t="shared" si="7"/>
        <v>3.3445660262306984</v>
      </c>
      <c r="X16" s="64">
        <v>2</v>
      </c>
      <c r="Y16" s="64">
        <v>9535.1473922902496</v>
      </c>
      <c r="Z16" s="50">
        <f t="shared" si="8"/>
        <v>3.9793274106660923</v>
      </c>
      <c r="AA16" s="50">
        <f t="shared" si="9"/>
        <v>8.713969095303522</v>
      </c>
      <c r="AB16" s="83">
        <v>517570000</v>
      </c>
    </row>
    <row r="17" spans="1:28" x14ac:dyDescent="0.35">
      <c r="A17" s="51" t="s">
        <v>45</v>
      </c>
      <c r="B17" s="52">
        <v>0.95798490719967377</v>
      </c>
      <c r="C17" s="50">
        <f t="shared" si="1"/>
        <v>0.29180933979339019</v>
      </c>
      <c r="D17" s="52">
        <v>3.463013698630137</v>
      </c>
      <c r="E17" s="52">
        <v>0</v>
      </c>
      <c r="F17" s="50">
        <f t="shared" si="2"/>
        <v>0</v>
      </c>
      <c r="G17" s="52">
        <v>15</v>
      </c>
      <c r="H17" s="50">
        <f t="shared" si="3"/>
        <v>1.1760912590556813</v>
      </c>
      <c r="I17" s="65">
        <v>2.95</v>
      </c>
      <c r="J17" s="71">
        <f t="shared" si="4"/>
        <v>0</v>
      </c>
      <c r="K17" s="53">
        <v>0</v>
      </c>
      <c r="L17" s="54">
        <v>0.68</v>
      </c>
      <c r="M17" s="60">
        <f t="shared" si="5"/>
        <v>0.2253092817258629</v>
      </c>
      <c r="N17" s="62">
        <f t="shared" si="6"/>
        <v>1.3222192947339193</v>
      </c>
      <c r="O17" s="52">
        <v>21</v>
      </c>
      <c r="P17" s="52">
        <f t="shared" si="0"/>
        <v>0</v>
      </c>
      <c r="Q17" s="52">
        <v>70</v>
      </c>
      <c r="R17" s="52">
        <v>70</v>
      </c>
      <c r="S17" s="52">
        <v>91</v>
      </c>
      <c r="T17" s="55">
        <v>23.9</v>
      </c>
      <c r="U17" s="56">
        <v>42.048698215007001</v>
      </c>
      <c r="V17" s="52">
        <v>1392.6493823613905</v>
      </c>
      <c r="W17" s="50">
        <f t="shared" si="7"/>
        <v>3.1438417908875378</v>
      </c>
      <c r="X17" s="57">
        <v>5</v>
      </c>
      <c r="Y17" s="57">
        <v>3625.2154553289279</v>
      </c>
      <c r="Z17" s="50">
        <f t="shared" si="8"/>
        <v>3.5593338228462725</v>
      </c>
      <c r="AA17" s="50">
        <f t="shared" si="9"/>
        <v>8.9744840591234034</v>
      </c>
      <c r="AB17" s="84">
        <v>942940000</v>
      </c>
    </row>
    <row r="18" spans="1:28" x14ac:dyDescent="0.35">
      <c r="A18" s="58" t="s">
        <v>45</v>
      </c>
      <c r="B18" s="50">
        <v>2.0569020481243721</v>
      </c>
      <c r="C18" s="50">
        <f t="shared" si="1"/>
        <v>0.48528152291299725</v>
      </c>
      <c r="D18" s="50">
        <v>4.3397260273972602</v>
      </c>
      <c r="E18" s="50">
        <v>0</v>
      </c>
      <c r="F18" s="50">
        <f t="shared" si="2"/>
        <v>0</v>
      </c>
      <c r="G18" s="50">
        <v>29</v>
      </c>
      <c r="H18" s="50">
        <f t="shared" si="3"/>
        <v>1.4623979978989561</v>
      </c>
      <c r="I18" s="59">
        <v>2.95</v>
      </c>
      <c r="J18" s="71">
        <f t="shared" si="4"/>
        <v>0</v>
      </c>
      <c r="K18" s="60">
        <v>0</v>
      </c>
      <c r="L18" s="61">
        <v>0.6</v>
      </c>
      <c r="M18" s="60">
        <f t="shared" si="5"/>
        <v>0.20411998265592479</v>
      </c>
      <c r="N18" s="62">
        <f t="shared" si="6"/>
        <v>0.6020599913279624</v>
      </c>
      <c r="O18" s="50">
        <v>4</v>
      </c>
      <c r="P18" s="50">
        <f t="shared" si="0"/>
        <v>0</v>
      </c>
      <c r="Q18" s="50">
        <v>70</v>
      </c>
      <c r="R18" s="50">
        <v>70</v>
      </c>
      <c r="S18" s="50">
        <v>91.1</v>
      </c>
      <c r="T18" s="62">
        <v>24.1</v>
      </c>
      <c r="U18" s="63">
        <v>40.229046020662899</v>
      </c>
      <c r="V18" s="50">
        <v>4989.5876718034151</v>
      </c>
      <c r="W18" s="50">
        <f t="shared" si="7"/>
        <v>3.698064657996265</v>
      </c>
      <c r="X18" s="64">
        <v>1</v>
      </c>
      <c r="Y18" s="64">
        <v>9014.9937526030826</v>
      </c>
      <c r="Z18" s="50">
        <f t="shared" si="8"/>
        <v>3.9549654300921482</v>
      </c>
      <c r="AA18" s="50">
        <f t="shared" si="9"/>
        <v>9.0122042960307436</v>
      </c>
      <c r="AB18" s="83">
        <v>1028500000</v>
      </c>
    </row>
    <row r="19" spans="1:28" x14ac:dyDescent="0.35">
      <c r="A19" s="51" t="s">
        <v>45</v>
      </c>
      <c r="B19" s="52">
        <v>0.75495437118634912</v>
      </c>
      <c r="C19" s="50">
        <f t="shared" si="1"/>
        <v>0.24426582929210239</v>
      </c>
      <c r="D19" s="52">
        <v>3.5863013698630137</v>
      </c>
      <c r="E19" s="52">
        <v>0</v>
      </c>
      <c r="F19" s="50">
        <f t="shared" si="2"/>
        <v>0</v>
      </c>
      <c r="G19" s="52">
        <v>29</v>
      </c>
      <c r="H19" s="50">
        <f t="shared" si="3"/>
        <v>1.4623979978989561</v>
      </c>
      <c r="I19" s="65">
        <v>2.95</v>
      </c>
      <c r="J19" s="71">
        <f t="shared" si="4"/>
        <v>0</v>
      </c>
      <c r="K19" s="53">
        <v>0</v>
      </c>
      <c r="L19" s="54">
        <v>0.43</v>
      </c>
      <c r="M19" s="60">
        <f t="shared" si="5"/>
        <v>0.1553360374650618</v>
      </c>
      <c r="N19" s="62">
        <f t="shared" si="6"/>
        <v>1.4313637641589874</v>
      </c>
      <c r="O19" s="52">
        <v>27</v>
      </c>
      <c r="P19" s="52">
        <f t="shared" si="0"/>
        <v>0</v>
      </c>
      <c r="Q19" s="52">
        <v>70</v>
      </c>
      <c r="R19" s="52">
        <v>70</v>
      </c>
      <c r="S19" s="52">
        <v>91.1</v>
      </c>
      <c r="T19" s="55">
        <v>24.1</v>
      </c>
      <c r="U19" s="56">
        <v>40.229046020662899</v>
      </c>
      <c r="V19" s="52">
        <v>1861.76</v>
      </c>
      <c r="W19" s="50">
        <f t="shared" si="7"/>
        <v>3.2699236952309465</v>
      </c>
      <c r="X19" s="57">
        <v>2</v>
      </c>
      <c r="Y19" s="52">
        <v>4993.92</v>
      </c>
      <c r="Z19" s="50">
        <f t="shared" si="8"/>
        <v>3.6984415808994222</v>
      </c>
      <c r="AA19" s="50">
        <f t="shared" si="9"/>
        <v>9.1589351418299181</v>
      </c>
      <c r="AB19" s="84">
        <v>1441900000</v>
      </c>
    </row>
    <row r="20" spans="1:28" x14ac:dyDescent="0.35">
      <c r="A20" s="58" t="s">
        <v>45</v>
      </c>
      <c r="B20" s="50">
        <v>1.6562642299869466</v>
      </c>
      <c r="C20" s="50">
        <f t="shared" si="1"/>
        <v>0.42427127397820036</v>
      </c>
      <c r="D20" s="50">
        <v>5.1342465753424653</v>
      </c>
      <c r="E20" s="50">
        <v>0</v>
      </c>
      <c r="F20" s="50">
        <f t="shared" si="2"/>
        <v>0</v>
      </c>
      <c r="G20" s="50">
        <v>80</v>
      </c>
      <c r="H20" s="50">
        <f t="shared" si="3"/>
        <v>1.9030899869919435</v>
      </c>
      <c r="I20" s="59">
        <v>2.95</v>
      </c>
      <c r="J20" s="71">
        <f t="shared" si="4"/>
        <v>0</v>
      </c>
      <c r="K20" s="60">
        <v>0</v>
      </c>
      <c r="L20" s="61">
        <v>0.95</v>
      </c>
      <c r="M20" s="60">
        <f t="shared" si="5"/>
        <v>0.29003461136251801</v>
      </c>
      <c r="N20" s="62">
        <f t="shared" si="6"/>
        <v>1.3979400086720377</v>
      </c>
      <c r="O20" s="50">
        <v>25</v>
      </c>
      <c r="P20" s="50">
        <f t="shared" si="0"/>
        <v>0</v>
      </c>
      <c r="Q20" s="50">
        <v>70</v>
      </c>
      <c r="R20" s="50">
        <v>70</v>
      </c>
      <c r="S20" s="50">
        <v>91.1</v>
      </c>
      <c r="T20" s="62">
        <v>24.1</v>
      </c>
      <c r="U20" s="63">
        <v>40.229046020662899</v>
      </c>
      <c r="V20" s="50">
        <v>10000</v>
      </c>
      <c r="W20" s="50">
        <f t="shared" si="7"/>
        <v>4</v>
      </c>
      <c r="X20" s="64">
        <v>2</v>
      </c>
      <c r="Y20" s="64">
        <v>10000</v>
      </c>
      <c r="Z20" s="50">
        <f t="shared" si="8"/>
        <v>4</v>
      </c>
      <c r="AA20" s="50">
        <f t="shared" si="9"/>
        <v>8.7985263462493961</v>
      </c>
      <c r="AB20" s="83">
        <v>628820000</v>
      </c>
    </row>
    <row r="21" spans="1:28" x14ac:dyDescent="0.35">
      <c r="A21" s="51" t="s">
        <v>45</v>
      </c>
      <c r="B21" s="52">
        <v>1.8857661861106556</v>
      </c>
      <c r="C21" s="50">
        <f t="shared" si="1"/>
        <v>0.46026114027253617</v>
      </c>
      <c r="D21" s="52">
        <v>2.419178082191781</v>
      </c>
      <c r="E21" s="52">
        <v>0</v>
      </c>
      <c r="F21" s="50">
        <f t="shared" si="2"/>
        <v>0</v>
      </c>
      <c r="G21" s="52">
        <v>10</v>
      </c>
      <c r="H21" s="50">
        <f t="shared" si="3"/>
        <v>1</v>
      </c>
      <c r="I21" s="65">
        <v>2.95</v>
      </c>
      <c r="J21" s="71">
        <f t="shared" si="4"/>
        <v>0</v>
      </c>
      <c r="K21" s="53">
        <v>0</v>
      </c>
      <c r="L21" s="54">
        <v>0.28999999999999998</v>
      </c>
      <c r="M21" s="60">
        <f t="shared" si="5"/>
        <v>0.11058971029924898</v>
      </c>
      <c r="N21" s="62">
        <f t="shared" si="6"/>
        <v>1.2041199826559248</v>
      </c>
      <c r="O21" s="52">
        <v>16</v>
      </c>
      <c r="P21" s="52">
        <f t="shared" si="0"/>
        <v>0</v>
      </c>
      <c r="Q21" s="52">
        <v>70</v>
      </c>
      <c r="R21" s="52">
        <v>70</v>
      </c>
      <c r="S21" s="52">
        <v>84.7</v>
      </c>
      <c r="T21" s="55">
        <v>25.9</v>
      </c>
      <c r="U21" s="56">
        <v>38.207924771594499</v>
      </c>
      <c r="V21" s="52">
        <v>6514.6683673469379</v>
      </c>
      <c r="W21" s="50">
        <f t="shared" si="7"/>
        <v>3.8138923126200468</v>
      </c>
      <c r="X21" s="57">
        <v>2</v>
      </c>
      <c r="Y21" s="52">
        <v>8828.125</v>
      </c>
      <c r="Z21" s="50">
        <f t="shared" si="8"/>
        <v>3.9458684738355512</v>
      </c>
      <c r="AA21" s="50">
        <f t="shared" si="9"/>
        <v>9.1912441583133759</v>
      </c>
      <c r="AB21" s="84">
        <v>1553260000</v>
      </c>
    </row>
    <row r="22" spans="1:28" x14ac:dyDescent="0.35">
      <c r="A22" s="49" t="s">
        <v>45</v>
      </c>
      <c r="B22" s="50">
        <v>0.76241212121212132</v>
      </c>
      <c r="C22" s="50">
        <f t="shared" si="1"/>
        <v>0.24610747106817404</v>
      </c>
      <c r="D22" s="50">
        <v>5.2164383561643834</v>
      </c>
      <c r="E22" s="50">
        <v>0</v>
      </c>
      <c r="F22" s="50">
        <f t="shared" si="2"/>
        <v>0</v>
      </c>
      <c r="G22" s="50">
        <v>43</v>
      </c>
      <c r="H22" s="50">
        <f t="shared" si="3"/>
        <v>1.6334684555795864</v>
      </c>
      <c r="I22" s="59">
        <v>2.95</v>
      </c>
      <c r="J22" s="71">
        <f t="shared" si="4"/>
        <v>0</v>
      </c>
      <c r="K22" s="60">
        <v>0</v>
      </c>
      <c r="L22" s="61">
        <v>1</v>
      </c>
      <c r="M22" s="60">
        <f t="shared" si="5"/>
        <v>0.3010299956639812</v>
      </c>
      <c r="N22" s="62">
        <f t="shared" si="6"/>
        <v>1.5185139398778875</v>
      </c>
      <c r="O22" s="50">
        <v>33</v>
      </c>
      <c r="P22" s="50">
        <f t="shared" si="0"/>
        <v>0</v>
      </c>
      <c r="Q22" s="50">
        <v>70</v>
      </c>
      <c r="R22" s="50">
        <v>70</v>
      </c>
      <c r="S22" s="50">
        <v>91.9</v>
      </c>
      <c r="T22" s="62">
        <v>23</v>
      </c>
      <c r="U22" s="63">
        <v>43.262530407091703</v>
      </c>
      <c r="V22" s="50">
        <v>1171.498</v>
      </c>
      <c r="W22" s="50">
        <f t="shared" si="7"/>
        <v>3.0687415514991745</v>
      </c>
      <c r="X22" s="64">
        <v>4</v>
      </c>
      <c r="Y22" s="50">
        <v>3386.1060000000002</v>
      </c>
      <c r="Z22" s="50">
        <f t="shared" si="8"/>
        <v>3.5297005493117593</v>
      </c>
      <c r="AA22" s="50">
        <f t="shared" si="9"/>
        <v>9.2174839442139067</v>
      </c>
      <c r="AB22" s="50">
        <v>1650000000</v>
      </c>
    </row>
    <row r="23" spans="1:28" x14ac:dyDescent="0.35">
      <c r="A23" s="67" t="s">
        <v>45</v>
      </c>
      <c r="B23" s="52">
        <v>-1</v>
      </c>
      <c r="C23" s="50">
        <f t="shared" si="1"/>
        <v>-1</v>
      </c>
      <c r="D23" s="52">
        <v>12.517808219178082</v>
      </c>
      <c r="E23" s="52">
        <v>0</v>
      </c>
      <c r="F23" s="50">
        <f t="shared" si="2"/>
        <v>0</v>
      </c>
      <c r="G23" s="52">
        <v>48</v>
      </c>
      <c r="H23" s="50">
        <f t="shared" si="3"/>
        <v>1.6812412373755872</v>
      </c>
      <c r="I23" s="65">
        <v>2.95</v>
      </c>
      <c r="J23" s="71">
        <f t="shared" si="4"/>
        <v>0</v>
      </c>
      <c r="K23" s="53">
        <v>0</v>
      </c>
      <c r="L23" s="54">
        <v>1.1100000000000001</v>
      </c>
      <c r="M23" s="60">
        <f t="shared" si="5"/>
        <v>0.32428245529769273</v>
      </c>
      <c r="N23" s="62">
        <f t="shared" si="6"/>
        <v>1.4623979978989561</v>
      </c>
      <c r="O23" s="52">
        <v>29</v>
      </c>
      <c r="P23" s="52">
        <f t="shared" si="0"/>
        <v>0</v>
      </c>
      <c r="Q23" s="52">
        <v>70</v>
      </c>
      <c r="R23" s="52">
        <v>70</v>
      </c>
      <c r="S23" s="52">
        <v>85</v>
      </c>
      <c r="T23" s="55">
        <v>25.9</v>
      </c>
      <c r="U23" s="56">
        <v>36.959146749272797</v>
      </c>
      <c r="V23" s="52">
        <v>1171.498</v>
      </c>
      <c r="W23" s="50">
        <f t="shared" si="7"/>
        <v>3.0687415514991745</v>
      </c>
      <c r="X23" s="57">
        <v>4</v>
      </c>
      <c r="Y23" s="52">
        <v>3386.1060000000002</v>
      </c>
      <c r="Z23" s="50">
        <f t="shared" si="8"/>
        <v>3.5297005493117593</v>
      </c>
      <c r="AA23" s="50">
        <f t="shared" si="9"/>
        <v>9.8776241307459784</v>
      </c>
      <c r="AB23" s="52">
        <v>7544390000</v>
      </c>
    </row>
    <row r="24" spans="1:28" x14ac:dyDescent="0.35">
      <c r="A24" s="49" t="s">
        <v>45</v>
      </c>
      <c r="B24" s="50">
        <v>-0.15049257427822205</v>
      </c>
      <c r="C24" s="50">
        <f t="shared" si="1"/>
        <v>-7.083282051960034E-2</v>
      </c>
      <c r="D24" s="50">
        <v>10.704109589041096</v>
      </c>
      <c r="E24" s="50">
        <v>0</v>
      </c>
      <c r="F24" s="50">
        <f t="shared" si="2"/>
        <v>0</v>
      </c>
      <c r="G24" s="50">
        <v>37</v>
      </c>
      <c r="H24" s="50">
        <f t="shared" si="3"/>
        <v>1.568201724066995</v>
      </c>
      <c r="I24" s="59">
        <v>2.95</v>
      </c>
      <c r="J24" s="71">
        <f t="shared" si="4"/>
        <v>0</v>
      </c>
      <c r="K24" s="60">
        <v>0</v>
      </c>
      <c r="L24" s="61">
        <v>0.76</v>
      </c>
      <c r="M24" s="60">
        <f t="shared" si="5"/>
        <v>0.24551266781414982</v>
      </c>
      <c r="N24" s="62">
        <f t="shared" si="6"/>
        <v>1.4623979978989561</v>
      </c>
      <c r="O24" s="50">
        <v>29</v>
      </c>
      <c r="P24" s="50">
        <f t="shared" si="0"/>
        <v>0</v>
      </c>
      <c r="Q24" s="50">
        <v>70</v>
      </c>
      <c r="R24" s="50">
        <v>70</v>
      </c>
      <c r="S24" s="50">
        <v>85</v>
      </c>
      <c r="T24" s="62">
        <v>25.9</v>
      </c>
      <c r="U24" s="63">
        <v>36.959146749272797</v>
      </c>
      <c r="V24" s="50">
        <v>1171.498</v>
      </c>
      <c r="W24" s="50">
        <f t="shared" si="7"/>
        <v>3.0687415514991745</v>
      </c>
      <c r="X24" s="64">
        <v>4</v>
      </c>
      <c r="Y24" s="50">
        <v>3386.1060000000002</v>
      </c>
      <c r="Z24" s="50">
        <f t="shared" si="8"/>
        <v>3.5297005493117593</v>
      </c>
      <c r="AA24" s="50">
        <f t="shared" si="9"/>
        <v>10.024958290630849</v>
      </c>
      <c r="AB24" s="50">
        <v>10591520000</v>
      </c>
    </row>
    <row r="25" spans="1:28" x14ac:dyDescent="0.35">
      <c r="A25" s="67" t="s">
        <v>45</v>
      </c>
      <c r="B25" s="52">
        <v>0.37325984251968514</v>
      </c>
      <c r="C25" s="50">
        <f t="shared" si="1"/>
        <v>0.13775272040897549</v>
      </c>
      <c r="D25" s="52">
        <v>9.8849315068493144</v>
      </c>
      <c r="E25" s="52">
        <v>0</v>
      </c>
      <c r="F25" s="50">
        <f t="shared" si="2"/>
        <v>0</v>
      </c>
      <c r="G25" s="52">
        <v>13</v>
      </c>
      <c r="H25" s="50">
        <f t="shared" si="3"/>
        <v>1.1139433523068367</v>
      </c>
      <c r="I25" s="65">
        <v>2.95</v>
      </c>
      <c r="J25" s="71">
        <f t="shared" si="4"/>
        <v>0</v>
      </c>
      <c r="K25" s="53">
        <v>0</v>
      </c>
      <c r="L25" s="54">
        <v>0.67</v>
      </c>
      <c r="M25" s="60">
        <f t="shared" si="5"/>
        <v>0.22271647114758325</v>
      </c>
      <c r="N25" s="62">
        <f t="shared" si="6"/>
        <v>1.4623979978989561</v>
      </c>
      <c r="O25" s="52">
        <v>29</v>
      </c>
      <c r="P25" s="52">
        <f t="shared" si="0"/>
        <v>0</v>
      </c>
      <c r="Q25" s="52">
        <v>70</v>
      </c>
      <c r="R25" s="52">
        <v>70</v>
      </c>
      <c r="S25" s="52">
        <v>85</v>
      </c>
      <c r="T25" s="55">
        <v>25.9</v>
      </c>
      <c r="U25" s="56">
        <v>36.959146749272797</v>
      </c>
      <c r="V25" s="52">
        <v>1171.498</v>
      </c>
      <c r="W25" s="50">
        <f t="shared" si="7"/>
        <v>3.0687415514991745</v>
      </c>
      <c r="X25" s="57">
        <v>4</v>
      </c>
      <c r="Y25" s="52">
        <v>3386.1060000000002</v>
      </c>
      <c r="Z25" s="50">
        <f t="shared" si="8"/>
        <v>3.5297005493117593</v>
      </c>
      <c r="AA25" s="50">
        <f t="shared" si="9"/>
        <v>9.1038037209559572</v>
      </c>
      <c r="AB25" s="52">
        <v>1270000000</v>
      </c>
    </row>
    <row r="26" spans="1:28" x14ac:dyDescent="0.35">
      <c r="A26" s="49" t="s">
        <v>45</v>
      </c>
      <c r="B26" s="50">
        <v>4.1444249676091758</v>
      </c>
      <c r="C26" s="50">
        <f t="shared" si="1"/>
        <v>0.7113368373392579</v>
      </c>
      <c r="D26" s="50">
        <v>13.038356164383561</v>
      </c>
      <c r="E26" s="50">
        <v>0</v>
      </c>
      <c r="F26" s="50">
        <f t="shared" si="2"/>
        <v>0</v>
      </c>
      <c r="G26" s="50">
        <v>5</v>
      </c>
      <c r="H26" s="50">
        <f t="shared" si="3"/>
        <v>0.69897000433601886</v>
      </c>
      <c r="I26" s="59">
        <v>2.95</v>
      </c>
      <c r="J26" s="71">
        <f t="shared" si="4"/>
        <v>0</v>
      </c>
      <c r="K26" s="60">
        <v>0</v>
      </c>
      <c r="L26" s="61">
        <v>0.81</v>
      </c>
      <c r="M26" s="60">
        <f t="shared" si="5"/>
        <v>0.2576785748691845</v>
      </c>
      <c r="N26" s="62">
        <f t="shared" si="6"/>
        <v>1.0791812460476249</v>
      </c>
      <c r="O26" s="50">
        <v>12</v>
      </c>
      <c r="P26" s="50">
        <f t="shared" si="0"/>
        <v>0</v>
      </c>
      <c r="Q26" s="50">
        <v>70</v>
      </c>
      <c r="R26" s="50">
        <v>70</v>
      </c>
      <c r="S26" s="50">
        <v>85</v>
      </c>
      <c r="T26" s="62">
        <v>24.9</v>
      </c>
      <c r="U26" s="63">
        <v>36.710134890601303</v>
      </c>
      <c r="V26" s="50">
        <v>1518.5350000000001</v>
      </c>
      <c r="W26" s="50">
        <f t="shared" si="7"/>
        <v>3.1814248062191788</v>
      </c>
      <c r="X26" s="64">
        <v>2</v>
      </c>
      <c r="Y26" s="50">
        <v>5363.16</v>
      </c>
      <c r="Z26" s="50">
        <f t="shared" si="8"/>
        <v>3.7294207535322617</v>
      </c>
      <c r="AA26" s="50">
        <f t="shared" si="9"/>
        <v>8.8714736902527402</v>
      </c>
      <c r="AB26" s="50">
        <v>743830000</v>
      </c>
    </row>
    <row r="27" spans="1:28" x14ac:dyDescent="0.35">
      <c r="A27" s="67" t="s">
        <v>45</v>
      </c>
      <c r="B27" s="52">
        <v>4.8807835963106943</v>
      </c>
      <c r="C27" s="50">
        <f t="shared" si="1"/>
        <v>0.76943519833464757</v>
      </c>
      <c r="D27" s="52">
        <v>2.2082191780821918</v>
      </c>
      <c r="E27" s="52">
        <v>0</v>
      </c>
      <c r="F27" s="50">
        <f t="shared" si="2"/>
        <v>0</v>
      </c>
      <c r="G27" s="52">
        <v>30</v>
      </c>
      <c r="H27" s="50">
        <f t="shared" si="3"/>
        <v>1.4771212547196624</v>
      </c>
      <c r="I27" s="65">
        <v>2.95</v>
      </c>
      <c r="J27" s="71">
        <f t="shared" si="4"/>
        <v>0</v>
      </c>
      <c r="K27" s="53">
        <v>0</v>
      </c>
      <c r="L27" s="54">
        <v>0.18</v>
      </c>
      <c r="M27" s="60">
        <f t="shared" si="5"/>
        <v>7.1882007306125359E-2</v>
      </c>
      <c r="N27" s="62">
        <f t="shared" si="6"/>
        <v>1.2787536009528289</v>
      </c>
      <c r="O27" s="52">
        <v>19</v>
      </c>
      <c r="P27" s="52">
        <f t="shared" si="0"/>
        <v>0</v>
      </c>
      <c r="Q27" s="52">
        <v>70</v>
      </c>
      <c r="R27" s="52">
        <v>70</v>
      </c>
      <c r="S27" s="52">
        <v>91.9</v>
      </c>
      <c r="T27" s="55">
        <v>23</v>
      </c>
      <c r="U27" s="56">
        <v>43.262530407091703</v>
      </c>
      <c r="V27" s="52">
        <v>1518.5350000000001</v>
      </c>
      <c r="W27" s="50">
        <f t="shared" si="7"/>
        <v>3.1814248062191788</v>
      </c>
      <c r="X27" s="57">
        <v>2</v>
      </c>
      <c r="Y27" s="52">
        <v>5363.16</v>
      </c>
      <c r="Z27" s="50">
        <f t="shared" si="8"/>
        <v>3.7294207535322617</v>
      </c>
      <c r="AA27" s="50">
        <f t="shared" si="9"/>
        <v>8.6707837480360155</v>
      </c>
      <c r="AB27" s="52">
        <v>468580000</v>
      </c>
    </row>
    <row r="28" spans="1:28" x14ac:dyDescent="0.35">
      <c r="A28" s="49" t="s">
        <v>45</v>
      </c>
      <c r="B28" s="50">
        <v>0.33862375748256346</v>
      </c>
      <c r="C28" s="50">
        <f t="shared" si="1"/>
        <v>0.12665852846071504</v>
      </c>
      <c r="D28" s="50">
        <v>5.7260273972602738</v>
      </c>
      <c r="E28" s="50">
        <v>0</v>
      </c>
      <c r="F28" s="50">
        <f t="shared" si="2"/>
        <v>0</v>
      </c>
      <c r="G28" s="50">
        <v>136</v>
      </c>
      <c r="H28" s="50">
        <f t="shared" si="3"/>
        <v>2.1335389083702174</v>
      </c>
      <c r="I28" s="59">
        <v>2.95</v>
      </c>
      <c r="J28" s="71">
        <f t="shared" si="4"/>
        <v>0</v>
      </c>
      <c r="K28" s="60">
        <v>0</v>
      </c>
      <c r="L28" s="61">
        <v>-0.05</v>
      </c>
      <c r="M28" s="60">
        <f t="shared" si="5"/>
        <v>-2.2276394711152253E-2</v>
      </c>
      <c r="N28" s="62">
        <f t="shared" si="6"/>
        <v>1.2304489213782739</v>
      </c>
      <c r="O28" s="50">
        <v>17</v>
      </c>
      <c r="P28" s="50">
        <f t="shared" si="0"/>
        <v>0</v>
      </c>
      <c r="Q28" s="50">
        <v>70</v>
      </c>
      <c r="R28" s="50">
        <v>70</v>
      </c>
      <c r="S28" s="50">
        <v>91.4</v>
      </c>
      <c r="T28" s="62">
        <v>26.7</v>
      </c>
      <c r="U28" s="63">
        <v>37.425715444240403</v>
      </c>
      <c r="V28" s="50">
        <v>1518.5350000000001</v>
      </c>
      <c r="W28" s="50">
        <f t="shared" si="7"/>
        <v>3.1814248062191788</v>
      </c>
      <c r="X28" s="64">
        <v>2</v>
      </c>
      <c r="Y28" s="50">
        <v>5363.16</v>
      </c>
      <c r="Z28" s="50">
        <f t="shared" si="8"/>
        <v>3.7294207535322617</v>
      </c>
      <c r="AA28" s="50">
        <f t="shared" si="9"/>
        <v>8.9115251380808047</v>
      </c>
      <c r="AB28" s="50">
        <v>815690000</v>
      </c>
    </row>
    <row r="29" spans="1:28" x14ac:dyDescent="0.35">
      <c r="A29" s="67" t="s">
        <v>45</v>
      </c>
      <c r="B29" s="52">
        <v>-1</v>
      </c>
      <c r="C29" s="50">
        <f t="shared" si="1"/>
        <v>-1</v>
      </c>
      <c r="D29" s="52">
        <v>3.9643835616438357</v>
      </c>
      <c r="E29" s="52">
        <v>0</v>
      </c>
      <c r="F29" s="50">
        <f t="shared" si="2"/>
        <v>0</v>
      </c>
      <c r="G29" s="52">
        <v>43</v>
      </c>
      <c r="H29" s="50">
        <f t="shared" si="3"/>
        <v>1.6334684555795864</v>
      </c>
      <c r="I29" s="65">
        <v>2.95</v>
      </c>
      <c r="J29" s="71">
        <f t="shared" si="4"/>
        <v>0</v>
      </c>
      <c r="K29" s="53">
        <v>0</v>
      </c>
      <c r="L29" s="54">
        <v>0.18</v>
      </c>
      <c r="M29" s="60">
        <f t="shared" si="5"/>
        <v>7.1882007306125359E-2</v>
      </c>
      <c r="N29" s="62">
        <f t="shared" si="6"/>
        <v>0.84509804001425681</v>
      </c>
      <c r="O29" s="52">
        <v>7</v>
      </c>
      <c r="P29" s="52">
        <f t="shared" si="0"/>
        <v>0</v>
      </c>
      <c r="Q29" s="52">
        <v>70</v>
      </c>
      <c r="R29" s="52">
        <v>70</v>
      </c>
      <c r="S29" s="52">
        <v>85</v>
      </c>
      <c r="T29" s="55">
        <v>27.4</v>
      </c>
      <c r="U29" s="56">
        <v>35.968444143503902</v>
      </c>
      <c r="V29" s="52">
        <v>1518.5350000000001</v>
      </c>
      <c r="W29" s="50">
        <f t="shared" si="7"/>
        <v>3.1814248062191788</v>
      </c>
      <c r="X29" s="57">
        <v>2</v>
      </c>
      <c r="Y29" s="52">
        <v>5363.16</v>
      </c>
      <c r="Z29" s="50">
        <f t="shared" si="8"/>
        <v>3.7294207535322617</v>
      </c>
      <c r="AA29" s="50">
        <f t="shared" si="9"/>
        <v>8.2825994573845971</v>
      </c>
      <c r="AB29" s="52">
        <v>191690000</v>
      </c>
    </row>
    <row r="30" spans="1:28" x14ac:dyDescent="0.35">
      <c r="A30" s="49" t="s">
        <v>45</v>
      </c>
      <c r="B30" s="50">
        <v>0.41935483870967749</v>
      </c>
      <c r="C30" s="50">
        <f t="shared" si="1"/>
        <v>0.15209098265191479</v>
      </c>
      <c r="D30" s="50">
        <v>3.4493150684931506</v>
      </c>
      <c r="E30" s="50">
        <v>5897.96</v>
      </c>
      <c r="F30" s="50">
        <f t="shared" si="2"/>
        <v>3.7707018228379927</v>
      </c>
      <c r="G30" s="50">
        <v>30</v>
      </c>
      <c r="H30" s="50">
        <f t="shared" si="3"/>
        <v>1.4771212547196624</v>
      </c>
      <c r="I30" s="59">
        <v>2.3199999999999998</v>
      </c>
      <c r="J30" s="71">
        <f t="shared" si="4"/>
        <v>2.12057393120585</v>
      </c>
      <c r="K30" s="60">
        <v>132</v>
      </c>
      <c r="L30" s="61">
        <v>0.68</v>
      </c>
      <c r="M30" s="60">
        <f t="shared" si="5"/>
        <v>0.2253092817258629</v>
      </c>
      <c r="N30" s="62">
        <f t="shared" si="6"/>
        <v>1.3802112417116059</v>
      </c>
      <c r="O30" s="50">
        <v>24</v>
      </c>
      <c r="P30" s="50">
        <f t="shared" si="0"/>
        <v>1</v>
      </c>
      <c r="Q30" s="50">
        <v>70</v>
      </c>
      <c r="R30" s="50">
        <v>70</v>
      </c>
      <c r="S30" s="50">
        <v>91.3</v>
      </c>
      <c r="T30" s="62">
        <v>23.5</v>
      </c>
      <c r="U30" s="63">
        <v>43.1672842383418</v>
      </c>
      <c r="V30" s="85">
        <v>3287.5740000000001</v>
      </c>
      <c r="W30" s="50">
        <f t="shared" si="7"/>
        <v>3.5168755371419098</v>
      </c>
      <c r="X30" s="64">
        <v>5</v>
      </c>
      <c r="Y30" s="64">
        <v>6440.2359999999999</v>
      </c>
      <c r="Z30" s="50">
        <f t="shared" si="8"/>
        <v>3.8089017822076054</v>
      </c>
      <c r="AA30" s="50">
        <f t="shared" si="9"/>
        <v>9.4913616938342731</v>
      </c>
      <c r="AB30" s="50">
        <v>3100000000</v>
      </c>
    </row>
    <row r="31" spans="1:28" x14ac:dyDescent="0.35">
      <c r="A31" s="67" t="s">
        <v>45</v>
      </c>
      <c r="B31" s="52">
        <v>1.2151898734177213</v>
      </c>
      <c r="C31" s="50">
        <f t="shared" si="1"/>
        <v>0.34541095739585298</v>
      </c>
      <c r="D31" s="52">
        <v>6.5123287671232877</v>
      </c>
      <c r="E31" s="52">
        <v>0</v>
      </c>
      <c r="F31" s="50">
        <f t="shared" si="2"/>
        <v>0</v>
      </c>
      <c r="G31" s="52">
        <v>78</v>
      </c>
      <c r="H31" s="50">
        <f t="shared" si="3"/>
        <v>1.8920946026904804</v>
      </c>
      <c r="I31" s="65">
        <v>2.95</v>
      </c>
      <c r="J31" s="71">
        <f t="shared" si="4"/>
        <v>0</v>
      </c>
      <c r="K31" s="53">
        <v>0</v>
      </c>
      <c r="L31" s="54">
        <v>0.17</v>
      </c>
      <c r="M31" s="60">
        <f t="shared" si="5"/>
        <v>6.8185861746161619E-2</v>
      </c>
      <c r="N31" s="62">
        <f t="shared" si="6"/>
        <v>1.3010299956639813</v>
      </c>
      <c r="O31" s="52">
        <v>20</v>
      </c>
      <c r="P31" s="52">
        <f t="shared" si="0"/>
        <v>0</v>
      </c>
      <c r="Q31" s="52">
        <v>70</v>
      </c>
      <c r="R31" s="52">
        <v>70</v>
      </c>
      <c r="S31" s="52">
        <v>91.4</v>
      </c>
      <c r="T31" s="55">
        <v>26.7</v>
      </c>
      <c r="U31" s="56">
        <v>37.425715444240403</v>
      </c>
      <c r="V31" s="52">
        <v>1246.953</v>
      </c>
      <c r="W31" s="50">
        <f t="shared" si="7"/>
        <v>3.0958500844125241</v>
      </c>
      <c r="X31" s="57">
        <v>3</v>
      </c>
      <c r="Y31" s="52">
        <v>3219.7179999999998</v>
      </c>
      <c r="Z31" s="50">
        <f t="shared" si="8"/>
        <v>3.5078178355445662</v>
      </c>
      <c r="AA31" s="50">
        <f t="shared" si="9"/>
        <v>8.8007170782823856</v>
      </c>
      <c r="AB31" s="52">
        <v>632000000</v>
      </c>
    </row>
    <row r="32" spans="1:28" x14ac:dyDescent="0.35">
      <c r="A32" s="49" t="s">
        <v>45</v>
      </c>
      <c r="B32" s="50">
        <v>-0.88571428571428568</v>
      </c>
      <c r="C32" s="50">
        <f t="shared" si="1"/>
        <v>-0.94200805302231305</v>
      </c>
      <c r="D32" s="50">
        <v>2.8438356164383563</v>
      </c>
      <c r="E32" s="50">
        <v>0</v>
      </c>
      <c r="F32" s="50">
        <f t="shared" si="2"/>
        <v>0</v>
      </c>
      <c r="G32" s="50">
        <v>146</v>
      </c>
      <c r="H32" s="50">
        <f t="shared" si="3"/>
        <v>2.1643528557844371</v>
      </c>
      <c r="I32" s="59">
        <v>2.95</v>
      </c>
      <c r="J32" s="71">
        <f t="shared" si="4"/>
        <v>0</v>
      </c>
      <c r="K32" s="60">
        <v>0</v>
      </c>
      <c r="L32" s="61">
        <v>0.48</v>
      </c>
      <c r="M32" s="60">
        <f t="shared" si="5"/>
        <v>0.17026171539495738</v>
      </c>
      <c r="N32" s="62">
        <f t="shared" si="6"/>
        <v>1.3979400086720377</v>
      </c>
      <c r="O32" s="50">
        <v>25</v>
      </c>
      <c r="P32" s="50">
        <f t="shared" si="0"/>
        <v>0</v>
      </c>
      <c r="Q32" s="50">
        <v>70</v>
      </c>
      <c r="R32" s="50">
        <v>70</v>
      </c>
      <c r="S32" s="50">
        <v>91.1</v>
      </c>
      <c r="T32" s="62">
        <v>24.1</v>
      </c>
      <c r="U32" s="63">
        <v>40.229046020662899</v>
      </c>
      <c r="V32" s="50">
        <v>1246.953</v>
      </c>
      <c r="W32" s="50">
        <f t="shared" si="7"/>
        <v>3.0958500844125241</v>
      </c>
      <c r="X32" s="64">
        <v>3</v>
      </c>
      <c r="Y32" s="50">
        <v>3219.7179999999998</v>
      </c>
      <c r="Z32" s="50">
        <f t="shared" si="8"/>
        <v>3.5078178355445662</v>
      </c>
      <c r="AA32" s="50">
        <f t="shared" si="9"/>
        <v>9.6901960800285138</v>
      </c>
      <c r="AB32" s="50">
        <v>4900000000</v>
      </c>
    </row>
    <row r="33" spans="1:28" x14ac:dyDescent="0.35">
      <c r="A33" s="67" t="s">
        <v>45</v>
      </c>
      <c r="B33" s="52">
        <v>-9.0909090909090939E-2</v>
      </c>
      <c r="C33" s="50">
        <f t="shared" si="1"/>
        <v>-4.1392685158225057E-2</v>
      </c>
      <c r="D33" s="52">
        <v>5.6520547945205477</v>
      </c>
      <c r="E33" s="52">
        <v>0</v>
      </c>
      <c r="F33" s="50">
        <f t="shared" si="2"/>
        <v>0</v>
      </c>
      <c r="G33" s="52">
        <v>17</v>
      </c>
      <c r="H33" s="50">
        <f t="shared" si="3"/>
        <v>1.2304489213782739</v>
      </c>
      <c r="I33" s="65">
        <v>2.95</v>
      </c>
      <c r="J33" s="71">
        <f t="shared" si="4"/>
        <v>0</v>
      </c>
      <c r="K33" s="53">
        <v>0</v>
      </c>
      <c r="L33" s="54">
        <v>0.86</v>
      </c>
      <c r="M33" s="60">
        <f t="shared" si="5"/>
        <v>0.26951294421791627</v>
      </c>
      <c r="N33" s="62">
        <f t="shared" si="6"/>
        <v>1.3979400086720377</v>
      </c>
      <c r="O33" s="52">
        <v>25</v>
      </c>
      <c r="P33" s="52">
        <f t="shared" si="0"/>
        <v>0</v>
      </c>
      <c r="Q33" s="52">
        <v>70</v>
      </c>
      <c r="R33" s="52">
        <v>70</v>
      </c>
      <c r="S33" s="52">
        <v>91.1</v>
      </c>
      <c r="T33" s="55">
        <v>24.1</v>
      </c>
      <c r="U33" s="56">
        <v>40.229046020662899</v>
      </c>
      <c r="V33" s="52">
        <v>1246.953</v>
      </c>
      <c r="W33" s="50">
        <f t="shared" si="7"/>
        <v>3.0958500844125241</v>
      </c>
      <c r="X33" s="57">
        <v>3</v>
      </c>
      <c r="Y33" s="52">
        <v>3219.7179999999998</v>
      </c>
      <c r="Z33" s="50">
        <f t="shared" si="8"/>
        <v>3.5078178355445662</v>
      </c>
      <c r="AA33" s="50">
        <f t="shared" si="9"/>
        <v>9.518513939877888</v>
      </c>
      <c r="AB33" s="52">
        <v>3300000000</v>
      </c>
    </row>
    <row r="34" spans="1:28" x14ac:dyDescent="0.35">
      <c r="A34" s="49" t="s">
        <v>45</v>
      </c>
      <c r="B34" s="50">
        <v>1.9500000000000002</v>
      </c>
      <c r="C34" s="50">
        <f t="shared" si="1"/>
        <v>0.46982201597816303</v>
      </c>
      <c r="D34" s="50">
        <v>11.03013698630137</v>
      </c>
      <c r="E34" s="50">
        <v>0</v>
      </c>
      <c r="F34" s="50">
        <f t="shared" si="2"/>
        <v>0</v>
      </c>
      <c r="G34" s="50">
        <v>0</v>
      </c>
      <c r="H34" s="50">
        <f t="shared" si="3"/>
        <v>0</v>
      </c>
      <c r="I34" s="59">
        <v>2.95</v>
      </c>
      <c r="J34" s="71">
        <f t="shared" si="4"/>
        <v>0</v>
      </c>
      <c r="K34" s="60">
        <v>0</v>
      </c>
      <c r="L34" s="61">
        <v>0.72</v>
      </c>
      <c r="M34" s="60">
        <f t="shared" si="5"/>
        <v>0.2355284469075489</v>
      </c>
      <c r="N34" s="62">
        <f t="shared" si="6"/>
        <v>1.2304489213782739</v>
      </c>
      <c r="O34" s="50">
        <v>17</v>
      </c>
      <c r="P34" s="50">
        <f t="shared" si="0"/>
        <v>0</v>
      </c>
      <c r="Q34" s="50">
        <v>70</v>
      </c>
      <c r="R34" s="50">
        <v>70</v>
      </c>
      <c r="S34" s="50">
        <v>85</v>
      </c>
      <c r="T34" s="62">
        <v>24.6</v>
      </c>
      <c r="U34" s="63">
        <v>36.876470987978301</v>
      </c>
      <c r="V34" s="50">
        <v>1246.953</v>
      </c>
      <c r="W34" s="50">
        <f t="shared" si="7"/>
        <v>3.0958500844125241</v>
      </c>
      <c r="X34" s="64">
        <v>3</v>
      </c>
      <c r="Y34" s="50">
        <v>3219.7179999999998</v>
      </c>
      <c r="Z34" s="50">
        <f t="shared" si="8"/>
        <v>3.5078178355445662</v>
      </c>
      <c r="AA34" s="50">
        <f t="shared" si="9"/>
        <v>8.8450980400142569</v>
      </c>
      <c r="AB34" s="50">
        <v>700000000</v>
      </c>
    </row>
    <row r="35" spans="1:28" x14ac:dyDescent="0.35">
      <c r="A35" s="67" t="s">
        <v>45</v>
      </c>
      <c r="B35" s="52">
        <v>2.1</v>
      </c>
      <c r="C35" s="50">
        <f t="shared" si="1"/>
        <v>0.49136169383427269</v>
      </c>
      <c r="D35" s="52">
        <v>4.5452054794520551</v>
      </c>
      <c r="E35" s="52">
        <v>0</v>
      </c>
      <c r="F35" s="50">
        <f t="shared" si="2"/>
        <v>0</v>
      </c>
      <c r="G35" s="52">
        <v>26</v>
      </c>
      <c r="H35" s="50">
        <f t="shared" si="3"/>
        <v>1.414973347970818</v>
      </c>
      <c r="I35" s="65">
        <v>2.95</v>
      </c>
      <c r="J35" s="71">
        <f t="shared" si="4"/>
        <v>0</v>
      </c>
      <c r="K35" s="53">
        <v>0</v>
      </c>
      <c r="L35" s="54">
        <v>-0.15</v>
      </c>
      <c r="M35" s="60">
        <f t="shared" si="5"/>
        <v>-7.0581074285707285E-2</v>
      </c>
      <c r="N35" s="62">
        <f t="shared" si="6"/>
        <v>1.2787536009528289</v>
      </c>
      <c r="O35" s="52">
        <v>19</v>
      </c>
      <c r="P35" s="52">
        <f t="shared" si="0"/>
        <v>0</v>
      </c>
      <c r="Q35" s="52">
        <v>70</v>
      </c>
      <c r="R35" s="52">
        <v>70</v>
      </c>
      <c r="S35" s="52">
        <v>93.2</v>
      </c>
      <c r="T35" s="55">
        <v>26.7</v>
      </c>
      <c r="U35" s="56">
        <v>36.669158714517401</v>
      </c>
      <c r="V35" s="52">
        <v>1246.953</v>
      </c>
      <c r="W35" s="50">
        <f t="shared" si="7"/>
        <v>3.0958500844125241</v>
      </c>
      <c r="X35" s="57">
        <v>3</v>
      </c>
      <c r="Y35" s="52">
        <v>3219.7179999999998</v>
      </c>
      <c r="Z35" s="50">
        <f t="shared" si="8"/>
        <v>3.5078178355445662</v>
      </c>
      <c r="AA35" s="50">
        <f t="shared" si="9"/>
        <v>9</v>
      </c>
      <c r="AB35" s="52">
        <v>1000000000</v>
      </c>
    </row>
    <row r="36" spans="1:28" x14ac:dyDescent="0.35">
      <c r="A36" s="49" t="s">
        <v>45</v>
      </c>
      <c r="B36" s="50">
        <v>-0.78947368421052633</v>
      </c>
      <c r="C36" s="50">
        <f t="shared" si="1"/>
        <v>-0.67669360962486658</v>
      </c>
      <c r="D36" s="50">
        <v>5.8191780821917805</v>
      </c>
      <c r="E36" s="50">
        <v>0</v>
      </c>
      <c r="F36" s="50">
        <f t="shared" si="2"/>
        <v>0</v>
      </c>
      <c r="G36" s="50">
        <v>11</v>
      </c>
      <c r="H36" s="50">
        <f t="shared" si="3"/>
        <v>1.0413926851582251</v>
      </c>
      <c r="I36" s="59">
        <v>2.95</v>
      </c>
      <c r="J36" s="71">
        <f t="shared" si="4"/>
        <v>0</v>
      </c>
      <c r="K36" s="60">
        <v>0</v>
      </c>
      <c r="L36" s="61">
        <v>-0.02</v>
      </c>
      <c r="M36" s="60">
        <f t="shared" si="5"/>
        <v>-8.7739243075051505E-3</v>
      </c>
      <c r="N36" s="62">
        <f t="shared" si="6"/>
        <v>1.3010299956639813</v>
      </c>
      <c r="O36" s="50">
        <v>20</v>
      </c>
      <c r="P36" s="50">
        <f t="shared" si="0"/>
        <v>0</v>
      </c>
      <c r="Q36" s="50">
        <v>70</v>
      </c>
      <c r="R36" s="50">
        <v>70</v>
      </c>
      <c r="S36" s="50">
        <v>91.4</v>
      </c>
      <c r="T36" s="62">
        <v>26.7</v>
      </c>
      <c r="U36" s="63">
        <v>37.425715444240403</v>
      </c>
      <c r="V36" s="50">
        <v>1246.953</v>
      </c>
      <c r="W36" s="50">
        <f t="shared" si="7"/>
        <v>3.0958500844125241</v>
      </c>
      <c r="X36" s="64">
        <v>3</v>
      </c>
      <c r="Y36" s="50">
        <v>3219.7179999999998</v>
      </c>
      <c r="Z36" s="50">
        <f t="shared" si="8"/>
        <v>3.5078178355445662</v>
      </c>
      <c r="AA36" s="50">
        <f t="shared" si="9"/>
        <v>8.6766936096248664</v>
      </c>
      <c r="AB36" s="50">
        <v>475000000</v>
      </c>
    </row>
    <row r="37" spans="1:28" x14ac:dyDescent="0.35">
      <c r="A37" s="67" t="s">
        <v>45</v>
      </c>
      <c r="B37" s="52">
        <v>1.4</v>
      </c>
      <c r="C37" s="50">
        <f t="shared" si="1"/>
        <v>0.38021124171160603</v>
      </c>
      <c r="D37" s="52">
        <v>6.934246575342466</v>
      </c>
      <c r="E37" s="52">
        <v>0</v>
      </c>
      <c r="F37" s="50">
        <f t="shared" si="2"/>
        <v>0</v>
      </c>
      <c r="G37" s="52">
        <v>51</v>
      </c>
      <c r="H37" s="50">
        <f t="shared" si="3"/>
        <v>1.7075701760979363</v>
      </c>
      <c r="I37" s="65">
        <v>2.95</v>
      </c>
      <c r="J37" s="71">
        <f t="shared" si="4"/>
        <v>0</v>
      </c>
      <c r="K37" s="53">
        <v>0</v>
      </c>
      <c r="L37" s="54">
        <v>0.64</v>
      </c>
      <c r="M37" s="60">
        <f t="shared" si="5"/>
        <v>0.21484384804769791</v>
      </c>
      <c r="N37" s="62">
        <f t="shared" si="6"/>
        <v>1.3617278360175928</v>
      </c>
      <c r="O37" s="52">
        <v>23</v>
      </c>
      <c r="P37" s="52">
        <f t="shared" si="0"/>
        <v>0</v>
      </c>
      <c r="Q37" s="52">
        <v>70</v>
      </c>
      <c r="R37" s="52">
        <v>70</v>
      </c>
      <c r="S37" s="52">
        <v>92.6</v>
      </c>
      <c r="T37" s="55">
        <v>25.7</v>
      </c>
      <c r="U37" s="56">
        <v>39.823361151429197</v>
      </c>
      <c r="V37" s="52">
        <v>2315.9650000000001</v>
      </c>
      <c r="W37" s="50">
        <f t="shared" si="7"/>
        <v>3.3647319918335836</v>
      </c>
      <c r="X37" s="57">
        <v>4</v>
      </c>
      <c r="Y37" s="52">
        <v>3703.9029999999998</v>
      </c>
      <c r="Z37" s="50">
        <f t="shared" si="8"/>
        <v>3.568659604598353</v>
      </c>
      <c r="AA37" s="50">
        <f t="shared" si="9"/>
        <v>8.8450980400142569</v>
      </c>
      <c r="AB37" s="52">
        <v>700000000</v>
      </c>
    </row>
    <row r="38" spans="1:28" x14ac:dyDescent="0.35">
      <c r="A38" s="49" t="s">
        <v>45</v>
      </c>
      <c r="B38" s="50">
        <v>2.987121597240912</v>
      </c>
      <c r="C38" s="50">
        <f t="shared" si="1"/>
        <v>0.60065948076032849</v>
      </c>
      <c r="D38" s="50">
        <v>2.956164383561644</v>
      </c>
      <c r="E38" s="50">
        <v>0</v>
      </c>
      <c r="F38" s="50">
        <f t="shared" si="2"/>
        <v>0</v>
      </c>
      <c r="G38" s="50">
        <v>9</v>
      </c>
      <c r="H38" s="50">
        <f t="shared" si="3"/>
        <v>0.95424250943932487</v>
      </c>
      <c r="I38" s="59">
        <v>2.95</v>
      </c>
      <c r="J38" s="71">
        <f t="shared" si="4"/>
        <v>0</v>
      </c>
      <c r="K38" s="60">
        <v>0</v>
      </c>
      <c r="L38" s="61">
        <v>0.32</v>
      </c>
      <c r="M38" s="60">
        <f t="shared" si="5"/>
        <v>0.12057393120584989</v>
      </c>
      <c r="N38" s="62">
        <f t="shared" si="6"/>
        <v>1.2787536009528289</v>
      </c>
      <c r="O38" s="50">
        <v>19</v>
      </c>
      <c r="P38" s="50">
        <f t="shared" si="0"/>
        <v>0</v>
      </c>
      <c r="Q38" s="50">
        <v>70</v>
      </c>
      <c r="R38" s="50">
        <v>70</v>
      </c>
      <c r="S38" s="50">
        <v>85</v>
      </c>
      <c r="T38" s="62">
        <v>24.6</v>
      </c>
      <c r="U38" s="63">
        <v>36.876470987978301</v>
      </c>
      <c r="V38" s="50">
        <v>2315.9650000000001</v>
      </c>
      <c r="W38" s="50">
        <f t="shared" si="7"/>
        <v>3.3647319918335836</v>
      </c>
      <c r="X38" s="64">
        <v>4</v>
      </c>
      <c r="Y38" s="50">
        <v>3703.9029999999998</v>
      </c>
      <c r="Z38" s="50">
        <f t="shared" si="8"/>
        <v>3.568659604598353</v>
      </c>
      <c r="AA38" s="50">
        <f t="shared" si="9"/>
        <v>9.493315818920113</v>
      </c>
      <c r="AB38" s="50">
        <v>3113980000</v>
      </c>
    </row>
    <row r="39" spans="1:28" x14ac:dyDescent="0.35">
      <c r="A39" s="67" t="s">
        <v>45</v>
      </c>
      <c r="B39" s="52">
        <v>0.9764705882352942</v>
      </c>
      <c r="C39" s="50">
        <f t="shared" si="1"/>
        <v>0.29589035601157015</v>
      </c>
      <c r="D39" s="52">
        <v>4.3890410958904109</v>
      </c>
      <c r="E39" s="52">
        <v>0</v>
      </c>
      <c r="F39" s="50">
        <f t="shared" si="2"/>
        <v>0</v>
      </c>
      <c r="G39" s="52">
        <v>83</v>
      </c>
      <c r="H39" s="50">
        <f t="shared" si="3"/>
        <v>1.919078092376074</v>
      </c>
      <c r="I39" s="65">
        <v>2.95</v>
      </c>
      <c r="J39" s="71">
        <f t="shared" si="4"/>
        <v>0</v>
      </c>
      <c r="K39" s="53">
        <v>0</v>
      </c>
      <c r="L39" s="54">
        <v>0.51</v>
      </c>
      <c r="M39" s="60">
        <f t="shared" si="5"/>
        <v>0.17897694729316943</v>
      </c>
      <c r="N39" s="62">
        <f t="shared" si="6"/>
        <v>1.2304489213782739</v>
      </c>
      <c r="O39" s="52">
        <v>17</v>
      </c>
      <c r="P39" s="52">
        <f t="shared" si="0"/>
        <v>0</v>
      </c>
      <c r="Q39" s="52">
        <v>70</v>
      </c>
      <c r="R39" s="52">
        <v>70</v>
      </c>
      <c r="S39" s="52">
        <v>85</v>
      </c>
      <c r="T39" s="55">
        <v>24.9</v>
      </c>
      <c r="U39" s="56">
        <v>36.710134890601303</v>
      </c>
      <c r="V39" s="52">
        <v>2315.9650000000001</v>
      </c>
      <c r="W39" s="50">
        <f t="shared" si="7"/>
        <v>3.3647319918335836</v>
      </c>
      <c r="X39" s="57">
        <v>4</v>
      </c>
      <c r="Y39" s="52">
        <v>3703.9029999999998</v>
      </c>
      <c r="Z39" s="50">
        <f t="shared" si="8"/>
        <v>3.568659604598353</v>
      </c>
      <c r="AA39" s="50">
        <f t="shared" si="9"/>
        <v>9.2304489213782741</v>
      </c>
      <c r="AB39" s="52">
        <v>1700000000</v>
      </c>
    </row>
    <row r="40" spans="1:28" x14ac:dyDescent="0.35">
      <c r="A40" s="49" t="s">
        <v>45</v>
      </c>
      <c r="B40" s="50">
        <v>-0.83493184049890479</v>
      </c>
      <c r="C40" s="50">
        <f t="shared" si="1"/>
        <v>-0.78233669104106385</v>
      </c>
      <c r="D40" s="50">
        <v>6.5616438356164384</v>
      </c>
      <c r="E40" s="50">
        <v>5897.96</v>
      </c>
      <c r="F40" s="50">
        <f t="shared" si="2"/>
        <v>3.7707018228379927</v>
      </c>
      <c r="G40" s="50">
        <v>85</v>
      </c>
      <c r="H40" s="50">
        <f t="shared" si="3"/>
        <v>1.9294189257142926</v>
      </c>
      <c r="I40" s="59">
        <v>2.3199999999999998</v>
      </c>
      <c r="J40" s="71">
        <f t="shared" si="4"/>
        <v>2.12057393120585</v>
      </c>
      <c r="K40" s="60">
        <v>132</v>
      </c>
      <c r="L40" s="61">
        <v>0.06</v>
      </c>
      <c r="M40" s="60">
        <f t="shared" si="5"/>
        <v>2.5305865264770262E-2</v>
      </c>
      <c r="N40" s="62">
        <f t="shared" si="6"/>
        <v>1.2304489213782739</v>
      </c>
      <c r="O40" s="50">
        <v>17</v>
      </c>
      <c r="P40" s="50">
        <f t="shared" si="0"/>
        <v>1</v>
      </c>
      <c r="Q40" s="50">
        <v>70</v>
      </c>
      <c r="R40" s="50">
        <v>70</v>
      </c>
      <c r="S40" s="50">
        <v>85</v>
      </c>
      <c r="T40" s="62">
        <v>27.8</v>
      </c>
      <c r="U40" s="63">
        <v>35.119429201759203</v>
      </c>
      <c r="V40" s="50">
        <v>1669.0315000000001</v>
      </c>
      <c r="W40" s="50">
        <f t="shared" si="7"/>
        <v>3.2224645332922388</v>
      </c>
      <c r="X40" s="64">
        <v>3</v>
      </c>
      <c r="Y40" s="50">
        <v>5094.7950000000001</v>
      </c>
      <c r="Z40" s="50">
        <f t="shared" si="8"/>
        <v>3.707126713924402</v>
      </c>
      <c r="AA40" s="50">
        <f t="shared" si="9"/>
        <v>9.0253747397273578</v>
      </c>
      <c r="AB40" s="50">
        <v>1060168118</v>
      </c>
    </row>
    <row r="41" spans="1:28" x14ac:dyDescent="0.35">
      <c r="A41" s="67" t="s">
        <v>45</v>
      </c>
      <c r="B41" s="52">
        <v>13.807692307692308</v>
      </c>
      <c r="C41" s="50">
        <f t="shared" si="1"/>
        <v>1.1704873815376828</v>
      </c>
      <c r="D41" s="52">
        <v>6.0027397260273974</v>
      </c>
      <c r="E41" s="52">
        <v>0</v>
      </c>
      <c r="F41" s="50">
        <f t="shared" si="2"/>
        <v>0</v>
      </c>
      <c r="G41" s="52">
        <v>0</v>
      </c>
      <c r="H41" s="50">
        <f t="shared" si="3"/>
        <v>0</v>
      </c>
      <c r="I41" s="65">
        <v>2.95</v>
      </c>
      <c r="J41" s="71">
        <f t="shared" si="4"/>
        <v>0</v>
      </c>
      <c r="K41" s="53">
        <v>0</v>
      </c>
      <c r="L41" s="54">
        <v>0.04</v>
      </c>
      <c r="M41" s="60">
        <f t="shared" si="5"/>
        <v>1.703333929878037E-2</v>
      </c>
      <c r="N41" s="62">
        <f t="shared" si="6"/>
        <v>1.2041199826559248</v>
      </c>
      <c r="O41" s="52">
        <v>16</v>
      </c>
      <c r="P41" s="52">
        <f t="shared" si="0"/>
        <v>0</v>
      </c>
      <c r="Q41" s="52">
        <v>70</v>
      </c>
      <c r="R41" s="52">
        <v>70</v>
      </c>
      <c r="S41" s="52">
        <v>85</v>
      </c>
      <c r="T41" s="55">
        <v>24.6</v>
      </c>
      <c r="U41" s="56">
        <v>36.876470987978301</v>
      </c>
      <c r="V41" s="52">
        <v>8291.8367346938758</v>
      </c>
      <c r="W41" s="50">
        <f t="shared" si="7"/>
        <v>3.9186507422978978</v>
      </c>
      <c r="X41" s="57">
        <v>2</v>
      </c>
      <c r="Y41" s="52">
        <v>9858.1632653061242</v>
      </c>
      <c r="Z41" s="50">
        <f t="shared" si="8"/>
        <v>3.9937960064170404</v>
      </c>
      <c r="AA41" s="50">
        <f t="shared" si="9"/>
        <v>8.1139433523068369</v>
      </c>
      <c r="AB41" s="52">
        <v>130000000</v>
      </c>
    </row>
    <row r="42" spans="1:28" x14ac:dyDescent="0.35">
      <c r="A42" s="49" t="s">
        <v>45</v>
      </c>
      <c r="B42" s="50">
        <v>5.95</v>
      </c>
      <c r="C42" s="50">
        <f t="shared" si="1"/>
        <v>0.84198480459011393</v>
      </c>
      <c r="D42" s="50">
        <v>1.7205479452054795</v>
      </c>
      <c r="E42" s="50">
        <v>0</v>
      </c>
      <c r="F42" s="50">
        <f t="shared" si="2"/>
        <v>0</v>
      </c>
      <c r="G42" s="50">
        <v>135</v>
      </c>
      <c r="H42" s="50">
        <f t="shared" si="3"/>
        <v>2.1303337684950061</v>
      </c>
      <c r="I42" s="59">
        <v>2.95</v>
      </c>
      <c r="J42" s="71">
        <f t="shared" si="4"/>
        <v>0</v>
      </c>
      <c r="K42" s="60">
        <v>0</v>
      </c>
      <c r="L42" s="61">
        <v>0.14000000000000001</v>
      </c>
      <c r="M42" s="60">
        <f t="shared" si="5"/>
        <v>5.6904851336472641E-2</v>
      </c>
      <c r="N42" s="62">
        <f t="shared" si="6"/>
        <v>1.1760912590556813</v>
      </c>
      <c r="O42" s="50">
        <v>15</v>
      </c>
      <c r="P42" s="50">
        <f t="shared" si="0"/>
        <v>0</v>
      </c>
      <c r="Q42" s="50">
        <v>70</v>
      </c>
      <c r="R42" s="50">
        <v>70</v>
      </c>
      <c r="S42" s="50">
        <v>85</v>
      </c>
      <c r="T42" s="62">
        <v>24.4</v>
      </c>
      <c r="U42" s="63">
        <v>37.256914365427299</v>
      </c>
      <c r="V42" s="50">
        <v>8291.8367346938758</v>
      </c>
      <c r="W42" s="50">
        <f t="shared" si="7"/>
        <v>3.9186507422978978</v>
      </c>
      <c r="X42" s="64">
        <v>1</v>
      </c>
      <c r="Y42" s="50">
        <v>9858.1632653061242</v>
      </c>
      <c r="Z42" s="50">
        <f t="shared" si="8"/>
        <v>3.9937960064170404</v>
      </c>
      <c r="AA42" s="50">
        <f t="shared" si="9"/>
        <v>8.0791812460476251</v>
      </c>
      <c r="AB42" s="50">
        <v>120000000</v>
      </c>
    </row>
    <row r="43" spans="1:28" x14ac:dyDescent="0.35">
      <c r="A43" s="67" t="s">
        <v>45</v>
      </c>
      <c r="B43" s="52">
        <v>0.1100000000000001</v>
      </c>
      <c r="C43" s="50">
        <f t="shared" si="1"/>
        <v>4.5322978786657475E-2</v>
      </c>
      <c r="D43" s="52">
        <v>2.6273972602739728</v>
      </c>
      <c r="E43" s="52">
        <v>0</v>
      </c>
      <c r="F43" s="50">
        <f t="shared" si="2"/>
        <v>0</v>
      </c>
      <c r="G43" s="52">
        <v>3</v>
      </c>
      <c r="H43" s="50">
        <f t="shared" si="3"/>
        <v>0.47712125471966244</v>
      </c>
      <c r="I43" s="65">
        <v>2.95</v>
      </c>
      <c r="J43" s="71">
        <f t="shared" si="4"/>
        <v>0</v>
      </c>
      <c r="K43" s="53">
        <v>0</v>
      </c>
      <c r="L43" s="54">
        <v>0.01</v>
      </c>
      <c r="M43" s="60">
        <f t="shared" si="5"/>
        <v>4.3213737826425782E-3</v>
      </c>
      <c r="N43" s="62">
        <f t="shared" si="6"/>
        <v>1.1139433523068367</v>
      </c>
      <c r="O43" s="52">
        <v>13</v>
      </c>
      <c r="P43" s="52">
        <f t="shared" si="0"/>
        <v>0</v>
      </c>
      <c r="Q43" s="52">
        <v>70</v>
      </c>
      <c r="R43" s="52">
        <v>70</v>
      </c>
      <c r="S43" s="52">
        <v>85</v>
      </c>
      <c r="T43" s="55">
        <v>27.2</v>
      </c>
      <c r="U43" s="56">
        <v>35.608384832026097</v>
      </c>
      <c r="V43" s="52">
        <v>8291.8367346938758</v>
      </c>
      <c r="W43" s="50">
        <f t="shared" si="7"/>
        <v>3.9186507422978978</v>
      </c>
      <c r="X43" s="57">
        <v>1</v>
      </c>
      <c r="Y43" s="52">
        <v>9858.1632653061242</v>
      </c>
      <c r="Z43" s="50">
        <f t="shared" si="8"/>
        <v>3.9937960064170404</v>
      </c>
      <c r="AA43" s="50">
        <f t="shared" si="9"/>
        <v>8.0413926851582254</v>
      </c>
      <c r="AB43" s="52">
        <v>110000000</v>
      </c>
    </row>
    <row r="44" spans="1:28" x14ac:dyDescent="0.35">
      <c r="A44" s="49" t="s">
        <v>45</v>
      </c>
      <c r="B44" s="50">
        <v>22.750188679245284</v>
      </c>
      <c r="C44" s="50">
        <f t="shared" si="1"/>
        <v>1.3756670641516049</v>
      </c>
      <c r="D44" s="50">
        <v>17.416438356164385</v>
      </c>
      <c r="E44" s="50">
        <v>0</v>
      </c>
      <c r="F44" s="50">
        <f t="shared" si="2"/>
        <v>0</v>
      </c>
      <c r="G44" s="50">
        <v>50</v>
      </c>
      <c r="H44" s="50">
        <f t="shared" si="3"/>
        <v>1.6989700043360187</v>
      </c>
      <c r="I44" s="59">
        <v>2.95</v>
      </c>
      <c r="J44" s="71">
        <f t="shared" si="4"/>
        <v>0</v>
      </c>
      <c r="K44" s="60">
        <v>0</v>
      </c>
      <c r="L44" s="69" t="s">
        <v>308</v>
      </c>
      <c r="M44" s="60">
        <f t="shared" si="5"/>
        <v>0.52608069180202999</v>
      </c>
      <c r="N44" s="62">
        <f t="shared" si="6"/>
        <v>0.69897000433601886</v>
      </c>
      <c r="O44" s="50">
        <v>5</v>
      </c>
      <c r="P44" s="50">
        <f t="shared" si="0"/>
        <v>0</v>
      </c>
      <c r="Q44" s="50">
        <v>70</v>
      </c>
      <c r="R44" s="50">
        <v>70</v>
      </c>
      <c r="S44" s="50">
        <v>85</v>
      </c>
      <c r="T44" s="62">
        <v>25.9</v>
      </c>
      <c r="U44" s="63">
        <v>40.815825693332798</v>
      </c>
      <c r="V44" s="50">
        <v>1171.498</v>
      </c>
      <c r="W44" s="50">
        <f t="shared" si="7"/>
        <v>3.0687415514991745</v>
      </c>
      <c r="X44" s="64">
        <v>4</v>
      </c>
      <c r="Y44" s="50">
        <v>3386.1060000000002</v>
      </c>
      <c r="Z44" s="50">
        <f t="shared" si="8"/>
        <v>3.5297005493117593</v>
      </c>
      <c r="AA44" s="50">
        <f t="shared" si="9"/>
        <v>8.7242758696007883</v>
      </c>
      <c r="AB44" s="50">
        <v>530000000</v>
      </c>
    </row>
    <row r="45" spans="1:28" x14ac:dyDescent="0.35">
      <c r="A45" s="67" t="s">
        <v>45</v>
      </c>
      <c r="B45" s="52">
        <v>3.0303030303030276E-2</v>
      </c>
      <c r="C45" s="50">
        <f t="shared" si="1"/>
        <v>1.2964977164367635E-2</v>
      </c>
      <c r="D45" s="52">
        <v>11.863013698630137</v>
      </c>
      <c r="E45" s="52">
        <v>0</v>
      </c>
      <c r="F45" s="50">
        <f t="shared" si="2"/>
        <v>0</v>
      </c>
      <c r="G45" s="52">
        <v>59</v>
      </c>
      <c r="H45" s="50">
        <f t="shared" si="3"/>
        <v>1.7708520116421442</v>
      </c>
      <c r="I45" s="65">
        <v>2.95</v>
      </c>
      <c r="J45" s="71">
        <f t="shared" si="4"/>
        <v>0</v>
      </c>
      <c r="K45" s="53">
        <v>0</v>
      </c>
      <c r="L45" s="70" t="s">
        <v>310</v>
      </c>
      <c r="M45" s="60">
        <f t="shared" si="5"/>
        <v>0.36642295722597273</v>
      </c>
      <c r="N45" s="62">
        <f t="shared" si="6"/>
        <v>0.69897000433601886</v>
      </c>
      <c r="O45" s="52">
        <v>5</v>
      </c>
      <c r="P45" s="52">
        <f t="shared" si="0"/>
        <v>0</v>
      </c>
      <c r="Q45" s="52">
        <v>70</v>
      </c>
      <c r="R45" s="52">
        <v>70</v>
      </c>
      <c r="S45" s="52">
        <v>85</v>
      </c>
      <c r="T45" s="55">
        <v>25.9</v>
      </c>
      <c r="U45" s="56">
        <v>40.815825693332798</v>
      </c>
      <c r="V45" s="52">
        <v>1171.498</v>
      </c>
      <c r="W45" s="50">
        <f t="shared" si="7"/>
        <v>3.0687415514991745</v>
      </c>
      <c r="X45" s="57">
        <v>4</v>
      </c>
      <c r="Y45" s="52">
        <v>3386.1060000000002</v>
      </c>
      <c r="Z45" s="50">
        <f t="shared" si="8"/>
        <v>3.5297005493117593</v>
      </c>
      <c r="AA45" s="50">
        <f t="shared" si="9"/>
        <v>8.518513939877888</v>
      </c>
      <c r="AB45" s="52">
        <v>330000000</v>
      </c>
    </row>
    <row r="46" spans="1:28" x14ac:dyDescent="0.35">
      <c r="A46" s="49" t="s">
        <v>45</v>
      </c>
      <c r="B46" s="50">
        <v>1.0816326530612246</v>
      </c>
      <c r="C46" s="50">
        <f t="shared" si="1"/>
        <v>0.31840409173340389</v>
      </c>
      <c r="D46" s="50">
        <v>2.5534246575342467</v>
      </c>
      <c r="E46" s="50">
        <v>0</v>
      </c>
      <c r="F46" s="50">
        <f t="shared" si="2"/>
        <v>0</v>
      </c>
      <c r="G46" s="50">
        <v>63</v>
      </c>
      <c r="H46" s="50">
        <f t="shared" si="3"/>
        <v>1.7993405494535817</v>
      </c>
      <c r="I46" s="59">
        <v>2.95</v>
      </c>
      <c r="J46" s="71">
        <f t="shared" si="4"/>
        <v>0</v>
      </c>
      <c r="K46" s="60">
        <v>0</v>
      </c>
      <c r="L46" s="69" t="s">
        <v>314</v>
      </c>
      <c r="M46" s="60">
        <f t="shared" si="5"/>
        <v>0.20112389720737955</v>
      </c>
      <c r="N46" s="62">
        <f t="shared" si="6"/>
        <v>0.77815125038364363</v>
      </c>
      <c r="O46" s="50">
        <v>6</v>
      </c>
      <c r="P46" s="50">
        <f t="shared" si="0"/>
        <v>0</v>
      </c>
      <c r="Q46" s="50">
        <v>70</v>
      </c>
      <c r="R46" s="50">
        <v>70</v>
      </c>
      <c r="S46" s="50">
        <v>85</v>
      </c>
      <c r="T46" s="62">
        <v>26</v>
      </c>
      <c r="U46" s="63">
        <v>40.815825693332798</v>
      </c>
      <c r="V46" s="50">
        <v>1171.498</v>
      </c>
      <c r="W46" s="50">
        <f t="shared" si="7"/>
        <v>3.0687415514991745</v>
      </c>
      <c r="X46" s="64">
        <v>4</v>
      </c>
      <c r="Y46" s="50">
        <v>3386.1060000000002</v>
      </c>
      <c r="Z46" s="50">
        <f t="shared" si="8"/>
        <v>3.5297005493117593</v>
      </c>
      <c r="AA46" s="50">
        <f t="shared" si="9"/>
        <v>8.3891660843645326</v>
      </c>
      <c r="AB46" s="50">
        <v>245000000</v>
      </c>
    </row>
    <row r="47" spans="1:28" x14ac:dyDescent="0.35">
      <c r="A47" s="67" t="s">
        <v>45</v>
      </c>
      <c r="B47" s="52">
        <v>0.5053763440860215</v>
      </c>
      <c r="C47" s="50">
        <f t="shared" si="1"/>
        <v>0.17764508712430291</v>
      </c>
      <c r="D47" s="52">
        <v>2.1232876712328768</v>
      </c>
      <c r="E47" s="52">
        <v>0</v>
      </c>
      <c r="F47" s="50">
        <f t="shared" si="2"/>
        <v>0</v>
      </c>
      <c r="G47" s="52">
        <v>177</v>
      </c>
      <c r="H47" s="50">
        <f t="shared" si="3"/>
        <v>2.2479732663618068</v>
      </c>
      <c r="I47" s="65">
        <v>2.95</v>
      </c>
      <c r="J47" s="71">
        <f t="shared" si="4"/>
        <v>0</v>
      </c>
      <c r="K47" s="53">
        <v>0</v>
      </c>
      <c r="L47" s="70" t="s">
        <v>316</v>
      </c>
      <c r="M47" s="60">
        <f t="shared" si="5"/>
        <v>0.15075643986030904</v>
      </c>
      <c r="N47" s="62">
        <f t="shared" si="6"/>
        <v>0.90308998699194354</v>
      </c>
      <c r="O47" s="52">
        <v>8</v>
      </c>
      <c r="P47" s="52">
        <f t="shared" si="0"/>
        <v>0</v>
      </c>
      <c r="Q47" s="52">
        <v>70</v>
      </c>
      <c r="R47" s="52">
        <v>70</v>
      </c>
      <c r="S47" s="52">
        <v>85</v>
      </c>
      <c r="T47" s="55">
        <v>24.1</v>
      </c>
      <c r="U47" s="56">
        <v>36.728532427451597</v>
      </c>
      <c r="V47" s="52">
        <v>1171.498</v>
      </c>
      <c r="W47" s="50">
        <f t="shared" si="7"/>
        <v>3.0687415514991745</v>
      </c>
      <c r="X47" s="57">
        <v>4</v>
      </c>
      <c r="Y47" s="52">
        <v>3386.1060000000002</v>
      </c>
      <c r="Z47" s="50">
        <f t="shared" si="8"/>
        <v>3.5297005493117593</v>
      </c>
      <c r="AA47" s="50">
        <f t="shared" si="9"/>
        <v>8.6674529528899544</v>
      </c>
      <c r="AB47" s="52">
        <v>465000000</v>
      </c>
    </row>
    <row r="48" spans="1:28" x14ac:dyDescent="0.35">
      <c r="A48" s="49" t="s">
        <v>45</v>
      </c>
      <c r="B48" s="50">
        <v>9.8574821852731587E-2</v>
      </c>
      <c r="C48" s="50">
        <f t="shared" si="1"/>
        <v>4.0829641239383103E-2</v>
      </c>
      <c r="D48" s="50">
        <v>1.8821917808219177</v>
      </c>
      <c r="E48" s="50">
        <v>0</v>
      </c>
      <c r="F48" s="50">
        <f t="shared" si="2"/>
        <v>0</v>
      </c>
      <c r="G48" s="50">
        <v>59</v>
      </c>
      <c r="H48" s="50">
        <f t="shared" si="3"/>
        <v>1.7708520116421442</v>
      </c>
      <c r="I48" s="59">
        <v>2.95</v>
      </c>
      <c r="J48" s="71">
        <f t="shared" si="4"/>
        <v>0</v>
      </c>
      <c r="K48" s="60">
        <v>0</v>
      </c>
      <c r="L48" s="69" t="s">
        <v>316</v>
      </c>
      <c r="M48" s="60">
        <f t="shared" si="5"/>
        <v>0.15075643986030904</v>
      </c>
      <c r="N48" s="62">
        <f t="shared" si="6"/>
        <v>0.90308998699194354</v>
      </c>
      <c r="O48" s="50">
        <v>8</v>
      </c>
      <c r="P48" s="50">
        <f t="shared" si="0"/>
        <v>0</v>
      </c>
      <c r="Q48" s="50">
        <v>70</v>
      </c>
      <c r="R48" s="50">
        <v>70</v>
      </c>
      <c r="S48" s="50">
        <v>85</v>
      </c>
      <c r="T48" s="62">
        <v>24.1</v>
      </c>
      <c r="U48" s="63">
        <v>36.728532427451597</v>
      </c>
      <c r="V48" s="50">
        <v>1171.498</v>
      </c>
      <c r="W48" s="50">
        <f t="shared" si="7"/>
        <v>3.0687415514991745</v>
      </c>
      <c r="X48" s="64">
        <v>4</v>
      </c>
      <c r="Y48" s="50">
        <v>3386.1060000000002</v>
      </c>
      <c r="Z48" s="50">
        <f t="shared" si="8"/>
        <v>3.5297005493117593</v>
      </c>
      <c r="AA48" s="50">
        <f t="shared" si="9"/>
        <v>9.0051805125037809</v>
      </c>
      <c r="AB48" s="50">
        <v>1012000000</v>
      </c>
    </row>
    <row r="49" spans="1:28" x14ac:dyDescent="0.35">
      <c r="A49" s="67" t="s">
        <v>45</v>
      </c>
      <c r="B49" s="52">
        <v>3.4482758620689724E-2</v>
      </c>
      <c r="C49" s="50">
        <f t="shared" si="1"/>
        <v>1.4723256820706378E-2</v>
      </c>
      <c r="D49" s="52">
        <v>3.1698630136986301</v>
      </c>
      <c r="E49" s="52">
        <v>0</v>
      </c>
      <c r="F49" s="50">
        <f t="shared" si="2"/>
        <v>0</v>
      </c>
      <c r="G49" s="52">
        <v>77</v>
      </c>
      <c r="H49" s="50">
        <f t="shared" si="3"/>
        <v>1.8864907251724818</v>
      </c>
      <c r="I49" s="65">
        <v>2.95</v>
      </c>
      <c r="J49" s="71">
        <f t="shared" si="4"/>
        <v>0</v>
      </c>
      <c r="K49" s="53">
        <v>0</v>
      </c>
      <c r="L49" s="70" t="s">
        <v>320</v>
      </c>
      <c r="M49" s="60">
        <f t="shared" si="5"/>
        <v>0.18808437371493819</v>
      </c>
      <c r="N49" s="62">
        <f t="shared" si="6"/>
        <v>0.90308998699194354</v>
      </c>
      <c r="O49" s="52">
        <v>8</v>
      </c>
      <c r="P49" s="52">
        <f t="shared" si="0"/>
        <v>0</v>
      </c>
      <c r="Q49" s="52">
        <v>70</v>
      </c>
      <c r="R49" s="52">
        <v>70</v>
      </c>
      <c r="S49" s="52">
        <v>85</v>
      </c>
      <c r="T49" s="55">
        <v>24.1</v>
      </c>
      <c r="U49" s="56">
        <v>36.728532427451597</v>
      </c>
      <c r="V49" s="52">
        <v>1171.498</v>
      </c>
      <c r="W49" s="50">
        <f t="shared" si="7"/>
        <v>3.0687415514991745</v>
      </c>
      <c r="X49" s="57">
        <v>4</v>
      </c>
      <c r="Y49" s="52">
        <v>3386.1060000000002</v>
      </c>
      <c r="Z49" s="50">
        <f t="shared" si="8"/>
        <v>3.5297005493117593</v>
      </c>
      <c r="AA49" s="50">
        <f t="shared" si="9"/>
        <v>8.7634279935629369</v>
      </c>
      <c r="AB49" s="52">
        <v>580000000</v>
      </c>
    </row>
    <row r="50" spans="1:28" x14ac:dyDescent="0.35">
      <c r="A50" s="49" t="s">
        <v>45</v>
      </c>
      <c r="B50" s="50">
        <v>-0.54781879194630867</v>
      </c>
      <c r="C50" s="50">
        <f t="shared" si="1"/>
        <v>-0.34468749021747885</v>
      </c>
      <c r="D50" s="50">
        <v>8.3698630136986303</v>
      </c>
      <c r="E50" s="50">
        <v>0</v>
      </c>
      <c r="F50" s="50">
        <f t="shared" si="2"/>
        <v>0</v>
      </c>
      <c r="G50" s="50">
        <v>5</v>
      </c>
      <c r="H50" s="50">
        <f t="shared" si="3"/>
        <v>0.69897000433601886</v>
      </c>
      <c r="I50" s="59">
        <v>2.95</v>
      </c>
      <c r="J50" s="71">
        <f t="shared" si="4"/>
        <v>0</v>
      </c>
      <c r="K50" s="60">
        <v>0</v>
      </c>
      <c r="L50" s="69" t="s">
        <v>323</v>
      </c>
      <c r="M50" s="60">
        <f t="shared" si="5"/>
        <v>0.32469391386177465</v>
      </c>
      <c r="N50" s="62">
        <f t="shared" si="6"/>
        <v>0.90308998699194354</v>
      </c>
      <c r="O50" s="50">
        <v>8</v>
      </c>
      <c r="P50" s="50">
        <f t="shared" si="0"/>
        <v>0</v>
      </c>
      <c r="Q50" s="50">
        <v>70</v>
      </c>
      <c r="R50" s="50">
        <v>70</v>
      </c>
      <c r="S50" s="50">
        <v>85</v>
      </c>
      <c r="T50" s="62">
        <v>24.1</v>
      </c>
      <c r="U50" s="63">
        <v>36.728532427451597</v>
      </c>
      <c r="V50" s="50">
        <v>1171.498</v>
      </c>
      <c r="W50" s="50">
        <f t="shared" si="7"/>
        <v>3.0687415514991745</v>
      </c>
      <c r="X50" s="64">
        <v>4</v>
      </c>
      <c r="Y50" s="50">
        <v>3386.1060000000002</v>
      </c>
      <c r="Z50" s="50">
        <f t="shared" si="8"/>
        <v>3.5297005493117593</v>
      </c>
      <c r="AA50" s="50">
        <f t="shared" si="9"/>
        <v>8.7752462597402356</v>
      </c>
      <c r="AB50" s="50">
        <v>596000000</v>
      </c>
    </row>
    <row r="51" spans="1:28" x14ac:dyDescent="0.35">
      <c r="A51" s="67" t="s">
        <v>45</v>
      </c>
      <c r="B51" s="52">
        <v>-0.85333333333333328</v>
      </c>
      <c r="C51" s="50">
        <f t="shared" si="1"/>
        <v>-0.83366857823347484</v>
      </c>
      <c r="D51" s="52">
        <v>5.0027397260273974</v>
      </c>
      <c r="E51" s="52">
        <v>0</v>
      </c>
      <c r="F51" s="50">
        <f t="shared" si="2"/>
        <v>0</v>
      </c>
      <c r="G51" s="52">
        <v>57</v>
      </c>
      <c r="H51" s="50">
        <f t="shared" si="3"/>
        <v>1.7558748556724915</v>
      </c>
      <c r="I51" s="65">
        <v>2.95</v>
      </c>
      <c r="J51" s="71">
        <f t="shared" si="4"/>
        <v>0</v>
      </c>
      <c r="K51" s="53">
        <v>0</v>
      </c>
      <c r="L51" s="70" t="s">
        <v>327</v>
      </c>
      <c r="M51" s="60">
        <f t="shared" si="5"/>
        <v>0.29797924415936239</v>
      </c>
      <c r="N51" s="62">
        <f t="shared" si="6"/>
        <v>1</v>
      </c>
      <c r="O51" s="52">
        <v>10</v>
      </c>
      <c r="P51" s="52">
        <f t="shared" si="0"/>
        <v>0</v>
      </c>
      <c r="Q51" s="52">
        <v>70</v>
      </c>
      <c r="R51" s="52">
        <v>70</v>
      </c>
      <c r="S51" s="52">
        <v>85</v>
      </c>
      <c r="T51" s="55">
        <v>24.6</v>
      </c>
      <c r="U51" s="56">
        <v>37.767307016657</v>
      </c>
      <c r="V51" s="52">
        <v>1171.498</v>
      </c>
      <c r="W51" s="50">
        <f t="shared" si="7"/>
        <v>3.0687415514991745</v>
      </c>
      <c r="X51" s="57">
        <v>4</v>
      </c>
      <c r="Y51" s="52">
        <v>3386.1060000000002</v>
      </c>
      <c r="Z51" s="50">
        <f t="shared" si="8"/>
        <v>3.5297005493117593</v>
      </c>
      <c r="AA51" s="50">
        <f t="shared" si="9"/>
        <v>9.5563025007672877</v>
      </c>
      <c r="AB51" s="52">
        <v>3600000000</v>
      </c>
    </row>
    <row r="52" spans="1:28" x14ac:dyDescent="0.35">
      <c r="A52" s="49" t="s">
        <v>45</v>
      </c>
      <c r="B52" s="50">
        <v>38.158169177288528</v>
      </c>
      <c r="C52" s="50">
        <f t="shared" si="1"/>
        <v>1.5928223783612254</v>
      </c>
      <c r="D52" s="50">
        <v>6.7068493150684931</v>
      </c>
      <c r="E52" s="50">
        <v>0</v>
      </c>
      <c r="F52" s="50">
        <f t="shared" si="2"/>
        <v>0</v>
      </c>
      <c r="G52" s="50">
        <v>159</v>
      </c>
      <c r="H52" s="50">
        <f t="shared" si="3"/>
        <v>2.2013971243204513</v>
      </c>
      <c r="I52" s="59">
        <v>2.95</v>
      </c>
      <c r="J52" s="71">
        <f t="shared" si="4"/>
        <v>0</v>
      </c>
      <c r="K52" s="60">
        <v>0</v>
      </c>
      <c r="L52" s="61">
        <v>2.1</v>
      </c>
      <c r="M52" s="60">
        <f t="shared" si="5"/>
        <v>0.49136169383427269</v>
      </c>
      <c r="N52" s="62">
        <f t="shared" si="6"/>
        <v>1.2304489213782739</v>
      </c>
      <c r="O52" s="50">
        <v>17</v>
      </c>
      <c r="P52" s="50">
        <f t="shared" si="0"/>
        <v>0</v>
      </c>
      <c r="Q52" s="50">
        <v>70</v>
      </c>
      <c r="R52" s="50">
        <v>70</v>
      </c>
      <c r="S52" s="50">
        <v>85</v>
      </c>
      <c r="T52" s="62">
        <v>25.9</v>
      </c>
      <c r="U52" s="63">
        <v>38.808513566771097</v>
      </c>
      <c r="V52" s="50">
        <v>1171.498</v>
      </c>
      <c r="W52" s="50">
        <f t="shared" si="7"/>
        <v>3.0687415514991745</v>
      </c>
      <c r="X52" s="64">
        <v>4</v>
      </c>
      <c r="Y52" s="50">
        <v>3386.1060000000002</v>
      </c>
      <c r="Z52" s="50">
        <f t="shared" si="8"/>
        <v>3.5297005493117593</v>
      </c>
      <c r="AA52" s="50">
        <f t="shared" si="9"/>
        <v>7.8391007827071535</v>
      </c>
      <c r="AB52" s="50">
        <v>69040000</v>
      </c>
    </row>
    <row r="53" spans="1:28" x14ac:dyDescent="0.35">
      <c r="A53" s="67" t="s">
        <v>45</v>
      </c>
      <c r="B53" s="52">
        <v>0.61441176470588243</v>
      </c>
      <c r="C53" s="50">
        <f t="shared" si="1"/>
        <v>0.20801431373935986</v>
      </c>
      <c r="D53" s="52">
        <v>3.2301369863013698</v>
      </c>
      <c r="E53" s="52">
        <v>0</v>
      </c>
      <c r="F53" s="50">
        <f t="shared" si="2"/>
        <v>0</v>
      </c>
      <c r="G53" s="52">
        <v>10</v>
      </c>
      <c r="H53" s="50">
        <f t="shared" si="3"/>
        <v>1</v>
      </c>
      <c r="I53" s="65">
        <v>2.95</v>
      </c>
      <c r="J53" s="71">
        <f t="shared" si="4"/>
        <v>0</v>
      </c>
      <c r="K53" s="53">
        <v>0</v>
      </c>
      <c r="L53" s="54">
        <v>1.05</v>
      </c>
      <c r="M53" s="60">
        <f t="shared" si="5"/>
        <v>0.31175386105575426</v>
      </c>
      <c r="N53" s="62">
        <f t="shared" si="6"/>
        <v>1.2787536009528289</v>
      </c>
      <c r="O53" s="52">
        <v>19</v>
      </c>
      <c r="P53" s="52">
        <f t="shared" si="0"/>
        <v>0</v>
      </c>
      <c r="Q53" s="52">
        <v>70</v>
      </c>
      <c r="R53" s="52">
        <v>70</v>
      </c>
      <c r="S53" s="52">
        <v>85</v>
      </c>
      <c r="T53" s="55">
        <v>26.5</v>
      </c>
      <c r="U53" s="56">
        <v>37.808596853116498</v>
      </c>
      <c r="V53" s="52">
        <v>1171.498</v>
      </c>
      <c r="W53" s="50">
        <f t="shared" si="7"/>
        <v>3.0687415514991745</v>
      </c>
      <c r="X53" s="57">
        <v>4</v>
      </c>
      <c r="Y53" s="52">
        <v>3386.1060000000002</v>
      </c>
      <c r="Z53" s="50">
        <f t="shared" si="8"/>
        <v>3.5297005493117593</v>
      </c>
      <c r="AA53" s="50">
        <f t="shared" si="9"/>
        <v>8.5314789170422554</v>
      </c>
      <c r="AB53" s="52">
        <v>340000000</v>
      </c>
    </row>
    <row r="54" spans="1:28" x14ac:dyDescent="0.35">
      <c r="A54" s="49" t="s">
        <v>45</v>
      </c>
      <c r="B54" s="50">
        <v>2.9622639999999998</v>
      </c>
      <c r="C54" s="50">
        <f t="shared" si="1"/>
        <v>0.5979434085885782</v>
      </c>
      <c r="D54" s="50">
        <v>3.3397260273972602</v>
      </c>
      <c r="E54" s="50">
        <v>0</v>
      </c>
      <c r="F54" s="50">
        <f t="shared" si="2"/>
        <v>0</v>
      </c>
      <c r="G54" s="50">
        <v>8</v>
      </c>
      <c r="H54" s="50">
        <f t="shared" si="3"/>
        <v>0.90308998699194354</v>
      </c>
      <c r="I54" s="59">
        <v>2.95</v>
      </c>
      <c r="J54" s="71">
        <f t="shared" si="4"/>
        <v>0</v>
      </c>
      <c r="K54" s="60">
        <v>0</v>
      </c>
      <c r="L54" s="61">
        <v>1.17</v>
      </c>
      <c r="M54" s="60">
        <f t="shared" si="5"/>
        <v>0.33645973384852951</v>
      </c>
      <c r="N54" s="62">
        <f t="shared" si="6"/>
        <v>1.2787536009528289</v>
      </c>
      <c r="O54" s="50">
        <v>19</v>
      </c>
      <c r="P54" s="50">
        <f t="shared" si="0"/>
        <v>0</v>
      </c>
      <c r="Q54" s="50">
        <v>70</v>
      </c>
      <c r="R54" s="50">
        <v>70</v>
      </c>
      <c r="S54" s="50">
        <v>85</v>
      </c>
      <c r="T54" s="62">
        <v>26.5</v>
      </c>
      <c r="U54" s="63">
        <v>37.808596853116498</v>
      </c>
      <c r="V54" s="50">
        <v>1171.498</v>
      </c>
      <c r="W54" s="50">
        <f t="shared" si="7"/>
        <v>3.0687415514991745</v>
      </c>
      <c r="X54" s="64">
        <v>4</v>
      </c>
      <c r="Y54" s="50">
        <v>3386.1060000000002</v>
      </c>
      <c r="Z54" s="50">
        <f t="shared" si="8"/>
        <v>3.5297005493117593</v>
      </c>
      <c r="AA54" s="50">
        <f t="shared" si="9"/>
        <v>8.6989700043360187</v>
      </c>
      <c r="AB54" s="50">
        <v>500000000</v>
      </c>
    </row>
    <row r="55" spans="1:28" x14ac:dyDescent="0.35">
      <c r="A55" s="67" t="s">
        <v>45</v>
      </c>
      <c r="B55" s="52">
        <v>-0.42858775463558185</v>
      </c>
      <c r="C55" s="50">
        <f t="shared" si="1"/>
        <v>-0.24305045692280344</v>
      </c>
      <c r="D55" s="52">
        <v>9.7452054794520553</v>
      </c>
      <c r="E55" s="52">
        <v>0</v>
      </c>
      <c r="F55" s="50">
        <f t="shared" si="2"/>
        <v>0</v>
      </c>
      <c r="G55" s="52">
        <v>138</v>
      </c>
      <c r="H55" s="50">
        <f t="shared" si="3"/>
        <v>2.1398790864012365</v>
      </c>
      <c r="I55" s="65">
        <v>2.95</v>
      </c>
      <c r="J55" s="71">
        <f t="shared" si="4"/>
        <v>0</v>
      </c>
      <c r="K55" s="53">
        <v>0</v>
      </c>
      <c r="L55" s="54">
        <v>1.4</v>
      </c>
      <c r="M55" s="60">
        <f t="shared" si="5"/>
        <v>0.38021124171160603</v>
      </c>
      <c r="N55" s="62">
        <f t="shared" si="6"/>
        <v>1.2787536009528289</v>
      </c>
      <c r="O55" s="52">
        <v>19</v>
      </c>
      <c r="P55" s="52">
        <f t="shared" si="0"/>
        <v>0</v>
      </c>
      <c r="Q55" s="52">
        <v>70</v>
      </c>
      <c r="R55" s="52">
        <v>70</v>
      </c>
      <c r="S55" s="52">
        <v>85</v>
      </c>
      <c r="T55" s="55">
        <v>26.5</v>
      </c>
      <c r="U55" s="56">
        <v>37.808596853116498</v>
      </c>
      <c r="V55" s="52">
        <v>1171.498</v>
      </c>
      <c r="W55" s="50">
        <f t="shared" si="7"/>
        <v>3.0687415514991745</v>
      </c>
      <c r="X55" s="57">
        <v>4</v>
      </c>
      <c r="Y55" s="52">
        <v>3386.1060000000002</v>
      </c>
      <c r="Z55" s="50">
        <f t="shared" si="8"/>
        <v>3.5297005493117593</v>
      </c>
      <c r="AA55" s="50">
        <f t="shared" si="9"/>
        <v>9.3222317029704289</v>
      </c>
      <c r="AB55" s="52">
        <v>2100060000</v>
      </c>
    </row>
    <row r="56" spans="1:28" x14ac:dyDescent="0.35">
      <c r="A56" s="49" t="s">
        <v>45</v>
      </c>
      <c r="B56" s="50">
        <v>-1</v>
      </c>
      <c r="C56" s="50">
        <f t="shared" si="1"/>
        <v>-1</v>
      </c>
      <c r="D56" s="50">
        <v>2.463013698630137</v>
      </c>
      <c r="E56" s="50">
        <v>0</v>
      </c>
      <c r="F56" s="50">
        <f t="shared" si="2"/>
        <v>0</v>
      </c>
      <c r="G56" s="50">
        <v>63</v>
      </c>
      <c r="H56" s="50">
        <f t="shared" si="3"/>
        <v>1.7993405494535817</v>
      </c>
      <c r="I56" s="59">
        <v>2.95</v>
      </c>
      <c r="J56" s="71">
        <f t="shared" si="4"/>
        <v>0</v>
      </c>
      <c r="K56" s="60">
        <v>0</v>
      </c>
      <c r="L56" s="61">
        <v>0.79</v>
      </c>
      <c r="M56" s="60">
        <f t="shared" si="5"/>
        <v>0.2528530309798932</v>
      </c>
      <c r="N56" s="62">
        <f t="shared" si="6"/>
        <v>1.2787536009528289</v>
      </c>
      <c r="O56" s="50">
        <v>19</v>
      </c>
      <c r="P56" s="50">
        <f t="shared" si="0"/>
        <v>0</v>
      </c>
      <c r="Q56" s="50">
        <v>70</v>
      </c>
      <c r="R56" s="50">
        <v>70</v>
      </c>
      <c r="S56" s="50">
        <v>85</v>
      </c>
      <c r="T56" s="62">
        <v>26.5</v>
      </c>
      <c r="U56" s="63">
        <v>37.808596853116498</v>
      </c>
      <c r="V56" s="50">
        <v>1171.498</v>
      </c>
      <c r="W56" s="50">
        <f t="shared" si="7"/>
        <v>3.0687415514991745</v>
      </c>
      <c r="X56" s="64">
        <v>4</v>
      </c>
      <c r="Y56" s="50">
        <v>3386.1060000000002</v>
      </c>
      <c r="Z56" s="50">
        <f t="shared" si="8"/>
        <v>3.5297005493117593</v>
      </c>
      <c r="AA56" s="50">
        <f t="shared" si="9"/>
        <v>9.0606978403536118</v>
      </c>
      <c r="AB56" s="50">
        <v>1150000000</v>
      </c>
    </row>
    <row r="57" spans="1:28" x14ac:dyDescent="0.35">
      <c r="A57" s="67" t="s">
        <v>45</v>
      </c>
      <c r="B57" s="52">
        <v>0.38310088872615911</v>
      </c>
      <c r="C57" s="50">
        <f t="shared" si="1"/>
        <v>0.14085386038334191</v>
      </c>
      <c r="D57" s="52">
        <v>7.3123287671232875</v>
      </c>
      <c r="E57" s="52">
        <v>0</v>
      </c>
      <c r="F57" s="50">
        <f t="shared" si="2"/>
        <v>0</v>
      </c>
      <c r="G57" s="52">
        <v>65</v>
      </c>
      <c r="H57" s="50">
        <f t="shared" si="3"/>
        <v>1.8129133566428555</v>
      </c>
      <c r="I57" s="65">
        <v>2.95</v>
      </c>
      <c r="J57" s="71">
        <f t="shared" si="4"/>
        <v>0</v>
      </c>
      <c r="K57" s="53">
        <v>0</v>
      </c>
      <c r="L57" s="54">
        <v>0.33</v>
      </c>
      <c r="M57" s="60">
        <f t="shared" si="5"/>
        <v>0.12385164096708581</v>
      </c>
      <c r="N57" s="62">
        <f t="shared" si="6"/>
        <v>1.3222192947339193</v>
      </c>
      <c r="O57" s="52">
        <v>21</v>
      </c>
      <c r="P57" s="52">
        <f t="shared" si="0"/>
        <v>0</v>
      </c>
      <c r="Q57" s="52">
        <v>70</v>
      </c>
      <c r="R57" s="52">
        <v>70</v>
      </c>
      <c r="S57" s="52">
        <v>85</v>
      </c>
      <c r="T57" s="55">
        <v>27.4</v>
      </c>
      <c r="U57" s="56">
        <v>35.968444143503902</v>
      </c>
      <c r="V57" s="52">
        <v>1171.498</v>
      </c>
      <c r="W57" s="50">
        <f t="shared" si="7"/>
        <v>3.0687415514991745</v>
      </c>
      <c r="X57" s="57">
        <v>4</v>
      </c>
      <c r="Y57" s="52">
        <v>3386.1060000000002</v>
      </c>
      <c r="Z57" s="50">
        <f t="shared" si="8"/>
        <v>3.5297005493117593</v>
      </c>
      <c r="AA57" s="50">
        <f t="shared" si="9"/>
        <v>9.079803289113908</v>
      </c>
      <c r="AB57" s="52">
        <v>1201720000</v>
      </c>
    </row>
    <row r="58" spans="1:28" x14ac:dyDescent="0.35">
      <c r="A58" s="49" t="s">
        <v>45</v>
      </c>
      <c r="B58" s="50">
        <v>-1</v>
      </c>
      <c r="C58" s="50">
        <f t="shared" si="1"/>
        <v>-1</v>
      </c>
      <c r="D58" s="50">
        <v>7.7315068493150685</v>
      </c>
      <c r="E58" s="50">
        <v>0</v>
      </c>
      <c r="F58" s="50">
        <f t="shared" si="2"/>
        <v>0</v>
      </c>
      <c r="G58" s="50">
        <v>11</v>
      </c>
      <c r="H58" s="50">
        <f t="shared" si="3"/>
        <v>1.0413926851582251</v>
      </c>
      <c r="I58" s="59">
        <v>2.95</v>
      </c>
      <c r="J58" s="71">
        <f t="shared" si="4"/>
        <v>0</v>
      </c>
      <c r="K58" s="60">
        <v>0</v>
      </c>
      <c r="L58" s="61">
        <v>0.42</v>
      </c>
      <c r="M58" s="60">
        <f t="shared" si="5"/>
        <v>0.15228834438305647</v>
      </c>
      <c r="N58" s="62">
        <f t="shared" si="6"/>
        <v>1.3222192947339193</v>
      </c>
      <c r="O58" s="50">
        <v>21</v>
      </c>
      <c r="P58" s="50">
        <f t="shared" si="0"/>
        <v>0</v>
      </c>
      <c r="Q58" s="50">
        <v>70</v>
      </c>
      <c r="R58" s="50">
        <v>70</v>
      </c>
      <c r="S58" s="50">
        <v>85</v>
      </c>
      <c r="T58" s="62">
        <v>27.4</v>
      </c>
      <c r="U58" s="63">
        <v>35.968444143503902</v>
      </c>
      <c r="V58" s="50">
        <v>1171.498</v>
      </c>
      <c r="W58" s="50">
        <f t="shared" si="7"/>
        <v>3.0687415514991745</v>
      </c>
      <c r="X58" s="64">
        <v>4</v>
      </c>
      <c r="Y58" s="50">
        <v>3386.1060000000002</v>
      </c>
      <c r="Z58" s="50">
        <f t="shared" si="8"/>
        <v>3.5297005493117593</v>
      </c>
      <c r="AA58" s="50">
        <f t="shared" si="9"/>
        <v>8.8195439355418692</v>
      </c>
      <c r="AB58" s="50">
        <v>660000000</v>
      </c>
    </row>
    <row r="59" spans="1:28" x14ac:dyDescent="0.35">
      <c r="A59" s="67" t="s">
        <v>45</v>
      </c>
      <c r="B59" s="52">
        <v>-1</v>
      </c>
      <c r="C59" s="50">
        <f t="shared" si="1"/>
        <v>-1</v>
      </c>
      <c r="D59" s="52">
        <v>5.1589041095890407</v>
      </c>
      <c r="E59" s="52">
        <v>0</v>
      </c>
      <c r="F59" s="50">
        <f t="shared" si="2"/>
        <v>0</v>
      </c>
      <c r="G59" s="52">
        <v>7</v>
      </c>
      <c r="H59" s="50">
        <f t="shared" si="3"/>
        <v>0.84509804001425681</v>
      </c>
      <c r="I59" s="65">
        <v>2.95</v>
      </c>
      <c r="J59" s="71">
        <f t="shared" si="4"/>
        <v>0</v>
      </c>
      <c r="K59" s="53">
        <v>0</v>
      </c>
      <c r="L59" s="54">
        <v>-0.14000000000000001</v>
      </c>
      <c r="M59" s="60">
        <f t="shared" si="5"/>
        <v>-6.5501548756432285E-2</v>
      </c>
      <c r="N59" s="62">
        <f t="shared" si="6"/>
        <v>1.3424226808222062</v>
      </c>
      <c r="O59" s="52">
        <v>22</v>
      </c>
      <c r="P59" s="52">
        <f t="shared" si="0"/>
        <v>0</v>
      </c>
      <c r="Q59" s="52">
        <v>70</v>
      </c>
      <c r="R59" s="52">
        <v>70</v>
      </c>
      <c r="S59" s="52">
        <v>85</v>
      </c>
      <c r="T59" s="55">
        <v>27.8</v>
      </c>
      <c r="U59" s="56">
        <v>35.119429201759203</v>
      </c>
      <c r="V59" s="52">
        <v>1171.498</v>
      </c>
      <c r="W59" s="50">
        <f t="shared" si="7"/>
        <v>3.0687415514991745</v>
      </c>
      <c r="X59" s="57">
        <v>4</v>
      </c>
      <c r="Y59" s="52">
        <v>3386.1060000000002</v>
      </c>
      <c r="Z59" s="50">
        <f t="shared" si="8"/>
        <v>3.5297005493117593</v>
      </c>
      <c r="AA59" s="50">
        <f t="shared" si="9"/>
        <v>8.7730546933642621</v>
      </c>
      <c r="AB59" s="52">
        <v>593000000</v>
      </c>
    </row>
    <row r="60" spans="1:28" x14ac:dyDescent="0.35">
      <c r="A60" s="49" t="s">
        <v>45</v>
      </c>
      <c r="B60" s="50">
        <v>-0.61057932115626712</v>
      </c>
      <c r="C60" s="50">
        <f t="shared" si="1"/>
        <v>-0.40958099049118918</v>
      </c>
      <c r="D60" s="50">
        <v>8.1808219178082187</v>
      </c>
      <c r="E60" s="50">
        <v>0</v>
      </c>
      <c r="F60" s="50">
        <f t="shared" si="2"/>
        <v>0</v>
      </c>
      <c r="G60" s="50">
        <v>16</v>
      </c>
      <c r="H60" s="50">
        <f t="shared" si="3"/>
        <v>1.2041199826559248</v>
      </c>
      <c r="I60" s="59">
        <v>2.95</v>
      </c>
      <c r="J60" s="71">
        <f t="shared" si="4"/>
        <v>0</v>
      </c>
      <c r="K60" s="60">
        <v>0</v>
      </c>
      <c r="L60" s="61">
        <v>0.17</v>
      </c>
      <c r="M60" s="60">
        <f t="shared" si="5"/>
        <v>6.8185861746161619E-2</v>
      </c>
      <c r="N60" s="62">
        <f t="shared" si="6"/>
        <v>1.3617278360175928</v>
      </c>
      <c r="O60" s="50">
        <v>23</v>
      </c>
      <c r="P60" s="50">
        <f t="shared" si="0"/>
        <v>0</v>
      </c>
      <c r="Q60" s="50">
        <v>70</v>
      </c>
      <c r="R60" s="50">
        <v>70</v>
      </c>
      <c r="S60" s="50">
        <v>85</v>
      </c>
      <c r="T60" s="62">
        <v>27.8</v>
      </c>
      <c r="U60" s="63">
        <v>34.656907836978597</v>
      </c>
      <c r="V60" s="50">
        <v>1171.498</v>
      </c>
      <c r="W60" s="50">
        <f t="shared" si="7"/>
        <v>3.0687415514991745</v>
      </c>
      <c r="X60" s="64">
        <v>4</v>
      </c>
      <c r="Y60" s="50">
        <v>3386.1060000000002</v>
      </c>
      <c r="Z60" s="50">
        <f t="shared" si="8"/>
        <v>3.5297005493117593</v>
      </c>
      <c r="AA60" s="50">
        <f t="shared" si="9"/>
        <v>8.9253224071605537</v>
      </c>
      <c r="AB60" s="50">
        <v>842020000</v>
      </c>
    </row>
    <row r="61" spans="1:28" x14ac:dyDescent="0.35">
      <c r="A61" s="67" t="s">
        <v>45</v>
      </c>
      <c r="B61" s="52">
        <v>-1</v>
      </c>
      <c r="C61" s="50">
        <f t="shared" si="1"/>
        <v>-1</v>
      </c>
      <c r="D61" s="52">
        <v>4.8712328767123285</v>
      </c>
      <c r="E61" s="52">
        <v>0</v>
      </c>
      <c r="F61" s="50">
        <f t="shared" si="2"/>
        <v>0</v>
      </c>
      <c r="G61" s="52">
        <v>13</v>
      </c>
      <c r="H61" s="50">
        <f t="shared" si="3"/>
        <v>1.1139433523068367</v>
      </c>
      <c r="I61" s="65">
        <v>2.95</v>
      </c>
      <c r="J61" s="71">
        <f t="shared" si="4"/>
        <v>0</v>
      </c>
      <c r="K61" s="53">
        <v>0</v>
      </c>
      <c r="L61" s="54">
        <v>-0.1</v>
      </c>
      <c r="M61" s="60">
        <f t="shared" si="5"/>
        <v>-4.5757490560675115E-2</v>
      </c>
      <c r="N61" s="62">
        <f t="shared" si="6"/>
        <v>1.3802112417116059</v>
      </c>
      <c r="O61" s="52">
        <v>24</v>
      </c>
      <c r="P61" s="52">
        <f t="shared" si="0"/>
        <v>0</v>
      </c>
      <c r="Q61" s="52">
        <v>70</v>
      </c>
      <c r="R61" s="52">
        <v>70</v>
      </c>
      <c r="S61" s="52">
        <v>85</v>
      </c>
      <c r="T61" s="55">
        <v>28.2</v>
      </c>
      <c r="U61" s="56">
        <v>34.298950279384798</v>
      </c>
      <c r="V61" s="52">
        <v>1171.498</v>
      </c>
      <c r="W61" s="50">
        <f t="shared" si="7"/>
        <v>3.0687415514991745</v>
      </c>
      <c r="X61" s="57">
        <v>4</v>
      </c>
      <c r="Y61" s="52">
        <v>3386.1060000000002</v>
      </c>
      <c r="Z61" s="50">
        <f t="shared" si="8"/>
        <v>3.5297005493117593</v>
      </c>
      <c r="AA61" s="50">
        <f t="shared" si="9"/>
        <v>8.3010299956639813</v>
      </c>
      <c r="AB61" s="52">
        <v>200000000</v>
      </c>
    </row>
    <row r="62" spans="1:28" x14ac:dyDescent="0.35">
      <c r="A62" s="49" t="s">
        <v>45</v>
      </c>
      <c r="B62" s="50">
        <v>-1</v>
      </c>
      <c r="C62" s="50">
        <f t="shared" si="1"/>
        <v>-1</v>
      </c>
      <c r="D62" s="50">
        <v>1.3095890410958904</v>
      </c>
      <c r="E62" s="50">
        <v>0</v>
      </c>
      <c r="F62" s="50">
        <f t="shared" si="2"/>
        <v>0</v>
      </c>
      <c r="G62" s="50">
        <v>3</v>
      </c>
      <c r="H62" s="50">
        <f t="shared" si="3"/>
        <v>0.47712125471966244</v>
      </c>
      <c r="I62" s="59">
        <v>2.95</v>
      </c>
      <c r="J62" s="71">
        <f t="shared" si="4"/>
        <v>0</v>
      </c>
      <c r="K62" s="60">
        <v>0</v>
      </c>
      <c r="L62" s="61">
        <v>-0.25</v>
      </c>
      <c r="M62" s="60">
        <f t="shared" si="5"/>
        <v>-0.12493873660829995</v>
      </c>
      <c r="N62" s="62">
        <f t="shared" si="6"/>
        <v>1.3802112417116059</v>
      </c>
      <c r="O62" s="50">
        <v>24</v>
      </c>
      <c r="P62" s="50">
        <f t="shared" si="0"/>
        <v>0</v>
      </c>
      <c r="Q62" s="50">
        <v>70</v>
      </c>
      <c r="R62" s="50">
        <v>70</v>
      </c>
      <c r="S62" s="50">
        <v>85</v>
      </c>
      <c r="T62" s="62">
        <v>28.2</v>
      </c>
      <c r="U62" s="63">
        <v>34.298950279384798</v>
      </c>
      <c r="V62" s="50">
        <v>1171.498</v>
      </c>
      <c r="W62" s="50">
        <f t="shared" si="7"/>
        <v>3.0687415514991745</v>
      </c>
      <c r="X62" s="64">
        <v>4</v>
      </c>
      <c r="Y62" s="50">
        <v>3386.1060000000002</v>
      </c>
      <c r="Z62" s="50">
        <f t="shared" si="8"/>
        <v>3.5297005493117593</v>
      </c>
      <c r="AA62" s="50">
        <f t="shared" si="9"/>
        <v>7.7708520116421438</v>
      </c>
      <c r="AB62" s="50">
        <v>59000000</v>
      </c>
    </row>
    <row r="63" spans="1:28" x14ac:dyDescent="0.35">
      <c r="A63" s="67" t="s">
        <v>45</v>
      </c>
      <c r="B63" s="52">
        <v>0.67196613607142219</v>
      </c>
      <c r="C63" s="50">
        <f t="shared" si="1"/>
        <v>0.22322747701074128</v>
      </c>
      <c r="D63" s="52">
        <v>11.717808219178082</v>
      </c>
      <c r="E63" s="52">
        <v>0</v>
      </c>
      <c r="F63" s="50">
        <f t="shared" si="2"/>
        <v>0</v>
      </c>
      <c r="G63" s="52">
        <v>89</v>
      </c>
      <c r="H63" s="50">
        <f t="shared" si="3"/>
        <v>1.9493900066449128</v>
      </c>
      <c r="I63" s="65">
        <v>2.95</v>
      </c>
      <c r="J63" s="71">
        <f t="shared" si="4"/>
        <v>0</v>
      </c>
      <c r="K63" s="53">
        <v>0</v>
      </c>
      <c r="L63" s="54">
        <v>-0.14000000000000001</v>
      </c>
      <c r="M63" s="60">
        <f t="shared" si="5"/>
        <v>-6.5501548756432285E-2</v>
      </c>
      <c r="N63" s="62">
        <f t="shared" si="6"/>
        <v>1.3802112417116059</v>
      </c>
      <c r="O63" s="52">
        <v>24</v>
      </c>
      <c r="P63" s="52">
        <f t="shared" si="0"/>
        <v>0</v>
      </c>
      <c r="Q63" s="52">
        <v>70</v>
      </c>
      <c r="R63" s="52">
        <v>70</v>
      </c>
      <c r="S63" s="52">
        <v>85</v>
      </c>
      <c r="T63" s="55">
        <v>28.2</v>
      </c>
      <c r="U63" s="56">
        <v>34.298950279384798</v>
      </c>
      <c r="V63" s="52">
        <v>1171.498</v>
      </c>
      <c r="W63" s="50">
        <f t="shared" si="7"/>
        <v>3.0687415514991745</v>
      </c>
      <c r="X63" s="57">
        <v>4</v>
      </c>
      <c r="Y63" s="52">
        <v>3386.1060000000002</v>
      </c>
      <c r="Z63" s="50">
        <f t="shared" si="8"/>
        <v>3.5297005493117593</v>
      </c>
      <c r="AA63" s="50">
        <f t="shared" si="9"/>
        <v>8.7421042670361224</v>
      </c>
      <c r="AB63" s="52">
        <v>552210000</v>
      </c>
    </row>
    <row r="64" spans="1:28" x14ac:dyDescent="0.35">
      <c r="A64" s="49" t="s">
        <v>45</v>
      </c>
      <c r="B64" s="50">
        <v>-0.39431331077043019</v>
      </c>
      <c r="C64" s="50">
        <f t="shared" si="1"/>
        <v>-0.21775197043058564</v>
      </c>
      <c r="D64" s="50">
        <v>9.7835616438356166</v>
      </c>
      <c r="E64" s="50">
        <v>0</v>
      </c>
      <c r="F64" s="50">
        <f t="shared" si="2"/>
        <v>0</v>
      </c>
      <c r="G64" s="50">
        <v>25</v>
      </c>
      <c r="H64" s="50">
        <f t="shared" si="3"/>
        <v>1.3979400086720377</v>
      </c>
      <c r="I64" s="59">
        <v>2.95</v>
      </c>
      <c r="J64" s="71">
        <f t="shared" si="4"/>
        <v>0</v>
      </c>
      <c r="K64" s="60">
        <v>0</v>
      </c>
      <c r="L64" s="61">
        <v>0.67</v>
      </c>
      <c r="M64" s="60">
        <f t="shared" si="5"/>
        <v>0.22271647114758325</v>
      </c>
      <c r="N64" s="62">
        <f t="shared" si="6"/>
        <v>1.4913616938342726</v>
      </c>
      <c r="O64" s="50">
        <v>31</v>
      </c>
      <c r="P64" s="50">
        <f t="shared" si="0"/>
        <v>0</v>
      </c>
      <c r="Q64" s="50">
        <v>70</v>
      </c>
      <c r="R64" s="50">
        <v>70</v>
      </c>
      <c r="S64" s="50">
        <v>91.4</v>
      </c>
      <c r="T64" s="62">
        <v>26.7</v>
      </c>
      <c r="U64" s="63">
        <v>37.425715444240403</v>
      </c>
      <c r="V64" s="50">
        <v>1171.498</v>
      </c>
      <c r="W64" s="50">
        <f t="shared" si="7"/>
        <v>3.0687415514991745</v>
      </c>
      <c r="X64" s="64">
        <v>4</v>
      </c>
      <c r="Y64" s="50">
        <v>3386.1060000000002</v>
      </c>
      <c r="Z64" s="50">
        <f t="shared" si="8"/>
        <v>3.5297005493117593</v>
      </c>
      <c r="AA64" s="50">
        <f t="shared" si="9"/>
        <v>10.684891570272443</v>
      </c>
      <c r="AB64" s="50">
        <v>48405150000</v>
      </c>
    </row>
    <row r="65" spans="1:28" x14ac:dyDescent="0.35">
      <c r="A65" s="67" t="s">
        <v>45</v>
      </c>
      <c r="B65" s="52">
        <v>8.6986290509734721E-2</v>
      </c>
      <c r="C65" s="50">
        <f t="shared" si="1"/>
        <v>3.6224066631355668E-2</v>
      </c>
      <c r="D65" s="52">
        <v>4.6657534246575345</v>
      </c>
      <c r="E65" s="52">
        <v>0</v>
      </c>
      <c r="F65" s="50">
        <f t="shared" si="2"/>
        <v>0</v>
      </c>
      <c r="G65" s="52">
        <v>68</v>
      </c>
      <c r="H65" s="50">
        <f t="shared" si="3"/>
        <v>1.8325089127062364</v>
      </c>
      <c r="I65" s="65">
        <v>2.95</v>
      </c>
      <c r="J65" s="71">
        <f t="shared" si="4"/>
        <v>0</v>
      </c>
      <c r="K65" s="53">
        <v>0</v>
      </c>
      <c r="L65" s="54">
        <v>-0.06</v>
      </c>
      <c r="M65" s="60">
        <f t="shared" si="5"/>
        <v>-2.6872146400301365E-2</v>
      </c>
      <c r="N65" s="62">
        <f t="shared" si="6"/>
        <v>1.4913616938342726</v>
      </c>
      <c r="O65" s="52">
        <v>31</v>
      </c>
      <c r="P65" s="52">
        <f t="shared" si="0"/>
        <v>0</v>
      </c>
      <c r="Q65" s="52">
        <v>70</v>
      </c>
      <c r="R65" s="52">
        <v>70</v>
      </c>
      <c r="S65" s="52">
        <v>91.4</v>
      </c>
      <c r="T65" s="55">
        <v>26.7</v>
      </c>
      <c r="U65" s="56">
        <v>37.425715444240403</v>
      </c>
      <c r="V65" s="52">
        <v>1171.498</v>
      </c>
      <c r="W65" s="50">
        <f t="shared" si="7"/>
        <v>3.0687415514991745</v>
      </c>
      <c r="X65" s="57">
        <v>4</v>
      </c>
      <c r="Y65" s="52">
        <v>3386.1060000000002</v>
      </c>
      <c r="Z65" s="50">
        <f t="shared" si="8"/>
        <v>3.5297005493117593</v>
      </c>
      <c r="AA65" s="50">
        <f t="shared" si="9"/>
        <v>9.8645721865020803</v>
      </c>
      <c r="AB65" s="52">
        <v>7321030000</v>
      </c>
    </row>
    <row r="66" spans="1:28" x14ac:dyDescent="0.35">
      <c r="A66" s="49" t="s">
        <v>45</v>
      </c>
      <c r="B66" s="50">
        <v>0.17956411792460325</v>
      </c>
      <c r="C66" s="50">
        <f t="shared" si="1"/>
        <v>7.1721552940151076E-2</v>
      </c>
      <c r="D66" s="50">
        <v>7.7479452054794518</v>
      </c>
      <c r="E66" s="50">
        <v>0</v>
      </c>
      <c r="F66" s="50">
        <f t="shared" si="2"/>
        <v>0</v>
      </c>
      <c r="G66" s="50">
        <v>30</v>
      </c>
      <c r="H66" s="50">
        <f t="shared" si="3"/>
        <v>1.4771212547196624</v>
      </c>
      <c r="I66" s="59">
        <v>2.95</v>
      </c>
      <c r="J66" s="71">
        <f t="shared" si="4"/>
        <v>0</v>
      </c>
      <c r="K66" s="60">
        <v>0</v>
      </c>
      <c r="L66" s="61">
        <v>0.38</v>
      </c>
      <c r="M66" s="60">
        <f t="shared" si="5"/>
        <v>0.13987908640123647</v>
      </c>
      <c r="N66" s="62">
        <f t="shared" si="6"/>
        <v>1.4913616938342726</v>
      </c>
      <c r="O66" s="50">
        <v>31</v>
      </c>
      <c r="P66" s="50">
        <f t="shared" ref="P66:P129" si="10">IF(E66=0,0,1)</f>
        <v>0</v>
      </c>
      <c r="Q66" s="50">
        <v>70</v>
      </c>
      <c r="R66" s="50">
        <v>70</v>
      </c>
      <c r="S66" s="50">
        <v>91.4</v>
      </c>
      <c r="T66" s="62">
        <v>26.7</v>
      </c>
      <c r="U66" s="63">
        <v>37.425715444240403</v>
      </c>
      <c r="V66" s="50">
        <v>1171.498</v>
      </c>
      <c r="W66" s="50">
        <f t="shared" si="7"/>
        <v>3.0687415514991745</v>
      </c>
      <c r="X66" s="64">
        <v>4</v>
      </c>
      <c r="Y66" s="50">
        <v>3386.1060000000002</v>
      </c>
      <c r="Z66" s="50">
        <f t="shared" si="8"/>
        <v>3.5297005493117593</v>
      </c>
      <c r="AA66" s="50">
        <f t="shared" si="9"/>
        <v>10.057930707138228</v>
      </c>
      <c r="AB66" s="50">
        <v>11426960000</v>
      </c>
    </row>
    <row r="67" spans="1:28" x14ac:dyDescent="0.35">
      <c r="A67" s="67" t="s">
        <v>45</v>
      </c>
      <c r="B67" s="52">
        <v>-1</v>
      </c>
      <c r="C67" s="50">
        <f t="shared" ref="C67:C130" si="11">IF(B67=-1,-1,LOG(1+B67))</f>
        <v>-1</v>
      </c>
      <c r="D67" s="52">
        <v>2.3232876712328765</v>
      </c>
      <c r="E67" s="52">
        <v>0</v>
      </c>
      <c r="F67" s="50">
        <f t="shared" ref="F67:F130" si="12">IF(E67=0,0,LOG(E67))</f>
        <v>0</v>
      </c>
      <c r="G67" s="52">
        <v>121</v>
      </c>
      <c r="H67" s="50">
        <f t="shared" ref="H67:H130" si="13">IF(G67=0,0,LOG(G67))</f>
        <v>2.0827853703164503</v>
      </c>
      <c r="I67" s="65">
        <v>2.95</v>
      </c>
      <c r="J67" s="71">
        <f t="shared" ref="J67:J130" si="14">IF(K67=0,0,LOG(K67))</f>
        <v>0</v>
      </c>
      <c r="K67" s="53">
        <v>0</v>
      </c>
      <c r="L67" s="54">
        <v>0.24</v>
      </c>
      <c r="M67" s="60">
        <f t="shared" ref="M67:M130" si="15">LOG(1+L67)</f>
        <v>9.3421685162235063E-2</v>
      </c>
      <c r="N67" s="62">
        <f t="shared" ref="N67:N130" si="16">IF(O67=0,0,LOG(O67))</f>
        <v>1.5185139398778875</v>
      </c>
      <c r="O67" s="52">
        <v>33</v>
      </c>
      <c r="P67" s="52">
        <f t="shared" si="10"/>
        <v>0</v>
      </c>
      <c r="Q67" s="52">
        <v>70</v>
      </c>
      <c r="R67" s="52">
        <v>70</v>
      </c>
      <c r="S67" s="52">
        <v>91.9</v>
      </c>
      <c r="T67" s="55">
        <v>23</v>
      </c>
      <c r="U67" s="56">
        <v>43.262530407091703</v>
      </c>
      <c r="V67" s="52">
        <v>1171.498</v>
      </c>
      <c r="W67" s="50">
        <f t="shared" ref="W67:W130" si="17">LOG(V67)</f>
        <v>3.0687415514991745</v>
      </c>
      <c r="X67" s="57">
        <v>4</v>
      </c>
      <c r="Y67" s="52">
        <v>3386.1060000000002</v>
      </c>
      <c r="Z67" s="50">
        <f t="shared" ref="Z67:Z130" si="18">LOG(Y67)</f>
        <v>3.5297005493117593</v>
      </c>
      <c r="AA67" s="50">
        <f t="shared" ref="AA67:AA130" si="19">LOG(AB67)</f>
        <v>8.6020599913279625</v>
      </c>
      <c r="AB67" s="52">
        <v>400000000</v>
      </c>
    </row>
    <row r="68" spans="1:28" x14ac:dyDescent="0.35">
      <c r="A68" s="49" t="s">
        <v>45</v>
      </c>
      <c r="B68" s="50">
        <v>1.4</v>
      </c>
      <c r="C68" s="50">
        <f t="shared" si="11"/>
        <v>0.38021124171160603</v>
      </c>
      <c r="D68" s="50">
        <v>1.3479452054794521</v>
      </c>
      <c r="E68" s="50">
        <v>0</v>
      </c>
      <c r="F68" s="50">
        <f t="shared" si="12"/>
        <v>0</v>
      </c>
      <c r="G68" s="50">
        <v>0</v>
      </c>
      <c r="H68" s="50">
        <f t="shared" si="13"/>
        <v>0</v>
      </c>
      <c r="I68" s="59">
        <v>2.95</v>
      </c>
      <c r="J68" s="71">
        <f t="shared" si="14"/>
        <v>0</v>
      </c>
      <c r="K68" s="60">
        <v>0</v>
      </c>
      <c r="L68" s="61">
        <v>0.09</v>
      </c>
      <c r="M68" s="60">
        <f t="shared" si="15"/>
        <v>3.7426497940623665E-2</v>
      </c>
      <c r="N68" s="62">
        <f t="shared" si="16"/>
        <v>1.5314789170422551</v>
      </c>
      <c r="O68" s="50">
        <v>34</v>
      </c>
      <c r="P68" s="50">
        <f t="shared" si="10"/>
        <v>0</v>
      </c>
      <c r="Q68" s="50">
        <v>70</v>
      </c>
      <c r="R68" s="50">
        <v>70</v>
      </c>
      <c r="S68" s="50">
        <v>91.3</v>
      </c>
      <c r="T68" s="62">
        <v>23.5</v>
      </c>
      <c r="U68" s="63">
        <v>43.1672842383418</v>
      </c>
      <c r="V68" s="50">
        <v>1171.498</v>
      </c>
      <c r="W68" s="50">
        <f t="shared" si="17"/>
        <v>3.0687415514991745</v>
      </c>
      <c r="X68" s="64">
        <v>4</v>
      </c>
      <c r="Y68" s="50">
        <v>3386.1060000000002</v>
      </c>
      <c r="Z68" s="50">
        <f t="shared" si="18"/>
        <v>3.5297005493117593</v>
      </c>
      <c r="AA68" s="50">
        <f t="shared" si="19"/>
        <v>8.0969100130080562</v>
      </c>
      <c r="AB68" s="50">
        <v>125000000</v>
      </c>
    </row>
    <row r="69" spans="1:28" x14ac:dyDescent="0.35">
      <c r="A69" s="67" t="s">
        <v>45</v>
      </c>
      <c r="B69" s="52">
        <v>0.51357834002388048</v>
      </c>
      <c r="C69" s="50">
        <f t="shared" si="11"/>
        <v>0.1800049041558846</v>
      </c>
      <c r="D69" s="52">
        <v>3.5534246575342467</v>
      </c>
      <c r="E69" s="52">
        <v>0</v>
      </c>
      <c r="F69" s="50">
        <f t="shared" si="12"/>
        <v>0</v>
      </c>
      <c r="G69" s="52">
        <v>114</v>
      </c>
      <c r="H69" s="50">
        <f t="shared" si="13"/>
        <v>2.0569048513364727</v>
      </c>
      <c r="I69" s="65">
        <v>2.95</v>
      </c>
      <c r="J69" s="71">
        <f t="shared" si="14"/>
        <v>0</v>
      </c>
      <c r="K69" s="53">
        <v>0</v>
      </c>
      <c r="L69" s="54">
        <v>0.79</v>
      </c>
      <c r="M69" s="60">
        <f t="shared" si="15"/>
        <v>0.2528530309798932</v>
      </c>
      <c r="N69" s="62">
        <f t="shared" si="16"/>
        <v>1.5440680443502757</v>
      </c>
      <c r="O69" s="52">
        <v>35</v>
      </c>
      <c r="P69" s="52">
        <f t="shared" si="10"/>
        <v>0</v>
      </c>
      <c r="Q69" s="52">
        <v>70</v>
      </c>
      <c r="R69" s="52">
        <v>70</v>
      </c>
      <c r="S69" s="52">
        <v>91</v>
      </c>
      <c r="T69" s="55">
        <v>23.9</v>
      </c>
      <c r="U69" s="56">
        <v>42.048698215007001</v>
      </c>
      <c r="V69" s="52">
        <v>1171.498</v>
      </c>
      <c r="W69" s="50">
        <f t="shared" si="17"/>
        <v>3.0687415514991745</v>
      </c>
      <c r="X69" s="57">
        <v>4</v>
      </c>
      <c r="Y69" s="52">
        <v>3386.1060000000002</v>
      </c>
      <c r="Z69" s="50">
        <f t="shared" si="18"/>
        <v>3.5297005493117593</v>
      </c>
      <c r="AA69" s="50">
        <f t="shared" si="19"/>
        <v>9.7074517934293993</v>
      </c>
      <c r="AB69" s="52">
        <v>5098610000</v>
      </c>
    </row>
    <row r="70" spans="1:28" x14ac:dyDescent="0.35">
      <c r="A70" s="49" t="s">
        <v>45</v>
      </c>
      <c r="B70" s="50">
        <v>1.2321428571428572</v>
      </c>
      <c r="C70" s="50">
        <f t="shared" si="11"/>
        <v>0.348721986001856</v>
      </c>
      <c r="D70" s="50">
        <v>3.1315068493150684</v>
      </c>
      <c r="E70" s="50">
        <v>0</v>
      </c>
      <c r="F70" s="50">
        <f t="shared" si="12"/>
        <v>0</v>
      </c>
      <c r="G70" s="50">
        <v>14</v>
      </c>
      <c r="H70" s="50">
        <f t="shared" si="13"/>
        <v>1.146128035678238</v>
      </c>
      <c r="I70" s="59">
        <v>2.95</v>
      </c>
      <c r="J70" s="71">
        <f t="shared" si="14"/>
        <v>0</v>
      </c>
      <c r="K70" s="60">
        <v>0</v>
      </c>
      <c r="L70" s="61">
        <v>0.56999999999999995</v>
      </c>
      <c r="M70" s="60">
        <f t="shared" si="15"/>
        <v>0.19589965240923368</v>
      </c>
      <c r="N70" s="62">
        <f t="shared" si="16"/>
        <v>1.5563025007672873</v>
      </c>
      <c r="O70" s="50">
        <v>36</v>
      </c>
      <c r="P70" s="50">
        <f t="shared" si="10"/>
        <v>0</v>
      </c>
      <c r="Q70" s="50">
        <v>70</v>
      </c>
      <c r="R70" s="50">
        <v>70</v>
      </c>
      <c r="S70" s="50">
        <v>91.1</v>
      </c>
      <c r="T70" s="62">
        <v>24.1</v>
      </c>
      <c r="U70" s="63">
        <v>40.229046020662899</v>
      </c>
      <c r="V70" s="50">
        <v>1171.498</v>
      </c>
      <c r="W70" s="50">
        <f t="shared" si="17"/>
        <v>3.0687415514991745</v>
      </c>
      <c r="X70" s="64">
        <v>4</v>
      </c>
      <c r="Y70" s="50">
        <v>3386.1060000000002</v>
      </c>
      <c r="Z70" s="50">
        <f t="shared" si="18"/>
        <v>3.5297005493117593</v>
      </c>
      <c r="AA70" s="50">
        <f t="shared" si="19"/>
        <v>9.0492180226701819</v>
      </c>
      <c r="AB70" s="50">
        <v>1120000000</v>
      </c>
    </row>
    <row r="71" spans="1:28" x14ac:dyDescent="0.35">
      <c r="A71" s="67" t="s">
        <v>45</v>
      </c>
      <c r="B71" s="52">
        <v>1.6666666666666665</v>
      </c>
      <c r="C71" s="50">
        <f t="shared" si="11"/>
        <v>0.4259687322722811</v>
      </c>
      <c r="D71" s="52">
        <v>2.6027397260273974</v>
      </c>
      <c r="E71" s="52">
        <v>0</v>
      </c>
      <c r="F71" s="50">
        <f t="shared" si="12"/>
        <v>0</v>
      </c>
      <c r="G71" s="52">
        <v>8</v>
      </c>
      <c r="H71" s="50">
        <f t="shared" si="13"/>
        <v>0.90308998699194354</v>
      </c>
      <c r="I71" s="65">
        <v>2.95</v>
      </c>
      <c r="J71" s="71">
        <f t="shared" si="14"/>
        <v>0</v>
      </c>
      <c r="K71" s="53">
        <v>0</v>
      </c>
      <c r="L71" s="54">
        <v>0.5</v>
      </c>
      <c r="M71" s="60">
        <f t="shared" si="15"/>
        <v>0.17609125905568124</v>
      </c>
      <c r="N71" s="62">
        <f t="shared" si="16"/>
        <v>1.5563025007672873</v>
      </c>
      <c r="O71" s="52">
        <v>36</v>
      </c>
      <c r="P71" s="52">
        <f t="shared" si="10"/>
        <v>0</v>
      </c>
      <c r="Q71" s="52">
        <v>70</v>
      </c>
      <c r="R71" s="52">
        <v>70</v>
      </c>
      <c r="S71" s="52">
        <v>91.1</v>
      </c>
      <c r="T71" s="55">
        <v>24.1</v>
      </c>
      <c r="U71" s="56">
        <v>40.229046020662899</v>
      </c>
      <c r="V71" s="52">
        <v>1171.498</v>
      </c>
      <c r="W71" s="50">
        <f t="shared" si="17"/>
        <v>3.0687415514991745</v>
      </c>
      <c r="X71" s="57">
        <v>4</v>
      </c>
      <c r="Y71" s="52">
        <v>3386.1060000000002</v>
      </c>
      <c r="Z71" s="50">
        <f t="shared" si="18"/>
        <v>3.5297005493117593</v>
      </c>
      <c r="AA71" s="50">
        <f t="shared" si="19"/>
        <v>8.1760912590556813</v>
      </c>
      <c r="AB71" s="52">
        <v>150000000</v>
      </c>
    </row>
    <row r="72" spans="1:28" x14ac:dyDescent="0.35">
      <c r="A72" s="49" t="s">
        <v>45</v>
      </c>
      <c r="B72" s="50">
        <v>-0.31818181818181823</v>
      </c>
      <c r="C72" s="50">
        <f t="shared" si="11"/>
        <v>-0.16633142176652502</v>
      </c>
      <c r="D72" s="50">
        <v>10.846575342465753</v>
      </c>
      <c r="E72" s="50">
        <v>0</v>
      </c>
      <c r="F72" s="50">
        <f t="shared" si="12"/>
        <v>0</v>
      </c>
      <c r="G72" s="50">
        <v>107</v>
      </c>
      <c r="H72" s="50">
        <f t="shared" si="13"/>
        <v>2.0293837776852097</v>
      </c>
      <c r="I72" s="59">
        <v>2.95</v>
      </c>
      <c r="J72" s="71">
        <f t="shared" si="14"/>
        <v>0</v>
      </c>
      <c r="K72" s="60">
        <v>0</v>
      </c>
      <c r="L72" s="61">
        <v>0.82</v>
      </c>
      <c r="M72" s="60">
        <f t="shared" si="15"/>
        <v>0.26007138798507473</v>
      </c>
      <c r="N72" s="62">
        <f t="shared" si="16"/>
        <v>1.4471580313422192</v>
      </c>
      <c r="O72" s="50">
        <v>28</v>
      </c>
      <c r="P72" s="50">
        <f t="shared" si="10"/>
        <v>0</v>
      </c>
      <c r="Q72" s="50">
        <v>70</v>
      </c>
      <c r="R72" s="50">
        <v>70</v>
      </c>
      <c r="S72" s="50">
        <v>85</v>
      </c>
      <c r="T72" s="62">
        <v>24.6</v>
      </c>
      <c r="U72" s="63">
        <v>36.876470987978301</v>
      </c>
      <c r="V72" s="50">
        <v>1171.498</v>
      </c>
      <c r="W72" s="50">
        <f t="shared" si="17"/>
        <v>3.0687415514991745</v>
      </c>
      <c r="X72" s="64">
        <v>4</v>
      </c>
      <c r="Y72" s="50">
        <v>3386.1060000000002</v>
      </c>
      <c r="Z72" s="50">
        <f t="shared" si="18"/>
        <v>3.5297005493117593</v>
      </c>
      <c r="AA72" s="50">
        <f t="shared" si="19"/>
        <v>9.3424226808222066</v>
      </c>
      <c r="AB72" s="50">
        <v>2200000000</v>
      </c>
    </row>
    <row r="73" spans="1:28" x14ac:dyDescent="0.35">
      <c r="A73" s="67" t="s">
        <v>45</v>
      </c>
      <c r="B73" s="52">
        <v>-1</v>
      </c>
      <c r="C73" s="50">
        <f t="shared" si="11"/>
        <v>-1</v>
      </c>
      <c r="D73" s="52">
        <v>3.5945205479452054</v>
      </c>
      <c r="E73" s="52">
        <v>0</v>
      </c>
      <c r="F73" s="50">
        <f t="shared" si="12"/>
        <v>0</v>
      </c>
      <c r="G73" s="52">
        <v>8</v>
      </c>
      <c r="H73" s="50">
        <f t="shared" si="13"/>
        <v>0.90308998699194354</v>
      </c>
      <c r="I73" s="65">
        <v>2.95</v>
      </c>
      <c r="J73" s="71">
        <f t="shared" si="14"/>
        <v>0</v>
      </c>
      <c r="K73" s="53">
        <v>0</v>
      </c>
      <c r="L73" s="54">
        <v>-0.17</v>
      </c>
      <c r="M73" s="60">
        <f t="shared" si="15"/>
        <v>-8.092190762392612E-2</v>
      </c>
      <c r="N73" s="62">
        <f t="shared" si="16"/>
        <v>1.4771212547196624</v>
      </c>
      <c r="O73" s="52">
        <v>30</v>
      </c>
      <c r="P73" s="52">
        <f t="shared" si="10"/>
        <v>0</v>
      </c>
      <c r="Q73" s="52">
        <v>70</v>
      </c>
      <c r="R73" s="52">
        <v>70</v>
      </c>
      <c r="S73" s="52">
        <v>93.2</v>
      </c>
      <c r="T73" s="55">
        <v>26.7</v>
      </c>
      <c r="U73" s="56">
        <v>36.669158714517401</v>
      </c>
      <c r="V73" s="52">
        <v>1171.498</v>
      </c>
      <c r="W73" s="50">
        <f t="shared" si="17"/>
        <v>3.0687415514991745</v>
      </c>
      <c r="X73" s="57">
        <v>4</v>
      </c>
      <c r="Y73" s="52">
        <v>3386.1060000000002</v>
      </c>
      <c r="Z73" s="50">
        <f t="shared" si="18"/>
        <v>3.5297005493117593</v>
      </c>
      <c r="AA73" s="50">
        <f t="shared" si="19"/>
        <v>9.9444826721501691</v>
      </c>
      <c r="AB73" s="52">
        <v>8800000000</v>
      </c>
    </row>
    <row r="74" spans="1:28" x14ac:dyDescent="0.35">
      <c r="A74" s="49" t="s">
        <v>45</v>
      </c>
      <c r="B74" s="50">
        <v>3.8372122968672935</v>
      </c>
      <c r="C74" s="50">
        <f t="shared" si="11"/>
        <v>0.68459514823913259</v>
      </c>
      <c r="D74" s="50">
        <v>8.2109589041095887</v>
      </c>
      <c r="E74" s="50">
        <v>0</v>
      </c>
      <c r="F74" s="50">
        <f t="shared" si="12"/>
        <v>0</v>
      </c>
      <c r="G74" s="50">
        <v>6</v>
      </c>
      <c r="H74" s="50">
        <f t="shared" si="13"/>
        <v>0.77815125038364363</v>
      </c>
      <c r="I74" s="59">
        <v>2.95</v>
      </c>
      <c r="J74" s="71">
        <f t="shared" si="14"/>
        <v>0</v>
      </c>
      <c r="K74" s="60">
        <v>0</v>
      </c>
      <c r="L74" s="61">
        <v>1.44</v>
      </c>
      <c r="M74" s="60">
        <f t="shared" si="15"/>
        <v>0.38738982633872943</v>
      </c>
      <c r="N74" s="62">
        <f t="shared" si="16"/>
        <v>1.3010299956639813</v>
      </c>
      <c r="O74" s="50">
        <v>20</v>
      </c>
      <c r="P74" s="50">
        <f t="shared" si="10"/>
        <v>0</v>
      </c>
      <c r="Q74" s="50">
        <v>70</v>
      </c>
      <c r="R74" s="50">
        <v>70</v>
      </c>
      <c r="S74" s="50">
        <v>91.3</v>
      </c>
      <c r="T74" s="62">
        <v>23.5</v>
      </c>
      <c r="U74" s="63">
        <v>43.1672842383418</v>
      </c>
      <c r="V74" s="50">
        <v>1518.5350000000001</v>
      </c>
      <c r="W74" s="50">
        <f t="shared" si="17"/>
        <v>3.1814248062191788</v>
      </c>
      <c r="X74" s="64">
        <v>2</v>
      </c>
      <c r="Y74" s="50">
        <v>5363.16</v>
      </c>
      <c r="Z74" s="50">
        <f t="shared" si="18"/>
        <v>3.7294207535322617</v>
      </c>
      <c r="AA74" s="50">
        <f t="shared" si="19"/>
        <v>8.6610531891945843</v>
      </c>
      <c r="AB74" s="50">
        <v>458198000</v>
      </c>
    </row>
    <row r="75" spans="1:28" x14ac:dyDescent="0.35">
      <c r="A75" s="67" t="s">
        <v>45</v>
      </c>
      <c r="B75" s="52">
        <v>2.6176470588235294</v>
      </c>
      <c r="C75" s="50">
        <f t="shared" si="11"/>
        <v>0.55842619439714281</v>
      </c>
      <c r="D75" s="52">
        <v>7.5698630136986305</v>
      </c>
      <c r="E75" s="52">
        <v>0</v>
      </c>
      <c r="F75" s="50">
        <f t="shared" si="12"/>
        <v>0</v>
      </c>
      <c r="G75" s="52">
        <v>0</v>
      </c>
      <c r="H75" s="50">
        <f t="shared" si="13"/>
        <v>0</v>
      </c>
      <c r="I75" s="65">
        <v>2.95</v>
      </c>
      <c r="J75" s="71">
        <f t="shared" si="14"/>
        <v>0</v>
      </c>
      <c r="K75" s="53">
        <v>0</v>
      </c>
      <c r="L75" s="54">
        <v>0.37</v>
      </c>
      <c r="M75" s="60">
        <f t="shared" si="15"/>
        <v>0.13672056715640679</v>
      </c>
      <c r="N75" s="62">
        <f t="shared" si="16"/>
        <v>1.2304489213782739</v>
      </c>
      <c r="O75" s="52">
        <v>17</v>
      </c>
      <c r="P75" s="52">
        <f t="shared" si="10"/>
        <v>0</v>
      </c>
      <c r="Q75" s="52">
        <v>70</v>
      </c>
      <c r="R75" s="52">
        <v>70</v>
      </c>
      <c r="S75" s="52">
        <v>91.4</v>
      </c>
      <c r="T75" s="55">
        <v>26.7</v>
      </c>
      <c r="U75" s="56">
        <v>37.425715444240403</v>
      </c>
      <c r="V75" s="52">
        <v>1518.5350000000001</v>
      </c>
      <c r="W75" s="50">
        <f t="shared" si="17"/>
        <v>3.1814248062191788</v>
      </c>
      <c r="X75" s="57">
        <v>2</v>
      </c>
      <c r="Y75" s="52">
        <v>5363.16</v>
      </c>
      <c r="Z75" s="50">
        <f t="shared" si="18"/>
        <v>3.7294207535322617</v>
      </c>
      <c r="AA75" s="50">
        <f t="shared" si="19"/>
        <v>8.9294189257142929</v>
      </c>
      <c r="AB75" s="52">
        <v>850000000</v>
      </c>
    </row>
    <row r="76" spans="1:28" x14ac:dyDescent="0.35">
      <c r="A76" s="49" t="s">
        <v>45</v>
      </c>
      <c r="B76" s="50">
        <v>2.7829333480285454</v>
      </c>
      <c r="C76" s="50">
        <f t="shared" si="11"/>
        <v>0.57782868947185695</v>
      </c>
      <c r="D76" s="50">
        <v>7.6794520547945204</v>
      </c>
      <c r="E76" s="50">
        <v>0</v>
      </c>
      <c r="F76" s="50">
        <f t="shared" si="12"/>
        <v>0</v>
      </c>
      <c r="G76" s="50">
        <v>84</v>
      </c>
      <c r="H76" s="50">
        <f t="shared" si="13"/>
        <v>1.9242792860618816</v>
      </c>
      <c r="I76" s="59">
        <v>2.95</v>
      </c>
      <c r="J76" s="71">
        <f t="shared" si="14"/>
        <v>0</v>
      </c>
      <c r="K76" s="60">
        <v>0</v>
      </c>
      <c r="L76" s="61">
        <v>0.16</v>
      </c>
      <c r="M76" s="60">
        <f t="shared" si="15"/>
        <v>6.445798922691845E-2</v>
      </c>
      <c r="N76" s="62">
        <f t="shared" si="16"/>
        <v>1.146128035678238</v>
      </c>
      <c r="O76" s="50">
        <v>14</v>
      </c>
      <c r="P76" s="50">
        <f t="shared" si="10"/>
        <v>0</v>
      </c>
      <c r="Q76" s="50">
        <v>70</v>
      </c>
      <c r="R76" s="50">
        <v>70</v>
      </c>
      <c r="S76" s="50">
        <v>85</v>
      </c>
      <c r="T76" s="62">
        <v>24.6</v>
      </c>
      <c r="U76" s="63">
        <v>36.876470987978301</v>
      </c>
      <c r="V76" s="50">
        <v>1518.5350000000001</v>
      </c>
      <c r="W76" s="50">
        <f t="shared" si="17"/>
        <v>3.1814248062191788</v>
      </c>
      <c r="X76" s="64">
        <v>2</v>
      </c>
      <c r="Y76" s="50">
        <v>5363.16</v>
      </c>
      <c r="Z76" s="50">
        <f t="shared" si="18"/>
        <v>3.7294207535322617</v>
      </c>
      <c r="AA76" s="50">
        <f t="shared" si="19"/>
        <v>9.0570305499678359</v>
      </c>
      <c r="AB76" s="50">
        <v>1140330000</v>
      </c>
    </row>
    <row r="77" spans="1:28" x14ac:dyDescent="0.35">
      <c r="A77" s="67" t="s">
        <v>45</v>
      </c>
      <c r="B77" s="52">
        <v>-0.7441860465116279</v>
      </c>
      <c r="C77" s="50">
        <f t="shared" si="11"/>
        <v>-0.5920757704213615</v>
      </c>
      <c r="D77" s="52">
        <v>3.8465753424657536</v>
      </c>
      <c r="E77" s="52">
        <v>0</v>
      </c>
      <c r="F77" s="50">
        <f t="shared" si="12"/>
        <v>0</v>
      </c>
      <c r="G77" s="52">
        <v>68</v>
      </c>
      <c r="H77" s="50">
        <f t="shared" si="13"/>
        <v>1.8325089127062364</v>
      </c>
      <c r="I77" s="65">
        <v>2.95</v>
      </c>
      <c r="J77" s="71">
        <f t="shared" si="14"/>
        <v>0</v>
      </c>
      <c r="K77" s="53">
        <v>0</v>
      </c>
      <c r="L77" s="54">
        <v>0.47</v>
      </c>
      <c r="M77" s="60">
        <f t="shared" si="15"/>
        <v>0.16731733474817609</v>
      </c>
      <c r="N77" s="62">
        <f t="shared" si="16"/>
        <v>1.1139433523068367</v>
      </c>
      <c r="O77" s="52">
        <v>13</v>
      </c>
      <c r="P77" s="52">
        <f t="shared" si="10"/>
        <v>0</v>
      </c>
      <c r="Q77" s="52">
        <v>70</v>
      </c>
      <c r="R77" s="52">
        <v>70</v>
      </c>
      <c r="S77" s="52">
        <v>85</v>
      </c>
      <c r="T77" s="55">
        <v>24.4</v>
      </c>
      <c r="U77" s="56">
        <v>37.256914365427299</v>
      </c>
      <c r="V77" s="52">
        <v>1518.5350000000001</v>
      </c>
      <c r="W77" s="50">
        <f t="shared" si="17"/>
        <v>3.1814248062191788</v>
      </c>
      <c r="X77" s="57">
        <v>2</v>
      </c>
      <c r="Y77" s="52">
        <v>5363.16</v>
      </c>
      <c r="Z77" s="50">
        <f t="shared" si="18"/>
        <v>3.7294207535322617</v>
      </c>
      <c r="AA77" s="50">
        <f t="shared" si="19"/>
        <v>8.8095597146352684</v>
      </c>
      <c r="AB77" s="52">
        <v>645000000</v>
      </c>
    </row>
    <row r="78" spans="1:28" x14ac:dyDescent="0.35">
      <c r="A78" s="49" t="s">
        <v>45</v>
      </c>
      <c r="B78" s="50">
        <v>0.50888888888888895</v>
      </c>
      <c r="C78" s="50">
        <f t="shared" si="11"/>
        <v>0.17865726050515801</v>
      </c>
      <c r="D78" s="50">
        <v>9.2739726027397253</v>
      </c>
      <c r="E78" s="50">
        <v>0</v>
      </c>
      <c r="F78" s="50">
        <f t="shared" si="12"/>
        <v>0</v>
      </c>
      <c r="G78" s="50">
        <v>2</v>
      </c>
      <c r="H78" s="50">
        <f t="shared" si="13"/>
        <v>0.3010299956639812</v>
      </c>
      <c r="I78" s="59">
        <v>2.95</v>
      </c>
      <c r="J78" s="71">
        <f t="shared" si="14"/>
        <v>0</v>
      </c>
      <c r="K78" s="60">
        <v>0</v>
      </c>
      <c r="L78" s="61">
        <v>-0.23</v>
      </c>
      <c r="M78" s="60">
        <f t="shared" si="15"/>
        <v>-0.11350927482751812</v>
      </c>
      <c r="N78" s="62">
        <f t="shared" si="16"/>
        <v>0.95424250943932487</v>
      </c>
      <c r="O78" s="50">
        <v>9</v>
      </c>
      <c r="P78" s="50">
        <f t="shared" si="10"/>
        <v>0</v>
      </c>
      <c r="Q78" s="50">
        <v>70</v>
      </c>
      <c r="R78" s="50">
        <v>70</v>
      </c>
      <c r="S78" s="50">
        <v>85</v>
      </c>
      <c r="T78" s="62">
        <v>27.8</v>
      </c>
      <c r="U78" s="63">
        <v>34.656907836978597</v>
      </c>
      <c r="V78" s="50">
        <v>1518.5350000000001</v>
      </c>
      <c r="W78" s="50">
        <f t="shared" si="17"/>
        <v>3.1814248062191788</v>
      </c>
      <c r="X78" s="64">
        <v>2</v>
      </c>
      <c r="Y78" s="50">
        <v>5363.16</v>
      </c>
      <c r="Z78" s="50">
        <f t="shared" si="18"/>
        <v>3.7294207535322617</v>
      </c>
      <c r="AA78" s="50">
        <f t="shared" si="19"/>
        <v>8.653212513775344</v>
      </c>
      <c r="AB78" s="50">
        <v>450000000</v>
      </c>
    </row>
    <row r="79" spans="1:28" x14ac:dyDescent="0.35">
      <c r="A79" s="67" t="s">
        <v>45</v>
      </c>
      <c r="B79" s="52">
        <v>3.4021540231086949</v>
      </c>
      <c r="C79" s="50">
        <f t="shared" si="11"/>
        <v>0.64366523363213513</v>
      </c>
      <c r="D79" s="52">
        <v>1.1342465753424658</v>
      </c>
      <c r="E79" s="52">
        <v>0</v>
      </c>
      <c r="F79" s="50">
        <f t="shared" si="12"/>
        <v>0</v>
      </c>
      <c r="G79" s="52">
        <v>14</v>
      </c>
      <c r="H79" s="50">
        <f t="shared" si="13"/>
        <v>1.146128035678238</v>
      </c>
      <c r="I79" s="65">
        <v>2.95</v>
      </c>
      <c r="J79" s="71">
        <f t="shared" si="14"/>
        <v>0</v>
      </c>
      <c r="K79" s="53">
        <v>0</v>
      </c>
      <c r="L79" s="54">
        <v>0.34</v>
      </c>
      <c r="M79" s="60">
        <f t="shared" si="15"/>
        <v>0.12710479836480765</v>
      </c>
      <c r="N79" s="62">
        <f t="shared" si="16"/>
        <v>0.84509804001425681</v>
      </c>
      <c r="O79" s="52">
        <v>7</v>
      </c>
      <c r="P79" s="52">
        <f t="shared" si="10"/>
        <v>0</v>
      </c>
      <c r="Q79" s="52">
        <v>70</v>
      </c>
      <c r="R79" s="52">
        <v>70</v>
      </c>
      <c r="S79" s="52">
        <v>85</v>
      </c>
      <c r="T79" s="55">
        <v>27.4</v>
      </c>
      <c r="U79" s="56">
        <v>35.968444143503902</v>
      </c>
      <c r="V79" s="52">
        <v>1518.5350000000001</v>
      </c>
      <c r="W79" s="50">
        <f t="shared" si="17"/>
        <v>3.1814248062191788</v>
      </c>
      <c r="X79" s="57">
        <v>2</v>
      </c>
      <c r="Y79" s="52">
        <v>5363.16</v>
      </c>
      <c r="Z79" s="50">
        <f t="shared" si="18"/>
        <v>3.7294207535322617</v>
      </c>
      <c r="AA79" s="50">
        <f t="shared" si="19"/>
        <v>8.4116197059632309</v>
      </c>
      <c r="AB79" s="52">
        <v>258000000</v>
      </c>
    </row>
    <row r="80" spans="1:28" x14ac:dyDescent="0.35">
      <c r="A80" s="49" t="s">
        <v>45</v>
      </c>
      <c r="B80" s="50">
        <v>6.0279999999999996</v>
      </c>
      <c r="C80" s="50">
        <f t="shared" si="11"/>
        <v>0.84683175282325729</v>
      </c>
      <c r="D80" s="50">
        <v>4.3589041095890408</v>
      </c>
      <c r="E80" s="50">
        <v>0</v>
      </c>
      <c r="F80" s="50">
        <f t="shared" si="12"/>
        <v>0</v>
      </c>
      <c r="G80" s="50">
        <v>0</v>
      </c>
      <c r="H80" s="50">
        <f t="shared" si="13"/>
        <v>0</v>
      </c>
      <c r="I80" s="59">
        <v>2.95</v>
      </c>
      <c r="J80" s="71">
        <f t="shared" si="14"/>
        <v>0</v>
      </c>
      <c r="K80" s="60">
        <v>0</v>
      </c>
      <c r="L80" s="61">
        <v>0.15</v>
      </c>
      <c r="M80" s="60">
        <f t="shared" si="15"/>
        <v>6.069784035361165E-2</v>
      </c>
      <c r="N80" s="62">
        <f t="shared" si="16"/>
        <v>0.84509804001425681</v>
      </c>
      <c r="O80" s="50">
        <v>7</v>
      </c>
      <c r="P80" s="50">
        <f t="shared" si="10"/>
        <v>0</v>
      </c>
      <c r="Q80" s="50">
        <v>70</v>
      </c>
      <c r="R80" s="50">
        <v>70</v>
      </c>
      <c r="S80" s="50">
        <v>85</v>
      </c>
      <c r="T80" s="62">
        <v>27.4</v>
      </c>
      <c r="U80" s="63">
        <v>35.968444143503902</v>
      </c>
      <c r="V80" s="50">
        <v>1518.5350000000001</v>
      </c>
      <c r="W80" s="50">
        <f t="shared" si="17"/>
        <v>3.1814248062191788</v>
      </c>
      <c r="X80" s="64">
        <v>2</v>
      </c>
      <c r="Y80" s="50">
        <v>5363.16</v>
      </c>
      <c r="Z80" s="50">
        <f t="shared" si="18"/>
        <v>3.7294207535322617</v>
      </c>
      <c r="AA80" s="50">
        <f t="shared" si="19"/>
        <v>7.8750612633917001</v>
      </c>
      <c r="AB80" s="50">
        <v>75000000</v>
      </c>
    </row>
    <row r="81" spans="1:28" x14ac:dyDescent="0.35">
      <c r="A81" s="67" t="s">
        <v>45</v>
      </c>
      <c r="B81" s="52">
        <v>2.8333333333333335</v>
      </c>
      <c r="C81" s="50">
        <f t="shared" si="11"/>
        <v>0.58357658563394932</v>
      </c>
      <c r="D81" s="52">
        <v>0.72602739726027399</v>
      </c>
      <c r="E81" s="52">
        <v>5897.96</v>
      </c>
      <c r="F81" s="50">
        <f t="shared" si="12"/>
        <v>3.7707018228379927</v>
      </c>
      <c r="G81" s="52">
        <v>54</v>
      </c>
      <c r="H81" s="50">
        <f t="shared" si="13"/>
        <v>1.7323937598229686</v>
      </c>
      <c r="I81" s="65">
        <v>2.3199999999999998</v>
      </c>
      <c r="J81" s="71">
        <f t="shared" si="14"/>
        <v>2.12057393120585</v>
      </c>
      <c r="K81" s="53">
        <v>132</v>
      </c>
      <c r="L81" s="54">
        <v>-0.11</v>
      </c>
      <c r="M81" s="60">
        <f t="shared" si="15"/>
        <v>-5.0609993355087209E-2</v>
      </c>
      <c r="N81" s="62">
        <f t="shared" si="16"/>
        <v>1.7481880270062005</v>
      </c>
      <c r="O81" s="52">
        <v>56</v>
      </c>
      <c r="P81" s="52">
        <f t="shared" si="10"/>
        <v>1</v>
      </c>
      <c r="Q81" s="52">
        <v>70</v>
      </c>
      <c r="R81" s="52">
        <v>70</v>
      </c>
      <c r="S81" s="52">
        <v>85</v>
      </c>
      <c r="T81" s="55">
        <v>27.2</v>
      </c>
      <c r="U81" s="56">
        <v>35.608384832026097</v>
      </c>
      <c r="V81" s="52">
        <v>1581.451</v>
      </c>
      <c r="W81" s="50">
        <f t="shared" si="17"/>
        <v>3.1990557401914899</v>
      </c>
      <c r="X81" s="57">
        <v>2</v>
      </c>
      <c r="Y81" s="52">
        <v>6004.7560000000003</v>
      </c>
      <c r="Z81" s="50">
        <f t="shared" si="18"/>
        <v>3.7784953647769717</v>
      </c>
      <c r="AA81" s="50">
        <f t="shared" si="19"/>
        <v>7.0791812460476251</v>
      </c>
      <c r="AB81" s="52">
        <v>12000000</v>
      </c>
    </row>
    <row r="82" spans="1:28" x14ac:dyDescent="0.35">
      <c r="A82" s="49" t="s">
        <v>45</v>
      </c>
      <c r="B82" s="50">
        <v>0.37883203223142115</v>
      </c>
      <c r="C82" s="50">
        <f t="shared" si="11"/>
        <v>0.13951136413231044</v>
      </c>
      <c r="D82" s="50">
        <v>4.3890410958904109</v>
      </c>
      <c r="E82" s="50">
        <v>5897.96</v>
      </c>
      <c r="F82" s="50">
        <f t="shared" si="12"/>
        <v>3.7707018228379927</v>
      </c>
      <c r="G82" s="50">
        <v>22</v>
      </c>
      <c r="H82" s="50">
        <f t="shared" si="13"/>
        <v>1.3424226808222062</v>
      </c>
      <c r="I82" s="59">
        <v>2.3199999999999998</v>
      </c>
      <c r="J82" s="71">
        <f t="shared" si="14"/>
        <v>2.12057393120585</v>
      </c>
      <c r="K82" s="60">
        <v>132</v>
      </c>
      <c r="L82" s="61">
        <v>0.52</v>
      </c>
      <c r="M82" s="60">
        <f t="shared" si="15"/>
        <v>0.18184358794477254</v>
      </c>
      <c r="N82" s="62">
        <f t="shared" si="16"/>
        <v>1.568201724066995</v>
      </c>
      <c r="O82" s="50">
        <v>37</v>
      </c>
      <c r="P82" s="50">
        <f t="shared" si="10"/>
        <v>1</v>
      </c>
      <c r="Q82" s="50">
        <v>70</v>
      </c>
      <c r="R82" s="50">
        <v>70</v>
      </c>
      <c r="S82" s="50">
        <v>89.2</v>
      </c>
      <c r="T82" s="62">
        <v>26</v>
      </c>
      <c r="U82" s="63">
        <v>38.344872802923099</v>
      </c>
      <c r="V82" s="50">
        <v>1248.0746999999999</v>
      </c>
      <c r="W82" s="50">
        <f t="shared" si="17"/>
        <v>3.0962405795987471</v>
      </c>
      <c r="X82" s="64">
        <v>2</v>
      </c>
      <c r="Y82" s="50">
        <v>2518.2170000000001</v>
      </c>
      <c r="Z82" s="50">
        <f t="shared" si="18"/>
        <v>3.4010931514437841</v>
      </c>
      <c r="AA82" s="50">
        <f t="shared" si="19"/>
        <v>8.8226211051659256</v>
      </c>
      <c r="AB82" s="50">
        <v>664693000</v>
      </c>
    </row>
    <row r="83" spans="1:28" x14ac:dyDescent="0.35">
      <c r="A83" s="67" t="s">
        <v>45</v>
      </c>
      <c r="B83" s="52">
        <v>0.36090062111801235</v>
      </c>
      <c r="C83" s="50">
        <f t="shared" si="11"/>
        <v>0.13382641228938827</v>
      </c>
      <c r="D83" s="52">
        <v>7.8547945205479452</v>
      </c>
      <c r="E83" s="52">
        <v>5897.96</v>
      </c>
      <c r="F83" s="50">
        <f t="shared" si="12"/>
        <v>3.7707018228379927</v>
      </c>
      <c r="G83" s="52">
        <v>73</v>
      </c>
      <c r="H83" s="50">
        <f t="shared" si="13"/>
        <v>1.8633228601204559</v>
      </c>
      <c r="I83" s="65">
        <v>2.3199999999999998</v>
      </c>
      <c r="J83" s="71">
        <f t="shared" si="14"/>
        <v>2.12057393120585</v>
      </c>
      <c r="K83" s="53">
        <v>132</v>
      </c>
      <c r="L83" s="54">
        <v>0.11</v>
      </c>
      <c r="M83" s="60">
        <f t="shared" si="15"/>
        <v>4.5322978786657475E-2</v>
      </c>
      <c r="N83" s="62">
        <f t="shared" si="16"/>
        <v>1.3424226808222062</v>
      </c>
      <c r="O83" s="52">
        <v>22</v>
      </c>
      <c r="P83" s="52">
        <f t="shared" si="10"/>
        <v>1</v>
      </c>
      <c r="Q83" s="52">
        <v>70</v>
      </c>
      <c r="R83" s="52">
        <v>70</v>
      </c>
      <c r="S83" s="52">
        <v>85</v>
      </c>
      <c r="T83" s="55">
        <v>27.8</v>
      </c>
      <c r="U83" s="56">
        <v>34.656907836978597</v>
      </c>
      <c r="V83" s="52">
        <v>1248.0746999999999</v>
      </c>
      <c r="W83" s="50">
        <f t="shared" si="17"/>
        <v>3.0962405795987471</v>
      </c>
      <c r="X83" s="57">
        <v>2</v>
      </c>
      <c r="Y83" s="52">
        <v>2518.2170000000001</v>
      </c>
      <c r="Z83" s="50">
        <f t="shared" si="18"/>
        <v>3.4010931514437841</v>
      </c>
      <c r="AA83" s="50">
        <f t="shared" si="19"/>
        <v>8.5078558716958312</v>
      </c>
      <c r="AB83" s="52">
        <v>322000000</v>
      </c>
    </row>
    <row r="84" spans="1:28" x14ac:dyDescent="0.35">
      <c r="A84" s="49" t="s">
        <v>45</v>
      </c>
      <c r="B84" s="50">
        <v>1.0270602409638556</v>
      </c>
      <c r="C84" s="50">
        <f t="shared" si="11"/>
        <v>0.30686665541695157</v>
      </c>
      <c r="D84" s="50">
        <v>4.602739726027397</v>
      </c>
      <c r="E84" s="50">
        <v>5897.96</v>
      </c>
      <c r="F84" s="50">
        <f t="shared" si="12"/>
        <v>3.7707018228379927</v>
      </c>
      <c r="G84" s="50">
        <v>9</v>
      </c>
      <c r="H84" s="50">
        <f t="shared" si="13"/>
        <v>0.95424250943932487</v>
      </c>
      <c r="I84" s="59">
        <v>2.3199999999999998</v>
      </c>
      <c r="J84" s="71">
        <f t="shared" si="14"/>
        <v>2.12057393120585</v>
      </c>
      <c r="K84" s="60">
        <v>132</v>
      </c>
      <c r="L84" s="61">
        <v>-0.14000000000000001</v>
      </c>
      <c r="M84" s="60">
        <f t="shared" si="15"/>
        <v>-6.5501548756432285E-2</v>
      </c>
      <c r="N84" s="62">
        <f t="shared" si="16"/>
        <v>1.4313637641589874</v>
      </c>
      <c r="O84" s="50">
        <v>27</v>
      </c>
      <c r="P84" s="50">
        <f t="shared" si="10"/>
        <v>1</v>
      </c>
      <c r="Q84" s="50">
        <v>70</v>
      </c>
      <c r="R84" s="50">
        <v>70</v>
      </c>
      <c r="S84" s="50">
        <v>91.4</v>
      </c>
      <c r="T84" s="62">
        <v>26.7</v>
      </c>
      <c r="U84" s="63">
        <v>37.425715444240403</v>
      </c>
      <c r="V84" s="50">
        <v>1709.090909090909</v>
      </c>
      <c r="W84" s="50">
        <f t="shared" si="17"/>
        <v>3.2327651641054547</v>
      </c>
      <c r="X84" s="64">
        <v>3</v>
      </c>
      <c r="Y84" s="50">
        <v>8968.5950413223145</v>
      </c>
      <c r="Z84" s="50">
        <f t="shared" si="18"/>
        <v>3.9527244147731087</v>
      </c>
      <c r="AA84" s="50">
        <f t="shared" si="19"/>
        <v>8.6180480967120925</v>
      </c>
      <c r="AB84" s="50">
        <v>415000000</v>
      </c>
    </row>
    <row r="85" spans="1:28" x14ac:dyDescent="0.35">
      <c r="A85" s="67" t="s">
        <v>45</v>
      </c>
      <c r="B85" s="52">
        <v>1.019579289745852</v>
      </c>
      <c r="C85" s="50">
        <f t="shared" si="11"/>
        <v>0.30526090847065979</v>
      </c>
      <c r="D85" s="52">
        <v>2.6191780821917807</v>
      </c>
      <c r="E85" s="52">
        <v>5897.96</v>
      </c>
      <c r="F85" s="50">
        <f t="shared" si="12"/>
        <v>3.7707018228379927</v>
      </c>
      <c r="G85" s="52">
        <v>18</v>
      </c>
      <c r="H85" s="50">
        <f t="shared" si="13"/>
        <v>1.255272505103306</v>
      </c>
      <c r="I85" s="65">
        <v>2.3199999999999998</v>
      </c>
      <c r="J85" s="71">
        <f t="shared" si="14"/>
        <v>2.12057393120585</v>
      </c>
      <c r="K85" s="53">
        <v>132</v>
      </c>
      <c r="L85" s="54">
        <v>0.3</v>
      </c>
      <c r="M85" s="60">
        <f t="shared" si="15"/>
        <v>0.11394335230683679</v>
      </c>
      <c r="N85" s="62">
        <f t="shared" si="16"/>
        <v>1.3802112417116059</v>
      </c>
      <c r="O85" s="52">
        <v>24</v>
      </c>
      <c r="P85" s="52">
        <f t="shared" si="10"/>
        <v>1</v>
      </c>
      <c r="Q85" s="52">
        <v>70</v>
      </c>
      <c r="R85" s="52">
        <v>70</v>
      </c>
      <c r="S85" s="52">
        <v>85</v>
      </c>
      <c r="T85" s="55">
        <v>24.6</v>
      </c>
      <c r="U85" s="56">
        <v>36.876470987978301</v>
      </c>
      <c r="V85" s="52">
        <v>1709.090909090909</v>
      </c>
      <c r="W85" s="50">
        <f t="shared" si="17"/>
        <v>3.2327651641054547</v>
      </c>
      <c r="X85" s="57">
        <v>3</v>
      </c>
      <c r="Y85" s="52">
        <v>8968.5950413223145</v>
      </c>
      <c r="Z85" s="50">
        <f t="shared" si="18"/>
        <v>3.9527244147731087</v>
      </c>
      <c r="AA85" s="50">
        <f t="shared" si="19"/>
        <v>8.9734926924821696</v>
      </c>
      <c r="AB85" s="52">
        <v>940790000</v>
      </c>
    </row>
    <row r="86" spans="1:28" x14ac:dyDescent="0.35">
      <c r="A86" s="49" t="s">
        <v>45</v>
      </c>
      <c r="B86" s="50">
        <v>0.25</v>
      </c>
      <c r="C86" s="50">
        <f t="shared" si="11"/>
        <v>9.691001300805642E-2</v>
      </c>
      <c r="D86" s="50">
        <v>7.1342465753424653</v>
      </c>
      <c r="E86" s="50">
        <v>6930.28</v>
      </c>
      <c r="F86" s="50">
        <f t="shared" si="12"/>
        <v>3.8407507815091204</v>
      </c>
      <c r="G86" s="50">
        <v>3</v>
      </c>
      <c r="H86" s="50">
        <f t="shared" si="13"/>
        <v>0.47712125471966244</v>
      </c>
      <c r="I86" s="59">
        <v>2.92</v>
      </c>
      <c r="J86" s="71">
        <f t="shared" si="14"/>
        <v>2.6305973558006008</v>
      </c>
      <c r="K86" s="60">
        <v>427.16666666666703</v>
      </c>
      <c r="L86" s="61">
        <v>0.22</v>
      </c>
      <c r="M86" s="60">
        <f t="shared" si="15"/>
        <v>8.6359830674748214E-2</v>
      </c>
      <c r="N86" s="62">
        <f t="shared" si="16"/>
        <v>1.146128035678238</v>
      </c>
      <c r="O86" s="50">
        <v>14</v>
      </c>
      <c r="P86" s="50">
        <f t="shared" si="10"/>
        <v>1</v>
      </c>
      <c r="Q86" s="50">
        <v>70</v>
      </c>
      <c r="R86" s="50">
        <v>70</v>
      </c>
      <c r="S86" s="50">
        <v>85</v>
      </c>
      <c r="T86" s="62">
        <v>24.4</v>
      </c>
      <c r="U86" s="63">
        <v>37.256914365427299</v>
      </c>
      <c r="V86" s="50">
        <v>1895.918367346939</v>
      </c>
      <c r="W86" s="50">
        <f t="shared" si="17"/>
        <v>3.277819633965128</v>
      </c>
      <c r="X86" s="64">
        <v>5</v>
      </c>
      <c r="Y86" s="50">
        <v>8519.3877551020414</v>
      </c>
      <c r="Z86" s="50">
        <f t="shared" si="18"/>
        <v>3.9304083853612104</v>
      </c>
      <c r="AA86" s="50">
        <f t="shared" si="19"/>
        <v>6.9030899869919438</v>
      </c>
      <c r="AB86" s="50">
        <v>8000000</v>
      </c>
    </row>
    <row r="87" spans="1:28" x14ac:dyDescent="0.35">
      <c r="A87" s="67" t="s">
        <v>45</v>
      </c>
      <c r="B87" s="52">
        <v>0.11111111111111116</v>
      </c>
      <c r="C87" s="50">
        <f t="shared" si="11"/>
        <v>4.5757490560675143E-2</v>
      </c>
      <c r="D87" s="52">
        <v>1.1698630136986301</v>
      </c>
      <c r="E87" s="52">
        <v>6164.6</v>
      </c>
      <c r="F87" s="50">
        <f t="shared" si="12"/>
        <v>3.7899049019490061</v>
      </c>
      <c r="G87" s="52">
        <v>24</v>
      </c>
      <c r="H87" s="50">
        <f t="shared" si="13"/>
        <v>1.3802112417116059</v>
      </c>
      <c r="I87" s="65">
        <v>3.18</v>
      </c>
      <c r="J87" s="71">
        <f t="shared" si="14"/>
        <v>2.7662888869340487</v>
      </c>
      <c r="K87" s="53">
        <v>583.83333333333303</v>
      </c>
      <c r="L87" s="54">
        <v>7.0000000000000007E-2</v>
      </c>
      <c r="M87" s="60">
        <f t="shared" si="15"/>
        <v>2.9383777685209667E-2</v>
      </c>
      <c r="N87" s="62">
        <f t="shared" si="16"/>
        <v>1.2041199826559248</v>
      </c>
      <c r="O87" s="52">
        <v>16</v>
      </c>
      <c r="P87" s="52">
        <f t="shared" si="10"/>
        <v>1</v>
      </c>
      <c r="Q87" s="52">
        <v>70</v>
      </c>
      <c r="R87" s="52">
        <v>70</v>
      </c>
      <c r="S87" s="52">
        <v>89.2</v>
      </c>
      <c r="T87" s="55">
        <v>26</v>
      </c>
      <c r="U87" s="56">
        <v>38.344872802923099</v>
      </c>
      <c r="V87" s="52">
        <v>1682.1639898562976</v>
      </c>
      <c r="W87" s="50">
        <f t="shared" si="17"/>
        <v>3.2258683317817765</v>
      </c>
      <c r="X87" s="57">
        <v>1</v>
      </c>
      <c r="Y87" s="52">
        <v>9152.2762951334389</v>
      </c>
      <c r="Z87" s="50">
        <f t="shared" si="18"/>
        <v>3.9615291224236637</v>
      </c>
      <c r="AA87" s="50">
        <f t="shared" si="19"/>
        <v>8.9542425094393252</v>
      </c>
      <c r="AB87" s="52">
        <v>900000000</v>
      </c>
    </row>
    <row r="88" spans="1:28" x14ac:dyDescent="0.35">
      <c r="A88" s="49" t="s">
        <v>45</v>
      </c>
      <c r="B88" s="50">
        <v>-1</v>
      </c>
      <c r="C88" s="50">
        <f t="shared" si="11"/>
        <v>-1</v>
      </c>
      <c r="D88" s="50">
        <v>2.1315068493150684</v>
      </c>
      <c r="E88" s="50">
        <v>5897.96</v>
      </c>
      <c r="F88" s="50">
        <f t="shared" si="12"/>
        <v>3.7707018228379927</v>
      </c>
      <c r="G88" s="50">
        <v>18</v>
      </c>
      <c r="H88" s="50">
        <f t="shared" si="13"/>
        <v>1.255272505103306</v>
      </c>
      <c r="I88" s="59">
        <v>2.3199999999999998</v>
      </c>
      <c r="J88" s="71">
        <f t="shared" si="14"/>
        <v>2.12057393120585</v>
      </c>
      <c r="K88" s="60">
        <v>132</v>
      </c>
      <c r="L88" s="61">
        <v>-0.35</v>
      </c>
      <c r="M88" s="60">
        <f t="shared" si="15"/>
        <v>-0.18708664335714442</v>
      </c>
      <c r="N88" s="62">
        <f t="shared" si="16"/>
        <v>1.2787536009528289</v>
      </c>
      <c r="O88" s="50">
        <v>19</v>
      </c>
      <c r="P88" s="50">
        <f t="shared" si="10"/>
        <v>1</v>
      </c>
      <c r="Q88" s="50">
        <v>70</v>
      </c>
      <c r="R88" s="50">
        <v>70</v>
      </c>
      <c r="S88" s="50">
        <v>85</v>
      </c>
      <c r="T88" s="62">
        <v>28.2</v>
      </c>
      <c r="U88" s="63">
        <v>34.298950279384798</v>
      </c>
      <c r="V88" s="50">
        <v>1669.0315179326171</v>
      </c>
      <c r="W88" s="50">
        <f t="shared" si="17"/>
        <v>3.22246453795844</v>
      </c>
      <c r="X88" s="64">
        <v>3</v>
      </c>
      <c r="Y88" s="50">
        <v>5094.7953145755328</v>
      </c>
      <c r="Z88" s="50">
        <f t="shared" si="18"/>
        <v>3.7071267407396937</v>
      </c>
      <c r="AA88" s="50">
        <f t="shared" si="19"/>
        <v>7.4771212547196626</v>
      </c>
      <c r="AB88" s="50">
        <v>30000000</v>
      </c>
    </row>
    <row r="89" spans="1:28" x14ac:dyDescent="0.35">
      <c r="A89" s="67" t="s">
        <v>45</v>
      </c>
      <c r="B89" s="52">
        <v>0.45718592964824123</v>
      </c>
      <c r="C89" s="50">
        <f t="shared" si="11"/>
        <v>0.16351496911281746</v>
      </c>
      <c r="D89" s="52">
        <v>3.0849315068493151</v>
      </c>
      <c r="E89" s="52">
        <v>5897.96</v>
      </c>
      <c r="F89" s="50">
        <f t="shared" si="12"/>
        <v>3.7707018228379927</v>
      </c>
      <c r="G89" s="52">
        <v>9</v>
      </c>
      <c r="H89" s="50">
        <f t="shared" si="13"/>
        <v>0.95424250943932487</v>
      </c>
      <c r="I89" s="65">
        <v>2.3199999999999998</v>
      </c>
      <c r="J89" s="71">
        <f t="shared" si="14"/>
        <v>2.12057393120585</v>
      </c>
      <c r="K89" s="53">
        <v>132</v>
      </c>
      <c r="L89" s="54">
        <v>0.46</v>
      </c>
      <c r="M89" s="60">
        <f t="shared" si="15"/>
        <v>0.16435285578443709</v>
      </c>
      <c r="N89" s="62">
        <f t="shared" si="16"/>
        <v>1.414973347970818</v>
      </c>
      <c r="O89" s="52">
        <v>26</v>
      </c>
      <c r="P89" s="52">
        <f t="shared" si="10"/>
        <v>1</v>
      </c>
      <c r="Q89" s="52">
        <v>70</v>
      </c>
      <c r="R89" s="52">
        <v>70</v>
      </c>
      <c r="S89" s="52">
        <v>91.1</v>
      </c>
      <c r="T89" s="55">
        <v>24.1</v>
      </c>
      <c r="U89" s="56">
        <v>40.229046020662899</v>
      </c>
      <c r="V89" s="52">
        <v>1655.1111111111111</v>
      </c>
      <c r="W89" s="50">
        <f t="shared" si="17"/>
        <v>3.2188271541979425</v>
      </c>
      <c r="X89" s="57">
        <v>2</v>
      </c>
      <c r="Y89" s="52">
        <v>5715.5555555555547</v>
      </c>
      <c r="Z89" s="50">
        <f t="shared" si="18"/>
        <v>3.7570584504768405</v>
      </c>
      <c r="AA89" s="50">
        <f t="shared" si="19"/>
        <v>9.8182258936139561</v>
      </c>
      <c r="AB89" s="52">
        <v>6580000000</v>
      </c>
    </row>
    <row r="90" spans="1:28" x14ac:dyDescent="0.35">
      <c r="A90" s="49" t="s">
        <v>45</v>
      </c>
      <c r="B90" s="50">
        <v>-0.13574285714285717</v>
      </c>
      <c r="C90" s="50">
        <f t="shared" si="11"/>
        <v>-6.3357022441473329E-2</v>
      </c>
      <c r="D90" s="50">
        <v>4.375342465753425</v>
      </c>
      <c r="E90" s="50">
        <v>5897.96</v>
      </c>
      <c r="F90" s="50">
        <f t="shared" si="12"/>
        <v>3.7707018228379927</v>
      </c>
      <c r="G90" s="50">
        <v>23</v>
      </c>
      <c r="H90" s="50">
        <f t="shared" si="13"/>
        <v>1.3617278360175928</v>
      </c>
      <c r="I90" s="59">
        <v>2.3199999999999998</v>
      </c>
      <c r="J90" s="71">
        <f t="shared" si="14"/>
        <v>2.12057393120585</v>
      </c>
      <c r="K90" s="60">
        <v>132</v>
      </c>
      <c r="L90" s="61">
        <v>0.98</v>
      </c>
      <c r="M90" s="60">
        <f t="shared" si="15"/>
        <v>0.2966651902615311</v>
      </c>
      <c r="N90" s="62">
        <f t="shared" si="16"/>
        <v>1.3617278360175928</v>
      </c>
      <c r="O90" s="50">
        <v>23</v>
      </c>
      <c r="P90" s="50">
        <f t="shared" si="10"/>
        <v>1</v>
      </c>
      <c r="Q90" s="50">
        <v>70</v>
      </c>
      <c r="R90" s="50">
        <v>70</v>
      </c>
      <c r="S90" s="50">
        <v>91.9</v>
      </c>
      <c r="T90" s="62">
        <v>23</v>
      </c>
      <c r="U90" s="63">
        <v>43.262530407091703</v>
      </c>
      <c r="V90" s="50">
        <v>1655.1111111111111</v>
      </c>
      <c r="W90" s="50">
        <f t="shared" si="17"/>
        <v>3.2188271541979425</v>
      </c>
      <c r="X90" s="64">
        <v>2</v>
      </c>
      <c r="Y90" s="50">
        <v>5715.5555555555547</v>
      </c>
      <c r="Z90" s="50">
        <f t="shared" si="18"/>
        <v>3.7570584504768405</v>
      </c>
      <c r="AA90" s="50">
        <f t="shared" si="19"/>
        <v>8.5440680443502757</v>
      </c>
      <c r="AB90" s="50">
        <v>350000000</v>
      </c>
    </row>
    <row r="91" spans="1:28" x14ac:dyDescent="0.35">
      <c r="A91" s="67" t="s">
        <v>45</v>
      </c>
      <c r="B91" s="52">
        <v>2</v>
      </c>
      <c r="C91" s="50">
        <f t="shared" si="11"/>
        <v>0.47712125471966244</v>
      </c>
      <c r="D91" s="52">
        <v>4.0849315068493155</v>
      </c>
      <c r="E91" s="52">
        <v>5897.96</v>
      </c>
      <c r="F91" s="50">
        <f t="shared" si="12"/>
        <v>3.7707018228379927</v>
      </c>
      <c r="G91" s="52">
        <v>11</v>
      </c>
      <c r="H91" s="50">
        <f t="shared" si="13"/>
        <v>1.0413926851582251</v>
      </c>
      <c r="I91" s="65">
        <v>2.3199999999999998</v>
      </c>
      <c r="J91" s="71">
        <f t="shared" si="14"/>
        <v>2.12057393120585</v>
      </c>
      <c r="K91" s="53">
        <v>132</v>
      </c>
      <c r="L91" s="54">
        <v>0.57999999999999996</v>
      </c>
      <c r="M91" s="60">
        <f t="shared" si="15"/>
        <v>0.19865708695442263</v>
      </c>
      <c r="N91" s="62">
        <f t="shared" si="16"/>
        <v>1.4313637641589874</v>
      </c>
      <c r="O91" s="52">
        <v>27</v>
      </c>
      <c r="P91" s="52">
        <f t="shared" si="10"/>
        <v>1</v>
      </c>
      <c r="Q91" s="52">
        <v>70</v>
      </c>
      <c r="R91" s="52">
        <v>70</v>
      </c>
      <c r="S91" s="52">
        <v>91.1</v>
      </c>
      <c r="T91" s="55">
        <v>24.1</v>
      </c>
      <c r="U91" s="56">
        <v>40.229046020662899</v>
      </c>
      <c r="V91" s="52">
        <v>1861.7599999999995</v>
      </c>
      <c r="W91" s="50">
        <f t="shared" si="17"/>
        <v>3.2699236952309461</v>
      </c>
      <c r="X91" s="57">
        <v>2</v>
      </c>
      <c r="Y91" s="52">
        <v>4993.920000000001</v>
      </c>
      <c r="Z91" s="50">
        <f t="shared" si="18"/>
        <v>3.6984415808994222</v>
      </c>
      <c r="AA91" s="50">
        <f t="shared" si="19"/>
        <v>8.6989700043360187</v>
      </c>
      <c r="AB91" s="52">
        <v>500000000</v>
      </c>
    </row>
    <row r="92" spans="1:28" x14ac:dyDescent="0.35">
      <c r="A92" s="49" t="s">
        <v>45</v>
      </c>
      <c r="B92" s="50">
        <v>-0.4</v>
      </c>
      <c r="C92" s="50">
        <f t="shared" si="11"/>
        <v>-0.22184874961635639</v>
      </c>
      <c r="D92" s="50">
        <v>4.4712328767123291</v>
      </c>
      <c r="E92" s="50">
        <v>5897.96</v>
      </c>
      <c r="F92" s="50">
        <f t="shared" si="12"/>
        <v>3.7707018228379927</v>
      </c>
      <c r="G92" s="50">
        <v>22</v>
      </c>
      <c r="H92" s="50">
        <f t="shared" si="13"/>
        <v>1.3424226808222062</v>
      </c>
      <c r="I92" s="59">
        <v>2.3199999999999998</v>
      </c>
      <c r="J92" s="71">
        <f t="shared" si="14"/>
        <v>2.12057393120585</v>
      </c>
      <c r="K92" s="60">
        <v>132</v>
      </c>
      <c r="L92" s="61">
        <v>0.64</v>
      </c>
      <c r="M92" s="60">
        <f t="shared" si="15"/>
        <v>0.21484384804769791</v>
      </c>
      <c r="N92" s="62">
        <f t="shared" si="16"/>
        <v>1.4313637641589874</v>
      </c>
      <c r="O92" s="50">
        <v>27</v>
      </c>
      <c r="P92" s="50">
        <f t="shared" si="10"/>
        <v>1</v>
      </c>
      <c r="Q92" s="50">
        <v>70</v>
      </c>
      <c r="R92" s="50">
        <v>70</v>
      </c>
      <c r="S92" s="50">
        <v>91.1</v>
      </c>
      <c r="T92" s="62">
        <v>24.1</v>
      </c>
      <c r="U92" s="63">
        <v>40.229046020662899</v>
      </c>
      <c r="V92" s="50">
        <v>1861.7599999999995</v>
      </c>
      <c r="W92" s="50">
        <f t="shared" si="17"/>
        <v>3.2699236952309461</v>
      </c>
      <c r="X92" s="64">
        <v>2</v>
      </c>
      <c r="Y92" s="50">
        <v>4993.920000000001</v>
      </c>
      <c r="Z92" s="50">
        <f t="shared" si="18"/>
        <v>3.6984415808994222</v>
      </c>
      <c r="AA92" s="50">
        <f t="shared" si="19"/>
        <v>9.1760912590556813</v>
      </c>
      <c r="AB92" s="50">
        <v>1500000000</v>
      </c>
    </row>
    <row r="93" spans="1:28" x14ac:dyDescent="0.35">
      <c r="A93" s="67" t="s">
        <v>45</v>
      </c>
      <c r="B93" s="52">
        <v>1.2543964035435673</v>
      </c>
      <c r="C93" s="50">
        <f t="shared" si="11"/>
        <v>0.35303028293240818</v>
      </c>
      <c r="D93" s="52">
        <v>2.473972602739726</v>
      </c>
      <c r="E93" s="52">
        <v>5897.96</v>
      </c>
      <c r="F93" s="50">
        <f t="shared" si="12"/>
        <v>3.7707018228379927</v>
      </c>
      <c r="G93" s="52">
        <v>27</v>
      </c>
      <c r="H93" s="50">
        <f t="shared" si="13"/>
        <v>1.4313637641589874</v>
      </c>
      <c r="I93" s="65">
        <v>2.3199999999999998</v>
      </c>
      <c r="J93" s="71">
        <f t="shared" si="14"/>
        <v>2.12057393120585</v>
      </c>
      <c r="K93" s="53">
        <v>132</v>
      </c>
      <c r="L93" s="54">
        <v>0.51</v>
      </c>
      <c r="M93" s="60">
        <f t="shared" si="15"/>
        <v>0.17897694729316943</v>
      </c>
      <c r="N93" s="62">
        <f t="shared" si="16"/>
        <v>1.414973347970818</v>
      </c>
      <c r="O93" s="52">
        <v>26</v>
      </c>
      <c r="P93" s="52">
        <f t="shared" si="10"/>
        <v>1</v>
      </c>
      <c r="Q93" s="52">
        <v>70</v>
      </c>
      <c r="R93" s="52">
        <v>70</v>
      </c>
      <c r="S93" s="52">
        <v>91</v>
      </c>
      <c r="T93" s="55">
        <v>23.9</v>
      </c>
      <c r="U93" s="56">
        <v>42.048698215007001</v>
      </c>
      <c r="V93" s="52">
        <v>1861.7599999999995</v>
      </c>
      <c r="W93" s="50">
        <f t="shared" si="17"/>
        <v>3.2699236952309461</v>
      </c>
      <c r="X93" s="57">
        <v>2</v>
      </c>
      <c r="Y93" s="52">
        <v>4993.920000000001</v>
      </c>
      <c r="Z93" s="50">
        <f t="shared" si="18"/>
        <v>3.6984415808994222</v>
      </c>
      <c r="AA93" s="50">
        <f t="shared" si="19"/>
        <v>8.1797240960600899</v>
      </c>
      <c r="AB93" s="52">
        <v>151260000</v>
      </c>
    </row>
    <row r="94" spans="1:28" x14ac:dyDescent="0.35">
      <c r="A94" s="49" t="s">
        <v>45</v>
      </c>
      <c r="B94" s="50">
        <v>0.17877870114176564</v>
      </c>
      <c r="C94" s="50">
        <f t="shared" si="11"/>
        <v>7.1432280163832143E-2</v>
      </c>
      <c r="D94" s="50">
        <v>4.4739726027397264</v>
      </c>
      <c r="E94" s="50">
        <v>5897.96</v>
      </c>
      <c r="F94" s="50">
        <f t="shared" si="12"/>
        <v>3.7707018228379927</v>
      </c>
      <c r="G94" s="50">
        <v>2</v>
      </c>
      <c r="H94" s="50">
        <f t="shared" si="13"/>
        <v>0.3010299956639812</v>
      </c>
      <c r="I94" s="59">
        <v>2.3199999999999998</v>
      </c>
      <c r="J94" s="71">
        <f t="shared" si="14"/>
        <v>2.12057393120585</v>
      </c>
      <c r="K94" s="60">
        <v>132</v>
      </c>
      <c r="L94" s="61">
        <v>-0.06</v>
      </c>
      <c r="M94" s="60">
        <f t="shared" si="15"/>
        <v>-2.6872146400301365E-2</v>
      </c>
      <c r="N94" s="62">
        <f t="shared" si="16"/>
        <v>1.3222192947339193</v>
      </c>
      <c r="O94" s="50">
        <v>21</v>
      </c>
      <c r="P94" s="50">
        <f t="shared" si="10"/>
        <v>1</v>
      </c>
      <c r="Q94" s="50">
        <v>70</v>
      </c>
      <c r="R94" s="50">
        <v>70</v>
      </c>
      <c r="S94" s="50">
        <v>93.2</v>
      </c>
      <c r="T94" s="62">
        <v>26.7</v>
      </c>
      <c r="U94" s="63">
        <v>36.669158714517401</v>
      </c>
      <c r="V94" s="50">
        <v>1861.7599999999995</v>
      </c>
      <c r="W94" s="50">
        <f t="shared" si="17"/>
        <v>3.2699236952309461</v>
      </c>
      <c r="X94" s="64">
        <v>2</v>
      </c>
      <c r="Y94" s="50">
        <v>4993.920000000001</v>
      </c>
      <c r="Z94" s="50">
        <f t="shared" si="18"/>
        <v>3.6984415808994222</v>
      </c>
      <c r="AA94" s="50">
        <f t="shared" si="19"/>
        <v>10.108176894140763</v>
      </c>
      <c r="AB94" s="50">
        <v>12828530000</v>
      </c>
    </row>
    <row r="95" spans="1:28" x14ac:dyDescent="0.35">
      <c r="A95" s="67" t="s">
        <v>45</v>
      </c>
      <c r="B95" s="52">
        <v>0.56862745098039214</v>
      </c>
      <c r="C95" s="50">
        <f t="shared" si="11"/>
        <v>0.19551981089400722</v>
      </c>
      <c r="D95" s="52">
        <v>2.0054794520547947</v>
      </c>
      <c r="E95" s="52">
        <v>5897.96</v>
      </c>
      <c r="F95" s="50">
        <f t="shared" si="12"/>
        <v>3.7707018228379927</v>
      </c>
      <c r="G95" s="52">
        <v>16</v>
      </c>
      <c r="H95" s="50">
        <f t="shared" si="13"/>
        <v>1.2041199826559248</v>
      </c>
      <c r="I95" s="65">
        <v>2.3199999999999998</v>
      </c>
      <c r="J95" s="71">
        <f t="shared" si="14"/>
        <v>2.12057393120585</v>
      </c>
      <c r="K95" s="53">
        <v>132</v>
      </c>
      <c r="L95" s="54">
        <v>0.06</v>
      </c>
      <c r="M95" s="60">
        <f t="shared" si="15"/>
        <v>2.5305865264770262E-2</v>
      </c>
      <c r="N95" s="62">
        <f t="shared" si="16"/>
        <v>1.3222192947339193</v>
      </c>
      <c r="O95" s="52">
        <v>21</v>
      </c>
      <c r="P95" s="52">
        <f t="shared" si="10"/>
        <v>1</v>
      </c>
      <c r="Q95" s="52">
        <v>70</v>
      </c>
      <c r="R95" s="52">
        <v>70</v>
      </c>
      <c r="S95" s="52">
        <v>93.2</v>
      </c>
      <c r="T95" s="55">
        <v>26.7</v>
      </c>
      <c r="U95" s="56">
        <v>36.669158714517401</v>
      </c>
      <c r="V95" s="52">
        <v>1861.7599999999995</v>
      </c>
      <c r="W95" s="50">
        <f t="shared" si="17"/>
        <v>3.2699236952309461</v>
      </c>
      <c r="X95" s="57">
        <v>2</v>
      </c>
      <c r="Y95" s="52">
        <v>4993.920000000001</v>
      </c>
      <c r="Z95" s="50">
        <f t="shared" si="18"/>
        <v>3.6984415808994222</v>
      </c>
      <c r="AA95" s="50">
        <f t="shared" si="19"/>
        <v>8.8836614351536181</v>
      </c>
      <c r="AB95" s="52">
        <v>765000000</v>
      </c>
    </row>
    <row r="96" spans="1:28" x14ac:dyDescent="0.35">
      <c r="A96" s="49" t="s">
        <v>45</v>
      </c>
      <c r="B96" s="50">
        <v>3.8993564476756948E-3</v>
      </c>
      <c r="C96" s="50">
        <f t="shared" si="11"/>
        <v>1.6901758266215719E-3</v>
      </c>
      <c r="D96" s="50">
        <v>5.6301369863013697</v>
      </c>
      <c r="E96" s="50">
        <v>5897.96</v>
      </c>
      <c r="F96" s="50">
        <f t="shared" si="12"/>
        <v>3.7707018228379927</v>
      </c>
      <c r="G96" s="50">
        <v>26</v>
      </c>
      <c r="H96" s="50">
        <f t="shared" si="13"/>
        <v>1.414973347970818</v>
      </c>
      <c r="I96" s="59">
        <v>2.3199999999999998</v>
      </c>
      <c r="J96" s="71">
        <f t="shared" si="14"/>
        <v>2.12057393120585</v>
      </c>
      <c r="K96" s="60">
        <v>132</v>
      </c>
      <c r="L96" s="61">
        <v>0.06</v>
      </c>
      <c r="M96" s="60">
        <f t="shared" si="15"/>
        <v>2.5305865264770262E-2</v>
      </c>
      <c r="N96" s="62">
        <f t="shared" si="16"/>
        <v>1.3222192947339193</v>
      </c>
      <c r="O96" s="50">
        <v>21</v>
      </c>
      <c r="P96" s="50">
        <f t="shared" si="10"/>
        <v>1</v>
      </c>
      <c r="Q96" s="50">
        <v>70</v>
      </c>
      <c r="R96" s="50">
        <v>70</v>
      </c>
      <c r="S96" s="50">
        <v>85</v>
      </c>
      <c r="T96" s="62">
        <v>25.9</v>
      </c>
      <c r="U96" s="63">
        <v>36.959146749272797</v>
      </c>
      <c r="V96" s="50">
        <v>1801.108033240997</v>
      </c>
      <c r="W96" s="50">
        <f t="shared" si="17"/>
        <v>3.25553976325445</v>
      </c>
      <c r="X96" s="64">
        <v>2</v>
      </c>
      <c r="Y96" s="50">
        <v>8416.6204986149605</v>
      </c>
      <c r="Z96" s="50">
        <f t="shared" si="18"/>
        <v>3.9251377454872847</v>
      </c>
      <c r="AA96" s="50">
        <f t="shared" si="19"/>
        <v>8.9760334294622268</v>
      </c>
      <c r="AB96" s="50">
        <v>946310000</v>
      </c>
    </row>
    <row r="97" spans="1:28" x14ac:dyDescent="0.35">
      <c r="A97" s="67" t="s">
        <v>45</v>
      </c>
      <c r="B97" s="52">
        <v>3.3534178904488483</v>
      </c>
      <c r="C97" s="50">
        <f t="shared" si="11"/>
        <v>0.63883035767085583</v>
      </c>
      <c r="D97" s="52">
        <v>2.9917808219178084</v>
      </c>
      <c r="E97" s="52">
        <v>0</v>
      </c>
      <c r="F97" s="50">
        <f t="shared" si="12"/>
        <v>0</v>
      </c>
      <c r="G97" s="52">
        <v>34</v>
      </c>
      <c r="H97" s="50">
        <f t="shared" si="13"/>
        <v>1.5314789170422551</v>
      </c>
      <c r="I97" s="65">
        <v>2.95</v>
      </c>
      <c r="J97" s="71">
        <f t="shared" si="14"/>
        <v>0</v>
      </c>
      <c r="K97" s="53">
        <v>0</v>
      </c>
      <c r="L97" s="54">
        <v>0.3</v>
      </c>
      <c r="M97" s="60">
        <f t="shared" si="15"/>
        <v>0.11394335230683679</v>
      </c>
      <c r="N97" s="62">
        <f t="shared" si="16"/>
        <v>1.3010299956639813</v>
      </c>
      <c r="O97" s="52">
        <v>20</v>
      </c>
      <c r="P97" s="52">
        <f t="shared" si="10"/>
        <v>0</v>
      </c>
      <c r="Q97" s="52">
        <v>70</v>
      </c>
      <c r="R97" s="52">
        <v>70</v>
      </c>
      <c r="S97" s="52">
        <v>91.1</v>
      </c>
      <c r="T97" s="55">
        <v>24.1</v>
      </c>
      <c r="U97" s="56">
        <v>40.229046020662899</v>
      </c>
      <c r="V97" s="52">
        <v>1455.046</v>
      </c>
      <c r="W97" s="50">
        <f t="shared" si="17"/>
        <v>3.1628767233771686</v>
      </c>
      <c r="X97" s="57">
        <v>2</v>
      </c>
      <c r="Y97" s="52">
        <v>4062.5129999999999</v>
      </c>
      <c r="Z97" s="50">
        <f t="shared" si="18"/>
        <v>3.6087947637270492</v>
      </c>
      <c r="AA97" s="50">
        <f t="shared" si="19"/>
        <v>9.1443250784004881</v>
      </c>
      <c r="AB97" s="52">
        <v>1394200000</v>
      </c>
    </row>
    <row r="98" spans="1:28" x14ac:dyDescent="0.35">
      <c r="A98" s="49" t="s">
        <v>45</v>
      </c>
      <c r="B98" s="50">
        <v>-0.59275</v>
      </c>
      <c r="C98" s="50">
        <f t="shared" si="11"/>
        <v>-0.39013890701945303</v>
      </c>
      <c r="D98" s="50">
        <v>1.7945205479452055</v>
      </c>
      <c r="E98" s="50">
        <v>0</v>
      </c>
      <c r="F98" s="50">
        <f t="shared" si="12"/>
        <v>0</v>
      </c>
      <c r="G98" s="50">
        <v>56</v>
      </c>
      <c r="H98" s="50">
        <f t="shared" si="13"/>
        <v>1.7481880270062005</v>
      </c>
      <c r="I98" s="59">
        <v>2.95</v>
      </c>
      <c r="J98" s="71">
        <f t="shared" si="14"/>
        <v>0</v>
      </c>
      <c r="K98" s="60">
        <v>0</v>
      </c>
      <c r="L98" s="61">
        <v>0.11</v>
      </c>
      <c r="M98" s="60">
        <f t="shared" si="15"/>
        <v>4.5322978786657475E-2</v>
      </c>
      <c r="N98" s="62">
        <f t="shared" si="16"/>
        <v>1</v>
      </c>
      <c r="O98" s="50">
        <v>10</v>
      </c>
      <c r="P98" s="50">
        <f t="shared" si="10"/>
        <v>0</v>
      </c>
      <c r="Q98" s="50">
        <v>70</v>
      </c>
      <c r="R98" s="50">
        <v>70</v>
      </c>
      <c r="S98" s="50">
        <v>88.8</v>
      </c>
      <c r="T98" s="62">
        <v>26.2</v>
      </c>
      <c r="U98" s="63">
        <v>37.927180176051799</v>
      </c>
      <c r="V98" s="50">
        <v>1636.7346938775511</v>
      </c>
      <c r="W98" s="50">
        <f t="shared" si="17"/>
        <v>3.21397828825565</v>
      </c>
      <c r="X98" s="64">
        <v>4</v>
      </c>
      <c r="Y98" s="50">
        <v>5016.3265306122448</v>
      </c>
      <c r="Z98" s="50">
        <f t="shared" si="18"/>
        <v>3.7003857985219217</v>
      </c>
      <c r="AA98" s="50">
        <f t="shared" si="19"/>
        <v>8.6020599913279625</v>
      </c>
      <c r="AB98" s="50">
        <v>400000000</v>
      </c>
    </row>
    <row r="99" spans="1:28" x14ac:dyDescent="0.35">
      <c r="A99" s="67" t="s">
        <v>45</v>
      </c>
      <c r="B99" s="52">
        <v>1.3870967741935485</v>
      </c>
      <c r="C99" s="50">
        <f t="shared" si="11"/>
        <v>0.37787002589670354</v>
      </c>
      <c r="D99" s="52">
        <v>4.2</v>
      </c>
      <c r="E99" s="52">
        <v>0</v>
      </c>
      <c r="F99" s="50">
        <f t="shared" si="12"/>
        <v>0</v>
      </c>
      <c r="G99" s="52">
        <v>16</v>
      </c>
      <c r="H99" s="50">
        <f t="shared" si="13"/>
        <v>1.2041199826559248</v>
      </c>
      <c r="I99" s="65">
        <v>2.95</v>
      </c>
      <c r="J99" s="71">
        <f t="shared" si="14"/>
        <v>0</v>
      </c>
      <c r="K99" s="53">
        <v>0</v>
      </c>
      <c r="L99" s="54">
        <v>0.48</v>
      </c>
      <c r="M99" s="60">
        <f t="shared" si="15"/>
        <v>0.17026171539495738</v>
      </c>
      <c r="N99" s="62">
        <f t="shared" si="16"/>
        <v>1.1760912590556813</v>
      </c>
      <c r="O99" s="52">
        <v>15</v>
      </c>
      <c r="P99" s="52">
        <f t="shared" si="10"/>
        <v>0</v>
      </c>
      <c r="Q99" s="52">
        <v>70</v>
      </c>
      <c r="R99" s="52">
        <v>70</v>
      </c>
      <c r="S99" s="52">
        <v>89.2</v>
      </c>
      <c r="T99" s="55">
        <v>26</v>
      </c>
      <c r="U99" s="56">
        <v>38.344872802923099</v>
      </c>
      <c r="V99" s="52">
        <v>3287.5739644970417</v>
      </c>
      <c r="W99" s="50">
        <f t="shared" si="17"/>
        <v>3.5168755324519045</v>
      </c>
      <c r="X99" s="57">
        <v>2</v>
      </c>
      <c r="Y99" s="52">
        <v>6440.2366863905318</v>
      </c>
      <c r="Z99" s="50">
        <f t="shared" si="18"/>
        <v>3.8089018284940463</v>
      </c>
      <c r="AA99" s="50">
        <f t="shared" si="19"/>
        <v>8.4913616938342731</v>
      </c>
      <c r="AB99" s="52">
        <v>310000000</v>
      </c>
    </row>
    <row r="100" spans="1:28" x14ac:dyDescent="0.35">
      <c r="A100" s="49" t="s">
        <v>45</v>
      </c>
      <c r="B100" s="50">
        <v>5</v>
      </c>
      <c r="C100" s="50">
        <f t="shared" si="11"/>
        <v>0.77815125038364363</v>
      </c>
      <c r="D100" s="50">
        <v>2.1479452054794521</v>
      </c>
      <c r="E100" s="50">
        <v>0</v>
      </c>
      <c r="F100" s="50">
        <f t="shared" si="12"/>
        <v>0</v>
      </c>
      <c r="G100" s="50">
        <v>34</v>
      </c>
      <c r="H100" s="50">
        <f t="shared" si="13"/>
        <v>1.5314789170422551</v>
      </c>
      <c r="I100" s="59">
        <v>2.95</v>
      </c>
      <c r="J100" s="71">
        <f t="shared" si="14"/>
        <v>0</v>
      </c>
      <c r="K100" s="60">
        <v>0</v>
      </c>
      <c r="L100" s="61">
        <v>0.11</v>
      </c>
      <c r="M100" s="60">
        <f t="shared" si="15"/>
        <v>4.5322978786657475E-2</v>
      </c>
      <c r="N100" s="62">
        <f t="shared" si="16"/>
        <v>0.84509804001425681</v>
      </c>
      <c r="O100" s="50">
        <v>7</v>
      </c>
      <c r="P100" s="50">
        <f t="shared" si="10"/>
        <v>0</v>
      </c>
      <c r="Q100" s="50">
        <v>70</v>
      </c>
      <c r="R100" s="50">
        <v>70</v>
      </c>
      <c r="S100" s="50">
        <v>89.2</v>
      </c>
      <c r="T100" s="62">
        <v>26</v>
      </c>
      <c r="U100" s="63">
        <v>38.344872802923099</v>
      </c>
      <c r="V100" s="50">
        <v>2799.9999999999995</v>
      </c>
      <c r="W100" s="50">
        <f t="shared" si="17"/>
        <v>3.447158031342219</v>
      </c>
      <c r="X100" s="64">
        <v>5</v>
      </c>
      <c r="Y100" s="50">
        <v>8432.6530612244896</v>
      </c>
      <c r="Z100" s="50">
        <f t="shared" si="18"/>
        <v>3.9259642328190694</v>
      </c>
      <c r="AA100" s="50">
        <f t="shared" si="19"/>
        <v>7.9542425094393252</v>
      </c>
      <c r="AB100" s="50">
        <v>90000000</v>
      </c>
    </row>
    <row r="101" spans="1:28" x14ac:dyDescent="0.35">
      <c r="A101" s="67" t="s">
        <v>45</v>
      </c>
      <c r="B101" s="52">
        <v>1.9629629629629628</v>
      </c>
      <c r="C101" s="50">
        <f t="shared" si="11"/>
        <v>0.47172622283295623</v>
      </c>
      <c r="D101" s="52">
        <v>4.5232876712328771</v>
      </c>
      <c r="E101" s="52">
        <v>0</v>
      </c>
      <c r="F101" s="50">
        <f t="shared" si="12"/>
        <v>0</v>
      </c>
      <c r="G101" s="52">
        <v>45</v>
      </c>
      <c r="H101" s="50">
        <f t="shared" si="13"/>
        <v>1.6532125137753437</v>
      </c>
      <c r="I101" s="65">
        <v>2.95</v>
      </c>
      <c r="J101" s="71">
        <f t="shared" si="14"/>
        <v>0</v>
      </c>
      <c r="K101" s="53">
        <v>0</v>
      </c>
      <c r="L101" s="54">
        <v>0.71</v>
      </c>
      <c r="M101" s="60">
        <f t="shared" si="15"/>
        <v>0.23299611039215382</v>
      </c>
      <c r="N101" s="62">
        <f t="shared" si="16"/>
        <v>1.505149978319906</v>
      </c>
      <c r="O101" s="52">
        <v>32</v>
      </c>
      <c r="P101" s="52">
        <f t="shared" si="10"/>
        <v>0</v>
      </c>
      <c r="Q101" s="52">
        <v>70</v>
      </c>
      <c r="R101" s="52">
        <v>70</v>
      </c>
      <c r="S101" s="52">
        <v>91.1</v>
      </c>
      <c r="T101" s="55">
        <v>24.1</v>
      </c>
      <c r="U101" s="56">
        <v>40.229046020662899</v>
      </c>
      <c r="V101" s="52">
        <v>1447.5557664926437</v>
      </c>
      <c r="W101" s="50">
        <f t="shared" si="17"/>
        <v>3.1606353037386858</v>
      </c>
      <c r="X101" s="57">
        <v>2</v>
      </c>
      <c r="Y101" s="52">
        <v>9478.5929515126791</v>
      </c>
      <c r="Z101" s="50">
        <f t="shared" si="18"/>
        <v>3.9767438733352263</v>
      </c>
      <c r="AA101" s="50">
        <f t="shared" si="19"/>
        <v>8.8293037728310253</v>
      </c>
      <c r="AB101" s="52">
        <v>675000000</v>
      </c>
    </row>
    <row r="102" spans="1:28" x14ac:dyDescent="0.35">
      <c r="A102" s="49" t="s">
        <v>45</v>
      </c>
      <c r="B102" s="50">
        <v>1.6985000000000001</v>
      </c>
      <c r="C102" s="50">
        <f t="shared" si="11"/>
        <v>0.43112242240123261</v>
      </c>
      <c r="D102" s="50">
        <v>2.441095890410959</v>
      </c>
      <c r="E102" s="50">
        <v>0</v>
      </c>
      <c r="F102" s="50">
        <f t="shared" si="12"/>
        <v>0</v>
      </c>
      <c r="G102" s="50">
        <v>0</v>
      </c>
      <c r="H102" s="50">
        <f t="shared" si="13"/>
        <v>0</v>
      </c>
      <c r="I102" s="59">
        <v>2.95</v>
      </c>
      <c r="J102" s="71">
        <f t="shared" si="14"/>
        <v>0</v>
      </c>
      <c r="K102" s="60">
        <v>0</v>
      </c>
      <c r="L102" s="61">
        <v>0.13</v>
      </c>
      <c r="M102" s="60">
        <f t="shared" si="15"/>
        <v>5.3078443483419682E-2</v>
      </c>
      <c r="N102" s="62">
        <f t="shared" si="16"/>
        <v>1.5185139398778875</v>
      </c>
      <c r="O102" s="50">
        <v>33</v>
      </c>
      <c r="P102" s="50">
        <f t="shared" si="10"/>
        <v>0</v>
      </c>
      <c r="Q102" s="50">
        <v>70</v>
      </c>
      <c r="R102" s="50">
        <v>70</v>
      </c>
      <c r="S102" s="50">
        <v>90.5</v>
      </c>
      <c r="T102" s="62">
        <v>25.7</v>
      </c>
      <c r="U102" s="63">
        <v>39.010023979360902</v>
      </c>
      <c r="V102" s="50">
        <v>1447.5557664926437</v>
      </c>
      <c r="W102" s="50">
        <f t="shared" si="17"/>
        <v>3.1606353037386858</v>
      </c>
      <c r="X102" s="64">
        <v>2</v>
      </c>
      <c r="Y102" s="50">
        <v>9478.5929515126791</v>
      </c>
      <c r="Z102" s="50">
        <f t="shared" si="18"/>
        <v>3.9767438733352263</v>
      </c>
      <c r="AA102" s="50">
        <f t="shared" si="19"/>
        <v>8.3010299956639813</v>
      </c>
      <c r="AB102" s="50">
        <v>200000000</v>
      </c>
    </row>
    <row r="103" spans="1:28" x14ac:dyDescent="0.35">
      <c r="A103" s="67" t="s">
        <v>45</v>
      </c>
      <c r="B103" s="52">
        <v>3.5693397304089558</v>
      </c>
      <c r="C103" s="50">
        <f t="shared" si="11"/>
        <v>0.65985344905086718</v>
      </c>
      <c r="D103" s="52">
        <v>3.8301369863013699</v>
      </c>
      <c r="E103" s="52">
        <v>0</v>
      </c>
      <c r="F103" s="50">
        <f t="shared" si="12"/>
        <v>0</v>
      </c>
      <c r="G103" s="52">
        <v>40</v>
      </c>
      <c r="H103" s="50">
        <f t="shared" si="13"/>
        <v>1.6020599913279623</v>
      </c>
      <c r="I103" s="65">
        <v>2.95</v>
      </c>
      <c r="J103" s="71">
        <f t="shared" si="14"/>
        <v>0</v>
      </c>
      <c r="K103" s="53">
        <v>0</v>
      </c>
      <c r="L103" s="54">
        <v>0.51</v>
      </c>
      <c r="M103" s="60">
        <f t="shared" si="15"/>
        <v>0.17897694729316943</v>
      </c>
      <c r="N103" s="62">
        <f t="shared" si="16"/>
        <v>1.3802112417116059</v>
      </c>
      <c r="O103" s="52">
        <v>24</v>
      </c>
      <c r="P103" s="52">
        <f t="shared" si="10"/>
        <v>0</v>
      </c>
      <c r="Q103" s="52">
        <v>70</v>
      </c>
      <c r="R103" s="52">
        <v>70</v>
      </c>
      <c r="S103" s="52">
        <v>91.1</v>
      </c>
      <c r="T103" s="55">
        <v>24.1</v>
      </c>
      <c r="U103" s="56">
        <v>40.229046020662899</v>
      </c>
      <c r="V103" s="52">
        <v>1423.0371900826444</v>
      </c>
      <c r="W103" s="50">
        <f t="shared" si="17"/>
        <v>3.1532162502154288</v>
      </c>
      <c r="X103" s="57">
        <v>1</v>
      </c>
      <c r="Y103" s="52">
        <v>3292.8719008264461</v>
      </c>
      <c r="Z103" s="50">
        <f t="shared" si="18"/>
        <v>3.5175748361336181</v>
      </c>
      <c r="AA103" s="50">
        <f t="shared" si="19"/>
        <v>8.5746677663162263</v>
      </c>
      <c r="AB103" s="52">
        <v>375550000</v>
      </c>
    </row>
    <row r="104" spans="1:28" x14ac:dyDescent="0.35">
      <c r="A104" s="49" t="s">
        <v>45</v>
      </c>
      <c r="B104" s="50">
        <v>0.89090909090909087</v>
      </c>
      <c r="C104" s="50">
        <f t="shared" si="11"/>
        <v>0.27667064980453648</v>
      </c>
      <c r="D104" s="50">
        <v>3.1616438356164385</v>
      </c>
      <c r="E104" s="50">
        <v>0</v>
      </c>
      <c r="F104" s="50">
        <f t="shared" si="12"/>
        <v>0</v>
      </c>
      <c r="G104" s="50">
        <v>5</v>
      </c>
      <c r="H104" s="50">
        <f t="shared" si="13"/>
        <v>0.69897000433601886</v>
      </c>
      <c r="I104" s="59">
        <v>2.95</v>
      </c>
      <c r="J104" s="71">
        <f t="shared" si="14"/>
        <v>0</v>
      </c>
      <c r="K104" s="60">
        <v>0</v>
      </c>
      <c r="L104" s="61">
        <v>0.3</v>
      </c>
      <c r="M104" s="60">
        <f t="shared" si="15"/>
        <v>0.11394335230683679</v>
      </c>
      <c r="N104" s="62">
        <f t="shared" si="16"/>
        <v>1.3979400086720377</v>
      </c>
      <c r="O104" s="50">
        <v>25</v>
      </c>
      <c r="P104" s="50">
        <f t="shared" si="10"/>
        <v>0</v>
      </c>
      <c r="Q104" s="50">
        <v>70</v>
      </c>
      <c r="R104" s="50">
        <v>70</v>
      </c>
      <c r="S104" s="50">
        <v>90.5</v>
      </c>
      <c r="T104" s="62">
        <v>25.7</v>
      </c>
      <c r="U104" s="63">
        <v>39.010023979360902</v>
      </c>
      <c r="V104" s="50">
        <v>1423.0371900826444</v>
      </c>
      <c r="W104" s="50">
        <f t="shared" si="17"/>
        <v>3.1532162502154288</v>
      </c>
      <c r="X104" s="64">
        <v>1</v>
      </c>
      <c r="Y104" s="50">
        <v>3292.8719008264461</v>
      </c>
      <c r="Z104" s="50">
        <f t="shared" si="18"/>
        <v>3.5175748361336181</v>
      </c>
      <c r="AA104" s="50">
        <f t="shared" si="19"/>
        <v>8.6154239528859442</v>
      </c>
      <c r="AB104" s="50">
        <v>412500000</v>
      </c>
    </row>
    <row r="105" spans="1:28" x14ac:dyDescent="0.35">
      <c r="A105" s="67" t="s">
        <v>45</v>
      </c>
      <c r="B105" s="52">
        <v>1.17</v>
      </c>
      <c r="C105" s="50">
        <f t="shared" si="11"/>
        <v>0.33645973384852951</v>
      </c>
      <c r="D105" s="52">
        <v>1.9205479452054794</v>
      </c>
      <c r="E105" s="52">
        <v>6651.37</v>
      </c>
      <c r="F105" s="50">
        <f t="shared" si="12"/>
        <v>3.8229111072821804</v>
      </c>
      <c r="G105" s="52">
        <v>6</v>
      </c>
      <c r="H105" s="50">
        <f t="shared" si="13"/>
        <v>0.77815125038364363</v>
      </c>
      <c r="I105" s="65">
        <v>3.03</v>
      </c>
      <c r="J105" s="71">
        <f t="shared" si="14"/>
        <v>2.7105404479332971</v>
      </c>
      <c r="K105" s="53">
        <v>513.5</v>
      </c>
      <c r="L105" s="54">
        <v>0.26</v>
      </c>
      <c r="M105" s="60">
        <f t="shared" si="15"/>
        <v>0.10037054511756291</v>
      </c>
      <c r="N105" s="62">
        <f t="shared" si="16"/>
        <v>1.3010299956639813</v>
      </c>
      <c r="O105" s="52">
        <v>20</v>
      </c>
      <c r="P105" s="52">
        <f t="shared" si="10"/>
        <v>1</v>
      </c>
      <c r="Q105" s="52">
        <v>70</v>
      </c>
      <c r="R105" s="52">
        <v>70</v>
      </c>
      <c r="S105" s="52">
        <v>84.7</v>
      </c>
      <c r="T105" s="55">
        <v>25.9</v>
      </c>
      <c r="U105" s="56">
        <v>38.207924771594499</v>
      </c>
      <c r="V105" s="52">
        <v>1423.0371900826444</v>
      </c>
      <c r="W105" s="50">
        <f t="shared" si="17"/>
        <v>3.1532162502154288</v>
      </c>
      <c r="X105" s="57">
        <v>5</v>
      </c>
      <c r="Y105" s="52">
        <v>3292.8719008264461</v>
      </c>
      <c r="Z105" s="50">
        <f t="shared" si="18"/>
        <v>3.5175748361336181</v>
      </c>
      <c r="AA105" s="50">
        <f t="shared" si="19"/>
        <v>8</v>
      </c>
      <c r="AB105" s="52">
        <v>100000000</v>
      </c>
    </row>
    <row r="106" spans="1:28" x14ac:dyDescent="0.35">
      <c r="A106" s="49" t="s">
        <v>45</v>
      </c>
      <c r="B106" s="50">
        <v>0.43975999999999993</v>
      </c>
      <c r="C106" s="50">
        <f t="shared" si="11"/>
        <v>0.15829010364906099</v>
      </c>
      <c r="D106" s="50">
        <v>3.5123287671232877</v>
      </c>
      <c r="E106" s="50">
        <v>6651.37</v>
      </c>
      <c r="F106" s="50">
        <f t="shared" si="12"/>
        <v>3.8229111072821804</v>
      </c>
      <c r="G106" s="50">
        <v>40</v>
      </c>
      <c r="H106" s="50">
        <f t="shared" si="13"/>
        <v>1.6020599913279623</v>
      </c>
      <c r="I106" s="59">
        <v>3.03</v>
      </c>
      <c r="J106" s="71">
        <f t="shared" si="14"/>
        <v>2.7105404479332971</v>
      </c>
      <c r="K106" s="60">
        <v>513.5</v>
      </c>
      <c r="L106" s="61">
        <v>0.39</v>
      </c>
      <c r="M106" s="60">
        <f t="shared" si="15"/>
        <v>0.14301480025409513</v>
      </c>
      <c r="N106" s="62">
        <f t="shared" si="16"/>
        <v>1.255272505103306</v>
      </c>
      <c r="O106" s="50">
        <v>18</v>
      </c>
      <c r="P106" s="50">
        <f t="shared" si="10"/>
        <v>1</v>
      </c>
      <c r="Q106" s="50">
        <v>70</v>
      </c>
      <c r="R106" s="50">
        <v>70</v>
      </c>
      <c r="S106" s="50">
        <v>89.2</v>
      </c>
      <c r="T106" s="62">
        <v>26</v>
      </c>
      <c r="U106" s="63">
        <v>38.344872802923099</v>
      </c>
      <c r="V106" s="50">
        <v>1423.0371900826444</v>
      </c>
      <c r="W106" s="50">
        <f t="shared" si="17"/>
        <v>3.1532162502154288</v>
      </c>
      <c r="X106" s="64">
        <v>5</v>
      </c>
      <c r="Y106" s="50">
        <v>3292.8719008264461</v>
      </c>
      <c r="Z106" s="50">
        <f t="shared" si="18"/>
        <v>3.5175748361336181</v>
      </c>
      <c r="AA106" s="50">
        <f t="shared" si="19"/>
        <v>9.1760912590556813</v>
      </c>
      <c r="AB106" s="50">
        <v>1500000000</v>
      </c>
    </row>
    <row r="107" spans="1:28" x14ac:dyDescent="0.35">
      <c r="A107" s="67" t="s">
        <v>45</v>
      </c>
      <c r="B107" s="52">
        <v>1.1330813914594842</v>
      </c>
      <c r="C107" s="50">
        <f t="shared" si="11"/>
        <v>0.32900742703280411</v>
      </c>
      <c r="D107" s="52">
        <v>2.0986301369863014</v>
      </c>
      <c r="E107" s="52">
        <v>6651.37</v>
      </c>
      <c r="F107" s="50">
        <f t="shared" si="12"/>
        <v>3.8229111072821804</v>
      </c>
      <c r="G107" s="52">
        <v>34</v>
      </c>
      <c r="H107" s="50">
        <f t="shared" si="13"/>
        <v>1.5314789170422551</v>
      </c>
      <c r="I107" s="65">
        <v>3.03</v>
      </c>
      <c r="J107" s="71">
        <f t="shared" si="14"/>
        <v>2.7105404479332971</v>
      </c>
      <c r="K107" s="53">
        <v>513.5</v>
      </c>
      <c r="L107" s="54">
        <v>0.1</v>
      </c>
      <c r="M107" s="60">
        <f t="shared" si="15"/>
        <v>4.1392685158225077E-2</v>
      </c>
      <c r="N107" s="62">
        <f t="shared" si="16"/>
        <v>1.255272505103306</v>
      </c>
      <c r="O107" s="52">
        <v>18</v>
      </c>
      <c r="P107" s="52">
        <f t="shared" si="10"/>
        <v>1</v>
      </c>
      <c r="Q107" s="52">
        <v>70</v>
      </c>
      <c r="R107" s="52">
        <v>70</v>
      </c>
      <c r="S107" s="52">
        <v>89.2</v>
      </c>
      <c r="T107" s="55">
        <v>26</v>
      </c>
      <c r="U107" s="56">
        <v>38.344872802923099</v>
      </c>
      <c r="V107" s="52">
        <v>1423.0371900826444</v>
      </c>
      <c r="W107" s="50">
        <f t="shared" si="17"/>
        <v>3.1532162502154288</v>
      </c>
      <c r="X107" s="57">
        <v>5</v>
      </c>
      <c r="Y107" s="52">
        <v>3292.8719008264461</v>
      </c>
      <c r="Z107" s="50">
        <f t="shared" si="18"/>
        <v>3.5175748361336181</v>
      </c>
      <c r="AA107" s="50">
        <f t="shared" si="19"/>
        <v>9.5039513722356226</v>
      </c>
      <c r="AB107" s="52">
        <v>3191180520</v>
      </c>
    </row>
    <row r="108" spans="1:28" x14ac:dyDescent="0.35">
      <c r="A108" s="49" t="s">
        <v>45</v>
      </c>
      <c r="B108" s="50">
        <v>-1</v>
      </c>
      <c r="C108" s="50">
        <f t="shared" si="11"/>
        <v>-1</v>
      </c>
      <c r="D108" s="50">
        <v>1.0082191780821919</v>
      </c>
      <c r="E108" s="50">
        <v>6651.37</v>
      </c>
      <c r="F108" s="50">
        <f t="shared" si="12"/>
        <v>3.8229111072821804</v>
      </c>
      <c r="G108" s="50">
        <v>2</v>
      </c>
      <c r="H108" s="50">
        <f t="shared" si="13"/>
        <v>0.3010299956639812</v>
      </c>
      <c r="I108" s="59">
        <v>3.03</v>
      </c>
      <c r="J108" s="71">
        <f t="shared" si="14"/>
        <v>2.7105404479332971</v>
      </c>
      <c r="K108" s="60">
        <v>513.5</v>
      </c>
      <c r="L108" s="61">
        <v>-0.16</v>
      </c>
      <c r="M108" s="60">
        <f t="shared" si="15"/>
        <v>-7.5720713938118356E-2</v>
      </c>
      <c r="N108" s="62">
        <f t="shared" si="16"/>
        <v>0.69897000433601886</v>
      </c>
      <c r="O108" s="50">
        <v>5</v>
      </c>
      <c r="P108" s="50">
        <f t="shared" si="10"/>
        <v>1</v>
      </c>
      <c r="Q108" s="50">
        <v>70</v>
      </c>
      <c r="R108" s="50">
        <v>70</v>
      </c>
      <c r="S108" s="50">
        <v>85</v>
      </c>
      <c r="T108" s="62">
        <v>27.2</v>
      </c>
      <c r="U108" s="63">
        <v>35.608384832026097</v>
      </c>
      <c r="V108" s="50">
        <v>1423.0371900826444</v>
      </c>
      <c r="W108" s="50">
        <f t="shared" si="17"/>
        <v>3.1532162502154288</v>
      </c>
      <c r="X108" s="64">
        <v>5</v>
      </c>
      <c r="Y108" s="50">
        <v>3292.8719008264461</v>
      </c>
      <c r="Z108" s="50">
        <f t="shared" si="18"/>
        <v>3.5175748361336181</v>
      </c>
      <c r="AA108" s="50">
        <f t="shared" si="19"/>
        <v>7.6020599913279625</v>
      </c>
      <c r="AB108" s="50">
        <v>40000000</v>
      </c>
    </row>
    <row r="109" spans="1:28" x14ac:dyDescent="0.35">
      <c r="A109" s="67" t="s">
        <v>45</v>
      </c>
      <c r="B109" s="52">
        <v>0.69177641928815059</v>
      </c>
      <c r="C109" s="50">
        <f t="shared" si="11"/>
        <v>0.22834296728139425</v>
      </c>
      <c r="D109" s="52">
        <v>4.0849315068493155</v>
      </c>
      <c r="E109" s="52">
        <v>5441.73</v>
      </c>
      <c r="F109" s="50">
        <f t="shared" si="12"/>
        <v>3.735736989773935</v>
      </c>
      <c r="G109" s="52">
        <v>51</v>
      </c>
      <c r="H109" s="50">
        <f t="shared" si="13"/>
        <v>1.7075701760979363</v>
      </c>
      <c r="I109" s="65">
        <v>2.81</v>
      </c>
      <c r="J109" s="71">
        <f t="shared" si="14"/>
        <v>2.0997957012455433</v>
      </c>
      <c r="K109" s="53">
        <v>125.833333333333</v>
      </c>
      <c r="L109" s="54">
        <v>0.5</v>
      </c>
      <c r="M109" s="60">
        <f t="shared" si="15"/>
        <v>0.17609125905568124</v>
      </c>
      <c r="N109" s="62">
        <f t="shared" si="16"/>
        <v>1</v>
      </c>
      <c r="O109" s="52">
        <v>10</v>
      </c>
      <c r="P109" s="52">
        <f t="shared" si="10"/>
        <v>1</v>
      </c>
      <c r="Q109" s="52">
        <v>70</v>
      </c>
      <c r="R109" s="52">
        <v>70</v>
      </c>
      <c r="S109" s="52">
        <v>90.5</v>
      </c>
      <c r="T109" s="55">
        <v>25.7</v>
      </c>
      <c r="U109" s="56">
        <v>39.010023979360902</v>
      </c>
      <c r="V109" s="52">
        <v>2445.7102171591318</v>
      </c>
      <c r="W109" s="50">
        <f t="shared" si="17"/>
        <v>3.3884049978579722</v>
      </c>
      <c r="X109" s="57">
        <v>2</v>
      </c>
      <c r="Y109" s="52">
        <v>7210.2229667110805</v>
      </c>
      <c r="Z109" s="50">
        <f t="shared" si="18"/>
        <v>3.8579486949156889</v>
      </c>
      <c r="AA109" s="50">
        <f t="shared" si="19"/>
        <v>8.7143792229021759</v>
      </c>
      <c r="AB109" s="52">
        <v>518059000</v>
      </c>
    </row>
    <row r="110" spans="1:28" x14ac:dyDescent="0.35">
      <c r="A110" s="49" t="s">
        <v>45</v>
      </c>
      <c r="B110" s="50">
        <v>7.5458115183246068</v>
      </c>
      <c r="C110" s="50">
        <f t="shared" si="11"/>
        <v>0.93175331002877337</v>
      </c>
      <c r="D110" s="50">
        <v>7.8876712328767127</v>
      </c>
      <c r="E110" s="50">
        <v>5441.73</v>
      </c>
      <c r="F110" s="50">
        <f t="shared" si="12"/>
        <v>3.735736989773935</v>
      </c>
      <c r="G110" s="50">
        <v>0</v>
      </c>
      <c r="H110" s="50">
        <f t="shared" si="13"/>
        <v>0</v>
      </c>
      <c r="I110" s="59">
        <v>2.81</v>
      </c>
      <c r="J110" s="71">
        <f t="shared" si="14"/>
        <v>2.0997957012455433</v>
      </c>
      <c r="K110" s="60">
        <v>125.833333333333</v>
      </c>
      <c r="L110" s="61">
        <v>1.68</v>
      </c>
      <c r="M110" s="60">
        <f t="shared" si="15"/>
        <v>0.42813479402878879</v>
      </c>
      <c r="N110" s="62">
        <f t="shared" si="16"/>
        <v>0.84509804001425681</v>
      </c>
      <c r="O110" s="50">
        <v>7</v>
      </c>
      <c r="P110" s="50">
        <f t="shared" si="10"/>
        <v>1</v>
      </c>
      <c r="Q110" s="50">
        <v>70</v>
      </c>
      <c r="R110" s="50">
        <v>70</v>
      </c>
      <c r="S110" s="50">
        <v>91.3</v>
      </c>
      <c r="T110" s="62">
        <v>23.5</v>
      </c>
      <c r="U110" s="63">
        <v>43.1672842383418</v>
      </c>
      <c r="V110" s="50">
        <v>2445.7102171591318</v>
      </c>
      <c r="W110" s="50">
        <f t="shared" si="17"/>
        <v>3.3884049978579722</v>
      </c>
      <c r="X110" s="64">
        <v>2</v>
      </c>
      <c r="Y110" s="50">
        <v>7210.2229667110805</v>
      </c>
      <c r="Z110" s="50">
        <f t="shared" si="18"/>
        <v>3.8579486949156889</v>
      </c>
      <c r="AA110" s="50">
        <f t="shared" si="19"/>
        <v>7.7861833455676335</v>
      </c>
      <c r="AB110" s="50">
        <v>61120000</v>
      </c>
    </row>
    <row r="111" spans="1:28" x14ac:dyDescent="0.35">
      <c r="A111" s="67" t="s">
        <v>45</v>
      </c>
      <c r="B111" s="52">
        <v>-1</v>
      </c>
      <c r="C111" s="50">
        <f t="shared" si="11"/>
        <v>-1</v>
      </c>
      <c r="D111" s="52">
        <v>4.1753424657534248</v>
      </c>
      <c r="E111" s="52">
        <v>5441.73</v>
      </c>
      <c r="F111" s="50">
        <f t="shared" si="12"/>
        <v>3.735736989773935</v>
      </c>
      <c r="G111" s="52">
        <v>51</v>
      </c>
      <c r="H111" s="50">
        <f t="shared" si="13"/>
        <v>1.7075701760979363</v>
      </c>
      <c r="I111" s="65">
        <v>2.81</v>
      </c>
      <c r="J111" s="71">
        <f t="shared" si="14"/>
        <v>2.0997957012455433</v>
      </c>
      <c r="K111" s="53">
        <v>125.833333333333</v>
      </c>
      <c r="L111" s="54">
        <v>-7.0000000000000007E-2</v>
      </c>
      <c r="M111" s="60">
        <f t="shared" si="15"/>
        <v>-3.1517051446064911E-2</v>
      </c>
      <c r="N111" s="62">
        <f t="shared" si="16"/>
        <v>0.6020599913279624</v>
      </c>
      <c r="O111" s="52">
        <v>4</v>
      </c>
      <c r="P111" s="52">
        <f t="shared" si="10"/>
        <v>1</v>
      </c>
      <c r="Q111" s="52">
        <v>70</v>
      </c>
      <c r="R111" s="52">
        <v>70</v>
      </c>
      <c r="S111" s="52">
        <v>91.4</v>
      </c>
      <c r="T111" s="55">
        <v>26.7</v>
      </c>
      <c r="U111" s="56">
        <v>37.425715444240403</v>
      </c>
      <c r="V111" s="52">
        <v>2445.7102171591318</v>
      </c>
      <c r="W111" s="50">
        <f t="shared" si="17"/>
        <v>3.3884049978579722</v>
      </c>
      <c r="X111" s="57">
        <v>2</v>
      </c>
      <c r="Y111" s="52">
        <v>7210.2229667110805</v>
      </c>
      <c r="Z111" s="50">
        <f t="shared" si="18"/>
        <v>3.8579486949156889</v>
      </c>
      <c r="AA111" s="50">
        <f t="shared" si="19"/>
        <v>8.653212513775344</v>
      </c>
      <c r="AB111" s="52">
        <v>450000000</v>
      </c>
    </row>
    <row r="112" spans="1:28" x14ac:dyDescent="0.35">
      <c r="A112" s="49" t="s">
        <v>45</v>
      </c>
      <c r="B112" s="50">
        <v>0.12548076923076934</v>
      </c>
      <c r="C112" s="50">
        <f t="shared" si="11"/>
        <v>5.1338078733862841E-2</v>
      </c>
      <c r="D112" s="50">
        <v>7.0301369863013701</v>
      </c>
      <c r="E112" s="50">
        <v>0</v>
      </c>
      <c r="F112" s="50">
        <f t="shared" si="12"/>
        <v>0</v>
      </c>
      <c r="G112" s="50">
        <v>0</v>
      </c>
      <c r="H112" s="50">
        <f t="shared" si="13"/>
        <v>0</v>
      </c>
      <c r="I112" s="59">
        <v>2.81</v>
      </c>
      <c r="J112" s="71">
        <f t="shared" si="14"/>
        <v>2.0997957012455433</v>
      </c>
      <c r="K112" s="60">
        <v>125.833333333333</v>
      </c>
      <c r="L112" s="61">
        <v>0.14000000000000001</v>
      </c>
      <c r="M112" s="60">
        <f t="shared" si="15"/>
        <v>5.6904851336472641E-2</v>
      </c>
      <c r="N112" s="62">
        <f t="shared" si="16"/>
        <v>0.3010299956639812</v>
      </c>
      <c r="O112" s="50">
        <v>2</v>
      </c>
      <c r="P112" s="50">
        <f t="shared" si="10"/>
        <v>0</v>
      </c>
      <c r="Q112" s="50">
        <v>70</v>
      </c>
      <c r="R112" s="50">
        <v>70</v>
      </c>
      <c r="S112" s="50">
        <v>85</v>
      </c>
      <c r="T112" s="62">
        <v>25.9</v>
      </c>
      <c r="U112" s="63">
        <v>36.959146749272797</v>
      </c>
      <c r="V112" s="50">
        <v>2445.7102171591318</v>
      </c>
      <c r="W112" s="50">
        <f t="shared" si="17"/>
        <v>3.3884049978579722</v>
      </c>
      <c r="X112" s="64">
        <v>2</v>
      </c>
      <c r="Y112" s="50">
        <v>7210.2229667110805</v>
      </c>
      <c r="Z112" s="50">
        <f t="shared" si="18"/>
        <v>3.8579486949156889</v>
      </c>
      <c r="AA112" s="50">
        <f t="shared" si="19"/>
        <v>8.7160033436347994</v>
      </c>
      <c r="AB112" s="50">
        <v>520000000</v>
      </c>
    </row>
    <row r="113" spans="1:28" x14ac:dyDescent="0.35">
      <c r="A113" s="67" t="s">
        <v>45</v>
      </c>
      <c r="B113" s="52">
        <v>4.407354001441961</v>
      </c>
      <c r="C113" s="50">
        <f t="shared" si="11"/>
        <v>0.73298480231841523</v>
      </c>
      <c r="D113" s="52">
        <v>4.0465753424657533</v>
      </c>
      <c r="E113" s="52">
        <v>5441.73</v>
      </c>
      <c r="F113" s="50">
        <f t="shared" si="12"/>
        <v>3.735736989773935</v>
      </c>
      <c r="G113" s="52">
        <v>19</v>
      </c>
      <c r="H113" s="50">
        <f t="shared" si="13"/>
        <v>1.2787536009528289</v>
      </c>
      <c r="I113" s="65">
        <v>2.81</v>
      </c>
      <c r="J113" s="71">
        <f t="shared" si="14"/>
        <v>2.0997957012455433</v>
      </c>
      <c r="K113" s="53">
        <v>125.833333333333</v>
      </c>
      <c r="L113" s="54">
        <v>0.16</v>
      </c>
      <c r="M113" s="60">
        <f t="shared" si="15"/>
        <v>6.445798922691845E-2</v>
      </c>
      <c r="N113" s="62">
        <f t="shared" si="16"/>
        <v>0</v>
      </c>
      <c r="O113" s="52">
        <v>0</v>
      </c>
      <c r="P113" s="52">
        <f t="shared" si="10"/>
        <v>1</v>
      </c>
      <c r="Q113" s="52">
        <v>70</v>
      </c>
      <c r="R113" s="52">
        <v>70</v>
      </c>
      <c r="S113" s="52">
        <v>85</v>
      </c>
      <c r="T113" s="55">
        <v>24.9</v>
      </c>
      <c r="U113" s="56">
        <v>36.710134890601303</v>
      </c>
      <c r="V113" s="52">
        <v>2445.7102171591318</v>
      </c>
      <c r="W113" s="50">
        <f t="shared" si="17"/>
        <v>3.3884049978579722</v>
      </c>
      <c r="X113" s="57">
        <v>2</v>
      </c>
      <c r="Y113" s="52">
        <v>7210.2229667110805</v>
      </c>
      <c r="Z113" s="50">
        <f t="shared" si="18"/>
        <v>3.8579486949156889</v>
      </c>
      <c r="AA113" s="50">
        <f t="shared" si="19"/>
        <v>7.7809650296083168</v>
      </c>
      <c r="AB113" s="52">
        <v>60390000</v>
      </c>
    </row>
    <row r="114" spans="1:28" x14ac:dyDescent="0.35">
      <c r="A114" s="49" t="s">
        <v>45</v>
      </c>
      <c r="B114" s="50">
        <v>0.34110787172011658</v>
      </c>
      <c r="C114" s="50">
        <f t="shared" si="11"/>
        <v>0.12746371163880357</v>
      </c>
      <c r="D114" s="50">
        <v>3.2630136986301368</v>
      </c>
      <c r="E114" s="50">
        <v>5441.73</v>
      </c>
      <c r="F114" s="50">
        <f t="shared" si="12"/>
        <v>3.735736989773935</v>
      </c>
      <c r="G114" s="50">
        <v>1</v>
      </c>
      <c r="H114" s="50">
        <f t="shared" si="13"/>
        <v>0</v>
      </c>
      <c r="I114" s="59">
        <v>2.81</v>
      </c>
      <c r="J114" s="71">
        <f t="shared" si="14"/>
        <v>2.0997957012455433</v>
      </c>
      <c r="K114" s="60">
        <v>125.833333333333</v>
      </c>
      <c r="L114" s="61">
        <v>-0.1</v>
      </c>
      <c r="M114" s="60">
        <f t="shared" si="15"/>
        <v>-4.5757490560675115E-2</v>
      </c>
      <c r="N114" s="62">
        <f t="shared" si="16"/>
        <v>0</v>
      </c>
      <c r="O114" s="50">
        <v>0</v>
      </c>
      <c r="P114" s="50">
        <f t="shared" si="10"/>
        <v>1</v>
      </c>
      <c r="Q114" s="50">
        <v>70</v>
      </c>
      <c r="R114" s="50">
        <v>70</v>
      </c>
      <c r="S114" s="50">
        <v>85</v>
      </c>
      <c r="T114" s="62">
        <v>27.2</v>
      </c>
      <c r="U114" s="63">
        <v>35.608384832026097</v>
      </c>
      <c r="V114" s="50">
        <v>2445.7102171591318</v>
      </c>
      <c r="W114" s="50">
        <f t="shared" si="17"/>
        <v>3.3884049978579722</v>
      </c>
      <c r="X114" s="64">
        <v>2</v>
      </c>
      <c r="Y114" s="50">
        <v>7210.2229667110805</v>
      </c>
      <c r="Z114" s="50">
        <f t="shared" si="18"/>
        <v>3.8579486949156889</v>
      </c>
      <c r="AA114" s="50">
        <f t="shared" si="19"/>
        <v>9.1373541113707333</v>
      </c>
      <c r="AB114" s="50">
        <v>1372000000</v>
      </c>
    </row>
    <row r="115" spans="1:28" x14ac:dyDescent="0.35">
      <c r="A115" s="67" t="s">
        <v>45</v>
      </c>
      <c r="B115" s="52">
        <v>1.4207333333333332</v>
      </c>
      <c r="C115" s="50">
        <f t="shared" si="11"/>
        <v>0.38394695043285532</v>
      </c>
      <c r="D115" s="52">
        <v>3.2630136986301368</v>
      </c>
      <c r="E115" s="52">
        <v>5441.73</v>
      </c>
      <c r="F115" s="50">
        <f t="shared" si="12"/>
        <v>3.735736989773935</v>
      </c>
      <c r="G115" s="52">
        <v>108</v>
      </c>
      <c r="H115" s="50">
        <f t="shared" si="13"/>
        <v>2.0334237554869499</v>
      </c>
      <c r="I115" s="65">
        <v>2.81</v>
      </c>
      <c r="J115" s="71">
        <f t="shared" si="14"/>
        <v>2.0997957012455433</v>
      </c>
      <c r="K115" s="53">
        <v>125.833333333333</v>
      </c>
      <c r="L115" s="54">
        <v>-0.14000000000000001</v>
      </c>
      <c r="M115" s="60">
        <f t="shared" si="15"/>
        <v>-6.5501548756432285E-2</v>
      </c>
      <c r="N115" s="62">
        <f t="shared" si="16"/>
        <v>0</v>
      </c>
      <c r="O115" s="52">
        <v>0</v>
      </c>
      <c r="P115" s="52">
        <f t="shared" si="10"/>
        <v>1</v>
      </c>
      <c r="Q115" s="52">
        <v>70</v>
      </c>
      <c r="R115" s="52">
        <v>70</v>
      </c>
      <c r="S115" s="52">
        <v>85</v>
      </c>
      <c r="T115" s="55">
        <v>28.2</v>
      </c>
      <c r="U115" s="56">
        <v>34.298950279384798</v>
      </c>
      <c r="V115" s="52">
        <v>2445.7102171591318</v>
      </c>
      <c r="W115" s="50">
        <f t="shared" si="17"/>
        <v>3.3884049978579722</v>
      </c>
      <c r="X115" s="57">
        <v>2</v>
      </c>
      <c r="Y115" s="52">
        <v>7210.2229667110805</v>
      </c>
      <c r="Z115" s="50">
        <f t="shared" si="18"/>
        <v>3.8579486949156889</v>
      </c>
      <c r="AA115" s="50">
        <f t="shared" si="19"/>
        <v>8.1760912590556813</v>
      </c>
      <c r="AB115" s="52">
        <v>150000000</v>
      </c>
    </row>
    <row r="116" spans="1:28" x14ac:dyDescent="0.35">
      <c r="A116" s="49" t="s">
        <v>45</v>
      </c>
      <c r="B116" s="50">
        <v>1.6449275362318843</v>
      </c>
      <c r="C116" s="50">
        <f t="shared" si="11"/>
        <v>0.42241377805523822</v>
      </c>
      <c r="D116" s="50">
        <v>3.871232876712329</v>
      </c>
      <c r="E116" s="50">
        <v>5897.96</v>
      </c>
      <c r="F116" s="50">
        <f t="shared" si="12"/>
        <v>3.7707018228379927</v>
      </c>
      <c r="G116" s="50">
        <v>31</v>
      </c>
      <c r="H116" s="50">
        <f t="shared" si="13"/>
        <v>1.4913616938342726</v>
      </c>
      <c r="I116" s="59">
        <v>2.3199999999999998</v>
      </c>
      <c r="J116" s="71">
        <f t="shared" si="14"/>
        <v>2.12057393120585</v>
      </c>
      <c r="K116" s="60">
        <v>132</v>
      </c>
      <c r="L116" s="61">
        <v>0.52</v>
      </c>
      <c r="M116" s="60">
        <f t="shared" si="15"/>
        <v>0.18184358794477254</v>
      </c>
      <c r="N116" s="62">
        <f t="shared" si="16"/>
        <v>1.4913616938342726</v>
      </c>
      <c r="O116" s="50">
        <v>31</v>
      </c>
      <c r="P116" s="50">
        <f t="shared" si="10"/>
        <v>1</v>
      </c>
      <c r="Q116" s="50">
        <v>70</v>
      </c>
      <c r="R116" s="50">
        <v>70</v>
      </c>
      <c r="S116" s="50">
        <v>90.5</v>
      </c>
      <c r="T116" s="62">
        <v>25.7</v>
      </c>
      <c r="U116" s="63">
        <v>39.010023979360902</v>
      </c>
      <c r="V116" s="50">
        <v>2777.7777777777774</v>
      </c>
      <c r="W116" s="50">
        <f t="shared" si="17"/>
        <v>3.4436974992327127</v>
      </c>
      <c r="X116" s="64">
        <v>2</v>
      </c>
      <c r="Y116" s="50">
        <v>7222.2222222222235</v>
      </c>
      <c r="Z116" s="50">
        <f t="shared" si="18"/>
        <v>3.8586708472035309</v>
      </c>
      <c r="AA116" s="50">
        <f t="shared" si="19"/>
        <v>8.1398790864012369</v>
      </c>
      <c r="AB116" s="50">
        <v>138000000</v>
      </c>
    </row>
    <row r="117" spans="1:28" x14ac:dyDescent="0.35">
      <c r="A117" s="67" t="s">
        <v>45</v>
      </c>
      <c r="B117" s="52">
        <v>2.5449438202247192</v>
      </c>
      <c r="C117" s="50">
        <f t="shared" si="11"/>
        <v>0.54960935693524038</v>
      </c>
      <c r="D117" s="52">
        <v>3.1917808219178081</v>
      </c>
      <c r="E117" s="52">
        <v>5897.96</v>
      </c>
      <c r="F117" s="50">
        <f t="shared" si="12"/>
        <v>3.7707018228379927</v>
      </c>
      <c r="G117" s="52">
        <v>8</v>
      </c>
      <c r="H117" s="50">
        <f t="shared" si="13"/>
        <v>0.90308998699194354</v>
      </c>
      <c r="I117" s="65">
        <v>2.3199999999999998</v>
      </c>
      <c r="J117" s="71">
        <f t="shared" si="14"/>
        <v>2.12057393120585</v>
      </c>
      <c r="K117" s="53">
        <v>132</v>
      </c>
      <c r="L117" s="54">
        <v>-0.1</v>
      </c>
      <c r="M117" s="60">
        <f t="shared" si="15"/>
        <v>-4.5757490560675115E-2</v>
      </c>
      <c r="N117" s="62">
        <f t="shared" si="16"/>
        <v>1.3617278360175928</v>
      </c>
      <c r="O117" s="52">
        <v>23</v>
      </c>
      <c r="P117" s="52">
        <f t="shared" si="10"/>
        <v>1</v>
      </c>
      <c r="Q117" s="52">
        <v>70</v>
      </c>
      <c r="R117" s="52">
        <v>70</v>
      </c>
      <c r="S117" s="52">
        <v>85</v>
      </c>
      <c r="T117" s="55">
        <v>25.9</v>
      </c>
      <c r="U117" s="56">
        <v>36.959146749272797</v>
      </c>
      <c r="V117" s="52">
        <v>2777.7777777777774</v>
      </c>
      <c r="W117" s="50">
        <f t="shared" si="17"/>
        <v>3.4436974992327127</v>
      </c>
      <c r="X117" s="57">
        <v>2</v>
      </c>
      <c r="Y117" s="52">
        <v>7222.2222222222235</v>
      </c>
      <c r="Z117" s="50">
        <f t="shared" si="18"/>
        <v>3.8586708472035309</v>
      </c>
      <c r="AA117" s="50">
        <f t="shared" si="19"/>
        <v>7.2504200023088936</v>
      </c>
      <c r="AB117" s="52">
        <v>17800000</v>
      </c>
    </row>
    <row r="118" spans="1:28" x14ac:dyDescent="0.35">
      <c r="A118" s="49" t="s">
        <v>45</v>
      </c>
      <c r="B118" s="50">
        <v>0.10000000000000009</v>
      </c>
      <c r="C118" s="50">
        <f t="shared" si="11"/>
        <v>4.1392685158225077E-2</v>
      </c>
      <c r="D118" s="50">
        <v>5.8493150684931505</v>
      </c>
      <c r="E118" s="50">
        <v>5897.96</v>
      </c>
      <c r="F118" s="50">
        <f t="shared" si="12"/>
        <v>3.7707018228379927</v>
      </c>
      <c r="G118" s="50">
        <v>11</v>
      </c>
      <c r="H118" s="50">
        <f t="shared" si="13"/>
        <v>1.0413926851582251</v>
      </c>
      <c r="I118" s="59">
        <v>2.3199999999999998</v>
      </c>
      <c r="J118" s="71">
        <f t="shared" si="14"/>
        <v>2.12057393120585</v>
      </c>
      <c r="K118" s="60">
        <v>132</v>
      </c>
      <c r="L118" s="61">
        <v>0.77</v>
      </c>
      <c r="M118" s="60">
        <f t="shared" si="15"/>
        <v>0.24797326636180664</v>
      </c>
      <c r="N118" s="62">
        <f t="shared" si="16"/>
        <v>0.77815125038364363</v>
      </c>
      <c r="O118" s="50">
        <v>6</v>
      </c>
      <c r="P118" s="50">
        <f t="shared" si="10"/>
        <v>1</v>
      </c>
      <c r="Q118" s="50">
        <v>70</v>
      </c>
      <c r="R118" s="50">
        <v>70</v>
      </c>
      <c r="S118" s="50">
        <v>91.3</v>
      </c>
      <c r="T118" s="62">
        <v>23.5</v>
      </c>
      <c r="U118" s="63">
        <v>43.1672842383418</v>
      </c>
      <c r="V118" s="50">
        <v>1313.9047790640061</v>
      </c>
      <c r="W118" s="50">
        <f t="shared" si="17"/>
        <v>3.1185638922971846</v>
      </c>
      <c r="X118" s="64">
        <v>2</v>
      </c>
      <c r="Y118" s="50">
        <v>3042.6557362280973</v>
      </c>
      <c r="Z118" s="50">
        <f t="shared" si="18"/>
        <v>3.4832528165335011</v>
      </c>
      <c r="AA118" s="50">
        <f t="shared" si="19"/>
        <v>8.3979400086720375</v>
      </c>
      <c r="AB118" s="50">
        <v>250000000</v>
      </c>
    </row>
    <row r="119" spans="1:28" x14ac:dyDescent="0.35">
      <c r="A119" s="67" t="s">
        <v>45</v>
      </c>
      <c r="B119" s="52">
        <v>-0.12470588235294122</v>
      </c>
      <c r="C119" s="50">
        <f t="shared" si="11"/>
        <v>-5.7845990168414053E-2</v>
      </c>
      <c r="D119" s="52">
        <v>4.2712328767123289</v>
      </c>
      <c r="E119" s="52">
        <v>0</v>
      </c>
      <c r="F119" s="50">
        <f t="shared" si="12"/>
        <v>0</v>
      </c>
      <c r="G119" s="52">
        <v>0</v>
      </c>
      <c r="H119" s="50">
        <f t="shared" si="13"/>
        <v>0</v>
      </c>
      <c r="I119" s="65">
        <v>2.95</v>
      </c>
      <c r="J119" s="71">
        <f t="shared" si="14"/>
        <v>0</v>
      </c>
      <c r="K119" s="53">
        <v>0</v>
      </c>
      <c r="L119" s="54">
        <v>-0.02</v>
      </c>
      <c r="M119" s="60">
        <f t="shared" si="15"/>
        <v>-8.7739243075051505E-3</v>
      </c>
      <c r="N119" s="62">
        <f t="shared" si="16"/>
        <v>0.47712125471966244</v>
      </c>
      <c r="O119" s="52">
        <v>3</v>
      </c>
      <c r="P119" s="52">
        <f t="shared" si="10"/>
        <v>0</v>
      </c>
      <c r="Q119" s="52">
        <v>70</v>
      </c>
      <c r="R119" s="52">
        <v>70</v>
      </c>
      <c r="S119" s="52">
        <v>92.6</v>
      </c>
      <c r="T119" s="55">
        <v>25.7</v>
      </c>
      <c r="U119" s="56">
        <v>39.823361151429197</v>
      </c>
      <c r="V119" s="52">
        <v>2229.0809327846364</v>
      </c>
      <c r="W119" s="50">
        <f t="shared" si="17"/>
        <v>3.3481258369969185</v>
      </c>
      <c r="X119" s="57">
        <v>4</v>
      </c>
      <c r="Y119" s="52">
        <v>7475.9945130315509</v>
      </c>
      <c r="Z119" s="50">
        <f t="shared" si="18"/>
        <v>3.8736689739586678</v>
      </c>
      <c r="AA119" s="50">
        <f t="shared" si="19"/>
        <v>8.6283889300503116</v>
      </c>
      <c r="AB119" s="52">
        <v>425000000</v>
      </c>
    </row>
    <row r="120" spans="1:28" x14ac:dyDescent="0.35">
      <c r="A120" s="49" t="s">
        <v>45</v>
      </c>
      <c r="B120" s="50">
        <v>0.66666666666666674</v>
      </c>
      <c r="C120" s="50">
        <f t="shared" si="11"/>
        <v>0.22184874961635639</v>
      </c>
      <c r="D120" s="50">
        <v>4.8082191780821919</v>
      </c>
      <c r="E120" s="50">
        <v>0</v>
      </c>
      <c r="F120" s="50">
        <f t="shared" si="12"/>
        <v>0</v>
      </c>
      <c r="G120" s="50">
        <v>60</v>
      </c>
      <c r="H120" s="50">
        <f t="shared" si="13"/>
        <v>1.7781512503836436</v>
      </c>
      <c r="I120" s="59">
        <v>2.95</v>
      </c>
      <c r="J120" s="71">
        <f t="shared" si="14"/>
        <v>0</v>
      </c>
      <c r="K120" s="60">
        <v>0</v>
      </c>
      <c r="L120" s="61">
        <v>-0.09</v>
      </c>
      <c r="M120" s="60">
        <f t="shared" si="15"/>
        <v>-4.0958607678906384E-2</v>
      </c>
      <c r="N120" s="62">
        <f t="shared" si="16"/>
        <v>0.3010299956639812</v>
      </c>
      <c r="O120" s="50">
        <v>2</v>
      </c>
      <c r="P120" s="50">
        <f t="shared" si="10"/>
        <v>0</v>
      </c>
      <c r="Q120" s="50">
        <v>70</v>
      </c>
      <c r="R120" s="50">
        <v>70</v>
      </c>
      <c r="S120" s="50">
        <v>91.4</v>
      </c>
      <c r="T120" s="62">
        <v>26.7</v>
      </c>
      <c r="U120" s="63">
        <v>37.425715444240403</v>
      </c>
      <c r="V120" s="50">
        <v>2229.0809327846364</v>
      </c>
      <c r="W120" s="50">
        <f t="shared" si="17"/>
        <v>3.3481258369969185</v>
      </c>
      <c r="X120" s="64">
        <v>4</v>
      </c>
      <c r="Y120" s="50">
        <v>7475.9945130315509</v>
      </c>
      <c r="Z120" s="50">
        <f t="shared" si="18"/>
        <v>3.8736689739586678</v>
      </c>
      <c r="AA120" s="50">
        <f t="shared" si="19"/>
        <v>8.3222192947339195</v>
      </c>
      <c r="AB120" s="50">
        <v>210000000</v>
      </c>
    </row>
    <row r="121" spans="1:28" x14ac:dyDescent="0.35">
      <c r="A121" s="67" t="s">
        <v>45</v>
      </c>
      <c r="B121" s="52">
        <v>2.7</v>
      </c>
      <c r="C121" s="50">
        <f t="shared" si="11"/>
        <v>0.56820172406699498</v>
      </c>
      <c r="D121" s="52">
        <v>2.6136986301369864</v>
      </c>
      <c r="E121" s="52">
        <v>0</v>
      </c>
      <c r="F121" s="50">
        <f t="shared" si="12"/>
        <v>0</v>
      </c>
      <c r="G121" s="52">
        <v>3</v>
      </c>
      <c r="H121" s="50">
        <f t="shared" si="13"/>
        <v>0.47712125471966244</v>
      </c>
      <c r="I121" s="65">
        <v>2.95</v>
      </c>
      <c r="J121" s="71">
        <f t="shared" si="14"/>
        <v>0</v>
      </c>
      <c r="K121" s="53">
        <v>0</v>
      </c>
      <c r="L121" s="54">
        <v>-0.33</v>
      </c>
      <c r="M121" s="60">
        <f t="shared" si="15"/>
        <v>-0.17392519729917361</v>
      </c>
      <c r="N121" s="62">
        <f t="shared" si="16"/>
        <v>0</v>
      </c>
      <c r="O121" s="52">
        <v>1</v>
      </c>
      <c r="P121" s="52">
        <f t="shared" si="10"/>
        <v>0</v>
      </c>
      <c r="Q121" s="52">
        <v>70</v>
      </c>
      <c r="R121" s="52">
        <v>70</v>
      </c>
      <c r="S121" s="52">
        <v>93.2</v>
      </c>
      <c r="T121" s="55">
        <v>26.7</v>
      </c>
      <c r="U121" s="56">
        <v>36.669158714517401</v>
      </c>
      <c r="V121" s="52">
        <v>2229.0809327846364</v>
      </c>
      <c r="W121" s="50">
        <f t="shared" si="17"/>
        <v>3.3481258369969185</v>
      </c>
      <c r="X121" s="57">
        <v>4</v>
      </c>
      <c r="Y121" s="52">
        <v>7475.9945130315509</v>
      </c>
      <c r="Z121" s="50">
        <f t="shared" si="18"/>
        <v>3.8736689739586678</v>
      </c>
      <c r="AA121" s="50">
        <f t="shared" si="19"/>
        <v>7.6989700043360187</v>
      </c>
      <c r="AB121" s="52">
        <v>50000000</v>
      </c>
    </row>
    <row r="122" spans="1:28" x14ac:dyDescent="0.35">
      <c r="A122" s="49" t="s">
        <v>45</v>
      </c>
      <c r="B122" s="50">
        <v>2.360215053763441</v>
      </c>
      <c r="C122" s="50">
        <f t="shared" si="11"/>
        <v>0.52636707312615894</v>
      </c>
      <c r="D122" s="50">
        <v>3.3150684931506849</v>
      </c>
      <c r="E122" s="50">
        <v>6188.89</v>
      </c>
      <c r="F122" s="50">
        <f t="shared" si="12"/>
        <v>3.791612763704681</v>
      </c>
      <c r="G122" s="50">
        <v>8</v>
      </c>
      <c r="H122" s="50">
        <f t="shared" si="13"/>
        <v>0.90308998699194354</v>
      </c>
      <c r="I122" s="59">
        <v>2.72</v>
      </c>
      <c r="J122" s="71">
        <f t="shared" si="14"/>
        <v>3.0351614735017871</v>
      </c>
      <c r="K122" s="60">
        <v>1084.33</v>
      </c>
      <c r="L122" s="61">
        <v>0.3</v>
      </c>
      <c r="M122" s="60">
        <f t="shared" si="15"/>
        <v>0.11394335230683679</v>
      </c>
      <c r="N122" s="62">
        <f t="shared" si="16"/>
        <v>0.95424250943932487</v>
      </c>
      <c r="O122" s="50">
        <v>9</v>
      </c>
      <c r="P122" s="50">
        <f t="shared" si="10"/>
        <v>1</v>
      </c>
      <c r="Q122" s="50">
        <v>70</v>
      </c>
      <c r="R122" s="50">
        <v>70</v>
      </c>
      <c r="S122" s="50">
        <v>89.2</v>
      </c>
      <c r="T122" s="62">
        <v>26</v>
      </c>
      <c r="U122" s="63">
        <v>38.344872802923099</v>
      </c>
      <c r="V122" s="50">
        <v>7345.0955681579517</v>
      </c>
      <c r="W122" s="50">
        <f t="shared" si="17"/>
        <v>3.8659974508347341</v>
      </c>
      <c r="X122" s="64">
        <v>1</v>
      </c>
      <c r="Y122" s="50">
        <v>6765.3854232304138</v>
      </c>
      <c r="Z122" s="50">
        <f t="shared" si="18"/>
        <v>3.8302925433451809</v>
      </c>
      <c r="AA122" s="50">
        <f t="shared" si="19"/>
        <v>7.5705429398818973</v>
      </c>
      <c r="AB122" s="50">
        <v>37200000</v>
      </c>
    </row>
    <row r="123" spans="1:28" x14ac:dyDescent="0.35">
      <c r="A123" s="67" t="s">
        <v>45</v>
      </c>
      <c r="B123" s="52">
        <v>17.419913419913421</v>
      </c>
      <c r="C123" s="50">
        <f t="shared" si="11"/>
        <v>1.2652875845284624</v>
      </c>
      <c r="D123" s="52">
        <v>2.8986301369863012</v>
      </c>
      <c r="E123" s="52">
        <v>5897.96</v>
      </c>
      <c r="F123" s="50">
        <f t="shared" si="12"/>
        <v>3.7707018228379927</v>
      </c>
      <c r="G123" s="52">
        <v>8</v>
      </c>
      <c r="H123" s="50">
        <f t="shared" si="13"/>
        <v>0.90308998699194354</v>
      </c>
      <c r="I123" s="65">
        <v>2.3199999999999998</v>
      </c>
      <c r="J123" s="71">
        <f t="shared" si="14"/>
        <v>2.12057393120585</v>
      </c>
      <c r="K123" s="53">
        <v>132</v>
      </c>
      <c r="L123" s="54">
        <v>0.4</v>
      </c>
      <c r="M123" s="60">
        <f t="shared" si="15"/>
        <v>0.14612803567823801</v>
      </c>
      <c r="N123" s="62">
        <f t="shared" si="16"/>
        <v>1.146128035678238</v>
      </c>
      <c r="O123" s="52">
        <v>14</v>
      </c>
      <c r="P123" s="52">
        <f t="shared" si="10"/>
        <v>1</v>
      </c>
      <c r="Q123" s="52">
        <v>70</v>
      </c>
      <c r="R123" s="52">
        <v>70</v>
      </c>
      <c r="S123" s="52">
        <v>91</v>
      </c>
      <c r="T123" s="55">
        <v>23.9</v>
      </c>
      <c r="U123" s="56">
        <v>42.048698215007001</v>
      </c>
      <c r="V123" s="52">
        <v>4375.8573388203013</v>
      </c>
      <c r="W123" s="50">
        <f t="shared" si="17"/>
        <v>3.6410631547392063</v>
      </c>
      <c r="X123" s="57">
        <v>2</v>
      </c>
      <c r="Y123" s="52">
        <v>5027.4348422496569</v>
      </c>
      <c r="Z123" s="50">
        <f t="shared" si="18"/>
        <v>3.7013464506591722</v>
      </c>
      <c r="AA123" s="50">
        <f t="shared" si="19"/>
        <v>7.1417632302757879</v>
      </c>
      <c r="AB123" s="52">
        <v>13860000</v>
      </c>
    </row>
    <row r="124" spans="1:28" x14ac:dyDescent="0.35">
      <c r="A124" s="49" t="s">
        <v>45</v>
      </c>
      <c r="B124" s="50">
        <v>19.583982605544481</v>
      </c>
      <c r="C124" s="50">
        <f t="shared" si="11"/>
        <v>1.3135294062027159</v>
      </c>
      <c r="D124" s="50">
        <v>7.7890410958904113</v>
      </c>
      <c r="E124" s="50">
        <v>5897.96</v>
      </c>
      <c r="F124" s="50">
        <f t="shared" si="12"/>
        <v>3.7707018228379927</v>
      </c>
      <c r="G124" s="50">
        <v>8</v>
      </c>
      <c r="H124" s="50">
        <f t="shared" si="13"/>
        <v>0.90308998699194354</v>
      </c>
      <c r="I124" s="59">
        <v>2.3199999999999998</v>
      </c>
      <c r="J124" s="71">
        <f t="shared" si="14"/>
        <v>2.12057393120585</v>
      </c>
      <c r="K124" s="60">
        <v>132</v>
      </c>
      <c r="L124" s="61">
        <v>1.18</v>
      </c>
      <c r="M124" s="60">
        <f t="shared" si="15"/>
        <v>0.33845649360460478</v>
      </c>
      <c r="N124" s="62">
        <f t="shared" si="16"/>
        <v>1.0413926851582251</v>
      </c>
      <c r="O124" s="50">
        <v>11</v>
      </c>
      <c r="P124" s="50">
        <f t="shared" si="10"/>
        <v>1</v>
      </c>
      <c r="Q124" s="50">
        <v>70</v>
      </c>
      <c r="R124" s="50">
        <v>70</v>
      </c>
      <c r="S124" s="50">
        <v>92.6</v>
      </c>
      <c r="T124" s="62">
        <v>25.7</v>
      </c>
      <c r="U124" s="63">
        <v>39.823361151429197</v>
      </c>
      <c r="V124" s="50">
        <v>4375.8573388203013</v>
      </c>
      <c r="W124" s="50">
        <f t="shared" si="17"/>
        <v>3.6410631547392063</v>
      </c>
      <c r="X124" s="64">
        <v>2</v>
      </c>
      <c r="Y124" s="50">
        <v>5027.4348422496569</v>
      </c>
      <c r="Z124" s="50">
        <f t="shared" si="18"/>
        <v>3.7013464506591722</v>
      </c>
      <c r="AA124" s="50">
        <f t="shared" si="19"/>
        <v>6.7418603940652639</v>
      </c>
      <c r="AB124" s="50">
        <v>5519000</v>
      </c>
    </row>
    <row r="125" spans="1:28" x14ac:dyDescent="0.35">
      <c r="A125" s="67" t="s">
        <v>45</v>
      </c>
      <c r="B125" s="52">
        <v>1.8888888888888888</v>
      </c>
      <c r="C125" s="50">
        <f t="shared" si="11"/>
        <v>0.4607308385314931</v>
      </c>
      <c r="D125" s="52">
        <v>2.3808219178082193</v>
      </c>
      <c r="E125" s="52">
        <v>5897.96</v>
      </c>
      <c r="F125" s="50">
        <f t="shared" si="12"/>
        <v>3.7707018228379927</v>
      </c>
      <c r="G125" s="52">
        <v>2</v>
      </c>
      <c r="H125" s="50">
        <f t="shared" si="13"/>
        <v>0.3010299956639812</v>
      </c>
      <c r="I125" s="65">
        <v>2.3199999999999998</v>
      </c>
      <c r="J125" s="71">
        <f t="shared" si="14"/>
        <v>2.12057393120585</v>
      </c>
      <c r="K125" s="53">
        <v>132</v>
      </c>
      <c r="L125" s="54">
        <v>0.23</v>
      </c>
      <c r="M125" s="60">
        <f t="shared" si="15"/>
        <v>8.9905111439397931E-2</v>
      </c>
      <c r="N125" s="62">
        <f t="shared" si="16"/>
        <v>0.77815125038364363</v>
      </c>
      <c r="O125" s="52">
        <v>6</v>
      </c>
      <c r="P125" s="52">
        <f t="shared" si="10"/>
        <v>1</v>
      </c>
      <c r="Q125" s="52">
        <v>70</v>
      </c>
      <c r="R125" s="52">
        <v>70</v>
      </c>
      <c r="S125" s="52">
        <v>85</v>
      </c>
      <c r="T125" s="55">
        <v>24.4</v>
      </c>
      <c r="U125" s="56">
        <v>37.256914365427299</v>
      </c>
      <c r="V125" s="52">
        <v>4375.8573388203013</v>
      </c>
      <c r="W125" s="50">
        <f t="shared" si="17"/>
        <v>3.6410631547392063</v>
      </c>
      <c r="X125" s="57">
        <v>2</v>
      </c>
      <c r="Y125" s="52">
        <v>5027.4348422496596</v>
      </c>
      <c r="Z125" s="50">
        <f t="shared" si="18"/>
        <v>3.7013464506591722</v>
      </c>
      <c r="AA125" s="50">
        <f t="shared" si="19"/>
        <v>7.1303337684950066</v>
      </c>
      <c r="AB125" s="52">
        <v>13500000</v>
      </c>
    </row>
    <row r="126" spans="1:28" x14ac:dyDescent="0.35">
      <c r="A126" s="49" t="s">
        <v>45</v>
      </c>
      <c r="B126" s="50">
        <v>-1</v>
      </c>
      <c r="C126" s="50">
        <f t="shared" si="11"/>
        <v>-1</v>
      </c>
      <c r="D126" s="50">
        <v>4.161643835616438</v>
      </c>
      <c r="E126" s="50">
        <v>0</v>
      </c>
      <c r="F126" s="50">
        <f t="shared" si="12"/>
        <v>0</v>
      </c>
      <c r="G126" s="50">
        <v>46</v>
      </c>
      <c r="H126" s="50">
        <f t="shared" si="13"/>
        <v>1.6627578316815741</v>
      </c>
      <c r="I126" s="59">
        <v>2.95</v>
      </c>
      <c r="J126" s="71">
        <f t="shared" si="14"/>
        <v>0</v>
      </c>
      <c r="K126" s="60">
        <v>0</v>
      </c>
      <c r="L126" s="61">
        <v>-0.1</v>
      </c>
      <c r="M126" s="60">
        <f t="shared" si="15"/>
        <v>-4.5757490560675115E-2</v>
      </c>
      <c r="N126" s="62">
        <f t="shared" si="16"/>
        <v>0</v>
      </c>
      <c r="O126" s="50">
        <v>1</v>
      </c>
      <c r="P126" s="50">
        <f t="shared" si="10"/>
        <v>0</v>
      </c>
      <c r="Q126" s="50">
        <v>70</v>
      </c>
      <c r="R126" s="50">
        <v>70</v>
      </c>
      <c r="S126" s="50">
        <v>93.2</v>
      </c>
      <c r="T126" s="62">
        <v>26.7</v>
      </c>
      <c r="U126" s="63">
        <v>36.669158714517401</v>
      </c>
      <c r="V126" s="50">
        <v>2229.0809327846364</v>
      </c>
      <c r="W126" s="50">
        <f t="shared" si="17"/>
        <v>3.3481258369969185</v>
      </c>
      <c r="X126" s="64">
        <v>2</v>
      </c>
      <c r="Y126" s="50">
        <v>7475.9945130315509</v>
      </c>
      <c r="Z126" s="50">
        <f t="shared" si="18"/>
        <v>3.8736689739586678</v>
      </c>
      <c r="AA126" s="50">
        <f t="shared" si="19"/>
        <v>8.1139433523068369</v>
      </c>
      <c r="AB126" s="50">
        <v>130000000</v>
      </c>
    </row>
    <row r="127" spans="1:28" x14ac:dyDescent="0.35">
      <c r="A127" s="67" t="s">
        <v>45</v>
      </c>
      <c r="B127" s="52">
        <v>0.35270585522055753</v>
      </c>
      <c r="C127" s="50">
        <f t="shared" si="11"/>
        <v>0.13120336988464582</v>
      </c>
      <c r="D127" s="52">
        <v>9.6465753424657539</v>
      </c>
      <c r="E127" s="52">
        <v>0</v>
      </c>
      <c r="F127" s="50">
        <f t="shared" si="12"/>
        <v>0</v>
      </c>
      <c r="G127" s="52">
        <v>153</v>
      </c>
      <c r="H127" s="50">
        <f t="shared" si="13"/>
        <v>2.1846914308175989</v>
      </c>
      <c r="I127" s="65">
        <v>2.95</v>
      </c>
      <c r="J127" s="71">
        <f t="shared" si="14"/>
        <v>0</v>
      </c>
      <c r="K127" s="53">
        <v>0</v>
      </c>
      <c r="L127" s="54">
        <v>0.45</v>
      </c>
      <c r="M127" s="60">
        <f t="shared" si="15"/>
        <v>0.16136800223497488</v>
      </c>
      <c r="N127" s="62">
        <f t="shared" si="16"/>
        <v>1.2304489213782739</v>
      </c>
      <c r="O127" s="52">
        <v>17</v>
      </c>
      <c r="P127" s="52">
        <f t="shared" si="10"/>
        <v>0</v>
      </c>
      <c r="Q127" s="52">
        <v>70</v>
      </c>
      <c r="R127" s="52">
        <v>70</v>
      </c>
      <c r="S127" s="52">
        <v>85</v>
      </c>
      <c r="T127" s="55">
        <v>24.9</v>
      </c>
      <c r="U127" s="56">
        <v>36.710134890601303</v>
      </c>
      <c r="V127" s="52">
        <v>2908.587257617728</v>
      </c>
      <c r="W127" s="50">
        <f t="shared" si="17"/>
        <v>3.4636820971642801</v>
      </c>
      <c r="X127" s="57">
        <v>2</v>
      </c>
      <c r="Y127" s="52">
        <v>4681.440443213296</v>
      </c>
      <c r="Z127" s="50">
        <f t="shared" si="18"/>
        <v>3.6703795027080157</v>
      </c>
      <c r="AA127" s="50">
        <f t="shared" si="19"/>
        <v>9.052066473798158</v>
      </c>
      <c r="AB127" s="52">
        <v>1127370000</v>
      </c>
    </row>
    <row r="128" spans="1:28" x14ac:dyDescent="0.35">
      <c r="A128" s="49" t="s">
        <v>45</v>
      </c>
      <c r="B128" s="50">
        <v>0.57160736635079568</v>
      </c>
      <c r="C128" s="50">
        <f t="shared" si="11"/>
        <v>0.19634405574552369</v>
      </c>
      <c r="D128" s="50">
        <v>4.5342465753424657</v>
      </c>
      <c r="E128" s="50">
        <v>0</v>
      </c>
      <c r="F128" s="50">
        <f t="shared" si="12"/>
        <v>0</v>
      </c>
      <c r="G128" s="50">
        <v>54</v>
      </c>
      <c r="H128" s="50">
        <f t="shared" si="13"/>
        <v>1.7323937598229686</v>
      </c>
      <c r="I128" s="59">
        <v>2.95</v>
      </c>
      <c r="J128" s="71">
        <f t="shared" si="14"/>
        <v>0</v>
      </c>
      <c r="K128" s="60">
        <v>0</v>
      </c>
      <c r="L128" s="61">
        <v>-0.15</v>
      </c>
      <c r="M128" s="60">
        <f t="shared" si="15"/>
        <v>-7.0581074285707285E-2</v>
      </c>
      <c r="N128" s="62">
        <f t="shared" si="16"/>
        <v>0.77815125038364363</v>
      </c>
      <c r="O128" s="50">
        <v>6</v>
      </c>
      <c r="P128" s="50">
        <f t="shared" si="10"/>
        <v>0</v>
      </c>
      <c r="Q128" s="50">
        <v>70</v>
      </c>
      <c r="R128" s="50">
        <v>70</v>
      </c>
      <c r="S128" s="50">
        <v>91.4</v>
      </c>
      <c r="T128" s="62">
        <v>26.7</v>
      </c>
      <c r="U128" s="63">
        <v>37.425715444240403</v>
      </c>
      <c r="V128" s="50">
        <v>6200.5542957923917</v>
      </c>
      <c r="W128" s="50">
        <f t="shared" si="17"/>
        <v>3.792430514795639</v>
      </c>
      <c r="X128" s="64">
        <v>2</v>
      </c>
      <c r="Y128" s="50">
        <v>3504.6611237087427</v>
      </c>
      <c r="Z128" s="50">
        <f t="shared" si="18"/>
        <v>3.5446460310848829</v>
      </c>
      <c r="AA128" s="50">
        <f t="shared" si="19"/>
        <v>7.7476448193282481</v>
      </c>
      <c r="AB128" s="50">
        <v>55930000</v>
      </c>
    </row>
    <row r="129" spans="1:28" x14ac:dyDescent="0.35">
      <c r="A129" s="67" t="s">
        <v>45</v>
      </c>
      <c r="B129" s="52">
        <v>-1</v>
      </c>
      <c r="C129" s="50">
        <f t="shared" si="11"/>
        <v>-1</v>
      </c>
      <c r="D129" s="52">
        <v>3.8136986301369862</v>
      </c>
      <c r="E129" s="52">
        <v>0</v>
      </c>
      <c r="F129" s="50">
        <f t="shared" si="12"/>
        <v>0</v>
      </c>
      <c r="G129" s="52">
        <v>6</v>
      </c>
      <c r="H129" s="50">
        <f t="shared" si="13"/>
        <v>0.77815125038364363</v>
      </c>
      <c r="I129" s="65">
        <v>2.95</v>
      </c>
      <c r="J129" s="71">
        <f t="shared" si="14"/>
        <v>0</v>
      </c>
      <c r="K129" s="52">
        <v>0</v>
      </c>
      <c r="L129" s="54">
        <v>-0.24</v>
      </c>
      <c r="M129" s="60">
        <f t="shared" si="15"/>
        <v>-0.11918640771920865</v>
      </c>
      <c r="N129" s="62">
        <f t="shared" si="16"/>
        <v>0</v>
      </c>
      <c r="O129" s="52">
        <v>0</v>
      </c>
      <c r="P129" s="52">
        <f t="shared" si="10"/>
        <v>0</v>
      </c>
      <c r="Q129" s="52">
        <v>70</v>
      </c>
      <c r="R129" s="52">
        <v>70</v>
      </c>
      <c r="S129" s="52">
        <v>91.4</v>
      </c>
      <c r="T129" s="55">
        <v>26.7</v>
      </c>
      <c r="U129" s="56">
        <v>37.425715444240403</v>
      </c>
      <c r="V129" s="52">
        <v>2315.9649266087058</v>
      </c>
      <c r="W129" s="50">
        <f t="shared" si="17"/>
        <v>3.3647319780710983</v>
      </c>
      <c r="X129" s="57">
        <v>2</v>
      </c>
      <c r="Y129" s="52">
        <v>3703.9030655807082</v>
      </c>
      <c r="Z129" s="50">
        <f t="shared" si="18"/>
        <v>3.5686596122879011</v>
      </c>
      <c r="AA129" s="50">
        <f t="shared" si="19"/>
        <v>7.8388490907372557</v>
      </c>
      <c r="AB129" s="52">
        <v>69000000</v>
      </c>
    </row>
    <row r="130" spans="1:28" x14ac:dyDescent="0.35">
      <c r="A130" s="49" t="s">
        <v>45</v>
      </c>
      <c r="B130" s="50">
        <v>-2.0000000000000018E-2</v>
      </c>
      <c r="C130" s="50">
        <f t="shared" si="11"/>
        <v>-8.7739243075051505E-3</v>
      </c>
      <c r="D130" s="50">
        <v>2.1150684931506851</v>
      </c>
      <c r="E130" s="50">
        <v>0</v>
      </c>
      <c r="F130" s="50">
        <f t="shared" si="12"/>
        <v>0</v>
      </c>
      <c r="G130" s="50">
        <v>-2</v>
      </c>
      <c r="H130" s="50" t="e">
        <f t="shared" si="13"/>
        <v>#NUM!</v>
      </c>
      <c r="I130" s="59">
        <v>2.95</v>
      </c>
      <c r="J130" s="71">
        <f t="shared" si="14"/>
        <v>0</v>
      </c>
      <c r="K130" s="50">
        <v>0</v>
      </c>
      <c r="L130" s="61">
        <v>0.14000000000000001</v>
      </c>
      <c r="M130" s="60">
        <f t="shared" si="15"/>
        <v>5.6904851336472641E-2</v>
      </c>
      <c r="N130" s="62">
        <f t="shared" si="16"/>
        <v>0.69897000433601886</v>
      </c>
      <c r="O130" s="50">
        <v>5</v>
      </c>
      <c r="P130" s="50">
        <f t="shared" ref="P130:P193" si="20">IF(E130=0,0,1)</f>
        <v>0</v>
      </c>
      <c r="Q130" s="50">
        <v>70</v>
      </c>
      <c r="R130" s="50">
        <v>70</v>
      </c>
      <c r="S130" s="50">
        <v>85</v>
      </c>
      <c r="T130" s="62">
        <v>25.7</v>
      </c>
      <c r="U130" s="63">
        <v>39.367752568237798</v>
      </c>
      <c r="V130" s="50">
        <v>1246.953</v>
      </c>
      <c r="W130" s="50">
        <f t="shared" si="17"/>
        <v>3.0958500844125241</v>
      </c>
      <c r="X130" s="64">
        <v>3</v>
      </c>
      <c r="Y130" s="50">
        <v>3219.7179999999998</v>
      </c>
      <c r="Z130" s="50">
        <f t="shared" si="18"/>
        <v>3.5078178355445662</v>
      </c>
      <c r="AA130" s="50">
        <f t="shared" si="19"/>
        <v>8</v>
      </c>
      <c r="AB130" s="50">
        <v>100000000</v>
      </c>
    </row>
    <row r="131" spans="1:28" x14ac:dyDescent="0.35">
      <c r="A131" s="67" t="s">
        <v>45</v>
      </c>
      <c r="B131" s="52">
        <v>-0.48666666666666669</v>
      </c>
      <c r="C131" s="50">
        <f t="shared" ref="C131:C194" si="21">IF(B131=-1,-1,LOG(1+B131))</f>
        <v>-0.2896005338831994</v>
      </c>
      <c r="D131" s="52">
        <v>3.1095890410958904</v>
      </c>
      <c r="E131" s="52">
        <v>0</v>
      </c>
      <c r="F131" s="50">
        <f t="shared" ref="F131:F194" si="22">IF(E131=0,0,LOG(E131))</f>
        <v>0</v>
      </c>
      <c r="G131" s="52">
        <v>0</v>
      </c>
      <c r="H131" s="50">
        <f t="shared" ref="H131:H194" si="23">IF(G131=0,0,LOG(G131))</f>
        <v>0</v>
      </c>
      <c r="I131" s="65">
        <v>2.95</v>
      </c>
      <c r="J131" s="71">
        <f t="shared" ref="J131:J194" si="24">IF(K131=0,0,LOG(K131))</f>
        <v>0</v>
      </c>
      <c r="K131" s="52">
        <v>0</v>
      </c>
      <c r="L131" s="54">
        <v>1.02</v>
      </c>
      <c r="M131" s="60">
        <f t="shared" ref="M131:M194" si="25">LOG(1+L131)</f>
        <v>0.30535136944662378</v>
      </c>
      <c r="N131" s="62">
        <f t="shared" ref="N131:N194" si="26">IF(O131=0,0,LOG(O131))</f>
        <v>0.90308998699194354</v>
      </c>
      <c r="O131" s="52">
        <v>8</v>
      </c>
      <c r="P131" s="52">
        <f t="shared" si="20"/>
        <v>0</v>
      </c>
      <c r="Q131" s="52">
        <v>70</v>
      </c>
      <c r="R131" s="52">
        <v>70</v>
      </c>
      <c r="S131" s="52">
        <v>85</v>
      </c>
      <c r="T131" s="55">
        <v>26.5</v>
      </c>
      <c r="U131" s="56">
        <v>37.808596853116498</v>
      </c>
      <c r="V131" s="52">
        <v>1246.953</v>
      </c>
      <c r="W131" s="50">
        <f t="shared" ref="W131:W194" si="27">LOG(V131)</f>
        <v>3.0958500844125241</v>
      </c>
      <c r="X131" s="57">
        <v>3</v>
      </c>
      <c r="Y131" s="52">
        <v>3219.7179999999998</v>
      </c>
      <c r="Z131" s="50">
        <f t="shared" ref="Z131:Z194" si="28">LOG(Y131)</f>
        <v>3.5078178355445662</v>
      </c>
      <c r="AA131" s="50">
        <f t="shared" ref="AA131:AA194" si="29">LOG(AB131)</f>
        <v>8.8750612633917001</v>
      </c>
      <c r="AB131" s="52">
        <v>750000000</v>
      </c>
    </row>
    <row r="132" spans="1:28" x14ac:dyDescent="0.35">
      <c r="A132" s="49" t="s">
        <v>45</v>
      </c>
      <c r="B132" s="50">
        <v>3.333333333333333</v>
      </c>
      <c r="C132" s="50">
        <f t="shared" si="21"/>
        <v>0.63682209758717434</v>
      </c>
      <c r="D132" s="50">
        <v>8.912328767123288</v>
      </c>
      <c r="E132" s="50">
        <v>0</v>
      </c>
      <c r="F132" s="50">
        <f t="shared" si="22"/>
        <v>0</v>
      </c>
      <c r="G132" s="50">
        <v>105</v>
      </c>
      <c r="H132" s="50">
        <f t="shared" si="23"/>
        <v>2.0211892990699383</v>
      </c>
      <c r="I132" s="59">
        <v>2.95</v>
      </c>
      <c r="J132" s="71">
        <f t="shared" si="24"/>
        <v>0</v>
      </c>
      <c r="K132" s="50">
        <v>0</v>
      </c>
      <c r="L132" s="61">
        <v>-0.01</v>
      </c>
      <c r="M132" s="60">
        <f t="shared" si="25"/>
        <v>-4.3648054024500883E-3</v>
      </c>
      <c r="N132" s="62">
        <f t="shared" si="26"/>
        <v>1.0791812460476249</v>
      </c>
      <c r="O132" s="50">
        <v>12</v>
      </c>
      <c r="P132" s="50">
        <f t="shared" si="20"/>
        <v>0</v>
      </c>
      <c r="Q132" s="50">
        <v>70</v>
      </c>
      <c r="R132" s="50">
        <v>70</v>
      </c>
      <c r="S132" s="50">
        <v>85</v>
      </c>
      <c r="T132" s="62">
        <v>27.8</v>
      </c>
      <c r="U132" s="63">
        <v>34.656907836978597</v>
      </c>
      <c r="V132" s="50">
        <v>1246.953</v>
      </c>
      <c r="W132" s="50">
        <f t="shared" si="27"/>
        <v>3.0958500844125241</v>
      </c>
      <c r="X132" s="64">
        <v>3</v>
      </c>
      <c r="Y132" s="50">
        <v>3219.7179999999998</v>
      </c>
      <c r="Z132" s="50">
        <f t="shared" si="28"/>
        <v>3.5078178355445662</v>
      </c>
      <c r="AA132" s="50">
        <f t="shared" si="29"/>
        <v>8.0791812460476251</v>
      </c>
      <c r="AB132" s="50">
        <v>120000000</v>
      </c>
    </row>
    <row r="133" spans="1:28" x14ac:dyDescent="0.35">
      <c r="A133" s="67" t="s">
        <v>45</v>
      </c>
      <c r="B133" s="52">
        <v>0.28113879003558728</v>
      </c>
      <c r="C133" s="50">
        <f t="shared" si="21"/>
        <v>0.1075961808622074</v>
      </c>
      <c r="D133" s="52">
        <v>3.3178082191780822</v>
      </c>
      <c r="E133" s="52">
        <v>0</v>
      </c>
      <c r="F133" s="50">
        <f t="shared" si="22"/>
        <v>0</v>
      </c>
      <c r="G133" s="52">
        <v>37</v>
      </c>
      <c r="H133" s="50">
        <f t="shared" si="23"/>
        <v>1.568201724066995</v>
      </c>
      <c r="I133" s="65">
        <v>2.95</v>
      </c>
      <c r="J133" s="71">
        <f t="shared" si="24"/>
        <v>0</v>
      </c>
      <c r="K133" s="52">
        <v>0</v>
      </c>
      <c r="L133" s="54">
        <v>-0.37</v>
      </c>
      <c r="M133" s="60">
        <f t="shared" si="25"/>
        <v>-0.20065945054641829</v>
      </c>
      <c r="N133" s="62">
        <f t="shared" si="26"/>
        <v>1.0791812460476249</v>
      </c>
      <c r="O133" s="52">
        <v>12</v>
      </c>
      <c r="P133" s="52">
        <f t="shared" si="20"/>
        <v>0</v>
      </c>
      <c r="Q133" s="52">
        <v>70</v>
      </c>
      <c r="R133" s="52">
        <v>70</v>
      </c>
      <c r="S133" s="52">
        <v>85</v>
      </c>
      <c r="T133" s="55">
        <v>27.8</v>
      </c>
      <c r="U133" s="56">
        <v>34.656907836978597</v>
      </c>
      <c r="V133" s="52">
        <v>1246.953</v>
      </c>
      <c r="W133" s="50">
        <f t="shared" si="27"/>
        <v>3.0958500844125241</v>
      </c>
      <c r="X133" s="57">
        <v>3</v>
      </c>
      <c r="Y133" s="52">
        <v>3219.7179999999998</v>
      </c>
      <c r="Z133" s="50">
        <f t="shared" si="28"/>
        <v>3.5078178355445662</v>
      </c>
      <c r="AA133" s="50">
        <f t="shared" si="29"/>
        <v>8.4487063199050798</v>
      </c>
      <c r="AB133" s="52">
        <v>281000000</v>
      </c>
    </row>
    <row r="134" spans="1:28" x14ac:dyDescent="0.35">
      <c r="A134" s="49" t="s">
        <v>45</v>
      </c>
      <c r="B134" s="50">
        <v>1</v>
      </c>
      <c r="C134" s="50">
        <f t="shared" si="21"/>
        <v>0.3010299956639812</v>
      </c>
      <c r="D134" s="50">
        <v>2.9972602739726026</v>
      </c>
      <c r="E134" s="50">
        <v>0</v>
      </c>
      <c r="F134" s="50">
        <f t="shared" si="22"/>
        <v>0</v>
      </c>
      <c r="G134" s="50">
        <v>9</v>
      </c>
      <c r="H134" s="50">
        <f t="shared" si="23"/>
        <v>0.95424250943932487</v>
      </c>
      <c r="I134" s="59">
        <v>2.95</v>
      </c>
      <c r="J134" s="71">
        <f t="shared" si="24"/>
        <v>0</v>
      </c>
      <c r="K134" s="50">
        <v>0</v>
      </c>
      <c r="L134" s="61">
        <v>-0.28999999999999998</v>
      </c>
      <c r="M134" s="60">
        <f t="shared" si="25"/>
        <v>-0.14874165128092473</v>
      </c>
      <c r="N134" s="62">
        <f t="shared" si="26"/>
        <v>1.0791812460476249</v>
      </c>
      <c r="O134" s="50">
        <v>12</v>
      </c>
      <c r="P134" s="50">
        <f t="shared" si="20"/>
        <v>0</v>
      </c>
      <c r="Q134" s="50">
        <v>70</v>
      </c>
      <c r="R134" s="50">
        <v>70</v>
      </c>
      <c r="S134" s="50">
        <v>85</v>
      </c>
      <c r="T134" s="62">
        <v>27.8</v>
      </c>
      <c r="U134" s="63">
        <v>34.656907836978597</v>
      </c>
      <c r="V134" s="50">
        <v>1246.953</v>
      </c>
      <c r="W134" s="50">
        <f t="shared" si="27"/>
        <v>3.0958500844125241</v>
      </c>
      <c r="X134" s="64">
        <v>3</v>
      </c>
      <c r="Y134" s="50">
        <v>3219.7179999999998</v>
      </c>
      <c r="Z134" s="50">
        <f t="shared" si="28"/>
        <v>3.5078178355445662</v>
      </c>
      <c r="AA134" s="50">
        <f t="shared" si="29"/>
        <v>8.3979400086720375</v>
      </c>
      <c r="AB134" s="50">
        <v>250000000</v>
      </c>
    </row>
    <row r="135" spans="1:28" x14ac:dyDescent="0.35">
      <c r="A135" s="67" t="s">
        <v>45</v>
      </c>
      <c r="B135" s="52">
        <v>2.2698128358762122</v>
      </c>
      <c r="C135" s="50">
        <f t="shared" si="21"/>
        <v>0.51452289435065757</v>
      </c>
      <c r="D135" s="52">
        <v>5.0986301369863014</v>
      </c>
      <c r="E135" s="52">
        <v>0</v>
      </c>
      <c r="F135" s="50">
        <f t="shared" si="22"/>
        <v>0</v>
      </c>
      <c r="G135" s="52">
        <v>52</v>
      </c>
      <c r="H135" s="50">
        <f t="shared" si="23"/>
        <v>1.7160033436347992</v>
      </c>
      <c r="I135" s="65">
        <v>2.95</v>
      </c>
      <c r="J135" s="71">
        <f t="shared" si="24"/>
        <v>0</v>
      </c>
      <c r="K135" s="52">
        <v>0</v>
      </c>
      <c r="L135" s="54">
        <v>-0.15</v>
      </c>
      <c r="M135" s="60">
        <f t="shared" si="25"/>
        <v>-7.0581074285707285E-2</v>
      </c>
      <c r="N135" s="62">
        <f t="shared" si="26"/>
        <v>1.0791812460476249</v>
      </c>
      <c r="O135" s="52">
        <v>12</v>
      </c>
      <c r="P135" s="52">
        <f t="shared" si="20"/>
        <v>0</v>
      </c>
      <c r="Q135" s="52">
        <v>70</v>
      </c>
      <c r="R135" s="52">
        <v>70</v>
      </c>
      <c r="S135" s="52">
        <v>85</v>
      </c>
      <c r="T135" s="55">
        <v>27.8</v>
      </c>
      <c r="U135" s="56">
        <v>34.656907836978597</v>
      </c>
      <c r="V135" s="52">
        <v>1246.953</v>
      </c>
      <c r="W135" s="50">
        <f t="shared" si="27"/>
        <v>3.0958500844125241</v>
      </c>
      <c r="X135" s="57">
        <v>3</v>
      </c>
      <c r="Y135" s="52">
        <v>3219.7179999999998</v>
      </c>
      <c r="Z135" s="50">
        <f t="shared" si="28"/>
        <v>3.5078178355445662</v>
      </c>
      <c r="AA135" s="50">
        <f t="shared" si="29"/>
        <v>8.2092200230649937</v>
      </c>
      <c r="AB135" s="52">
        <v>161890000</v>
      </c>
    </row>
    <row r="136" spans="1:28" x14ac:dyDescent="0.35">
      <c r="A136" s="49" t="s">
        <v>45</v>
      </c>
      <c r="B136" s="50">
        <v>-0.20186567164179103</v>
      </c>
      <c r="C136" s="50">
        <f t="shared" si="21"/>
        <v>-9.7924009457260819E-2</v>
      </c>
      <c r="D136" s="50">
        <v>5.7643835616438359</v>
      </c>
      <c r="E136" s="50">
        <v>0</v>
      </c>
      <c r="F136" s="50">
        <f t="shared" si="22"/>
        <v>0</v>
      </c>
      <c r="G136" s="50">
        <v>22</v>
      </c>
      <c r="H136" s="50">
        <f t="shared" si="23"/>
        <v>1.3424226808222062</v>
      </c>
      <c r="I136" s="59">
        <v>2.95</v>
      </c>
      <c r="J136" s="71">
        <f t="shared" si="24"/>
        <v>0</v>
      </c>
      <c r="K136" s="50">
        <v>0</v>
      </c>
      <c r="L136" s="61">
        <v>-0.17</v>
      </c>
      <c r="M136" s="60">
        <f t="shared" si="25"/>
        <v>-8.092190762392612E-2</v>
      </c>
      <c r="N136" s="62">
        <f t="shared" si="26"/>
        <v>1.0791812460476249</v>
      </c>
      <c r="O136" s="50">
        <v>12</v>
      </c>
      <c r="P136" s="50">
        <f t="shared" si="20"/>
        <v>0</v>
      </c>
      <c r="Q136" s="50">
        <v>70</v>
      </c>
      <c r="R136" s="50">
        <v>70</v>
      </c>
      <c r="S136" s="50">
        <v>85</v>
      </c>
      <c r="T136" s="62">
        <v>27.8</v>
      </c>
      <c r="U136" s="63">
        <v>34.656907836978597</v>
      </c>
      <c r="V136" s="50">
        <v>1246.953</v>
      </c>
      <c r="W136" s="50">
        <f t="shared" si="27"/>
        <v>3.0958500844125241</v>
      </c>
      <c r="X136" s="64">
        <v>3</v>
      </c>
      <c r="Y136" s="50">
        <v>3219.7179999999998</v>
      </c>
      <c r="Z136" s="50">
        <f t="shared" si="28"/>
        <v>3.5078178355445662</v>
      </c>
      <c r="AA136" s="50">
        <f t="shared" si="29"/>
        <v>8.6042260530844707</v>
      </c>
      <c r="AB136" s="50">
        <v>402000000</v>
      </c>
    </row>
    <row r="137" spans="1:28" x14ac:dyDescent="0.35">
      <c r="A137" s="67" t="s">
        <v>45</v>
      </c>
      <c r="B137" s="52">
        <v>0.36296296296296293</v>
      </c>
      <c r="C137" s="50">
        <f t="shared" si="21"/>
        <v>0.13448405451453033</v>
      </c>
      <c r="D137" s="52">
        <v>6.6739726027397257</v>
      </c>
      <c r="E137" s="52">
        <v>0</v>
      </c>
      <c r="F137" s="50">
        <f t="shared" si="22"/>
        <v>0</v>
      </c>
      <c r="G137" s="52">
        <v>11</v>
      </c>
      <c r="H137" s="50">
        <f t="shared" si="23"/>
        <v>1.0413926851582251</v>
      </c>
      <c r="I137" s="65">
        <v>2.95</v>
      </c>
      <c r="J137" s="71">
        <f t="shared" si="24"/>
        <v>0</v>
      </c>
      <c r="K137" s="52">
        <v>0</v>
      </c>
      <c r="L137" s="54">
        <v>0.09</v>
      </c>
      <c r="M137" s="60">
        <f t="shared" si="25"/>
        <v>3.7426497940623665E-2</v>
      </c>
      <c r="N137" s="62">
        <f t="shared" si="26"/>
        <v>1.1139433523068367</v>
      </c>
      <c r="O137" s="52">
        <v>13</v>
      </c>
      <c r="P137" s="52">
        <f t="shared" si="20"/>
        <v>0</v>
      </c>
      <c r="Q137" s="52">
        <v>70</v>
      </c>
      <c r="R137" s="52">
        <v>70</v>
      </c>
      <c r="S137" s="52">
        <v>85</v>
      </c>
      <c r="T137" s="55">
        <v>28.2</v>
      </c>
      <c r="U137" s="56">
        <v>34.298950279384798</v>
      </c>
      <c r="V137" s="52">
        <v>1246.953</v>
      </c>
      <c r="W137" s="50">
        <f t="shared" si="27"/>
        <v>3.0958500844125241</v>
      </c>
      <c r="X137" s="57">
        <v>3</v>
      </c>
      <c r="Y137" s="52">
        <v>3219.7179999999998</v>
      </c>
      <c r="Z137" s="50">
        <f t="shared" si="28"/>
        <v>3.5078178355445662</v>
      </c>
      <c r="AA137" s="50">
        <f t="shared" si="29"/>
        <v>7.8293037728310253</v>
      </c>
      <c r="AB137" s="52">
        <v>67500000</v>
      </c>
    </row>
    <row r="138" spans="1:28" x14ac:dyDescent="0.35">
      <c r="A138" s="49" t="s">
        <v>45</v>
      </c>
      <c r="B138" s="50">
        <v>0.94718137254901968</v>
      </c>
      <c r="C138" s="50">
        <f t="shared" si="21"/>
        <v>0.28940640628560588</v>
      </c>
      <c r="D138" s="50">
        <v>5.8931506849315065</v>
      </c>
      <c r="E138" s="50">
        <v>0</v>
      </c>
      <c r="F138" s="50">
        <f t="shared" si="22"/>
        <v>0</v>
      </c>
      <c r="G138" s="50">
        <v>0</v>
      </c>
      <c r="H138" s="50">
        <f t="shared" si="23"/>
        <v>0</v>
      </c>
      <c r="I138" s="59">
        <v>2.95</v>
      </c>
      <c r="J138" s="71">
        <f t="shared" si="24"/>
        <v>0</v>
      </c>
      <c r="K138" s="50">
        <v>0</v>
      </c>
      <c r="L138" s="61">
        <v>0.41</v>
      </c>
      <c r="M138" s="60">
        <f t="shared" si="25"/>
        <v>0.14921911265537988</v>
      </c>
      <c r="N138" s="62">
        <f t="shared" si="26"/>
        <v>1.146128035678238</v>
      </c>
      <c r="O138" s="50">
        <v>14</v>
      </c>
      <c r="P138" s="50">
        <f t="shared" si="20"/>
        <v>0</v>
      </c>
      <c r="Q138" s="50">
        <v>70</v>
      </c>
      <c r="R138" s="50">
        <v>70</v>
      </c>
      <c r="S138" s="50">
        <v>85</v>
      </c>
      <c r="T138" s="62">
        <v>27.2</v>
      </c>
      <c r="U138" s="63">
        <v>35.608384832026097</v>
      </c>
      <c r="V138" s="50">
        <v>1246.953</v>
      </c>
      <c r="W138" s="50">
        <f t="shared" si="27"/>
        <v>3.0958500844125241</v>
      </c>
      <c r="X138" s="64">
        <v>3</v>
      </c>
      <c r="Y138" s="50">
        <v>3219.7179999999998</v>
      </c>
      <c r="Z138" s="50">
        <f t="shared" si="28"/>
        <v>3.5078178355445662</v>
      </c>
      <c r="AA138" s="50">
        <f t="shared" si="29"/>
        <v>8.6106601630898805</v>
      </c>
      <c r="AB138" s="50">
        <v>408000000</v>
      </c>
    </row>
    <row r="139" spans="1:28" x14ac:dyDescent="0.35">
      <c r="A139" s="67" t="s">
        <v>45</v>
      </c>
      <c r="B139" s="52">
        <v>-1</v>
      </c>
      <c r="C139" s="50">
        <f t="shared" si="21"/>
        <v>-1</v>
      </c>
      <c r="D139" s="52">
        <v>7.6219178082191785</v>
      </c>
      <c r="E139" s="52">
        <v>0</v>
      </c>
      <c r="F139" s="50">
        <f t="shared" si="22"/>
        <v>0</v>
      </c>
      <c r="G139" s="52">
        <v>15</v>
      </c>
      <c r="H139" s="50">
        <f t="shared" si="23"/>
        <v>1.1760912590556813</v>
      </c>
      <c r="I139" s="65">
        <v>2.95</v>
      </c>
      <c r="J139" s="71">
        <f t="shared" si="24"/>
        <v>0</v>
      </c>
      <c r="K139" s="52">
        <v>0</v>
      </c>
      <c r="L139" s="54">
        <v>-0.31</v>
      </c>
      <c r="M139" s="60">
        <f t="shared" si="25"/>
        <v>-0.16115090926274472</v>
      </c>
      <c r="N139" s="62">
        <f t="shared" si="26"/>
        <v>1.146128035678238</v>
      </c>
      <c r="O139" s="52">
        <v>14</v>
      </c>
      <c r="P139" s="52">
        <f t="shared" si="20"/>
        <v>0</v>
      </c>
      <c r="Q139" s="52">
        <v>70</v>
      </c>
      <c r="R139" s="52">
        <v>70</v>
      </c>
      <c r="S139" s="52">
        <v>85</v>
      </c>
      <c r="T139" s="55">
        <v>27.2</v>
      </c>
      <c r="U139" s="56">
        <v>35.608384832026097</v>
      </c>
      <c r="V139" s="52">
        <v>1246.953</v>
      </c>
      <c r="W139" s="50">
        <f t="shared" si="27"/>
        <v>3.0958500844125241</v>
      </c>
      <c r="X139" s="57">
        <v>3</v>
      </c>
      <c r="Y139" s="52">
        <v>3219.7179999999998</v>
      </c>
      <c r="Z139" s="50">
        <f t="shared" si="28"/>
        <v>3.5078178355445662</v>
      </c>
      <c r="AA139" s="50">
        <f t="shared" si="29"/>
        <v>8.2787536009528289</v>
      </c>
      <c r="AB139" s="52">
        <v>190000000</v>
      </c>
    </row>
    <row r="140" spans="1:28" x14ac:dyDescent="0.35">
      <c r="A140" s="49" t="s">
        <v>45</v>
      </c>
      <c r="B140" s="50">
        <v>-1</v>
      </c>
      <c r="C140" s="50">
        <f t="shared" si="21"/>
        <v>-1</v>
      </c>
      <c r="D140" s="50">
        <v>4.956164383561644</v>
      </c>
      <c r="E140" s="50">
        <v>0</v>
      </c>
      <c r="F140" s="50">
        <f t="shared" si="22"/>
        <v>0</v>
      </c>
      <c r="G140" s="50">
        <v>3</v>
      </c>
      <c r="H140" s="50">
        <f t="shared" si="23"/>
        <v>0.47712125471966244</v>
      </c>
      <c r="I140" s="59">
        <v>2.95</v>
      </c>
      <c r="J140" s="71">
        <f t="shared" si="24"/>
        <v>0</v>
      </c>
      <c r="K140" s="50">
        <v>0</v>
      </c>
      <c r="L140" s="61">
        <v>0.04</v>
      </c>
      <c r="M140" s="60">
        <f t="shared" si="25"/>
        <v>1.703333929878037E-2</v>
      </c>
      <c r="N140" s="62">
        <f t="shared" si="26"/>
        <v>1.146128035678238</v>
      </c>
      <c r="O140" s="50">
        <v>14</v>
      </c>
      <c r="P140" s="50">
        <f t="shared" si="20"/>
        <v>0</v>
      </c>
      <c r="Q140" s="50">
        <v>70</v>
      </c>
      <c r="R140" s="50">
        <v>70</v>
      </c>
      <c r="S140" s="50">
        <v>85</v>
      </c>
      <c r="T140" s="62">
        <v>27.2</v>
      </c>
      <c r="U140" s="63">
        <v>35.608384832026097</v>
      </c>
      <c r="V140" s="50">
        <v>1246.953</v>
      </c>
      <c r="W140" s="50">
        <f t="shared" si="27"/>
        <v>3.0958500844125241</v>
      </c>
      <c r="X140" s="64">
        <v>3</v>
      </c>
      <c r="Y140" s="50">
        <v>3219.7179999999998</v>
      </c>
      <c r="Z140" s="50">
        <f t="shared" si="28"/>
        <v>3.5078178355445662</v>
      </c>
      <c r="AA140" s="50">
        <f t="shared" si="29"/>
        <v>7.3010299956639813</v>
      </c>
      <c r="AB140" s="50">
        <v>20000000</v>
      </c>
    </row>
    <row r="141" spans="1:28" x14ac:dyDescent="0.35">
      <c r="A141" s="67" t="s">
        <v>45</v>
      </c>
      <c r="B141" s="52">
        <v>0.99632457502898775</v>
      </c>
      <c r="C141" s="50">
        <f t="shared" si="21"/>
        <v>0.30023115302562903</v>
      </c>
      <c r="D141" s="52">
        <v>3.8493150684931505</v>
      </c>
      <c r="E141" s="52">
        <v>0</v>
      </c>
      <c r="F141" s="50">
        <f t="shared" si="22"/>
        <v>0</v>
      </c>
      <c r="G141" s="52">
        <v>0</v>
      </c>
      <c r="H141" s="50">
        <f t="shared" si="23"/>
        <v>0</v>
      </c>
      <c r="I141" s="65">
        <v>2.95</v>
      </c>
      <c r="J141" s="71">
        <f t="shared" si="24"/>
        <v>0</v>
      </c>
      <c r="K141" s="52">
        <v>0</v>
      </c>
      <c r="L141" s="54">
        <v>0.43</v>
      </c>
      <c r="M141" s="60">
        <f t="shared" si="25"/>
        <v>0.1553360374650618</v>
      </c>
      <c r="N141" s="62">
        <f t="shared" si="26"/>
        <v>1.1760912590556813</v>
      </c>
      <c r="O141" s="52">
        <v>15</v>
      </c>
      <c r="P141" s="52">
        <f t="shared" si="20"/>
        <v>0</v>
      </c>
      <c r="Q141" s="52">
        <v>70</v>
      </c>
      <c r="R141" s="52">
        <v>70</v>
      </c>
      <c r="S141" s="52">
        <v>85</v>
      </c>
      <c r="T141" s="55">
        <v>24.9</v>
      </c>
      <c r="U141" s="56">
        <v>36.710134890601303</v>
      </c>
      <c r="V141" s="52">
        <v>1246.953</v>
      </c>
      <c r="W141" s="50">
        <f t="shared" si="27"/>
        <v>3.0958500844125241</v>
      </c>
      <c r="X141" s="57">
        <v>3</v>
      </c>
      <c r="Y141" s="52">
        <v>3219.7179999999998</v>
      </c>
      <c r="Z141" s="50">
        <f t="shared" si="28"/>
        <v>3.5078178355445662</v>
      </c>
      <c r="AA141" s="50">
        <f t="shared" si="29"/>
        <v>8.9610317157668646</v>
      </c>
      <c r="AB141" s="52">
        <v>914180000</v>
      </c>
    </row>
    <row r="142" spans="1:28" x14ac:dyDescent="0.35">
      <c r="A142" s="49" t="s">
        <v>45</v>
      </c>
      <c r="B142" s="50">
        <v>4</v>
      </c>
      <c r="C142" s="50">
        <f t="shared" si="21"/>
        <v>0.69897000433601886</v>
      </c>
      <c r="D142" s="50">
        <v>4.978082191780822</v>
      </c>
      <c r="E142" s="50">
        <v>0</v>
      </c>
      <c r="F142" s="50">
        <f t="shared" si="22"/>
        <v>0</v>
      </c>
      <c r="G142" s="50">
        <v>0</v>
      </c>
      <c r="H142" s="50">
        <f t="shared" si="23"/>
        <v>0</v>
      </c>
      <c r="I142" s="59">
        <v>2.95</v>
      </c>
      <c r="J142" s="71">
        <f t="shared" si="24"/>
        <v>0</v>
      </c>
      <c r="K142" s="50">
        <v>0</v>
      </c>
      <c r="L142" s="61">
        <v>0.28999999999999998</v>
      </c>
      <c r="M142" s="60">
        <f t="shared" si="25"/>
        <v>0.11058971029924898</v>
      </c>
      <c r="N142" s="62">
        <f t="shared" si="26"/>
        <v>1.1760912590556813</v>
      </c>
      <c r="O142" s="50">
        <v>15</v>
      </c>
      <c r="P142" s="50">
        <f t="shared" si="20"/>
        <v>0</v>
      </c>
      <c r="Q142" s="50">
        <v>70</v>
      </c>
      <c r="R142" s="50">
        <v>70</v>
      </c>
      <c r="S142" s="50">
        <v>85</v>
      </c>
      <c r="T142" s="62">
        <v>24.9</v>
      </c>
      <c r="U142" s="63">
        <v>36.710134890601303</v>
      </c>
      <c r="V142" s="50">
        <v>1246.953</v>
      </c>
      <c r="W142" s="50">
        <f t="shared" si="27"/>
        <v>3.0958500844125241</v>
      </c>
      <c r="X142" s="64">
        <v>3</v>
      </c>
      <c r="Y142" s="50">
        <v>3219.7179999999998</v>
      </c>
      <c r="Z142" s="50">
        <f t="shared" si="28"/>
        <v>3.5078178355445662</v>
      </c>
      <c r="AA142" s="50">
        <f t="shared" si="29"/>
        <v>7.7160033436347994</v>
      </c>
      <c r="AB142" s="50">
        <v>52000000</v>
      </c>
    </row>
    <row r="143" spans="1:28" x14ac:dyDescent="0.35">
      <c r="A143" s="67" t="s">
        <v>45</v>
      </c>
      <c r="B143" s="52">
        <v>1.1666666666666665</v>
      </c>
      <c r="C143" s="50">
        <f t="shared" si="21"/>
        <v>0.33579210192319309</v>
      </c>
      <c r="D143" s="52">
        <v>1.3616438356164384</v>
      </c>
      <c r="E143" s="52">
        <v>0</v>
      </c>
      <c r="F143" s="50">
        <f t="shared" si="22"/>
        <v>0</v>
      </c>
      <c r="G143" s="52">
        <v>47</v>
      </c>
      <c r="H143" s="50">
        <f t="shared" si="23"/>
        <v>1.6720978579357175</v>
      </c>
      <c r="I143" s="65">
        <v>2.95</v>
      </c>
      <c r="J143" s="71">
        <f t="shared" si="24"/>
        <v>0</v>
      </c>
      <c r="K143" s="52">
        <v>0</v>
      </c>
      <c r="L143" s="54">
        <v>0.32</v>
      </c>
      <c r="M143" s="60">
        <f t="shared" si="25"/>
        <v>0.12057393120584989</v>
      </c>
      <c r="N143" s="62">
        <f t="shared" si="26"/>
        <v>1.2041199826559248</v>
      </c>
      <c r="O143" s="52">
        <v>16</v>
      </c>
      <c r="P143" s="52">
        <f t="shared" si="20"/>
        <v>0</v>
      </c>
      <c r="Q143" s="52">
        <v>70</v>
      </c>
      <c r="R143" s="52">
        <v>70</v>
      </c>
      <c r="S143" s="52">
        <v>85</v>
      </c>
      <c r="T143" s="55">
        <v>24.4</v>
      </c>
      <c r="U143" s="56">
        <v>37.256914365427299</v>
      </c>
      <c r="V143" s="52">
        <v>1246.953</v>
      </c>
      <c r="W143" s="50">
        <f t="shared" si="27"/>
        <v>3.0958500844125241</v>
      </c>
      <c r="X143" s="57">
        <v>3</v>
      </c>
      <c r="Y143" s="52">
        <v>3219.7179999999998</v>
      </c>
      <c r="Z143" s="50">
        <f t="shared" si="28"/>
        <v>3.5078178355445662</v>
      </c>
      <c r="AA143" s="50">
        <f t="shared" si="29"/>
        <v>8.4771212547196626</v>
      </c>
      <c r="AB143" s="52">
        <v>300000000</v>
      </c>
    </row>
    <row r="144" spans="1:28" x14ac:dyDescent="0.35">
      <c r="A144" s="49" t="s">
        <v>45</v>
      </c>
      <c r="B144" s="50">
        <v>0.22500000000000009</v>
      </c>
      <c r="C144" s="50">
        <f t="shared" si="21"/>
        <v>8.8136088700551299E-2</v>
      </c>
      <c r="D144" s="50">
        <v>7.7808219178082192</v>
      </c>
      <c r="E144" s="50">
        <v>0</v>
      </c>
      <c r="F144" s="50">
        <f t="shared" si="22"/>
        <v>0</v>
      </c>
      <c r="G144" s="50">
        <v>45</v>
      </c>
      <c r="H144" s="50">
        <f t="shared" si="23"/>
        <v>1.6532125137753437</v>
      </c>
      <c r="I144" s="59">
        <v>2.95</v>
      </c>
      <c r="J144" s="71">
        <f t="shared" si="24"/>
        <v>0</v>
      </c>
      <c r="K144" s="50">
        <v>0</v>
      </c>
      <c r="L144" s="61">
        <v>0.33</v>
      </c>
      <c r="M144" s="60">
        <f t="shared" si="25"/>
        <v>0.12385164096708581</v>
      </c>
      <c r="N144" s="62">
        <f t="shared" si="26"/>
        <v>1.2041199826559248</v>
      </c>
      <c r="O144" s="50">
        <v>16</v>
      </c>
      <c r="P144" s="50">
        <f t="shared" si="20"/>
        <v>0</v>
      </c>
      <c r="Q144" s="50">
        <v>70</v>
      </c>
      <c r="R144" s="50">
        <v>70</v>
      </c>
      <c r="S144" s="50">
        <v>85</v>
      </c>
      <c r="T144" s="62">
        <v>24.4</v>
      </c>
      <c r="U144" s="63">
        <v>37.256914365427299</v>
      </c>
      <c r="V144" s="50">
        <v>1246.953</v>
      </c>
      <c r="W144" s="50">
        <f t="shared" si="27"/>
        <v>3.0958500844125241</v>
      </c>
      <c r="X144" s="64">
        <v>3</v>
      </c>
      <c r="Y144" s="50">
        <v>3219.7179999999998</v>
      </c>
      <c r="Z144" s="50">
        <f t="shared" si="28"/>
        <v>3.5078178355445662</v>
      </c>
      <c r="AA144" s="50">
        <f t="shared" si="29"/>
        <v>8.9030899869919438</v>
      </c>
      <c r="AB144" s="50">
        <v>800000000</v>
      </c>
    </row>
    <row r="145" spans="1:28" x14ac:dyDescent="0.35">
      <c r="A145" s="67" t="s">
        <v>45</v>
      </c>
      <c r="B145" s="52">
        <v>-1</v>
      </c>
      <c r="C145" s="50">
        <f t="shared" si="21"/>
        <v>-1</v>
      </c>
      <c r="D145" s="52">
        <v>3.6356164383561644</v>
      </c>
      <c r="E145" s="52">
        <v>0</v>
      </c>
      <c r="F145" s="50">
        <f t="shared" si="22"/>
        <v>0</v>
      </c>
      <c r="G145" s="52">
        <v>122</v>
      </c>
      <c r="H145" s="50">
        <f t="shared" si="23"/>
        <v>2.0863598306747484</v>
      </c>
      <c r="I145" s="65">
        <v>2.95</v>
      </c>
      <c r="J145" s="71">
        <f t="shared" si="24"/>
        <v>0</v>
      </c>
      <c r="K145" s="52">
        <v>0</v>
      </c>
      <c r="L145" s="54">
        <v>-0.3</v>
      </c>
      <c r="M145" s="60">
        <f t="shared" si="25"/>
        <v>-0.15490195998574319</v>
      </c>
      <c r="N145" s="62">
        <f t="shared" si="26"/>
        <v>1.255272505103306</v>
      </c>
      <c r="O145" s="52">
        <v>18</v>
      </c>
      <c r="P145" s="52">
        <f t="shared" si="20"/>
        <v>0</v>
      </c>
      <c r="Q145" s="52">
        <v>70</v>
      </c>
      <c r="R145" s="52">
        <v>70</v>
      </c>
      <c r="S145" s="52">
        <v>85</v>
      </c>
      <c r="T145" s="55">
        <v>25.9</v>
      </c>
      <c r="U145" s="56">
        <v>36.959146749272797</v>
      </c>
      <c r="V145" s="52">
        <v>1246.953</v>
      </c>
      <c r="W145" s="50">
        <f t="shared" si="27"/>
        <v>3.0958500844125241</v>
      </c>
      <c r="X145" s="57">
        <v>3</v>
      </c>
      <c r="Y145" s="52">
        <v>3219.7179999999998</v>
      </c>
      <c r="Z145" s="50">
        <f t="shared" si="28"/>
        <v>3.5078178355445662</v>
      </c>
      <c r="AA145" s="50">
        <f t="shared" si="29"/>
        <v>9.2174839442139067</v>
      </c>
      <c r="AB145" s="52">
        <v>1650000000</v>
      </c>
    </row>
    <row r="146" spans="1:28" x14ac:dyDescent="0.35">
      <c r="A146" s="49" t="s">
        <v>45</v>
      </c>
      <c r="B146" s="50">
        <v>-1</v>
      </c>
      <c r="C146" s="50">
        <f t="shared" si="21"/>
        <v>-1</v>
      </c>
      <c r="D146" s="50">
        <v>3.7643835616438355</v>
      </c>
      <c r="E146" s="50">
        <v>0</v>
      </c>
      <c r="F146" s="50">
        <f t="shared" si="22"/>
        <v>0</v>
      </c>
      <c r="G146" s="50">
        <v>0</v>
      </c>
      <c r="H146" s="50">
        <f t="shared" si="23"/>
        <v>0</v>
      </c>
      <c r="I146" s="59">
        <v>2.95</v>
      </c>
      <c r="J146" s="71">
        <f t="shared" si="24"/>
        <v>0</v>
      </c>
      <c r="K146" s="50">
        <v>0</v>
      </c>
      <c r="L146" s="61">
        <v>-0.28000000000000003</v>
      </c>
      <c r="M146" s="60">
        <f t="shared" si="25"/>
        <v>-0.14266750356873156</v>
      </c>
      <c r="N146" s="62">
        <f t="shared" si="26"/>
        <v>1.5910646070264991</v>
      </c>
      <c r="O146" s="50">
        <v>39</v>
      </c>
      <c r="P146" s="50">
        <f t="shared" si="20"/>
        <v>0</v>
      </c>
      <c r="Q146" s="50">
        <v>70</v>
      </c>
      <c r="R146" s="50">
        <v>70</v>
      </c>
      <c r="S146" s="50">
        <v>85</v>
      </c>
      <c r="T146" s="62">
        <v>25.9</v>
      </c>
      <c r="U146" s="63">
        <v>36.959146749272797</v>
      </c>
      <c r="V146" s="50">
        <v>1421.558</v>
      </c>
      <c r="W146" s="50">
        <f t="shared" si="27"/>
        <v>3.1527645837352773</v>
      </c>
      <c r="X146" s="64">
        <v>2</v>
      </c>
      <c r="Y146" s="50">
        <v>3476.3409999999999</v>
      </c>
      <c r="Z146" s="50">
        <f t="shared" si="28"/>
        <v>3.5411223705253856</v>
      </c>
      <c r="AA146" s="50">
        <f t="shared" si="29"/>
        <v>8.5563025007672877</v>
      </c>
      <c r="AB146" s="50">
        <v>360000000</v>
      </c>
    </row>
    <row r="147" spans="1:28" x14ac:dyDescent="0.35">
      <c r="A147" s="67" t="s">
        <v>45</v>
      </c>
      <c r="B147" s="52">
        <v>-1</v>
      </c>
      <c r="C147" s="50">
        <f t="shared" si="21"/>
        <v>-1</v>
      </c>
      <c r="D147" s="52">
        <v>3.7643835616438355</v>
      </c>
      <c r="E147" s="52">
        <v>0</v>
      </c>
      <c r="F147" s="50">
        <f t="shared" si="22"/>
        <v>0</v>
      </c>
      <c r="G147" s="52">
        <v>15</v>
      </c>
      <c r="H147" s="50">
        <f t="shared" si="23"/>
        <v>1.1760912590556813</v>
      </c>
      <c r="I147" s="65">
        <v>2.95</v>
      </c>
      <c r="J147" s="71">
        <f t="shared" si="24"/>
        <v>0</v>
      </c>
      <c r="K147" s="52">
        <v>0</v>
      </c>
      <c r="L147" s="54">
        <v>-0.28000000000000003</v>
      </c>
      <c r="M147" s="60">
        <f t="shared" si="25"/>
        <v>-0.14266750356873156</v>
      </c>
      <c r="N147" s="62">
        <f t="shared" si="26"/>
        <v>1.5910646070264991</v>
      </c>
      <c r="O147" s="52">
        <v>39</v>
      </c>
      <c r="P147" s="52">
        <f t="shared" si="20"/>
        <v>0</v>
      </c>
      <c r="Q147" s="52">
        <v>70</v>
      </c>
      <c r="R147" s="52">
        <v>70</v>
      </c>
      <c r="S147" s="52">
        <v>85</v>
      </c>
      <c r="T147" s="55">
        <v>25.9</v>
      </c>
      <c r="U147" s="56">
        <v>36.959146749272797</v>
      </c>
      <c r="V147" s="52">
        <v>1421.558</v>
      </c>
      <c r="W147" s="50">
        <f t="shared" si="27"/>
        <v>3.1527645837352773</v>
      </c>
      <c r="X147" s="57">
        <v>2</v>
      </c>
      <c r="Y147" s="52">
        <v>3476.3409999999999</v>
      </c>
      <c r="Z147" s="50">
        <f t="shared" si="28"/>
        <v>3.5411223705253856</v>
      </c>
      <c r="AA147" s="50">
        <f t="shared" si="29"/>
        <v>8.4313637641589878</v>
      </c>
      <c r="AB147" s="52">
        <v>270000000</v>
      </c>
    </row>
    <row r="148" spans="1:28" x14ac:dyDescent="0.35">
      <c r="A148" s="49" t="s">
        <v>45</v>
      </c>
      <c r="B148" s="50">
        <v>-1</v>
      </c>
      <c r="C148" s="50">
        <f t="shared" si="21"/>
        <v>-1</v>
      </c>
      <c r="D148" s="50">
        <v>1.1123287671232878</v>
      </c>
      <c r="E148" s="50">
        <v>0</v>
      </c>
      <c r="F148" s="50">
        <f t="shared" si="22"/>
        <v>0</v>
      </c>
      <c r="G148" s="50">
        <v>0</v>
      </c>
      <c r="H148" s="50">
        <f t="shared" si="23"/>
        <v>0</v>
      </c>
      <c r="I148" s="59">
        <v>2.95</v>
      </c>
      <c r="J148" s="71">
        <f t="shared" si="24"/>
        <v>0</v>
      </c>
      <c r="K148" s="50">
        <v>0</v>
      </c>
      <c r="L148" s="61">
        <v>-0.18</v>
      </c>
      <c r="M148" s="60">
        <f t="shared" si="25"/>
        <v>-8.6186147616283279E-2</v>
      </c>
      <c r="N148" s="62">
        <f t="shared" si="26"/>
        <v>1.5314789170422551</v>
      </c>
      <c r="O148" s="50">
        <v>34</v>
      </c>
      <c r="P148" s="50">
        <f t="shared" si="20"/>
        <v>0</v>
      </c>
      <c r="Q148" s="50">
        <v>70</v>
      </c>
      <c r="R148" s="50">
        <v>70</v>
      </c>
      <c r="S148" s="50">
        <v>85</v>
      </c>
      <c r="T148" s="62">
        <v>28.2</v>
      </c>
      <c r="U148" s="63">
        <v>34.298950279384798</v>
      </c>
      <c r="V148" s="50">
        <v>1421.558</v>
      </c>
      <c r="W148" s="50">
        <f t="shared" si="27"/>
        <v>3.1527645837352773</v>
      </c>
      <c r="X148" s="64">
        <v>2</v>
      </c>
      <c r="Y148" s="50">
        <v>3476.3409999999999</v>
      </c>
      <c r="Z148" s="50">
        <f t="shared" si="28"/>
        <v>3.5411223705253856</v>
      </c>
      <c r="AA148" s="50">
        <f t="shared" si="29"/>
        <v>7.3979400086720375</v>
      </c>
      <c r="AB148" s="50">
        <v>25000000</v>
      </c>
    </row>
    <row r="149" spans="1:28" x14ac:dyDescent="0.35">
      <c r="A149" s="67" t="s">
        <v>45</v>
      </c>
      <c r="B149" s="52">
        <v>4.76</v>
      </c>
      <c r="C149" s="50">
        <f t="shared" si="21"/>
        <v>0.76042248342321206</v>
      </c>
      <c r="D149" s="52">
        <v>11.517808219178082</v>
      </c>
      <c r="E149" s="52">
        <v>0</v>
      </c>
      <c r="F149" s="50">
        <f t="shared" si="22"/>
        <v>0</v>
      </c>
      <c r="G149" s="52">
        <v>28</v>
      </c>
      <c r="H149" s="50">
        <f t="shared" si="23"/>
        <v>1.4471580313422192</v>
      </c>
      <c r="I149" s="65">
        <v>2.95</v>
      </c>
      <c r="J149" s="71">
        <f t="shared" si="24"/>
        <v>0</v>
      </c>
      <c r="K149" s="52">
        <v>0</v>
      </c>
      <c r="L149" s="54">
        <v>0.85</v>
      </c>
      <c r="M149" s="60">
        <f t="shared" si="25"/>
        <v>0.26717172840301384</v>
      </c>
      <c r="N149" s="62">
        <f t="shared" si="26"/>
        <v>1.0791812460476249</v>
      </c>
      <c r="O149" s="52">
        <v>12</v>
      </c>
      <c r="P149" s="52">
        <f t="shared" si="20"/>
        <v>0</v>
      </c>
      <c r="Q149" s="52">
        <v>70</v>
      </c>
      <c r="R149" s="52">
        <v>70</v>
      </c>
      <c r="S149" s="52">
        <v>85</v>
      </c>
      <c r="T149" s="55">
        <v>24.6</v>
      </c>
      <c r="U149" s="56">
        <v>36.876470987978301</v>
      </c>
      <c r="V149" s="52">
        <v>1455.045546765431</v>
      </c>
      <c r="W149" s="50">
        <f t="shared" si="27"/>
        <v>3.1628765880980758</v>
      </c>
      <c r="X149" s="57">
        <v>2</v>
      </c>
      <c r="Y149" s="52">
        <v>4062.5127653490554</v>
      </c>
      <c r="Z149" s="50">
        <f t="shared" si="28"/>
        <v>3.6087947386421786</v>
      </c>
      <c r="AA149" s="50">
        <f t="shared" si="29"/>
        <v>8.0211892990699383</v>
      </c>
      <c r="AB149" s="52">
        <v>105000000</v>
      </c>
    </row>
    <row r="150" spans="1:28" x14ac:dyDescent="0.35">
      <c r="A150" s="49" t="s">
        <v>45</v>
      </c>
      <c r="B150" s="50">
        <v>0.8574042261979582</v>
      </c>
      <c r="C150" s="50">
        <f t="shared" si="21"/>
        <v>0.26890642937415743</v>
      </c>
      <c r="D150" s="50">
        <v>2.1424657534246574</v>
      </c>
      <c r="E150" s="50">
        <v>0</v>
      </c>
      <c r="F150" s="50">
        <f t="shared" si="22"/>
        <v>0</v>
      </c>
      <c r="G150" s="50">
        <v>0</v>
      </c>
      <c r="H150" s="50">
        <f t="shared" si="23"/>
        <v>0</v>
      </c>
      <c r="I150" s="59">
        <v>2.95</v>
      </c>
      <c r="J150" s="71">
        <f t="shared" si="24"/>
        <v>0</v>
      </c>
      <c r="K150" s="50">
        <v>0</v>
      </c>
      <c r="L150" s="61">
        <v>0.66</v>
      </c>
      <c r="M150" s="60">
        <f t="shared" si="25"/>
        <v>0.22010808804005513</v>
      </c>
      <c r="N150" s="62">
        <f t="shared" si="26"/>
        <v>1.0791812460476249</v>
      </c>
      <c r="O150" s="50">
        <v>12</v>
      </c>
      <c r="P150" s="50">
        <f t="shared" si="20"/>
        <v>0</v>
      </c>
      <c r="Q150" s="50">
        <v>70</v>
      </c>
      <c r="R150" s="50">
        <v>70</v>
      </c>
      <c r="S150" s="50">
        <v>85</v>
      </c>
      <c r="T150" s="62">
        <v>27.4</v>
      </c>
      <c r="U150" s="63">
        <v>35.968444143503902</v>
      </c>
      <c r="V150" s="50">
        <v>2315.9650000000001</v>
      </c>
      <c r="W150" s="50">
        <f t="shared" si="27"/>
        <v>3.3647319918335836</v>
      </c>
      <c r="X150" s="64">
        <v>4</v>
      </c>
      <c r="Y150" s="50">
        <v>3703.9029999999998</v>
      </c>
      <c r="Z150" s="50">
        <f t="shared" si="28"/>
        <v>3.568659604598353</v>
      </c>
      <c r="AA150" s="50">
        <f t="shared" si="29"/>
        <v>8.8549190878308881</v>
      </c>
      <c r="AB150" s="50">
        <v>716010000</v>
      </c>
    </row>
    <row r="151" spans="1:28" x14ac:dyDescent="0.35">
      <c r="A151" s="67" t="s">
        <v>45</v>
      </c>
      <c r="B151" s="52">
        <v>0.40369230769230779</v>
      </c>
      <c r="C151" s="50">
        <f t="shared" si="21"/>
        <v>0.14727191996175543</v>
      </c>
      <c r="D151" s="52">
        <v>6.1780821917808222</v>
      </c>
      <c r="E151" s="52">
        <v>0</v>
      </c>
      <c r="F151" s="50">
        <f t="shared" si="22"/>
        <v>0</v>
      </c>
      <c r="G151" s="52">
        <v>3</v>
      </c>
      <c r="H151" s="50">
        <f t="shared" si="23"/>
        <v>0.47712125471966244</v>
      </c>
      <c r="I151" s="65">
        <v>2.95</v>
      </c>
      <c r="J151" s="71">
        <f t="shared" si="24"/>
        <v>0</v>
      </c>
      <c r="K151" s="52">
        <v>0</v>
      </c>
      <c r="L151" s="54">
        <v>0.12</v>
      </c>
      <c r="M151" s="60">
        <f t="shared" si="25"/>
        <v>4.9218022670181653E-2</v>
      </c>
      <c r="N151" s="62">
        <f t="shared" si="26"/>
        <v>1.0791812460476249</v>
      </c>
      <c r="O151" s="52">
        <v>12</v>
      </c>
      <c r="P151" s="52">
        <f t="shared" si="20"/>
        <v>0</v>
      </c>
      <c r="Q151" s="52">
        <v>70</v>
      </c>
      <c r="R151" s="52">
        <v>70</v>
      </c>
      <c r="S151" s="52">
        <v>85</v>
      </c>
      <c r="T151" s="55">
        <v>27.4</v>
      </c>
      <c r="U151" s="56">
        <v>35.968444143503902</v>
      </c>
      <c r="V151" s="52">
        <v>2315.9650000000001</v>
      </c>
      <c r="W151" s="50">
        <f t="shared" si="27"/>
        <v>3.3647319918335836</v>
      </c>
      <c r="X151" s="57">
        <v>4</v>
      </c>
      <c r="Y151" s="52">
        <v>3703.9029999999998</v>
      </c>
      <c r="Z151" s="50">
        <f t="shared" si="28"/>
        <v>3.568659604598353</v>
      </c>
      <c r="AA151" s="50">
        <f t="shared" si="29"/>
        <v>8.8129133566428557</v>
      </c>
      <c r="AB151" s="52">
        <v>650000000</v>
      </c>
    </row>
    <row r="152" spans="1:28" x14ac:dyDescent="0.35">
      <c r="A152" s="49" t="s">
        <v>45</v>
      </c>
      <c r="B152" s="50">
        <v>-0.39170370370370367</v>
      </c>
      <c r="C152" s="50">
        <f t="shared" si="21"/>
        <v>-0.21588482779645182</v>
      </c>
      <c r="D152" s="50">
        <v>10.435616438356165</v>
      </c>
      <c r="E152" s="50">
        <v>0</v>
      </c>
      <c r="F152" s="50">
        <f t="shared" si="22"/>
        <v>0</v>
      </c>
      <c r="G152" s="50">
        <v>99</v>
      </c>
      <c r="H152" s="50">
        <f t="shared" si="23"/>
        <v>1.9956351945975499</v>
      </c>
      <c r="I152" s="59">
        <v>2.95</v>
      </c>
      <c r="J152" s="71">
        <f t="shared" si="24"/>
        <v>0</v>
      </c>
      <c r="K152" s="50">
        <v>0</v>
      </c>
      <c r="L152" s="61">
        <v>1.03</v>
      </c>
      <c r="M152" s="60">
        <f t="shared" si="25"/>
        <v>0.30749603791321295</v>
      </c>
      <c r="N152" s="62">
        <f t="shared" si="26"/>
        <v>1.255272505103306</v>
      </c>
      <c r="O152" s="50">
        <v>18</v>
      </c>
      <c r="P152" s="50">
        <f t="shared" si="20"/>
        <v>0</v>
      </c>
      <c r="Q152" s="50">
        <v>70</v>
      </c>
      <c r="R152" s="50">
        <v>70</v>
      </c>
      <c r="S152" s="50">
        <v>85</v>
      </c>
      <c r="T152" s="62">
        <v>24.4</v>
      </c>
      <c r="U152" s="63">
        <v>37.256914365427299</v>
      </c>
      <c r="V152" s="50">
        <v>2315.9650000000001</v>
      </c>
      <c r="W152" s="50">
        <f t="shared" si="27"/>
        <v>3.3647319918335836</v>
      </c>
      <c r="X152" s="64">
        <v>4</v>
      </c>
      <c r="Y152" s="50">
        <v>3703.9029999999998</v>
      </c>
      <c r="Z152" s="50">
        <f t="shared" si="28"/>
        <v>3.568659604598353</v>
      </c>
      <c r="AA152" s="50">
        <f t="shared" si="29"/>
        <v>9.6744018128452822</v>
      </c>
      <c r="AB152" s="50">
        <v>4725000000</v>
      </c>
    </row>
    <row r="153" spans="1:28" x14ac:dyDescent="0.35">
      <c r="A153" s="67" t="s">
        <v>45</v>
      </c>
      <c r="B153" s="52">
        <v>1.3405257142857141</v>
      </c>
      <c r="C153" s="50">
        <f t="shared" si="21"/>
        <v>0.369313416884544</v>
      </c>
      <c r="D153" s="52">
        <v>9.0273972602739718</v>
      </c>
      <c r="E153" s="52">
        <v>0</v>
      </c>
      <c r="F153" s="50">
        <f t="shared" si="22"/>
        <v>0</v>
      </c>
      <c r="G153" s="52">
        <v>7</v>
      </c>
      <c r="H153" s="50">
        <f t="shared" si="23"/>
        <v>0.84509804001425681</v>
      </c>
      <c r="I153" s="65">
        <v>2.95</v>
      </c>
      <c r="J153" s="71">
        <f t="shared" si="24"/>
        <v>0</v>
      </c>
      <c r="K153" s="52">
        <v>0</v>
      </c>
      <c r="L153" s="54">
        <v>0.53</v>
      </c>
      <c r="M153" s="60">
        <f t="shared" si="25"/>
        <v>0.18469143081759881</v>
      </c>
      <c r="N153" s="62">
        <f t="shared" si="26"/>
        <v>1.2787536009528289</v>
      </c>
      <c r="O153" s="52">
        <v>19</v>
      </c>
      <c r="P153" s="52">
        <f t="shared" si="20"/>
        <v>0</v>
      </c>
      <c r="Q153" s="52">
        <v>70</v>
      </c>
      <c r="R153" s="52">
        <v>70</v>
      </c>
      <c r="S153" s="52">
        <v>85</v>
      </c>
      <c r="T153" s="55">
        <v>24.6</v>
      </c>
      <c r="U153" s="56">
        <v>36.876470987978301</v>
      </c>
      <c r="V153" s="52">
        <v>2315.9650000000001</v>
      </c>
      <c r="W153" s="50">
        <f t="shared" si="27"/>
        <v>3.3647319918335836</v>
      </c>
      <c r="X153" s="57">
        <v>4</v>
      </c>
      <c r="Y153" s="52">
        <v>3703.9029999999998</v>
      </c>
      <c r="Z153" s="50">
        <f t="shared" si="28"/>
        <v>3.568659604598353</v>
      </c>
      <c r="AA153" s="50">
        <f t="shared" si="29"/>
        <v>9.2430380486862944</v>
      </c>
      <c r="AB153" s="52">
        <v>1750000000</v>
      </c>
    </row>
    <row r="154" spans="1:28" x14ac:dyDescent="0.35">
      <c r="A154" s="49" t="s">
        <v>45</v>
      </c>
      <c r="B154" s="50">
        <v>-1</v>
      </c>
      <c r="C154" s="50">
        <f t="shared" si="21"/>
        <v>-1</v>
      </c>
      <c r="D154" s="50">
        <v>5.8876712328767127</v>
      </c>
      <c r="E154" s="50">
        <v>0</v>
      </c>
      <c r="F154" s="50">
        <f t="shared" si="22"/>
        <v>0</v>
      </c>
      <c r="G154" s="50">
        <v>53</v>
      </c>
      <c r="H154" s="50">
        <f t="shared" si="23"/>
        <v>1.7242758696007889</v>
      </c>
      <c r="I154" s="59">
        <v>2.95</v>
      </c>
      <c r="J154" s="71">
        <f t="shared" si="24"/>
        <v>0</v>
      </c>
      <c r="K154" s="50">
        <v>0</v>
      </c>
      <c r="L154" s="61">
        <v>-0.05</v>
      </c>
      <c r="M154" s="60">
        <f t="shared" si="25"/>
        <v>-2.2276394711152253E-2</v>
      </c>
      <c r="N154" s="62">
        <f t="shared" si="26"/>
        <v>1.255272505103306</v>
      </c>
      <c r="O154" s="50">
        <v>18</v>
      </c>
      <c r="P154" s="50">
        <f t="shared" si="20"/>
        <v>0</v>
      </c>
      <c r="Q154" s="50">
        <v>70</v>
      </c>
      <c r="R154" s="50">
        <v>70</v>
      </c>
      <c r="S154" s="50">
        <v>85</v>
      </c>
      <c r="T154" s="62">
        <v>24.4</v>
      </c>
      <c r="U154" s="63">
        <v>37.256914365427299</v>
      </c>
      <c r="V154" s="50">
        <v>2315.9650000000001</v>
      </c>
      <c r="W154" s="50">
        <f t="shared" si="27"/>
        <v>3.3647319918335836</v>
      </c>
      <c r="X154" s="64">
        <v>4</v>
      </c>
      <c r="Y154" s="50">
        <v>3703.9029999999998</v>
      </c>
      <c r="Z154" s="50">
        <f t="shared" si="28"/>
        <v>3.568659604598353</v>
      </c>
      <c r="AA154" s="50">
        <f t="shared" si="29"/>
        <v>9.1766439089168497</v>
      </c>
      <c r="AB154" s="50">
        <v>1501910000</v>
      </c>
    </row>
    <row r="155" spans="1:28" x14ac:dyDescent="0.35">
      <c r="A155" s="67" t="s">
        <v>45</v>
      </c>
      <c r="B155" s="52">
        <v>5.666666666666667</v>
      </c>
      <c r="C155" s="50">
        <f t="shared" si="21"/>
        <v>0.82390874094431876</v>
      </c>
      <c r="D155" s="52">
        <v>2.2246575342465755</v>
      </c>
      <c r="E155" s="52">
        <v>6815.73</v>
      </c>
      <c r="F155" s="50">
        <f t="shared" si="22"/>
        <v>3.8335123778512705</v>
      </c>
      <c r="G155" s="52">
        <v>9</v>
      </c>
      <c r="H155" s="50">
        <f t="shared" si="23"/>
        <v>0.95424250943932487</v>
      </c>
      <c r="I155" s="65">
        <v>2.85</v>
      </c>
      <c r="J155" s="71">
        <f t="shared" si="24"/>
        <v>2.9132839017604186</v>
      </c>
      <c r="K155" s="52">
        <v>819</v>
      </c>
      <c r="L155" s="54">
        <v>0.78</v>
      </c>
      <c r="M155" s="60">
        <f t="shared" si="25"/>
        <v>0.250420002308894</v>
      </c>
      <c r="N155" s="62">
        <f t="shared" si="26"/>
        <v>1.1139433523068367</v>
      </c>
      <c r="O155" s="52">
        <v>13</v>
      </c>
      <c r="P155" s="52">
        <f t="shared" si="20"/>
        <v>1</v>
      </c>
      <c r="Q155" s="52">
        <v>70</v>
      </c>
      <c r="R155" s="52">
        <v>70</v>
      </c>
      <c r="S155" s="52">
        <v>91.9</v>
      </c>
      <c r="T155" s="55">
        <v>23</v>
      </c>
      <c r="U155" s="56">
        <v>43.262530407091703</v>
      </c>
      <c r="V155" s="52">
        <v>2515.7884814779904</v>
      </c>
      <c r="W155" s="50">
        <f t="shared" si="27"/>
        <v>3.4006741243771632</v>
      </c>
      <c r="X155" s="57">
        <v>2</v>
      </c>
      <c r="Y155" s="52">
        <v>6800.8294844000393</v>
      </c>
      <c r="Z155" s="50">
        <f t="shared" si="28"/>
        <v>3.8325618860191688</v>
      </c>
      <c r="AA155" s="50">
        <f t="shared" si="29"/>
        <v>6.7781512503836439</v>
      </c>
      <c r="AB155" s="52">
        <v>6000000</v>
      </c>
    </row>
    <row r="156" spans="1:28" x14ac:dyDescent="0.35">
      <c r="A156" s="49" t="s">
        <v>45</v>
      </c>
      <c r="B156" s="50">
        <v>-1</v>
      </c>
      <c r="C156" s="50">
        <f t="shared" si="21"/>
        <v>-1</v>
      </c>
      <c r="D156" s="50">
        <v>5.5671232876712331</v>
      </c>
      <c r="E156" s="50">
        <v>0</v>
      </c>
      <c r="F156" s="50">
        <f t="shared" si="22"/>
        <v>0</v>
      </c>
      <c r="G156" s="50">
        <v>81</v>
      </c>
      <c r="H156" s="50">
        <f t="shared" si="23"/>
        <v>1.9084850188786497</v>
      </c>
      <c r="I156" s="59">
        <v>2.95</v>
      </c>
      <c r="J156" s="71">
        <f t="shared" si="24"/>
        <v>0</v>
      </c>
      <c r="K156" s="50">
        <v>0</v>
      </c>
      <c r="L156" s="61">
        <v>0.01</v>
      </c>
      <c r="M156" s="60">
        <f t="shared" si="25"/>
        <v>4.3213737826425782E-3</v>
      </c>
      <c r="N156" s="62">
        <f t="shared" si="26"/>
        <v>1.1139433523068367</v>
      </c>
      <c r="O156" s="50">
        <v>13</v>
      </c>
      <c r="P156" s="50">
        <f t="shared" si="20"/>
        <v>0</v>
      </c>
      <c r="Q156" s="50">
        <v>70</v>
      </c>
      <c r="R156" s="50">
        <v>70</v>
      </c>
      <c r="S156" s="50">
        <v>85</v>
      </c>
      <c r="T156" s="62">
        <v>25.9</v>
      </c>
      <c r="U156" s="63">
        <v>36.959146749272797</v>
      </c>
      <c r="V156" s="50">
        <v>1455.046</v>
      </c>
      <c r="W156" s="50">
        <f t="shared" si="27"/>
        <v>3.1628767233771686</v>
      </c>
      <c r="X156" s="64">
        <v>2</v>
      </c>
      <c r="Y156" s="50">
        <v>4062.5129999999999</v>
      </c>
      <c r="Z156" s="50">
        <f t="shared" si="28"/>
        <v>3.6087947637270492</v>
      </c>
      <c r="AA156" s="50">
        <f t="shared" si="29"/>
        <v>9.6823319362888824</v>
      </c>
      <c r="AB156" s="50">
        <v>4812070000</v>
      </c>
    </row>
    <row r="157" spans="1:28" x14ac:dyDescent="0.35">
      <c r="A157" s="67" t="s">
        <v>45</v>
      </c>
      <c r="B157" s="52">
        <v>-1</v>
      </c>
      <c r="C157" s="50">
        <f t="shared" si="21"/>
        <v>-1</v>
      </c>
      <c r="D157" s="52">
        <v>2.0821917808219177</v>
      </c>
      <c r="E157" s="52">
        <v>0</v>
      </c>
      <c r="F157" s="50">
        <f t="shared" si="22"/>
        <v>0</v>
      </c>
      <c r="G157" s="52">
        <v>0</v>
      </c>
      <c r="H157" s="50">
        <f t="shared" si="23"/>
        <v>0</v>
      </c>
      <c r="I157" s="65">
        <v>2.95</v>
      </c>
      <c r="J157" s="71">
        <f t="shared" si="24"/>
        <v>0</v>
      </c>
      <c r="K157" s="52">
        <v>0</v>
      </c>
      <c r="L157" s="54">
        <v>-0.36</v>
      </c>
      <c r="M157" s="60">
        <f t="shared" si="25"/>
        <v>-0.19382002601611281</v>
      </c>
      <c r="N157" s="62">
        <f t="shared" si="26"/>
        <v>0.90308998699194354</v>
      </c>
      <c r="O157" s="52">
        <v>8</v>
      </c>
      <c r="P157" s="52">
        <f t="shared" si="20"/>
        <v>0</v>
      </c>
      <c r="Q157" s="52">
        <v>70</v>
      </c>
      <c r="R157" s="52">
        <v>70</v>
      </c>
      <c r="S157" s="52">
        <v>85</v>
      </c>
      <c r="T157" s="55">
        <v>28.2</v>
      </c>
      <c r="U157" s="56">
        <v>34.298950279384798</v>
      </c>
      <c r="V157" s="52">
        <v>1455.046</v>
      </c>
      <c r="W157" s="50">
        <f t="shared" si="27"/>
        <v>3.1628767233771686</v>
      </c>
      <c r="X157" s="57">
        <v>2</v>
      </c>
      <c r="Y157" s="52">
        <v>4062.5129999999999</v>
      </c>
      <c r="Z157" s="50">
        <f t="shared" si="28"/>
        <v>3.6087947637270492</v>
      </c>
      <c r="AA157" s="50">
        <f t="shared" si="29"/>
        <v>7.5563025007672868</v>
      </c>
      <c r="AB157" s="52">
        <v>36000000</v>
      </c>
    </row>
    <row r="158" spans="1:28" x14ac:dyDescent="0.35">
      <c r="A158" s="49" t="s">
        <v>45</v>
      </c>
      <c r="B158" s="50">
        <v>-1</v>
      </c>
      <c r="C158" s="50">
        <f t="shared" si="21"/>
        <v>-1</v>
      </c>
      <c r="D158" s="50">
        <v>3.9808219178082194</v>
      </c>
      <c r="E158" s="50">
        <v>0</v>
      </c>
      <c r="F158" s="50">
        <f t="shared" si="22"/>
        <v>0</v>
      </c>
      <c r="G158" s="50">
        <v>13</v>
      </c>
      <c r="H158" s="50">
        <f t="shared" si="23"/>
        <v>1.1139433523068367</v>
      </c>
      <c r="I158" s="59">
        <v>2.95</v>
      </c>
      <c r="J158" s="71">
        <f t="shared" si="24"/>
        <v>0</v>
      </c>
      <c r="K158" s="50">
        <v>0</v>
      </c>
      <c r="L158" s="61">
        <v>0.09</v>
      </c>
      <c r="M158" s="60">
        <f t="shared" si="25"/>
        <v>3.7426497940623665E-2</v>
      </c>
      <c r="N158" s="62">
        <f t="shared" si="26"/>
        <v>0.69897000433601886</v>
      </c>
      <c r="O158" s="50">
        <v>5</v>
      </c>
      <c r="P158" s="50">
        <f t="shared" si="20"/>
        <v>0</v>
      </c>
      <c r="Q158" s="50">
        <v>70</v>
      </c>
      <c r="R158" s="50">
        <v>70</v>
      </c>
      <c r="S158" s="50">
        <v>85</v>
      </c>
      <c r="T158" s="62">
        <v>27.4</v>
      </c>
      <c r="U158" s="63">
        <v>35.968444143503902</v>
      </c>
      <c r="V158" s="50">
        <v>1455.046</v>
      </c>
      <c r="W158" s="50">
        <f t="shared" si="27"/>
        <v>3.1628767233771686</v>
      </c>
      <c r="X158" s="64">
        <v>2</v>
      </c>
      <c r="Y158" s="50">
        <v>4062.5129999999999</v>
      </c>
      <c r="Z158" s="50">
        <f t="shared" si="28"/>
        <v>3.6087947637270492</v>
      </c>
      <c r="AA158" s="50">
        <f t="shared" si="29"/>
        <v>9.1255137959041157</v>
      </c>
      <c r="AB158" s="50">
        <v>1335100000</v>
      </c>
    </row>
    <row r="159" spans="1:28" x14ac:dyDescent="0.35">
      <c r="A159" s="67" t="s">
        <v>45</v>
      </c>
      <c r="B159" s="52">
        <v>-1</v>
      </c>
      <c r="C159" s="50">
        <f t="shared" si="21"/>
        <v>-1</v>
      </c>
      <c r="D159" s="52">
        <v>1.0630136986301371</v>
      </c>
      <c r="E159" s="52">
        <v>0</v>
      </c>
      <c r="F159" s="50">
        <f t="shared" si="22"/>
        <v>0</v>
      </c>
      <c r="G159" s="52">
        <v>3</v>
      </c>
      <c r="H159" s="50">
        <f t="shared" si="23"/>
        <v>0.47712125471966244</v>
      </c>
      <c r="I159" s="65">
        <v>2.95</v>
      </c>
      <c r="J159" s="71">
        <f t="shared" si="24"/>
        <v>0</v>
      </c>
      <c r="K159" s="52">
        <v>0</v>
      </c>
      <c r="L159" s="54">
        <v>-0.18</v>
      </c>
      <c r="M159" s="60">
        <f t="shared" si="25"/>
        <v>-8.6186147616283279E-2</v>
      </c>
      <c r="N159" s="62">
        <f t="shared" si="26"/>
        <v>0.90308998699194354</v>
      </c>
      <c r="O159" s="52">
        <v>8</v>
      </c>
      <c r="P159" s="52">
        <f t="shared" si="20"/>
        <v>0</v>
      </c>
      <c r="Q159" s="52">
        <v>70</v>
      </c>
      <c r="R159" s="52">
        <v>70</v>
      </c>
      <c r="S159" s="52">
        <v>85</v>
      </c>
      <c r="T159" s="55">
        <v>28.2</v>
      </c>
      <c r="U159" s="56">
        <v>34.298950279384798</v>
      </c>
      <c r="V159" s="52">
        <v>1455.046</v>
      </c>
      <c r="W159" s="50">
        <f t="shared" si="27"/>
        <v>3.1628767233771686</v>
      </c>
      <c r="X159" s="57">
        <v>2</v>
      </c>
      <c r="Y159" s="52">
        <v>4062.5129999999999</v>
      </c>
      <c r="Z159" s="50">
        <f t="shared" si="28"/>
        <v>3.6087947637270492</v>
      </c>
      <c r="AA159" s="50">
        <f t="shared" si="29"/>
        <v>8.2430380486862944</v>
      </c>
      <c r="AB159" s="52">
        <v>175000000</v>
      </c>
    </row>
    <row r="160" spans="1:28" x14ac:dyDescent="0.35">
      <c r="A160" s="49" t="s">
        <v>45</v>
      </c>
      <c r="B160" s="50">
        <v>-1</v>
      </c>
      <c r="C160" s="50">
        <f t="shared" si="21"/>
        <v>-1</v>
      </c>
      <c r="D160" s="50">
        <v>2.1506849315068495</v>
      </c>
      <c r="E160" s="50">
        <v>0</v>
      </c>
      <c r="F160" s="50">
        <f t="shared" si="22"/>
        <v>0</v>
      </c>
      <c r="G160" s="50">
        <v>2</v>
      </c>
      <c r="H160" s="50">
        <f t="shared" si="23"/>
        <v>0.3010299956639812</v>
      </c>
      <c r="I160" s="59">
        <v>2.95</v>
      </c>
      <c r="J160" s="71">
        <f t="shared" si="24"/>
        <v>0</v>
      </c>
      <c r="K160" s="50">
        <v>0</v>
      </c>
      <c r="L160" s="61">
        <v>-0.41</v>
      </c>
      <c r="M160" s="60">
        <f t="shared" si="25"/>
        <v>-0.22914798835785574</v>
      </c>
      <c r="N160" s="62">
        <f t="shared" si="26"/>
        <v>1.146128035678238</v>
      </c>
      <c r="O160" s="50">
        <v>14</v>
      </c>
      <c r="P160" s="50">
        <f t="shared" si="20"/>
        <v>0</v>
      </c>
      <c r="Q160" s="50">
        <v>70</v>
      </c>
      <c r="R160" s="50">
        <v>70</v>
      </c>
      <c r="S160" s="50">
        <v>93.2</v>
      </c>
      <c r="T160" s="62">
        <v>26.7</v>
      </c>
      <c r="U160" s="63">
        <v>36.669158714517401</v>
      </c>
      <c r="V160" s="50">
        <v>1455.046</v>
      </c>
      <c r="W160" s="50">
        <f t="shared" si="27"/>
        <v>3.1628767233771686</v>
      </c>
      <c r="X160" s="64">
        <v>2</v>
      </c>
      <c r="Y160" s="50">
        <v>4062.5129999999999</v>
      </c>
      <c r="Z160" s="50">
        <f t="shared" si="28"/>
        <v>3.6087947637270492</v>
      </c>
      <c r="AA160" s="50">
        <f t="shared" si="29"/>
        <v>9.3620336227143426</v>
      </c>
      <c r="AB160" s="50">
        <v>2301620000</v>
      </c>
    </row>
    <row r="161" spans="1:28" x14ac:dyDescent="0.35">
      <c r="A161" s="67" t="s">
        <v>45</v>
      </c>
      <c r="B161" s="52">
        <v>-1</v>
      </c>
      <c r="C161" s="50">
        <f t="shared" si="21"/>
        <v>-1</v>
      </c>
      <c r="D161" s="52">
        <v>0.44931506849315067</v>
      </c>
      <c r="E161" s="52">
        <v>0</v>
      </c>
      <c r="F161" s="50">
        <f t="shared" si="22"/>
        <v>0</v>
      </c>
      <c r="G161" s="52">
        <v>119</v>
      </c>
      <c r="H161" s="50">
        <f t="shared" si="23"/>
        <v>2.0755469613925306</v>
      </c>
      <c r="I161" s="65">
        <v>2.95</v>
      </c>
      <c r="J161" s="71">
        <f t="shared" si="24"/>
        <v>0</v>
      </c>
      <c r="K161" s="52">
        <v>0</v>
      </c>
      <c r="L161" s="54">
        <v>-0.09</v>
      </c>
      <c r="M161" s="60">
        <f t="shared" si="25"/>
        <v>-4.0958607678906384E-2</v>
      </c>
      <c r="N161" s="62">
        <f t="shared" si="26"/>
        <v>1.2041199826559248</v>
      </c>
      <c r="O161" s="52">
        <v>16</v>
      </c>
      <c r="P161" s="52">
        <f t="shared" si="20"/>
        <v>0</v>
      </c>
      <c r="Q161" s="52">
        <v>70</v>
      </c>
      <c r="R161" s="52">
        <v>70</v>
      </c>
      <c r="S161" s="52">
        <v>92.6</v>
      </c>
      <c r="T161" s="55">
        <v>25.7</v>
      </c>
      <c r="U161" s="56">
        <v>39.823361151429197</v>
      </c>
      <c r="V161" s="52">
        <v>1455.046</v>
      </c>
      <c r="W161" s="50">
        <f t="shared" si="27"/>
        <v>3.1628767233771686</v>
      </c>
      <c r="X161" s="57">
        <v>2</v>
      </c>
      <c r="Y161" s="52">
        <v>4062.5129999999999</v>
      </c>
      <c r="Z161" s="50">
        <f t="shared" si="28"/>
        <v>3.6087947637270492</v>
      </c>
      <c r="AA161" s="50">
        <f t="shared" si="29"/>
        <v>9.8475726591421129</v>
      </c>
      <c r="AB161" s="52">
        <v>7040000000</v>
      </c>
    </row>
    <row r="162" spans="1:28" x14ac:dyDescent="0.35">
      <c r="A162" s="49" t="s">
        <v>45</v>
      </c>
      <c r="B162" s="50">
        <v>-0.77161250000000003</v>
      </c>
      <c r="C162" s="50">
        <f t="shared" si="21"/>
        <v>-0.64132766938232411</v>
      </c>
      <c r="D162" s="50">
        <v>7.4027397260273968</v>
      </c>
      <c r="E162" s="50">
        <v>0</v>
      </c>
      <c r="F162" s="50">
        <f t="shared" si="22"/>
        <v>0</v>
      </c>
      <c r="G162" s="50">
        <v>99</v>
      </c>
      <c r="H162" s="50">
        <f t="shared" si="23"/>
        <v>1.9956351945975499</v>
      </c>
      <c r="I162" s="59">
        <v>2.95</v>
      </c>
      <c r="J162" s="71">
        <f t="shared" si="24"/>
        <v>0</v>
      </c>
      <c r="K162" s="50">
        <v>0</v>
      </c>
      <c r="L162" s="61">
        <v>0.47</v>
      </c>
      <c r="M162" s="60">
        <f t="shared" si="25"/>
        <v>0.16731733474817609</v>
      </c>
      <c r="N162" s="62">
        <f t="shared" si="26"/>
        <v>0.69897000433601886</v>
      </c>
      <c r="O162" s="50">
        <v>5</v>
      </c>
      <c r="P162" s="50">
        <f t="shared" si="20"/>
        <v>0</v>
      </c>
      <c r="Q162" s="50">
        <v>70</v>
      </c>
      <c r="R162" s="50">
        <v>70</v>
      </c>
      <c r="S162" s="50">
        <v>85</v>
      </c>
      <c r="T162" s="62">
        <v>27.4</v>
      </c>
      <c r="U162" s="63">
        <v>35.968444143503902</v>
      </c>
      <c r="V162" s="50">
        <v>1455.046</v>
      </c>
      <c r="W162" s="50">
        <f t="shared" si="27"/>
        <v>3.1628767233771686</v>
      </c>
      <c r="X162" s="64">
        <v>2</v>
      </c>
      <c r="Y162" s="50">
        <v>4062.5129999999999</v>
      </c>
      <c r="Z162" s="50">
        <f t="shared" si="28"/>
        <v>3.6087947637270492</v>
      </c>
      <c r="AA162" s="50">
        <f t="shared" si="29"/>
        <v>8.9030899869919438</v>
      </c>
      <c r="AB162" s="50">
        <v>800000000</v>
      </c>
    </row>
    <row r="163" spans="1:28" x14ac:dyDescent="0.35">
      <c r="A163" s="67" t="s">
        <v>45</v>
      </c>
      <c r="B163" s="52">
        <v>2.0249217142857141</v>
      </c>
      <c r="C163" s="50">
        <f t="shared" si="21"/>
        <v>0.48071413948644659</v>
      </c>
      <c r="D163" s="52">
        <v>6.2191780821917808</v>
      </c>
      <c r="E163" s="52">
        <v>0</v>
      </c>
      <c r="F163" s="50">
        <f t="shared" si="22"/>
        <v>0</v>
      </c>
      <c r="G163" s="52">
        <v>14</v>
      </c>
      <c r="H163" s="50">
        <f t="shared" si="23"/>
        <v>1.146128035678238</v>
      </c>
      <c r="I163" s="65">
        <v>2.95</v>
      </c>
      <c r="J163" s="71">
        <f t="shared" si="24"/>
        <v>0</v>
      </c>
      <c r="K163" s="52">
        <v>0</v>
      </c>
      <c r="L163" s="54">
        <v>-0.02</v>
      </c>
      <c r="M163" s="60">
        <f t="shared" si="25"/>
        <v>-8.7739243075051505E-3</v>
      </c>
      <c r="N163" s="62">
        <f t="shared" si="26"/>
        <v>0.77815125038364363</v>
      </c>
      <c r="O163" s="52">
        <v>6</v>
      </c>
      <c r="P163" s="52">
        <f t="shared" si="20"/>
        <v>0</v>
      </c>
      <c r="Q163" s="52">
        <v>70</v>
      </c>
      <c r="R163" s="52">
        <v>70</v>
      </c>
      <c r="S163" s="52">
        <v>85</v>
      </c>
      <c r="T163" s="55">
        <v>27.8</v>
      </c>
      <c r="U163" s="56">
        <v>35.119429201759203</v>
      </c>
      <c r="V163" s="52">
        <v>1455.046</v>
      </c>
      <c r="W163" s="50">
        <f t="shared" si="27"/>
        <v>3.1628767233771686</v>
      </c>
      <c r="X163" s="57">
        <v>2</v>
      </c>
      <c r="Y163" s="52">
        <v>4062.5129999999999</v>
      </c>
      <c r="Z163" s="50">
        <f t="shared" si="28"/>
        <v>3.6087947637270492</v>
      </c>
      <c r="AA163" s="50">
        <f t="shared" si="29"/>
        <v>8.5440680443502757</v>
      </c>
      <c r="AB163" s="52">
        <v>350000000</v>
      </c>
    </row>
    <row r="164" spans="1:28" x14ac:dyDescent="0.35">
      <c r="A164" s="49" t="s">
        <v>45</v>
      </c>
      <c r="B164" s="50">
        <v>4.9999999999998934E-3</v>
      </c>
      <c r="C164" s="50">
        <f t="shared" si="21"/>
        <v>2.1660617565076304E-3</v>
      </c>
      <c r="D164" s="50">
        <v>4.9260273972602739</v>
      </c>
      <c r="E164" s="50">
        <v>0</v>
      </c>
      <c r="F164" s="50">
        <f t="shared" si="22"/>
        <v>0</v>
      </c>
      <c r="G164" s="50">
        <v>48</v>
      </c>
      <c r="H164" s="50">
        <f t="shared" si="23"/>
        <v>1.6812412373755872</v>
      </c>
      <c r="I164" s="59">
        <v>2.95</v>
      </c>
      <c r="J164" s="71">
        <f t="shared" si="24"/>
        <v>0</v>
      </c>
      <c r="K164" s="50">
        <v>0</v>
      </c>
      <c r="L164" s="61">
        <v>-0.18</v>
      </c>
      <c r="M164" s="60">
        <f t="shared" si="25"/>
        <v>-8.6186147616283279E-2</v>
      </c>
      <c r="N164" s="62">
        <f t="shared" si="26"/>
        <v>0.84509804001425681</v>
      </c>
      <c r="O164" s="50">
        <v>7</v>
      </c>
      <c r="P164" s="50">
        <f t="shared" si="20"/>
        <v>0</v>
      </c>
      <c r="Q164" s="50">
        <v>70</v>
      </c>
      <c r="R164" s="50">
        <v>70</v>
      </c>
      <c r="S164" s="50">
        <v>85</v>
      </c>
      <c r="T164" s="62">
        <v>27.8</v>
      </c>
      <c r="U164" s="63">
        <v>34.656907836978597</v>
      </c>
      <c r="V164" s="50">
        <v>1455.046</v>
      </c>
      <c r="W164" s="50">
        <f t="shared" si="27"/>
        <v>3.1628767233771686</v>
      </c>
      <c r="X164" s="64">
        <v>2</v>
      </c>
      <c r="Y164" s="50">
        <v>4062.5129999999999</v>
      </c>
      <c r="Z164" s="50">
        <f t="shared" si="28"/>
        <v>3.6087947637270492</v>
      </c>
      <c r="AA164" s="50">
        <f t="shared" si="29"/>
        <v>8.1461280356782382</v>
      </c>
      <c r="AB164" s="50">
        <v>140000000</v>
      </c>
    </row>
    <row r="165" spans="1:28" x14ac:dyDescent="0.35">
      <c r="A165" s="67" t="s">
        <v>45</v>
      </c>
      <c r="B165" s="52">
        <v>-0.46743905590490142</v>
      </c>
      <c r="C165" s="50">
        <f t="shared" si="21"/>
        <v>-0.27363068616204833</v>
      </c>
      <c r="D165" s="52">
        <v>4.0547945205479454</v>
      </c>
      <c r="E165" s="52">
        <v>0</v>
      </c>
      <c r="F165" s="50">
        <f t="shared" si="22"/>
        <v>0</v>
      </c>
      <c r="G165" s="52">
        <v>35</v>
      </c>
      <c r="H165" s="50">
        <f t="shared" si="23"/>
        <v>1.5440680443502757</v>
      </c>
      <c r="I165" s="65">
        <v>2.95</v>
      </c>
      <c r="J165" s="71">
        <f t="shared" si="24"/>
        <v>0</v>
      </c>
      <c r="K165" s="52">
        <v>0</v>
      </c>
      <c r="L165" s="54">
        <v>-0.23</v>
      </c>
      <c r="M165" s="60">
        <f t="shared" si="25"/>
        <v>-0.11350927482751812</v>
      </c>
      <c r="N165" s="62">
        <f t="shared" si="26"/>
        <v>0.90308998699194354</v>
      </c>
      <c r="O165" s="52">
        <v>8</v>
      </c>
      <c r="P165" s="52">
        <f t="shared" si="20"/>
        <v>0</v>
      </c>
      <c r="Q165" s="52">
        <v>70</v>
      </c>
      <c r="R165" s="52">
        <v>70</v>
      </c>
      <c r="S165" s="52">
        <v>85</v>
      </c>
      <c r="T165" s="55">
        <v>28.2</v>
      </c>
      <c r="U165" s="56">
        <v>34.298950279384798</v>
      </c>
      <c r="V165" s="52">
        <v>1455.046</v>
      </c>
      <c r="W165" s="50">
        <f t="shared" si="27"/>
        <v>3.1628767233771686</v>
      </c>
      <c r="X165" s="57">
        <v>2</v>
      </c>
      <c r="Y165" s="52">
        <v>4062.5129999999999</v>
      </c>
      <c r="Z165" s="50">
        <f t="shared" si="28"/>
        <v>3.6087947637270492</v>
      </c>
      <c r="AA165" s="50">
        <f t="shared" si="29"/>
        <v>8.727809558365383</v>
      </c>
      <c r="AB165" s="52">
        <v>534330000</v>
      </c>
    </row>
    <row r="166" spans="1:28" x14ac:dyDescent="0.35">
      <c r="A166" s="49" t="s">
        <v>45</v>
      </c>
      <c r="B166" s="50">
        <v>0.31535000000000002</v>
      </c>
      <c r="C166" s="50">
        <f t="shared" si="21"/>
        <v>0.11904132913278011</v>
      </c>
      <c r="D166" s="50">
        <v>6.6739726027397257</v>
      </c>
      <c r="E166" s="50">
        <v>0</v>
      </c>
      <c r="F166" s="50">
        <f t="shared" si="22"/>
        <v>0</v>
      </c>
      <c r="G166" s="50">
        <v>21</v>
      </c>
      <c r="H166" s="50">
        <f t="shared" si="23"/>
        <v>1.3222192947339193</v>
      </c>
      <c r="I166" s="59">
        <v>2.95</v>
      </c>
      <c r="J166" s="71">
        <f t="shared" si="24"/>
        <v>0</v>
      </c>
      <c r="K166" s="50">
        <v>0</v>
      </c>
      <c r="L166" s="61">
        <v>0.15</v>
      </c>
      <c r="M166" s="60">
        <f t="shared" si="25"/>
        <v>6.069784035361165E-2</v>
      </c>
      <c r="N166" s="62">
        <f t="shared" si="26"/>
        <v>0.90308998699194354</v>
      </c>
      <c r="O166" s="50">
        <v>8</v>
      </c>
      <c r="P166" s="50">
        <f t="shared" si="20"/>
        <v>0</v>
      </c>
      <c r="Q166" s="50">
        <v>70</v>
      </c>
      <c r="R166" s="50">
        <v>70</v>
      </c>
      <c r="S166" s="50">
        <v>85</v>
      </c>
      <c r="T166" s="62">
        <v>28.2</v>
      </c>
      <c r="U166" s="63">
        <v>34.298950279384798</v>
      </c>
      <c r="V166" s="50">
        <v>1455.046</v>
      </c>
      <c r="W166" s="50">
        <f t="shared" si="27"/>
        <v>3.1628767233771686</v>
      </c>
      <c r="X166" s="64">
        <v>2</v>
      </c>
      <c r="Y166" s="50">
        <v>4062.5129999999999</v>
      </c>
      <c r="Z166" s="50">
        <f t="shared" si="28"/>
        <v>3.6087947637270492</v>
      </c>
      <c r="AA166" s="50">
        <f t="shared" si="29"/>
        <v>9.3010299956639813</v>
      </c>
      <c r="AB166" s="50">
        <v>2000000000</v>
      </c>
    </row>
    <row r="167" spans="1:28" x14ac:dyDescent="0.35">
      <c r="A167" s="67" t="s">
        <v>45</v>
      </c>
      <c r="B167" s="52">
        <v>-0.67720000000000002</v>
      </c>
      <c r="C167" s="50">
        <f t="shared" si="21"/>
        <v>-0.49106647394996722</v>
      </c>
      <c r="D167" s="52">
        <v>7</v>
      </c>
      <c r="E167" s="52">
        <v>0</v>
      </c>
      <c r="F167" s="50">
        <f t="shared" si="22"/>
        <v>0</v>
      </c>
      <c r="G167" s="52">
        <v>0</v>
      </c>
      <c r="H167" s="50">
        <f t="shared" si="23"/>
        <v>0</v>
      </c>
      <c r="I167" s="65">
        <v>2.95</v>
      </c>
      <c r="J167" s="71">
        <f t="shared" si="24"/>
        <v>0</v>
      </c>
      <c r="K167" s="52">
        <v>0</v>
      </c>
      <c r="L167" s="54">
        <v>-0.02</v>
      </c>
      <c r="M167" s="60">
        <f t="shared" si="25"/>
        <v>-8.7739243075051505E-3</v>
      </c>
      <c r="N167" s="62">
        <f t="shared" si="26"/>
        <v>0.90308998699194354</v>
      </c>
      <c r="O167" s="52">
        <v>8</v>
      </c>
      <c r="P167" s="52">
        <f t="shared" si="20"/>
        <v>0</v>
      </c>
      <c r="Q167" s="52">
        <v>70</v>
      </c>
      <c r="R167" s="52">
        <v>70</v>
      </c>
      <c r="S167" s="52">
        <v>85</v>
      </c>
      <c r="T167" s="55">
        <v>28.2</v>
      </c>
      <c r="U167" s="56">
        <v>34.298950279384798</v>
      </c>
      <c r="V167" s="52">
        <v>1455.046</v>
      </c>
      <c r="W167" s="50">
        <f t="shared" si="27"/>
        <v>3.1628767233771686</v>
      </c>
      <c r="X167" s="57">
        <v>2</v>
      </c>
      <c r="Y167" s="52">
        <v>4062.5129999999999</v>
      </c>
      <c r="Z167" s="50">
        <f t="shared" si="28"/>
        <v>3.6087947637270492</v>
      </c>
      <c r="AA167" s="50">
        <f t="shared" si="29"/>
        <v>8.5740312677277188</v>
      </c>
      <c r="AB167" s="52">
        <v>375000000</v>
      </c>
    </row>
    <row r="168" spans="1:28" x14ac:dyDescent="0.35">
      <c r="A168" s="49" t="s">
        <v>45</v>
      </c>
      <c r="B168" s="50">
        <v>4.2374000000000001</v>
      </c>
      <c r="C168" s="50">
        <f t="shared" si="21"/>
        <v>0.71911574387644306</v>
      </c>
      <c r="D168" s="50">
        <v>7.3726027397260276</v>
      </c>
      <c r="E168" s="50">
        <v>0</v>
      </c>
      <c r="F168" s="50">
        <f t="shared" si="22"/>
        <v>0</v>
      </c>
      <c r="G168" s="50">
        <v>16</v>
      </c>
      <c r="H168" s="50">
        <f t="shared" si="23"/>
        <v>1.2041199826559248</v>
      </c>
      <c r="I168" s="59">
        <v>2.95</v>
      </c>
      <c r="J168" s="71">
        <f t="shared" si="24"/>
        <v>0</v>
      </c>
      <c r="K168" s="50">
        <v>0</v>
      </c>
      <c r="L168" s="61">
        <v>7.0000000000000007E-2</v>
      </c>
      <c r="M168" s="60">
        <f t="shared" si="25"/>
        <v>2.9383777685209667E-2</v>
      </c>
      <c r="N168" s="62">
        <f t="shared" si="26"/>
        <v>1.0791812460476249</v>
      </c>
      <c r="O168" s="50">
        <v>12</v>
      </c>
      <c r="P168" s="50">
        <f t="shared" si="20"/>
        <v>0</v>
      </c>
      <c r="Q168" s="50">
        <v>70</v>
      </c>
      <c r="R168" s="50">
        <v>70</v>
      </c>
      <c r="S168" s="50">
        <v>85</v>
      </c>
      <c r="T168" s="62">
        <v>24.6</v>
      </c>
      <c r="U168" s="63">
        <v>36.876470987978301</v>
      </c>
      <c r="V168" s="50">
        <v>1455.046</v>
      </c>
      <c r="W168" s="50">
        <f t="shared" si="27"/>
        <v>3.1628767233771686</v>
      </c>
      <c r="X168" s="64">
        <v>2</v>
      </c>
      <c r="Y168" s="50">
        <v>4062.5129999999999</v>
      </c>
      <c r="Z168" s="50">
        <f t="shared" si="28"/>
        <v>3.6087947637270492</v>
      </c>
      <c r="AA168" s="50">
        <f t="shared" si="29"/>
        <v>8</v>
      </c>
      <c r="AB168" s="50">
        <v>100000000</v>
      </c>
    </row>
    <row r="169" spans="1:28" x14ac:dyDescent="0.35">
      <c r="A169" s="67" t="s">
        <v>45</v>
      </c>
      <c r="B169" s="52">
        <v>-0.12765957446808507</v>
      </c>
      <c r="C169" s="50">
        <f t="shared" si="21"/>
        <v>-5.9314001215981953E-2</v>
      </c>
      <c r="D169" s="52">
        <v>3.2958904109589042</v>
      </c>
      <c r="E169" s="52">
        <v>0</v>
      </c>
      <c r="F169" s="50">
        <f t="shared" si="22"/>
        <v>0</v>
      </c>
      <c r="G169" s="52">
        <v>18</v>
      </c>
      <c r="H169" s="50">
        <f t="shared" si="23"/>
        <v>1.255272505103306</v>
      </c>
      <c r="I169" s="65">
        <v>2.95</v>
      </c>
      <c r="J169" s="71">
        <f t="shared" si="24"/>
        <v>0</v>
      </c>
      <c r="K169" s="52">
        <v>0</v>
      </c>
      <c r="L169" s="54">
        <v>0.37</v>
      </c>
      <c r="M169" s="60">
        <f t="shared" si="25"/>
        <v>0.13672056715640679</v>
      </c>
      <c r="N169" s="62">
        <f t="shared" si="26"/>
        <v>1.0791812460476249</v>
      </c>
      <c r="O169" s="52">
        <v>12</v>
      </c>
      <c r="P169" s="52">
        <f t="shared" si="20"/>
        <v>0</v>
      </c>
      <c r="Q169" s="52">
        <v>70</v>
      </c>
      <c r="R169" s="52">
        <v>70</v>
      </c>
      <c r="S169" s="52">
        <v>85</v>
      </c>
      <c r="T169" s="55">
        <v>24.6</v>
      </c>
      <c r="U169" s="56">
        <v>36.876470987978301</v>
      </c>
      <c r="V169" s="52">
        <v>1455.046</v>
      </c>
      <c r="W169" s="50">
        <f t="shared" si="27"/>
        <v>3.1628767233771686</v>
      </c>
      <c r="X169" s="57">
        <v>2</v>
      </c>
      <c r="Y169" s="52">
        <v>4062.5129999999999</v>
      </c>
      <c r="Z169" s="50">
        <f t="shared" si="28"/>
        <v>3.6087947637270492</v>
      </c>
      <c r="AA169" s="50">
        <f t="shared" si="29"/>
        <v>8.3710678622717367</v>
      </c>
      <c r="AB169" s="52">
        <v>235000000</v>
      </c>
    </row>
    <row r="170" spans="1:28" x14ac:dyDescent="0.35">
      <c r="A170" s="49" t="s">
        <v>45</v>
      </c>
      <c r="B170" s="50">
        <v>0.21329038285378021</v>
      </c>
      <c r="C170" s="50">
        <f t="shared" si="21"/>
        <v>8.3964755176847955E-2</v>
      </c>
      <c r="D170" s="50">
        <v>8.0547945205479454</v>
      </c>
      <c r="E170" s="50">
        <v>0</v>
      </c>
      <c r="F170" s="50">
        <f t="shared" si="22"/>
        <v>0</v>
      </c>
      <c r="G170" s="50">
        <v>98</v>
      </c>
      <c r="H170" s="50">
        <f t="shared" si="23"/>
        <v>1.9912260756924949</v>
      </c>
      <c r="I170" s="59">
        <v>2.95</v>
      </c>
      <c r="J170" s="71">
        <f t="shared" si="24"/>
        <v>0</v>
      </c>
      <c r="K170" s="50">
        <v>0</v>
      </c>
      <c r="L170" s="61">
        <v>0.47</v>
      </c>
      <c r="M170" s="60">
        <f t="shared" si="25"/>
        <v>0.16731733474817609</v>
      </c>
      <c r="N170" s="62">
        <f t="shared" si="26"/>
        <v>1.1139433523068367</v>
      </c>
      <c r="O170" s="50">
        <v>13</v>
      </c>
      <c r="P170" s="50">
        <f t="shared" si="20"/>
        <v>0</v>
      </c>
      <c r="Q170" s="50">
        <v>70</v>
      </c>
      <c r="R170" s="50">
        <v>70</v>
      </c>
      <c r="S170" s="50">
        <v>85</v>
      </c>
      <c r="T170" s="62">
        <v>25.9</v>
      </c>
      <c r="U170" s="63">
        <v>36.959146749272797</v>
      </c>
      <c r="V170" s="50">
        <v>1455.046</v>
      </c>
      <c r="W170" s="50">
        <f t="shared" si="27"/>
        <v>3.1628767233771686</v>
      </c>
      <c r="X170" s="64">
        <v>2</v>
      </c>
      <c r="Y170" s="50">
        <v>4062.5129999999999</v>
      </c>
      <c r="Z170" s="50">
        <f t="shared" si="28"/>
        <v>3.6087947637270492</v>
      </c>
      <c r="AA170" s="50">
        <f t="shared" si="29"/>
        <v>9.7028043513244029</v>
      </c>
      <c r="AB170" s="50">
        <v>5044340000</v>
      </c>
    </row>
    <row r="171" spans="1:28" x14ac:dyDescent="0.35">
      <c r="A171" s="67" t="s">
        <v>45</v>
      </c>
      <c r="B171" s="52">
        <v>0.63034006645041241</v>
      </c>
      <c r="C171" s="50">
        <f t="shared" si="21"/>
        <v>0.21227820169161493</v>
      </c>
      <c r="D171" s="52">
        <v>1.1369863013698631</v>
      </c>
      <c r="E171" s="52">
        <v>0</v>
      </c>
      <c r="F171" s="50">
        <f t="shared" si="22"/>
        <v>0</v>
      </c>
      <c r="G171" s="52">
        <v>3</v>
      </c>
      <c r="H171" s="50">
        <f t="shared" si="23"/>
        <v>0.47712125471966244</v>
      </c>
      <c r="I171" s="65">
        <v>2.95</v>
      </c>
      <c r="J171" s="71">
        <f t="shared" si="24"/>
        <v>0</v>
      </c>
      <c r="K171" s="52">
        <v>0</v>
      </c>
      <c r="L171" s="54">
        <v>0.06</v>
      </c>
      <c r="M171" s="60">
        <f t="shared" si="25"/>
        <v>2.5305865264770262E-2</v>
      </c>
      <c r="N171" s="62">
        <f t="shared" si="26"/>
        <v>1.0791812460476249</v>
      </c>
      <c r="O171" s="52">
        <v>12</v>
      </c>
      <c r="P171" s="52">
        <f t="shared" si="20"/>
        <v>0</v>
      </c>
      <c r="Q171" s="52">
        <v>70</v>
      </c>
      <c r="R171" s="52">
        <v>70</v>
      </c>
      <c r="S171" s="52">
        <v>85</v>
      </c>
      <c r="T171" s="55">
        <v>24.6</v>
      </c>
      <c r="U171" s="56">
        <v>36.876470987978301</v>
      </c>
      <c r="V171" s="52">
        <v>1455.046</v>
      </c>
      <c r="W171" s="50">
        <f t="shared" si="27"/>
        <v>3.1628767233771686</v>
      </c>
      <c r="X171" s="57">
        <v>2</v>
      </c>
      <c r="Y171" s="52">
        <v>4062.5129999999999</v>
      </c>
      <c r="Z171" s="50">
        <f t="shared" si="28"/>
        <v>3.6087947637270492</v>
      </c>
      <c r="AA171" s="50">
        <f t="shared" si="29"/>
        <v>9.5565557653534068</v>
      </c>
      <c r="AB171" s="52">
        <v>3602100000</v>
      </c>
    </row>
    <row r="172" spans="1:28" x14ac:dyDescent="0.35">
      <c r="A172" s="49" t="s">
        <v>45</v>
      </c>
      <c r="B172" s="50">
        <v>-0.39431331077043019</v>
      </c>
      <c r="C172" s="50">
        <f t="shared" si="21"/>
        <v>-0.21775197043058564</v>
      </c>
      <c r="D172" s="50">
        <v>9.8657534246575338</v>
      </c>
      <c r="E172" s="50">
        <v>0</v>
      </c>
      <c r="F172" s="50">
        <f t="shared" si="22"/>
        <v>0</v>
      </c>
      <c r="G172" s="50">
        <v>95</v>
      </c>
      <c r="H172" s="50">
        <f t="shared" si="23"/>
        <v>1.9777236052888478</v>
      </c>
      <c r="I172" s="59">
        <v>2.95</v>
      </c>
      <c r="J172" s="71">
        <f t="shared" si="24"/>
        <v>0</v>
      </c>
      <c r="K172" s="50">
        <v>0</v>
      </c>
      <c r="L172" s="61">
        <v>0.56000000000000005</v>
      </c>
      <c r="M172" s="60">
        <f t="shared" si="25"/>
        <v>0.19312459835446161</v>
      </c>
      <c r="N172" s="62">
        <f t="shared" si="26"/>
        <v>1.1760912590556813</v>
      </c>
      <c r="O172" s="50">
        <v>15</v>
      </c>
      <c r="P172" s="50">
        <f t="shared" si="20"/>
        <v>0</v>
      </c>
      <c r="Q172" s="50">
        <v>70</v>
      </c>
      <c r="R172" s="50">
        <v>70</v>
      </c>
      <c r="S172" s="50">
        <v>91.4</v>
      </c>
      <c r="T172" s="62">
        <v>26.7</v>
      </c>
      <c r="U172" s="63">
        <v>37.425715444240403</v>
      </c>
      <c r="V172" s="50">
        <v>1455.046</v>
      </c>
      <c r="W172" s="50">
        <f t="shared" si="27"/>
        <v>3.1628767233771686</v>
      </c>
      <c r="X172" s="64">
        <v>2</v>
      </c>
      <c r="Y172" s="50">
        <v>4062.5129999999999</v>
      </c>
      <c r="Z172" s="50">
        <f t="shared" si="28"/>
        <v>3.6087947637270492</v>
      </c>
      <c r="AA172" s="50">
        <f t="shared" si="29"/>
        <v>10.684891570272443</v>
      </c>
      <c r="AB172" s="50">
        <v>48405150000</v>
      </c>
    </row>
    <row r="173" spans="1:28" x14ac:dyDescent="0.35">
      <c r="A173" s="67" t="s">
        <v>45</v>
      </c>
      <c r="B173" s="52">
        <v>1.7750463010442621</v>
      </c>
      <c r="C173" s="50">
        <f t="shared" si="21"/>
        <v>0.44327023362816431</v>
      </c>
      <c r="D173" s="52">
        <v>9.2958904109589042</v>
      </c>
      <c r="E173" s="52">
        <v>0</v>
      </c>
      <c r="F173" s="50">
        <f t="shared" si="22"/>
        <v>0</v>
      </c>
      <c r="G173" s="52">
        <v>41</v>
      </c>
      <c r="H173" s="50">
        <f t="shared" si="23"/>
        <v>1.6127838567197355</v>
      </c>
      <c r="I173" s="65">
        <v>2.95</v>
      </c>
      <c r="J173" s="71">
        <f t="shared" si="24"/>
        <v>0</v>
      </c>
      <c r="K173" s="52">
        <v>0</v>
      </c>
      <c r="L173" s="54">
        <v>0.34</v>
      </c>
      <c r="M173" s="60">
        <f t="shared" si="25"/>
        <v>0.12710479836480765</v>
      </c>
      <c r="N173" s="62">
        <f t="shared" si="26"/>
        <v>1.146128035678238</v>
      </c>
      <c r="O173" s="52">
        <v>14</v>
      </c>
      <c r="P173" s="52">
        <f t="shared" si="20"/>
        <v>0</v>
      </c>
      <c r="Q173" s="52">
        <v>70</v>
      </c>
      <c r="R173" s="52">
        <v>70</v>
      </c>
      <c r="S173" s="52">
        <v>93.2</v>
      </c>
      <c r="T173" s="55">
        <v>26.7</v>
      </c>
      <c r="U173" s="56">
        <v>36.669158714517401</v>
      </c>
      <c r="V173" s="52">
        <v>1455.046</v>
      </c>
      <c r="W173" s="50">
        <f t="shared" si="27"/>
        <v>3.1628767233771686</v>
      </c>
      <c r="X173" s="57">
        <v>2</v>
      </c>
      <c r="Y173" s="52">
        <v>4062.5129999999999</v>
      </c>
      <c r="Z173" s="50">
        <f t="shared" si="28"/>
        <v>3.6087947637270492</v>
      </c>
      <c r="AA173" s="50">
        <f t="shared" si="29"/>
        <v>9.253749808139812</v>
      </c>
      <c r="AB173" s="52">
        <v>1793700000</v>
      </c>
    </row>
    <row r="174" spans="1:28" x14ac:dyDescent="0.35">
      <c r="A174" s="49" t="s">
        <v>45</v>
      </c>
      <c r="B174" s="50">
        <v>0.60936079975764912</v>
      </c>
      <c r="C174" s="50">
        <f t="shared" si="21"/>
        <v>0.2066534187280564</v>
      </c>
      <c r="D174" s="50">
        <v>3.9123287671232876</v>
      </c>
      <c r="E174" s="50">
        <v>0</v>
      </c>
      <c r="F174" s="50">
        <f t="shared" si="22"/>
        <v>0</v>
      </c>
      <c r="G174" s="50">
        <v>37</v>
      </c>
      <c r="H174" s="50">
        <f t="shared" si="23"/>
        <v>1.568201724066995</v>
      </c>
      <c r="I174" s="59">
        <v>2.95</v>
      </c>
      <c r="J174" s="71">
        <f t="shared" si="24"/>
        <v>0</v>
      </c>
      <c r="K174" s="50">
        <v>0</v>
      </c>
      <c r="L174" s="61">
        <v>-0.15</v>
      </c>
      <c r="M174" s="60">
        <f t="shared" si="25"/>
        <v>-7.0581074285707285E-2</v>
      </c>
      <c r="N174" s="62">
        <f t="shared" si="26"/>
        <v>1.146128035678238</v>
      </c>
      <c r="O174" s="50">
        <v>14</v>
      </c>
      <c r="P174" s="50">
        <f t="shared" si="20"/>
        <v>0</v>
      </c>
      <c r="Q174" s="50">
        <v>70</v>
      </c>
      <c r="R174" s="50">
        <v>70</v>
      </c>
      <c r="S174" s="50">
        <v>93.2</v>
      </c>
      <c r="T174" s="62">
        <v>26.7</v>
      </c>
      <c r="U174" s="63">
        <v>36.669158714517401</v>
      </c>
      <c r="V174" s="50">
        <v>1455.046</v>
      </c>
      <c r="W174" s="50">
        <f t="shared" si="27"/>
        <v>3.1628767233771686</v>
      </c>
      <c r="X174" s="64">
        <v>2</v>
      </c>
      <c r="Y174" s="50">
        <v>4062.5129999999999</v>
      </c>
      <c r="Z174" s="50">
        <f t="shared" si="28"/>
        <v>3.6087947637270492</v>
      </c>
      <c r="AA174" s="50">
        <f t="shared" si="29"/>
        <v>9.030547101553049</v>
      </c>
      <c r="AB174" s="50">
        <v>1072870000</v>
      </c>
    </row>
    <row r="175" spans="1:28" x14ac:dyDescent="0.35">
      <c r="A175" s="67" t="s">
        <v>45</v>
      </c>
      <c r="B175" s="52">
        <v>0.46666666666666656</v>
      </c>
      <c r="C175" s="50">
        <f t="shared" si="21"/>
        <v>0.16633142176652496</v>
      </c>
      <c r="D175" s="52">
        <v>5.7013698630136984</v>
      </c>
      <c r="E175" s="52">
        <v>0</v>
      </c>
      <c r="F175" s="50">
        <f t="shared" si="22"/>
        <v>0</v>
      </c>
      <c r="G175" s="52">
        <v>57</v>
      </c>
      <c r="H175" s="50">
        <f t="shared" si="23"/>
        <v>1.7558748556724915</v>
      </c>
      <c r="I175" s="65">
        <v>2.95</v>
      </c>
      <c r="J175" s="71">
        <f t="shared" si="24"/>
        <v>0</v>
      </c>
      <c r="K175" s="52">
        <v>0</v>
      </c>
      <c r="L175" s="54">
        <v>-0.01</v>
      </c>
      <c r="M175" s="60">
        <f t="shared" si="25"/>
        <v>-4.3648054024500883E-3</v>
      </c>
      <c r="N175" s="62">
        <f t="shared" si="26"/>
        <v>1.1760912590556813</v>
      </c>
      <c r="O175" s="52">
        <v>15</v>
      </c>
      <c r="P175" s="52">
        <f t="shared" si="20"/>
        <v>0</v>
      </c>
      <c r="Q175" s="52">
        <v>70</v>
      </c>
      <c r="R175" s="52">
        <v>70</v>
      </c>
      <c r="S175" s="52">
        <v>91.4</v>
      </c>
      <c r="T175" s="55">
        <v>26.7</v>
      </c>
      <c r="U175" s="56">
        <v>37.425715444240403</v>
      </c>
      <c r="V175" s="52">
        <v>1455.046</v>
      </c>
      <c r="W175" s="50">
        <f t="shared" si="27"/>
        <v>3.1628767233771686</v>
      </c>
      <c r="X175" s="57">
        <v>2</v>
      </c>
      <c r="Y175" s="52">
        <v>4062.5129999999999</v>
      </c>
      <c r="Z175" s="50">
        <f t="shared" si="28"/>
        <v>3.6087947637270492</v>
      </c>
      <c r="AA175" s="50">
        <f t="shared" si="29"/>
        <v>8.8750612633917001</v>
      </c>
      <c r="AB175" s="52">
        <v>750000000</v>
      </c>
    </row>
    <row r="176" spans="1:28" x14ac:dyDescent="0.35">
      <c r="A176" s="49" t="s">
        <v>45</v>
      </c>
      <c r="B176" s="50">
        <v>0.12448577785603376</v>
      </c>
      <c r="C176" s="50">
        <f t="shared" si="21"/>
        <v>5.0953966985786116E-2</v>
      </c>
      <c r="D176" s="50">
        <v>1.1424657534246576</v>
      </c>
      <c r="E176" s="50">
        <v>0</v>
      </c>
      <c r="F176" s="50">
        <f t="shared" si="22"/>
        <v>0</v>
      </c>
      <c r="G176" s="50">
        <v>47</v>
      </c>
      <c r="H176" s="50">
        <f t="shared" si="23"/>
        <v>1.6720978579357175</v>
      </c>
      <c r="I176" s="59">
        <v>2.95</v>
      </c>
      <c r="J176" s="71">
        <f t="shared" si="24"/>
        <v>0</v>
      </c>
      <c r="K176" s="50">
        <v>0</v>
      </c>
      <c r="L176" s="61">
        <v>-0.38</v>
      </c>
      <c r="M176" s="60">
        <f t="shared" si="25"/>
        <v>-0.20760831050174613</v>
      </c>
      <c r="N176" s="62">
        <f t="shared" si="26"/>
        <v>1.1760912590556813</v>
      </c>
      <c r="O176" s="50">
        <v>15</v>
      </c>
      <c r="P176" s="50">
        <f t="shared" si="20"/>
        <v>0</v>
      </c>
      <c r="Q176" s="50">
        <v>70</v>
      </c>
      <c r="R176" s="50">
        <v>70</v>
      </c>
      <c r="S176" s="50">
        <v>91.4</v>
      </c>
      <c r="T176" s="62">
        <v>26.7</v>
      </c>
      <c r="U176" s="63">
        <v>37.425715444240403</v>
      </c>
      <c r="V176" s="50">
        <v>1455.046</v>
      </c>
      <c r="W176" s="50">
        <f t="shared" si="27"/>
        <v>3.1628767233771686</v>
      </c>
      <c r="X176" s="64">
        <v>2</v>
      </c>
      <c r="Y176" s="50">
        <v>4062.5129999999999</v>
      </c>
      <c r="Z176" s="50">
        <f t="shared" si="28"/>
        <v>3.6087947637270492</v>
      </c>
      <c r="AA176" s="50">
        <f t="shared" si="29"/>
        <v>10.433753837516758</v>
      </c>
      <c r="AB176" s="50">
        <v>27149000000</v>
      </c>
    </row>
    <row r="177" spans="1:28" x14ac:dyDescent="0.35">
      <c r="A177" s="67" t="s">
        <v>45</v>
      </c>
      <c r="B177" s="52">
        <v>0.17956411792460325</v>
      </c>
      <c r="C177" s="50">
        <f t="shared" si="21"/>
        <v>7.1721552940151076E-2</v>
      </c>
      <c r="D177" s="52">
        <v>7.7479452054794518</v>
      </c>
      <c r="E177" s="52">
        <v>0</v>
      </c>
      <c r="F177" s="50">
        <f t="shared" si="22"/>
        <v>0</v>
      </c>
      <c r="G177" s="52">
        <v>30</v>
      </c>
      <c r="H177" s="50">
        <f t="shared" si="23"/>
        <v>1.4771212547196624</v>
      </c>
      <c r="I177" s="65">
        <v>2.95</v>
      </c>
      <c r="J177" s="71">
        <f t="shared" si="24"/>
        <v>0</v>
      </c>
      <c r="K177" s="52">
        <v>0</v>
      </c>
      <c r="L177" s="54">
        <v>0.38</v>
      </c>
      <c r="M177" s="60">
        <f t="shared" si="25"/>
        <v>0.13987908640123647</v>
      </c>
      <c r="N177" s="62">
        <f t="shared" si="26"/>
        <v>1.1760912590556813</v>
      </c>
      <c r="O177" s="52">
        <v>15</v>
      </c>
      <c r="P177" s="52">
        <f t="shared" si="20"/>
        <v>0</v>
      </c>
      <c r="Q177" s="52">
        <v>70</v>
      </c>
      <c r="R177" s="52">
        <v>70</v>
      </c>
      <c r="S177" s="52">
        <v>91.4</v>
      </c>
      <c r="T177" s="55">
        <v>26.7</v>
      </c>
      <c r="U177" s="56">
        <v>37.425715444240403</v>
      </c>
      <c r="V177" s="52">
        <v>1455.046</v>
      </c>
      <c r="W177" s="50">
        <f t="shared" si="27"/>
        <v>3.1628767233771686</v>
      </c>
      <c r="X177" s="57">
        <v>2</v>
      </c>
      <c r="Y177" s="52">
        <v>4062.5129999999999</v>
      </c>
      <c r="Z177" s="50">
        <f t="shared" si="28"/>
        <v>3.6087947637270492</v>
      </c>
      <c r="AA177" s="50">
        <f t="shared" si="29"/>
        <v>10.057930707138228</v>
      </c>
      <c r="AB177" s="52">
        <v>11426960000</v>
      </c>
    </row>
    <row r="178" spans="1:28" x14ac:dyDescent="0.35">
      <c r="A178" s="49" t="s">
        <v>45</v>
      </c>
      <c r="B178" s="50">
        <v>-0.92983091514067773</v>
      </c>
      <c r="C178" s="50">
        <f t="shared" si="21"/>
        <v>-1.153854187474864</v>
      </c>
      <c r="D178" s="50">
        <v>1.4958904109589042</v>
      </c>
      <c r="E178" s="50">
        <v>0</v>
      </c>
      <c r="F178" s="50">
        <f t="shared" si="22"/>
        <v>0</v>
      </c>
      <c r="G178" s="50">
        <v>12</v>
      </c>
      <c r="H178" s="50">
        <f t="shared" si="23"/>
        <v>1.0791812460476249</v>
      </c>
      <c r="I178" s="59">
        <v>2.95</v>
      </c>
      <c r="J178" s="71">
        <f t="shared" si="24"/>
        <v>0</v>
      </c>
      <c r="K178" s="50">
        <v>0</v>
      </c>
      <c r="L178" s="61">
        <v>-0.28999999999999998</v>
      </c>
      <c r="M178" s="60">
        <f t="shared" si="25"/>
        <v>-0.14874165128092473</v>
      </c>
      <c r="N178" s="62">
        <f t="shared" si="26"/>
        <v>1.2041199826559248</v>
      </c>
      <c r="O178" s="50">
        <v>16</v>
      </c>
      <c r="P178" s="50">
        <f t="shared" si="20"/>
        <v>0</v>
      </c>
      <c r="Q178" s="50">
        <v>70</v>
      </c>
      <c r="R178" s="50">
        <v>70</v>
      </c>
      <c r="S178" s="50">
        <v>92.6</v>
      </c>
      <c r="T178" s="62">
        <v>25.7</v>
      </c>
      <c r="U178" s="63">
        <v>39.823361151429197</v>
      </c>
      <c r="V178" s="50">
        <v>1455.046</v>
      </c>
      <c r="W178" s="50">
        <f t="shared" si="27"/>
        <v>3.1628767233771686</v>
      </c>
      <c r="X178" s="64">
        <v>2</v>
      </c>
      <c r="Y178" s="50">
        <v>4062.5129999999999</v>
      </c>
      <c r="Z178" s="50">
        <f t="shared" si="28"/>
        <v>3.6087947637270492</v>
      </c>
      <c r="AA178" s="50">
        <f t="shared" si="29"/>
        <v>8.6452158813091362</v>
      </c>
      <c r="AB178" s="50">
        <v>441790000</v>
      </c>
    </row>
    <row r="179" spans="1:28" x14ac:dyDescent="0.35">
      <c r="A179" s="67" t="s">
        <v>45</v>
      </c>
      <c r="B179" s="52">
        <v>1.243453370982091</v>
      </c>
      <c r="C179" s="50">
        <f t="shared" si="21"/>
        <v>0.35091704737672691</v>
      </c>
      <c r="D179" s="52">
        <v>5.9424657534246572</v>
      </c>
      <c r="E179" s="52">
        <v>0</v>
      </c>
      <c r="F179" s="50">
        <f t="shared" si="22"/>
        <v>0</v>
      </c>
      <c r="G179" s="52">
        <v>17</v>
      </c>
      <c r="H179" s="50">
        <f t="shared" si="23"/>
        <v>1.2304489213782739</v>
      </c>
      <c r="I179" s="65">
        <v>2.95</v>
      </c>
      <c r="J179" s="71">
        <f t="shared" si="24"/>
        <v>0</v>
      </c>
      <c r="K179" s="52">
        <v>0</v>
      </c>
      <c r="L179" s="54">
        <v>0.26</v>
      </c>
      <c r="M179" s="60">
        <f t="shared" si="25"/>
        <v>0.10037054511756291</v>
      </c>
      <c r="N179" s="62">
        <f t="shared" si="26"/>
        <v>1.2041199826559248</v>
      </c>
      <c r="O179" s="52">
        <v>16</v>
      </c>
      <c r="P179" s="52">
        <f t="shared" si="20"/>
        <v>0</v>
      </c>
      <c r="Q179" s="52">
        <v>70</v>
      </c>
      <c r="R179" s="52">
        <v>70</v>
      </c>
      <c r="S179" s="52">
        <v>92.6</v>
      </c>
      <c r="T179" s="55">
        <v>25.7</v>
      </c>
      <c r="U179" s="56">
        <v>39.823361151429197</v>
      </c>
      <c r="V179" s="52">
        <v>1455.046</v>
      </c>
      <c r="W179" s="50">
        <f t="shared" si="27"/>
        <v>3.1628767233771686</v>
      </c>
      <c r="X179" s="57">
        <v>2</v>
      </c>
      <c r="Y179" s="52">
        <v>4062.5129999999999</v>
      </c>
      <c r="Z179" s="50">
        <f t="shared" si="28"/>
        <v>3.6087947637270492</v>
      </c>
      <c r="AA179" s="50">
        <f t="shared" si="29"/>
        <v>8.9928494264636107</v>
      </c>
      <c r="AB179" s="52">
        <v>983670000</v>
      </c>
    </row>
    <row r="180" spans="1:28" x14ac:dyDescent="0.35">
      <c r="A180" s="49" t="s">
        <v>45</v>
      </c>
      <c r="B180" s="50">
        <v>0.25</v>
      </c>
      <c r="C180" s="50">
        <f t="shared" si="21"/>
        <v>9.691001300805642E-2</v>
      </c>
      <c r="D180" s="50">
        <v>6.624657534246575</v>
      </c>
      <c r="E180" s="50">
        <v>0</v>
      </c>
      <c r="F180" s="50">
        <f t="shared" si="22"/>
        <v>0</v>
      </c>
      <c r="G180" s="50">
        <v>10</v>
      </c>
      <c r="H180" s="50">
        <f t="shared" si="23"/>
        <v>1</v>
      </c>
      <c r="I180" s="59">
        <v>2.95</v>
      </c>
      <c r="J180" s="71">
        <f t="shared" si="24"/>
        <v>0</v>
      </c>
      <c r="K180" s="50">
        <v>0</v>
      </c>
      <c r="L180" s="61">
        <v>0.75</v>
      </c>
      <c r="M180" s="60">
        <f t="shared" si="25"/>
        <v>0.24303804868629444</v>
      </c>
      <c r="N180" s="62">
        <f t="shared" si="26"/>
        <v>1.2041199826559248</v>
      </c>
      <c r="O180" s="50">
        <v>16</v>
      </c>
      <c r="P180" s="50">
        <f t="shared" si="20"/>
        <v>0</v>
      </c>
      <c r="Q180" s="50">
        <v>70</v>
      </c>
      <c r="R180" s="50">
        <v>70</v>
      </c>
      <c r="S180" s="50">
        <v>92.6</v>
      </c>
      <c r="T180" s="62">
        <v>25.7</v>
      </c>
      <c r="U180" s="63">
        <v>39.823361151429197</v>
      </c>
      <c r="V180" s="50">
        <v>1455.046</v>
      </c>
      <c r="W180" s="50">
        <f t="shared" si="27"/>
        <v>3.1628767233771686</v>
      </c>
      <c r="X180" s="64">
        <v>2</v>
      </c>
      <c r="Y180" s="50">
        <v>4062.5129999999999</v>
      </c>
      <c r="Z180" s="50">
        <f t="shared" si="28"/>
        <v>3.6087947637270492</v>
      </c>
      <c r="AA180" s="50">
        <f t="shared" si="29"/>
        <v>8.6812412373755876</v>
      </c>
      <c r="AB180" s="50">
        <v>480000000</v>
      </c>
    </row>
    <row r="181" spans="1:28" x14ac:dyDescent="0.35">
      <c r="A181" s="67" t="s">
        <v>45</v>
      </c>
      <c r="B181" s="52">
        <v>0.12056734347904552</v>
      </c>
      <c r="C181" s="50">
        <f t="shared" si="21"/>
        <v>4.9437961738986146E-2</v>
      </c>
      <c r="D181" s="52">
        <v>11.66027397260274</v>
      </c>
      <c r="E181" s="52">
        <v>0</v>
      </c>
      <c r="F181" s="50">
        <f t="shared" si="22"/>
        <v>0</v>
      </c>
      <c r="G181" s="52">
        <v>47</v>
      </c>
      <c r="H181" s="50">
        <f t="shared" si="23"/>
        <v>1.6720978579357175</v>
      </c>
      <c r="I181" s="65">
        <v>2.95</v>
      </c>
      <c r="J181" s="71">
        <f t="shared" si="24"/>
        <v>0</v>
      </c>
      <c r="K181" s="52">
        <v>0</v>
      </c>
      <c r="L181" s="54">
        <v>0.88</v>
      </c>
      <c r="M181" s="60">
        <f t="shared" si="25"/>
        <v>0.27415784926367981</v>
      </c>
      <c r="N181" s="62">
        <f t="shared" si="26"/>
        <v>1.1760912590556813</v>
      </c>
      <c r="O181" s="52">
        <v>15</v>
      </c>
      <c r="P181" s="52">
        <f t="shared" si="20"/>
        <v>0</v>
      </c>
      <c r="Q181" s="52">
        <v>70</v>
      </c>
      <c r="R181" s="52">
        <v>70</v>
      </c>
      <c r="S181" s="52">
        <v>91.4</v>
      </c>
      <c r="T181" s="55">
        <v>26.7</v>
      </c>
      <c r="U181" s="56">
        <v>37.425715444240403</v>
      </c>
      <c r="V181" s="52">
        <v>1455.046</v>
      </c>
      <c r="W181" s="50">
        <f t="shared" si="27"/>
        <v>3.1628767233771686</v>
      </c>
      <c r="X181" s="57">
        <v>2</v>
      </c>
      <c r="Y181" s="52">
        <v>4062.5129999999999</v>
      </c>
      <c r="Z181" s="50">
        <f t="shared" si="28"/>
        <v>3.6087947637270492</v>
      </c>
      <c r="AA181" s="50">
        <f t="shared" si="29"/>
        <v>9.6987649689484012</v>
      </c>
      <c r="AB181" s="52">
        <v>4997640000</v>
      </c>
    </row>
    <row r="182" spans="1:28" x14ac:dyDescent="0.35">
      <c r="A182" s="49" t="s">
        <v>45</v>
      </c>
      <c r="B182" s="50">
        <v>0.9285714285714286</v>
      </c>
      <c r="C182" s="50">
        <f t="shared" si="21"/>
        <v>0.2852357284807493</v>
      </c>
      <c r="D182" s="50">
        <v>5.9260273972602739</v>
      </c>
      <c r="E182" s="50">
        <v>0</v>
      </c>
      <c r="F182" s="50">
        <f t="shared" si="22"/>
        <v>0</v>
      </c>
      <c r="G182" s="50">
        <v>41</v>
      </c>
      <c r="H182" s="50">
        <f t="shared" si="23"/>
        <v>1.6127838567197355</v>
      </c>
      <c r="I182" s="59">
        <v>2.95</v>
      </c>
      <c r="J182" s="71">
        <f t="shared" si="24"/>
        <v>0</v>
      </c>
      <c r="K182" s="50">
        <v>0</v>
      </c>
      <c r="L182" s="61">
        <v>0.91</v>
      </c>
      <c r="M182" s="60">
        <f t="shared" si="25"/>
        <v>0.28103336724772759</v>
      </c>
      <c r="N182" s="62">
        <f t="shared" si="26"/>
        <v>1.255272505103306</v>
      </c>
      <c r="O182" s="50">
        <v>18</v>
      </c>
      <c r="P182" s="50">
        <f t="shared" si="20"/>
        <v>0</v>
      </c>
      <c r="Q182" s="50">
        <v>70</v>
      </c>
      <c r="R182" s="50">
        <v>70</v>
      </c>
      <c r="S182" s="50">
        <v>91.3</v>
      </c>
      <c r="T182" s="62">
        <v>23.5</v>
      </c>
      <c r="U182" s="63">
        <v>43.1672842383418</v>
      </c>
      <c r="V182" s="50">
        <v>1455.046</v>
      </c>
      <c r="W182" s="50">
        <f t="shared" si="27"/>
        <v>3.1628767233771686</v>
      </c>
      <c r="X182" s="64">
        <v>2</v>
      </c>
      <c r="Y182" s="50">
        <v>4062.5129999999999</v>
      </c>
      <c r="Z182" s="50">
        <f t="shared" si="28"/>
        <v>3.6087947637270492</v>
      </c>
      <c r="AA182" s="50">
        <f t="shared" si="29"/>
        <v>9.1461280356782382</v>
      </c>
      <c r="AB182" s="50">
        <v>1400000000</v>
      </c>
    </row>
    <row r="183" spans="1:28" x14ac:dyDescent="0.35">
      <c r="A183" s="67" t="s">
        <v>45</v>
      </c>
      <c r="B183" s="52">
        <v>-0.38300777147658061</v>
      </c>
      <c r="C183" s="50">
        <f t="shared" si="21"/>
        <v>-0.20972030619471799</v>
      </c>
      <c r="D183" s="52">
        <v>1.263013698630137</v>
      </c>
      <c r="E183" s="52">
        <v>0</v>
      </c>
      <c r="F183" s="50">
        <f t="shared" si="22"/>
        <v>0</v>
      </c>
      <c r="G183" s="52">
        <v>30</v>
      </c>
      <c r="H183" s="50">
        <f t="shared" si="23"/>
        <v>1.4771212547196624</v>
      </c>
      <c r="I183" s="65">
        <v>2.95</v>
      </c>
      <c r="J183" s="71">
        <f t="shared" si="24"/>
        <v>0</v>
      </c>
      <c r="K183" s="52">
        <v>0</v>
      </c>
      <c r="L183" s="54">
        <v>0.2</v>
      </c>
      <c r="M183" s="60">
        <f t="shared" si="25"/>
        <v>7.9181246047624818E-2</v>
      </c>
      <c r="N183" s="62">
        <f t="shared" si="26"/>
        <v>1.3222192947339193</v>
      </c>
      <c r="O183" s="52">
        <v>21</v>
      </c>
      <c r="P183" s="52">
        <f t="shared" si="20"/>
        <v>0</v>
      </c>
      <c r="Q183" s="52">
        <v>70</v>
      </c>
      <c r="R183" s="52">
        <v>70</v>
      </c>
      <c r="S183" s="52">
        <v>90.5</v>
      </c>
      <c r="T183" s="55">
        <v>25.7</v>
      </c>
      <c r="U183" s="56">
        <v>39.010023979360902</v>
      </c>
      <c r="V183" s="52">
        <v>1455.046</v>
      </c>
      <c r="W183" s="50">
        <f t="shared" si="27"/>
        <v>3.1628767233771686</v>
      </c>
      <c r="X183" s="57">
        <v>2</v>
      </c>
      <c r="Y183" s="52">
        <v>4062.5129999999999</v>
      </c>
      <c r="Z183" s="50">
        <f t="shared" si="28"/>
        <v>3.6087947637270492</v>
      </c>
      <c r="AA183" s="50">
        <f t="shared" si="29"/>
        <v>8.2797581728024738</v>
      </c>
      <c r="AB183" s="52">
        <v>190440000</v>
      </c>
    </row>
    <row r="184" spans="1:28" x14ac:dyDescent="0.35">
      <c r="A184" s="49" t="s">
        <v>45</v>
      </c>
      <c r="B184" s="50">
        <v>0.6660733333333333</v>
      </c>
      <c r="C184" s="50">
        <f t="shared" si="21"/>
        <v>0.22169411325389282</v>
      </c>
      <c r="D184" s="50">
        <v>3.8328767123287673</v>
      </c>
      <c r="E184" s="50">
        <v>0</v>
      </c>
      <c r="F184" s="50">
        <f t="shared" si="22"/>
        <v>0</v>
      </c>
      <c r="G184" s="50">
        <v>50</v>
      </c>
      <c r="H184" s="50">
        <f t="shared" si="23"/>
        <v>1.6989700043360187</v>
      </c>
      <c r="I184" s="59">
        <v>2.95</v>
      </c>
      <c r="J184" s="71">
        <f t="shared" si="24"/>
        <v>0</v>
      </c>
      <c r="K184" s="50">
        <v>0</v>
      </c>
      <c r="L184" s="61">
        <v>0.41</v>
      </c>
      <c r="M184" s="60">
        <f t="shared" si="25"/>
        <v>0.14921911265537988</v>
      </c>
      <c r="N184" s="62">
        <f t="shared" si="26"/>
        <v>1.3424226808222062</v>
      </c>
      <c r="O184" s="50">
        <v>22</v>
      </c>
      <c r="P184" s="50">
        <f t="shared" si="20"/>
        <v>0</v>
      </c>
      <c r="Q184" s="50">
        <v>70</v>
      </c>
      <c r="R184" s="50">
        <v>70</v>
      </c>
      <c r="S184" s="50">
        <v>89.2</v>
      </c>
      <c r="T184" s="62">
        <v>26</v>
      </c>
      <c r="U184" s="63">
        <v>38.344872802923099</v>
      </c>
      <c r="V184" s="50">
        <v>1455.046</v>
      </c>
      <c r="W184" s="50">
        <f t="shared" si="27"/>
        <v>3.1628767233771686</v>
      </c>
      <c r="X184" s="64">
        <v>2</v>
      </c>
      <c r="Y184" s="50">
        <v>4062.5129999999999</v>
      </c>
      <c r="Z184" s="50">
        <f t="shared" si="28"/>
        <v>3.6087947637270492</v>
      </c>
      <c r="AA184" s="50">
        <f t="shared" si="29"/>
        <v>9.1760912590556813</v>
      </c>
      <c r="AB184" s="50">
        <v>1500000000</v>
      </c>
    </row>
    <row r="185" spans="1:28" x14ac:dyDescent="0.35">
      <c r="A185" s="67" t="s">
        <v>45</v>
      </c>
      <c r="B185" s="52">
        <v>3.3534394153827938</v>
      </c>
      <c r="C185" s="50">
        <f t="shared" si="21"/>
        <v>0.6388325049806618</v>
      </c>
      <c r="D185" s="52">
        <v>2.9095890410958902</v>
      </c>
      <c r="E185" s="52">
        <v>0</v>
      </c>
      <c r="F185" s="50">
        <f t="shared" si="22"/>
        <v>0</v>
      </c>
      <c r="G185" s="52">
        <v>34</v>
      </c>
      <c r="H185" s="50">
        <f t="shared" si="23"/>
        <v>1.5314789170422551</v>
      </c>
      <c r="I185" s="65">
        <v>2.95</v>
      </c>
      <c r="J185" s="71">
        <f t="shared" si="24"/>
        <v>0</v>
      </c>
      <c r="K185" s="52">
        <v>0</v>
      </c>
      <c r="L185" s="54">
        <v>0.38</v>
      </c>
      <c r="M185" s="60">
        <f t="shared" si="25"/>
        <v>0.13987908640123647</v>
      </c>
      <c r="N185" s="62">
        <f t="shared" si="26"/>
        <v>1.3010299956639813</v>
      </c>
      <c r="O185" s="52">
        <v>20</v>
      </c>
      <c r="P185" s="52">
        <f t="shared" si="20"/>
        <v>0</v>
      </c>
      <c r="Q185" s="52">
        <v>70</v>
      </c>
      <c r="R185" s="52">
        <v>70</v>
      </c>
      <c r="S185" s="52">
        <v>91.1</v>
      </c>
      <c r="T185" s="55">
        <v>24.1</v>
      </c>
      <c r="U185" s="56">
        <v>40.229046020662899</v>
      </c>
      <c r="V185" s="52">
        <v>1455.046</v>
      </c>
      <c r="W185" s="50">
        <f t="shared" si="27"/>
        <v>3.1628767233771686</v>
      </c>
      <c r="X185" s="57">
        <v>2</v>
      </c>
      <c r="Y185" s="52">
        <v>4062.5129999999999</v>
      </c>
      <c r="Z185" s="50">
        <f t="shared" si="28"/>
        <v>3.6087947637270492</v>
      </c>
      <c r="AA185" s="50">
        <f t="shared" si="29"/>
        <v>9.2865013789535684</v>
      </c>
      <c r="AB185" s="52">
        <v>1934200000</v>
      </c>
    </row>
    <row r="186" spans="1:28" x14ac:dyDescent="0.35">
      <c r="A186" s="49" t="s">
        <v>45</v>
      </c>
      <c r="B186" s="50">
        <v>-0.99999875800000004</v>
      </c>
      <c r="C186" s="50">
        <f t="shared" si="21"/>
        <v>-5.9058784041745138</v>
      </c>
      <c r="D186" s="50">
        <v>0.52054794520547942</v>
      </c>
      <c r="E186" s="50">
        <v>0</v>
      </c>
      <c r="F186" s="50">
        <f t="shared" si="22"/>
        <v>0</v>
      </c>
      <c r="G186" s="50">
        <v>1</v>
      </c>
      <c r="H186" s="50">
        <f t="shared" si="23"/>
        <v>0</v>
      </c>
      <c r="I186" s="59">
        <v>2.95</v>
      </c>
      <c r="J186" s="71">
        <f t="shared" si="24"/>
        <v>0</v>
      </c>
      <c r="K186" s="50">
        <v>0</v>
      </c>
      <c r="L186" s="61">
        <v>7.0000000000000007E-2</v>
      </c>
      <c r="M186" s="60">
        <f t="shared" si="25"/>
        <v>2.9383777685209667E-2</v>
      </c>
      <c r="N186" s="62">
        <f t="shared" si="26"/>
        <v>1.414973347970818</v>
      </c>
      <c r="O186" s="50">
        <v>26</v>
      </c>
      <c r="P186" s="50">
        <f t="shared" si="20"/>
        <v>0</v>
      </c>
      <c r="Q186" s="50">
        <v>70</v>
      </c>
      <c r="R186" s="50">
        <v>70</v>
      </c>
      <c r="S186" s="50">
        <v>82.7</v>
      </c>
      <c r="T186" s="86">
        <v>34.200000000000003</v>
      </c>
      <c r="U186" s="63">
        <v>37.950861553017603</v>
      </c>
      <c r="V186" s="50">
        <v>1455.046</v>
      </c>
      <c r="W186" s="50">
        <f t="shared" si="27"/>
        <v>3.1628767233771686</v>
      </c>
      <c r="X186" s="64">
        <v>2</v>
      </c>
      <c r="Y186" s="50">
        <v>4062.5129999999999</v>
      </c>
      <c r="Z186" s="50">
        <f t="shared" si="28"/>
        <v>3.6087947637270492</v>
      </c>
      <c r="AA186" s="50">
        <f t="shared" si="29"/>
        <v>8.4771212547196626</v>
      </c>
      <c r="AB186" s="50">
        <v>300000000</v>
      </c>
    </row>
    <row r="187" spans="1:28" x14ac:dyDescent="0.35">
      <c r="A187" s="67" t="s">
        <v>45</v>
      </c>
      <c r="B187" s="52">
        <v>-1</v>
      </c>
      <c r="C187" s="50">
        <f t="shared" si="21"/>
        <v>-1</v>
      </c>
      <c r="D187" s="52">
        <v>2.1506849315068495</v>
      </c>
      <c r="E187" s="52">
        <v>0</v>
      </c>
      <c r="F187" s="50">
        <f t="shared" si="22"/>
        <v>0</v>
      </c>
      <c r="G187" s="52">
        <v>2</v>
      </c>
      <c r="H187" s="50">
        <f t="shared" si="23"/>
        <v>0.3010299956639812</v>
      </c>
      <c r="I187" s="65">
        <v>2.95</v>
      </c>
      <c r="J187" s="71">
        <f t="shared" si="24"/>
        <v>0</v>
      </c>
      <c r="K187" s="52">
        <v>0</v>
      </c>
      <c r="L187" s="54">
        <v>-0.41</v>
      </c>
      <c r="M187" s="60">
        <f t="shared" si="25"/>
        <v>-0.22914798835785574</v>
      </c>
      <c r="N187" s="62">
        <f t="shared" si="26"/>
        <v>1.146128035678238</v>
      </c>
      <c r="O187" s="52">
        <v>14</v>
      </c>
      <c r="P187" s="52">
        <f t="shared" si="20"/>
        <v>0</v>
      </c>
      <c r="Q187" s="52">
        <v>70</v>
      </c>
      <c r="R187" s="52">
        <v>70</v>
      </c>
      <c r="S187" s="52">
        <v>93.2</v>
      </c>
      <c r="T187" s="55">
        <v>26.7</v>
      </c>
      <c r="U187" s="56">
        <v>36.669158714517401</v>
      </c>
      <c r="V187" s="52">
        <v>1455.046</v>
      </c>
      <c r="W187" s="50">
        <f t="shared" si="27"/>
        <v>3.1628767233771686</v>
      </c>
      <c r="X187" s="57">
        <v>2</v>
      </c>
      <c r="Y187" s="52">
        <v>4062.5129999999999</v>
      </c>
      <c r="Z187" s="50">
        <f t="shared" si="28"/>
        <v>3.6087947637270492</v>
      </c>
      <c r="AA187" s="50">
        <f t="shared" si="29"/>
        <v>9.3620336227143426</v>
      </c>
      <c r="AB187" s="52">
        <v>2301620000</v>
      </c>
    </row>
    <row r="188" spans="1:28" x14ac:dyDescent="0.35">
      <c r="A188" s="49" t="s">
        <v>45</v>
      </c>
      <c r="B188" s="50">
        <v>-2.1100000000000008E-2</v>
      </c>
      <c r="C188" s="50">
        <f t="shared" si="21"/>
        <v>-9.2616714924626583E-3</v>
      </c>
      <c r="D188" s="50">
        <v>2.1150684931506851</v>
      </c>
      <c r="E188" s="50">
        <v>0</v>
      </c>
      <c r="F188" s="50">
        <f t="shared" si="22"/>
        <v>0</v>
      </c>
      <c r="G188" s="50">
        <v>37</v>
      </c>
      <c r="H188" s="50">
        <f t="shared" si="23"/>
        <v>1.568201724066995</v>
      </c>
      <c r="I188" s="59">
        <v>2.95</v>
      </c>
      <c r="J188" s="71">
        <f t="shared" si="24"/>
        <v>0</v>
      </c>
      <c r="K188" s="50">
        <v>0</v>
      </c>
      <c r="L188" s="61">
        <v>0.14000000000000001</v>
      </c>
      <c r="M188" s="60">
        <f t="shared" si="25"/>
        <v>5.6904851336472641E-2</v>
      </c>
      <c r="N188" s="62">
        <f t="shared" si="26"/>
        <v>0.69897000433601886</v>
      </c>
      <c r="O188" s="50">
        <v>5</v>
      </c>
      <c r="P188" s="50">
        <f t="shared" si="20"/>
        <v>0</v>
      </c>
      <c r="Q188" s="50">
        <v>70</v>
      </c>
      <c r="R188" s="50">
        <v>70</v>
      </c>
      <c r="S188" s="50">
        <v>85</v>
      </c>
      <c r="T188" s="62">
        <v>25.7</v>
      </c>
      <c r="U188" s="63">
        <v>39.367752568237798</v>
      </c>
      <c r="V188" s="50">
        <v>1246.953</v>
      </c>
      <c r="W188" s="50">
        <f t="shared" si="27"/>
        <v>3.0958500844125241</v>
      </c>
      <c r="X188" s="64">
        <v>3</v>
      </c>
      <c r="Y188" s="50">
        <v>3219.7179999999998</v>
      </c>
      <c r="Z188" s="50">
        <f t="shared" si="28"/>
        <v>3.5078178355445662</v>
      </c>
      <c r="AA188" s="50">
        <f t="shared" si="29"/>
        <v>8</v>
      </c>
      <c r="AB188" s="50">
        <v>100000000</v>
      </c>
    </row>
    <row r="189" spans="1:28" x14ac:dyDescent="0.35">
      <c r="A189" s="67" t="s">
        <v>45</v>
      </c>
      <c r="B189" s="52">
        <v>-0.48666666666666669</v>
      </c>
      <c r="C189" s="50">
        <f t="shared" si="21"/>
        <v>-0.2896005338831994</v>
      </c>
      <c r="D189" s="52">
        <v>3.1095890410958904</v>
      </c>
      <c r="E189" s="52">
        <v>0</v>
      </c>
      <c r="F189" s="50">
        <f t="shared" si="22"/>
        <v>0</v>
      </c>
      <c r="G189" s="52">
        <v>0</v>
      </c>
      <c r="H189" s="50">
        <f t="shared" si="23"/>
        <v>0</v>
      </c>
      <c r="I189" s="65">
        <v>2.95</v>
      </c>
      <c r="J189" s="71">
        <f t="shared" si="24"/>
        <v>0</v>
      </c>
      <c r="K189" s="52">
        <v>0</v>
      </c>
      <c r="L189" s="54">
        <v>1.02</v>
      </c>
      <c r="M189" s="60">
        <f t="shared" si="25"/>
        <v>0.30535136944662378</v>
      </c>
      <c r="N189" s="62">
        <f t="shared" si="26"/>
        <v>0.90308998699194354</v>
      </c>
      <c r="O189" s="52">
        <v>8</v>
      </c>
      <c r="P189" s="52">
        <f t="shared" si="20"/>
        <v>0</v>
      </c>
      <c r="Q189" s="52">
        <v>70</v>
      </c>
      <c r="R189" s="52">
        <v>70</v>
      </c>
      <c r="S189" s="52">
        <v>85</v>
      </c>
      <c r="T189" s="55">
        <v>26.5</v>
      </c>
      <c r="U189" s="56">
        <v>37.808596853116498</v>
      </c>
      <c r="V189" s="52">
        <v>1246.953</v>
      </c>
      <c r="W189" s="50">
        <f t="shared" si="27"/>
        <v>3.0958500844125241</v>
      </c>
      <c r="X189" s="57">
        <v>3</v>
      </c>
      <c r="Y189" s="52">
        <v>3219.7179999999998</v>
      </c>
      <c r="Z189" s="50">
        <f t="shared" si="28"/>
        <v>3.5078178355445662</v>
      </c>
      <c r="AA189" s="50">
        <f t="shared" si="29"/>
        <v>8.8750612633917001</v>
      </c>
      <c r="AB189" s="52">
        <v>750000000</v>
      </c>
    </row>
    <row r="190" spans="1:28" x14ac:dyDescent="0.35">
      <c r="A190" s="49" t="s">
        <v>45</v>
      </c>
      <c r="B190" s="50">
        <v>1</v>
      </c>
      <c r="C190" s="50">
        <f t="shared" si="21"/>
        <v>0.3010299956639812</v>
      </c>
      <c r="D190" s="50">
        <v>2.9972602739726026</v>
      </c>
      <c r="E190" s="50">
        <v>0</v>
      </c>
      <c r="F190" s="50">
        <f t="shared" si="22"/>
        <v>0</v>
      </c>
      <c r="G190" s="50">
        <v>68</v>
      </c>
      <c r="H190" s="50">
        <f t="shared" si="23"/>
        <v>1.8325089127062364</v>
      </c>
      <c r="I190" s="59">
        <v>2.95</v>
      </c>
      <c r="J190" s="71">
        <f t="shared" si="24"/>
        <v>0</v>
      </c>
      <c r="K190" s="50">
        <v>0</v>
      </c>
      <c r="L190" s="61">
        <v>-0.28999999999999998</v>
      </c>
      <c r="M190" s="60">
        <f t="shared" si="25"/>
        <v>-0.14874165128092473</v>
      </c>
      <c r="N190" s="62">
        <f t="shared" si="26"/>
        <v>1.0791812460476249</v>
      </c>
      <c r="O190" s="50">
        <v>12</v>
      </c>
      <c r="P190" s="50">
        <f t="shared" si="20"/>
        <v>0</v>
      </c>
      <c r="Q190" s="50">
        <v>70</v>
      </c>
      <c r="R190" s="50">
        <v>70</v>
      </c>
      <c r="S190" s="50">
        <v>85</v>
      </c>
      <c r="T190" s="62">
        <v>27.8</v>
      </c>
      <c r="U190" s="63">
        <v>34.656907836978597</v>
      </c>
      <c r="V190" s="50">
        <v>1246.953</v>
      </c>
      <c r="W190" s="50">
        <f t="shared" si="27"/>
        <v>3.0958500844125241</v>
      </c>
      <c r="X190" s="64">
        <v>3</v>
      </c>
      <c r="Y190" s="50">
        <v>3219.7179999999998</v>
      </c>
      <c r="Z190" s="50">
        <f t="shared" si="28"/>
        <v>3.5078178355445662</v>
      </c>
      <c r="AA190" s="50">
        <f t="shared" si="29"/>
        <v>8.3979400086720375</v>
      </c>
      <c r="AB190" s="50">
        <v>250000000</v>
      </c>
    </row>
    <row r="191" spans="1:28" x14ac:dyDescent="0.35">
      <c r="A191" s="67" t="s">
        <v>45</v>
      </c>
      <c r="B191" s="52">
        <v>2.2698128358762122</v>
      </c>
      <c r="C191" s="50">
        <f t="shared" si="21"/>
        <v>0.51452289435065757</v>
      </c>
      <c r="D191" s="52">
        <v>5.0986301369863014</v>
      </c>
      <c r="E191" s="52">
        <v>0</v>
      </c>
      <c r="F191" s="50">
        <f t="shared" si="22"/>
        <v>0</v>
      </c>
      <c r="G191" s="52">
        <v>22</v>
      </c>
      <c r="H191" s="50">
        <f t="shared" si="23"/>
        <v>1.3424226808222062</v>
      </c>
      <c r="I191" s="65">
        <v>2.95</v>
      </c>
      <c r="J191" s="71">
        <f t="shared" si="24"/>
        <v>0</v>
      </c>
      <c r="K191" s="52">
        <v>0</v>
      </c>
      <c r="L191" s="54">
        <v>-0.15</v>
      </c>
      <c r="M191" s="60">
        <f t="shared" si="25"/>
        <v>-7.0581074285707285E-2</v>
      </c>
      <c r="N191" s="62">
        <f t="shared" si="26"/>
        <v>1.0791812460476249</v>
      </c>
      <c r="O191" s="52">
        <v>12</v>
      </c>
      <c r="P191" s="52">
        <f t="shared" si="20"/>
        <v>0</v>
      </c>
      <c r="Q191" s="52">
        <v>70</v>
      </c>
      <c r="R191" s="52">
        <v>70</v>
      </c>
      <c r="S191" s="52">
        <v>85</v>
      </c>
      <c r="T191" s="55">
        <v>27.8</v>
      </c>
      <c r="U191" s="56">
        <v>34.656907836978597</v>
      </c>
      <c r="V191" s="52">
        <v>1246.953</v>
      </c>
      <c r="W191" s="50">
        <f t="shared" si="27"/>
        <v>3.0958500844125241</v>
      </c>
      <c r="X191" s="57">
        <v>3</v>
      </c>
      <c r="Y191" s="52">
        <v>3219.7179999999998</v>
      </c>
      <c r="Z191" s="50">
        <f t="shared" si="28"/>
        <v>3.5078178355445662</v>
      </c>
      <c r="AA191" s="50">
        <f t="shared" si="29"/>
        <v>8.2092200230649937</v>
      </c>
      <c r="AB191" s="52">
        <v>161890000</v>
      </c>
    </row>
    <row r="192" spans="1:28" x14ac:dyDescent="0.35">
      <c r="A192" s="49" t="s">
        <v>45</v>
      </c>
      <c r="B192" s="50">
        <v>-0.14179104477611937</v>
      </c>
      <c r="C192" s="50">
        <f t="shared" si="21"/>
        <v>-6.6406958011195921E-2</v>
      </c>
      <c r="D192" s="50">
        <v>5.7643835616438359</v>
      </c>
      <c r="E192" s="50">
        <v>0</v>
      </c>
      <c r="F192" s="50">
        <f t="shared" si="22"/>
        <v>0</v>
      </c>
      <c r="G192" s="50">
        <v>2</v>
      </c>
      <c r="H192" s="50">
        <f t="shared" si="23"/>
        <v>0.3010299956639812</v>
      </c>
      <c r="I192" s="59">
        <v>2.95</v>
      </c>
      <c r="J192" s="71">
        <f t="shared" si="24"/>
        <v>0</v>
      </c>
      <c r="K192" s="50">
        <v>0</v>
      </c>
      <c r="L192" s="61">
        <v>-0.17</v>
      </c>
      <c r="M192" s="60">
        <f t="shared" si="25"/>
        <v>-8.092190762392612E-2</v>
      </c>
      <c r="N192" s="62">
        <f t="shared" si="26"/>
        <v>1.0791812460476249</v>
      </c>
      <c r="O192" s="50">
        <v>12</v>
      </c>
      <c r="P192" s="50">
        <f t="shared" si="20"/>
        <v>0</v>
      </c>
      <c r="Q192" s="50">
        <v>70</v>
      </c>
      <c r="R192" s="50">
        <v>70</v>
      </c>
      <c r="S192" s="50">
        <v>85</v>
      </c>
      <c r="T192" s="62">
        <v>27.8</v>
      </c>
      <c r="U192" s="63">
        <v>34.656907836978597</v>
      </c>
      <c r="V192" s="50">
        <v>1246.953</v>
      </c>
      <c r="W192" s="50">
        <f t="shared" si="27"/>
        <v>3.0958500844125241</v>
      </c>
      <c r="X192" s="64">
        <v>3</v>
      </c>
      <c r="Y192" s="50">
        <v>3219.7179999999998</v>
      </c>
      <c r="Z192" s="50">
        <f t="shared" si="28"/>
        <v>3.5078178355445662</v>
      </c>
      <c r="AA192" s="50">
        <f t="shared" si="29"/>
        <v>8.6042260530844707</v>
      </c>
      <c r="AB192" s="50">
        <v>402000000</v>
      </c>
    </row>
    <row r="193" spans="1:28" x14ac:dyDescent="0.35">
      <c r="A193" s="67" t="s">
        <v>45</v>
      </c>
      <c r="B193" s="52">
        <v>0.36296296296296293</v>
      </c>
      <c r="C193" s="50">
        <f t="shared" si="21"/>
        <v>0.13448405451453033</v>
      </c>
      <c r="D193" s="52">
        <v>6.6739726027397257</v>
      </c>
      <c r="E193" s="52">
        <v>0</v>
      </c>
      <c r="F193" s="50">
        <f t="shared" si="22"/>
        <v>0</v>
      </c>
      <c r="G193" s="52">
        <v>11</v>
      </c>
      <c r="H193" s="50">
        <f t="shared" si="23"/>
        <v>1.0413926851582251</v>
      </c>
      <c r="I193" s="65">
        <v>2.95</v>
      </c>
      <c r="J193" s="71">
        <f t="shared" si="24"/>
        <v>0</v>
      </c>
      <c r="K193" s="52">
        <v>0</v>
      </c>
      <c r="L193" s="54">
        <v>0.09</v>
      </c>
      <c r="M193" s="60">
        <f t="shared" si="25"/>
        <v>3.7426497940623665E-2</v>
      </c>
      <c r="N193" s="62">
        <f t="shared" si="26"/>
        <v>1.1139433523068367</v>
      </c>
      <c r="O193" s="52">
        <v>13</v>
      </c>
      <c r="P193" s="52">
        <f t="shared" si="20"/>
        <v>0</v>
      </c>
      <c r="Q193" s="52">
        <v>70</v>
      </c>
      <c r="R193" s="52">
        <v>70</v>
      </c>
      <c r="S193" s="52">
        <v>85</v>
      </c>
      <c r="T193" s="55">
        <v>28.2</v>
      </c>
      <c r="U193" s="56">
        <v>34.298950279384798</v>
      </c>
      <c r="V193" s="52">
        <v>1246.953</v>
      </c>
      <c r="W193" s="50">
        <f t="shared" si="27"/>
        <v>3.0958500844125241</v>
      </c>
      <c r="X193" s="57">
        <v>3</v>
      </c>
      <c r="Y193" s="52">
        <v>3219.7179999999998</v>
      </c>
      <c r="Z193" s="50">
        <f t="shared" si="28"/>
        <v>3.5078178355445662</v>
      </c>
      <c r="AA193" s="50">
        <f t="shared" si="29"/>
        <v>7.8293037728310253</v>
      </c>
      <c r="AB193" s="52">
        <v>67500000</v>
      </c>
    </row>
    <row r="194" spans="1:28" x14ac:dyDescent="0.35">
      <c r="A194" s="49" t="s">
        <v>45</v>
      </c>
      <c r="B194" s="50">
        <v>0.94718137254901968</v>
      </c>
      <c r="C194" s="50">
        <f t="shared" si="21"/>
        <v>0.28940640628560588</v>
      </c>
      <c r="D194" s="50">
        <v>5.8931506849315065</v>
      </c>
      <c r="E194" s="50">
        <v>0</v>
      </c>
      <c r="F194" s="50">
        <f t="shared" si="22"/>
        <v>0</v>
      </c>
      <c r="G194" s="50">
        <v>0</v>
      </c>
      <c r="H194" s="50">
        <f t="shared" si="23"/>
        <v>0</v>
      </c>
      <c r="I194" s="59">
        <v>2.95</v>
      </c>
      <c r="J194" s="71">
        <f t="shared" si="24"/>
        <v>0</v>
      </c>
      <c r="K194" s="50">
        <v>0</v>
      </c>
      <c r="L194" s="61">
        <v>0.41</v>
      </c>
      <c r="M194" s="60">
        <f t="shared" si="25"/>
        <v>0.14921911265537988</v>
      </c>
      <c r="N194" s="62">
        <f t="shared" si="26"/>
        <v>1.146128035678238</v>
      </c>
      <c r="O194" s="50">
        <v>14</v>
      </c>
      <c r="P194" s="50">
        <f t="shared" ref="P194:P245" si="30">IF(E194=0,0,1)</f>
        <v>0</v>
      </c>
      <c r="Q194" s="50">
        <v>70</v>
      </c>
      <c r="R194" s="50">
        <v>70</v>
      </c>
      <c r="S194" s="50">
        <v>85</v>
      </c>
      <c r="T194" s="62">
        <v>27.2</v>
      </c>
      <c r="U194" s="63">
        <v>35.608384832026097</v>
      </c>
      <c r="V194" s="50">
        <v>1246.953</v>
      </c>
      <c r="W194" s="50">
        <f t="shared" si="27"/>
        <v>3.0958500844125241</v>
      </c>
      <c r="X194" s="64">
        <v>3</v>
      </c>
      <c r="Y194" s="50">
        <v>3219.7179999999998</v>
      </c>
      <c r="Z194" s="50">
        <f t="shared" si="28"/>
        <v>3.5078178355445662</v>
      </c>
      <c r="AA194" s="50">
        <f t="shared" si="29"/>
        <v>8.6106601630898805</v>
      </c>
      <c r="AB194" s="50">
        <v>408000000</v>
      </c>
    </row>
    <row r="195" spans="1:28" x14ac:dyDescent="0.35">
      <c r="A195" s="67" t="s">
        <v>45</v>
      </c>
      <c r="B195" s="52">
        <v>-1</v>
      </c>
      <c r="C195" s="50">
        <f t="shared" ref="C195:C245" si="31">IF(B195=-1,-1,LOG(1+B195))</f>
        <v>-1</v>
      </c>
      <c r="D195" s="52">
        <v>7.6219178082191785</v>
      </c>
      <c r="E195" s="52">
        <v>0</v>
      </c>
      <c r="F195" s="50">
        <f t="shared" ref="F195:F245" si="32">IF(E195=0,0,LOG(E195))</f>
        <v>0</v>
      </c>
      <c r="G195" s="52">
        <v>15</v>
      </c>
      <c r="H195" s="50">
        <f t="shared" ref="H195:H245" si="33">IF(G195=0,0,LOG(G195))</f>
        <v>1.1760912590556813</v>
      </c>
      <c r="I195" s="65">
        <v>2.95</v>
      </c>
      <c r="J195" s="71">
        <f t="shared" ref="J195:J245" si="34">IF(K195=0,0,LOG(K195))</f>
        <v>0</v>
      </c>
      <c r="K195" s="52">
        <v>0</v>
      </c>
      <c r="L195" s="54">
        <v>-0.31</v>
      </c>
      <c r="M195" s="60">
        <f t="shared" ref="M195:M245" si="35">LOG(1+L195)</f>
        <v>-0.16115090926274472</v>
      </c>
      <c r="N195" s="62">
        <f t="shared" ref="N195:N245" si="36">IF(O195=0,0,LOG(O195))</f>
        <v>1.146128035678238</v>
      </c>
      <c r="O195" s="52">
        <v>14</v>
      </c>
      <c r="P195" s="52">
        <f t="shared" si="30"/>
        <v>0</v>
      </c>
      <c r="Q195" s="52">
        <v>70</v>
      </c>
      <c r="R195" s="52">
        <v>70</v>
      </c>
      <c r="S195" s="52">
        <v>85</v>
      </c>
      <c r="T195" s="55">
        <v>27.2</v>
      </c>
      <c r="U195" s="56">
        <v>35.608384832026097</v>
      </c>
      <c r="V195" s="52">
        <v>1246.953</v>
      </c>
      <c r="W195" s="50">
        <f t="shared" ref="W195:W245" si="37">LOG(V195)</f>
        <v>3.0958500844125241</v>
      </c>
      <c r="X195" s="57">
        <v>3</v>
      </c>
      <c r="Y195" s="52">
        <v>3219.7179999999998</v>
      </c>
      <c r="Z195" s="50">
        <f t="shared" ref="Z195:Z245" si="38">LOG(Y195)</f>
        <v>3.5078178355445662</v>
      </c>
      <c r="AA195" s="50">
        <f t="shared" ref="AA195:AA245" si="39">LOG(AB195)</f>
        <v>8.2787536009528289</v>
      </c>
      <c r="AB195" s="52">
        <v>190000000</v>
      </c>
    </row>
    <row r="196" spans="1:28" x14ac:dyDescent="0.35">
      <c r="A196" s="49" t="s">
        <v>45</v>
      </c>
      <c r="B196" s="50">
        <v>-1</v>
      </c>
      <c r="C196" s="50">
        <f t="shared" si="31"/>
        <v>-1</v>
      </c>
      <c r="D196" s="50">
        <v>4.956164383561644</v>
      </c>
      <c r="E196" s="50">
        <v>0</v>
      </c>
      <c r="F196" s="50">
        <f t="shared" si="32"/>
        <v>0</v>
      </c>
      <c r="G196" s="50">
        <v>3</v>
      </c>
      <c r="H196" s="50">
        <f t="shared" si="33"/>
        <v>0.47712125471966244</v>
      </c>
      <c r="I196" s="59">
        <v>2.95</v>
      </c>
      <c r="J196" s="71">
        <f t="shared" si="34"/>
        <v>0</v>
      </c>
      <c r="K196" s="50">
        <v>0</v>
      </c>
      <c r="L196" s="61">
        <v>0.04</v>
      </c>
      <c r="M196" s="60">
        <f t="shared" si="35"/>
        <v>1.703333929878037E-2</v>
      </c>
      <c r="N196" s="62">
        <f t="shared" si="36"/>
        <v>1.146128035678238</v>
      </c>
      <c r="O196" s="50">
        <v>14</v>
      </c>
      <c r="P196" s="50">
        <f t="shared" si="30"/>
        <v>0</v>
      </c>
      <c r="Q196" s="50">
        <v>70</v>
      </c>
      <c r="R196" s="50">
        <v>70</v>
      </c>
      <c r="S196" s="50">
        <v>85</v>
      </c>
      <c r="T196" s="62">
        <v>27.2</v>
      </c>
      <c r="U196" s="63">
        <v>35.608384832026097</v>
      </c>
      <c r="V196" s="50">
        <v>1246.953</v>
      </c>
      <c r="W196" s="50">
        <f t="shared" si="37"/>
        <v>3.0958500844125241</v>
      </c>
      <c r="X196" s="64">
        <v>3</v>
      </c>
      <c r="Y196" s="50">
        <v>3219.7179999999998</v>
      </c>
      <c r="Z196" s="50">
        <f t="shared" si="38"/>
        <v>3.5078178355445662</v>
      </c>
      <c r="AA196" s="50">
        <f t="shared" si="39"/>
        <v>7.3010299956639813</v>
      </c>
      <c r="AB196" s="50">
        <v>20000000</v>
      </c>
    </row>
    <row r="197" spans="1:28" x14ac:dyDescent="0.35">
      <c r="A197" s="67" t="s">
        <v>45</v>
      </c>
      <c r="B197" s="52">
        <v>-1</v>
      </c>
      <c r="C197" s="50">
        <f t="shared" si="31"/>
        <v>-1</v>
      </c>
      <c r="D197" s="52">
        <v>2.117808219178082</v>
      </c>
      <c r="E197" s="52">
        <v>0</v>
      </c>
      <c r="F197" s="50">
        <f t="shared" si="32"/>
        <v>0</v>
      </c>
      <c r="G197" s="52">
        <v>61</v>
      </c>
      <c r="H197" s="50">
        <f t="shared" si="33"/>
        <v>1.7853298350107671</v>
      </c>
      <c r="I197" s="65">
        <v>2.95</v>
      </c>
      <c r="J197" s="71">
        <f t="shared" si="34"/>
        <v>0</v>
      </c>
      <c r="K197" s="52">
        <v>0</v>
      </c>
      <c r="L197" s="54">
        <v>0.33</v>
      </c>
      <c r="M197" s="60">
        <f t="shared" si="35"/>
        <v>0.12385164096708581</v>
      </c>
      <c r="N197" s="62">
        <f t="shared" si="36"/>
        <v>1.1760912590556813</v>
      </c>
      <c r="O197" s="52">
        <v>15</v>
      </c>
      <c r="P197" s="52">
        <f t="shared" si="30"/>
        <v>0</v>
      </c>
      <c r="Q197" s="52">
        <v>70</v>
      </c>
      <c r="R197" s="52">
        <v>70</v>
      </c>
      <c r="S197" s="52">
        <v>85</v>
      </c>
      <c r="T197" s="55">
        <v>24.9</v>
      </c>
      <c r="U197" s="56">
        <v>36.710134890601303</v>
      </c>
      <c r="V197" s="52">
        <v>1246.953</v>
      </c>
      <c r="W197" s="50">
        <f t="shared" si="37"/>
        <v>3.0958500844125241</v>
      </c>
      <c r="X197" s="57">
        <v>3</v>
      </c>
      <c r="Y197" s="52">
        <v>3219.7179999999998</v>
      </c>
      <c r="Z197" s="50">
        <f t="shared" si="38"/>
        <v>3.5078178355445662</v>
      </c>
      <c r="AA197" s="50">
        <f t="shared" si="39"/>
        <v>7.1760912590556813</v>
      </c>
      <c r="AB197" s="52">
        <v>15000000</v>
      </c>
    </row>
    <row r="198" spans="1:28" x14ac:dyDescent="0.35">
      <c r="A198" s="49" t="s">
        <v>45</v>
      </c>
      <c r="B198" s="50">
        <v>2.1100886162235857</v>
      </c>
      <c r="C198" s="50">
        <f t="shared" si="31"/>
        <v>0.49277276362124844</v>
      </c>
      <c r="D198" s="50">
        <v>3.8493150684931505</v>
      </c>
      <c r="E198" s="50">
        <v>0</v>
      </c>
      <c r="F198" s="50">
        <f t="shared" si="32"/>
        <v>0</v>
      </c>
      <c r="G198" s="50">
        <v>0</v>
      </c>
      <c r="H198" s="50">
        <f t="shared" si="33"/>
        <v>0</v>
      </c>
      <c r="I198" s="59">
        <v>2.95</v>
      </c>
      <c r="J198" s="71">
        <f t="shared" si="34"/>
        <v>0</v>
      </c>
      <c r="K198" s="50">
        <v>0</v>
      </c>
      <c r="L198" s="61">
        <v>0.43</v>
      </c>
      <c r="M198" s="60">
        <f t="shared" si="35"/>
        <v>0.1553360374650618</v>
      </c>
      <c r="N198" s="62">
        <f t="shared" si="36"/>
        <v>1.1760912590556813</v>
      </c>
      <c r="O198" s="50">
        <v>15</v>
      </c>
      <c r="P198" s="50">
        <f t="shared" si="30"/>
        <v>0</v>
      </c>
      <c r="Q198" s="50">
        <v>70</v>
      </c>
      <c r="R198" s="50">
        <v>70</v>
      </c>
      <c r="S198" s="50">
        <v>85</v>
      </c>
      <c r="T198" s="62">
        <v>24.9</v>
      </c>
      <c r="U198" s="63">
        <v>36.710134890601303</v>
      </c>
      <c r="V198" s="50">
        <v>1246.953</v>
      </c>
      <c r="W198" s="50">
        <f t="shared" si="37"/>
        <v>3.0958500844125241</v>
      </c>
      <c r="X198" s="64">
        <v>3</v>
      </c>
      <c r="Y198" s="50">
        <v>3219.7179999999998</v>
      </c>
      <c r="Z198" s="50">
        <f t="shared" si="38"/>
        <v>3.5078178355445662</v>
      </c>
      <c r="AA198" s="50">
        <f t="shared" si="39"/>
        <v>8.7684901051712458</v>
      </c>
      <c r="AB198" s="50">
        <v>586800000</v>
      </c>
    </row>
    <row r="199" spans="1:28" x14ac:dyDescent="0.35">
      <c r="A199" s="67" t="s">
        <v>45</v>
      </c>
      <c r="B199" s="52">
        <v>1.1666666666666665</v>
      </c>
      <c r="C199" s="50">
        <f t="shared" si="31"/>
        <v>0.33579210192319309</v>
      </c>
      <c r="D199" s="52">
        <v>1.3616438356164384</v>
      </c>
      <c r="E199" s="52">
        <v>0</v>
      </c>
      <c r="F199" s="50">
        <f t="shared" si="32"/>
        <v>0</v>
      </c>
      <c r="G199" s="52">
        <v>47</v>
      </c>
      <c r="H199" s="50">
        <f t="shared" si="33"/>
        <v>1.6720978579357175</v>
      </c>
      <c r="I199" s="65">
        <v>2.95</v>
      </c>
      <c r="J199" s="71">
        <f t="shared" si="34"/>
        <v>0</v>
      </c>
      <c r="K199" s="52">
        <v>0</v>
      </c>
      <c r="L199" s="54">
        <v>0.32</v>
      </c>
      <c r="M199" s="60">
        <f t="shared" si="35"/>
        <v>0.12057393120584989</v>
      </c>
      <c r="N199" s="62">
        <f t="shared" si="36"/>
        <v>1.2041199826559248</v>
      </c>
      <c r="O199" s="52">
        <v>16</v>
      </c>
      <c r="P199" s="52">
        <f t="shared" si="30"/>
        <v>0</v>
      </c>
      <c r="Q199" s="52">
        <v>70</v>
      </c>
      <c r="R199" s="52">
        <v>70</v>
      </c>
      <c r="S199" s="52">
        <v>85</v>
      </c>
      <c r="T199" s="55">
        <v>24.4</v>
      </c>
      <c r="U199" s="56">
        <v>37.256914365427299</v>
      </c>
      <c r="V199" s="52">
        <v>1246.953</v>
      </c>
      <c r="W199" s="50">
        <f t="shared" si="37"/>
        <v>3.0958500844125241</v>
      </c>
      <c r="X199" s="57">
        <v>3</v>
      </c>
      <c r="Y199" s="52">
        <v>3219.7179999999998</v>
      </c>
      <c r="Z199" s="50">
        <f t="shared" si="38"/>
        <v>3.5078178355445662</v>
      </c>
      <c r="AA199" s="50">
        <f t="shared" si="39"/>
        <v>8.4771212547196626</v>
      </c>
      <c r="AB199" s="52">
        <v>300000000</v>
      </c>
    </row>
    <row r="200" spans="1:28" x14ac:dyDescent="0.35">
      <c r="A200" s="49" t="s">
        <v>45</v>
      </c>
      <c r="B200" s="50">
        <v>0.22500000000000009</v>
      </c>
      <c r="C200" s="50">
        <f t="shared" si="31"/>
        <v>8.8136088700551299E-2</v>
      </c>
      <c r="D200" s="50">
        <v>7.7808219178082192</v>
      </c>
      <c r="E200" s="50">
        <v>0</v>
      </c>
      <c r="F200" s="50">
        <f t="shared" si="32"/>
        <v>0</v>
      </c>
      <c r="G200" s="50">
        <v>45</v>
      </c>
      <c r="H200" s="50">
        <f t="shared" si="33"/>
        <v>1.6532125137753437</v>
      </c>
      <c r="I200" s="59">
        <v>2.95</v>
      </c>
      <c r="J200" s="71">
        <f t="shared" si="34"/>
        <v>0</v>
      </c>
      <c r="K200" s="50">
        <v>0</v>
      </c>
      <c r="L200" s="61">
        <v>0.33</v>
      </c>
      <c r="M200" s="60">
        <f t="shared" si="35"/>
        <v>0.12385164096708581</v>
      </c>
      <c r="N200" s="62">
        <f t="shared" si="36"/>
        <v>1.2041199826559248</v>
      </c>
      <c r="O200" s="50">
        <v>16</v>
      </c>
      <c r="P200" s="50">
        <f t="shared" si="30"/>
        <v>0</v>
      </c>
      <c r="Q200" s="50">
        <v>70</v>
      </c>
      <c r="R200" s="50">
        <v>70</v>
      </c>
      <c r="S200" s="50">
        <v>85</v>
      </c>
      <c r="T200" s="62">
        <v>24.4</v>
      </c>
      <c r="U200" s="63">
        <v>37.256914365427299</v>
      </c>
      <c r="V200" s="50">
        <v>1246.953</v>
      </c>
      <c r="W200" s="50">
        <f t="shared" si="37"/>
        <v>3.0958500844125241</v>
      </c>
      <c r="X200" s="64">
        <v>3</v>
      </c>
      <c r="Y200" s="50">
        <v>3219.7179999999998</v>
      </c>
      <c r="Z200" s="50">
        <f t="shared" si="38"/>
        <v>3.5078178355445662</v>
      </c>
      <c r="AA200" s="50">
        <f t="shared" si="39"/>
        <v>8.9030899869919438</v>
      </c>
      <c r="AB200" s="50">
        <v>800000000</v>
      </c>
    </row>
    <row r="201" spans="1:28" x14ac:dyDescent="0.35">
      <c r="A201" s="67" t="s">
        <v>45</v>
      </c>
      <c r="B201" s="52">
        <v>-0.125</v>
      </c>
      <c r="C201" s="50">
        <f t="shared" si="31"/>
        <v>-5.7991946977686754E-2</v>
      </c>
      <c r="D201" s="52">
        <v>4.6684931506849319</v>
      </c>
      <c r="E201" s="52">
        <v>0</v>
      </c>
      <c r="F201" s="50">
        <f t="shared" si="32"/>
        <v>0</v>
      </c>
      <c r="G201" s="52">
        <v>29</v>
      </c>
      <c r="H201" s="50">
        <f t="shared" si="33"/>
        <v>1.4623979978989561</v>
      </c>
      <c r="I201" s="65">
        <v>2.95</v>
      </c>
      <c r="J201" s="71">
        <f t="shared" si="34"/>
        <v>0</v>
      </c>
      <c r="K201" s="52">
        <v>0</v>
      </c>
      <c r="L201" s="54">
        <v>0.03</v>
      </c>
      <c r="M201" s="60">
        <f t="shared" si="35"/>
        <v>1.2837224705172217E-2</v>
      </c>
      <c r="N201" s="62">
        <f t="shared" si="36"/>
        <v>1.3222192947339193</v>
      </c>
      <c r="O201" s="52">
        <v>21</v>
      </c>
      <c r="P201" s="52">
        <f t="shared" si="30"/>
        <v>0</v>
      </c>
      <c r="Q201" s="52">
        <v>70</v>
      </c>
      <c r="R201" s="52">
        <v>70</v>
      </c>
      <c r="S201" s="52">
        <v>93.2</v>
      </c>
      <c r="T201" s="55">
        <v>26.7</v>
      </c>
      <c r="U201" s="56">
        <v>36.669158714517401</v>
      </c>
      <c r="V201" s="52">
        <v>2315.9650000000001</v>
      </c>
      <c r="W201" s="50">
        <f t="shared" si="37"/>
        <v>3.3647319918335836</v>
      </c>
      <c r="X201" s="57">
        <v>4</v>
      </c>
      <c r="Y201" s="52">
        <v>3703.9029999999998</v>
      </c>
      <c r="Z201" s="50">
        <f t="shared" si="38"/>
        <v>3.568659604598353</v>
      </c>
      <c r="AA201" s="50">
        <f t="shared" si="39"/>
        <v>8.6020599913279625</v>
      </c>
      <c r="AB201" s="52">
        <v>400000000</v>
      </c>
    </row>
    <row r="202" spans="1:28" x14ac:dyDescent="0.35">
      <c r="A202" s="49" t="s">
        <v>45</v>
      </c>
      <c r="B202" s="50">
        <v>0.15296296296296297</v>
      </c>
      <c r="C202" s="50">
        <f t="shared" si="31"/>
        <v>6.1815356523527966E-2</v>
      </c>
      <c r="D202" s="50">
        <v>8.0164383561643842</v>
      </c>
      <c r="E202" s="50">
        <v>0</v>
      </c>
      <c r="F202" s="50">
        <f t="shared" si="32"/>
        <v>0</v>
      </c>
      <c r="G202" s="50">
        <v>9</v>
      </c>
      <c r="H202" s="50">
        <f t="shared" si="33"/>
        <v>0.95424250943932487</v>
      </c>
      <c r="I202" s="59">
        <v>2.95</v>
      </c>
      <c r="J202" s="71">
        <f t="shared" si="34"/>
        <v>0</v>
      </c>
      <c r="K202" s="50">
        <v>0</v>
      </c>
      <c r="L202" s="61">
        <v>0.43</v>
      </c>
      <c r="M202" s="60">
        <f t="shared" si="35"/>
        <v>0.1553360374650618</v>
      </c>
      <c r="N202" s="62">
        <f t="shared" si="36"/>
        <v>1.3424226808222062</v>
      </c>
      <c r="O202" s="50">
        <v>22</v>
      </c>
      <c r="P202" s="50">
        <f t="shared" si="30"/>
        <v>0</v>
      </c>
      <c r="Q202" s="50">
        <v>70</v>
      </c>
      <c r="R202" s="50">
        <v>70</v>
      </c>
      <c r="S202" s="50">
        <v>91.4</v>
      </c>
      <c r="T202" s="62">
        <v>26.7</v>
      </c>
      <c r="U202" s="63">
        <v>37.425715444240403</v>
      </c>
      <c r="V202" s="50">
        <v>2315.9650000000001</v>
      </c>
      <c r="W202" s="50">
        <f t="shared" si="37"/>
        <v>3.3647319918335836</v>
      </c>
      <c r="X202" s="64">
        <v>4</v>
      </c>
      <c r="Y202" s="50">
        <v>3703.9029999999998</v>
      </c>
      <c r="Z202" s="50">
        <f t="shared" si="38"/>
        <v>3.568659604598353</v>
      </c>
      <c r="AA202" s="50">
        <f t="shared" si="39"/>
        <v>9.3344537511509316</v>
      </c>
      <c r="AB202" s="50">
        <v>2160000000</v>
      </c>
    </row>
    <row r="203" spans="1:28" x14ac:dyDescent="0.35">
      <c r="A203" s="67" t="s">
        <v>45</v>
      </c>
      <c r="B203" s="52">
        <v>0.17105263157894735</v>
      </c>
      <c r="C203" s="50">
        <f t="shared" si="31"/>
        <v>6.857641436412143E-2</v>
      </c>
      <c r="D203" s="52">
        <v>7.7479452054794518</v>
      </c>
      <c r="E203" s="52">
        <v>0</v>
      </c>
      <c r="F203" s="50">
        <f t="shared" si="32"/>
        <v>0</v>
      </c>
      <c r="G203" s="52">
        <v>30</v>
      </c>
      <c r="H203" s="50">
        <f t="shared" si="33"/>
        <v>1.4771212547196624</v>
      </c>
      <c r="I203" s="65">
        <v>2.95</v>
      </c>
      <c r="J203" s="71">
        <f t="shared" si="34"/>
        <v>0</v>
      </c>
      <c r="K203" s="52">
        <v>0</v>
      </c>
      <c r="L203" s="54">
        <v>0.38</v>
      </c>
      <c r="M203" s="60">
        <f t="shared" si="35"/>
        <v>0.13987908640123647</v>
      </c>
      <c r="N203" s="62">
        <f t="shared" si="36"/>
        <v>1.3424226808222062</v>
      </c>
      <c r="O203" s="52">
        <v>22</v>
      </c>
      <c r="P203" s="52">
        <f t="shared" si="30"/>
        <v>0</v>
      </c>
      <c r="Q203" s="52">
        <v>70</v>
      </c>
      <c r="R203" s="52">
        <v>70</v>
      </c>
      <c r="S203" s="52">
        <v>91.4</v>
      </c>
      <c r="T203" s="55">
        <v>26.7</v>
      </c>
      <c r="U203" s="56">
        <v>37.425715444240403</v>
      </c>
      <c r="V203" s="52">
        <v>2315.9650000000001</v>
      </c>
      <c r="W203" s="50">
        <f t="shared" si="37"/>
        <v>3.3647319918335836</v>
      </c>
      <c r="X203" s="57">
        <v>4</v>
      </c>
      <c r="Y203" s="52">
        <v>3703.9029999999998</v>
      </c>
      <c r="Z203" s="50">
        <f t="shared" si="38"/>
        <v>3.568659604598353</v>
      </c>
      <c r="AA203" s="50">
        <f t="shared" si="39"/>
        <v>10.056904851336473</v>
      </c>
      <c r="AB203" s="52">
        <v>11400000000</v>
      </c>
    </row>
    <row r="204" spans="1:28" x14ac:dyDescent="0.35">
      <c r="A204" s="49" t="s">
        <v>45</v>
      </c>
      <c r="B204" s="50">
        <v>1.4</v>
      </c>
      <c r="C204" s="50">
        <f t="shared" si="31"/>
        <v>0.38021124171160603</v>
      </c>
      <c r="D204" s="50">
        <v>7.3589041095890408</v>
      </c>
      <c r="E204" s="50">
        <v>0</v>
      </c>
      <c r="F204" s="50">
        <f t="shared" si="32"/>
        <v>0</v>
      </c>
      <c r="G204" s="50">
        <v>51</v>
      </c>
      <c r="H204" s="50">
        <f t="shared" si="33"/>
        <v>1.7075701760979363</v>
      </c>
      <c r="I204" s="59">
        <v>2.95</v>
      </c>
      <c r="J204" s="71">
        <f t="shared" si="34"/>
        <v>0</v>
      </c>
      <c r="K204" s="50">
        <v>0</v>
      </c>
      <c r="L204" s="61">
        <v>0.65</v>
      </c>
      <c r="M204" s="60">
        <f t="shared" si="35"/>
        <v>0.21748394421390627</v>
      </c>
      <c r="N204" s="62">
        <f t="shared" si="36"/>
        <v>1.3617278360175928</v>
      </c>
      <c r="O204" s="50">
        <v>23</v>
      </c>
      <c r="P204" s="50">
        <f t="shared" si="30"/>
        <v>0</v>
      </c>
      <c r="Q204" s="50">
        <v>70</v>
      </c>
      <c r="R204" s="50">
        <v>70</v>
      </c>
      <c r="S204" s="50">
        <v>92.6</v>
      </c>
      <c r="T204" s="62">
        <v>25.7</v>
      </c>
      <c r="U204" s="63">
        <v>39.823361151429197</v>
      </c>
      <c r="V204" s="50">
        <v>2315.9650000000001</v>
      </c>
      <c r="W204" s="50">
        <f t="shared" si="37"/>
        <v>3.3647319918335836</v>
      </c>
      <c r="X204" s="64">
        <v>4</v>
      </c>
      <c r="Y204" s="50">
        <v>3703.9029999999998</v>
      </c>
      <c r="Z204" s="50">
        <f t="shared" si="38"/>
        <v>3.568659604598353</v>
      </c>
      <c r="AA204" s="50">
        <f t="shared" si="39"/>
        <v>8.8450980400142569</v>
      </c>
      <c r="AB204" s="50">
        <v>700000000</v>
      </c>
    </row>
    <row r="205" spans="1:28" x14ac:dyDescent="0.35">
      <c r="A205" s="67" t="s">
        <v>45</v>
      </c>
      <c r="B205" s="52">
        <v>-0.91428571428571426</v>
      </c>
      <c r="C205" s="50">
        <f t="shared" si="31"/>
        <v>-1.0669467896306131</v>
      </c>
      <c r="D205" s="52">
        <v>9.5287671232876718</v>
      </c>
      <c r="E205" s="52">
        <v>0</v>
      </c>
      <c r="F205" s="50">
        <f t="shared" si="32"/>
        <v>0</v>
      </c>
      <c r="G205" s="52">
        <v>26</v>
      </c>
      <c r="H205" s="50">
        <f t="shared" si="33"/>
        <v>1.414973347970818</v>
      </c>
      <c r="I205" s="65">
        <v>2.95</v>
      </c>
      <c r="J205" s="71">
        <f t="shared" si="34"/>
        <v>0</v>
      </c>
      <c r="K205" s="52">
        <v>0</v>
      </c>
      <c r="L205" s="54">
        <v>1.1100000000000001</v>
      </c>
      <c r="M205" s="60">
        <f t="shared" si="35"/>
        <v>0.32428245529769273</v>
      </c>
      <c r="N205" s="62">
        <f t="shared" si="36"/>
        <v>1.3617278360175928</v>
      </c>
      <c r="O205" s="52">
        <v>23</v>
      </c>
      <c r="P205" s="52">
        <f t="shared" si="30"/>
        <v>0</v>
      </c>
      <c r="Q205" s="52">
        <v>70</v>
      </c>
      <c r="R205" s="52">
        <v>70</v>
      </c>
      <c r="S205" s="52">
        <v>92.6</v>
      </c>
      <c r="T205" s="55">
        <v>25.7</v>
      </c>
      <c r="U205" s="56">
        <v>39.823361151429197</v>
      </c>
      <c r="V205" s="52">
        <v>2315.9650000000001</v>
      </c>
      <c r="W205" s="50">
        <f t="shared" si="37"/>
        <v>3.3647319918335836</v>
      </c>
      <c r="X205" s="57">
        <v>4</v>
      </c>
      <c r="Y205" s="52">
        <v>3703.9029999999998</v>
      </c>
      <c r="Z205" s="50">
        <f t="shared" si="38"/>
        <v>3.568659604598353</v>
      </c>
      <c r="AA205" s="50">
        <f t="shared" si="39"/>
        <v>9.5440680443502757</v>
      </c>
      <c r="AB205" s="52">
        <v>3500000000</v>
      </c>
    </row>
    <row r="206" spans="1:28" x14ac:dyDescent="0.35">
      <c r="A206" s="49" t="s">
        <v>45</v>
      </c>
      <c r="B206" s="50">
        <v>6.4665528906226193</v>
      </c>
      <c r="C206" s="50">
        <f t="shared" si="31"/>
        <v>0.87312014584424469</v>
      </c>
      <c r="D206" s="50">
        <v>4.6684931506849319</v>
      </c>
      <c r="E206" s="50">
        <v>0</v>
      </c>
      <c r="F206" s="50">
        <f t="shared" si="32"/>
        <v>0</v>
      </c>
      <c r="G206" s="50">
        <v>19</v>
      </c>
      <c r="H206" s="50">
        <f t="shared" si="33"/>
        <v>1.2787536009528289</v>
      </c>
      <c r="I206" s="59">
        <v>2.95</v>
      </c>
      <c r="J206" s="71">
        <f t="shared" si="34"/>
        <v>0</v>
      </c>
      <c r="K206" s="50">
        <v>0</v>
      </c>
      <c r="L206" s="61">
        <v>0.5</v>
      </c>
      <c r="M206" s="60">
        <f t="shared" si="35"/>
        <v>0.17609125905568124</v>
      </c>
      <c r="N206" s="62">
        <f t="shared" si="36"/>
        <v>1.414973347970818</v>
      </c>
      <c r="O206" s="50">
        <v>26</v>
      </c>
      <c r="P206" s="50">
        <f t="shared" si="30"/>
        <v>0</v>
      </c>
      <c r="Q206" s="50">
        <v>70</v>
      </c>
      <c r="R206" s="50">
        <v>70</v>
      </c>
      <c r="S206" s="50">
        <v>91</v>
      </c>
      <c r="T206" s="62">
        <v>23.9</v>
      </c>
      <c r="U206" s="63">
        <v>42.048698215007001</v>
      </c>
      <c r="V206" s="50">
        <v>2315.9650000000001</v>
      </c>
      <c r="W206" s="50">
        <f t="shared" si="37"/>
        <v>3.3647319918335836</v>
      </c>
      <c r="X206" s="64">
        <v>4</v>
      </c>
      <c r="Y206" s="50">
        <v>3703.9029999999998</v>
      </c>
      <c r="Z206" s="50">
        <f t="shared" si="38"/>
        <v>3.568659604598353</v>
      </c>
      <c r="AA206" s="50">
        <f t="shared" si="39"/>
        <v>8.7809434545825091</v>
      </c>
      <c r="AB206" s="50">
        <v>603870000</v>
      </c>
    </row>
    <row r="207" spans="1:28" x14ac:dyDescent="0.35">
      <c r="A207" s="67" t="s">
        <v>45</v>
      </c>
      <c r="B207" s="52">
        <v>4.8899999999999997</v>
      </c>
      <c r="C207" s="50">
        <f t="shared" si="31"/>
        <v>0.77011529478710161</v>
      </c>
      <c r="D207" s="52">
        <v>2.2876712328767121</v>
      </c>
      <c r="E207" s="52">
        <v>0</v>
      </c>
      <c r="F207" s="50">
        <f t="shared" si="32"/>
        <v>0</v>
      </c>
      <c r="G207" s="52">
        <v>3</v>
      </c>
      <c r="H207" s="50">
        <f t="shared" si="33"/>
        <v>0.47712125471966244</v>
      </c>
      <c r="I207" s="65">
        <v>2.95</v>
      </c>
      <c r="J207" s="71">
        <f t="shared" si="34"/>
        <v>0</v>
      </c>
      <c r="K207" s="52">
        <v>0</v>
      </c>
      <c r="L207" s="54">
        <v>0.28000000000000003</v>
      </c>
      <c r="M207" s="60">
        <f t="shared" si="35"/>
        <v>0.10720996964786837</v>
      </c>
      <c r="N207" s="62">
        <f t="shared" si="36"/>
        <v>1.3010299956639813</v>
      </c>
      <c r="O207" s="52">
        <v>20</v>
      </c>
      <c r="P207" s="52">
        <f t="shared" si="30"/>
        <v>0</v>
      </c>
      <c r="Q207" s="52">
        <v>70</v>
      </c>
      <c r="R207" s="52">
        <v>70</v>
      </c>
      <c r="S207" s="52">
        <v>85</v>
      </c>
      <c r="T207" s="55">
        <v>25.9</v>
      </c>
      <c r="U207" s="56">
        <v>36.959146749272797</v>
      </c>
      <c r="V207" s="52">
        <v>2315.9650000000001</v>
      </c>
      <c r="W207" s="50">
        <f t="shared" si="37"/>
        <v>3.3647319918335836</v>
      </c>
      <c r="X207" s="57">
        <v>4</v>
      </c>
      <c r="Y207" s="52">
        <v>3703.9029999999998</v>
      </c>
      <c r="Z207" s="50">
        <f t="shared" si="38"/>
        <v>3.568659604598353</v>
      </c>
      <c r="AA207" s="50">
        <f t="shared" si="39"/>
        <v>8.3521825181113627</v>
      </c>
      <c r="AB207" s="52">
        <v>225000000</v>
      </c>
    </row>
    <row r="208" spans="1:28" x14ac:dyDescent="0.35">
      <c r="A208" s="49" t="s">
        <v>45</v>
      </c>
      <c r="B208" s="50">
        <v>-0.90038314176245215</v>
      </c>
      <c r="C208" s="50">
        <f t="shared" si="31"/>
        <v>-1.0016671593674633</v>
      </c>
      <c r="D208" s="50">
        <v>12.164383561643836</v>
      </c>
      <c r="E208" s="50">
        <v>0</v>
      </c>
      <c r="F208" s="50">
        <f t="shared" si="32"/>
        <v>0</v>
      </c>
      <c r="G208" s="50">
        <v>145</v>
      </c>
      <c r="H208" s="50">
        <f t="shared" si="33"/>
        <v>2.1613680022349748</v>
      </c>
      <c r="I208" s="59">
        <v>2.95</v>
      </c>
      <c r="J208" s="71">
        <f t="shared" si="34"/>
        <v>0</v>
      </c>
      <c r="K208" s="50">
        <v>0</v>
      </c>
      <c r="L208" s="61">
        <v>3.56</v>
      </c>
      <c r="M208" s="60">
        <f t="shared" si="35"/>
        <v>0.658964842664435</v>
      </c>
      <c r="N208" s="62">
        <f t="shared" si="36"/>
        <v>0.47712125471966244</v>
      </c>
      <c r="O208" s="50">
        <v>3</v>
      </c>
      <c r="P208" s="50">
        <f t="shared" si="30"/>
        <v>0</v>
      </c>
      <c r="Q208" s="50">
        <v>70</v>
      </c>
      <c r="R208" s="50">
        <v>70</v>
      </c>
      <c r="S208" s="50">
        <v>85</v>
      </c>
      <c r="T208" s="62">
        <v>25.4</v>
      </c>
      <c r="U208" s="63">
        <v>36.691491429861301</v>
      </c>
      <c r="V208" s="50">
        <v>2315.9650000000001</v>
      </c>
      <c r="W208" s="50">
        <f t="shared" si="37"/>
        <v>3.3647319918335836</v>
      </c>
      <c r="X208" s="64">
        <v>4</v>
      </c>
      <c r="Y208" s="50">
        <v>3703.9029999999998</v>
      </c>
      <c r="Z208" s="50">
        <f t="shared" si="38"/>
        <v>3.568659604598353</v>
      </c>
      <c r="AA208" s="50">
        <f t="shared" si="39"/>
        <v>9.4166405073382808</v>
      </c>
      <c r="AB208" s="50">
        <v>2610000000</v>
      </c>
    </row>
    <row r="209" spans="1:28" x14ac:dyDescent="0.35">
      <c r="A209" s="67" t="s">
        <v>45</v>
      </c>
      <c r="B209" s="52">
        <v>3.3076923076923075</v>
      </c>
      <c r="C209" s="50">
        <f t="shared" si="31"/>
        <v>0.63424467469936363</v>
      </c>
      <c r="D209" s="52">
        <v>1.5534246575342465</v>
      </c>
      <c r="E209" s="52">
        <v>0</v>
      </c>
      <c r="F209" s="50">
        <f t="shared" si="32"/>
        <v>0</v>
      </c>
      <c r="G209" s="52">
        <v>5</v>
      </c>
      <c r="H209" s="50">
        <f t="shared" si="33"/>
        <v>0.69897000433601886</v>
      </c>
      <c r="I209" s="65">
        <v>2.95</v>
      </c>
      <c r="J209" s="71">
        <f t="shared" si="34"/>
        <v>0</v>
      </c>
      <c r="K209" s="52">
        <v>0</v>
      </c>
      <c r="L209" s="54">
        <v>0.39</v>
      </c>
      <c r="M209" s="60">
        <f t="shared" si="35"/>
        <v>0.14301480025409513</v>
      </c>
      <c r="N209" s="62">
        <f t="shared" si="36"/>
        <v>0.95424250943932487</v>
      </c>
      <c r="O209" s="52">
        <v>9</v>
      </c>
      <c r="P209" s="52">
        <f t="shared" si="30"/>
        <v>0</v>
      </c>
      <c r="Q209" s="52">
        <v>70</v>
      </c>
      <c r="R209" s="52">
        <v>70</v>
      </c>
      <c r="S209" s="52">
        <v>85</v>
      </c>
      <c r="T209" s="55">
        <v>26.2</v>
      </c>
      <c r="U209" s="56">
        <v>37.8446121410093</v>
      </c>
      <c r="V209" s="52">
        <v>2315.9650000000001</v>
      </c>
      <c r="W209" s="50">
        <f t="shared" si="37"/>
        <v>3.3647319918335836</v>
      </c>
      <c r="X209" s="57">
        <v>4</v>
      </c>
      <c r="Y209" s="52">
        <v>3703.9029999999998</v>
      </c>
      <c r="Z209" s="50">
        <f t="shared" si="38"/>
        <v>3.568659604598353</v>
      </c>
      <c r="AA209" s="50">
        <f t="shared" si="39"/>
        <v>7.4149733479708182</v>
      </c>
      <c r="AB209" s="52">
        <v>26000000</v>
      </c>
    </row>
    <row r="210" spans="1:28" x14ac:dyDescent="0.35">
      <c r="A210" s="49" t="s">
        <v>45</v>
      </c>
      <c r="B210" s="50">
        <v>-1</v>
      </c>
      <c r="C210" s="50">
        <f t="shared" si="31"/>
        <v>-1</v>
      </c>
      <c r="D210" s="50">
        <v>5.0383561643835613</v>
      </c>
      <c r="E210" s="50">
        <v>0</v>
      </c>
      <c r="F210" s="50">
        <f t="shared" si="32"/>
        <v>0</v>
      </c>
      <c r="G210" s="50">
        <v>158</v>
      </c>
      <c r="H210" s="50">
        <f t="shared" si="33"/>
        <v>2.1986570869544226</v>
      </c>
      <c r="I210" s="59">
        <v>2.95</v>
      </c>
      <c r="J210" s="71">
        <f t="shared" si="34"/>
        <v>0</v>
      </c>
      <c r="K210" s="50">
        <v>0</v>
      </c>
      <c r="L210" s="61">
        <v>0.76</v>
      </c>
      <c r="M210" s="60">
        <f t="shared" si="35"/>
        <v>0.24551266781414982</v>
      </c>
      <c r="N210" s="62">
        <f t="shared" si="36"/>
        <v>1.0413926851582251</v>
      </c>
      <c r="O210" s="50">
        <v>11</v>
      </c>
      <c r="P210" s="50">
        <f t="shared" si="30"/>
        <v>0</v>
      </c>
      <c r="Q210" s="50">
        <v>70</v>
      </c>
      <c r="R210" s="50">
        <v>70</v>
      </c>
      <c r="S210" s="50">
        <v>85</v>
      </c>
      <c r="T210" s="62">
        <v>27</v>
      </c>
      <c r="U210" s="63">
        <v>37.123527923893597</v>
      </c>
      <c r="V210" s="50">
        <v>2315.9650000000001</v>
      </c>
      <c r="W210" s="50">
        <f t="shared" si="37"/>
        <v>3.3647319918335836</v>
      </c>
      <c r="X210" s="64">
        <v>4</v>
      </c>
      <c r="Y210" s="50">
        <v>3703.9029999999998</v>
      </c>
      <c r="Z210" s="50">
        <f t="shared" si="38"/>
        <v>3.568659604598353</v>
      </c>
      <c r="AA210" s="50">
        <f t="shared" si="39"/>
        <v>7.4771212547196626</v>
      </c>
      <c r="AB210" s="50">
        <v>30000000</v>
      </c>
    </row>
    <row r="211" spans="1:28" x14ac:dyDescent="0.35">
      <c r="A211" s="67" t="s">
        <v>45</v>
      </c>
      <c r="B211" s="52">
        <v>-1</v>
      </c>
      <c r="C211" s="50">
        <f t="shared" si="31"/>
        <v>-1</v>
      </c>
      <c r="D211" s="52">
        <v>4.3068493150684928</v>
      </c>
      <c r="E211" s="52">
        <v>0</v>
      </c>
      <c r="F211" s="50">
        <f t="shared" si="32"/>
        <v>0</v>
      </c>
      <c r="G211" s="52">
        <v>5</v>
      </c>
      <c r="H211" s="50">
        <f t="shared" si="33"/>
        <v>0.69897000433601886</v>
      </c>
      <c r="I211" s="65">
        <v>2.95</v>
      </c>
      <c r="J211" s="71">
        <f t="shared" si="34"/>
        <v>0</v>
      </c>
      <c r="K211" s="52">
        <v>0</v>
      </c>
      <c r="L211" s="54">
        <v>1.01</v>
      </c>
      <c r="M211" s="60">
        <f t="shared" si="35"/>
        <v>0.30319605742048883</v>
      </c>
      <c r="N211" s="62">
        <f t="shared" si="36"/>
        <v>1.0413926851582251</v>
      </c>
      <c r="O211" s="52">
        <v>11</v>
      </c>
      <c r="P211" s="52">
        <f t="shared" si="30"/>
        <v>0</v>
      </c>
      <c r="Q211" s="52">
        <v>70</v>
      </c>
      <c r="R211" s="52">
        <v>70</v>
      </c>
      <c r="S211" s="52">
        <v>85</v>
      </c>
      <c r="T211" s="55">
        <v>27</v>
      </c>
      <c r="U211" s="56">
        <v>37.123527923893597</v>
      </c>
      <c r="V211" s="52">
        <v>2315.9650000000001</v>
      </c>
      <c r="W211" s="50">
        <f t="shared" si="37"/>
        <v>3.3647319918335836</v>
      </c>
      <c r="X211" s="57">
        <v>4</v>
      </c>
      <c r="Y211" s="52">
        <v>3703.9029999999998</v>
      </c>
      <c r="Z211" s="50">
        <f t="shared" si="38"/>
        <v>3.568659604598353</v>
      </c>
      <c r="AA211" s="50">
        <f t="shared" si="39"/>
        <v>8.5051499783199063</v>
      </c>
      <c r="AB211" s="52">
        <v>320000000</v>
      </c>
    </row>
    <row r="212" spans="1:28" x14ac:dyDescent="0.35">
      <c r="A212" s="49" t="s">
        <v>45</v>
      </c>
      <c r="B212" s="50">
        <v>-0.25145076050742565</v>
      </c>
      <c r="C212" s="50">
        <f t="shared" si="31"/>
        <v>-0.12577962653459859</v>
      </c>
      <c r="D212" s="50">
        <v>5.8273972602739725</v>
      </c>
      <c r="E212" s="50">
        <v>0</v>
      </c>
      <c r="F212" s="50">
        <f t="shared" si="32"/>
        <v>0</v>
      </c>
      <c r="G212" s="50">
        <v>35</v>
      </c>
      <c r="H212" s="50">
        <f t="shared" si="33"/>
        <v>1.5440680443502757</v>
      </c>
      <c r="I212" s="59">
        <v>2.95</v>
      </c>
      <c r="J212" s="71">
        <f t="shared" si="34"/>
        <v>0</v>
      </c>
      <c r="K212" s="50">
        <v>0</v>
      </c>
      <c r="L212" s="61">
        <v>0.68</v>
      </c>
      <c r="M212" s="60">
        <f t="shared" si="35"/>
        <v>0.2253092817258629</v>
      </c>
      <c r="N212" s="62">
        <f t="shared" si="36"/>
        <v>1.3802112417116059</v>
      </c>
      <c r="O212" s="50">
        <v>24</v>
      </c>
      <c r="P212" s="50">
        <f t="shared" si="30"/>
        <v>0</v>
      </c>
      <c r="Q212" s="50">
        <v>70</v>
      </c>
      <c r="R212" s="50">
        <v>70</v>
      </c>
      <c r="S212" s="50">
        <v>91</v>
      </c>
      <c r="T212" s="62">
        <v>23.9</v>
      </c>
      <c r="U212" s="63">
        <v>42.048698215007001</v>
      </c>
      <c r="V212" s="50">
        <v>1246.953</v>
      </c>
      <c r="W212" s="50">
        <f t="shared" si="37"/>
        <v>3.0958500844125241</v>
      </c>
      <c r="X212" s="64">
        <v>3</v>
      </c>
      <c r="Y212" s="50">
        <v>3219.7179999999998</v>
      </c>
      <c r="Z212" s="50">
        <f t="shared" si="38"/>
        <v>3.5078178355445662</v>
      </c>
      <c r="AA212" s="50">
        <f t="shared" si="39"/>
        <v>9.5783870397109983</v>
      </c>
      <c r="AB212" s="50">
        <v>3787800000</v>
      </c>
    </row>
    <row r="213" spans="1:28" x14ac:dyDescent="0.35">
      <c r="A213" s="67" t="s">
        <v>45</v>
      </c>
      <c r="B213" s="52">
        <v>-0.95254587858581186</v>
      </c>
      <c r="C213" s="50">
        <f t="shared" si="31"/>
        <v>-1.3237260629056007</v>
      </c>
      <c r="D213" s="52">
        <v>4.3452054794520549</v>
      </c>
      <c r="E213" s="52">
        <v>0</v>
      </c>
      <c r="F213" s="50">
        <f t="shared" si="32"/>
        <v>0</v>
      </c>
      <c r="G213" s="52">
        <v>19</v>
      </c>
      <c r="H213" s="50">
        <f t="shared" si="33"/>
        <v>1.2787536009528289</v>
      </c>
      <c r="I213" s="65">
        <v>2.95</v>
      </c>
      <c r="J213" s="71">
        <f t="shared" si="34"/>
        <v>0</v>
      </c>
      <c r="K213" s="52">
        <v>0</v>
      </c>
      <c r="L213" s="54">
        <v>-7.0000000000000007E-2</v>
      </c>
      <c r="M213" s="60">
        <f t="shared" si="35"/>
        <v>-3.1517051446064911E-2</v>
      </c>
      <c r="N213" s="62">
        <f t="shared" si="36"/>
        <v>1.255272505103306</v>
      </c>
      <c r="O213" s="52">
        <v>18</v>
      </c>
      <c r="P213" s="52">
        <f t="shared" si="30"/>
        <v>0</v>
      </c>
      <c r="Q213" s="52">
        <v>70</v>
      </c>
      <c r="R213" s="52">
        <v>70</v>
      </c>
      <c r="S213" s="52">
        <v>85</v>
      </c>
      <c r="T213" s="55">
        <v>25.9</v>
      </c>
      <c r="U213" s="56">
        <v>36.959146749272797</v>
      </c>
      <c r="V213" s="52">
        <v>1246.953</v>
      </c>
      <c r="W213" s="50">
        <f t="shared" si="37"/>
        <v>3.0958500844125241</v>
      </c>
      <c r="X213" s="57">
        <v>3</v>
      </c>
      <c r="Y213" s="52">
        <v>3219.7179999999998</v>
      </c>
      <c r="Z213" s="50">
        <f t="shared" si="38"/>
        <v>3.5078178355445662</v>
      </c>
      <c r="AA213" s="50">
        <f t="shared" si="39"/>
        <v>8.9033830368740166</v>
      </c>
      <c r="AB213" s="52">
        <v>800540000</v>
      </c>
    </row>
    <row r="214" spans="1:28" x14ac:dyDescent="0.35">
      <c r="A214" s="49" t="s">
        <v>45</v>
      </c>
      <c r="B214" s="50">
        <v>-0.42342342342342343</v>
      </c>
      <c r="C214" s="50">
        <f t="shared" si="31"/>
        <v>-0.23914300480277026</v>
      </c>
      <c r="D214" s="50">
        <v>7.8109589041095893</v>
      </c>
      <c r="E214" s="50">
        <v>0</v>
      </c>
      <c r="F214" s="50">
        <f t="shared" si="32"/>
        <v>0</v>
      </c>
      <c r="G214" s="50">
        <v>12</v>
      </c>
      <c r="H214" s="50">
        <f t="shared" si="33"/>
        <v>1.0791812460476249</v>
      </c>
      <c r="I214" s="59">
        <v>2.95</v>
      </c>
      <c r="J214" s="71">
        <f t="shared" si="34"/>
        <v>0</v>
      </c>
      <c r="K214" s="50">
        <v>0</v>
      </c>
      <c r="L214" s="61">
        <v>0.33</v>
      </c>
      <c r="M214" s="60">
        <f t="shared" si="35"/>
        <v>0.12385164096708581</v>
      </c>
      <c r="N214" s="62">
        <f t="shared" si="36"/>
        <v>1.255272505103306</v>
      </c>
      <c r="O214" s="50">
        <v>18</v>
      </c>
      <c r="P214" s="50">
        <f t="shared" si="30"/>
        <v>0</v>
      </c>
      <c r="Q214" s="50">
        <v>70</v>
      </c>
      <c r="R214" s="50">
        <v>70</v>
      </c>
      <c r="S214" s="50">
        <v>85</v>
      </c>
      <c r="T214" s="62">
        <v>25.9</v>
      </c>
      <c r="U214" s="63">
        <v>36.959146749272797</v>
      </c>
      <c r="V214" s="50">
        <v>1246.953</v>
      </c>
      <c r="W214" s="50">
        <f t="shared" si="37"/>
        <v>3.0958500844125241</v>
      </c>
      <c r="X214" s="64">
        <v>3</v>
      </c>
      <c r="Y214" s="50">
        <v>3219.7179999999998</v>
      </c>
      <c r="Z214" s="50">
        <f t="shared" si="38"/>
        <v>3.5078178355445662</v>
      </c>
      <c r="AA214" s="50">
        <f t="shared" si="39"/>
        <v>8.7442929831226763</v>
      </c>
      <c r="AB214" s="50">
        <v>555000000</v>
      </c>
    </row>
    <row r="215" spans="1:28" x14ac:dyDescent="0.35">
      <c r="A215" s="67" t="s">
        <v>45</v>
      </c>
      <c r="B215" s="52">
        <v>-1</v>
      </c>
      <c r="C215" s="50">
        <f t="shared" si="31"/>
        <v>-1</v>
      </c>
      <c r="D215" s="52">
        <v>4.0712328767123287</v>
      </c>
      <c r="E215" s="52">
        <v>0</v>
      </c>
      <c r="F215" s="50">
        <f t="shared" si="32"/>
        <v>0</v>
      </c>
      <c r="G215" s="52">
        <v>74</v>
      </c>
      <c r="H215" s="50">
        <f t="shared" si="33"/>
        <v>1.8692317197309762</v>
      </c>
      <c r="I215" s="65">
        <v>2.95</v>
      </c>
      <c r="J215" s="71">
        <f t="shared" si="34"/>
        <v>0</v>
      </c>
      <c r="K215" s="52">
        <v>0</v>
      </c>
      <c r="L215" s="54">
        <v>-0.17</v>
      </c>
      <c r="M215" s="60">
        <f t="shared" si="35"/>
        <v>-8.092190762392612E-2</v>
      </c>
      <c r="N215" s="62">
        <f t="shared" si="36"/>
        <v>1.2787536009528289</v>
      </c>
      <c r="O215" s="52">
        <v>19</v>
      </c>
      <c r="P215" s="52">
        <f t="shared" si="30"/>
        <v>0</v>
      </c>
      <c r="Q215" s="52">
        <v>70</v>
      </c>
      <c r="R215" s="52">
        <v>70</v>
      </c>
      <c r="S215" s="52">
        <v>93.2</v>
      </c>
      <c r="T215" s="55">
        <v>26.7</v>
      </c>
      <c r="U215" s="56">
        <v>36.669158714517401</v>
      </c>
      <c r="V215" s="52">
        <v>1246.953</v>
      </c>
      <c r="W215" s="50">
        <f t="shared" si="37"/>
        <v>3.0958500844125241</v>
      </c>
      <c r="X215" s="57">
        <v>3</v>
      </c>
      <c r="Y215" s="52">
        <v>3219.7179999999998</v>
      </c>
      <c r="Z215" s="50">
        <f t="shared" si="38"/>
        <v>3.5078178355445662</v>
      </c>
      <c r="AA215" s="50">
        <f t="shared" si="39"/>
        <v>9.0413926851582254</v>
      </c>
      <c r="AB215" s="52">
        <v>1100000000</v>
      </c>
    </row>
    <row r="216" spans="1:28" x14ac:dyDescent="0.35">
      <c r="A216" s="49" t="s">
        <v>45</v>
      </c>
      <c r="B216" s="50">
        <v>-0.20166117399067163</v>
      </c>
      <c r="C216" s="50">
        <f t="shared" si="31"/>
        <v>-9.7812748955715761E-2</v>
      </c>
      <c r="D216" s="50">
        <v>5.978082191780822</v>
      </c>
      <c r="E216" s="50">
        <v>0</v>
      </c>
      <c r="F216" s="50">
        <f t="shared" si="32"/>
        <v>0</v>
      </c>
      <c r="G216" s="50">
        <v>15</v>
      </c>
      <c r="H216" s="50">
        <f t="shared" si="33"/>
        <v>1.1760912590556813</v>
      </c>
      <c r="I216" s="59">
        <v>2.95</v>
      </c>
      <c r="J216" s="71">
        <f t="shared" si="34"/>
        <v>0</v>
      </c>
      <c r="K216" s="50">
        <v>0</v>
      </c>
      <c r="L216" s="61">
        <v>0.02</v>
      </c>
      <c r="M216" s="60">
        <f t="shared" si="35"/>
        <v>8.6001717619175692E-3</v>
      </c>
      <c r="N216" s="62">
        <f t="shared" si="36"/>
        <v>1.3010299956639813</v>
      </c>
      <c r="O216" s="50">
        <v>20</v>
      </c>
      <c r="P216" s="50">
        <f t="shared" si="30"/>
        <v>0</v>
      </c>
      <c r="Q216" s="50">
        <v>70</v>
      </c>
      <c r="R216" s="50">
        <v>70</v>
      </c>
      <c r="S216" s="50">
        <v>91.4</v>
      </c>
      <c r="T216" s="62">
        <v>26.7</v>
      </c>
      <c r="U216" s="63">
        <v>37.425715444240403</v>
      </c>
      <c r="V216" s="50">
        <v>1246.953</v>
      </c>
      <c r="W216" s="50">
        <f t="shared" si="37"/>
        <v>3.0958500844125241</v>
      </c>
      <c r="X216" s="64">
        <v>3</v>
      </c>
      <c r="Y216" s="50">
        <v>3219.7179999999998</v>
      </c>
      <c r="Z216" s="50">
        <f t="shared" si="38"/>
        <v>3.5078178355445662</v>
      </c>
      <c r="AA216" s="50">
        <f t="shared" si="39"/>
        <v>9.1042787912049477</v>
      </c>
      <c r="AB216" s="50">
        <v>1271390000</v>
      </c>
    </row>
    <row r="217" spans="1:28" x14ac:dyDescent="0.35">
      <c r="A217" s="67" t="s">
        <v>45</v>
      </c>
      <c r="B217" s="52">
        <v>-5.084745762711862E-2</v>
      </c>
      <c r="C217" s="50">
        <f t="shared" si="31"/>
        <v>-2.2663984635943761E-2</v>
      </c>
      <c r="D217" s="52">
        <v>7.5041095890410956</v>
      </c>
      <c r="E217" s="52">
        <v>0</v>
      </c>
      <c r="F217" s="50">
        <f t="shared" si="32"/>
        <v>0</v>
      </c>
      <c r="G217" s="52">
        <v>109</v>
      </c>
      <c r="H217" s="50">
        <f t="shared" si="33"/>
        <v>2.0374264979406238</v>
      </c>
      <c r="I217" s="65">
        <v>2.95</v>
      </c>
      <c r="J217" s="71">
        <f t="shared" si="34"/>
        <v>0</v>
      </c>
      <c r="K217" s="52">
        <v>0</v>
      </c>
      <c r="L217" s="54">
        <v>0.36</v>
      </c>
      <c r="M217" s="60">
        <f t="shared" si="35"/>
        <v>0.13353890837021748</v>
      </c>
      <c r="N217" s="62">
        <f t="shared" si="36"/>
        <v>1.3010299956639813</v>
      </c>
      <c r="O217" s="52">
        <v>20</v>
      </c>
      <c r="P217" s="52">
        <f t="shared" si="30"/>
        <v>0</v>
      </c>
      <c r="Q217" s="52">
        <v>70</v>
      </c>
      <c r="R217" s="52">
        <v>70</v>
      </c>
      <c r="S217" s="52">
        <v>91.4</v>
      </c>
      <c r="T217" s="55">
        <v>26.7</v>
      </c>
      <c r="U217" s="56">
        <v>37.425715444240403</v>
      </c>
      <c r="V217" s="52">
        <v>1246.953</v>
      </c>
      <c r="W217" s="50">
        <f t="shared" si="37"/>
        <v>3.0958500844125241</v>
      </c>
      <c r="X217" s="57">
        <v>3</v>
      </c>
      <c r="Y217" s="52">
        <v>3219.7179999999998</v>
      </c>
      <c r="Z217" s="50">
        <f t="shared" si="38"/>
        <v>3.5078178355445662</v>
      </c>
      <c r="AA217" s="50">
        <f t="shared" si="39"/>
        <v>9.1687920203141822</v>
      </c>
      <c r="AB217" s="52">
        <v>1475000000</v>
      </c>
    </row>
    <row r="218" spans="1:28" x14ac:dyDescent="0.35">
      <c r="A218" s="49" t="s">
        <v>45</v>
      </c>
      <c r="B218" s="50">
        <v>-0.12674439461883413</v>
      </c>
      <c r="C218" s="50">
        <f t="shared" si="31"/>
        <v>-5.8858617968247297E-2</v>
      </c>
      <c r="D218" s="50">
        <v>7.0794520547945208</v>
      </c>
      <c r="E218" s="50">
        <v>0</v>
      </c>
      <c r="F218" s="50">
        <f t="shared" si="32"/>
        <v>0</v>
      </c>
      <c r="G218" s="50">
        <v>92</v>
      </c>
      <c r="H218" s="50">
        <f t="shared" si="33"/>
        <v>1.9637878273455553</v>
      </c>
      <c r="I218" s="59">
        <v>2.95</v>
      </c>
      <c r="J218" s="71">
        <f t="shared" si="34"/>
        <v>0</v>
      </c>
      <c r="K218" s="50">
        <v>0</v>
      </c>
      <c r="L218" s="61">
        <v>0.35</v>
      </c>
      <c r="M218" s="60">
        <f t="shared" si="35"/>
        <v>0.13033376849500614</v>
      </c>
      <c r="N218" s="62">
        <f t="shared" si="36"/>
        <v>1.3010299956639813</v>
      </c>
      <c r="O218" s="50">
        <v>20</v>
      </c>
      <c r="P218" s="50">
        <f t="shared" si="30"/>
        <v>0</v>
      </c>
      <c r="Q218" s="50">
        <v>70</v>
      </c>
      <c r="R218" s="50">
        <v>70</v>
      </c>
      <c r="S218" s="50">
        <v>91.4</v>
      </c>
      <c r="T218" s="62">
        <v>26.7</v>
      </c>
      <c r="U218" s="63">
        <v>37.425715444240403</v>
      </c>
      <c r="V218" s="50">
        <v>1246.953</v>
      </c>
      <c r="W218" s="50">
        <f t="shared" si="37"/>
        <v>3.0958500844125241</v>
      </c>
      <c r="X218" s="64">
        <v>3</v>
      </c>
      <c r="Y218" s="50">
        <v>3219.7179999999998</v>
      </c>
      <c r="Z218" s="50">
        <f t="shared" si="38"/>
        <v>3.5078178355445662</v>
      </c>
      <c r="AA218" s="50">
        <f t="shared" si="39"/>
        <v>9.746244871720199</v>
      </c>
      <c r="AB218" s="50">
        <v>5575000000</v>
      </c>
    </row>
    <row r="219" spans="1:28" x14ac:dyDescent="0.35">
      <c r="A219" s="67" t="s">
        <v>45</v>
      </c>
      <c r="B219" s="52">
        <v>-0.81418134211748805</v>
      </c>
      <c r="C219" s="50">
        <f t="shared" si="31"/>
        <v>-0.73091068103884038</v>
      </c>
      <c r="D219" s="52">
        <v>2.2986301369863016</v>
      </c>
      <c r="E219" s="52">
        <v>0</v>
      </c>
      <c r="F219" s="50">
        <f t="shared" si="32"/>
        <v>0</v>
      </c>
      <c r="G219" s="52">
        <v>43</v>
      </c>
      <c r="H219" s="50">
        <f t="shared" si="33"/>
        <v>1.6334684555795864</v>
      </c>
      <c r="I219" s="65">
        <v>2.95</v>
      </c>
      <c r="J219" s="71">
        <f t="shared" si="34"/>
        <v>0</v>
      </c>
      <c r="K219" s="52">
        <v>0</v>
      </c>
      <c r="L219" s="54">
        <v>-0.13</v>
      </c>
      <c r="M219" s="60">
        <f t="shared" si="35"/>
        <v>-6.0480747381381476E-2</v>
      </c>
      <c r="N219" s="62">
        <f t="shared" si="36"/>
        <v>1.6232492903979006</v>
      </c>
      <c r="O219" s="52">
        <v>42</v>
      </c>
      <c r="P219" s="52">
        <f t="shared" si="30"/>
        <v>0</v>
      </c>
      <c r="Q219" s="52">
        <v>70</v>
      </c>
      <c r="R219" s="52">
        <v>70</v>
      </c>
      <c r="S219" s="52">
        <v>92.6</v>
      </c>
      <c r="T219" s="55">
        <v>25.7</v>
      </c>
      <c r="U219" s="56">
        <v>39.823361151429197</v>
      </c>
      <c r="V219" s="52">
        <v>1421.558</v>
      </c>
      <c r="W219" s="50">
        <f t="shared" si="37"/>
        <v>3.1527645837352773</v>
      </c>
      <c r="X219" s="57">
        <v>2</v>
      </c>
      <c r="Y219" s="52">
        <v>3476.3409999999999</v>
      </c>
      <c r="Z219" s="50">
        <f t="shared" si="38"/>
        <v>3.5411223705253856</v>
      </c>
      <c r="AA219" s="50">
        <f t="shared" si="39"/>
        <v>8.305265362023448</v>
      </c>
      <c r="AB219" s="52">
        <v>201960000</v>
      </c>
    </row>
    <row r="220" spans="1:28" x14ac:dyDescent="0.35">
      <c r="A220" s="49" t="s">
        <v>45</v>
      </c>
      <c r="B220" s="50">
        <v>3.1889000000000003</v>
      </c>
      <c r="C220" s="50">
        <f t="shared" si="31"/>
        <v>0.6220999927396933</v>
      </c>
      <c r="D220" s="50">
        <v>2.3945205479452056</v>
      </c>
      <c r="E220" s="50">
        <v>0</v>
      </c>
      <c r="F220" s="50">
        <f t="shared" si="32"/>
        <v>0</v>
      </c>
      <c r="G220" s="50">
        <v>5</v>
      </c>
      <c r="H220" s="50">
        <f t="shared" si="33"/>
        <v>0.69897000433601886</v>
      </c>
      <c r="I220" s="59">
        <v>2.95</v>
      </c>
      <c r="J220" s="71">
        <f t="shared" si="34"/>
        <v>0</v>
      </c>
      <c r="K220" s="50">
        <v>0</v>
      </c>
      <c r="L220" s="61">
        <v>0.21</v>
      </c>
      <c r="M220" s="60">
        <f t="shared" si="35"/>
        <v>8.2785370316450071E-2</v>
      </c>
      <c r="N220" s="62">
        <f t="shared" si="36"/>
        <v>1.414973347970818</v>
      </c>
      <c r="O220" s="50">
        <v>26</v>
      </c>
      <c r="P220" s="50">
        <f t="shared" si="30"/>
        <v>0</v>
      </c>
      <c r="Q220" s="50">
        <v>70</v>
      </c>
      <c r="R220" s="50">
        <v>70</v>
      </c>
      <c r="S220" s="50">
        <v>85</v>
      </c>
      <c r="T220" s="62">
        <v>25.7</v>
      </c>
      <c r="U220" s="63">
        <v>39.367752568237798</v>
      </c>
      <c r="V220" s="50">
        <v>1421.558</v>
      </c>
      <c r="W220" s="50">
        <f t="shared" si="37"/>
        <v>3.1527645837352773</v>
      </c>
      <c r="X220" s="64">
        <v>2</v>
      </c>
      <c r="Y220" s="50">
        <v>3476.3409999999999</v>
      </c>
      <c r="Z220" s="50">
        <f t="shared" si="38"/>
        <v>3.5411223705253856</v>
      </c>
      <c r="AA220" s="50">
        <f t="shared" si="39"/>
        <v>7</v>
      </c>
      <c r="AB220" s="50">
        <v>10000000</v>
      </c>
    </row>
    <row r="221" spans="1:28" x14ac:dyDescent="0.35">
      <c r="A221" s="67" t="s">
        <v>45</v>
      </c>
      <c r="B221" s="52">
        <v>-1</v>
      </c>
      <c r="C221" s="50">
        <f t="shared" si="31"/>
        <v>-1</v>
      </c>
      <c r="D221" s="52">
        <v>3.6986301369863015</v>
      </c>
      <c r="E221" s="52">
        <v>0</v>
      </c>
      <c r="F221" s="50">
        <f t="shared" si="32"/>
        <v>0</v>
      </c>
      <c r="G221" s="52">
        <v>55</v>
      </c>
      <c r="H221" s="50">
        <f t="shared" si="33"/>
        <v>1.7403626894942439</v>
      </c>
      <c r="I221" s="65">
        <v>2.95</v>
      </c>
      <c r="J221" s="71">
        <f t="shared" si="34"/>
        <v>0</v>
      </c>
      <c r="K221" s="52">
        <v>0</v>
      </c>
      <c r="L221" s="54">
        <v>0.56999999999999995</v>
      </c>
      <c r="M221" s="60">
        <f t="shared" si="35"/>
        <v>0.19589965240923368</v>
      </c>
      <c r="N221" s="62">
        <f t="shared" si="36"/>
        <v>1.414973347970818</v>
      </c>
      <c r="O221" s="52">
        <v>26</v>
      </c>
      <c r="P221" s="52">
        <f t="shared" si="30"/>
        <v>0</v>
      </c>
      <c r="Q221" s="52">
        <v>70</v>
      </c>
      <c r="R221" s="52">
        <v>70</v>
      </c>
      <c r="S221" s="52">
        <v>85</v>
      </c>
      <c r="T221" s="55">
        <v>25.7</v>
      </c>
      <c r="U221" s="56">
        <v>39.367752568237798</v>
      </c>
      <c r="V221" s="52">
        <v>1421.558</v>
      </c>
      <c r="W221" s="50">
        <f t="shared" si="37"/>
        <v>3.1527645837352773</v>
      </c>
      <c r="X221" s="57">
        <v>2</v>
      </c>
      <c r="Y221" s="52">
        <v>3476.3409999999999</v>
      </c>
      <c r="Z221" s="50">
        <f t="shared" si="38"/>
        <v>3.5411223705253856</v>
      </c>
      <c r="AA221" s="50">
        <f t="shared" si="39"/>
        <v>7.204119982655925</v>
      </c>
      <c r="AB221" s="52">
        <v>16000000</v>
      </c>
    </row>
    <row r="222" spans="1:28" x14ac:dyDescent="0.35">
      <c r="A222" s="49" t="s">
        <v>45</v>
      </c>
      <c r="B222" s="50">
        <v>-1</v>
      </c>
      <c r="C222" s="50">
        <f t="shared" si="31"/>
        <v>-1</v>
      </c>
      <c r="D222" s="50">
        <v>2.095890410958904</v>
      </c>
      <c r="E222" s="50">
        <v>0</v>
      </c>
      <c r="F222" s="50">
        <f t="shared" si="32"/>
        <v>0</v>
      </c>
      <c r="G222" s="50">
        <v>63</v>
      </c>
      <c r="H222" s="50">
        <f t="shared" si="33"/>
        <v>1.7993405494535817</v>
      </c>
      <c r="I222" s="59">
        <v>2.95</v>
      </c>
      <c r="J222" s="71">
        <f t="shared" si="34"/>
        <v>0</v>
      </c>
      <c r="K222" s="50">
        <v>0</v>
      </c>
      <c r="L222" s="61">
        <v>0.28000000000000003</v>
      </c>
      <c r="M222" s="60">
        <f t="shared" si="35"/>
        <v>0.10720996964786837</v>
      </c>
      <c r="N222" s="62">
        <f t="shared" si="36"/>
        <v>1.6532125137753437</v>
      </c>
      <c r="O222" s="50">
        <v>45</v>
      </c>
      <c r="P222" s="50">
        <f t="shared" si="30"/>
        <v>0</v>
      </c>
      <c r="Q222" s="50">
        <v>70</v>
      </c>
      <c r="R222" s="50">
        <v>70</v>
      </c>
      <c r="S222" s="50">
        <v>91</v>
      </c>
      <c r="T222" s="62">
        <v>23.9</v>
      </c>
      <c r="U222" s="63">
        <v>42.048698215007001</v>
      </c>
      <c r="V222" s="50">
        <v>1421.558</v>
      </c>
      <c r="W222" s="50">
        <f t="shared" si="37"/>
        <v>3.1527645837352773</v>
      </c>
      <c r="X222" s="64">
        <v>2</v>
      </c>
      <c r="Y222" s="50">
        <v>3476.3409999999999</v>
      </c>
      <c r="Z222" s="50">
        <f t="shared" si="38"/>
        <v>3.5411223705253856</v>
      </c>
      <c r="AA222" s="50">
        <f t="shared" si="39"/>
        <v>8.8302934790795664</v>
      </c>
      <c r="AB222" s="50">
        <v>676540000</v>
      </c>
    </row>
    <row r="223" spans="1:28" x14ac:dyDescent="0.35">
      <c r="A223" s="67" t="s">
        <v>45</v>
      </c>
      <c r="B223" s="52">
        <v>-1</v>
      </c>
      <c r="C223" s="50">
        <f t="shared" si="31"/>
        <v>-1</v>
      </c>
      <c r="D223" s="52">
        <v>5.4684931506849317</v>
      </c>
      <c r="E223" s="52">
        <v>0</v>
      </c>
      <c r="F223" s="50">
        <f t="shared" si="32"/>
        <v>0</v>
      </c>
      <c r="G223" s="52">
        <v>12</v>
      </c>
      <c r="H223" s="50">
        <f t="shared" si="33"/>
        <v>1.0791812460476249</v>
      </c>
      <c r="I223" s="65">
        <v>2.95</v>
      </c>
      <c r="J223" s="71">
        <f t="shared" si="34"/>
        <v>0</v>
      </c>
      <c r="K223" s="52">
        <v>0</v>
      </c>
      <c r="L223" s="54">
        <v>-0.01</v>
      </c>
      <c r="M223" s="60">
        <f t="shared" si="35"/>
        <v>-4.3648054024500883E-3</v>
      </c>
      <c r="N223" s="62">
        <f t="shared" si="36"/>
        <v>1.5797835966168101</v>
      </c>
      <c r="O223" s="52">
        <v>38</v>
      </c>
      <c r="P223" s="52">
        <f t="shared" si="30"/>
        <v>0</v>
      </c>
      <c r="Q223" s="52">
        <v>70</v>
      </c>
      <c r="R223" s="52">
        <v>70</v>
      </c>
      <c r="S223" s="52">
        <v>85</v>
      </c>
      <c r="T223" s="55">
        <v>24.6</v>
      </c>
      <c r="U223" s="56">
        <v>36.876470987978301</v>
      </c>
      <c r="V223" s="52">
        <v>1421.558</v>
      </c>
      <c r="W223" s="50">
        <f t="shared" si="37"/>
        <v>3.1527645837352773</v>
      </c>
      <c r="X223" s="57">
        <v>2</v>
      </c>
      <c r="Y223" s="52">
        <v>3476.3409999999999</v>
      </c>
      <c r="Z223" s="50">
        <f t="shared" si="38"/>
        <v>3.5411223705253856</v>
      </c>
      <c r="AA223" s="50">
        <f t="shared" si="39"/>
        <v>7.7075701760979367</v>
      </c>
      <c r="AB223" s="52">
        <v>51000000</v>
      </c>
    </row>
    <row r="224" spans="1:28" x14ac:dyDescent="0.35">
      <c r="A224" s="49" t="s">
        <v>45</v>
      </c>
      <c r="B224" s="50">
        <v>-1</v>
      </c>
      <c r="C224" s="50">
        <f t="shared" si="31"/>
        <v>-1</v>
      </c>
      <c r="D224" s="50">
        <v>2.515068493150685</v>
      </c>
      <c r="E224" s="50">
        <v>0</v>
      </c>
      <c r="F224" s="50">
        <f t="shared" si="32"/>
        <v>0</v>
      </c>
      <c r="G224" s="50">
        <v>11</v>
      </c>
      <c r="H224" s="50">
        <f t="shared" si="33"/>
        <v>1.0413926851582251</v>
      </c>
      <c r="I224" s="59">
        <v>2.95</v>
      </c>
      <c r="J224" s="71">
        <f t="shared" si="34"/>
        <v>0</v>
      </c>
      <c r="K224" s="50">
        <v>0</v>
      </c>
      <c r="L224" s="61">
        <v>-0.39</v>
      </c>
      <c r="M224" s="60">
        <f t="shared" si="35"/>
        <v>-0.21467016498923297</v>
      </c>
      <c r="N224" s="62">
        <f t="shared" si="36"/>
        <v>1.5314789170422551</v>
      </c>
      <c r="O224" s="50">
        <v>34</v>
      </c>
      <c r="P224" s="50">
        <f t="shared" si="30"/>
        <v>0</v>
      </c>
      <c r="Q224" s="50">
        <v>70</v>
      </c>
      <c r="R224" s="50">
        <v>70</v>
      </c>
      <c r="S224" s="50">
        <v>85</v>
      </c>
      <c r="T224" s="62">
        <v>28.2</v>
      </c>
      <c r="U224" s="63">
        <v>34.298950279384798</v>
      </c>
      <c r="V224" s="50">
        <v>1421.558</v>
      </c>
      <c r="W224" s="50">
        <f t="shared" si="37"/>
        <v>3.1527645837352773</v>
      </c>
      <c r="X224" s="64">
        <v>2</v>
      </c>
      <c r="Y224" s="50">
        <v>3476.3409999999999</v>
      </c>
      <c r="Z224" s="50">
        <f t="shared" si="38"/>
        <v>3.5411223705253856</v>
      </c>
      <c r="AA224" s="50">
        <f t="shared" si="39"/>
        <v>7.8167714123333463</v>
      </c>
      <c r="AB224" s="50">
        <v>65580000</v>
      </c>
    </row>
    <row r="225" spans="1:28" x14ac:dyDescent="0.35">
      <c r="A225" s="67" t="s">
        <v>45</v>
      </c>
      <c r="B225" s="52">
        <v>5.9272540983606561</v>
      </c>
      <c r="C225" s="50">
        <f t="shared" si="31"/>
        <v>0.84056111826942603</v>
      </c>
      <c r="D225" s="52">
        <v>2.1753424657534248</v>
      </c>
      <c r="E225" s="52">
        <v>0</v>
      </c>
      <c r="F225" s="50">
        <f t="shared" si="32"/>
        <v>0</v>
      </c>
      <c r="G225" s="52">
        <v>21</v>
      </c>
      <c r="H225" s="50">
        <f t="shared" si="33"/>
        <v>1.3222192947339193</v>
      </c>
      <c r="I225" s="65">
        <v>2.95</v>
      </c>
      <c r="J225" s="71">
        <f t="shared" si="34"/>
        <v>0</v>
      </c>
      <c r="K225" s="52">
        <v>0</v>
      </c>
      <c r="L225" s="54">
        <v>0.22</v>
      </c>
      <c r="M225" s="60">
        <f t="shared" si="35"/>
        <v>8.6359830674748214E-2</v>
      </c>
      <c r="N225" s="62">
        <f t="shared" si="36"/>
        <v>1.255272505103306</v>
      </c>
      <c r="O225" s="52">
        <v>18</v>
      </c>
      <c r="P225" s="52">
        <f t="shared" si="30"/>
        <v>0</v>
      </c>
      <c r="Q225" s="52">
        <v>70</v>
      </c>
      <c r="R225" s="52">
        <v>70</v>
      </c>
      <c r="S225" s="52">
        <v>91.3</v>
      </c>
      <c r="T225" s="55">
        <v>23.5</v>
      </c>
      <c r="U225" s="56">
        <v>43.1672842383418</v>
      </c>
      <c r="V225" s="52">
        <v>1455.046</v>
      </c>
      <c r="W225" s="50">
        <f t="shared" si="37"/>
        <v>3.1628767233771686</v>
      </c>
      <c r="X225" s="57">
        <v>2</v>
      </c>
      <c r="Y225" s="52">
        <v>4062.5129999999999</v>
      </c>
      <c r="Z225" s="50">
        <f t="shared" si="38"/>
        <v>3.6087947637270492</v>
      </c>
      <c r="AA225" s="50">
        <f t="shared" si="39"/>
        <v>7.6884198220027109</v>
      </c>
      <c r="AB225" s="52">
        <v>48800000</v>
      </c>
    </row>
    <row r="226" spans="1:28" x14ac:dyDescent="0.35">
      <c r="A226" s="49" t="s">
        <v>45</v>
      </c>
      <c r="B226" s="50">
        <v>0.44999999999999996</v>
      </c>
      <c r="C226" s="50">
        <f t="shared" si="31"/>
        <v>0.16136800223497488</v>
      </c>
      <c r="D226" s="50">
        <v>5.4821917808219176</v>
      </c>
      <c r="E226" s="50">
        <v>0</v>
      </c>
      <c r="F226" s="50">
        <f t="shared" si="32"/>
        <v>0</v>
      </c>
      <c r="G226" s="50">
        <v>18</v>
      </c>
      <c r="H226" s="50">
        <f t="shared" si="33"/>
        <v>1.255272505103306</v>
      </c>
      <c r="I226" s="59">
        <v>2.95</v>
      </c>
      <c r="J226" s="71">
        <f t="shared" si="34"/>
        <v>0</v>
      </c>
      <c r="K226" s="50">
        <v>0</v>
      </c>
      <c r="L226" s="61">
        <v>0.86</v>
      </c>
      <c r="M226" s="60">
        <f t="shared" si="35"/>
        <v>0.26951294421791627</v>
      </c>
      <c r="N226" s="62">
        <f t="shared" si="36"/>
        <v>1.3222192947339193</v>
      </c>
      <c r="O226" s="50">
        <v>21</v>
      </c>
      <c r="P226" s="50">
        <f t="shared" si="30"/>
        <v>0</v>
      </c>
      <c r="Q226" s="50">
        <v>70</v>
      </c>
      <c r="R226" s="50">
        <v>70</v>
      </c>
      <c r="S226" s="50">
        <v>90.5</v>
      </c>
      <c r="T226" s="62">
        <v>25.7</v>
      </c>
      <c r="U226" s="63">
        <v>39.010023979360902</v>
      </c>
      <c r="V226" s="50">
        <v>1455.046</v>
      </c>
      <c r="W226" s="50">
        <f t="shared" si="37"/>
        <v>3.1628767233771686</v>
      </c>
      <c r="X226" s="64">
        <v>2</v>
      </c>
      <c r="Y226" s="50">
        <v>4062.5129999999999</v>
      </c>
      <c r="Z226" s="50">
        <f t="shared" si="38"/>
        <v>3.6087947637270492</v>
      </c>
      <c r="AA226" s="50">
        <f t="shared" si="39"/>
        <v>9</v>
      </c>
      <c r="AB226" s="50">
        <v>1000000000</v>
      </c>
    </row>
    <row r="227" spans="1:28" x14ac:dyDescent="0.35">
      <c r="A227" s="67" t="s">
        <v>45</v>
      </c>
      <c r="B227" s="52">
        <v>-1</v>
      </c>
      <c r="C227" s="50">
        <f t="shared" si="31"/>
        <v>-1</v>
      </c>
      <c r="D227" s="52">
        <v>5.7424657534246579</v>
      </c>
      <c r="E227" s="52">
        <v>0</v>
      </c>
      <c r="F227" s="50">
        <f t="shared" si="32"/>
        <v>0</v>
      </c>
      <c r="G227" s="52">
        <v>4</v>
      </c>
      <c r="H227" s="50">
        <f t="shared" si="33"/>
        <v>0.6020599913279624</v>
      </c>
      <c r="I227" s="65">
        <v>2.95</v>
      </c>
      <c r="J227" s="71">
        <f t="shared" si="34"/>
        <v>0</v>
      </c>
      <c r="K227" s="52">
        <v>0</v>
      </c>
      <c r="L227" s="54">
        <v>-0.09</v>
      </c>
      <c r="M227" s="60">
        <f t="shared" si="35"/>
        <v>-4.0958607678906384E-2</v>
      </c>
      <c r="N227" s="62">
        <f t="shared" si="36"/>
        <v>1.1139433523068367</v>
      </c>
      <c r="O227" s="52">
        <v>13</v>
      </c>
      <c r="P227" s="52">
        <f t="shared" si="30"/>
        <v>0</v>
      </c>
      <c r="Q227" s="52">
        <v>70</v>
      </c>
      <c r="R227" s="52">
        <v>70</v>
      </c>
      <c r="S227" s="52">
        <v>85</v>
      </c>
      <c r="T227" s="55">
        <v>28.2</v>
      </c>
      <c r="U227" s="56">
        <v>34.298950279384798</v>
      </c>
      <c r="V227" s="52">
        <v>1246.953</v>
      </c>
      <c r="W227" s="50">
        <f t="shared" si="37"/>
        <v>3.0958500844125241</v>
      </c>
      <c r="X227" s="57">
        <v>3</v>
      </c>
      <c r="Y227" s="52">
        <v>3219.7179999999998</v>
      </c>
      <c r="Z227" s="50">
        <f t="shared" si="38"/>
        <v>3.5078178355445662</v>
      </c>
      <c r="AA227" s="50">
        <f t="shared" si="39"/>
        <v>7.6020599913279625</v>
      </c>
      <c r="AB227" s="52">
        <v>40000000</v>
      </c>
    </row>
    <row r="228" spans="1:28" x14ac:dyDescent="0.35">
      <c r="A228" s="49" t="s">
        <v>45</v>
      </c>
      <c r="B228" s="50">
        <v>-1</v>
      </c>
      <c r="C228" s="50">
        <f t="shared" si="31"/>
        <v>-1</v>
      </c>
      <c r="D228" s="50">
        <v>4.3178082191780822</v>
      </c>
      <c r="E228" s="50">
        <v>0</v>
      </c>
      <c r="F228" s="50">
        <f t="shared" si="32"/>
        <v>0</v>
      </c>
      <c r="G228" s="50">
        <v>2</v>
      </c>
      <c r="H228" s="50">
        <f t="shared" si="33"/>
        <v>0.3010299956639812</v>
      </c>
      <c r="I228" s="59">
        <v>2.95</v>
      </c>
      <c r="J228" s="71">
        <f t="shared" si="34"/>
        <v>0</v>
      </c>
      <c r="K228" s="50">
        <v>0</v>
      </c>
      <c r="L228" s="61">
        <v>7.0000000000000007E-2</v>
      </c>
      <c r="M228" s="60">
        <f t="shared" si="35"/>
        <v>2.9383777685209667E-2</v>
      </c>
      <c r="N228" s="62">
        <f t="shared" si="36"/>
        <v>1.146128035678238</v>
      </c>
      <c r="O228" s="50">
        <v>14</v>
      </c>
      <c r="P228" s="50">
        <f t="shared" si="30"/>
        <v>0</v>
      </c>
      <c r="Q228" s="50">
        <v>70</v>
      </c>
      <c r="R228" s="50">
        <v>70</v>
      </c>
      <c r="S228" s="50">
        <v>85</v>
      </c>
      <c r="T228" s="62">
        <v>27.2</v>
      </c>
      <c r="U228" s="63">
        <v>35.608384832026097</v>
      </c>
      <c r="V228" s="50">
        <v>1246.953</v>
      </c>
      <c r="W228" s="50">
        <f t="shared" si="37"/>
        <v>3.0958500844125241</v>
      </c>
      <c r="X228" s="64">
        <v>3</v>
      </c>
      <c r="Y228" s="50">
        <v>3219.7179999999998</v>
      </c>
      <c r="Z228" s="50">
        <f t="shared" si="38"/>
        <v>3.5078178355445662</v>
      </c>
      <c r="AA228" s="50">
        <f t="shared" si="39"/>
        <v>8.4393326938302629</v>
      </c>
      <c r="AB228" s="50">
        <v>275000000</v>
      </c>
    </row>
    <row r="229" spans="1:28" x14ac:dyDescent="0.35">
      <c r="A229" s="67" t="s">
        <v>45</v>
      </c>
      <c r="B229" s="52">
        <v>4.369004807692308</v>
      </c>
      <c r="C229" s="50">
        <f t="shared" si="31"/>
        <v>0.72989379285377709</v>
      </c>
      <c r="D229" s="52">
        <v>3.3041095890410959</v>
      </c>
      <c r="E229" s="52">
        <v>0</v>
      </c>
      <c r="F229" s="50">
        <f t="shared" si="32"/>
        <v>0</v>
      </c>
      <c r="G229" s="52">
        <v>3</v>
      </c>
      <c r="H229" s="50">
        <f t="shared" si="33"/>
        <v>0.47712125471966244</v>
      </c>
      <c r="I229" s="65">
        <v>2.95</v>
      </c>
      <c r="J229" s="71">
        <f t="shared" si="34"/>
        <v>0</v>
      </c>
      <c r="K229" s="52">
        <v>0</v>
      </c>
      <c r="L229" s="54">
        <v>0.03</v>
      </c>
      <c r="M229" s="60">
        <f t="shared" si="35"/>
        <v>1.2837224705172217E-2</v>
      </c>
      <c r="N229" s="62">
        <f t="shared" si="36"/>
        <v>1.1760912590556813</v>
      </c>
      <c r="O229" s="52">
        <v>15</v>
      </c>
      <c r="P229" s="52">
        <f t="shared" si="30"/>
        <v>0</v>
      </c>
      <c r="Q229" s="52">
        <v>70</v>
      </c>
      <c r="R229" s="52">
        <v>70</v>
      </c>
      <c r="S229" s="52">
        <v>85</v>
      </c>
      <c r="T229" s="55">
        <v>24.9</v>
      </c>
      <c r="U229" s="56">
        <v>36.710134890601303</v>
      </c>
      <c r="V229" s="52">
        <v>1246.953</v>
      </c>
      <c r="W229" s="50">
        <f t="shared" si="37"/>
        <v>3.0958500844125241</v>
      </c>
      <c r="X229" s="57">
        <v>3</v>
      </c>
      <c r="Y229" s="52">
        <v>3219.7179999999998</v>
      </c>
      <c r="Z229" s="50">
        <f t="shared" si="38"/>
        <v>3.5078178355445662</v>
      </c>
      <c r="AA229" s="50">
        <f t="shared" si="39"/>
        <v>7.6190933306267423</v>
      </c>
      <c r="AB229" s="52">
        <v>41600000</v>
      </c>
    </row>
    <row r="230" spans="1:28" x14ac:dyDescent="0.35">
      <c r="A230" s="49" t="s">
        <v>45</v>
      </c>
      <c r="B230" s="50">
        <v>1.191235059760956</v>
      </c>
      <c r="C230" s="50">
        <f t="shared" si="31"/>
        <v>0.3406889680132057</v>
      </c>
      <c r="D230" s="50">
        <v>4.3068493150684928</v>
      </c>
      <c r="E230" s="50">
        <v>0</v>
      </c>
      <c r="F230" s="50">
        <f t="shared" si="32"/>
        <v>0</v>
      </c>
      <c r="G230" s="50">
        <v>44</v>
      </c>
      <c r="H230" s="50">
        <f t="shared" si="33"/>
        <v>1.6434526764861874</v>
      </c>
      <c r="I230" s="59">
        <v>2.95</v>
      </c>
      <c r="J230" s="71">
        <f t="shared" si="34"/>
        <v>0</v>
      </c>
      <c r="K230" s="50">
        <v>0</v>
      </c>
      <c r="L230" s="61">
        <v>0.12</v>
      </c>
      <c r="M230" s="60">
        <f t="shared" si="35"/>
        <v>4.9218022670181653E-2</v>
      </c>
      <c r="N230" s="62">
        <f t="shared" si="36"/>
        <v>1.2304489213782739</v>
      </c>
      <c r="O230" s="50">
        <v>17</v>
      </c>
      <c r="P230" s="50">
        <f t="shared" si="30"/>
        <v>0</v>
      </c>
      <c r="Q230" s="50">
        <v>70</v>
      </c>
      <c r="R230" s="50">
        <v>70</v>
      </c>
      <c r="S230" s="50">
        <v>85</v>
      </c>
      <c r="T230" s="62">
        <v>24.6</v>
      </c>
      <c r="U230" s="63">
        <v>36.876470987978301</v>
      </c>
      <c r="V230" s="50">
        <v>1246.953</v>
      </c>
      <c r="W230" s="50">
        <f t="shared" si="37"/>
        <v>3.0958500844125241</v>
      </c>
      <c r="X230" s="64">
        <v>3</v>
      </c>
      <c r="Y230" s="50">
        <v>3219.7179999999998</v>
      </c>
      <c r="Z230" s="50">
        <f t="shared" si="38"/>
        <v>3.5078178355445662</v>
      </c>
      <c r="AA230" s="50">
        <f t="shared" si="39"/>
        <v>8.0986437258170572</v>
      </c>
      <c r="AB230" s="50">
        <v>125500000</v>
      </c>
    </row>
    <row r="231" spans="1:28" x14ac:dyDescent="0.35">
      <c r="A231" s="67" t="s">
        <v>45</v>
      </c>
      <c r="B231" s="52">
        <v>-1</v>
      </c>
      <c r="C231" s="50">
        <f t="shared" si="31"/>
        <v>-1</v>
      </c>
      <c r="D231" s="52">
        <v>4.2767123287671236</v>
      </c>
      <c r="E231" s="52">
        <v>0</v>
      </c>
      <c r="F231" s="50">
        <f t="shared" si="32"/>
        <v>0</v>
      </c>
      <c r="G231" s="52">
        <v>4</v>
      </c>
      <c r="H231" s="50">
        <f t="shared" si="33"/>
        <v>0.6020599913279624</v>
      </c>
      <c r="I231" s="65">
        <v>2.95</v>
      </c>
      <c r="J231" s="71">
        <f t="shared" si="34"/>
        <v>0</v>
      </c>
      <c r="K231" s="52">
        <v>0</v>
      </c>
      <c r="L231" s="54">
        <v>0.11</v>
      </c>
      <c r="M231" s="60">
        <f t="shared" si="35"/>
        <v>4.5322978786657475E-2</v>
      </c>
      <c r="N231" s="62">
        <f t="shared" si="36"/>
        <v>1.2304489213782739</v>
      </c>
      <c r="O231" s="52">
        <v>17</v>
      </c>
      <c r="P231" s="52">
        <f t="shared" si="30"/>
        <v>0</v>
      </c>
      <c r="Q231" s="52">
        <v>70</v>
      </c>
      <c r="R231" s="52">
        <v>70</v>
      </c>
      <c r="S231" s="52">
        <v>85</v>
      </c>
      <c r="T231" s="55">
        <v>24.6</v>
      </c>
      <c r="U231" s="56">
        <v>36.876470987978301</v>
      </c>
      <c r="V231" s="52">
        <v>1246.953</v>
      </c>
      <c r="W231" s="50">
        <f t="shared" si="37"/>
        <v>3.0958500844125241</v>
      </c>
      <c r="X231" s="57">
        <v>3</v>
      </c>
      <c r="Y231" s="52">
        <v>3219.7179999999998</v>
      </c>
      <c r="Z231" s="50">
        <f t="shared" si="38"/>
        <v>3.5078178355445662</v>
      </c>
      <c r="AA231" s="50">
        <f t="shared" si="39"/>
        <v>6.9030899869919438</v>
      </c>
      <c r="AB231" s="52">
        <v>8000000</v>
      </c>
    </row>
    <row r="232" spans="1:28" x14ac:dyDescent="0.35">
      <c r="A232" s="49" t="s">
        <v>45</v>
      </c>
      <c r="B232" s="50">
        <v>1.2999999999999998</v>
      </c>
      <c r="C232" s="50">
        <f t="shared" si="31"/>
        <v>0.36172783601759284</v>
      </c>
      <c r="D232" s="50">
        <v>5.4164383561643836</v>
      </c>
      <c r="E232" s="50">
        <v>0</v>
      </c>
      <c r="F232" s="50">
        <f t="shared" si="32"/>
        <v>0</v>
      </c>
      <c r="G232" s="50">
        <v>33</v>
      </c>
      <c r="H232" s="50">
        <f t="shared" si="33"/>
        <v>1.5185139398778875</v>
      </c>
      <c r="I232" s="59">
        <v>2.95</v>
      </c>
      <c r="J232" s="71">
        <f t="shared" si="34"/>
        <v>0</v>
      </c>
      <c r="K232" s="50">
        <v>0</v>
      </c>
      <c r="L232" s="61">
        <v>-0.08</v>
      </c>
      <c r="M232" s="60">
        <f t="shared" si="35"/>
        <v>-3.6212172654444715E-2</v>
      </c>
      <c r="N232" s="62">
        <f t="shared" si="36"/>
        <v>1.255272505103306</v>
      </c>
      <c r="O232" s="50">
        <v>18</v>
      </c>
      <c r="P232" s="50">
        <f t="shared" si="30"/>
        <v>0</v>
      </c>
      <c r="Q232" s="50">
        <v>70</v>
      </c>
      <c r="R232" s="50">
        <v>70</v>
      </c>
      <c r="S232" s="50">
        <v>85</v>
      </c>
      <c r="T232" s="62">
        <v>25.9</v>
      </c>
      <c r="U232" s="63">
        <v>36.959146749272797</v>
      </c>
      <c r="V232" s="50">
        <v>1246.953</v>
      </c>
      <c r="W232" s="50">
        <f t="shared" si="37"/>
        <v>3.0958500844125241</v>
      </c>
      <c r="X232" s="64">
        <v>3</v>
      </c>
      <c r="Y232" s="50">
        <v>3219.7179999999998</v>
      </c>
      <c r="Z232" s="50">
        <f t="shared" si="38"/>
        <v>3.5078178355445662</v>
      </c>
      <c r="AA232" s="50">
        <f t="shared" si="39"/>
        <v>7.6020599913279625</v>
      </c>
      <c r="AB232" s="50">
        <v>40000000</v>
      </c>
    </row>
    <row r="233" spans="1:28" x14ac:dyDescent="0.35">
      <c r="A233" s="67" t="s">
        <v>45</v>
      </c>
      <c r="B233" s="52">
        <v>-1</v>
      </c>
      <c r="C233" s="50">
        <f t="shared" si="31"/>
        <v>-1</v>
      </c>
      <c r="D233" s="52">
        <v>3.473972602739726</v>
      </c>
      <c r="E233" s="52">
        <v>0</v>
      </c>
      <c r="F233" s="50">
        <f t="shared" si="32"/>
        <v>0</v>
      </c>
      <c r="G233" s="52">
        <v>4</v>
      </c>
      <c r="H233" s="50">
        <f t="shared" si="33"/>
        <v>0.6020599913279624</v>
      </c>
      <c r="I233" s="65">
        <v>2.95</v>
      </c>
      <c r="J233" s="71">
        <f t="shared" si="34"/>
        <v>0</v>
      </c>
      <c r="K233" s="52">
        <v>0</v>
      </c>
      <c r="L233" s="54">
        <v>0.08</v>
      </c>
      <c r="M233" s="60">
        <f t="shared" si="35"/>
        <v>3.342375548694973E-2</v>
      </c>
      <c r="N233" s="62">
        <f t="shared" si="36"/>
        <v>1.255272505103306</v>
      </c>
      <c r="O233" s="52">
        <v>18</v>
      </c>
      <c r="P233" s="52">
        <f t="shared" si="30"/>
        <v>0</v>
      </c>
      <c r="Q233" s="52">
        <v>70</v>
      </c>
      <c r="R233" s="52">
        <v>70</v>
      </c>
      <c r="S233" s="52">
        <v>85</v>
      </c>
      <c r="T233" s="55">
        <v>25.9</v>
      </c>
      <c r="U233" s="56">
        <v>36.959146749272797</v>
      </c>
      <c r="V233" s="52">
        <v>1246.953</v>
      </c>
      <c r="W233" s="50">
        <f t="shared" si="37"/>
        <v>3.0958500844125241</v>
      </c>
      <c r="X233" s="57">
        <v>3</v>
      </c>
      <c r="Y233" s="52">
        <v>3219.7179999999998</v>
      </c>
      <c r="Z233" s="50">
        <f t="shared" si="38"/>
        <v>3.5078178355445662</v>
      </c>
      <c r="AA233" s="50">
        <f t="shared" si="39"/>
        <v>7.8750612633917001</v>
      </c>
      <c r="AB233" s="52">
        <v>75000000</v>
      </c>
    </row>
    <row r="234" spans="1:28" x14ac:dyDescent="0.35">
      <c r="A234" s="49" t="s">
        <v>45</v>
      </c>
      <c r="B234" s="50">
        <v>0.18829179297597043</v>
      </c>
      <c r="C234" s="50">
        <f t="shared" si="31"/>
        <v>7.4923097647764739E-2</v>
      </c>
      <c r="D234" s="50">
        <v>6.2876712328767121</v>
      </c>
      <c r="E234" s="50">
        <v>0</v>
      </c>
      <c r="F234" s="50">
        <f t="shared" si="32"/>
        <v>0</v>
      </c>
      <c r="G234" s="50">
        <v>3</v>
      </c>
      <c r="H234" s="50">
        <f t="shared" si="33"/>
        <v>0.47712125471966244</v>
      </c>
      <c r="I234" s="59">
        <v>2.95</v>
      </c>
      <c r="J234" s="71">
        <f t="shared" si="34"/>
        <v>0</v>
      </c>
      <c r="K234" s="50">
        <v>0</v>
      </c>
      <c r="L234" s="61">
        <v>0.05</v>
      </c>
      <c r="M234" s="60">
        <f t="shared" si="35"/>
        <v>2.1189299069938092E-2</v>
      </c>
      <c r="N234" s="62">
        <f t="shared" si="36"/>
        <v>0</v>
      </c>
      <c r="O234" s="50">
        <v>0</v>
      </c>
      <c r="P234" s="50">
        <f t="shared" si="30"/>
        <v>0</v>
      </c>
      <c r="Q234" s="50">
        <v>70</v>
      </c>
      <c r="R234" s="50">
        <v>70</v>
      </c>
      <c r="S234" s="50">
        <v>85</v>
      </c>
      <c r="T234" s="62">
        <v>24.4</v>
      </c>
      <c r="U234" s="63">
        <v>37.256914365427299</v>
      </c>
      <c r="V234" s="50">
        <v>1246.953</v>
      </c>
      <c r="W234" s="50">
        <f t="shared" si="37"/>
        <v>3.0958500844125241</v>
      </c>
      <c r="X234" s="64">
        <v>3</v>
      </c>
      <c r="Y234" s="50">
        <v>3219.7179999999998</v>
      </c>
      <c r="Z234" s="50">
        <f t="shared" si="38"/>
        <v>3.5078178355445662</v>
      </c>
      <c r="AA234" s="50">
        <f t="shared" si="39"/>
        <v>9.0342272607705514</v>
      </c>
      <c r="AB234" s="50">
        <v>1082000000</v>
      </c>
    </row>
    <row r="235" spans="1:28" x14ac:dyDescent="0.35">
      <c r="A235" s="67" t="s">
        <v>45</v>
      </c>
      <c r="B235" s="52">
        <v>0.33898930284028039</v>
      </c>
      <c r="C235" s="50">
        <f t="shared" si="31"/>
        <v>0.12677710745562698</v>
      </c>
      <c r="D235" s="52">
        <v>1.1095890410958904</v>
      </c>
      <c r="E235" s="52">
        <v>0</v>
      </c>
      <c r="F235" s="50">
        <f t="shared" si="32"/>
        <v>0</v>
      </c>
      <c r="G235" s="52">
        <v>21</v>
      </c>
      <c r="H235" s="50">
        <f t="shared" si="33"/>
        <v>1.3222192947339193</v>
      </c>
      <c r="I235" s="65">
        <v>2.95</v>
      </c>
      <c r="J235" s="71">
        <f t="shared" si="34"/>
        <v>0</v>
      </c>
      <c r="K235" s="52">
        <v>0</v>
      </c>
      <c r="L235" s="54">
        <v>0.03</v>
      </c>
      <c r="M235" s="60">
        <f t="shared" si="35"/>
        <v>1.2837224705172217E-2</v>
      </c>
      <c r="N235" s="62">
        <f t="shared" si="36"/>
        <v>0</v>
      </c>
      <c r="O235" s="52">
        <v>1</v>
      </c>
      <c r="P235" s="52">
        <f t="shared" si="30"/>
        <v>0</v>
      </c>
      <c r="Q235" s="52">
        <v>70</v>
      </c>
      <c r="R235" s="52">
        <v>70</v>
      </c>
      <c r="S235" s="52">
        <v>85</v>
      </c>
      <c r="T235" s="55">
        <v>24.6</v>
      </c>
      <c r="U235" s="56">
        <v>36.876470987978301</v>
      </c>
      <c r="V235" s="52">
        <v>1246.953</v>
      </c>
      <c r="W235" s="50">
        <f t="shared" si="37"/>
        <v>3.0958500844125241</v>
      </c>
      <c r="X235" s="57">
        <v>3</v>
      </c>
      <c r="Y235" s="52">
        <v>3219.7179999999998</v>
      </c>
      <c r="Z235" s="50">
        <f t="shared" si="38"/>
        <v>3.5078178355445662</v>
      </c>
      <c r="AA235" s="50">
        <f t="shared" si="39"/>
        <v>8.4331295175804861</v>
      </c>
      <c r="AB235" s="52">
        <v>271100000</v>
      </c>
    </row>
    <row r="236" spans="1:28" x14ac:dyDescent="0.35">
      <c r="A236" s="49" t="s">
        <v>45</v>
      </c>
      <c r="B236" s="50">
        <v>0.3270372786888871</v>
      </c>
      <c r="C236" s="50">
        <f t="shared" si="31"/>
        <v>0.12288312309161945</v>
      </c>
      <c r="D236" s="50">
        <v>3.8054794520547945</v>
      </c>
      <c r="E236" s="50">
        <v>0</v>
      </c>
      <c r="F236" s="50">
        <f t="shared" si="32"/>
        <v>0</v>
      </c>
      <c r="G236" s="50">
        <v>14</v>
      </c>
      <c r="H236" s="50">
        <f t="shared" si="33"/>
        <v>1.146128035678238</v>
      </c>
      <c r="I236" s="59">
        <v>2.95</v>
      </c>
      <c r="J236" s="71">
        <f t="shared" si="34"/>
        <v>0</v>
      </c>
      <c r="K236" s="50">
        <v>0</v>
      </c>
      <c r="L236" s="61">
        <v>0.38</v>
      </c>
      <c r="M236" s="60">
        <f t="shared" si="35"/>
        <v>0.13987908640123647</v>
      </c>
      <c r="N236" s="62">
        <f t="shared" si="36"/>
        <v>1.1139433523068367</v>
      </c>
      <c r="O236" s="50">
        <v>13</v>
      </c>
      <c r="P236" s="50">
        <f t="shared" si="30"/>
        <v>0</v>
      </c>
      <c r="Q236" s="50">
        <v>70</v>
      </c>
      <c r="R236" s="50">
        <v>70</v>
      </c>
      <c r="S236" s="50">
        <v>90.5</v>
      </c>
      <c r="T236" s="62">
        <v>25.7</v>
      </c>
      <c r="U236" s="63">
        <v>39.010023979360902</v>
      </c>
      <c r="V236" s="50">
        <v>6514.6683673469379</v>
      </c>
      <c r="W236" s="50">
        <f t="shared" si="37"/>
        <v>3.8138923126200468</v>
      </c>
      <c r="X236" s="64">
        <v>2</v>
      </c>
      <c r="Y236" s="50">
        <v>8828.125</v>
      </c>
      <c r="Z236" s="50">
        <f t="shared" si="38"/>
        <v>3.9458684738355512</v>
      </c>
      <c r="AA236" s="50">
        <f t="shared" si="39"/>
        <v>8.9032256828161707</v>
      </c>
      <c r="AB236" s="50">
        <v>800250000</v>
      </c>
    </row>
    <row r="237" spans="1:28" x14ac:dyDescent="0.35">
      <c r="A237" s="67" t="s">
        <v>45</v>
      </c>
      <c r="B237" s="52">
        <v>0.43671809380663995</v>
      </c>
      <c r="C237" s="50">
        <f t="shared" si="31"/>
        <v>0.15737156123460164</v>
      </c>
      <c r="D237" s="52">
        <v>1.9232876712328768</v>
      </c>
      <c r="E237" s="52">
        <v>0</v>
      </c>
      <c r="F237" s="50">
        <f t="shared" si="32"/>
        <v>0</v>
      </c>
      <c r="G237" s="52">
        <v>19</v>
      </c>
      <c r="H237" s="50">
        <f t="shared" si="33"/>
        <v>1.2787536009528289</v>
      </c>
      <c r="I237" s="65">
        <v>2.95</v>
      </c>
      <c r="J237" s="71">
        <f t="shared" si="34"/>
        <v>0</v>
      </c>
      <c r="K237" s="52">
        <v>0</v>
      </c>
      <c r="L237" s="54">
        <v>0.31</v>
      </c>
      <c r="M237" s="60">
        <f t="shared" si="35"/>
        <v>0.11727129565576427</v>
      </c>
      <c r="N237" s="62">
        <f t="shared" si="36"/>
        <v>1.1139433523068367</v>
      </c>
      <c r="O237" s="52">
        <v>13</v>
      </c>
      <c r="P237" s="52">
        <f t="shared" si="30"/>
        <v>0</v>
      </c>
      <c r="Q237" s="52">
        <v>70</v>
      </c>
      <c r="R237" s="52">
        <v>70</v>
      </c>
      <c r="S237" s="52">
        <v>90.5</v>
      </c>
      <c r="T237" s="55">
        <v>25.7</v>
      </c>
      <c r="U237" s="56">
        <v>39.010023979360902</v>
      </c>
      <c r="V237" s="52">
        <v>6514.6683673469379</v>
      </c>
      <c r="W237" s="50">
        <f t="shared" si="37"/>
        <v>3.8138923126200468</v>
      </c>
      <c r="X237" s="57">
        <v>2</v>
      </c>
      <c r="Y237" s="52">
        <v>8828.125</v>
      </c>
      <c r="Z237" s="50">
        <f t="shared" si="38"/>
        <v>3.9458684738355512</v>
      </c>
      <c r="AA237" s="50">
        <f t="shared" si="39"/>
        <v>8.948975032822915</v>
      </c>
      <c r="AB237" s="52">
        <v>889150000</v>
      </c>
    </row>
    <row r="238" spans="1:28" x14ac:dyDescent="0.35">
      <c r="A238" s="49" t="s">
        <v>45</v>
      </c>
      <c r="B238" s="50">
        <v>2.709043250327654</v>
      </c>
      <c r="C238" s="50">
        <f t="shared" si="31"/>
        <v>0.56926189756940981</v>
      </c>
      <c r="D238" s="50">
        <v>4.8712328767123285</v>
      </c>
      <c r="E238" s="50">
        <v>0</v>
      </c>
      <c r="F238" s="50">
        <f t="shared" si="32"/>
        <v>0</v>
      </c>
      <c r="G238" s="50">
        <v>28</v>
      </c>
      <c r="H238" s="50">
        <f t="shared" si="33"/>
        <v>1.4471580313422192</v>
      </c>
      <c r="I238" s="59">
        <v>2.95</v>
      </c>
      <c r="J238" s="71">
        <f t="shared" si="34"/>
        <v>0</v>
      </c>
      <c r="K238" s="50">
        <v>0</v>
      </c>
      <c r="L238" s="61">
        <v>-0.1</v>
      </c>
      <c r="M238" s="60">
        <f t="shared" si="35"/>
        <v>-4.5757490560675115E-2</v>
      </c>
      <c r="N238" s="62">
        <f t="shared" si="36"/>
        <v>0.84509804001425681</v>
      </c>
      <c r="O238" s="50">
        <v>7</v>
      </c>
      <c r="P238" s="50">
        <f t="shared" si="30"/>
        <v>0</v>
      </c>
      <c r="Q238" s="50">
        <v>70</v>
      </c>
      <c r="R238" s="50">
        <v>70</v>
      </c>
      <c r="S238" s="50">
        <v>91.4</v>
      </c>
      <c r="T238" s="62">
        <v>26.7</v>
      </c>
      <c r="U238" s="63">
        <v>37.425715444240403</v>
      </c>
      <c r="V238" s="50">
        <v>6514.6683673469379</v>
      </c>
      <c r="W238" s="50">
        <f t="shared" si="37"/>
        <v>3.8138923126200468</v>
      </c>
      <c r="X238" s="64">
        <v>2</v>
      </c>
      <c r="Y238" s="50">
        <v>8828.125</v>
      </c>
      <c r="Z238" s="50">
        <f t="shared" si="38"/>
        <v>3.9458684738355512</v>
      </c>
      <c r="AA238" s="50">
        <f t="shared" si="39"/>
        <v>8.5814945422908995</v>
      </c>
      <c r="AB238" s="50">
        <v>381500000</v>
      </c>
    </row>
    <row r="239" spans="1:28" x14ac:dyDescent="0.35">
      <c r="A239" s="67" t="s">
        <v>45</v>
      </c>
      <c r="B239" s="52">
        <v>7.0558539205155739</v>
      </c>
      <c r="C239" s="50">
        <f t="shared" si="31"/>
        <v>0.90611158241035739</v>
      </c>
      <c r="D239" s="52">
        <v>2.7342465753424658</v>
      </c>
      <c r="E239" s="52">
        <v>0</v>
      </c>
      <c r="F239" s="50">
        <f t="shared" si="32"/>
        <v>0</v>
      </c>
      <c r="G239" s="52">
        <v>306</v>
      </c>
      <c r="H239" s="50">
        <f t="shared" si="33"/>
        <v>2.4857214264815801</v>
      </c>
      <c r="I239" s="65">
        <v>2.95</v>
      </c>
      <c r="J239" s="71">
        <f t="shared" si="34"/>
        <v>0</v>
      </c>
      <c r="K239" s="52">
        <v>0</v>
      </c>
      <c r="L239" s="54">
        <v>7.0000000000000007E-2</v>
      </c>
      <c r="M239" s="60">
        <f t="shared" si="35"/>
        <v>2.9383777685209667E-2</v>
      </c>
      <c r="N239" s="62">
        <f t="shared" si="36"/>
        <v>0.47712125471966244</v>
      </c>
      <c r="O239" s="52">
        <v>3</v>
      </c>
      <c r="P239" s="52">
        <f t="shared" si="30"/>
        <v>0</v>
      </c>
      <c r="Q239" s="52">
        <v>70</v>
      </c>
      <c r="R239" s="52">
        <v>70</v>
      </c>
      <c r="S239" s="52">
        <v>85</v>
      </c>
      <c r="T239" s="55">
        <v>24.9</v>
      </c>
      <c r="U239" s="56">
        <v>36.710134890601303</v>
      </c>
      <c r="V239" s="52">
        <v>3153.6123909420644</v>
      </c>
      <c r="W239" s="50">
        <f t="shared" si="37"/>
        <v>3.4988083133366845</v>
      </c>
      <c r="X239" s="57">
        <v>2</v>
      </c>
      <c r="Y239" s="52">
        <v>4253.5045583766305</v>
      </c>
      <c r="Z239" s="50">
        <f t="shared" si="38"/>
        <v>3.6287469025639267</v>
      </c>
      <c r="AA239" s="50">
        <f t="shared" si="39"/>
        <v>8.4235243886187163</v>
      </c>
      <c r="AB239" s="52">
        <v>265170000</v>
      </c>
    </row>
    <row r="240" spans="1:28" x14ac:dyDescent="0.35">
      <c r="A240" s="49" t="s">
        <v>45</v>
      </c>
      <c r="B240" s="50">
        <v>0.73550850399166956</v>
      </c>
      <c r="C240" s="50">
        <f t="shared" si="31"/>
        <v>0.23942674605560585</v>
      </c>
      <c r="D240" s="50">
        <v>5.3780821917808215</v>
      </c>
      <c r="E240" s="50">
        <v>0</v>
      </c>
      <c r="F240" s="50">
        <f t="shared" si="32"/>
        <v>0</v>
      </c>
      <c r="G240" s="50">
        <v>42</v>
      </c>
      <c r="H240" s="50">
        <f t="shared" si="33"/>
        <v>1.6232492903979006</v>
      </c>
      <c r="I240" s="59">
        <v>2.95</v>
      </c>
      <c r="J240" s="71">
        <f t="shared" si="34"/>
        <v>0</v>
      </c>
      <c r="K240" s="50">
        <v>0</v>
      </c>
      <c r="L240" s="61">
        <v>0.84</v>
      </c>
      <c r="M240" s="60">
        <f t="shared" si="35"/>
        <v>0.26481782300953643</v>
      </c>
      <c r="N240" s="62">
        <f t="shared" si="36"/>
        <v>1.0413926851582251</v>
      </c>
      <c r="O240" s="50">
        <v>11</v>
      </c>
      <c r="P240" s="50">
        <f t="shared" si="30"/>
        <v>0</v>
      </c>
      <c r="Q240" s="50">
        <v>70</v>
      </c>
      <c r="R240" s="50">
        <v>70</v>
      </c>
      <c r="S240" s="50">
        <v>91.3</v>
      </c>
      <c r="T240" s="62">
        <v>23.5</v>
      </c>
      <c r="U240" s="63">
        <v>43.1672842383418</v>
      </c>
      <c r="V240" s="50">
        <v>3287.5739644970417</v>
      </c>
      <c r="W240" s="50">
        <f t="shared" si="37"/>
        <v>3.5168755324519045</v>
      </c>
      <c r="X240" s="64">
        <v>1</v>
      </c>
      <c r="Y240" s="50">
        <v>6440.2366863905318</v>
      </c>
      <c r="Z240" s="50">
        <f t="shared" si="38"/>
        <v>3.8089018284940463</v>
      </c>
      <c r="AA240" s="50">
        <f t="shared" si="39"/>
        <v>9.4765765975791929</v>
      </c>
      <c r="AB240" s="50">
        <v>2996240000</v>
      </c>
    </row>
    <row r="241" spans="1:28" x14ac:dyDescent="0.35">
      <c r="A241" s="67" t="s">
        <v>45</v>
      </c>
      <c r="B241" s="52">
        <v>0</v>
      </c>
      <c r="C241" s="50">
        <f t="shared" si="31"/>
        <v>0</v>
      </c>
      <c r="D241" s="52">
        <v>7.536986301369863</v>
      </c>
      <c r="E241" s="52">
        <v>0</v>
      </c>
      <c r="F241" s="50">
        <f t="shared" si="32"/>
        <v>0</v>
      </c>
      <c r="G241" s="52">
        <v>9</v>
      </c>
      <c r="H241" s="50">
        <f t="shared" si="33"/>
        <v>0.95424250943932487</v>
      </c>
      <c r="I241" s="65">
        <v>2.95</v>
      </c>
      <c r="J241" s="71">
        <f t="shared" si="34"/>
        <v>0</v>
      </c>
      <c r="K241" s="52">
        <v>0</v>
      </c>
      <c r="L241" s="54">
        <v>0.39</v>
      </c>
      <c r="M241" s="60">
        <f t="shared" si="35"/>
        <v>0.14301480025409513</v>
      </c>
      <c r="N241" s="62">
        <f t="shared" si="36"/>
        <v>0.90308998699194354</v>
      </c>
      <c r="O241" s="52">
        <v>8</v>
      </c>
      <c r="P241" s="52">
        <f t="shared" si="30"/>
        <v>0</v>
      </c>
      <c r="Q241" s="52">
        <v>70</v>
      </c>
      <c r="R241" s="52">
        <v>70</v>
      </c>
      <c r="S241" s="52">
        <v>91.4</v>
      </c>
      <c r="T241" s="55">
        <v>26.7</v>
      </c>
      <c r="U241" s="56">
        <v>37.425715444240403</v>
      </c>
      <c r="V241" s="52">
        <v>3287.5739644970417</v>
      </c>
      <c r="W241" s="50">
        <f t="shared" si="37"/>
        <v>3.5168755324519045</v>
      </c>
      <c r="X241" s="57">
        <v>1</v>
      </c>
      <c r="Y241" s="52">
        <v>6440.2366863905318</v>
      </c>
      <c r="Z241" s="50">
        <f t="shared" si="38"/>
        <v>3.8089018284940463</v>
      </c>
      <c r="AA241" s="50">
        <f t="shared" si="39"/>
        <v>8.3010299956639813</v>
      </c>
      <c r="AB241" s="52">
        <v>200000000</v>
      </c>
    </row>
    <row r="242" spans="1:28" x14ac:dyDescent="0.35">
      <c r="A242" s="49" t="s">
        <v>45</v>
      </c>
      <c r="B242" s="50">
        <v>-0.12757446808510642</v>
      </c>
      <c r="C242" s="50">
        <f t="shared" si="31"/>
        <v>-5.9271633089329853E-2</v>
      </c>
      <c r="D242" s="50">
        <v>3.2958904109589042</v>
      </c>
      <c r="E242" s="50">
        <v>0</v>
      </c>
      <c r="F242" s="50">
        <f t="shared" si="32"/>
        <v>0</v>
      </c>
      <c r="G242" s="50">
        <v>20</v>
      </c>
      <c r="H242" s="50">
        <f t="shared" si="33"/>
        <v>1.3010299956639813</v>
      </c>
      <c r="I242" s="59">
        <v>2.95</v>
      </c>
      <c r="J242" s="71">
        <f t="shared" si="34"/>
        <v>0</v>
      </c>
      <c r="K242" s="50">
        <v>0</v>
      </c>
      <c r="L242" s="61">
        <v>0.28999999999999998</v>
      </c>
      <c r="M242" s="60">
        <f t="shared" si="35"/>
        <v>0.11058971029924898</v>
      </c>
      <c r="N242" s="62">
        <f t="shared" si="36"/>
        <v>0.69897000433601886</v>
      </c>
      <c r="O242" s="50">
        <v>5</v>
      </c>
      <c r="P242" s="50">
        <f t="shared" si="30"/>
        <v>0</v>
      </c>
      <c r="Q242" s="50">
        <v>70</v>
      </c>
      <c r="R242" s="50">
        <v>70</v>
      </c>
      <c r="S242" s="50">
        <v>85</v>
      </c>
      <c r="T242" s="62">
        <v>24.6</v>
      </c>
      <c r="U242" s="63">
        <v>36.876470987978301</v>
      </c>
      <c r="V242" s="50">
        <v>3287.5739644970417</v>
      </c>
      <c r="W242" s="50">
        <f t="shared" si="37"/>
        <v>3.5168755324519045</v>
      </c>
      <c r="X242" s="64">
        <v>1</v>
      </c>
      <c r="Y242" s="50">
        <v>6440.2366863905318</v>
      </c>
      <c r="Z242" s="50">
        <f t="shared" si="38"/>
        <v>3.8089018284940463</v>
      </c>
      <c r="AA242" s="50">
        <f t="shared" si="39"/>
        <v>8.3710678622717367</v>
      </c>
      <c r="AB242" s="50">
        <v>235000000</v>
      </c>
    </row>
    <row r="243" spans="1:28" x14ac:dyDescent="0.35">
      <c r="A243" s="67" t="s">
        <v>45</v>
      </c>
      <c r="B243" s="52">
        <v>-0.23883392613404275</v>
      </c>
      <c r="C243" s="50">
        <f t="shared" si="31"/>
        <v>-0.11852057700766193</v>
      </c>
      <c r="D243" s="52">
        <v>7.9972602739726026</v>
      </c>
      <c r="E243" s="52">
        <v>0</v>
      </c>
      <c r="F243" s="50">
        <f t="shared" si="32"/>
        <v>0</v>
      </c>
      <c r="G243" s="52">
        <v>26</v>
      </c>
      <c r="H243" s="50">
        <f t="shared" si="33"/>
        <v>1.414973347970818</v>
      </c>
      <c r="I243" s="65">
        <v>2.95</v>
      </c>
      <c r="J243" s="71">
        <f t="shared" si="34"/>
        <v>0</v>
      </c>
      <c r="K243" s="52">
        <v>0</v>
      </c>
      <c r="L243" s="54">
        <v>0.53</v>
      </c>
      <c r="M243" s="60">
        <f t="shared" si="35"/>
        <v>0.18469143081759881</v>
      </c>
      <c r="N243" s="62">
        <f t="shared" si="36"/>
        <v>0.84509804001425681</v>
      </c>
      <c r="O243" s="52">
        <v>7</v>
      </c>
      <c r="P243" s="52">
        <f t="shared" si="30"/>
        <v>0</v>
      </c>
      <c r="Q243" s="52">
        <v>70</v>
      </c>
      <c r="R243" s="52">
        <v>70</v>
      </c>
      <c r="S243" s="52">
        <v>93.2</v>
      </c>
      <c r="T243" s="55">
        <v>26.7</v>
      </c>
      <c r="U243" s="56">
        <v>36.669158714517401</v>
      </c>
      <c r="V243" s="52">
        <v>3287.5739644970417</v>
      </c>
      <c r="W243" s="50">
        <f t="shared" si="37"/>
        <v>3.5168755324519045</v>
      </c>
      <c r="X243" s="57">
        <v>1</v>
      </c>
      <c r="Y243" s="52">
        <v>6440.2366863905318</v>
      </c>
      <c r="Z243" s="50">
        <f t="shared" si="38"/>
        <v>3.8089018284940463</v>
      </c>
      <c r="AA243" s="50">
        <f t="shared" si="39"/>
        <v>9.0382822901072792</v>
      </c>
      <c r="AB243" s="52">
        <v>1092150000</v>
      </c>
    </row>
    <row r="244" spans="1:28" x14ac:dyDescent="0.35">
      <c r="A244" s="49" t="s">
        <v>45</v>
      </c>
      <c r="B244" s="50">
        <v>1.5985106382978724</v>
      </c>
      <c r="C244" s="50">
        <f t="shared" si="31"/>
        <v>0.41472449916334447</v>
      </c>
      <c r="D244" s="50">
        <v>10.846575342465753</v>
      </c>
      <c r="E244" s="50">
        <v>0</v>
      </c>
      <c r="F244" s="50">
        <f t="shared" si="32"/>
        <v>0</v>
      </c>
      <c r="G244" s="50">
        <v>20</v>
      </c>
      <c r="H244" s="50">
        <f t="shared" si="33"/>
        <v>1.3010299956639813</v>
      </c>
      <c r="I244" s="59">
        <v>2.95</v>
      </c>
      <c r="J244" s="71">
        <f t="shared" si="34"/>
        <v>0</v>
      </c>
      <c r="K244" s="50">
        <v>0</v>
      </c>
      <c r="L244" s="61">
        <v>-0.24</v>
      </c>
      <c r="M244" s="60">
        <f t="shared" si="35"/>
        <v>-0.11918640771920865</v>
      </c>
      <c r="N244" s="62">
        <f t="shared" si="36"/>
        <v>1.3010299956639813</v>
      </c>
      <c r="O244" s="50">
        <v>20</v>
      </c>
      <c r="P244" s="50">
        <f t="shared" si="30"/>
        <v>0</v>
      </c>
      <c r="Q244" s="50">
        <v>70</v>
      </c>
      <c r="R244" s="50">
        <v>70</v>
      </c>
      <c r="S244" s="50">
        <v>85</v>
      </c>
      <c r="T244" s="62">
        <v>27.8</v>
      </c>
      <c r="U244" s="63">
        <v>34.656907836978597</v>
      </c>
      <c r="V244" s="50">
        <v>2443.0081229801726</v>
      </c>
      <c r="W244" s="50">
        <f t="shared" si="37"/>
        <v>3.3879249110011078</v>
      </c>
      <c r="X244" s="64">
        <v>1</v>
      </c>
      <c r="Y244" s="50">
        <v>8757.9701283954928</v>
      </c>
      <c r="Z244" s="50">
        <f t="shared" si="38"/>
        <v>3.9424034595709814</v>
      </c>
      <c r="AA244" s="50">
        <f t="shared" si="39"/>
        <v>9.4235735197327362</v>
      </c>
      <c r="AB244" s="50">
        <v>2652000000</v>
      </c>
    </row>
    <row r="245" spans="1:28" x14ac:dyDescent="0.35">
      <c r="A245" s="67" t="s">
        <v>45</v>
      </c>
      <c r="B245" s="52">
        <v>1.1995803099638458</v>
      </c>
      <c r="C245" s="50">
        <f t="shared" si="31"/>
        <v>0.34233982334284546</v>
      </c>
      <c r="D245" s="52">
        <v>5.7753424657534245</v>
      </c>
      <c r="E245" s="52">
        <v>0</v>
      </c>
      <c r="F245" s="50">
        <f t="shared" si="32"/>
        <v>0</v>
      </c>
      <c r="G245" s="52">
        <v>154</v>
      </c>
      <c r="H245" s="50">
        <f t="shared" si="33"/>
        <v>2.1875207208364631</v>
      </c>
      <c r="I245" s="65">
        <v>2.95</v>
      </c>
      <c r="J245" s="71">
        <f t="shared" si="34"/>
        <v>0</v>
      </c>
      <c r="K245" s="52">
        <v>0</v>
      </c>
      <c r="L245" s="54">
        <v>7.0000000000000007E-2</v>
      </c>
      <c r="M245" s="60">
        <f t="shared" si="35"/>
        <v>2.9383777685209667E-2</v>
      </c>
      <c r="N245" s="62">
        <f t="shared" si="36"/>
        <v>1.4471580313422192</v>
      </c>
      <c r="O245" s="52">
        <v>28</v>
      </c>
      <c r="P245" s="52">
        <f t="shared" si="30"/>
        <v>0</v>
      </c>
      <c r="Q245" s="52">
        <v>70</v>
      </c>
      <c r="R245" s="52">
        <v>70</v>
      </c>
      <c r="S245" s="52">
        <v>91.4</v>
      </c>
      <c r="T245" s="55">
        <v>26.7</v>
      </c>
      <c r="U245" s="56">
        <v>37.425715444240403</v>
      </c>
      <c r="V245" s="52">
        <v>2443.0081229801726</v>
      </c>
      <c r="W245" s="50">
        <f t="shared" si="37"/>
        <v>3.3879249110011078</v>
      </c>
      <c r="X245" s="57">
        <v>1</v>
      </c>
      <c r="Y245" s="52">
        <v>8757.9701283954928</v>
      </c>
      <c r="Z245" s="50">
        <f t="shared" si="38"/>
        <v>3.9424034595709814</v>
      </c>
      <c r="AA245" s="50">
        <f t="shared" si="39"/>
        <v>9.5971794292757728</v>
      </c>
      <c r="AB245" s="52">
        <v>3955300000</v>
      </c>
    </row>
    <row r="248" spans="1:28" x14ac:dyDescent="0.35">
      <c r="A248" t="s">
        <v>1337</v>
      </c>
      <c r="B248" s="24">
        <f>AVERAGE($B$2:$B$245)</f>
        <v>1.2055512369688612</v>
      </c>
    </row>
    <row r="249" spans="1:28" x14ac:dyDescent="0.35">
      <c r="A249" t="s">
        <v>1338</v>
      </c>
      <c r="B249" s="24">
        <f>MEDIAN($B$2:$B$245)</f>
        <v>0.35680323816928494</v>
      </c>
    </row>
    <row r="250" spans="1:28" x14ac:dyDescent="0.35">
      <c r="A250" t="s">
        <v>1339</v>
      </c>
      <c r="B250" s="24">
        <f>MIN($B$2:$B$245)</f>
        <v>-1</v>
      </c>
    </row>
    <row r="251" spans="1:28" x14ac:dyDescent="0.35">
      <c r="A251" t="s">
        <v>1340</v>
      </c>
      <c r="B251" s="24">
        <f>MAX($B$2:$B$245)</f>
        <v>38.158169177288528</v>
      </c>
    </row>
    <row r="252" spans="1:28" x14ac:dyDescent="0.35">
      <c r="A252" t="s">
        <v>1344</v>
      </c>
      <c r="B252" s="24">
        <f>_xlfn.STDEV.S($B$2:$B$245)</f>
        <v>3.8004874371785435</v>
      </c>
    </row>
    <row r="253" spans="1:28" x14ac:dyDescent="0.35">
      <c r="A253" t="s">
        <v>1346</v>
      </c>
      <c r="B253" s="24">
        <f>_xlfn.PERCENTILE.EXC($B$2:$B$245,0.25)</f>
        <v>-0.48666666666666669</v>
      </c>
    </row>
    <row r="254" spans="1:28" x14ac:dyDescent="0.35">
      <c r="A254" t="s">
        <v>1342</v>
      </c>
      <c r="B254" s="24">
        <f>_xlfn.PERCENTILE.EXC($B$2:$B$245,0.75)</f>
        <v>1.3967741935483871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7"/>
  <sheetViews>
    <sheetView topLeftCell="A402" workbookViewId="0">
      <selection activeCell="R2" sqref="R2"/>
    </sheetView>
  </sheetViews>
  <sheetFormatPr defaultRowHeight="14.5" x14ac:dyDescent="0.35"/>
  <cols>
    <col min="4" max="4" width="9.1796875" style="137"/>
    <col min="8" max="8" width="9.1796875" style="137"/>
    <col min="11" max="11" width="11.26953125" customWidth="1"/>
    <col min="13" max="13" width="9.1796875" style="137"/>
    <col min="15" max="15" width="9.1796875" style="137"/>
    <col min="17" max="17" width="9.1796875" style="137"/>
    <col min="18" max="18" width="16.1796875" customWidth="1"/>
    <col min="20" max="20" width="13.1796875" customWidth="1"/>
  </cols>
  <sheetData>
    <row r="1" spans="1:22" x14ac:dyDescent="0.35">
      <c r="A1" s="98" t="s">
        <v>0</v>
      </c>
      <c r="B1" s="99" t="s">
        <v>1360</v>
      </c>
      <c r="C1" s="99" t="s">
        <v>23</v>
      </c>
      <c r="D1" s="99" t="s">
        <v>1382</v>
      </c>
      <c r="E1" s="99" t="s">
        <v>1352</v>
      </c>
      <c r="F1" s="99" t="s">
        <v>1355</v>
      </c>
      <c r="G1" s="113" t="s">
        <v>1314</v>
      </c>
      <c r="H1" s="113" t="s">
        <v>1383</v>
      </c>
      <c r="I1" s="99" t="s">
        <v>1353</v>
      </c>
      <c r="J1" s="113" t="s">
        <v>1354</v>
      </c>
      <c r="K1" s="99" t="s">
        <v>1367</v>
      </c>
      <c r="L1" s="99" t="s">
        <v>35</v>
      </c>
      <c r="M1" s="99" t="s">
        <v>1384</v>
      </c>
      <c r="N1" s="114" t="s">
        <v>36</v>
      </c>
      <c r="O1" s="114" t="s">
        <v>1385</v>
      </c>
      <c r="P1" s="99" t="s">
        <v>37</v>
      </c>
      <c r="Q1" s="99" t="s">
        <v>1387</v>
      </c>
      <c r="R1" s="99" t="s">
        <v>1396</v>
      </c>
      <c r="S1" s="99" t="s">
        <v>1357</v>
      </c>
      <c r="T1" s="99" t="s">
        <v>1358</v>
      </c>
      <c r="U1" s="81" t="s">
        <v>1322</v>
      </c>
      <c r="V1" s="81" t="s">
        <v>1373</v>
      </c>
    </row>
    <row r="2" spans="1:22" x14ac:dyDescent="0.35">
      <c r="A2" s="49" t="s">
        <v>6</v>
      </c>
      <c r="B2" s="50">
        <v>0.37291200297010657</v>
      </c>
      <c r="C2" s="50">
        <v>4.7589041095890412</v>
      </c>
      <c r="D2" s="50">
        <f>LOG(C2)</f>
        <v>0.67750695399062388</v>
      </c>
      <c r="E2" s="50">
        <f>IF(Table2[[#This Row],[Geo Distance]]=0,0,LOG(Table2[[#This Row],[Geo Distance]]))</f>
        <v>2.5061937441392494</v>
      </c>
      <c r="F2" s="50">
        <f>IF(Table2[[#This Row],[Target age]]=0,0,LOG(Table2[[#This Row],[Target age]]))</f>
        <v>1.8808135922807914</v>
      </c>
      <c r="G2" s="59">
        <v>2.91</v>
      </c>
      <c r="H2" s="59">
        <f>LOG(G2)</f>
        <v>0.46389298898590731</v>
      </c>
      <c r="I2" s="60">
        <f>IF(Table2[[#This Row],[Culture]]=0,0,LOG(Table2[[#This Row],[Culture]]))</f>
        <v>2.6507930396519308</v>
      </c>
      <c r="J2" s="60">
        <f>LOG(1+Table2[[#This Row],[S&amp;P]])</f>
        <v>0.13987908640123647</v>
      </c>
      <c r="K2" s="50">
        <v>1.3222192947339193</v>
      </c>
      <c r="L2" s="50">
        <v>70</v>
      </c>
      <c r="M2" s="50">
        <f>LOG(L2)</f>
        <v>1.8450980400142569</v>
      </c>
      <c r="N2" s="62">
        <v>43.6</v>
      </c>
      <c r="O2" s="62">
        <f>LOG(N2)</f>
        <v>1.6394864892685861</v>
      </c>
      <c r="P2" s="63">
        <v>49.506498643412101</v>
      </c>
      <c r="Q2" s="63">
        <f>LOG(P2)</f>
        <v>1.6946622118572952</v>
      </c>
      <c r="R2" s="50">
        <f>LOG(Table2[[#This Row],[generalist]])</f>
        <v>3.2224645332922388</v>
      </c>
      <c r="S2" s="50">
        <f>LOG(Table2[[#This Row],[country divers.]])</f>
        <v>3.707126713924402</v>
      </c>
      <c r="T2" s="50">
        <f>LOG(Table2[[#This Row],[Firm Size]])</f>
        <v>8.3979400086720375</v>
      </c>
      <c r="U2">
        <v>1</v>
      </c>
      <c r="V2">
        <f>IF(E2=0,0,1)</f>
        <v>1</v>
      </c>
    </row>
    <row r="3" spans="1:22" x14ac:dyDescent="0.35">
      <c r="A3" s="67" t="s">
        <v>6</v>
      </c>
      <c r="B3" s="52">
        <v>-0.13768510304979162</v>
      </c>
      <c r="C3" s="52">
        <v>2.4821917808219176</v>
      </c>
      <c r="D3" s="50">
        <f t="shared" ref="D3:D66" si="0">LOG(C3)</f>
        <v>0.39483533322033831</v>
      </c>
      <c r="E3" s="52">
        <f>IF(Table2[[#This Row],[Geo Distance]]=0,0,LOG(Table2[[#This Row],[Geo Distance]]))</f>
        <v>2.2401247301685658</v>
      </c>
      <c r="F3" s="52">
        <f>IF(Table2[[#This Row],[Target age]]=0,0,LOG(Table2[[#This Row],[Target age]]))</f>
        <v>1.1139433523068367</v>
      </c>
      <c r="G3" s="65">
        <v>3.18</v>
      </c>
      <c r="H3" s="59">
        <f t="shared" ref="H3:H66" si="1">LOG(G3)</f>
        <v>0.50242711998443268</v>
      </c>
      <c r="I3" s="53">
        <f>IF(Table2[[#This Row],[Culture]]=0,0,LOG(Table2[[#This Row],[Culture]]))</f>
        <v>2.4690852991231202</v>
      </c>
      <c r="J3" s="53">
        <f>LOG(1+Table2[[#This Row],[S&amp;P]])</f>
        <v>9.3421685162235063E-2</v>
      </c>
      <c r="K3" s="52">
        <v>1.2041199826559248</v>
      </c>
      <c r="L3" s="52">
        <v>70</v>
      </c>
      <c r="M3" s="50">
        <f t="shared" ref="M3:M66" si="2">LOG(L3)</f>
        <v>1.8450980400142569</v>
      </c>
      <c r="N3" s="55">
        <v>44.1</v>
      </c>
      <c r="O3" s="62">
        <f t="shared" ref="O3:O66" si="3">LOG(N3)</f>
        <v>1.6444385894678386</v>
      </c>
      <c r="P3" s="56">
        <v>50.560579232511799</v>
      </c>
      <c r="Q3" s="63">
        <f t="shared" ref="Q3:Q66" si="4">LOG(P3)</f>
        <v>1.703812040670742</v>
      </c>
      <c r="R3" s="52">
        <f>LOG(Table2[[#This Row],[generalist]])</f>
        <v>3.3740570806117947</v>
      </c>
      <c r="S3" s="57">
        <f>LOG(Table2[[#This Row],[country divers.]])</f>
        <v>3.9700736609473402</v>
      </c>
      <c r="T3" s="52">
        <f>LOG(Table2[[#This Row],[Firm Size]])</f>
        <v>8.1139433523068369</v>
      </c>
      <c r="U3">
        <v>7</v>
      </c>
      <c r="V3" s="137">
        <f t="shared" ref="V3:V66" si="5">IF(E3=0,0,1)</f>
        <v>1</v>
      </c>
    </row>
    <row r="4" spans="1:22" x14ac:dyDescent="0.35">
      <c r="A4" s="49" t="s">
        <v>6</v>
      </c>
      <c r="B4" s="50">
        <v>0.19832643952855722</v>
      </c>
      <c r="C4" s="50">
        <v>1.167123287671233</v>
      </c>
      <c r="D4" s="50">
        <f t="shared" si="0"/>
        <v>6.711673464624425E-2</v>
      </c>
      <c r="E4" s="50">
        <f>IF(Table2[[#This Row],[Geo Distance]]=0,0,LOG(Table2[[#This Row],[Geo Distance]]))</f>
        <v>3.7935375545153347</v>
      </c>
      <c r="F4" s="50">
        <f>IF(Table2[[#This Row],[Target age]]=0,0,LOG(Table2[[#This Row],[Target age]]))</f>
        <v>0.95424250943932487</v>
      </c>
      <c r="G4" s="59">
        <v>2.92</v>
      </c>
      <c r="H4" s="59">
        <f t="shared" si="1"/>
        <v>0.46538285144841829</v>
      </c>
      <c r="I4" s="60">
        <f>IF(Table2[[#This Row],[Culture]]=0,0,LOG(Table2[[#This Row],[Culture]]))</f>
        <v>2.7362636701967253</v>
      </c>
      <c r="J4" s="60">
        <f>LOG(1+Table2[[#This Row],[S&amp;P]])</f>
        <v>5.6904851336472641E-2</v>
      </c>
      <c r="K4" s="50">
        <v>1.3424226808222062</v>
      </c>
      <c r="L4" s="50">
        <v>92.3</v>
      </c>
      <c r="M4" s="50">
        <f t="shared" si="2"/>
        <v>1.965201701025912</v>
      </c>
      <c r="N4" s="62">
        <v>44.2</v>
      </c>
      <c r="O4" s="62">
        <f t="shared" si="3"/>
        <v>1.6454222693490919</v>
      </c>
      <c r="P4" s="63">
        <v>55.865585583074697</v>
      </c>
      <c r="Q4" s="63">
        <f t="shared" si="4"/>
        <v>1.7471443554007058</v>
      </c>
      <c r="R4" s="50">
        <f>LOG(Table2[[#This Row],[generalist]])</f>
        <v>3.1814248062191788</v>
      </c>
      <c r="S4" s="50">
        <f>LOG(Table2[[#This Row],[country divers.]])</f>
        <v>3.7294207535322617</v>
      </c>
      <c r="T4" s="50">
        <f>LOG(Table2[[#This Row],[Firm Size]])</f>
        <v>9.0413926851582254</v>
      </c>
      <c r="U4">
        <v>8</v>
      </c>
      <c r="V4" s="137">
        <f t="shared" si="5"/>
        <v>1</v>
      </c>
    </row>
    <row r="5" spans="1:22" x14ac:dyDescent="0.35">
      <c r="A5" s="67" t="s">
        <v>6</v>
      </c>
      <c r="B5" s="52">
        <v>0.19472574997713679</v>
      </c>
      <c r="C5" s="52">
        <v>7.9397260273972599</v>
      </c>
      <c r="D5" s="50">
        <f t="shared" si="0"/>
        <v>0.89980551667868103</v>
      </c>
      <c r="E5" s="52">
        <f>IF(Table2[[#This Row],[Geo Distance]]=0,0,LOG(Table2[[#This Row],[Geo Distance]]))</f>
        <v>2.5061937441392494</v>
      </c>
      <c r="F5" s="52">
        <f>IF(Table2[[#This Row],[Target age]]=0,0,LOG(Table2[[#This Row],[Target age]]))</f>
        <v>0</v>
      </c>
      <c r="G5" s="65">
        <v>2.91</v>
      </c>
      <c r="H5" s="59">
        <f t="shared" si="1"/>
        <v>0.46389298898590731</v>
      </c>
      <c r="I5" s="53">
        <f>IF(Table2[[#This Row],[Culture]]=0,0,LOG(Table2[[#This Row],[Culture]]))</f>
        <v>2.6507930396519308</v>
      </c>
      <c r="J5" s="53">
        <f>LOG(1+Table2[[#This Row],[S&amp;P]])</f>
        <v>0.16435285578443709</v>
      </c>
      <c r="K5" s="52">
        <v>1.3617278360175928</v>
      </c>
      <c r="L5" s="52">
        <v>70</v>
      </c>
      <c r="M5" s="50">
        <f t="shared" si="2"/>
        <v>1.8450980400142569</v>
      </c>
      <c r="N5" s="55">
        <v>43.1</v>
      </c>
      <c r="O5" s="62">
        <f t="shared" si="3"/>
        <v>1.6344772701607315</v>
      </c>
      <c r="P5" s="56">
        <v>50.714433556883101</v>
      </c>
      <c r="Q5" s="63">
        <f t="shared" si="4"/>
        <v>1.7051315790969346</v>
      </c>
      <c r="R5" s="52">
        <f>LOG(Table2[[#This Row],[generalist]])</f>
        <v>3.2327651641054547</v>
      </c>
      <c r="S5" s="52">
        <f>LOG(Table2[[#This Row],[country divers.]])</f>
        <v>3.9527244147731087</v>
      </c>
      <c r="T5" s="52">
        <f>LOG(Table2[[#This Row],[Firm Size]])</f>
        <v>9.0152255896738556</v>
      </c>
      <c r="U5">
        <v>7</v>
      </c>
      <c r="V5" s="137">
        <f t="shared" si="5"/>
        <v>1</v>
      </c>
    </row>
    <row r="6" spans="1:22" x14ac:dyDescent="0.35">
      <c r="A6" s="49" t="s">
        <v>6</v>
      </c>
      <c r="B6" s="50">
        <v>0.1337635315040327</v>
      </c>
      <c r="C6" s="50">
        <v>3.0301369863013701</v>
      </c>
      <c r="D6" s="50">
        <f t="shared" si="0"/>
        <v>0.48146226251220475</v>
      </c>
      <c r="E6" s="50">
        <f>IF(Table2[[#This Row],[Geo Distance]]=0,0,LOG(Table2[[#This Row],[Geo Distance]]))</f>
        <v>2.5061937441392494</v>
      </c>
      <c r="F6" s="50">
        <f>IF(Table2[[#This Row],[Target age]]=0,0,LOG(Table2[[#This Row],[Target age]]))</f>
        <v>1.7923916894982539</v>
      </c>
      <c r="G6" s="59">
        <v>2.91</v>
      </c>
      <c r="H6" s="59">
        <f t="shared" si="1"/>
        <v>0.46389298898590731</v>
      </c>
      <c r="I6" s="60">
        <f>IF(Table2[[#This Row],[Culture]]=0,0,LOG(Table2[[#This Row],[Culture]]))</f>
        <v>2.6507930396519308</v>
      </c>
      <c r="J6" s="60">
        <f>LOG(1+Table2[[#This Row],[S&amp;P]])</f>
        <v>-0.13667713987954411</v>
      </c>
      <c r="K6" s="50">
        <v>1.2787536009528289</v>
      </c>
      <c r="L6" s="50">
        <v>70</v>
      </c>
      <c r="M6" s="50">
        <f t="shared" si="2"/>
        <v>1.8450980400142569</v>
      </c>
      <c r="N6" s="62">
        <v>43.9</v>
      </c>
      <c r="O6" s="62">
        <f t="shared" si="3"/>
        <v>1.6424645202421213</v>
      </c>
      <c r="P6" s="63">
        <v>50.068420233717902</v>
      </c>
      <c r="Q6" s="63">
        <f t="shared" si="4"/>
        <v>1.6995638886906486</v>
      </c>
      <c r="R6" s="50">
        <f>LOG(Table2[[#This Row],[generalist]])</f>
        <v>3.2327651641054547</v>
      </c>
      <c r="S6" s="50">
        <f>LOG(Table2[[#This Row],[country divers.]])</f>
        <v>3.9527244147731087</v>
      </c>
      <c r="T6" s="50">
        <f>LOG(Table2[[#This Row],[Firm Size]])</f>
        <v>7.4268364538035083</v>
      </c>
      <c r="U6">
        <v>1</v>
      </c>
      <c r="V6" s="137">
        <f t="shared" si="5"/>
        <v>1</v>
      </c>
    </row>
    <row r="7" spans="1:22" x14ac:dyDescent="0.35">
      <c r="A7" s="67" t="s">
        <v>6</v>
      </c>
      <c r="B7" s="52">
        <v>0.63617917447656325</v>
      </c>
      <c r="C7" s="52">
        <v>4.3726027397260276</v>
      </c>
      <c r="D7" s="50">
        <f t="shared" si="0"/>
        <v>0.64074002255823592</v>
      </c>
      <c r="E7" s="52">
        <f>IF(Table2[[#This Row],[Geo Distance]]=0,0,LOG(Table2[[#This Row],[Geo Distance]]))</f>
        <v>2.4211430670716649</v>
      </c>
      <c r="F7" s="52">
        <f>IF(Table2[[#This Row],[Target age]]=0,0,LOG(Table2[[#This Row],[Target age]]))</f>
        <v>1.8195439355418688</v>
      </c>
      <c r="G7" s="65">
        <v>3.07</v>
      </c>
      <c r="H7" s="59">
        <f t="shared" si="1"/>
        <v>0.48713837547718647</v>
      </c>
      <c r="I7" s="53">
        <f>IF(Table2[[#This Row],[Culture]]=0,0,LOG(Table2[[#This Row],[Culture]]))</f>
        <v>2.9278834103307068</v>
      </c>
      <c r="J7" s="53">
        <f>LOG(1+Table2[[#This Row],[S&amp;P]])</f>
        <v>0.20682587603184968</v>
      </c>
      <c r="K7" s="52">
        <v>1.1760912590556813</v>
      </c>
      <c r="L7" s="52">
        <v>91.6</v>
      </c>
      <c r="M7" s="50">
        <f t="shared" si="2"/>
        <v>1.9618954736678504</v>
      </c>
      <c r="N7" s="55">
        <v>45.1</v>
      </c>
      <c r="O7" s="62">
        <f t="shared" si="3"/>
        <v>1.6541765418779606</v>
      </c>
      <c r="P7" s="56">
        <v>55.827525017854398</v>
      </c>
      <c r="Q7" s="63">
        <f t="shared" si="4"/>
        <v>1.7468483748517865</v>
      </c>
      <c r="R7" s="52">
        <f>LOG(Table2[[#This Row],[generalist]])</f>
        <v>3.2258683317817765</v>
      </c>
      <c r="S7" s="52">
        <f>LOG(Table2[[#This Row],[country divers.]])</f>
        <v>3.9615291224236637</v>
      </c>
      <c r="T7" s="52">
        <f>LOG(Table2[[#This Row],[Firm Size]])</f>
        <v>8.318063334962762</v>
      </c>
      <c r="U7">
        <v>1</v>
      </c>
      <c r="V7" s="137">
        <f t="shared" si="5"/>
        <v>1</v>
      </c>
    </row>
    <row r="8" spans="1:22" x14ac:dyDescent="0.35">
      <c r="A8" s="49" t="s">
        <v>6</v>
      </c>
      <c r="B8" s="50">
        <v>0.24900099565997116</v>
      </c>
      <c r="C8" s="50">
        <v>3.7561643835616438</v>
      </c>
      <c r="D8" s="50">
        <f t="shared" si="0"/>
        <v>0.57474459033303793</v>
      </c>
      <c r="E8" s="50">
        <f>IF(Table2[[#This Row],[Geo Distance]]=0,0,LOG(Table2[[#This Row],[Geo Distance]]))</f>
        <v>3.7935375545153347</v>
      </c>
      <c r="F8" s="50">
        <f>IF(Table2[[#This Row],[Target age]]=0,0,LOG(Table2[[#This Row],[Target age]]))</f>
        <v>0</v>
      </c>
      <c r="G8" s="59">
        <v>2.92</v>
      </c>
      <c r="H8" s="59">
        <f t="shared" si="1"/>
        <v>0.46538285144841829</v>
      </c>
      <c r="I8" s="60">
        <f>IF(Table2[[#This Row],[Culture]]=0,0,LOG(Table2[[#This Row],[Culture]]))</f>
        <v>2.7362636701967253</v>
      </c>
      <c r="J8" s="60">
        <f>LOG(1+Table2[[#This Row],[S&amp;P]])</f>
        <v>-2.6872146400301365E-2</v>
      </c>
      <c r="K8" s="50">
        <v>1.1139433523068367</v>
      </c>
      <c r="L8" s="50">
        <v>93.7</v>
      </c>
      <c r="M8" s="50">
        <f t="shared" si="2"/>
        <v>1.9717395908877782</v>
      </c>
      <c r="N8" s="62">
        <v>43.3</v>
      </c>
      <c r="O8" s="62">
        <f t="shared" si="3"/>
        <v>1.6364878963533653</v>
      </c>
      <c r="P8" s="63">
        <v>50.280752820308301</v>
      </c>
      <c r="Q8" s="63">
        <f t="shared" si="4"/>
        <v>1.7014017714653555</v>
      </c>
      <c r="R8" s="50">
        <f>LOG(Table2[[#This Row],[generalist]])</f>
        <v>3.17328398991646</v>
      </c>
      <c r="S8" s="50">
        <f>LOG(Table2[[#This Row],[country divers.]])</f>
        <v>3.8227937352435273</v>
      </c>
      <c r="T8" s="50">
        <f>LOG(Table2[[#This Row],[Firm Size]])</f>
        <v>8.1903316981702918</v>
      </c>
      <c r="U8">
        <v>1</v>
      </c>
      <c r="V8" s="137">
        <f t="shared" si="5"/>
        <v>1</v>
      </c>
    </row>
    <row r="9" spans="1:22" x14ac:dyDescent="0.35">
      <c r="A9" s="67" t="s">
        <v>6</v>
      </c>
      <c r="B9" s="52">
        <v>0.40772070378954867</v>
      </c>
      <c r="C9" s="52">
        <v>0.33424657534246577</v>
      </c>
      <c r="D9" s="50">
        <f t="shared" si="0"/>
        <v>-0.47593303378172647</v>
      </c>
      <c r="E9" s="52">
        <f>IF(Table2[[#This Row],[Geo Distance]]=0,0,LOG(Table2[[#This Row],[Geo Distance]]))</f>
        <v>2.5061937441392494</v>
      </c>
      <c r="F9" s="52">
        <f>IF(Table2[[#This Row],[Target age]]=0,0,LOG(Table2[[#This Row],[Target age]]))</f>
        <v>0.95424250943932487</v>
      </c>
      <c r="G9" s="65">
        <v>2.91</v>
      </c>
      <c r="H9" s="59">
        <f t="shared" si="1"/>
        <v>0.46389298898590731</v>
      </c>
      <c r="I9" s="53">
        <f>IF(Table2[[#This Row],[Culture]]=0,0,LOG(Table2[[#This Row],[Culture]]))</f>
        <v>2.6507930396519308</v>
      </c>
      <c r="J9" s="53">
        <f>LOG(1+Table2[[#This Row],[S&amp;P]])</f>
        <v>-1.7728766960431602E-2</v>
      </c>
      <c r="K9" s="52">
        <v>0.84509804001425681</v>
      </c>
      <c r="L9" s="52">
        <v>70</v>
      </c>
      <c r="M9" s="50">
        <f t="shared" si="2"/>
        <v>1.8450980400142569</v>
      </c>
      <c r="N9" s="55">
        <v>43.2</v>
      </c>
      <c r="O9" s="62">
        <f t="shared" si="3"/>
        <v>1.6354837468149122</v>
      </c>
      <c r="P9" s="56">
        <v>48.933014808972402</v>
      </c>
      <c r="Q9" s="63">
        <f t="shared" si="4"/>
        <v>1.6896019738749151</v>
      </c>
      <c r="R9" s="52">
        <f>LOG(Table2[[#This Row],[generalist]])</f>
        <v>3.6410631547392063</v>
      </c>
      <c r="S9" s="52">
        <f>LOG(Table2[[#This Row],[country divers.]])</f>
        <v>3.7013464506591722</v>
      </c>
      <c r="T9" s="52">
        <f>LOG(Table2[[#This Row],[Firm Size]])</f>
        <v>7.1132746924643504</v>
      </c>
      <c r="U9">
        <v>9</v>
      </c>
      <c r="V9" s="137">
        <f t="shared" si="5"/>
        <v>1</v>
      </c>
    </row>
    <row r="10" spans="1:22" x14ac:dyDescent="0.35">
      <c r="A10" s="49" t="s">
        <v>6</v>
      </c>
      <c r="B10" s="50">
        <v>0.83346575027523784</v>
      </c>
      <c r="C10" s="50">
        <v>3.2301369863013698</v>
      </c>
      <c r="D10" s="50">
        <f t="shared" si="0"/>
        <v>0.50922094063861445</v>
      </c>
      <c r="E10" s="50">
        <f>IF(Table2[[#This Row],[Geo Distance]]=0,0,LOG(Table2[[#This Row],[Geo Distance]]))</f>
        <v>3.7935375545153347</v>
      </c>
      <c r="F10" s="50">
        <f>IF(Table2[[#This Row],[Target age]]=0,0,LOG(Table2[[#This Row],[Target age]]))</f>
        <v>1.4623979978989561</v>
      </c>
      <c r="G10" s="59">
        <v>2.92</v>
      </c>
      <c r="H10" s="59">
        <f t="shared" si="1"/>
        <v>0.46538285144841829</v>
      </c>
      <c r="I10" s="60">
        <f>IF(Table2[[#This Row],[Culture]]=0,0,LOG(Table2[[#This Row],[Culture]]))</f>
        <v>2.7362636701967253</v>
      </c>
      <c r="J10" s="60">
        <f>LOG(1+Table2[[#This Row],[S&amp;P]])</f>
        <v>0.11727129565576427</v>
      </c>
      <c r="K10" s="50">
        <v>1.6720978579357175</v>
      </c>
      <c r="L10" s="50">
        <v>90.7</v>
      </c>
      <c r="M10" s="50">
        <f t="shared" si="2"/>
        <v>1.9576072870600953</v>
      </c>
      <c r="N10" s="62">
        <v>44.8</v>
      </c>
      <c r="O10" s="62">
        <f t="shared" si="3"/>
        <v>1.651278013998144</v>
      </c>
      <c r="P10" s="63">
        <v>53.736888616883299</v>
      </c>
      <c r="Q10" s="63">
        <f t="shared" si="4"/>
        <v>1.7302725170350541</v>
      </c>
      <c r="R10" s="50">
        <f>LOG(Table2[[#This Row],[generalist]])</f>
        <v>3.3885364494891754</v>
      </c>
      <c r="S10" s="50">
        <f>LOG(Table2[[#This Row],[country divers.]])</f>
        <v>3.818148300254375</v>
      </c>
      <c r="T10" s="50">
        <f>LOG(Table2[[#This Row],[Firm Size]])</f>
        <v>7.4381080904060948</v>
      </c>
      <c r="U10">
        <v>2</v>
      </c>
      <c r="V10" s="137">
        <f t="shared" si="5"/>
        <v>1</v>
      </c>
    </row>
    <row r="11" spans="1:22" x14ac:dyDescent="0.35">
      <c r="A11" s="67" t="s">
        <v>3</v>
      </c>
      <c r="B11" s="52">
        <v>0.66191312339064456</v>
      </c>
      <c r="C11" s="52">
        <v>3.3917808219178083</v>
      </c>
      <c r="D11" s="50">
        <f t="shared" si="0"/>
        <v>0.53042778022762449</v>
      </c>
      <c r="E11" s="52">
        <f>IF(Table2[[#This Row],[Geo Distance]]=0,0,LOG(Table2[[#This Row],[Geo Distance]]))</f>
        <v>2.9804351775355471</v>
      </c>
      <c r="F11" s="52">
        <f>IF(Table2[[#This Row],[Target age]]=0,0,LOG(Table2[[#This Row],[Target age]]))</f>
        <v>2.0293837776852097</v>
      </c>
      <c r="G11" s="65">
        <v>3.13</v>
      </c>
      <c r="H11" s="59">
        <f t="shared" si="1"/>
        <v>0.49554433754644844</v>
      </c>
      <c r="I11" s="53">
        <f>IF(Table2[[#This Row],[Culture]]=0,0,LOG(Table2[[#This Row],[Culture]]))</f>
        <v>2.7335984609613391</v>
      </c>
      <c r="J11" s="53">
        <f>LOG(1+Table2[[#This Row],[S&amp;P]])</f>
        <v>0.18469143081759881</v>
      </c>
      <c r="K11" s="52">
        <v>1.3424226808222062</v>
      </c>
      <c r="L11" s="52">
        <v>100</v>
      </c>
      <c r="M11" s="50">
        <f t="shared" si="2"/>
        <v>2</v>
      </c>
      <c r="N11" s="55">
        <v>45.6</v>
      </c>
      <c r="O11" s="62">
        <f t="shared" si="3"/>
        <v>1.658964842664435</v>
      </c>
      <c r="P11" s="56">
        <v>53.639357132864397</v>
      </c>
      <c r="Q11" s="63">
        <f t="shared" si="4"/>
        <v>1.7294835641959176</v>
      </c>
      <c r="R11" s="52">
        <f>LOG(Table2[[#This Row],[generalist]])</f>
        <v>3.2224645332922388</v>
      </c>
      <c r="S11" s="52">
        <f>LOG(Table2[[#This Row],[country divers.]])</f>
        <v>3.707126713924402</v>
      </c>
      <c r="T11" s="52">
        <f>LOG(Table2[[#This Row],[Firm Size]])</f>
        <v>8.9281704522987919</v>
      </c>
      <c r="U11">
        <v>1</v>
      </c>
      <c r="V11" s="137">
        <f t="shared" si="5"/>
        <v>1</v>
      </c>
    </row>
    <row r="12" spans="1:22" x14ac:dyDescent="0.35">
      <c r="A12" s="49" t="s">
        <v>3</v>
      </c>
      <c r="B12" s="50">
        <v>0.21748394421390627</v>
      </c>
      <c r="C12" s="50">
        <v>5.6739726027397257</v>
      </c>
      <c r="D12" s="50">
        <f t="shared" si="0"/>
        <v>0.75388723443697792</v>
      </c>
      <c r="E12" s="50">
        <f>IF(Table2[[#This Row],[Geo Distance]]=0,0,LOG(Table2[[#This Row],[Geo Distance]]))</f>
        <v>2.717895080003855</v>
      </c>
      <c r="F12" s="50">
        <f>IF(Table2[[#This Row],[Target age]]=0,0,LOG(Table2[[#This Row],[Target age]]))</f>
        <v>1.5563025007672873</v>
      </c>
      <c r="G12" s="59">
        <v>3.57</v>
      </c>
      <c r="H12" s="59">
        <f t="shared" si="1"/>
        <v>0.55266821611219319</v>
      </c>
      <c r="I12" s="60">
        <f>IF(Table2[[#This Row],[Culture]]=0,0,LOG(Table2[[#This Row],[Culture]]))</f>
        <v>3.0906694558138748</v>
      </c>
      <c r="J12" s="60">
        <f>LOG(1+Table2[[#This Row],[S&amp;P]])</f>
        <v>0.24054924828259971</v>
      </c>
      <c r="K12" s="50">
        <v>1.3802112417116059</v>
      </c>
      <c r="L12" s="50">
        <v>98.4</v>
      </c>
      <c r="M12" s="50">
        <f t="shared" si="2"/>
        <v>1.9929950984313416</v>
      </c>
      <c r="N12" s="62">
        <v>45.9</v>
      </c>
      <c r="O12" s="62">
        <f t="shared" si="3"/>
        <v>1.6618126855372612</v>
      </c>
      <c r="P12" s="63">
        <v>55.820378229102602</v>
      </c>
      <c r="Q12" s="63">
        <f t="shared" si="4"/>
        <v>1.7467927748658987</v>
      </c>
      <c r="R12" s="50">
        <f>LOG(Table2[[#This Row],[generalist]])</f>
        <v>3.212261842580872</v>
      </c>
      <c r="S12" s="50">
        <f>LOG(Table2[[#This Row],[country divers.]])</f>
        <v>3.9329492300777744</v>
      </c>
      <c r="T12" s="50">
        <f>LOG(Table2[[#This Row],[Firm Size]])</f>
        <v>8.6020599913279625</v>
      </c>
      <c r="U12">
        <v>1</v>
      </c>
      <c r="V12" s="137">
        <f t="shared" si="5"/>
        <v>1</v>
      </c>
    </row>
    <row r="13" spans="1:22" x14ac:dyDescent="0.35">
      <c r="A13" s="67" t="s">
        <v>3</v>
      </c>
      <c r="B13" s="52">
        <v>0.13929335130964862</v>
      </c>
      <c r="C13" s="52">
        <v>6.3561643835616435</v>
      </c>
      <c r="D13" s="50">
        <f t="shared" si="0"/>
        <v>0.80319512043442498</v>
      </c>
      <c r="E13" s="52">
        <f>IF(Table2[[#This Row],[Geo Distance]]=0,0,LOG(Table2[[#This Row],[Geo Distance]]))</f>
        <v>2.717895080003855</v>
      </c>
      <c r="F13" s="52">
        <f>IF(Table2[[#This Row],[Target age]]=0,0,LOG(Table2[[#This Row],[Target age]]))</f>
        <v>1.9912260756924949</v>
      </c>
      <c r="G13" s="65">
        <v>3.58</v>
      </c>
      <c r="H13" s="59">
        <f t="shared" si="1"/>
        <v>0.55388302664387434</v>
      </c>
      <c r="I13" s="53">
        <f>IF(Table2[[#This Row],[Culture]]=0,0,LOG(Table2[[#This Row],[Culture]]))</f>
        <v>3.0906694558138748</v>
      </c>
      <c r="J13" s="53">
        <f>LOG(1+Table2[[#This Row],[S&amp;P]])</f>
        <v>5.6904851336472641E-2</v>
      </c>
      <c r="K13" s="52">
        <v>1.1760912590556813</v>
      </c>
      <c r="L13" s="52">
        <v>100</v>
      </c>
      <c r="M13" s="50">
        <f t="shared" si="2"/>
        <v>2</v>
      </c>
      <c r="N13" s="55">
        <v>46.4</v>
      </c>
      <c r="O13" s="62">
        <f t="shared" si="3"/>
        <v>1.6665179805548809</v>
      </c>
      <c r="P13" s="56">
        <v>52.997375167745602</v>
      </c>
      <c r="Q13" s="63">
        <f t="shared" si="4"/>
        <v>1.7242543605745053</v>
      </c>
      <c r="R13" s="52">
        <f>LOG(Table2[[#This Row],[generalist]])</f>
        <v>3.212261842580872</v>
      </c>
      <c r="S13" s="52">
        <f>LOG(Table2[[#This Row],[country divers.]])</f>
        <v>3.9329492300777744</v>
      </c>
      <c r="T13" s="52">
        <f>LOG(Table2[[#This Row],[Firm Size]])</f>
        <v>8.852520054235173</v>
      </c>
      <c r="U13">
        <v>2</v>
      </c>
      <c r="V13" s="137">
        <f t="shared" si="5"/>
        <v>1</v>
      </c>
    </row>
    <row r="14" spans="1:22" x14ac:dyDescent="0.35">
      <c r="A14" s="49" t="s">
        <v>3</v>
      </c>
      <c r="B14" s="50">
        <v>0.25978950514211202</v>
      </c>
      <c r="C14" s="50">
        <v>3.5561643835616437</v>
      </c>
      <c r="D14" s="50">
        <f t="shared" si="0"/>
        <v>0.55098182800787565</v>
      </c>
      <c r="E14" s="50">
        <f>IF(Table2[[#This Row],[Geo Distance]]=0,0,LOG(Table2[[#This Row],[Geo Distance]]))</f>
        <v>2.717895080003855</v>
      </c>
      <c r="F14" s="50">
        <f>IF(Table2[[#This Row],[Target age]]=0,0,LOG(Table2[[#This Row],[Target age]]))</f>
        <v>2.0969100130080562</v>
      </c>
      <c r="G14" s="59">
        <v>3.59</v>
      </c>
      <c r="H14" s="59">
        <f t="shared" si="1"/>
        <v>0.55509444857831913</v>
      </c>
      <c r="I14" s="60">
        <f>IF(Table2[[#This Row],[Culture]]=0,0,LOG(Table2[[#This Row],[Culture]]))</f>
        <v>3.0906694558138748</v>
      </c>
      <c r="J14" s="60">
        <f>LOG(1+Table2[[#This Row],[S&amp;P]])</f>
        <v>-0.15490195998574319</v>
      </c>
      <c r="K14" s="50">
        <v>1</v>
      </c>
      <c r="L14" s="50">
        <v>85</v>
      </c>
      <c r="M14" s="50">
        <f t="shared" si="2"/>
        <v>1.9294189257142926</v>
      </c>
      <c r="N14" s="62">
        <v>47.9</v>
      </c>
      <c r="O14" s="62">
        <f t="shared" si="3"/>
        <v>1.6803355134145632</v>
      </c>
      <c r="P14" s="63">
        <v>54.533270077590302</v>
      </c>
      <c r="Q14" s="63">
        <f t="shared" si="4"/>
        <v>1.7366615408570338</v>
      </c>
      <c r="R14" s="50">
        <f>LOG(Table2[[#This Row],[generalist]])</f>
        <v>3.212261842580872</v>
      </c>
      <c r="S14" s="50">
        <f>LOG(Table2[[#This Row],[country divers.]])</f>
        <v>3.9329492300777744</v>
      </c>
      <c r="T14" s="50">
        <f>LOG(Table2[[#This Row],[Firm Size]])</f>
        <v>8.5998830720736876</v>
      </c>
      <c r="U14">
        <v>2</v>
      </c>
      <c r="V14" s="137">
        <f t="shared" si="5"/>
        <v>1</v>
      </c>
    </row>
    <row r="15" spans="1:22" x14ac:dyDescent="0.35">
      <c r="A15" s="67" t="s">
        <v>3</v>
      </c>
      <c r="B15" s="52">
        <v>-0.47405776081308326</v>
      </c>
      <c r="C15" s="52">
        <v>7.1726027397260275</v>
      </c>
      <c r="D15" s="50">
        <f t="shared" si="0"/>
        <v>0.85567677775826234</v>
      </c>
      <c r="E15" s="52">
        <f>IF(Table2[[#This Row],[Geo Distance]]=0,0,LOG(Table2[[#This Row],[Geo Distance]]))</f>
        <v>3.8136543654612702</v>
      </c>
      <c r="F15" s="52">
        <f>IF(Table2[[#This Row],[Target age]]=0,0,LOG(Table2[[#This Row],[Target age]]))</f>
        <v>1.2041199826559248</v>
      </c>
      <c r="G15" s="65">
        <v>2.86</v>
      </c>
      <c r="H15" s="59">
        <f t="shared" si="1"/>
        <v>0.456366033129043</v>
      </c>
      <c r="I15" s="53">
        <f>IF(Table2[[#This Row],[Culture]]=0,0,LOG(Table2[[#This Row],[Culture]]))</f>
        <v>2.9217731523588331</v>
      </c>
      <c r="J15" s="53">
        <f>LOG(1+Table2[[#This Row],[S&amp;P]])</f>
        <v>9.3421685162235063E-2</v>
      </c>
      <c r="K15" s="52">
        <v>1.3222192947339193</v>
      </c>
      <c r="L15" s="52">
        <v>94.6</v>
      </c>
      <c r="M15" s="50">
        <f t="shared" si="2"/>
        <v>1.9758911364017928</v>
      </c>
      <c r="N15" s="55">
        <v>46.5</v>
      </c>
      <c r="O15" s="62">
        <f t="shared" si="3"/>
        <v>1.667452952889954</v>
      </c>
      <c r="P15" s="56">
        <v>49.829752832499103</v>
      </c>
      <c r="Q15" s="63">
        <f t="shared" si="4"/>
        <v>1.69748873297182</v>
      </c>
      <c r="R15" s="52">
        <f>LOG(Table2[[#This Row],[generalist]])</f>
        <v>3.3647319918335836</v>
      </c>
      <c r="S15" s="52">
        <f>LOG(Table2[[#This Row],[country divers.]])</f>
        <v>3.568659604598353</v>
      </c>
      <c r="T15" s="52">
        <f>LOG(Table2[[#This Row],[Firm Size]])</f>
        <v>9.9024086962903652</v>
      </c>
      <c r="U15">
        <v>4</v>
      </c>
      <c r="V15" s="137">
        <f t="shared" si="5"/>
        <v>1</v>
      </c>
    </row>
    <row r="16" spans="1:22" x14ac:dyDescent="0.35">
      <c r="A16" s="49" t="s">
        <v>3</v>
      </c>
      <c r="B16" s="50">
        <v>0.27598931896671886</v>
      </c>
      <c r="C16" s="50">
        <v>3.6520547945205482</v>
      </c>
      <c r="D16" s="50">
        <f t="shared" si="0"/>
        <v>0.56253728495738453</v>
      </c>
      <c r="E16" s="50">
        <f>IF(Table2[[#This Row],[Geo Distance]]=0,0,LOG(Table2[[#This Row],[Geo Distance]]))</f>
        <v>2.9804351775355471</v>
      </c>
      <c r="F16" s="50">
        <f>IF(Table2[[#This Row],[Target age]]=0,0,LOG(Table2[[#This Row],[Target age]]))</f>
        <v>1.8195439355418688</v>
      </c>
      <c r="G16" s="59">
        <v>3.13</v>
      </c>
      <c r="H16" s="59">
        <f t="shared" si="1"/>
        <v>0.49554433754644844</v>
      </c>
      <c r="I16" s="60">
        <f>IF(Table2[[#This Row],[Culture]]=0,0,LOG(Table2[[#This Row],[Culture]]))</f>
        <v>2.7335984609613391</v>
      </c>
      <c r="J16" s="60">
        <f>LOG(1+Table2[[#This Row],[S&amp;P]])</f>
        <v>0.17026171539495738</v>
      </c>
      <c r="K16" s="50">
        <v>1.4471580313422192</v>
      </c>
      <c r="L16" s="50">
        <v>98.4</v>
      </c>
      <c r="M16" s="50">
        <f t="shared" si="2"/>
        <v>1.9929950984313416</v>
      </c>
      <c r="N16" s="62">
        <v>45.9</v>
      </c>
      <c r="O16" s="62">
        <f t="shared" si="3"/>
        <v>1.6618126855372612</v>
      </c>
      <c r="P16" s="63">
        <v>55.820378229102602</v>
      </c>
      <c r="Q16" s="63">
        <f t="shared" si="4"/>
        <v>1.7467927748658987</v>
      </c>
      <c r="R16" s="50">
        <f>LOG(Table2[[#This Row],[generalist]])</f>
        <v>3.3833706119727633</v>
      </c>
      <c r="S16" s="50">
        <f>LOG(Table2[[#This Row],[country divers.]])</f>
        <v>3.9798077985646683</v>
      </c>
      <c r="T16" s="50">
        <f>LOG(Table2[[#This Row],[Firm Size]])</f>
        <v>8.2554895980755365</v>
      </c>
      <c r="U16">
        <v>1</v>
      </c>
      <c r="V16" s="137">
        <f t="shared" si="5"/>
        <v>1</v>
      </c>
    </row>
    <row r="17" spans="1:22" x14ac:dyDescent="0.35">
      <c r="A17" s="67" t="s">
        <v>419</v>
      </c>
      <c r="B17" s="52">
        <v>-0.17885209215101669</v>
      </c>
      <c r="C17" s="52">
        <v>11.490410958904109</v>
      </c>
      <c r="D17" s="50">
        <f t="shared" si="0"/>
        <v>1.0603355616728503</v>
      </c>
      <c r="E17" s="52">
        <f>IF(Table2[[#This Row],[Geo Distance]]=0,0,LOG(Table2[[#This Row],[Geo Distance]]))</f>
        <v>2.5976074408030998</v>
      </c>
      <c r="F17" s="52">
        <f>IF(Table2[[#This Row],[Target age]]=0,0,LOG(Table2[[#This Row],[Target age]]))</f>
        <v>1.9956351945975499</v>
      </c>
      <c r="G17" s="65">
        <v>3.35</v>
      </c>
      <c r="H17" s="59">
        <f t="shared" si="1"/>
        <v>0.5250448070368452</v>
      </c>
      <c r="I17" s="53">
        <f>IF(Table2[[#This Row],[Culture]]=0,0,LOG(Table2[[#This Row],[Culture]]))</f>
        <v>2.5388668506644674</v>
      </c>
      <c r="J17" s="53">
        <f>LOG(1+Table2[[#This Row],[S&amp;P]])</f>
        <v>0.26481782300953643</v>
      </c>
      <c r="K17" s="52">
        <v>1.2041199826559248</v>
      </c>
      <c r="L17" s="52">
        <v>85</v>
      </c>
      <c r="M17" s="50">
        <f t="shared" si="2"/>
        <v>1.9294189257142926</v>
      </c>
      <c r="N17" s="55">
        <v>42.1</v>
      </c>
      <c r="O17" s="62">
        <f t="shared" si="3"/>
        <v>1.6242820958356683</v>
      </c>
      <c r="P17" s="56">
        <v>49.275185994026302</v>
      </c>
      <c r="Q17" s="63">
        <f t="shared" si="4"/>
        <v>1.6926282722417263</v>
      </c>
      <c r="R17" s="52">
        <f>LOG(Table2[[#This Row],[generalist]])</f>
        <v>3.212261842580872</v>
      </c>
      <c r="S17" s="52">
        <f>LOG(Table2[[#This Row],[country divers.]])</f>
        <v>3.9329492300777744</v>
      </c>
      <c r="T17" s="52">
        <f>LOG(Table2[[#This Row],[Firm Size]])</f>
        <v>8.7774268223893106</v>
      </c>
      <c r="U17">
        <v>1</v>
      </c>
      <c r="V17" s="137">
        <f t="shared" si="5"/>
        <v>1</v>
      </c>
    </row>
    <row r="18" spans="1:22" x14ac:dyDescent="0.35">
      <c r="A18" s="49" t="s">
        <v>419</v>
      </c>
      <c r="B18" s="50">
        <v>0.89805681551283612</v>
      </c>
      <c r="C18" s="50">
        <v>6.5315068493150683</v>
      </c>
      <c r="D18" s="50">
        <f t="shared" si="0"/>
        <v>0.81501338661172407</v>
      </c>
      <c r="E18" s="50">
        <f>IF(Table2[[#This Row],[Geo Distance]]=0,0,LOG(Table2[[#This Row],[Geo Distance]]))</f>
        <v>2.5976074408030998</v>
      </c>
      <c r="F18" s="50">
        <f>IF(Table2[[#This Row],[Target age]]=0,0,LOG(Table2[[#This Row],[Target age]]))</f>
        <v>1.2041199826559248</v>
      </c>
      <c r="G18" s="59">
        <v>3.35</v>
      </c>
      <c r="H18" s="59">
        <f t="shared" si="1"/>
        <v>0.5250448070368452</v>
      </c>
      <c r="I18" s="60">
        <f>IF(Table2[[#This Row],[Culture]]=0,0,LOG(Table2[[#This Row],[Culture]]))</f>
        <v>2.5388668506644674</v>
      </c>
      <c r="J18" s="60">
        <f>LOG(1+Table2[[#This Row],[S&amp;P]])</f>
        <v>0.13353890837021748</v>
      </c>
      <c r="K18" s="50">
        <v>1.0791812460476249</v>
      </c>
      <c r="L18" s="50">
        <v>70</v>
      </c>
      <c r="M18" s="50">
        <f t="shared" si="2"/>
        <v>1.8450980400142569</v>
      </c>
      <c r="N18" s="62">
        <v>43.2</v>
      </c>
      <c r="O18" s="62">
        <f t="shared" si="3"/>
        <v>1.6354837468149122</v>
      </c>
      <c r="P18" s="63">
        <v>47.338285896273099</v>
      </c>
      <c r="Q18" s="63">
        <f t="shared" si="4"/>
        <v>1.6752125282177461</v>
      </c>
      <c r="R18" s="50">
        <f>LOG(Table2[[#This Row],[generalist]])</f>
        <v>3.212261842580872</v>
      </c>
      <c r="S18" s="50">
        <f>LOG(Table2[[#This Row],[country divers.]])</f>
        <v>3.9329492300777744</v>
      </c>
      <c r="T18" s="50">
        <f>LOG(Table2[[#This Row],[Firm Size]])</f>
        <v>7.2257948254542494</v>
      </c>
      <c r="U18">
        <v>5</v>
      </c>
      <c r="V18" s="137">
        <f t="shared" si="5"/>
        <v>1</v>
      </c>
    </row>
    <row r="19" spans="1:22" x14ac:dyDescent="0.35">
      <c r="A19" s="67" t="s">
        <v>419</v>
      </c>
      <c r="B19" s="52">
        <v>0.53415975569002661</v>
      </c>
      <c r="C19" s="52">
        <v>2.6931506849315068</v>
      </c>
      <c r="D19" s="50">
        <f t="shared" si="0"/>
        <v>0.43026065337566088</v>
      </c>
      <c r="E19" s="52">
        <f>IF(Table2[[#This Row],[Geo Distance]]=0,0,LOG(Table2[[#This Row],[Geo Distance]]))</f>
        <v>2.8962229873334087</v>
      </c>
      <c r="F19" s="52">
        <f>IF(Table2[[#This Row],[Target age]]=0,0,LOG(Table2[[#This Row],[Target age]]))</f>
        <v>0.77815125038364363</v>
      </c>
      <c r="G19" s="65">
        <v>3.48</v>
      </c>
      <c r="H19" s="59">
        <f t="shared" si="1"/>
        <v>0.54157924394658097</v>
      </c>
      <c r="I19" s="53">
        <f>IF(Table2[[#This Row],[Culture]]=0,0,LOG(Table2[[#This Row],[Culture]]))</f>
        <v>1.8827142276202253</v>
      </c>
      <c r="J19" s="53">
        <f>LOG(1+Table2[[#This Row],[S&amp;P]])</f>
        <v>9.3421685162235063E-2</v>
      </c>
      <c r="K19" s="52">
        <v>1.1760912590556813</v>
      </c>
      <c r="L19" s="52">
        <v>85</v>
      </c>
      <c r="M19" s="50">
        <f t="shared" si="2"/>
        <v>1.9294189257142926</v>
      </c>
      <c r="N19" s="55">
        <v>41.8</v>
      </c>
      <c r="O19" s="62">
        <f t="shared" si="3"/>
        <v>1.6211762817750353</v>
      </c>
      <c r="P19" s="56">
        <v>49.305577465499702</v>
      </c>
      <c r="Q19" s="63">
        <f t="shared" si="4"/>
        <v>1.6928960496115248</v>
      </c>
      <c r="R19" s="52">
        <f>LOG(Table2[[#This Row],[generalist]])</f>
        <v>3.277819633965128</v>
      </c>
      <c r="S19" s="52">
        <f>LOG(Table2[[#This Row],[country divers.]])</f>
        <v>3.9304083853612104</v>
      </c>
      <c r="T19" s="52">
        <f>LOG(Table2[[#This Row],[Firm Size]])</f>
        <v>8.2787536009528289</v>
      </c>
      <c r="U19">
        <v>4</v>
      </c>
      <c r="V19" s="137">
        <f t="shared" si="5"/>
        <v>1</v>
      </c>
    </row>
    <row r="20" spans="1:22" x14ac:dyDescent="0.35">
      <c r="A20" s="49" t="s">
        <v>419</v>
      </c>
      <c r="B20" s="50">
        <v>-0.18150906085328272</v>
      </c>
      <c r="C20" s="50">
        <v>7.0191780821917806</v>
      </c>
      <c r="D20" s="50">
        <f t="shared" si="0"/>
        <v>0.84628626095219273</v>
      </c>
      <c r="E20" s="50">
        <f>IF(Table2[[#This Row],[Geo Distance]]=0,0,LOG(Table2[[#This Row],[Geo Distance]]))</f>
        <v>2.8962229873334087</v>
      </c>
      <c r="F20" s="50">
        <f>IF(Table2[[#This Row],[Target age]]=0,0,LOG(Table2[[#This Row],[Target age]]))</f>
        <v>0</v>
      </c>
      <c r="G20" s="59">
        <v>3.48</v>
      </c>
      <c r="H20" s="59">
        <f t="shared" si="1"/>
        <v>0.54157924394658097</v>
      </c>
      <c r="I20" s="60">
        <f>IF(Table2[[#This Row],[Culture]]=0,0,LOG(Table2[[#This Row],[Culture]]))</f>
        <v>1.8827142276202253</v>
      </c>
      <c r="J20" s="60">
        <f>LOG(1+Table2[[#This Row],[S&amp;P]])</f>
        <v>-5.551732784983137E-2</v>
      </c>
      <c r="K20" s="50">
        <v>1</v>
      </c>
      <c r="L20" s="50">
        <v>70</v>
      </c>
      <c r="M20" s="50">
        <f t="shared" si="2"/>
        <v>1.8450980400142569</v>
      </c>
      <c r="N20" s="62">
        <v>44.3</v>
      </c>
      <c r="O20" s="62">
        <f t="shared" si="3"/>
        <v>1.6464037262230695</v>
      </c>
      <c r="P20" s="63">
        <v>50.959243005601799</v>
      </c>
      <c r="Q20" s="63">
        <f t="shared" si="4"/>
        <v>1.7072229679746294</v>
      </c>
      <c r="R20" s="50">
        <f>LOG(Table2[[#This Row],[generalist]])</f>
        <v>3.277819633965128</v>
      </c>
      <c r="S20" s="50">
        <f>LOG(Table2[[#This Row],[country divers.]])</f>
        <v>3.9304083853612104</v>
      </c>
      <c r="T20" s="50">
        <f>LOG(Table2[[#This Row],[Firm Size]])</f>
        <v>8.010812833684307</v>
      </c>
      <c r="U20">
        <v>5</v>
      </c>
      <c r="V20" s="137">
        <f t="shared" si="5"/>
        <v>1</v>
      </c>
    </row>
    <row r="21" spans="1:22" x14ac:dyDescent="0.35">
      <c r="A21" s="67" t="s">
        <v>419</v>
      </c>
      <c r="B21" s="52">
        <v>0.10914446942506807</v>
      </c>
      <c r="C21" s="52">
        <v>2.9808219178082194</v>
      </c>
      <c r="D21" s="50">
        <f t="shared" si="0"/>
        <v>0.47433603090568643</v>
      </c>
      <c r="E21" s="52">
        <f>IF(Table2[[#This Row],[Geo Distance]]=0,0,LOG(Table2[[#This Row],[Geo Distance]]))</f>
        <v>3.2603910256085982</v>
      </c>
      <c r="F21" s="52">
        <f>IF(Table2[[#This Row],[Target age]]=0,0,LOG(Table2[[#This Row],[Target age]]))</f>
        <v>1.8864907251724818</v>
      </c>
      <c r="G21" s="65">
        <v>3.18</v>
      </c>
      <c r="H21" s="59">
        <f t="shared" si="1"/>
        <v>0.50242711998443268</v>
      </c>
      <c r="I21" s="53">
        <f>IF(Table2[[#This Row],[Culture]]=0,0,LOG(Table2[[#This Row],[Culture]]))</f>
        <v>2.7227709888066571</v>
      </c>
      <c r="J21" s="53">
        <f>LOG(1+Table2[[#This Row],[S&amp;P]])</f>
        <v>0.10037054511756291</v>
      </c>
      <c r="K21" s="52">
        <v>1.5314789170422551</v>
      </c>
      <c r="L21" s="52">
        <v>92.6</v>
      </c>
      <c r="M21" s="50">
        <f t="shared" si="2"/>
        <v>1.9666109866819343</v>
      </c>
      <c r="N21" s="55">
        <v>43.9</v>
      </c>
      <c r="O21" s="62">
        <f t="shared" si="3"/>
        <v>1.6424645202421213</v>
      </c>
      <c r="P21" s="56">
        <v>57.041609510745303</v>
      </c>
      <c r="Q21" s="63">
        <f t="shared" si="4"/>
        <v>1.7561917712577904</v>
      </c>
      <c r="R21" s="52">
        <f>LOG(Table2[[#This Row],[generalist]])</f>
        <v>3.22246453795844</v>
      </c>
      <c r="S21" s="52">
        <f>LOG(Table2[[#This Row],[country divers.]])</f>
        <v>3.7071267407396937</v>
      </c>
      <c r="T21" s="52">
        <f>LOG(Table2[[#This Row],[Firm Size]])</f>
        <v>8.8450980400142569</v>
      </c>
      <c r="U21">
        <v>8</v>
      </c>
      <c r="V21" s="137">
        <f t="shared" si="5"/>
        <v>1</v>
      </c>
    </row>
    <row r="22" spans="1:22" x14ac:dyDescent="0.35">
      <c r="A22" s="49" t="s">
        <v>163</v>
      </c>
      <c r="B22" s="50">
        <v>0.28176827208840205</v>
      </c>
      <c r="C22" s="50">
        <v>5.1424657534246574</v>
      </c>
      <c r="D22" s="50">
        <f t="shared" si="0"/>
        <v>0.71117140816487157</v>
      </c>
      <c r="E22" s="50">
        <f>IF(Table2[[#This Row],[Geo Distance]]=0,0,LOG(Table2[[#This Row],[Geo Distance]]))</f>
        <v>2.5349647923946659</v>
      </c>
      <c r="F22" s="50">
        <f>IF(Table2[[#This Row],[Target age]]=0,0,LOG(Table2[[#This Row],[Target age]]))</f>
        <v>1.5440680443502757</v>
      </c>
      <c r="G22" s="59">
        <v>2.3199999999999998</v>
      </c>
      <c r="H22" s="59">
        <f t="shared" si="1"/>
        <v>0.36548798489089962</v>
      </c>
      <c r="I22" s="60">
        <f>IF(Table2[[#This Row],[Culture]]=0,0,LOG(Table2[[#This Row],[Culture]]))</f>
        <v>2.7552394576339081</v>
      </c>
      <c r="J22" s="60">
        <f>LOG(1+Table2[[#This Row],[S&amp;P]])</f>
        <v>-4.0958607678906384E-2</v>
      </c>
      <c r="K22" s="50">
        <v>1.3617278360175928</v>
      </c>
      <c r="L22" s="50">
        <v>87.2</v>
      </c>
      <c r="M22" s="50">
        <f t="shared" si="2"/>
        <v>1.9405164849325673</v>
      </c>
      <c r="N22" s="62">
        <v>42.5</v>
      </c>
      <c r="O22" s="62">
        <f t="shared" si="3"/>
        <v>1.6283889300503116</v>
      </c>
      <c r="P22" s="63">
        <v>52.565521078007201</v>
      </c>
      <c r="Q22" s="63">
        <f t="shared" si="4"/>
        <v>1.7207009738992591</v>
      </c>
      <c r="R22" s="50">
        <f>LOG(Table2[[#This Row],[generalist]])</f>
        <v>3.2555397552391718</v>
      </c>
      <c r="S22" s="50">
        <f>LOG(Table2[[#This Row],[country divers.]])</f>
        <v>3.9251377713585649</v>
      </c>
      <c r="T22" s="50">
        <f>LOG(Table2[[#This Row],[Firm Size]])</f>
        <v>8.6669389672147119</v>
      </c>
      <c r="U22">
        <v>7</v>
      </c>
      <c r="V22" s="137">
        <f t="shared" si="5"/>
        <v>1</v>
      </c>
    </row>
    <row r="23" spans="1:22" x14ac:dyDescent="0.35">
      <c r="A23" s="67" t="s">
        <v>163</v>
      </c>
      <c r="B23" s="52">
        <v>0.35654732351381263</v>
      </c>
      <c r="C23" s="52">
        <v>2.4575342465753423</v>
      </c>
      <c r="D23" s="50">
        <f t="shared" si="0"/>
        <v>0.39049957858761736</v>
      </c>
      <c r="E23" s="52">
        <f>IF(Table2[[#This Row],[Geo Distance]]=0,0,LOG(Table2[[#This Row],[Geo Distance]]))</f>
        <v>2.5349647923946659</v>
      </c>
      <c r="F23" s="52">
        <f>IF(Table2[[#This Row],[Target age]]=0,0,LOG(Table2[[#This Row],[Target age]]))</f>
        <v>1.5440680443502757</v>
      </c>
      <c r="G23" s="65">
        <v>2.3199999999999998</v>
      </c>
      <c r="H23" s="59">
        <f t="shared" si="1"/>
        <v>0.36548798489089962</v>
      </c>
      <c r="I23" s="53">
        <f>IF(Table2[[#This Row],[Culture]]=0,0,LOG(Table2[[#This Row],[Culture]]))</f>
        <v>2.7552394576339081</v>
      </c>
      <c r="J23" s="53">
        <f>LOG(1+Table2[[#This Row],[S&amp;P]])</f>
        <v>9.691001300805642E-2</v>
      </c>
      <c r="K23" s="52">
        <v>1.2787536009528289</v>
      </c>
      <c r="L23" s="52">
        <v>70</v>
      </c>
      <c r="M23" s="50">
        <f t="shared" si="2"/>
        <v>1.8450980400142569</v>
      </c>
      <c r="N23" s="55">
        <v>42.2</v>
      </c>
      <c r="O23" s="62">
        <f t="shared" si="3"/>
        <v>1.6253124509616739</v>
      </c>
      <c r="P23" s="56">
        <v>53.270504198897903</v>
      </c>
      <c r="Q23" s="63">
        <f t="shared" si="4"/>
        <v>1.7264868073491786</v>
      </c>
      <c r="R23" s="52">
        <f>LOG(Table2[[#This Row],[generalist]])</f>
        <v>3.2555397552391718</v>
      </c>
      <c r="S23" s="52">
        <f>LOG(Table2[[#This Row],[country divers.]])</f>
        <v>3.9251377713585649</v>
      </c>
      <c r="T23" s="52">
        <f>LOG(Table2[[#This Row],[Firm Size]])</f>
        <v>8.518513939877888</v>
      </c>
      <c r="U23">
        <v>7</v>
      </c>
      <c r="V23" s="137">
        <f t="shared" si="5"/>
        <v>1</v>
      </c>
    </row>
    <row r="24" spans="1:22" x14ac:dyDescent="0.35">
      <c r="A24" s="49" t="s">
        <v>163</v>
      </c>
      <c r="B24" s="50">
        <v>0.21188535268817776</v>
      </c>
      <c r="C24" s="50">
        <v>5.3780821917808215</v>
      </c>
      <c r="D24" s="50">
        <f t="shared" si="0"/>
        <v>0.73062743514353146</v>
      </c>
      <c r="E24" s="50">
        <f>IF(Table2[[#This Row],[Geo Distance]]=0,0,LOG(Table2[[#This Row],[Geo Distance]]))</f>
        <v>3.7899049019490061</v>
      </c>
      <c r="F24" s="50">
        <f>IF(Table2[[#This Row],[Target age]]=0,0,LOG(Table2[[#This Row],[Target age]]))</f>
        <v>1.3010299956639813</v>
      </c>
      <c r="G24" s="59">
        <v>3.18</v>
      </c>
      <c r="H24" s="59">
        <f t="shared" si="1"/>
        <v>0.50242711998443268</v>
      </c>
      <c r="I24" s="60">
        <f>IF(Table2[[#This Row],[Culture]]=0,0,LOG(Table2[[#This Row],[Culture]]))</f>
        <v>2.7662888869340487</v>
      </c>
      <c r="J24" s="60">
        <f>LOG(1+Table2[[#This Row],[S&amp;P]])</f>
        <v>0.26717172840301384</v>
      </c>
      <c r="K24" s="50">
        <v>1.3617278360175928</v>
      </c>
      <c r="L24" s="50">
        <v>86.3</v>
      </c>
      <c r="M24" s="50">
        <f t="shared" si="2"/>
        <v>1.9360107957152095</v>
      </c>
      <c r="N24" s="62">
        <v>42.1</v>
      </c>
      <c r="O24" s="62">
        <f t="shared" si="3"/>
        <v>1.6242820958356683</v>
      </c>
      <c r="P24" s="63">
        <v>56.8818351627258</v>
      </c>
      <c r="Q24" s="63">
        <f t="shared" si="4"/>
        <v>1.7549735994690439</v>
      </c>
      <c r="R24" s="50">
        <f>LOG(Table2[[#This Row],[generalist]])</f>
        <v>3.0958500844125241</v>
      </c>
      <c r="S24" s="50">
        <f>LOG(Table2[[#This Row],[country divers.]])</f>
        <v>3.5078178355445662</v>
      </c>
      <c r="T24" s="50">
        <f>LOG(Table2[[#This Row],[Firm Size]])</f>
        <v>8.685741738602264</v>
      </c>
      <c r="U24">
        <v>5</v>
      </c>
      <c r="V24" s="137">
        <f t="shared" si="5"/>
        <v>1</v>
      </c>
    </row>
    <row r="25" spans="1:22" x14ac:dyDescent="0.35">
      <c r="A25" s="67" t="s">
        <v>163</v>
      </c>
      <c r="B25" s="52">
        <v>0.35331240742242576</v>
      </c>
      <c r="C25" s="52">
        <v>1.9150684931506849</v>
      </c>
      <c r="D25" s="50">
        <f t="shared" si="0"/>
        <v>0.28218431128920668</v>
      </c>
      <c r="E25" s="52">
        <f>IF(Table2[[#This Row],[Geo Distance]]=0,0,LOG(Table2[[#This Row],[Geo Distance]]))</f>
        <v>3.7899049019490061</v>
      </c>
      <c r="F25" s="52">
        <f>IF(Table2[[#This Row],[Target age]]=0,0,LOG(Table2[[#This Row],[Target age]]))</f>
        <v>0.47712125471966244</v>
      </c>
      <c r="G25" s="65">
        <v>3.18</v>
      </c>
      <c r="H25" s="59">
        <f t="shared" si="1"/>
        <v>0.50242711998443268</v>
      </c>
      <c r="I25" s="53">
        <f>IF(Table2[[#This Row],[Culture]]=0,0,LOG(Table2[[#This Row],[Culture]]))</f>
        <v>2.7662888869340487</v>
      </c>
      <c r="J25" s="53">
        <f>LOG(1+Table2[[#This Row],[S&amp;P]])</f>
        <v>0.1553360374650618</v>
      </c>
      <c r="K25" s="52">
        <v>1.2041199826559248</v>
      </c>
      <c r="L25" s="52">
        <v>70</v>
      </c>
      <c r="M25" s="50">
        <f t="shared" si="2"/>
        <v>1.8450980400142569</v>
      </c>
      <c r="N25" s="55">
        <v>42.2</v>
      </c>
      <c r="O25" s="62">
        <f t="shared" si="3"/>
        <v>1.6253124509616739</v>
      </c>
      <c r="P25" s="56">
        <v>53.270504198897903</v>
      </c>
      <c r="Q25" s="63">
        <f t="shared" si="4"/>
        <v>1.7264868073491786</v>
      </c>
      <c r="R25" s="52">
        <f>LOG(Table2[[#This Row],[generalist]])</f>
        <v>3.0958500844125241</v>
      </c>
      <c r="S25" s="52">
        <f>LOG(Table2[[#This Row],[country divers.]])</f>
        <v>3.5078178355445662</v>
      </c>
      <c r="T25" s="52">
        <f>LOG(Table2[[#This Row],[Firm Size]])</f>
        <v>8.5811860438211411</v>
      </c>
      <c r="U25">
        <v>1</v>
      </c>
      <c r="V25" s="137">
        <f t="shared" si="5"/>
        <v>1</v>
      </c>
    </row>
    <row r="26" spans="1:22" x14ac:dyDescent="0.35">
      <c r="A26" s="49" t="s">
        <v>163</v>
      </c>
      <c r="B26" s="50">
        <v>0.12493873660829993</v>
      </c>
      <c r="C26" s="50">
        <v>3.8767123287671232</v>
      </c>
      <c r="D26" s="50">
        <f t="shared" si="0"/>
        <v>0.58846357540383432</v>
      </c>
      <c r="E26" s="50">
        <f>IF(Table2[[#This Row],[Geo Distance]]=0,0,LOG(Table2[[#This Row],[Geo Distance]]))</f>
        <v>2.5349647923946659</v>
      </c>
      <c r="F26" s="50">
        <f>IF(Table2[[#This Row],[Target age]]=0,0,LOG(Table2[[#This Row],[Target age]]))</f>
        <v>1.7993405494535817</v>
      </c>
      <c r="G26" s="59">
        <v>2.3199999999999998</v>
      </c>
      <c r="H26" s="59">
        <f t="shared" si="1"/>
        <v>0.36548798489089962</v>
      </c>
      <c r="I26" s="60">
        <f>IF(Table2[[#This Row],[Culture]]=0,0,LOG(Table2[[#This Row],[Culture]]))</f>
        <v>2.7552394576339081</v>
      </c>
      <c r="J26" s="60">
        <f>LOG(1+Table2[[#This Row],[S&amp;P]])</f>
        <v>4.5322978786657475E-2</v>
      </c>
      <c r="K26" s="50">
        <v>1.3222192947339193</v>
      </c>
      <c r="L26" s="50">
        <v>70</v>
      </c>
      <c r="M26" s="50">
        <f t="shared" si="2"/>
        <v>1.8450980400142569</v>
      </c>
      <c r="N26" s="62">
        <v>42.4</v>
      </c>
      <c r="O26" s="62">
        <f t="shared" si="3"/>
        <v>1.6273658565927327</v>
      </c>
      <c r="P26" s="63">
        <v>52.795294707427601</v>
      </c>
      <c r="Q26" s="63">
        <f t="shared" si="4"/>
        <v>1.7225952184872551</v>
      </c>
      <c r="R26" s="50">
        <f>LOG(Table2[[#This Row],[generalist]])</f>
        <v>3.2224645332922388</v>
      </c>
      <c r="S26" s="50">
        <f>LOG(Table2[[#This Row],[country divers.]])</f>
        <v>3.707126713924402</v>
      </c>
      <c r="T26" s="50">
        <f>LOG(Table2[[#This Row],[Firm Size]])</f>
        <v>8.4771212547196626</v>
      </c>
      <c r="U26">
        <v>2</v>
      </c>
      <c r="V26" s="137">
        <f t="shared" si="5"/>
        <v>1</v>
      </c>
    </row>
    <row r="27" spans="1:22" x14ac:dyDescent="0.35">
      <c r="A27" s="67" t="s">
        <v>163</v>
      </c>
      <c r="B27" s="52">
        <v>0.18799048235538898</v>
      </c>
      <c r="C27" s="52">
        <v>1.0876712328767124</v>
      </c>
      <c r="D27" s="50">
        <f t="shared" si="0"/>
        <v>3.649764230664039E-2</v>
      </c>
      <c r="E27" s="52">
        <f>IF(Table2[[#This Row],[Geo Distance]]=0,0,LOG(Table2[[#This Row],[Geo Distance]]))</f>
        <v>3.7899049019490061</v>
      </c>
      <c r="F27" s="52">
        <f>IF(Table2[[#This Row],[Target age]]=0,0,LOG(Table2[[#This Row],[Target age]]))</f>
        <v>0.69897000433601886</v>
      </c>
      <c r="G27" s="65">
        <v>3.18</v>
      </c>
      <c r="H27" s="59">
        <f t="shared" si="1"/>
        <v>0.50242711998443268</v>
      </c>
      <c r="I27" s="53">
        <f>IF(Table2[[#This Row],[Culture]]=0,0,LOG(Table2[[#This Row],[Culture]]))</f>
        <v>2.7662888869340487</v>
      </c>
      <c r="J27" s="53">
        <f>LOG(1+Table2[[#This Row],[S&amp;P]])</f>
        <v>4.9218022670181653E-2</v>
      </c>
      <c r="K27" s="52">
        <v>1.146128035678238</v>
      </c>
      <c r="L27" s="52">
        <v>70</v>
      </c>
      <c r="M27" s="50">
        <f t="shared" si="2"/>
        <v>1.8450980400142569</v>
      </c>
      <c r="N27" s="55">
        <v>42.4</v>
      </c>
      <c r="O27" s="62">
        <f t="shared" si="3"/>
        <v>1.6273658565927327</v>
      </c>
      <c r="P27" s="56">
        <v>52.984855215816303</v>
      </c>
      <c r="Q27" s="63">
        <f t="shared" si="4"/>
        <v>1.7241517519382803</v>
      </c>
      <c r="R27" s="52">
        <f>LOG(Table2[[#This Row],[generalist]])</f>
        <v>3.1814248062191788</v>
      </c>
      <c r="S27" s="52">
        <f>LOG(Table2[[#This Row],[country divers.]])</f>
        <v>3.7294207535322617</v>
      </c>
      <c r="T27" s="52">
        <f>LOG(Table2[[#This Row],[Firm Size]])</f>
        <v>7.0791812460476251</v>
      </c>
      <c r="U27">
        <v>4</v>
      </c>
      <c r="V27" s="137">
        <f t="shared" si="5"/>
        <v>1</v>
      </c>
    </row>
    <row r="28" spans="1:22" x14ac:dyDescent="0.35">
      <c r="A28" s="49" t="s">
        <v>163</v>
      </c>
      <c r="B28" s="50">
        <v>0.29130505953668856</v>
      </c>
      <c r="C28" s="50">
        <v>2.6739726027397261</v>
      </c>
      <c r="D28" s="50">
        <f t="shared" si="0"/>
        <v>0.42715695321021713</v>
      </c>
      <c r="E28" s="50">
        <f>IF(Table2[[#This Row],[Geo Distance]]=0,0,LOG(Table2[[#This Row],[Geo Distance]]))</f>
        <v>3.7899049019490061</v>
      </c>
      <c r="F28" s="50">
        <f>IF(Table2[[#This Row],[Target age]]=0,0,LOG(Table2[[#This Row],[Target age]]))</f>
        <v>0.47712125471966244</v>
      </c>
      <c r="G28" s="59">
        <v>3.18</v>
      </c>
      <c r="H28" s="59">
        <f t="shared" si="1"/>
        <v>0.50242711998443268</v>
      </c>
      <c r="I28" s="60">
        <f>IF(Table2[[#This Row],[Culture]]=0,0,LOG(Table2[[#This Row],[Culture]]))</f>
        <v>2.7662888869340487</v>
      </c>
      <c r="J28" s="60">
        <f>LOG(1+Table2[[#This Row],[S&amp;P]])</f>
        <v>0.10037054511756291</v>
      </c>
      <c r="K28" s="50">
        <v>1.3010299956639813</v>
      </c>
      <c r="L28" s="50">
        <v>70</v>
      </c>
      <c r="M28" s="50">
        <f t="shared" si="2"/>
        <v>1.8450980400142569</v>
      </c>
      <c r="N28" s="62">
        <v>42.4</v>
      </c>
      <c r="O28" s="62">
        <f t="shared" si="3"/>
        <v>1.6273658565927327</v>
      </c>
      <c r="P28" s="63">
        <v>52.984855215816303</v>
      </c>
      <c r="Q28" s="63">
        <f t="shared" si="4"/>
        <v>1.7241517519382803</v>
      </c>
      <c r="R28" s="50">
        <f>LOG(Table2[[#This Row],[generalist]])</f>
        <v>3.0962405795987471</v>
      </c>
      <c r="S28" s="50">
        <f>LOG(Table2[[#This Row],[country divers.]])</f>
        <v>3.4010931514437841</v>
      </c>
      <c r="T28" s="50">
        <f>LOG(Table2[[#This Row],[Firm Size]])</f>
        <v>8.6457110479281258</v>
      </c>
      <c r="U28">
        <v>4</v>
      </c>
      <c r="V28" s="137">
        <f t="shared" si="5"/>
        <v>1</v>
      </c>
    </row>
    <row r="29" spans="1:22" x14ac:dyDescent="0.35">
      <c r="A29" s="67" t="s">
        <v>163</v>
      </c>
      <c r="B29" s="52">
        <v>0.18375870000821695</v>
      </c>
      <c r="C29" s="52">
        <v>5.0684931506849313</v>
      </c>
      <c r="D29" s="50">
        <f t="shared" si="0"/>
        <v>0.70487886394653909</v>
      </c>
      <c r="E29" s="52">
        <f>IF(Table2[[#This Row],[Geo Distance]]=0,0,LOG(Table2[[#This Row],[Geo Distance]]))</f>
        <v>3.7899049019490061</v>
      </c>
      <c r="F29" s="52">
        <f>IF(Table2[[#This Row],[Target age]]=0,0,LOG(Table2[[#This Row],[Target age]]))</f>
        <v>1.6532125137753437</v>
      </c>
      <c r="G29" s="65">
        <v>3.18</v>
      </c>
      <c r="H29" s="59">
        <f t="shared" si="1"/>
        <v>0.50242711998443268</v>
      </c>
      <c r="I29" s="53">
        <f>IF(Table2[[#This Row],[Culture]]=0,0,LOG(Table2[[#This Row],[Culture]]))</f>
        <v>2.7662888869340487</v>
      </c>
      <c r="J29" s="53">
        <f>LOG(1+Table2[[#This Row],[S&amp;P]])</f>
        <v>-1.7728766960431602E-2</v>
      </c>
      <c r="K29" s="52">
        <v>1.3617278360175928</v>
      </c>
      <c r="L29" s="52">
        <v>87.2</v>
      </c>
      <c r="M29" s="50">
        <f t="shared" si="2"/>
        <v>1.9405164849325673</v>
      </c>
      <c r="N29" s="55">
        <v>42.5</v>
      </c>
      <c r="O29" s="62">
        <f t="shared" si="3"/>
        <v>1.6283889300503116</v>
      </c>
      <c r="P29" s="56">
        <v>52.565521078007201</v>
      </c>
      <c r="Q29" s="63">
        <f t="shared" si="4"/>
        <v>1.7207009738992591</v>
      </c>
      <c r="R29" s="52">
        <f>LOG(Table2[[#This Row],[generalist]])</f>
        <v>3.0962405795987471</v>
      </c>
      <c r="S29" s="52">
        <f>LOG(Table2[[#This Row],[country divers.]])</f>
        <v>3.4010931514437841</v>
      </c>
      <c r="T29" s="52">
        <f>LOG(Table2[[#This Row],[Firm Size]])</f>
        <v>8.1172712956557636</v>
      </c>
      <c r="U29">
        <v>5</v>
      </c>
      <c r="V29" s="137">
        <f t="shared" si="5"/>
        <v>1</v>
      </c>
    </row>
    <row r="30" spans="1:22" x14ac:dyDescent="0.35">
      <c r="A30" s="49" t="s">
        <v>163</v>
      </c>
      <c r="B30" s="50">
        <v>0.1290946963794577</v>
      </c>
      <c r="C30" s="50">
        <v>5.3287671232876717</v>
      </c>
      <c r="D30" s="50">
        <f t="shared" si="0"/>
        <v>0.72662674120525184</v>
      </c>
      <c r="E30" s="50">
        <f>IF(Table2[[#This Row],[Geo Distance]]=0,0,LOG(Table2[[#This Row],[Geo Distance]]))</f>
        <v>2.5349647923946659</v>
      </c>
      <c r="F30" s="50">
        <f>IF(Table2[[#This Row],[Target age]]=0,0,LOG(Table2[[#This Row],[Target age]]))</f>
        <v>1.0413926851582251</v>
      </c>
      <c r="G30" s="59">
        <v>2.3199999999999998</v>
      </c>
      <c r="H30" s="59">
        <f t="shared" si="1"/>
        <v>0.36548798489089962</v>
      </c>
      <c r="I30" s="60">
        <f>IF(Table2[[#This Row],[Culture]]=0,0,LOG(Table2[[#This Row],[Culture]]))</f>
        <v>2.7552394576339081</v>
      </c>
      <c r="J30" s="60">
        <f>LOG(1+Table2[[#This Row],[S&amp;P]])</f>
        <v>-8.7739243075051505E-3</v>
      </c>
      <c r="K30" s="50">
        <v>0</v>
      </c>
      <c r="L30" s="50">
        <v>87.2</v>
      </c>
      <c r="M30" s="50">
        <f t="shared" si="2"/>
        <v>1.9405164849325673</v>
      </c>
      <c r="N30" s="62">
        <v>42.5</v>
      </c>
      <c r="O30" s="62">
        <f t="shared" si="3"/>
        <v>1.6283889300503116</v>
      </c>
      <c r="P30" s="63">
        <v>52.565521078007201</v>
      </c>
      <c r="Q30" s="63">
        <f t="shared" si="4"/>
        <v>1.7207009738992591</v>
      </c>
      <c r="R30" s="50">
        <f>LOG(Table2[[#This Row],[generalist]])</f>
        <v>3.3209851425446502</v>
      </c>
      <c r="S30" s="50">
        <f>LOG(Table2[[#This Row],[country divers.]])</f>
        <v>3.9950367434689285</v>
      </c>
      <c r="T30" s="50">
        <f>LOG(Table2[[#This Row],[Firm Size]])</f>
        <v>7.8129133566428557</v>
      </c>
      <c r="U30">
        <v>8</v>
      </c>
      <c r="V30" s="137">
        <f t="shared" si="5"/>
        <v>1</v>
      </c>
    </row>
    <row r="31" spans="1:22" x14ac:dyDescent="0.35">
      <c r="A31" s="67" t="s">
        <v>163</v>
      </c>
      <c r="B31" s="52">
        <v>0.27300127206373764</v>
      </c>
      <c r="C31" s="52">
        <v>1.9397260273972603</v>
      </c>
      <c r="D31" s="50">
        <f t="shared" si="0"/>
        <v>0.28774039323329431</v>
      </c>
      <c r="E31" s="52">
        <f>IF(Table2[[#This Row],[Geo Distance]]=0,0,LOG(Table2[[#This Row],[Geo Distance]]))</f>
        <v>2.5349647923946659</v>
      </c>
      <c r="F31" s="52">
        <f>IF(Table2[[#This Row],[Target age]]=0,0,LOG(Table2[[#This Row],[Target age]]))</f>
        <v>1.146128035678238</v>
      </c>
      <c r="G31" s="65">
        <v>2.3199999999999998</v>
      </c>
      <c r="H31" s="59">
        <f t="shared" si="1"/>
        <v>0.36548798489089962</v>
      </c>
      <c r="I31" s="53">
        <f>IF(Table2[[#This Row],[Culture]]=0,0,LOG(Table2[[#This Row],[Culture]]))</f>
        <v>2.7552394576339081</v>
      </c>
      <c r="J31" s="53">
        <f>LOG(1+Table2[[#This Row],[S&amp;P]])</f>
        <v>8.9905111439397931E-2</v>
      </c>
      <c r="K31" s="52">
        <v>0</v>
      </c>
      <c r="L31" s="52">
        <v>70</v>
      </c>
      <c r="M31" s="50">
        <f t="shared" si="2"/>
        <v>1.8450980400142569</v>
      </c>
      <c r="N31" s="55">
        <v>42.9</v>
      </c>
      <c r="O31" s="62">
        <f t="shared" si="3"/>
        <v>1.6324572921847242</v>
      </c>
      <c r="P31" s="56">
        <v>53.2941466273667</v>
      </c>
      <c r="Q31" s="63">
        <f t="shared" si="4"/>
        <v>1.7266795124593939</v>
      </c>
      <c r="R31" s="52">
        <f>LOG(Table2[[#This Row],[generalist]])</f>
        <v>3.3209851425446502</v>
      </c>
      <c r="S31" s="52">
        <f>LOG(Table2[[#This Row],[country divers.]])</f>
        <v>3.9950367434689285</v>
      </c>
      <c r="T31" s="52">
        <f>LOG(Table2[[#This Row],[Firm Size]])</f>
        <v>8.5051499783199063</v>
      </c>
      <c r="U31">
        <v>2</v>
      </c>
      <c r="V31" s="137">
        <f t="shared" si="5"/>
        <v>1</v>
      </c>
    </row>
    <row r="32" spans="1:22" x14ac:dyDescent="0.35">
      <c r="A32" s="49" t="s">
        <v>163</v>
      </c>
      <c r="B32" s="50">
        <v>0.23484811525374724</v>
      </c>
      <c r="C32" s="50">
        <v>2.2547945205479452</v>
      </c>
      <c r="D32" s="50">
        <f t="shared" si="0"/>
        <v>0.35310697075579511</v>
      </c>
      <c r="E32" s="50">
        <f>IF(Table2[[#This Row],[Geo Distance]]=0,0,LOG(Table2[[#This Row],[Geo Distance]]))</f>
        <v>2.5349647923946659</v>
      </c>
      <c r="F32" s="50">
        <f>IF(Table2[[#This Row],[Target age]]=0,0,LOG(Table2[[#This Row],[Target age]]))</f>
        <v>1.8325089127062364</v>
      </c>
      <c r="G32" s="59">
        <v>2.3199999999999998</v>
      </c>
      <c r="H32" s="59">
        <f t="shared" si="1"/>
        <v>0.36548798489089962</v>
      </c>
      <c r="I32" s="60">
        <f>IF(Table2[[#This Row],[Culture]]=0,0,LOG(Table2[[#This Row],[Culture]]))</f>
        <v>2.7552394576339081</v>
      </c>
      <c r="J32" s="60">
        <f>LOG(1+Table2[[#This Row],[S&amp;P]])</f>
        <v>9.691001300805642E-2</v>
      </c>
      <c r="K32" s="50">
        <v>0</v>
      </c>
      <c r="L32" s="50">
        <v>70</v>
      </c>
      <c r="M32" s="50">
        <f t="shared" si="2"/>
        <v>1.8450980400142569</v>
      </c>
      <c r="N32" s="62">
        <v>42.2</v>
      </c>
      <c r="O32" s="62">
        <f t="shared" si="3"/>
        <v>1.6253124509616739</v>
      </c>
      <c r="P32" s="63">
        <v>53.270504198897903</v>
      </c>
      <c r="Q32" s="63">
        <f t="shared" si="4"/>
        <v>1.7264868073491786</v>
      </c>
      <c r="R32" s="50">
        <f>LOG(Table2[[#This Row],[generalist]])</f>
        <v>3.3209851425446502</v>
      </c>
      <c r="S32" s="50">
        <f>LOG(Table2[[#This Row],[country divers.]])</f>
        <v>3.9950367434689285</v>
      </c>
      <c r="T32" s="50">
        <f>LOG(Table2[[#This Row],[Firm Size]])</f>
        <v>8.7160033436347994</v>
      </c>
      <c r="U32">
        <v>5</v>
      </c>
      <c r="V32" s="137">
        <f t="shared" si="5"/>
        <v>1</v>
      </c>
    </row>
    <row r="33" spans="1:22" x14ac:dyDescent="0.35">
      <c r="A33" s="67" t="s">
        <v>163</v>
      </c>
      <c r="B33" s="52">
        <v>0.24303804868629444</v>
      </c>
      <c r="C33" s="52">
        <v>4.7616438356164386</v>
      </c>
      <c r="D33" s="50">
        <f t="shared" si="0"/>
        <v>0.67775690765617302</v>
      </c>
      <c r="E33" s="52">
        <f>IF(Table2[[#This Row],[Geo Distance]]=0,0,LOG(Table2[[#This Row],[Geo Distance]]))</f>
        <v>2.5349647923946659</v>
      </c>
      <c r="F33" s="52">
        <f>IF(Table2[[#This Row],[Target age]]=0,0,LOG(Table2[[#This Row],[Target age]]))</f>
        <v>0.6020599913279624</v>
      </c>
      <c r="G33" s="65">
        <v>2.3199999999999998</v>
      </c>
      <c r="H33" s="59">
        <f t="shared" si="1"/>
        <v>0.36548798489089962</v>
      </c>
      <c r="I33" s="53">
        <f>IF(Table2[[#This Row],[Culture]]=0,0,LOG(Table2[[#This Row],[Culture]]))</f>
        <v>2.7552394576339081</v>
      </c>
      <c r="J33" s="53">
        <f>LOG(1+Table2[[#This Row],[S&amp;P]])</f>
        <v>0.24303804868629444</v>
      </c>
      <c r="K33" s="52">
        <v>1.5185139398778875</v>
      </c>
      <c r="L33" s="52">
        <v>86.3</v>
      </c>
      <c r="M33" s="50">
        <f t="shared" si="2"/>
        <v>1.9360107957152095</v>
      </c>
      <c r="N33" s="55">
        <v>42.1</v>
      </c>
      <c r="O33" s="62">
        <f t="shared" si="3"/>
        <v>1.6242820958356683</v>
      </c>
      <c r="P33" s="56">
        <v>56.8818351627258</v>
      </c>
      <c r="Q33" s="63">
        <f t="shared" si="4"/>
        <v>1.7549735994690439</v>
      </c>
      <c r="R33" s="52">
        <f>LOG(Table2[[#This Row],[generalist]])</f>
        <v>3.0962405795987471</v>
      </c>
      <c r="S33" s="52">
        <f>LOG(Table2[[#This Row],[country divers.]])</f>
        <v>3.4010931514437841</v>
      </c>
      <c r="T33" s="52">
        <f>LOG(Table2[[#This Row],[Firm Size]])</f>
        <v>8.9030899869919438</v>
      </c>
      <c r="U33">
        <v>2</v>
      </c>
      <c r="V33" s="137">
        <f t="shared" si="5"/>
        <v>1</v>
      </c>
    </row>
    <row r="34" spans="1:22" x14ac:dyDescent="0.35">
      <c r="A34" s="49" t="s">
        <v>163</v>
      </c>
      <c r="B34" s="50">
        <v>-0.17270020850490278</v>
      </c>
      <c r="C34" s="50">
        <v>8.5863013698630137</v>
      </c>
      <c r="D34" s="50">
        <f t="shared" si="0"/>
        <v>0.93380612767609661</v>
      </c>
      <c r="E34" s="50">
        <f>IF(Table2[[#This Row],[Geo Distance]]=0,0,LOG(Table2[[#This Row],[Geo Distance]]))</f>
        <v>2.5349647923946659</v>
      </c>
      <c r="F34" s="50">
        <f>IF(Table2[[#This Row],[Target age]]=0,0,LOG(Table2[[#This Row],[Target age]]))</f>
        <v>1.8450980400142569</v>
      </c>
      <c r="G34" s="59">
        <v>2.3199999999999998</v>
      </c>
      <c r="H34" s="59">
        <f t="shared" si="1"/>
        <v>0.36548798489089962</v>
      </c>
      <c r="I34" s="60">
        <f>IF(Table2[[#This Row],[Culture]]=0,0,LOG(Table2[[#This Row],[Culture]]))</f>
        <v>2.7552394576339081</v>
      </c>
      <c r="J34" s="60">
        <f>LOG(1+Table2[[#This Row],[S&amp;P]])</f>
        <v>0.1903316981702915</v>
      </c>
      <c r="K34" s="50">
        <v>1.4471580313422192</v>
      </c>
      <c r="L34" s="50">
        <v>70</v>
      </c>
      <c r="M34" s="50">
        <f t="shared" si="2"/>
        <v>1.8450980400142569</v>
      </c>
      <c r="N34" s="62">
        <v>42.9</v>
      </c>
      <c r="O34" s="62">
        <f t="shared" si="3"/>
        <v>1.6324572921847242</v>
      </c>
      <c r="P34" s="63">
        <v>53.2941466273667</v>
      </c>
      <c r="Q34" s="63">
        <f t="shared" si="4"/>
        <v>1.7266795124593939</v>
      </c>
      <c r="R34" s="50">
        <f>LOG(Table2[[#This Row],[generalist]])</f>
        <v>3.0962405795987471</v>
      </c>
      <c r="S34" s="50">
        <f>LOG(Table2[[#This Row],[country divers.]])</f>
        <v>3.4010931514437841</v>
      </c>
      <c r="T34" s="50">
        <f>LOG(Table2[[#This Row],[Firm Size]])</f>
        <v>8.9508514588885468</v>
      </c>
      <c r="U34">
        <v>5</v>
      </c>
      <c r="V34" s="137">
        <f t="shared" si="5"/>
        <v>1</v>
      </c>
    </row>
    <row r="35" spans="1:22" x14ac:dyDescent="0.35">
      <c r="A35" s="67" t="s">
        <v>163</v>
      </c>
      <c r="B35" s="52">
        <v>3.7937368562579774E-2</v>
      </c>
      <c r="C35" s="52">
        <v>2.1397260273972605</v>
      </c>
      <c r="D35" s="50">
        <f t="shared" si="0"/>
        <v>0.33035816942082569</v>
      </c>
      <c r="E35" s="52">
        <f>IF(Table2[[#This Row],[Geo Distance]]=0,0,LOG(Table2[[#This Row],[Geo Distance]]))</f>
        <v>2.5349647923946659</v>
      </c>
      <c r="F35" s="52">
        <f>IF(Table2[[#This Row],[Target age]]=0,0,LOG(Table2[[#This Row],[Target age]]))</f>
        <v>1.4313637641589874</v>
      </c>
      <c r="G35" s="65">
        <v>2.3199999999999998</v>
      </c>
      <c r="H35" s="59">
        <f t="shared" si="1"/>
        <v>0.36548798489089962</v>
      </c>
      <c r="I35" s="53">
        <f>IF(Table2[[#This Row],[Culture]]=0,0,LOG(Table2[[#This Row],[Culture]]))</f>
        <v>2.7552394576339081</v>
      </c>
      <c r="J35" s="53">
        <f>LOG(1+Table2[[#This Row],[S&amp;P]])</f>
        <v>7.9181246047624818E-2</v>
      </c>
      <c r="K35" s="52">
        <v>1.4313637641589874</v>
      </c>
      <c r="L35" s="52">
        <v>70</v>
      </c>
      <c r="M35" s="50">
        <f t="shared" si="2"/>
        <v>1.8450980400142569</v>
      </c>
      <c r="N35" s="55">
        <v>42.4</v>
      </c>
      <c r="O35" s="62">
        <f t="shared" si="3"/>
        <v>1.6273658565927327</v>
      </c>
      <c r="P35" s="56">
        <v>52.984855215816303</v>
      </c>
      <c r="Q35" s="63">
        <f t="shared" si="4"/>
        <v>1.7241517519382803</v>
      </c>
      <c r="R35" s="52">
        <f>LOG(Table2[[#This Row],[generalist]])</f>
        <v>3.0962405795987471</v>
      </c>
      <c r="S35" s="52">
        <f>LOG(Table2[[#This Row],[country divers.]])</f>
        <v>3.4010931514437841</v>
      </c>
      <c r="T35" s="52">
        <f>LOG(Table2[[#This Row],[Firm Size]])</f>
        <v>8.5276299008713394</v>
      </c>
      <c r="U35">
        <v>4</v>
      </c>
      <c r="V35" s="137">
        <f t="shared" si="5"/>
        <v>1</v>
      </c>
    </row>
    <row r="36" spans="1:22" x14ac:dyDescent="0.35">
      <c r="A36" s="49" t="s">
        <v>163</v>
      </c>
      <c r="B36" s="50">
        <v>9.691001300805642E-2</v>
      </c>
      <c r="C36" s="50">
        <v>3.6630136986301371</v>
      </c>
      <c r="D36" s="50">
        <f t="shared" si="0"/>
        <v>0.56383854280550971</v>
      </c>
      <c r="E36" s="50">
        <f>IF(Table2[[#This Row],[Geo Distance]]=0,0,LOG(Table2[[#This Row],[Geo Distance]]))</f>
        <v>2.5349647923946659</v>
      </c>
      <c r="F36" s="50">
        <f>IF(Table2[[#This Row],[Target age]]=0,0,LOG(Table2[[#This Row],[Target age]]))</f>
        <v>1.8129133566428555</v>
      </c>
      <c r="G36" s="59">
        <v>2.3199999999999998</v>
      </c>
      <c r="H36" s="59">
        <f t="shared" si="1"/>
        <v>0.36548798489089962</v>
      </c>
      <c r="I36" s="60">
        <f>IF(Table2[[#This Row],[Culture]]=0,0,LOG(Table2[[#This Row],[Culture]]))</f>
        <v>2.7552394576339081</v>
      </c>
      <c r="J36" s="60">
        <f>LOG(1+Table2[[#This Row],[S&amp;P]])</f>
        <v>-0.14874165128092473</v>
      </c>
      <c r="K36" s="50">
        <v>1.3617278360175928</v>
      </c>
      <c r="L36" s="50">
        <v>70</v>
      </c>
      <c r="M36" s="50">
        <f t="shared" si="2"/>
        <v>1.8450980400142569</v>
      </c>
      <c r="N36" s="62">
        <v>43.4</v>
      </c>
      <c r="O36" s="62">
        <f t="shared" si="3"/>
        <v>1.6374897295125106</v>
      </c>
      <c r="P36" s="63">
        <v>51.652289181886701</v>
      </c>
      <c r="Q36" s="63">
        <f t="shared" si="4"/>
        <v>1.7130895738136374</v>
      </c>
      <c r="R36" s="50">
        <f>LOG(Table2[[#This Row],[generalist]])</f>
        <v>3.0962405795987471</v>
      </c>
      <c r="S36" s="50">
        <f>LOG(Table2[[#This Row],[country divers.]])</f>
        <v>3.4010931514437841</v>
      </c>
      <c r="T36" s="50">
        <f>LOG(Table2[[#This Row],[Firm Size]])</f>
        <v>8.6190933306267432</v>
      </c>
      <c r="U36">
        <v>5</v>
      </c>
      <c r="V36" s="137">
        <f t="shared" si="5"/>
        <v>1</v>
      </c>
    </row>
    <row r="37" spans="1:22" x14ac:dyDescent="0.35">
      <c r="A37" s="67" t="s">
        <v>163</v>
      </c>
      <c r="B37" s="52">
        <v>0.15348346831020904</v>
      </c>
      <c r="C37" s="52">
        <v>3.6958904109589041</v>
      </c>
      <c r="D37" s="50">
        <f t="shared" si="0"/>
        <v>0.56771908521542958</v>
      </c>
      <c r="E37" s="52">
        <f>IF(Table2[[#This Row],[Geo Distance]]=0,0,LOG(Table2[[#This Row],[Geo Distance]]))</f>
        <v>2.5349647923946659</v>
      </c>
      <c r="F37" s="52">
        <f>IF(Table2[[#This Row],[Target age]]=0,0,LOG(Table2[[#This Row],[Target age]]))</f>
        <v>1.9777236052888478</v>
      </c>
      <c r="G37" s="65">
        <v>2.3199999999999998</v>
      </c>
      <c r="H37" s="59">
        <f t="shared" si="1"/>
        <v>0.36548798489089962</v>
      </c>
      <c r="I37" s="53">
        <f>IF(Table2[[#This Row],[Culture]]=0,0,LOG(Table2[[#This Row],[Culture]]))</f>
        <v>2.7552394576339081</v>
      </c>
      <c r="J37" s="53">
        <f>LOG(1+Table2[[#This Row],[S&amp;P]])</f>
        <v>2.1189299069938092E-2</v>
      </c>
      <c r="K37" s="52">
        <v>1.3222192947339193</v>
      </c>
      <c r="L37" s="52">
        <v>70</v>
      </c>
      <c r="M37" s="50">
        <f t="shared" si="2"/>
        <v>1.8450980400142569</v>
      </c>
      <c r="N37" s="55">
        <v>43.1</v>
      </c>
      <c r="O37" s="62">
        <f t="shared" si="3"/>
        <v>1.6344772701607315</v>
      </c>
      <c r="P37" s="56">
        <v>51.718307112209096</v>
      </c>
      <c r="Q37" s="63">
        <f t="shared" si="4"/>
        <v>1.7136443007431839</v>
      </c>
      <c r="R37" s="52">
        <f>LOG(Table2[[#This Row],[generalist]])</f>
        <v>3.2327651641054547</v>
      </c>
      <c r="S37" s="52">
        <f>LOG(Table2[[#This Row],[country divers.]])</f>
        <v>3.9527244147731087</v>
      </c>
      <c r="T37" s="52">
        <f>LOG(Table2[[#This Row],[Firm Size]])</f>
        <v>8.9637878273455556</v>
      </c>
      <c r="U37">
        <v>7</v>
      </c>
      <c r="V37" s="137">
        <f t="shared" si="5"/>
        <v>1</v>
      </c>
    </row>
    <row r="38" spans="1:22" x14ac:dyDescent="0.35">
      <c r="A38" s="49" t="s">
        <v>163</v>
      </c>
      <c r="B38" s="50">
        <v>0.52287874528033762</v>
      </c>
      <c r="C38" s="50">
        <v>4.7616438356164386</v>
      </c>
      <c r="D38" s="50">
        <f t="shared" si="0"/>
        <v>0.67775690765617302</v>
      </c>
      <c r="E38" s="50">
        <f>IF(Table2[[#This Row],[Geo Distance]]=0,0,LOG(Table2[[#This Row],[Geo Distance]]))</f>
        <v>2.5349647923946659</v>
      </c>
      <c r="F38" s="50">
        <f>IF(Table2[[#This Row],[Target age]]=0,0,LOG(Table2[[#This Row],[Target age]]))</f>
        <v>1.0413926851582251</v>
      </c>
      <c r="G38" s="59">
        <v>2.3199999999999998</v>
      </c>
      <c r="H38" s="59">
        <f t="shared" si="1"/>
        <v>0.36548798489089962</v>
      </c>
      <c r="I38" s="60">
        <f>IF(Table2[[#This Row],[Culture]]=0,0,LOG(Table2[[#This Row],[Culture]]))</f>
        <v>2.7552394576339081</v>
      </c>
      <c r="J38" s="60">
        <f>LOG(1+Table2[[#This Row],[S&amp;P]])</f>
        <v>0.20139712432045145</v>
      </c>
      <c r="K38" s="50">
        <v>1.8864907251724818</v>
      </c>
      <c r="L38" s="50">
        <v>85.6</v>
      </c>
      <c r="M38" s="50">
        <f t="shared" si="2"/>
        <v>1.9324737646771533</v>
      </c>
      <c r="N38" s="62">
        <v>43.3</v>
      </c>
      <c r="O38" s="62">
        <f t="shared" si="3"/>
        <v>1.6364878963533653</v>
      </c>
      <c r="P38" s="63">
        <v>56.2907330998475</v>
      </c>
      <c r="Q38" s="63">
        <f t="shared" si="4"/>
        <v>1.750436904711814</v>
      </c>
      <c r="R38" s="50">
        <f>LOG(Table2[[#This Row],[generalist]])</f>
        <v>3.3314213062933389</v>
      </c>
      <c r="S38" s="50">
        <f>LOG(Table2[[#This Row],[country divers.]])</f>
        <v>3.884802064783424</v>
      </c>
      <c r="T38" s="50">
        <f>LOG(Table2[[#This Row],[Firm Size]])</f>
        <v>8.2552725051033065</v>
      </c>
      <c r="U38">
        <v>9</v>
      </c>
      <c r="V38" s="137">
        <f t="shared" si="5"/>
        <v>1</v>
      </c>
    </row>
    <row r="39" spans="1:22" x14ac:dyDescent="0.35">
      <c r="A39" s="67" t="s">
        <v>163</v>
      </c>
      <c r="B39" s="52">
        <v>0.3010299956639812</v>
      </c>
      <c r="C39" s="52">
        <v>2.5013698630136987</v>
      </c>
      <c r="D39" s="50">
        <f t="shared" si="0"/>
        <v>0.39817791307782424</v>
      </c>
      <c r="E39" s="52">
        <f>IF(Table2[[#This Row],[Geo Distance]]=0,0,LOG(Table2[[#This Row],[Geo Distance]]))</f>
        <v>2.5349647923946659</v>
      </c>
      <c r="F39" s="52">
        <f>IF(Table2[[#This Row],[Target age]]=0,0,LOG(Table2[[#This Row],[Target age]]))</f>
        <v>0</v>
      </c>
      <c r="G39" s="65">
        <v>2.3199999999999998</v>
      </c>
      <c r="H39" s="59">
        <f t="shared" si="1"/>
        <v>0.36548798489089962</v>
      </c>
      <c r="I39" s="53">
        <f>IF(Table2[[#This Row],[Culture]]=0,0,LOG(Table2[[#This Row],[Culture]]))</f>
        <v>2.7552394576339081</v>
      </c>
      <c r="J39" s="53">
        <f>LOG(1+Table2[[#This Row],[S&amp;P]])</f>
        <v>2.9383777685209667E-2</v>
      </c>
      <c r="K39" s="52">
        <v>1.8512583487190752</v>
      </c>
      <c r="L39" s="52">
        <v>70</v>
      </c>
      <c r="M39" s="50">
        <f t="shared" si="2"/>
        <v>1.8450980400142569</v>
      </c>
      <c r="N39" s="55">
        <v>42.9</v>
      </c>
      <c r="O39" s="62">
        <f t="shared" si="3"/>
        <v>1.6324572921847242</v>
      </c>
      <c r="P39" s="56">
        <v>53.2941466273667</v>
      </c>
      <c r="Q39" s="63">
        <f t="shared" si="4"/>
        <v>1.7266795124593939</v>
      </c>
      <c r="R39" s="52">
        <f>LOG(Table2[[#This Row],[generalist]])</f>
        <v>3.3314213062933389</v>
      </c>
      <c r="S39" s="52">
        <f>LOG(Table2[[#This Row],[country divers.]])</f>
        <v>3.884802064783424</v>
      </c>
      <c r="T39" s="52">
        <f>LOG(Table2[[#This Row],[Firm Size]])</f>
        <v>8.5440680443502757</v>
      </c>
      <c r="U39">
        <v>5</v>
      </c>
      <c r="V39" s="137">
        <f t="shared" si="5"/>
        <v>1</v>
      </c>
    </row>
    <row r="40" spans="1:22" x14ac:dyDescent="0.35">
      <c r="A40" s="49" t="s">
        <v>163</v>
      </c>
      <c r="B40" s="50">
        <v>-0.11350927482751812</v>
      </c>
      <c r="C40" s="50">
        <v>7.8630136986301373</v>
      </c>
      <c r="D40" s="50">
        <f t="shared" si="0"/>
        <v>0.89558903227751763</v>
      </c>
      <c r="E40" s="50">
        <f>IF(Table2[[#This Row],[Geo Distance]]=0,0,LOG(Table2[[#This Row],[Geo Distance]]))</f>
        <v>2.5349647923946659</v>
      </c>
      <c r="F40" s="50">
        <f>IF(Table2[[#This Row],[Target age]]=0,0,LOG(Table2[[#This Row],[Target age]]))</f>
        <v>1.3222192947339193</v>
      </c>
      <c r="G40" s="59">
        <v>2.3199999999999998</v>
      </c>
      <c r="H40" s="59">
        <f t="shared" si="1"/>
        <v>0.36548798489089962</v>
      </c>
      <c r="I40" s="60">
        <f>IF(Table2[[#This Row],[Culture]]=0,0,LOG(Table2[[#This Row],[Culture]]))</f>
        <v>2.7552394576339081</v>
      </c>
      <c r="J40" s="60">
        <f>LOG(1+Table2[[#This Row],[S&amp;P]])</f>
        <v>0.13987908640123647</v>
      </c>
      <c r="K40" s="50">
        <v>1.8512583487190752</v>
      </c>
      <c r="L40" s="50">
        <v>70</v>
      </c>
      <c r="M40" s="50">
        <f t="shared" si="2"/>
        <v>1.8450980400142569</v>
      </c>
      <c r="N40" s="62">
        <v>42.9</v>
      </c>
      <c r="O40" s="62">
        <f t="shared" si="3"/>
        <v>1.6324572921847242</v>
      </c>
      <c r="P40" s="63">
        <v>53.2941466273667</v>
      </c>
      <c r="Q40" s="63">
        <f t="shared" si="4"/>
        <v>1.7266795124593939</v>
      </c>
      <c r="R40" s="50">
        <f>LOG(Table2[[#This Row],[generalist]])</f>
        <v>3.3314213062933389</v>
      </c>
      <c r="S40" s="50">
        <f>LOG(Table2[[#This Row],[country divers.]])</f>
        <v>3.884802064783424</v>
      </c>
      <c r="T40" s="50">
        <f>LOG(Table2[[#This Row],[Firm Size]])</f>
        <v>8.6989700043360187</v>
      </c>
      <c r="U40">
        <v>5</v>
      </c>
      <c r="V40" s="137">
        <f t="shared" si="5"/>
        <v>1</v>
      </c>
    </row>
    <row r="41" spans="1:22" x14ac:dyDescent="0.35">
      <c r="A41" s="67" t="s">
        <v>163</v>
      </c>
      <c r="B41" s="52">
        <v>-1.6751726094119797E-2</v>
      </c>
      <c r="C41" s="52">
        <v>12.304109589041095</v>
      </c>
      <c r="D41" s="50">
        <f t="shared" si="0"/>
        <v>1.0900501906062401</v>
      </c>
      <c r="E41" s="52">
        <f>IF(Table2[[#This Row],[Geo Distance]]=0,0,LOG(Table2[[#This Row],[Geo Distance]]))</f>
        <v>2.5349647923946659</v>
      </c>
      <c r="F41" s="52">
        <f>IF(Table2[[#This Row],[Target age]]=0,0,LOG(Table2[[#This Row],[Target age]]))</f>
        <v>1.4313637641589874</v>
      </c>
      <c r="G41" s="65">
        <v>2.3199999999999998</v>
      </c>
      <c r="H41" s="59">
        <f t="shared" si="1"/>
        <v>0.36548798489089962</v>
      </c>
      <c r="I41" s="53">
        <f>IF(Table2[[#This Row],[Culture]]=0,0,LOG(Table2[[#This Row],[Culture]]))</f>
        <v>2.7552394576339081</v>
      </c>
      <c r="J41" s="53">
        <f>LOG(1+Table2[[#This Row],[S&amp;P]])</f>
        <v>0.36548798489089973</v>
      </c>
      <c r="K41" s="52">
        <v>1.8325089127062364</v>
      </c>
      <c r="L41" s="52">
        <v>70</v>
      </c>
      <c r="M41" s="50">
        <f t="shared" si="2"/>
        <v>1.8450980400142569</v>
      </c>
      <c r="N41" s="55">
        <v>42.4</v>
      </c>
      <c r="O41" s="62">
        <f t="shared" si="3"/>
        <v>1.6273658565927327</v>
      </c>
      <c r="P41" s="56">
        <v>52.795294707427601</v>
      </c>
      <c r="Q41" s="63">
        <f t="shared" si="4"/>
        <v>1.7225952184872551</v>
      </c>
      <c r="R41" s="52">
        <f>LOG(Table2[[#This Row],[generalist]])</f>
        <v>3.3314213062933389</v>
      </c>
      <c r="S41" s="52">
        <f>LOG(Table2[[#This Row],[country divers.]])</f>
        <v>3.884802064783424</v>
      </c>
      <c r="T41" s="52">
        <f>LOG(Table2[[#This Row],[Firm Size]])</f>
        <v>9.568201724066995</v>
      </c>
      <c r="U41">
        <v>4</v>
      </c>
      <c r="V41" s="137">
        <f t="shared" si="5"/>
        <v>1</v>
      </c>
    </row>
    <row r="42" spans="1:22" x14ac:dyDescent="0.35">
      <c r="A42" s="49" t="s">
        <v>163</v>
      </c>
      <c r="B42" s="50">
        <v>0.16287088965701854</v>
      </c>
      <c r="C42" s="50">
        <v>5.6328767123287671</v>
      </c>
      <c r="D42" s="50">
        <f t="shared" si="0"/>
        <v>0.7507302458667634</v>
      </c>
      <c r="E42" s="50">
        <f>IF(Table2[[#This Row],[Geo Distance]]=0,0,LOG(Table2[[#This Row],[Geo Distance]]))</f>
        <v>2.5349647923946659</v>
      </c>
      <c r="F42" s="50">
        <f>IF(Table2[[#This Row],[Target age]]=0,0,LOG(Table2[[#This Row],[Target age]]))</f>
        <v>1.0791812460476249</v>
      </c>
      <c r="G42" s="59">
        <v>2.3199999999999998</v>
      </c>
      <c r="H42" s="59">
        <f t="shared" si="1"/>
        <v>0.36548798489089962</v>
      </c>
      <c r="I42" s="60">
        <f>IF(Table2[[#This Row],[Culture]]=0,0,LOG(Table2[[#This Row],[Culture]]))</f>
        <v>2.7552394576339081</v>
      </c>
      <c r="J42" s="60">
        <f>LOG(1+Table2[[#This Row],[S&amp;P]])</f>
        <v>5.6904851336472641E-2</v>
      </c>
      <c r="K42" s="50">
        <v>1.8260748027008264</v>
      </c>
      <c r="L42" s="50">
        <v>70</v>
      </c>
      <c r="M42" s="50">
        <f t="shared" si="2"/>
        <v>1.8450980400142569</v>
      </c>
      <c r="N42" s="62">
        <v>43.1</v>
      </c>
      <c r="O42" s="62">
        <f t="shared" si="3"/>
        <v>1.6344772701607315</v>
      </c>
      <c r="P42" s="63">
        <v>51.718307112209096</v>
      </c>
      <c r="Q42" s="63">
        <f t="shared" si="4"/>
        <v>1.7136443007431839</v>
      </c>
      <c r="R42" s="50">
        <f>LOG(Table2[[#This Row],[generalist]])</f>
        <v>3.3314213062933389</v>
      </c>
      <c r="S42" s="50">
        <f>LOG(Table2[[#This Row],[country divers.]])</f>
        <v>3.884802064783424</v>
      </c>
      <c r="T42" s="50">
        <f>LOG(Table2[[#This Row],[Firm Size]])</f>
        <v>8.8785217955012072</v>
      </c>
      <c r="U42">
        <v>1</v>
      </c>
      <c r="V42" s="137">
        <f t="shared" si="5"/>
        <v>1</v>
      </c>
    </row>
    <row r="43" spans="1:22" x14ac:dyDescent="0.35">
      <c r="A43" s="67" t="s">
        <v>163</v>
      </c>
      <c r="B43" s="52">
        <v>4.0163924050212831E-2</v>
      </c>
      <c r="C43" s="52">
        <v>3.0547945205479454</v>
      </c>
      <c r="D43" s="50">
        <f t="shared" si="0"/>
        <v>0.48498200292770483</v>
      </c>
      <c r="E43" s="52">
        <f>IF(Table2[[#This Row],[Geo Distance]]=0,0,LOG(Table2[[#This Row],[Geo Distance]]))</f>
        <v>3.12763276090452</v>
      </c>
      <c r="F43" s="52">
        <f>IF(Table2[[#This Row],[Target age]]=0,0,LOG(Table2[[#This Row],[Target age]]))</f>
        <v>2.2764618041732443</v>
      </c>
      <c r="G43" s="65">
        <v>2.93</v>
      </c>
      <c r="H43" s="59">
        <f t="shared" si="1"/>
        <v>0.4668676203541095</v>
      </c>
      <c r="I43" s="53">
        <f>IF(Table2[[#This Row],[Culture]]=0,0,LOG(Table2[[#This Row],[Culture]]))</f>
        <v>2.3053513694466239</v>
      </c>
      <c r="J43" s="53">
        <f>LOG(1+Table2[[#This Row],[S&amp;P]])</f>
        <v>-4.5757490560675115E-2</v>
      </c>
      <c r="K43" s="52">
        <v>1.0791812460476249</v>
      </c>
      <c r="L43" s="52">
        <v>70</v>
      </c>
      <c r="M43" s="50">
        <f t="shared" si="2"/>
        <v>1.8450980400142569</v>
      </c>
      <c r="N43" s="55">
        <v>43.1</v>
      </c>
      <c r="O43" s="62">
        <f t="shared" si="3"/>
        <v>1.6344772701607315</v>
      </c>
      <c r="P43" s="56">
        <v>51.718307112209096</v>
      </c>
      <c r="Q43" s="63">
        <f t="shared" si="4"/>
        <v>1.7136443007431839</v>
      </c>
      <c r="R43" s="52">
        <f>LOG(Table2[[#This Row],[generalist]])</f>
        <v>3.277819633965128</v>
      </c>
      <c r="S43" s="52">
        <f>LOG(Table2[[#This Row],[country divers.]])</f>
        <v>3.9304083853612104</v>
      </c>
      <c r="T43" s="52">
        <f>LOG(Table2[[#This Row],[Firm Size]])</f>
        <v>8.4369573306694488</v>
      </c>
      <c r="U43">
        <v>1</v>
      </c>
      <c r="V43" s="137">
        <f t="shared" si="5"/>
        <v>1</v>
      </c>
    </row>
    <row r="44" spans="1:22" x14ac:dyDescent="0.35">
      <c r="A44" s="49" t="s">
        <v>163</v>
      </c>
      <c r="B44" s="50">
        <v>0.3997785728774681</v>
      </c>
      <c r="C44" s="50">
        <v>6.3342465753424655</v>
      </c>
      <c r="D44" s="50">
        <f t="shared" si="0"/>
        <v>0.80169496529201667</v>
      </c>
      <c r="E44" s="50">
        <f>IF(Table2[[#This Row],[Geo Distance]]=0,0,LOG(Table2[[#This Row],[Geo Distance]]))</f>
        <v>3.7899049019490061</v>
      </c>
      <c r="F44" s="50">
        <f>IF(Table2[[#This Row],[Target age]]=0,0,LOG(Table2[[#This Row],[Target age]]))</f>
        <v>0</v>
      </c>
      <c r="G44" s="59">
        <v>3.18</v>
      </c>
      <c r="H44" s="59">
        <f t="shared" si="1"/>
        <v>0.50242711998443268</v>
      </c>
      <c r="I44" s="60">
        <f>IF(Table2[[#This Row],[Culture]]=0,0,LOG(Table2[[#This Row],[Culture]]))</f>
        <v>2.7662888869340487</v>
      </c>
      <c r="J44" s="60">
        <f>LOG(1+Table2[[#This Row],[S&amp;P]])</f>
        <v>0.16731733474817609</v>
      </c>
      <c r="K44" s="50">
        <v>1.3222192947339193</v>
      </c>
      <c r="L44" s="50">
        <v>88</v>
      </c>
      <c r="M44" s="50">
        <f t="shared" si="2"/>
        <v>1.9444826721501687</v>
      </c>
      <c r="N44" s="62">
        <v>42.3</v>
      </c>
      <c r="O44" s="62">
        <f t="shared" si="3"/>
        <v>1.6263403673750423</v>
      </c>
      <c r="P44" s="63">
        <v>53.296308937050199</v>
      </c>
      <c r="Q44" s="63">
        <f t="shared" si="4"/>
        <v>1.7266971327830685</v>
      </c>
      <c r="R44" s="50">
        <f>LOG(Table2[[#This Row],[generalist]])</f>
        <v>3.0958500844125241</v>
      </c>
      <c r="S44" s="50">
        <f>LOG(Table2[[#This Row],[country divers.]])</f>
        <v>3.5078178355445662</v>
      </c>
      <c r="T44" s="50">
        <f>LOG(Table2[[#This Row],[Firm Size]])</f>
        <v>9.2345172835126874</v>
      </c>
      <c r="U44">
        <v>4</v>
      </c>
      <c r="V44" s="137">
        <f t="shared" si="5"/>
        <v>1</v>
      </c>
    </row>
    <row r="45" spans="1:22" x14ac:dyDescent="0.35">
      <c r="A45" s="67" t="s">
        <v>163</v>
      </c>
      <c r="B45" s="52">
        <v>0.40173416723661265</v>
      </c>
      <c r="C45" s="52">
        <v>4.7287671232876711</v>
      </c>
      <c r="D45" s="50">
        <f t="shared" si="0"/>
        <v>0.67474792692271612</v>
      </c>
      <c r="E45" s="52">
        <f>IF(Table2[[#This Row],[Geo Distance]]=0,0,LOG(Table2[[#This Row],[Geo Distance]]))</f>
        <v>3.7899049019490061</v>
      </c>
      <c r="F45" s="52">
        <f>IF(Table2[[#This Row],[Target age]]=0,0,LOG(Table2[[#This Row],[Target age]]))</f>
        <v>1.4471580313422192</v>
      </c>
      <c r="G45" s="65">
        <v>3.18</v>
      </c>
      <c r="H45" s="59">
        <f t="shared" si="1"/>
        <v>0.50242711998443268</v>
      </c>
      <c r="I45" s="53">
        <f>IF(Table2[[#This Row],[Culture]]=0,0,LOG(Table2[[#This Row],[Culture]]))</f>
        <v>2.7662888869340487</v>
      </c>
      <c r="J45" s="53">
        <f>LOG(1+Table2[[#This Row],[S&amp;P]])</f>
        <v>-2.6872146400301365E-2</v>
      </c>
      <c r="K45" s="52">
        <v>1.2787536009528289</v>
      </c>
      <c r="L45" s="52">
        <v>88</v>
      </c>
      <c r="M45" s="50">
        <f t="shared" si="2"/>
        <v>1.9444826721501687</v>
      </c>
      <c r="N45" s="55">
        <v>43.3</v>
      </c>
      <c r="O45" s="62">
        <f t="shared" si="3"/>
        <v>1.6364878963533653</v>
      </c>
      <c r="P45" s="56">
        <v>52.875711995394298</v>
      </c>
      <c r="Q45" s="63">
        <f t="shared" si="4"/>
        <v>1.7232562283942385</v>
      </c>
      <c r="R45" s="52">
        <f>LOG(Table2[[#This Row],[generalist]])</f>
        <v>3.0958500844125241</v>
      </c>
      <c r="S45" s="52">
        <f>LOG(Table2[[#This Row],[country divers.]])</f>
        <v>3.5078178355445662</v>
      </c>
      <c r="T45" s="52">
        <f>LOG(Table2[[#This Row],[Firm Size]])</f>
        <v>8.4222778761641806</v>
      </c>
      <c r="U45">
        <v>8</v>
      </c>
      <c r="V45" s="137">
        <f t="shared" si="5"/>
        <v>1</v>
      </c>
    </row>
    <row r="46" spans="1:22" x14ac:dyDescent="0.35">
      <c r="A46" s="49" t="s">
        <v>163</v>
      </c>
      <c r="B46" s="50">
        <v>0.29178099986126038</v>
      </c>
      <c r="C46" s="50">
        <v>2.3534246575342466</v>
      </c>
      <c r="D46" s="50">
        <f t="shared" si="0"/>
        <v>0.37170029937476762</v>
      </c>
      <c r="E46" s="50">
        <f>IF(Table2[[#This Row],[Geo Distance]]=0,0,LOG(Table2[[#This Row],[Geo Distance]]))</f>
        <v>3.7899049019490061</v>
      </c>
      <c r="F46" s="50">
        <f>IF(Table2[[#This Row],[Target age]]=0,0,LOG(Table2[[#This Row],[Target age]]))</f>
        <v>1.8808135922807914</v>
      </c>
      <c r="G46" s="59">
        <v>3.18</v>
      </c>
      <c r="H46" s="59">
        <f t="shared" si="1"/>
        <v>0.50242711998443268</v>
      </c>
      <c r="I46" s="60">
        <f>IF(Table2[[#This Row],[Culture]]=0,0,LOG(Table2[[#This Row],[Culture]]))</f>
        <v>2.7662888869340487</v>
      </c>
      <c r="J46" s="60">
        <f>LOG(1+Table2[[#This Row],[S&amp;P]])</f>
        <v>8.9905111439397931E-2</v>
      </c>
      <c r="K46" s="50">
        <v>1.255272505103306</v>
      </c>
      <c r="L46" s="50">
        <v>70</v>
      </c>
      <c r="M46" s="50">
        <f t="shared" si="2"/>
        <v>1.8450980400142569</v>
      </c>
      <c r="N46" s="62">
        <v>42.9</v>
      </c>
      <c r="O46" s="62">
        <f t="shared" si="3"/>
        <v>1.6324572921847242</v>
      </c>
      <c r="P46" s="63">
        <v>53.2941466273667</v>
      </c>
      <c r="Q46" s="63">
        <f t="shared" si="4"/>
        <v>1.7266795124593939</v>
      </c>
      <c r="R46" s="50">
        <f>LOG(Table2[[#This Row],[generalist]])</f>
        <v>3.0958500844125241</v>
      </c>
      <c r="S46" s="50">
        <f>LOG(Table2[[#This Row],[country divers.]])</f>
        <v>3.5078178355445662</v>
      </c>
      <c r="T46" s="50">
        <f>LOG(Table2[[#This Row],[Firm Size]])</f>
        <v>7.6232492903979008</v>
      </c>
      <c r="U46">
        <v>1</v>
      </c>
      <c r="V46" s="137">
        <f t="shared" si="5"/>
        <v>1</v>
      </c>
    </row>
    <row r="47" spans="1:22" x14ac:dyDescent="0.35">
      <c r="A47" s="67" t="s">
        <v>163</v>
      </c>
      <c r="B47" s="52">
        <v>0.84509804001425681</v>
      </c>
      <c r="C47" s="52">
        <v>3.9178082191780823</v>
      </c>
      <c r="D47" s="50">
        <f t="shared" si="0"/>
        <v>0.59304317300858711</v>
      </c>
      <c r="E47" s="52">
        <f>IF(Table2[[#This Row],[Geo Distance]]=0,0,LOG(Table2[[#This Row],[Geo Distance]]))</f>
        <v>3.7899049019490061</v>
      </c>
      <c r="F47" s="52">
        <f>IF(Table2[[#This Row],[Target age]]=0,0,LOG(Table2[[#This Row],[Target age]]))</f>
        <v>0</v>
      </c>
      <c r="G47" s="65">
        <v>3.18</v>
      </c>
      <c r="H47" s="59">
        <f t="shared" si="1"/>
        <v>0.50242711998443268</v>
      </c>
      <c r="I47" s="53">
        <f>IF(Table2[[#This Row],[Culture]]=0,0,LOG(Table2[[#This Row],[Culture]]))</f>
        <v>2.7662888869340487</v>
      </c>
      <c r="J47" s="53">
        <f>LOG(1+Table2[[#This Row],[S&amp;P]])</f>
        <v>-0.10790539730951958</v>
      </c>
      <c r="K47" s="52">
        <v>1.1139433523068367</v>
      </c>
      <c r="L47" s="52">
        <v>70</v>
      </c>
      <c r="M47" s="50">
        <f t="shared" si="2"/>
        <v>1.8450980400142569</v>
      </c>
      <c r="N47" s="55">
        <v>43.4</v>
      </c>
      <c r="O47" s="62">
        <f t="shared" si="3"/>
        <v>1.6374897295125106</v>
      </c>
      <c r="P47" s="56">
        <v>51.652289181886701</v>
      </c>
      <c r="Q47" s="63">
        <f t="shared" si="4"/>
        <v>1.7130895738136374</v>
      </c>
      <c r="R47" s="52">
        <f>LOG(Table2[[#This Row],[generalist]])</f>
        <v>3.0958500844125241</v>
      </c>
      <c r="S47" s="52">
        <f>LOG(Table2[[#This Row],[country divers.]])</f>
        <v>3.5078178355445662</v>
      </c>
      <c r="T47" s="52">
        <f>LOG(Table2[[#This Row],[Firm Size]])</f>
        <v>6.8450980400142569</v>
      </c>
      <c r="U47">
        <v>5</v>
      </c>
      <c r="V47" s="137">
        <f t="shared" si="5"/>
        <v>1</v>
      </c>
    </row>
    <row r="48" spans="1:22" x14ac:dyDescent="0.35">
      <c r="A48" s="49" t="s">
        <v>163</v>
      </c>
      <c r="B48" s="50">
        <v>0.12115543630776511</v>
      </c>
      <c r="C48" s="50">
        <v>8.7452054794520553</v>
      </c>
      <c r="D48" s="50">
        <f t="shared" si="0"/>
        <v>0.94177001822221718</v>
      </c>
      <c r="E48" s="50">
        <f>IF(Table2[[#This Row],[Geo Distance]]=0,0,LOG(Table2[[#This Row],[Geo Distance]]))</f>
        <v>3.7899049019490061</v>
      </c>
      <c r="F48" s="50">
        <f>IF(Table2[[#This Row],[Target age]]=0,0,LOG(Table2[[#This Row],[Target age]]))</f>
        <v>1.5440680443502757</v>
      </c>
      <c r="G48" s="59">
        <v>3.18</v>
      </c>
      <c r="H48" s="59">
        <f t="shared" si="1"/>
        <v>0.50242711998443268</v>
      </c>
      <c r="I48" s="60">
        <f>IF(Table2[[#This Row],[Culture]]=0,0,LOG(Table2[[#This Row],[Culture]]))</f>
        <v>2.7662888869340487</v>
      </c>
      <c r="J48" s="60">
        <f>LOG(1+Table2[[#This Row],[S&amp;P]])</f>
        <v>0.12385164096708581</v>
      </c>
      <c r="K48" s="50">
        <v>1.0413926851582251</v>
      </c>
      <c r="L48" s="50">
        <v>85</v>
      </c>
      <c r="M48" s="50">
        <f t="shared" si="2"/>
        <v>1.9294189257142926</v>
      </c>
      <c r="N48" s="62">
        <v>43.5</v>
      </c>
      <c r="O48" s="62">
        <f t="shared" si="3"/>
        <v>1.6384892569546374</v>
      </c>
      <c r="P48" s="63">
        <v>52.924485315438503</v>
      </c>
      <c r="Q48" s="63">
        <f t="shared" si="4"/>
        <v>1.7236566432478624</v>
      </c>
      <c r="R48" s="50">
        <f>LOG(Table2[[#This Row],[generalist]])</f>
        <v>3.0958500844125241</v>
      </c>
      <c r="S48" s="50">
        <f>LOG(Table2[[#This Row],[country divers.]])</f>
        <v>3.5078178355445662</v>
      </c>
      <c r="T48" s="50">
        <f>LOG(Table2[[#This Row],[Firm Size]])</f>
        <v>8.3412425615911907</v>
      </c>
      <c r="U48">
        <v>1</v>
      </c>
      <c r="V48" s="137">
        <f t="shared" si="5"/>
        <v>1</v>
      </c>
    </row>
    <row r="49" spans="1:22" x14ac:dyDescent="0.35">
      <c r="A49" s="67" t="s">
        <v>163</v>
      </c>
      <c r="B49" s="52">
        <v>0.5840226669961831</v>
      </c>
      <c r="C49" s="52">
        <v>3.2301369863013698</v>
      </c>
      <c r="D49" s="50">
        <f t="shared" si="0"/>
        <v>0.50922094063861445</v>
      </c>
      <c r="E49" s="52">
        <f>IF(Table2[[#This Row],[Geo Distance]]=0,0,LOG(Table2[[#This Row],[Geo Distance]]))</f>
        <v>3.7899049019490061</v>
      </c>
      <c r="F49" s="52">
        <f>IF(Table2[[#This Row],[Target age]]=0,0,LOG(Table2[[#This Row],[Target age]]))</f>
        <v>1.3979400086720377</v>
      </c>
      <c r="G49" s="65">
        <v>3.18</v>
      </c>
      <c r="H49" s="59">
        <f t="shared" si="1"/>
        <v>0.50242711998443268</v>
      </c>
      <c r="I49" s="53">
        <f>IF(Table2[[#This Row],[Culture]]=0,0,LOG(Table2[[#This Row],[Culture]]))</f>
        <v>2.7662888869340487</v>
      </c>
      <c r="J49" s="53">
        <f>LOG(1+Table2[[#This Row],[S&amp;P]])</f>
        <v>0.12385164096708581</v>
      </c>
      <c r="K49" s="52">
        <v>1.4623979978989561</v>
      </c>
      <c r="L49" s="52">
        <v>79.900000000000006</v>
      </c>
      <c r="M49" s="50">
        <f t="shared" si="2"/>
        <v>1.9025467793139914</v>
      </c>
      <c r="N49" s="55">
        <v>45.4</v>
      </c>
      <c r="O49" s="62">
        <f t="shared" si="3"/>
        <v>1.657055852857104</v>
      </c>
      <c r="P49" s="56">
        <v>57.213602417008403</v>
      </c>
      <c r="Q49" s="63">
        <f t="shared" si="4"/>
        <v>1.7574992936942306</v>
      </c>
      <c r="R49" s="52">
        <f>LOG(Table2[[#This Row],[generalist]])</f>
        <v>3.3647319918335836</v>
      </c>
      <c r="S49" s="52">
        <f>LOG(Table2[[#This Row],[country divers.]])</f>
        <v>3.568659604598353</v>
      </c>
      <c r="T49" s="52">
        <f>LOG(Table2[[#This Row],[Firm Size]])</f>
        <v>8.6434526764861879</v>
      </c>
      <c r="U49">
        <v>5</v>
      </c>
      <c r="V49" s="137">
        <f t="shared" si="5"/>
        <v>1</v>
      </c>
    </row>
    <row r="50" spans="1:22" x14ac:dyDescent="0.35">
      <c r="A50" s="49" t="s">
        <v>163</v>
      </c>
      <c r="B50" s="50">
        <v>2.1189299069938092E-2</v>
      </c>
      <c r="C50" s="50">
        <v>2.8410958904109589</v>
      </c>
      <c r="D50" s="50">
        <f t="shared" si="0"/>
        <v>0.45348589193256628</v>
      </c>
      <c r="E50" s="50">
        <f>IF(Table2[[#This Row],[Geo Distance]]=0,0,LOG(Table2[[#This Row],[Geo Distance]]))</f>
        <v>2.5349647923946659</v>
      </c>
      <c r="F50" s="50">
        <f>IF(Table2[[#This Row],[Target age]]=0,0,LOG(Table2[[#This Row],[Target age]]))</f>
        <v>1.146128035678238</v>
      </c>
      <c r="G50" s="59">
        <v>2.3199999999999998</v>
      </c>
      <c r="H50" s="59">
        <f t="shared" si="1"/>
        <v>0.36548798489089962</v>
      </c>
      <c r="I50" s="60">
        <f>IF(Table2[[#This Row],[Culture]]=0,0,LOG(Table2[[#This Row],[Culture]]))</f>
        <v>2.7552394576339081</v>
      </c>
      <c r="J50" s="60">
        <f>LOG(1+Table2[[#This Row],[S&amp;P]])</f>
        <v>-0.13076828026902382</v>
      </c>
      <c r="K50" s="50">
        <v>1.2787536009528289</v>
      </c>
      <c r="L50" s="50">
        <v>70</v>
      </c>
      <c r="M50" s="50">
        <f t="shared" si="2"/>
        <v>1.8450980400142569</v>
      </c>
      <c r="N50" s="62">
        <v>43.4</v>
      </c>
      <c r="O50" s="62">
        <f t="shared" si="3"/>
        <v>1.6374897295125106</v>
      </c>
      <c r="P50" s="63">
        <v>51.652289181886701</v>
      </c>
      <c r="Q50" s="63">
        <f t="shared" si="4"/>
        <v>1.7130895738136374</v>
      </c>
      <c r="R50" s="50">
        <f>LOG(Table2[[#This Row],[generalist]])</f>
        <v>3.22246453795844</v>
      </c>
      <c r="S50" s="50">
        <f>LOG(Table2[[#This Row],[country divers.]])</f>
        <v>3.7071267407396937</v>
      </c>
      <c r="T50" s="50">
        <f>LOG(Table2[[#This Row],[Firm Size]])</f>
        <v>8.9030899869919438</v>
      </c>
      <c r="U50">
        <v>8</v>
      </c>
      <c r="V50" s="137">
        <f t="shared" si="5"/>
        <v>1</v>
      </c>
    </row>
    <row r="51" spans="1:22" x14ac:dyDescent="0.35">
      <c r="A51" s="67" t="s">
        <v>163</v>
      </c>
      <c r="B51" s="52">
        <v>-1</v>
      </c>
      <c r="C51" s="52">
        <v>4.183561643835616</v>
      </c>
      <c r="D51" s="50">
        <f t="shared" si="0"/>
        <v>0.62154617259994649</v>
      </c>
      <c r="E51" s="52">
        <f>IF(Table2[[#This Row],[Geo Distance]]=0,0,LOG(Table2[[#This Row],[Geo Distance]]))</f>
        <v>2.5349647923946659</v>
      </c>
      <c r="F51" s="52">
        <f>IF(Table2[[#This Row],[Target age]]=0,0,LOG(Table2[[#This Row],[Target age]]))</f>
        <v>0.95424250943932487</v>
      </c>
      <c r="G51" s="65">
        <v>2.3199999999999998</v>
      </c>
      <c r="H51" s="59">
        <f t="shared" si="1"/>
        <v>0.36548798489089962</v>
      </c>
      <c r="I51" s="53">
        <f>IF(Table2[[#This Row],[Culture]]=0,0,LOG(Table2[[#This Row],[Culture]]))</f>
        <v>2.7552394576339081</v>
      </c>
      <c r="J51" s="53">
        <f>LOG(1+Table2[[#This Row],[S&amp;P]])</f>
        <v>-6.5501548756432285E-2</v>
      </c>
      <c r="K51" s="52">
        <v>1.3802112417116059</v>
      </c>
      <c r="L51" s="52">
        <v>70</v>
      </c>
      <c r="M51" s="50">
        <f t="shared" si="2"/>
        <v>1.8450980400142569</v>
      </c>
      <c r="N51" s="55">
        <v>42.9</v>
      </c>
      <c r="O51" s="62">
        <f t="shared" si="3"/>
        <v>1.6324572921847242</v>
      </c>
      <c r="P51" s="56">
        <v>53.2941466273667</v>
      </c>
      <c r="Q51" s="63">
        <f t="shared" si="4"/>
        <v>1.7266795124593939</v>
      </c>
      <c r="R51" s="52">
        <f>LOG(Table2[[#This Row],[generalist]])</f>
        <v>3.22246453795844</v>
      </c>
      <c r="S51" s="52">
        <f>LOG(Table2[[#This Row],[country divers.]])</f>
        <v>3.7071267407396937</v>
      </c>
      <c r="T51" s="52">
        <f>LOG(Table2[[#This Row],[Firm Size]])</f>
        <v>8.653212513775344</v>
      </c>
      <c r="U51">
        <v>4</v>
      </c>
      <c r="V51" s="137">
        <f t="shared" si="5"/>
        <v>1</v>
      </c>
    </row>
    <row r="52" spans="1:22" x14ac:dyDescent="0.35">
      <c r="A52" s="49" t="s">
        <v>163</v>
      </c>
      <c r="B52" s="50">
        <v>9.8345219325912878E-2</v>
      </c>
      <c r="C52" s="50">
        <v>4.6602739726027398</v>
      </c>
      <c r="D52" s="50">
        <f t="shared" si="0"/>
        <v>0.66841144915609429</v>
      </c>
      <c r="E52" s="50">
        <f>IF(Table2[[#This Row],[Geo Distance]]=0,0,LOG(Table2[[#This Row],[Geo Distance]]))</f>
        <v>2.5349647923946659</v>
      </c>
      <c r="F52" s="50">
        <f>IF(Table2[[#This Row],[Target age]]=0,0,LOG(Table2[[#This Row],[Target age]]))</f>
        <v>0.69897000433601886</v>
      </c>
      <c r="G52" s="59">
        <v>2.3199999999999998</v>
      </c>
      <c r="H52" s="59">
        <f t="shared" si="1"/>
        <v>0.36548798489089962</v>
      </c>
      <c r="I52" s="60">
        <f>IF(Table2[[#This Row],[Culture]]=0,0,LOG(Table2[[#This Row],[Culture]]))</f>
        <v>2.7552394576339081</v>
      </c>
      <c r="J52" s="60">
        <f>LOG(1+Table2[[#This Row],[S&amp;P]])</f>
        <v>0.23299611039215382</v>
      </c>
      <c r="K52" s="50">
        <v>1.3802112417116059</v>
      </c>
      <c r="L52" s="50">
        <v>86.3</v>
      </c>
      <c r="M52" s="50">
        <f t="shared" si="2"/>
        <v>1.9360107957152095</v>
      </c>
      <c r="N52" s="62">
        <v>42.1</v>
      </c>
      <c r="O52" s="62">
        <f t="shared" si="3"/>
        <v>1.6242820958356683</v>
      </c>
      <c r="P52" s="63">
        <v>56.8818351627258</v>
      </c>
      <c r="Q52" s="63">
        <f t="shared" si="4"/>
        <v>1.7549735994690439</v>
      </c>
      <c r="R52" s="50">
        <f>LOG(Table2[[#This Row],[generalist]])</f>
        <v>3.2188271541979425</v>
      </c>
      <c r="S52" s="50">
        <f>LOG(Table2[[#This Row],[country divers.]])</f>
        <v>3.7570584504768405</v>
      </c>
      <c r="T52" s="50">
        <f>LOG(Table2[[#This Row],[Firm Size]])</f>
        <v>8.9065547333100721</v>
      </c>
      <c r="U52">
        <v>7</v>
      </c>
      <c r="V52" s="137">
        <f t="shared" si="5"/>
        <v>1</v>
      </c>
    </row>
    <row r="53" spans="1:22" x14ac:dyDescent="0.35">
      <c r="A53" s="67" t="s">
        <v>163</v>
      </c>
      <c r="B53" s="52">
        <v>5.881996339991695E-2</v>
      </c>
      <c r="C53" s="52">
        <v>6.1479452054794521</v>
      </c>
      <c r="D53" s="50">
        <f t="shared" si="0"/>
        <v>0.78872998812764905</v>
      </c>
      <c r="E53" s="52">
        <f>IF(Table2[[#This Row],[Geo Distance]]=0,0,LOG(Table2[[#This Row],[Geo Distance]]))</f>
        <v>2.5349647923946659</v>
      </c>
      <c r="F53" s="52">
        <f>IF(Table2[[#This Row],[Target age]]=0,0,LOG(Table2[[#This Row],[Target age]]))</f>
        <v>1.9912260756924949</v>
      </c>
      <c r="G53" s="65">
        <v>2.3199999999999998</v>
      </c>
      <c r="H53" s="59">
        <f t="shared" si="1"/>
        <v>0.36548798489089962</v>
      </c>
      <c r="I53" s="53">
        <f>IF(Table2[[#This Row],[Culture]]=0,0,LOG(Table2[[#This Row],[Culture]]))</f>
        <v>2.7552394576339081</v>
      </c>
      <c r="J53" s="53">
        <f>LOG(1+Table2[[#This Row],[S&amp;P]])</f>
        <v>5.3078443483419682E-2</v>
      </c>
      <c r="K53" s="52">
        <v>1.255272505103306</v>
      </c>
      <c r="L53" s="52">
        <v>70</v>
      </c>
      <c r="M53" s="50">
        <f t="shared" si="2"/>
        <v>1.8450980400142569</v>
      </c>
      <c r="N53" s="55">
        <v>42.4</v>
      </c>
      <c r="O53" s="62">
        <f t="shared" si="3"/>
        <v>1.6273658565927327</v>
      </c>
      <c r="P53" s="56">
        <v>52.984855215816303</v>
      </c>
      <c r="Q53" s="63">
        <f t="shared" si="4"/>
        <v>1.7241517519382803</v>
      </c>
      <c r="R53" s="52">
        <f>LOG(Table2[[#This Row],[generalist]])</f>
        <v>3.2188271541979425</v>
      </c>
      <c r="S53" s="52">
        <f>LOG(Table2[[#This Row],[country divers.]])</f>
        <v>3.7570584504768405</v>
      </c>
      <c r="T53" s="52">
        <f>LOG(Table2[[#This Row],[Firm Size]])</f>
        <v>9.1172712956557636</v>
      </c>
      <c r="U53">
        <v>7</v>
      </c>
      <c r="V53" s="137">
        <f t="shared" si="5"/>
        <v>1</v>
      </c>
    </row>
    <row r="54" spans="1:22" x14ac:dyDescent="0.35">
      <c r="A54" s="49" t="s">
        <v>163</v>
      </c>
      <c r="B54" s="50">
        <v>0.32853710717502921</v>
      </c>
      <c r="C54" s="50">
        <v>5.3808219178082188</v>
      </c>
      <c r="D54" s="50">
        <f t="shared" si="0"/>
        <v>0.73084861899445608</v>
      </c>
      <c r="E54" s="50">
        <f>IF(Table2[[#This Row],[Geo Distance]]=0,0,LOG(Table2[[#This Row],[Geo Distance]]))</f>
        <v>2.5349647923946659</v>
      </c>
      <c r="F54" s="50">
        <f>IF(Table2[[#This Row],[Target age]]=0,0,LOG(Table2[[#This Row],[Target age]]))</f>
        <v>1.4471580313422192</v>
      </c>
      <c r="G54" s="59">
        <v>2.3199999999999998</v>
      </c>
      <c r="H54" s="59">
        <f t="shared" si="1"/>
        <v>0.36548798489089962</v>
      </c>
      <c r="I54" s="60">
        <f>IF(Table2[[#This Row],[Culture]]=0,0,LOG(Table2[[#This Row],[Culture]]))</f>
        <v>2.7552394576339081</v>
      </c>
      <c r="J54" s="60">
        <f>LOG(1+Table2[[#This Row],[S&amp;P]])</f>
        <v>5.6904851336472641E-2</v>
      </c>
      <c r="K54" s="50">
        <v>1.0413926851582251</v>
      </c>
      <c r="L54" s="50">
        <v>85</v>
      </c>
      <c r="M54" s="50">
        <f t="shared" si="2"/>
        <v>1.9294189257142926</v>
      </c>
      <c r="N54" s="62">
        <v>43.7</v>
      </c>
      <c r="O54" s="62">
        <f t="shared" si="3"/>
        <v>1.6404814369704219</v>
      </c>
      <c r="P54" s="63">
        <v>54.530673116863902</v>
      </c>
      <c r="Q54" s="63">
        <f t="shared" si="4"/>
        <v>1.7366408585732218</v>
      </c>
      <c r="R54" s="50">
        <f>LOG(Table2[[#This Row],[generalist]])</f>
        <v>3.2188271541979425</v>
      </c>
      <c r="S54" s="50">
        <f>LOG(Table2[[#This Row],[country divers.]])</f>
        <v>3.7570584504768405</v>
      </c>
      <c r="T54" s="50">
        <f>LOG(Table2[[#This Row],[Firm Size]])</f>
        <v>8.8475541518806526</v>
      </c>
      <c r="U54">
        <v>5</v>
      </c>
      <c r="V54" s="137">
        <f t="shared" si="5"/>
        <v>1</v>
      </c>
    </row>
    <row r="55" spans="1:22" x14ac:dyDescent="0.35">
      <c r="A55" s="67" t="s">
        <v>163</v>
      </c>
      <c r="B55" s="52">
        <v>0.33425645256119951</v>
      </c>
      <c r="C55" s="52">
        <v>4.5999999999999996</v>
      </c>
      <c r="D55" s="50">
        <f t="shared" si="0"/>
        <v>0.66275783168157409</v>
      </c>
      <c r="E55" s="52">
        <f>IF(Table2[[#This Row],[Geo Distance]]=0,0,LOG(Table2[[#This Row],[Geo Distance]]))</f>
        <v>2.5349647923946659</v>
      </c>
      <c r="F55" s="52">
        <f>IF(Table2[[#This Row],[Target age]]=0,0,LOG(Table2[[#This Row],[Target age]]))</f>
        <v>1.9030899869919435</v>
      </c>
      <c r="G55" s="65">
        <v>2.3199999999999998</v>
      </c>
      <c r="H55" s="59">
        <f t="shared" si="1"/>
        <v>0.36548798489089962</v>
      </c>
      <c r="I55" s="53">
        <f>IF(Table2[[#This Row],[Culture]]=0,0,LOG(Table2[[#This Row],[Culture]]))</f>
        <v>2.7552394576339081</v>
      </c>
      <c r="J55" s="53">
        <f>LOG(1+Table2[[#This Row],[S&amp;P]])</f>
        <v>-9.1514981121350217E-2</v>
      </c>
      <c r="K55" s="52">
        <v>1.3424226808222062</v>
      </c>
      <c r="L55" s="52">
        <v>87.2</v>
      </c>
      <c r="M55" s="50">
        <f t="shared" si="2"/>
        <v>1.9405164849325673</v>
      </c>
      <c r="N55" s="55">
        <v>42.5</v>
      </c>
      <c r="O55" s="62">
        <f t="shared" si="3"/>
        <v>1.6283889300503116</v>
      </c>
      <c r="P55" s="56">
        <v>52.565521078007201</v>
      </c>
      <c r="Q55" s="63">
        <f t="shared" si="4"/>
        <v>1.7207009738992591</v>
      </c>
      <c r="R55" s="52">
        <f>LOG(Table2[[#This Row],[generalist]])</f>
        <v>3.2699236952309461</v>
      </c>
      <c r="S55" s="52">
        <f>LOG(Table2[[#This Row],[country divers.]])</f>
        <v>3.6984415808994222</v>
      </c>
      <c r="T55" s="52">
        <f>LOG(Table2[[#This Row],[Firm Size]])</f>
        <v>9.0483485639575534</v>
      </c>
      <c r="U55">
        <v>7</v>
      </c>
      <c r="V55" s="137">
        <f t="shared" si="5"/>
        <v>1</v>
      </c>
    </row>
    <row r="56" spans="1:22" x14ac:dyDescent="0.35">
      <c r="A56" s="49" t="s">
        <v>163</v>
      </c>
      <c r="B56" s="50">
        <v>9.4166166872442655E-2</v>
      </c>
      <c r="C56" s="50">
        <v>4.8767123287671232</v>
      </c>
      <c r="D56" s="50">
        <f t="shared" si="0"/>
        <v>0.6881271378524193</v>
      </c>
      <c r="E56" s="50">
        <f>IF(Table2[[#This Row],[Geo Distance]]=0,0,LOG(Table2[[#This Row],[Geo Distance]]))</f>
        <v>2.5349647923946659</v>
      </c>
      <c r="F56" s="50">
        <f>IF(Table2[[#This Row],[Target age]]=0,0,LOG(Table2[[#This Row],[Target age]]))</f>
        <v>1.5910646070264991</v>
      </c>
      <c r="G56" s="59">
        <v>2.3199999999999998</v>
      </c>
      <c r="H56" s="59">
        <f t="shared" si="1"/>
        <v>0.36548798489089962</v>
      </c>
      <c r="I56" s="60">
        <f>IF(Table2[[#This Row],[Culture]]=0,0,LOG(Table2[[#This Row],[Culture]]))</f>
        <v>2.7552394576339081</v>
      </c>
      <c r="J56" s="60">
        <f>LOG(1+Table2[[#This Row],[S&amp;P]])</f>
        <v>0.20139712432045145</v>
      </c>
      <c r="K56" s="50">
        <v>1.4313637641589874</v>
      </c>
      <c r="L56" s="50">
        <v>85.6</v>
      </c>
      <c r="M56" s="50">
        <f t="shared" si="2"/>
        <v>1.9324737646771533</v>
      </c>
      <c r="N56" s="62">
        <v>43.3</v>
      </c>
      <c r="O56" s="62">
        <f t="shared" si="3"/>
        <v>1.6364878963533653</v>
      </c>
      <c r="P56" s="63">
        <v>56.2907330998475</v>
      </c>
      <c r="Q56" s="63">
        <f t="shared" si="4"/>
        <v>1.750436904711814</v>
      </c>
      <c r="R56" s="50">
        <f>LOG(Table2[[#This Row],[generalist]])</f>
        <v>3.25553976325445</v>
      </c>
      <c r="S56" s="50">
        <f>LOG(Table2[[#This Row],[country divers.]])</f>
        <v>3.9251377454872847</v>
      </c>
      <c r="T56" s="50">
        <f>LOG(Table2[[#This Row],[Firm Size]])</f>
        <v>9.2120252035929049</v>
      </c>
      <c r="U56">
        <v>6</v>
      </c>
      <c r="V56" s="137">
        <f t="shared" si="5"/>
        <v>1</v>
      </c>
    </row>
    <row r="57" spans="1:22" x14ac:dyDescent="0.35">
      <c r="A57" s="67" t="s">
        <v>163</v>
      </c>
      <c r="B57" s="52">
        <v>0.24285713034087314</v>
      </c>
      <c r="C57" s="52">
        <v>6.4273972602739722</v>
      </c>
      <c r="D57" s="50">
        <f t="shared" si="0"/>
        <v>0.80803514332303572</v>
      </c>
      <c r="E57" s="52">
        <f>IF(Table2[[#This Row],[Geo Distance]]=0,0,LOG(Table2[[#This Row],[Geo Distance]]))</f>
        <v>2.5349647923946659</v>
      </c>
      <c r="F57" s="52">
        <f>IF(Table2[[#This Row],[Target age]]=0,0,LOG(Table2[[#This Row],[Target age]]))</f>
        <v>1.5185139398778875</v>
      </c>
      <c r="G57" s="65">
        <v>2.3199999999999998</v>
      </c>
      <c r="H57" s="59">
        <f t="shared" si="1"/>
        <v>0.36548798489089962</v>
      </c>
      <c r="I57" s="53">
        <f>IF(Table2[[#This Row],[Culture]]=0,0,LOG(Table2[[#This Row],[Culture]]))</f>
        <v>2.7552394576339081</v>
      </c>
      <c r="J57" s="53">
        <f>LOG(1+Table2[[#This Row],[S&amp;P]])</f>
        <v>6.069784035361165E-2</v>
      </c>
      <c r="K57" s="52">
        <v>1.3617278360175928</v>
      </c>
      <c r="L57" s="52">
        <v>87.2</v>
      </c>
      <c r="M57" s="50">
        <f t="shared" si="2"/>
        <v>1.9405164849325673</v>
      </c>
      <c r="N57" s="55">
        <v>42.5</v>
      </c>
      <c r="O57" s="62">
        <f t="shared" si="3"/>
        <v>1.6283889300503116</v>
      </c>
      <c r="P57" s="56">
        <v>52.565521078007201</v>
      </c>
      <c r="Q57" s="63">
        <f t="shared" si="4"/>
        <v>1.7207009738992591</v>
      </c>
      <c r="R57" s="52">
        <f>LOG(Table2[[#This Row],[generalist]])</f>
        <v>3.25553976325445</v>
      </c>
      <c r="S57" s="52">
        <f>LOG(Table2[[#This Row],[country divers.]])</f>
        <v>3.9251377454872847</v>
      </c>
      <c r="T57" s="52">
        <f>LOG(Table2[[#This Row],[Firm Size]])</f>
        <v>8.5352941200427708</v>
      </c>
      <c r="U57">
        <v>1</v>
      </c>
      <c r="V57" s="137">
        <f t="shared" si="5"/>
        <v>1</v>
      </c>
    </row>
    <row r="58" spans="1:22" x14ac:dyDescent="0.35">
      <c r="A58" s="49" t="s">
        <v>163</v>
      </c>
      <c r="B58" s="50">
        <v>0.23010916470304998</v>
      </c>
      <c r="C58" s="50">
        <v>4.0767123287671234</v>
      </c>
      <c r="D58" s="50">
        <f t="shared" si="0"/>
        <v>0.61031006675338517</v>
      </c>
      <c r="E58" s="50">
        <f>IF(Table2[[#This Row],[Geo Distance]]=0,0,LOG(Table2[[#This Row],[Geo Distance]]))</f>
        <v>2.5349647923946659</v>
      </c>
      <c r="F58" s="50">
        <f>IF(Table2[[#This Row],[Target age]]=0,0,LOG(Table2[[#This Row],[Target age]]))</f>
        <v>1.6020599913279623</v>
      </c>
      <c r="G58" s="59">
        <v>2.3199999999999998</v>
      </c>
      <c r="H58" s="59">
        <f t="shared" si="1"/>
        <v>0.36548798489089962</v>
      </c>
      <c r="I58" s="60">
        <f>IF(Table2[[#This Row],[Culture]]=0,0,LOG(Table2[[#This Row],[Culture]]))</f>
        <v>2.7552394576339081</v>
      </c>
      <c r="J58" s="60">
        <f>LOG(1+Table2[[#This Row],[S&amp;P]])</f>
        <v>-5.0609993355087209E-2</v>
      </c>
      <c r="K58" s="50">
        <v>0.6020599913279624</v>
      </c>
      <c r="L58" s="50">
        <v>70</v>
      </c>
      <c r="M58" s="50">
        <f t="shared" si="2"/>
        <v>1.8450980400142569</v>
      </c>
      <c r="N58" s="62">
        <v>43.4</v>
      </c>
      <c r="O58" s="62">
        <f t="shared" si="3"/>
        <v>1.6374897295125106</v>
      </c>
      <c r="P58" s="63">
        <v>51.652289181886701</v>
      </c>
      <c r="Q58" s="63">
        <f t="shared" si="4"/>
        <v>1.7130895738136374</v>
      </c>
      <c r="R58" s="50">
        <f>LOG(Table2[[#This Row],[generalist]])</f>
        <v>3.25553976325445</v>
      </c>
      <c r="S58" s="50">
        <f>LOG(Table2[[#This Row],[country divers.]])</f>
        <v>3.9251377454872847</v>
      </c>
      <c r="T58" s="50">
        <f>LOG(Table2[[#This Row],[Firm Size]])</f>
        <v>8.4261926928379598</v>
      </c>
      <c r="U58">
        <v>5</v>
      </c>
      <c r="V58" s="137">
        <f t="shared" si="5"/>
        <v>1</v>
      </c>
    </row>
    <row r="59" spans="1:22" x14ac:dyDescent="0.35">
      <c r="A59" s="67" t="s">
        <v>163</v>
      </c>
      <c r="B59" s="52">
        <v>0.35654732351381263</v>
      </c>
      <c r="C59" s="52">
        <v>5.043835616438356</v>
      </c>
      <c r="D59" s="50">
        <f t="shared" si="0"/>
        <v>0.70276092404753998</v>
      </c>
      <c r="E59" s="52">
        <f>IF(Table2[[#This Row],[Geo Distance]]=0,0,LOG(Table2[[#This Row],[Geo Distance]]))</f>
        <v>2.5349647923946659</v>
      </c>
      <c r="F59" s="52">
        <f>IF(Table2[[#This Row],[Target age]]=0,0,LOG(Table2[[#This Row],[Target age]]))</f>
        <v>0.6020599913279624</v>
      </c>
      <c r="G59" s="65">
        <v>2.3199999999999998</v>
      </c>
      <c r="H59" s="59">
        <f t="shared" si="1"/>
        <v>0.36548798489089962</v>
      </c>
      <c r="I59" s="53">
        <f>IF(Table2[[#This Row],[Culture]]=0,0,LOG(Table2[[#This Row],[Culture]]))</f>
        <v>2.7552394576339081</v>
      </c>
      <c r="J59" s="53">
        <f>LOG(1+Table2[[#This Row],[S&amp;P]])</f>
        <v>-9.1514981121350217E-2</v>
      </c>
      <c r="K59" s="52">
        <v>1.1760912590556813</v>
      </c>
      <c r="L59" s="52">
        <v>85</v>
      </c>
      <c r="M59" s="50">
        <f t="shared" si="2"/>
        <v>1.9294189257142926</v>
      </c>
      <c r="N59" s="55">
        <v>44.2</v>
      </c>
      <c r="O59" s="62">
        <f t="shared" si="3"/>
        <v>1.6454222693490919</v>
      </c>
      <c r="P59" s="56">
        <v>52.629944775121203</v>
      </c>
      <c r="Q59" s="63">
        <f t="shared" si="4"/>
        <v>1.7212329143100249</v>
      </c>
      <c r="R59" s="52">
        <f>LOG(Table2[[#This Row],[generalist]])</f>
        <v>3.25553976325445</v>
      </c>
      <c r="S59" s="52">
        <f>LOG(Table2[[#This Row],[country divers.]])</f>
        <v>3.9251377454872847</v>
      </c>
      <c r="T59" s="52">
        <f>LOG(Table2[[#This Row],[Firm Size]])</f>
        <v>7.6434526764861879</v>
      </c>
      <c r="U59">
        <v>5</v>
      </c>
      <c r="V59" s="137">
        <f t="shared" si="5"/>
        <v>1</v>
      </c>
    </row>
    <row r="60" spans="1:22" x14ac:dyDescent="0.35">
      <c r="A60" s="49" t="s">
        <v>163</v>
      </c>
      <c r="B60" s="50">
        <v>0.44715803134221921</v>
      </c>
      <c r="C60" s="50">
        <v>7.0547945205479454</v>
      </c>
      <c r="D60" s="50">
        <f t="shared" si="0"/>
        <v>0.84848436892073509</v>
      </c>
      <c r="E60" s="50">
        <f>IF(Table2[[#This Row],[Geo Distance]]=0,0,LOG(Table2[[#This Row],[Geo Distance]]))</f>
        <v>2.5349647923946659</v>
      </c>
      <c r="F60" s="50">
        <f>IF(Table2[[#This Row],[Target age]]=0,0,LOG(Table2[[#This Row],[Target age]]))</f>
        <v>1.1760912590556813</v>
      </c>
      <c r="G60" s="59">
        <v>2.3199999999999998</v>
      </c>
      <c r="H60" s="59">
        <f t="shared" si="1"/>
        <v>0.36548798489089962</v>
      </c>
      <c r="I60" s="60">
        <f>IF(Table2[[#This Row],[Culture]]=0,0,LOG(Table2[[#This Row],[Culture]]))</f>
        <v>2.7552394576339081</v>
      </c>
      <c r="J60" s="60">
        <f>LOG(1+Table2[[#This Row],[S&amp;P]])</f>
        <v>1.703333929878037E-2</v>
      </c>
      <c r="K60" s="50">
        <v>1.146128035678238</v>
      </c>
      <c r="L60" s="50">
        <v>85</v>
      </c>
      <c r="M60" s="50">
        <f t="shared" si="2"/>
        <v>1.9294189257142926</v>
      </c>
      <c r="N60" s="62">
        <v>43.5</v>
      </c>
      <c r="O60" s="62">
        <f t="shared" si="3"/>
        <v>1.6384892569546374</v>
      </c>
      <c r="P60" s="63">
        <v>52.924485315438503</v>
      </c>
      <c r="Q60" s="63">
        <f t="shared" si="4"/>
        <v>1.7236566432478624</v>
      </c>
      <c r="R60" s="50">
        <f>LOG(Table2[[#This Row],[generalist]])</f>
        <v>3.25553976325445</v>
      </c>
      <c r="S60" s="50">
        <f>LOG(Table2[[#This Row],[country divers.]])</f>
        <v>3.9251377454872847</v>
      </c>
      <c r="T60" s="50">
        <f>LOG(Table2[[#This Row],[Firm Size]])</f>
        <v>7.3979400086720375</v>
      </c>
      <c r="U60">
        <v>4</v>
      </c>
      <c r="V60" s="137">
        <f t="shared" si="5"/>
        <v>1</v>
      </c>
    </row>
    <row r="61" spans="1:22" x14ac:dyDescent="0.35">
      <c r="A61" s="67" t="s">
        <v>163</v>
      </c>
      <c r="B61" s="52">
        <v>0.90884925077842993</v>
      </c>
      <c r="C61" s="52">
        <v>1.6575342465753424</v>
      </c>
      <c r="D61" s="50">
        <f t="shared" si="0"/>
        <v>0.21946251019599416</v>
      </c>
      <c r="E61" s="52">
        <f>IF(Table2[[#This Row],[Geo Distance]]=0,0,LOG(Table2[[#This Row],[Geo Distance]]))</f>
        <v>2.6884643171087279</v>
      </c>
      <c r="F61" s="52">
        <f>IF(Table2[[#This Row],[Target age]]=0,0,LOG(Table2[[#This Row],[Target age]]))</f>
        <v>0.77815125038364363</v>
      </c>
      <c r="G61" s="65">
        <v>3.03</v>
      </c>
      <c r="H61" s="59">
        <f t="shared" si="1"/>
        <v>0.48144262850230496</v>
      </c>
      <c r="I61" s="53">
        <f>IF(Table2[[#This Row],[Culture]]=0,0,LOG(Table2[[#This Row],[Culture]]))</f>
        <v>2.9978230807457256</v>
      </c>
      <c r="J61" s="53">
        <f>LOG(1+Table2[[#This Row],[S&amp;P]])</f>
        <v>-0.25181197299379954</v>
      </c>
      <c r="K61" s="52">
        <v>1.0413926851582251</v>
      </c>
      <c r="L61" s="52">
        <v>87.2</v>
      </c>
      <c r="M61" s="50">
        <f t="shared" si="2"/>
        <v>1.9405164849325673</v>
      </c>
      <c r="N61" s="55">
        <v>42.5</v>
      </c>
      <c r="O61" s="62">
        <f t="shared" si="3"/>
        <v>1.6283889300503116</v>
      </c>
      <c r="P61" s="56">
        <v>52.565521078007201</v>
      </c>
      <c r="Q61" s="63">
        <f t="shared" si="4"/>
        <v>1.7207009738992591</v>
      </c>
      <c r="R61" s="52">
        <f>LOG(Table2[[#This Row],[generalist]])</f>
        <v>3.1532162502154288</v>
      </c>
      <c r="S61" s="52">
        <f>LOG(Table2[[#This Row],[country divers.]])</f>
        <v>3.5175748361336181</v>
      </c>
      <c r="T61" s="52">
        <f>LOG(Table2[[#This Row],[Firm Size]])</f>
        <v>6.8579352647194289</v>
      </c>
      <c r="U61">
        <v>9</v>
      </c>
      <c r="V61" s="137">
        <f t="shared" si="5"/>
        <v>1</v>
      </c>
    </row>
    <row r="62" spans="1:22" x14ac:dyDescent="0.35">
      <c r="A62" s="49" t="s">
        <v>163</v>
      </c>
      <c r="B62" s="50">
        <v>0.36644217422112635</v>
      </c>
      <c r="C62" s="50">
        <v>3.0657534246575344</v>
      </c>
      <c r="D62" s="50">
        <f t="shared" si="0"/>
        <v>0.48653722207187539</v>
      </c>
      <c r="E62" s="50">
        <f>IF(Table2[[#This Row],[Geo Distance]]=0,0,LOG(Table2[[#This Row],[Geo Distance]]))</f>
        <v>3.7899049019490061</v>
      </c>
      <c r="F62" s="50">
        <f>IF(Table2[[#This Row],[Target age]]=0,0,LOG(Table2[[#This Row],[Target age]]))</f>
        <v>1.7708520116421442</v>
      </c>
      <c r="G62" s="59">
        <v>3.18</v>
      </c>
      <c r="H62" s="59">
        <f t="shared" si="1"/>
        <v>0.50242711998443268</v>
      </c>
      <c r="I62" s="60">
        <f>IF(Table2[[#This Row],[Culture]]=0,0,LOG(Table2[[#This Row],[Culture]]))</f>
        <v>2.7662888869340487</v>
      </c>
      <c r="J62" s="60">
        <f>LOG(1+Table2[[#This Row],[S&amp;P]])</f>
        <v>0.14612803567823801</v>
      </c>
      <c r="K62" s="50">
        <v>0.77815125038364363</v>
      </c>
      <c r="L62" s="50">
        <v>70</v>
      </c>
      <c r="M62" s="50">
        <f t="shared" si="2"/>
        <v>1.8450980400142569</v>
      </c>
      <c r="N62" s="62">
        <v>42.4</v>
      </c>
      <c r="O62" s="62">
        <f t="shared" si="3"/>
        <v>1.6273658565927327</v>
      </c>
      <c r="P62" s="63">
        <v>52.984855215816303</v>
      </c>
      <c r="Q62" s="63">
        <f t="shared" si="4"/>
        <v>1.7241517519382803</v>
      </c>
      <c r="R62" s="50">
        <f>LOG(Table2[[#This Row],[generalist]])</f>
        <v>3.7516212028445941</v>
      </c>
      <c r="S62" s="50">
        <f>LOG(Table2[[#This Row],[country divers.]])</f>
        <v>3.677201259573847</v>
      </c>
      <c r="T62" s="50">
        <f>LOG(Table2[[#This Row],[Firm Size]])</f>
        <v>8.385606273598313</v>
      </c>
      <c r="U62">
        <v>8</v>
      </c>
      <c r="V62" s="137">
        <f t="shared" si="5"/>
        <v>1</v>
      </c>
    </row>
    <row r="63" spans="1:22" x14ac:dyDescent="0.35">
      <c r="A63" s="67" t="s">
        <v>163</v>
      </c>
      <c r="B63" s="52">
        <v>0.71556926615548055</v>
      </c>
      <c r="C63" s="52">
        <v>2.6876712328767125</v>
      </c>
      <c r="D63" s="50">
        <f t="shared" si="0"/>
        <v>0.42937614292347381</v>
      </c>
      <c r="E63" s="52">
        <f>IF(Table2[[#This Row],[Geo Distance]]=0,0,LOG(Table2[[#This Row],[Geo Distance]]))</f>
        <v>2.5349647923946659</v>
      </c>
      <c r="F63" s="52">
        <f>IF(Table2[[#This Row],[Target age]]=0,0,LOG(Table2[[#This Row],[Target age]]))</f>
        <v>0</v>
      </c>
      <c r="G63" s="65">
        <v>2.3199999999999998</v>
      </c>
      <c r="H63" s="59">
        <f t="shared" si="1"/>
        <v>0.36548798489089962</v>
      </c>
      <c r="I63" s="53">
        <f>IF(Table2[[#This Row],[Culture]]=0,0,LOG(Table2[[#This Row],[Culture]]))</f>
        <v>2.7552394576339081</v>
      </c>
      <c r="J63" s="53">
        <f>LOG(1+Table2[[#This Row],[S&amp;P]])</f>
        <v>-7.5720713938118356E-2</v>
      </c>
      <c r="K63" s="52">
        <v>1.146128035678238</v>
      </c>
      <c r="L63" s="52">
        <v>85</v>
      </c>
      <c r="M63" s="50">
        <f t="shared" si="2"/>
        <v>1.9294189257142926</v>
      </c>
      <c r="N63" s="55">
        <v>44.2</v>
      </c>
      <c r="O63" s="62">
        <f t="shared" si="3"/>
        <v>1.6454222693490919</v>
      </c>
      <c r="P63" s="56">
        <v>52.629944775121203</v>
      </c>
      <c r="Q63" s="63">
        <f t="shared" si="4"/>
        <v>1.7212329143100249</v>
      </c>
      <c r="R63" s="52">
        <f>LOG(Table2[[#This Row],[generalist]])</f>
        <v>3.3833706119727633</v>
      </c>
      <c r="S63" s="52">
        <f>LOG(Table2[[#This Row],[country divers.]])</f>
        <v>3.9798077985646683</v>
      </c>
      <c r="T63" s="52">
        <f>LOG(Table2[[#This Row],[Firm Size]])</f>
        <v>7.8864907251724823</v>
      </c>
      <c r="U63">
        <v>5</v>
      </c>
      <c r="V63" s="137">
        <f t="shared" si="5"/>
        <v>1</v>
      </c>
    </row>
    <row r="64" spans="1:22" x14ac:dyDescent="0.35">
      <c r="A64" s="49" t="s">
        <v>163</v>
      </c>
      <c r="B64" s="50">
        <v>0.17720340942504884</v>
      </c>
      <c r="C64" s="50">
        <v>7.375342465753425</v>
      </c>
      <c r="D64" s="50">
        <f t="shared" si="0"/>
        <v>0.86778219109546451</v>
      </c>
      <c r="E64" s="50">
        <f>IF(Table2[[#This Row],[Geo Distance]]=0,0,LOG(Table2[[#This Row],[Geo Distance]]))</f>
        <v>2.5349647923946659</v>
      </c>
      <c r="F64" s="50">
        <f>IF(Table2[[#This Row],[Target age]]=0,0,LOG(Table2[[#This Row],[Target age]]))</f>
        <v>1.2304489213782739</v>
      </c>
      <c r="G64" s="59">
        <v>2.3199999999999998</v>
      </c>
      <c r="H64" s="59">
        <f t="shared" si="1"/>
        <v>0.36548798489089962</v>
      </c>
      <c r="I64" s="60">
        <f>IF(Table2[[#This Row],[Culture]]=0,0,LOG(Table2[[#This Row],[Culture]]))</f>
        <v>2.7552394576339081</v>
      </c>
      <c r="J64" s="60">
        <f>LOG(1+Table2[[#This Row],[S&amp;P]])</f>
        <v>2.1189299069938092E-2</v>
      </c>
      <c r="K64" s="50">
        <v>1.1139433523068367</v>
      </c>
      <c r="L64" s="50">
        <v>85</v>
      </c>
      <c r="M64" s="50">
        <f t="shared" si="2"/>
        <v>1.9294189257142926</v>
      </c>
      <c r="N64" s="62">
        <v>43.5</v>
      </c>
      <c r="O64" s="62">
        <f t="shared" si="3"/>
        <v>1.6384892569546374</v>
      </c>
      <c r="P64" s="63">
        <v>52.924485315438503</v>
      </c>
      <c r="Q64" s="63">
        <f t="shared" si="4"/>
        <v>1.7236566432478624</v>
      </c>
      <c r="R64" s="50">
        <f>LOG(Table2[[#This Row],[generalist]])</f>
        <v>3.3833706119727633</v>
      </c>
      <c r="S64" s="50">
        <f>LOG(Table2[[#This Row],[country divers.]])</f>
        <v>3.9798077985646683</v>
      </c>
      <c r="T64" s="50">
        <f>LOG(Table2[[#This Row],[Firm Size]])</f>
        <v>7.8920946026904808</v>
      </c>
      <c r="U64">
        <v>1</v>
      </c>
      <c r="V64" s="137">
        <f t="shared" si="5"/>
        <v>1</v>
      </c>
    </row>
    <row r="65" spans="1:22" x14ac:dyDescent="0.35">
      <c r="A65" s="67" t="s">
        <v>163</v>
      </c>
      <c r="B65" s="52">
        <v>1.0004480078390166</v>
      </c>
      <c r="C65" s="52">
        <v>8.1863013698630134</v>
      </c>
      <c r="D65" s="50">
        <f t="shared" si="0"/>
        <v>0.91308772868688648</v>
      </c>
      <c r="E65" s="52">
        <f>IF(Table2[[#This Row],[Geo Distance]]=0,0,LOG(Table2[[#This Row],[Geo Distance]]))</f>
        <v>2.5349647923946659</v>
      </c>
      <c r="F65" s="52">
        <f>IF(Table2[[#This Row],[Target age]]=0,0,LOG(Table2[[#This Row],[Target age]]))</f>
        <v>0.95424250943932487</v>
      </c>
      <c r="G65" s="65">
        <v>2.3199999999999998</v>
      </c>
      <c r="H65" s="59">
        <f t="shared" si="1"/>
        <v>0.36548798489089962</v>
      </c>
      <c r="I65" s="53">
        <f>IF(Table2[[#This Row],[Culture]]=0,0,LOG(Table2[[#This Row],[Culture]]))</f>
        <v>2.7552394576339081</v>
      </c>
      <c r="J65" s="53">
        <f>LOG(1+Table2[[#This Row],[S&amp;P]])</f>
        <v>0.11727129565576427</v>
      </c>
      <c r="K65" s="52">
        <v>1.2041199826559248</v>
      </c>
      <c r="L65" s="52">
        <v>70</v>
      </c>
      <c r="M65" s="50">
        <f t="shared" si="2"/>
        <v>1.8450980400142569</v>
      </c>
      <c r="N65" s="55">
        <v>42.4</v>
      </c>
      <c r="O65" s="62">
        <f t="shared" si="3"/>
        <v>1.6273658565927327</v>
      </c>
      <c r="P65" s="56">
        <v>52.984855215816303</v>
      </c>
      <c r="Q65" s="63">
        <f t="shared" si="4"/>
        <v>1.7241517519382803</v>
      </c>
      <c r="R65" s="108">
        <f>LOG(Table2[[#This Row],[generalist]])</f>
        <v>3.5347454529897258</v>
      </c>
      <c r="S65" s="108">
        <f>LOG(Table2[[#This Row],[country divers.]])</f>
        <v>3.9695495619878729</v>
      </c>
      <c r="T65" s="52">
        <f>LOG(Table2[[#This Row],[Firm Size]])</f>
        <v>7.8387546686297185</v>
      </c>
      <c r="U65">
        <v>5</v>
      </c>
      <c r="V65" s="137">
        <f t="shared" si="5"/>
        <v>1</v>
      </c>
    </row>
    <row r="66" spans="1:22" x14ac:dyDescent="0.35">
      <c r="A66" s="49" t="s">
        <v>163</v>
      </c>
      <c r="B66" s="50">
        <v>0.27946274375238006</v>
      </c>
      <c r="C66" s="50">
        <v>1.9534246575342467</v>
      </c>
      <c r="D66" s="50">
        <f t="shared" si="0"/>
        <v>0.2907966653953909</v>
      </c>
      <c r="E66" s="50">
        <f>IF(Table2[[#This Row],[Geo Distance]]=0,0,LOG(Table2[[#This Row],[Geo Distance]]))</f>
        <v>2.5349647923946659</v>
      </c>
      <c r="F66" s="50">
        <f>IF(Table2[[#This Row],[Target age]]=0,0,LOG(Table2[[#This Row],[Target age]]))</f>
        <v>1.1139433523068367</v>
      </c>
      <c r="G66" s="59">
        <v>2.3199999999999998</v>
      </c>
      <c r="H66" s="59">
        <f t="shared" si="1"/>
        <v>0.36548798489089962</v>
      </c>
      <c r="I66" s="60">
        <f>IF(Table2[[#This Row],[Culture]]=0,0,LOG(Table2[[#This Row],[Culture]]))</f>
        <v>2.7552394576339081</v>
      </c>
      <c r="J66" s="60">
        <f>LOG(1+Table2[[#This Row],[S&amp;P]])</f>
        <v>9.3421685162235063E-2</v>
      </c>
      <c r="K66" s="50">
        <v>1.1760912590556813</v>
      </c>
      <c r="L66" s="50">
        <v>70</v>
      </c>
      <c r="M66" s="50">
        <f t="shared" si="2"/>
        <v>1.8450980400142569</v>
      </c>
      <c r="N66" s="62">
        <v>42.2</v>
      </c>
      <c r="O66" s="62">
        <f t="shared" si="3"/>
        <v>1.6253124509616739</v>
      </c>
      <c r="P66" s="63">
        <v>53.270504198897903</v>
      </c>
      <c r="Q66" s="63">
        <f t="shared" si="4"/>
        <v>1.7264868073491786</v>
      </c>
      <c r="R66" s="106">
        <f>LOG(Table2[[#This Row],[generalist]])</f>
        <v>3.5347454529897258</v>
      </c>
      <c r="S66" s="106">
        <f>LOG(Table2[[#This Row],[country divers.]])</f>
        <v>3.9695495619878729</v>
      </c>
      <c r="T66" s="50">
        <f>LOG(Table2[[#This Row],[Firm Size]])</f>
        <v>8.1416127992102378</v>
      </c>
      <c r="U66">
        <v>5</v>
      </c>
      <c r="V66" s="137">
        <f t="shared" si="5"/>
        <v>1</v>
      </c>
    </row>
    <row r="67" spans="1:22" x14ac:dyDescent="0.35">
      <c r="A67" s="67" t="s">
        <v>163</v>
      </c>
      <c r="B67" s="52">
        <v>0.63187917377478775</v>
      </c>
      <c r="C67" s="52">
        <v>6.021917808219178</v>
      </c>
      <c r="D67" s="50">
        <f t="shared" ref="D67:D130" si="6">LOG(C67)</f>
        <v>0.779734823630997</v>
      </c>
      <c r="E67" s="52">
        <f>IF(Table2[[#This Row],[Geo Distance]]=0,0,LOG(Table2[[#This Row],[Geo Distance]]))</f>
        <v>2.5349647923946659</v>
      </c>
      <c r="F67" s="52">
        <f>IF(Table2[[#This Row],[Target age]]=0,0,LOG(Table2[[#This Row],[Target age]]))</f>
        <v>2.3891660843645326</v>
      </c>
      <c r="G67" s="65">
        <v>2.3199999999999998</v>
      </c>
      <c r="H67" s="59">
        <f t="shared" ref="H67:H130" si="7">LOG(G67)</f>
        <v>0.36548798489089962</v>
      </c>
      <c r="I67" s="53">
        <f>IF(Table2[[#This Row],[Culture]]=0,0,LOG(Table2[[#This Row],[Culture]]))</f>
        <v>2.7552394576339081</v>
      </c>
      <c r="J67" s="53">
        <f>LOG(1+Table2[[#This Row],[S&amp;P]])</f>
        <v>-7.0581074285707285E-2</v>
      </c>
      <c r="K67" s="52">
        <v>1.0791812460476249</v>
      </c>
      <c r="L67" s="52">
        <v>70</v>
      </c>
      <c r="M67" s="50">
        <f t="shared" ref="M67:M130" si="8">LOG(L67)</f>
        <v>1.8450980400142569</v>
      </c>
      <c r="N67" s="55">
        <v>43.4</v>
      </c>
      <c r="O67" s="62">
        <f t="shared" ref="O67:O130" si="9">LOG(N67)</f>
        <v>1.6374897295125106</v>
      </c>
      <c r="P67" s="56">
        <v>51.652289181886701</v>
      </c>
      <c r="Q67" s="63">
        <f t="shared" ref="Q67:Q130" si="10">LOG(P67)</f>
        <v>1.7130895738136374</v>
      </c>
      <c r="R67" s="108">
        <f>LOG(Table2[[#This Row],[generalist]])</f>
        <v>3.5347454529897258</v>
      </c>
      <c r="S67" s="108">
        <f>LOG(Table2[[#This Row],[country divers.]])</f>
        <v>3.9695495619878729</v>
      </c>
      <c r="T67" s="52">
        <f>LOG(Table2[[#This Row],[Firm Size]])</f>
        <v>8.0824622211686297</v>
      </c>
      <c r="U67">
        <v>7</v>
      </c>
      <c r="V67" s="137">
        <f t="shared" ref="V67:V130" si="11">IF(E67=0,0,1)</f>
        <v>1</v>
      </c>
    </row>
    <row r="68" spans="1:22" x14ac:dyDescent="0.35">
      <c r="A68" s="49" t="s">
        <v>163</v>
      </c>
      <c r="B68" s="50">
        <v>0.8903780214758058</v>
      </c>
      <c r="C68" s="50">
        <v>3.5616438356164384</v>
      </c>
      <c r="D68" s="50">
        <f t="shared" si="6"/>
        <v>0.55165048785036208</v>
      </c>
      <c r="E68" s="50">
        <f>IF(Table2[[#This Row],[Geo Distance]]=0,0,LOG(Table2[[#This Row],[Geo Distance]]))</f>
        <v>2.5349647923946659</v>
      </c>
      <c r="F68" s="50">
        <f>IF(Table2[[#This Row],[Target age]]=0,0,LOG(Table2[[#This Row],[Target age]]))</f>
        <v>0.84509804001425681</v>
      </c>
      <c r="G68" s="59">
        <v>2.3199999999999998</v>
      </c>
      <c r="H68" s="59">
        <f t="shared" si="7"/>
        <v>0.36548798489089962</v>
      </c>
      <c r="I68" s="60">
        <f>IF(Table2[[#This Row],[Culture]]=0,0,LOG(Table2[[#This Row],[Culture]]))</f>
        <v>2.7552394576339081</v>
      </c>
      <c r="J68" s="60">
        <f>LOG(1+Table2[[#This Row],[S&amp;P]])</f>
        <v>0.10720996964786837</v>
      </c>
      <c r="K68" s="50">
        <v>0.95424250943932487</v>
      </c>
      <c r="L68" s="50">
        <v>85</v>
      </c>
      <c r="M68" s="50">
        <f t="shared" si="8"/>
        <v>1.9294189257142926</v>
      </c>
      <c r="N68" s="62">
        <v>43.7</v>
      </c>
      <c r="O68" s="62">
        <f t="shared" si="9"/>
        <v>1.6404814369704219</v>
      </c>
      <c r="P68" s="63">
        <v>54.530673116863902</v>
      </c>
      <c r="Q68" s="63">
        <f t="shared" si="10"/>
        <v>1.7366408585732218</v>
      </c>
      <c r="R68" s="106">
        <f>LOG(Table2[[#This Row],[generalist]])</f>
        <v>3.5347454529897258</v>
      </c>
      <c r="S68" s="106">
        <f>LOG(Table2[[#This Row],[country divers.]])</f>
        <v>3.9695495619878729</v>
      </c>
      <c r="T68" s="50">
        <f>LOG(Table2[[#This Row],[Firm Size]])</f>
        <v>7.1139433523068369</v>
      </c>
      <c r="U68">
        <v>8</v>
      </c>
      <c r="V68" s="137">
        <f t="shared" si="11"/>
        <v>1</v>
      </c>
    </row>
    <row r="69" spans="1:22" x14ac:dyDescent="0.35">
      <c r="A69" s="67" t="s">
        <v>163</v>
      </c>
      <c r="B69" s="52">
        <v>7.9181246047624818E-2</v>
      </c>
      <c r="C69" s="52">
        <v>8.0493150684931507</v>
      </c>
      <c r="D69" s="50">
        <f t="shared" si="6"/>
        <v>0.90575892699776295</v>
      </c>
      <c r="E69" s="52">
        <f>IF(Table2[[#This Row],[Geo Distance]]=0,0,LOG(Table2[[#This Row],[Geo Distance]]))</f>
        <v>3.7899049019490061</v>
      </c>
      <c r="F69" s="52">
        <f>IF(Table2[[#This Row],[Target age]]=0,0,LOG(Table2[[#This Row],[Target age]]))</f>
        <v>0</v>
      </c>
      <c r="G69" s="65">
        <v>3.18</v>
      </c>
      <c r="H69" s="59">
        <f t="shared" si="7"/>
        <v>0.50242711998443268</v>
      </c>
      <c r="I69" s="53">
        <f>IF(Table2[[#This Row],[Culture]]=0,0,LOG(Table2[[#This Row],[Culture]]))</f>
        <v>2.7662888869340487</v>
      </c>
      <c r="J69" s="53">
        <f>LOG(1+Table2[[#This Row],[S&amp;P]])</f>
        <v>0.14921911265537988</v>
      </c>
      <c r="K69" s="52">
        <v>1.2787536009528289</v>
      </c>
      <c r="L69" s="52">
        <v>70</v>
      </c>
      <c r="M69" s="50">
        <f t="shared" si="8"/>
        <v>1.8450980400142569</v>
      </c>
      <c r="N69" s="55">
        <v>42.2</v>
      </c>
      <c r="O69" s="62">
        <f t="shared" si="9"/>
        <v>1.6253124509616739</v>
      </c>
      <c r="P69" s="56">
        <v>53.270504198897903</v>
      </c>
      <c r="Q69" s="63">
        <f t="shared" si="10"/>
        <v>1.7264868073491786</v>
      </c>
      <c r="R69" s="52">
        <f>LOG(Table2[[#This Row],[generalist]])</f>
        <v>3.20911860699078</v>
      </c>
      <c r="S69" s="52">
        <f>LOG(Table2[[#This Row],[country divers.]])</f>
        <v>3.5849986651910224</v>
      </c>
      <c r="T69" s="52">
        <f>LOG(Table2[[#This Row],[Firm Size]])</f>
        <v>8.3010299956639813</v>
      </c>
      <c r="U69">
        <v>8</v>
      </c>
      <c r="V69" s="137">
        <f t="shared" si="11"/>
        <v>1</v>
      </c>
    </row>
    <row r="70" spans="1:22" x14ac:dyDescent="0.35">
      <c r="A70" s="49" t="s">
        <v>163</v>
      </c>
      <c r="B70" s="50">
        <v>0.7355310007604996</v>
      </c>
      <c r="C70" s="50">
        <v>3.3506849315068492</v>
      </c>
      <c r="D70" s="50">
        <f t="shared" si="6"/>
        <v>0.52513359257981074</v>
      </c>
      <c r="E70" s="50">
        <f>IF(Table2[[#This Row],[Geo Distance]]=0,0,LOG(Table2[[#This Row],[Geo Distance]]))</f>
        <v>3.7899049019490061</v>
      </c>
      <c r="F70" s="50">
        <f>IF(Table2[[#This Row],[Target age]]=0,0,LOG(Table2[[#This Row],[Target age]]))</f>
        <v>0</v>
      </c>
      <c r="G70" s="59">
        <v>3.18</v>
      </c>
      <c r="H70" s="59">
        <f t="shared" si="7"/>
        <v>0.50242711998443268</v>
      </c>
      <c r="I70" s="60">
        <f>IF(Table2[[#This Row],[Culture]]=0,0,LOG(Table2[[#This Row],[Culture]]))</f>
        <v>2.7662888869340487</v>
      </c>
      <c r="J70" s="60">
        <f>LOG(1+Table2[[#This Row],[S&amp;P]])</f>
        <v>0.24551266781414982</v>
      </c>
      <c r="K70" s="50">
        <v>1.0791812460476249</v>
      </c>
      <c r="L70" s="50">
        <v>85.6</v>
      </c>
      <c r="M70" s="50">
        <f t="shared" si="8"/>
        <v>1.9324737646771533</v>
      </c>
      <c r="N70" s="62">
        <v>43.3</v>
      </c>
      <c r="O70" s="62">
        <f t="shared" si="9"/>
        <v>1.6364878963533653</v>
      </c>
      <c r="P70" s="63">
        <v>56.2907330998475</v>
      </c>
      <c r="Q70" s="63">
        <f t="shared" si="10"/>
        <v>1.750436904711814</v>
      </c>
      <c r="R70" s="50">
        <f>LOG(Table2[[#This Row],[generalist]])</f>
        <v>3.754643753838935</v>
      </c>
      <c r="S70" s="50">
        <f>LOG(Table2[[#This Row],[country divers.]])</f>
        <v>3.8024607474309908</v>
      </c>
      <c r="T70" s="50">
        <f>LOG(Table2[[#This Row],[Firm Size]])</f>
        <v>7.4998244958395794</v>
      </c>
      <c r="U70">
        <v>9</v>
      </c>
      <c r="V70" s="137">
        <f t="shared" si="11"/>
        <v>1</v>
      </c>
    </row>
    <row r="71" spans="1:22" x14ac:dyDescent="0.35">
      <c r="A71" s="67" t="s">
        <v>163</v>
      </c>
      <c r="B71" s="52">
        <v>-0.68983793479554678</v>
      </c>
      <c r="C71" s="52">
        <v>1.4931506849315068</v>
      </c>
      <c r="D71" s="50">
        <f t="shared" si="6"/>
        <v>0.17410363782016772</v>
      </c>
      <c r="E71" s="52">
        <f>IF(Table2[[#This Row],[Geo Distance]]=0,0,LOG(Table2[[#This Row],[Geo Distance]]))</f>
        <v>3.7899049019490061</v>
      </c>
      <c r="F71" s="52">
        <f>IF(Table2[[#This Row],[Target age]]=0,0,LOG(Table2[[#This Row],[Target age]]))</f>
        <v>0.77815125038364363</v>
      </c>
      <c r="G71" s="65">
        <v>3.18</v>
      </c>
      <c r="H71" s="59">
        <f t="shared" si="7"/>
        <v>0.50242711998443268</v>
      </c>
      <c r="I71" s="53">
        <f>IF(Table2[[#This Row],[Culture]]=0,0,LOG(Table2[[#This Row],[Culture]]))</f>
        <v>2.7662888869340487</v>
      </c>
      <c r="J71" s="53">
        <f>LOG(1+Table2[[#This Row],[S&amp;P]])</f>
        <v>4.1392685158225077E-2</v>
      </c>
      <c r="K71" s="52">
        <v>1.2304489213782739</v>
      </c>
      <c r="L71" s="52">
        <v>70</v>
      </c>
      <c r="M71" s="50">
        <f t="shared" si="8"/>
        <v>1.8450980400142569</v>
      </c>
      <c r="N71" s="55">
        <v>42.4</v>
      </c>
      <c r="O71" s="62">
        <f t="shared" si="9"/>
        <v>1.6273658565927327</v>
      </c>
      <c r="P71" s="56">
        <v>52.984855215816303</v>
      </c>
      <c r="Q71" s="63">
        <f t="shared" si="10"/>
        <v>1.7241517519382803</v>
      </c>
      <c r="R71" s="52">
        <f>LOG(Table2[[#This Row],[generalist]])</f>
        <v>3.4269037046073545</v>
      </c>
      <c r="S71" s="52">
        <f>LOG(Table2[[#This Row],[country divers.]])</f>
        <v>3.857855755812408</v>
      </c>
      <c r="T71" s="52">
        <f>LOG(Table2[[#This Row],[Firm Size]])</f>
        <v>7.9030899869919438</v>
      </c>
      <c r="U71">
        <v>5</v>
      </c>
      <c r="V71" s="137">
        <f t="shared" si="11"/>
        <v>1</v>
      </c>
    </row>
    <row r="72" spans="1:22" x14ac:dyDescent="0.35">
      <c r="A72" s="49" t="s">
        <v>163</v>
      </c>
      <c r="B72" s="50">
        <v>0.75379478743384321</v>
      </c>
      <c r="C72" s="50">
        <v>5.087671232876712</v>
      </c>
      <c r="D72" s="50">
        <f t="shared" si="6"/>
        <v>0.70651903928330573</v>
      </c>
      <c r="E72" s="50">
        <f>IF(Table2[[#This Row],[Geo Distance]]=0,0,LOG(Table2[[#This Row],[Geo Distance]]))</f>
        <v>3.7899049019490061</v>
      </c>
      <c r="F72" s="50">
        <f>IF(Table2[[#This Row],[Target age]]=0,0,LOG(Table2[[#This Row],[Target age]]))</f>
        <v>2.3944516808262164</v>
      </c>
      <c r="G72" s="59">
        <v>3.18</v>
      </c>
      <c r="H72" s="59">
        <f t="shared" si="7"/>
        <v>0.50242711998443268</v>
      </c>
      <c r="I72" s="60">
        <f>IF(Table2[[#This Row],[Culture]]=0,0,LOG(Table2[[#This Row],[Culture]]))</f>
        <v>2.7662888869340487</v>
      </c>
      <c r="J72" s="60">
        <f>LOG(1+Table2[[#This Row],[S&amp;P]])</f>
        <v>0.24054924828259971</v>
      </c>
      <c r="K72" s="50">
        <v>1.3617278360175928</v>
      </c>
      <c r="L72" s="50">
        <v>83.7</v>
      </c>
      <c r="M72" s="50">
        <f t="shared" si="8"/>
        <v>1.92272545799326</v>
      </c>
      <c r="N72" s="62">
        <v>44.4</v>
      </c>
      <c r="O72" s="62">
        <f t="shared" si="9"/>
        <v>1.6473829701146199</v>
      </c>
      <c r="P72" s="63">
        <v>57.107272870025099</v>
      </c>
      <c r="Q72" s="63">
        <f t="shared" si="10"/>
        <v>1.7566914211387032</v>
      </c>
      <c r="R72" s="50">
        <f>LOG(Table2[[#This Row],[generalist]])</f>
        <v>3.4625325554497</v>
      </c>
      <c r="S72" s="50">
        <f>LOG(Table2[[#This Row],[country divers.]])</f>
        <v>3.6240114106526287</v>
      </c>
      <c r="T72" s="50">
        <f>LOG(Table2[[#This Row],[Firm Size]])</f>
        <v>7.461948495203762</v>
      </c>
      <c r="U72">
        <v>5</v>
      </c>
      <c r="V72" s="137">
        <f t="shared" si="11"/>
        <v>1</v>
      </c>
    </row>
    <row r="73" spans="1:22" x14ac:dyDescent="0.35">
      <c r="A73" s="67" t="s">
        <v>163</v>
      </c>
      <c r="B73" s="52">
        <v>-0.32057210338788111</v>
      </c>
      <c r="C73" s="52">
        <v>4.3698630136986303</v>
      </c>
      <c r="D73" s="50">
        <f t="shared" si="6"/>
        <v>0.64046782293672522</v>
      </c>
      <c r="E73" s="52">
        <f>IF(Table2[[#This Row],[Geo Distance]]=0,0,LOG(Table2[[#This Row],[Geo Distance]]))</f>
        <v>3.7899049019490061</v>
      </c>
      <c r="F73" s="52">
        <f>IF(Table2[[#This Row],[Target age]]=0,0,LOG(Table2[[#This Row],[Target age]]))</f>
        <v>2.0969100130080562</v>
      </c>
      <c r="G73" s="65">
        <v>3.18</v>
      </c>
      <c r="H73" s="59">
        <f t="shared" si="7"/>
        <v>0.50242711998443268</v>
      </c>
      <c r="I73" s="53">
        <f>IF(Table2[[#This Row],[Culture]]=0,0,LOG(Table2[[#This Row],[Culture]]))</f>
        <v>2.7662888869340487</v>
      </c>
      <c r="J73" s="53">
        <f>LOG(1+Table2[[#This Row],[S&amp;P]])</f>
        <v>-4.3648054024500883E-3</v>
      </c>
      <c r="K73" s="52">
        <v>0.6020599913279624</v>
      </c>
      <c r="L73" s="52">
        <v>88</v>
      </c>
      <c r="M73" s="50">
        <f t="shared" si="8"/>
        <v>1.9444826721501687</v>
      </c>
      <c r="N73" s="55">
        <v>43.3</v>
      </c>
      <c r="O73" s="62">
        <f t="shared" si="9"/>
        <v>1.6364878963533653</v>
      </c>
      <c r="P73" s="56">
        <v>52.875711995394298</v>
      </c>
      <c r="Q73" s="63">
        <f t="shared" si="10"/>
        <v>1.7232562283942385</v>
      </c>
      <c r="R73" s="52">
        <f>LOG(Table2[[#This Row],[generalist]])</f>
        <v>3.2986404739170001</v>
      </c>
      <c r="S73" s="52">
        <f>LOG(Table2[[#This Row],[country divers.]])</f>
        <v>3.7777539086524472</v>
      </c>
      <c r="T73" s="52">
        <f>LOG(Table2[[#This Row],[Firm Size]])</f>
        <v>8.0413926851582254</v>
      </c>
      <c r="U73">
        <v>5</v>
      </c>
      <c r="V73" s="137">
        <f t="shared" si="11"/>
        <v>1</v>
      </c>
    </row>
    <row r="74" spans="1:22" x14ac:dyDescent="0.35">
      <c r="A74" s="49" t="s">
        <v>163</v>
      </c>
      <c r="B74" s="50">
        <v>0.21048150024803425</v>
      </c>
      <c r="C74" s="50">
        <v>4.7589041095890412</v>
      </c>
      <c r="D74" s="50">
        <f t="shared" si="6"/>
        <v>0.67750695399062388</v>
      </c>
      <c r="E74" s="50">
        <f>IF(Table2[[#This Row],[Geo Distance]]=0,0,LOG(Table2[[#This Row],[Geo Distance]]))</f>
        <v>3.7899049019490061</v>
      </c>
      <c r="F74" s="50">
        <f>IF(Table2[[#This Row],[Target age]]=0,0,LOG(Table2[[#This Row],[Target age]]))</f>
        <v>0</v>
      </c>
      <c r="G74" s="59">
        <v>3.18</v>
      </c>
      <c r="H74" s="59">
        <f t="shared" si="7"/>
        <v>0.50242711998443268</v>
      </c>
      <c r="I74" s="60">
        <f>IF(Table2[[#This Row],[Culture]]=0,0,LOG(Table2[[#This Row],[Culture]]))</f>
        <v>2.7662888869340487</v>
      </c>
      <c r="J74" s="60">
        <f>LOG(1+Table2[[#This Row],[S&amp;P]])</f>
        <v>-1.7728766960431602E-2</v>
      </c>
      <c r="K74" s="50">
        <v>0</v>
      </c>
      <c r="L74" s="50">
        <v>88</v>
      </c>
      <c r="M74" s="50">
        <f t="shared" si="8"/>
        <v>1.9444826721501687</v>
      </c>
      <c r="N74" s="62">
        <v>43.3</v>
      </c>
      <c r="O74" s="62">
        <f t="shared" si="9"/>
        <v>1.6364878963533653</v>
      </c>
      <c r="P74" s="63">
        <v>52.875711995394298</v>
      </c>
      <c r="Q74" s="63">
        <f t="shared" si="10"/>
        <v>1.7232562283942385</v>
      </c>
      <c r="R74" s="50">
        <f>LOG(Table2[[#This Row],[generalist]])</f>
        <v>3.1948131122613166</v>
      </c>
      <c r="S74" s="50">
        <f>LOG(Table2[[#This Row],[country divers.]])</f>
        <v>3.8305239132290598</v>
      </c>
      <c r="T74" s="50">
        <f>LOG(Table2[[#This Row],[Firm Size]])</f>
        <v>8.6220274124582019</v>
      </c>
      <c r="U74">
        <v>7</v>
      </c>
      <c r="V74" s="137">
        <f t="shared" si="11"/>
        <v>1</v>
      </c>
    </row>
    <row r="75" spans="1:22" x14ac:dyDescent="0.35">
      <c r="A75" s="67" t="s">
        <v>163</v>
      </c>
      <c r="B75" s="52">
        <v>0.28183944852207177</v>
      </c>
      <c r="C75" s="52">
        <v>2.1917808219178081</v>
      </c>
      <c r="D75" s="50">
        <f t="shared" si="6"/>
        <v>0.34079712253546884</v>
      </c>
      <c r="E75" s="52">
        <f>IF(Table2[[#This Row],[Geo Distance]]=0,0,LOG(Table2[[#This Row],[Geo Distance]]))</f>
        <v>0</v>
      </c>
      <c r="F75" s="52">
        <f>IF(Table2[[#This Row],[Target age]]=0,0,LOG(Table2[[#This Row],[Target age]]))</f>
        <v>1.7708520116421442</v>
      </c>
      <c r="G75" s="65">
        <v>3.18</v>
      </c>
      <c r="H75" s="59">
        <f t="shared" si="7"/>
        <v>0.50242711998443268</v>
      </c>
      <c r="I75" s="53">
        <f>IF(Table2[[#This Row],[Culture]]=0,0,LOG(Table2[[#This Row],[Culture]]))</f>
        <v>0</v>
      </c>
      <c r="J75" s="53">
        <f>LOG(1+Table2[[#This Row],[S&amp;P]])</f>
        <v>0.11394335230683679</v>
      </c>
      <c r="K75" s="52">
        <v>1.0413926851582251</v>
      </c>
      <c r="L75" s="52">
        <v>70</v>
      </c>
      <c r="M75" s="50">
        <f t="shared" si="8"/>
        <v>1.8450980400142569</v>
      </c>
      <c r="N75" s="55">
        <v>42.9</v>
      </c>
      <c r="O75" s="62">
        <f t="shared" si="9"/>
        <v>1.6324572921847242</v>
      </c>
      <c r="P75" s="56">
        <v>53.2941466273667</v>
      </c>
      <c r="Q75" s="63">
        <f t="shared" si="10"/>
        <v>1.7266795124593939</v>
      </c>
      <c r="R75" s="52">
        <f>LOG(Table2[[#This Row],[generalist]])</f>
        <v>3.0840515907405019</v>
      </c>
      <c r="S75" s="52">
        <f>LOG(Table2[[#This Row],[country divers.]])</f>
        <v>3.9050357126538633</v>
      </c>
      <c r="T75" s="52">
        <f>LOG(Table2[[#This Row],[Firm Size]])</f>
        <v>8.1903316981702918</v>
      </c>
      <c r="U75">
        <v>8</v>
      </c>
      <c r="V75" s="137">
        <f t="shared" si="11"/>
        <v>0</v>
      </c>
    </row>
    <row r="76" spans="1:22" x14ac:dyDescent="0.35">
      <c r="A76" s="49" t="s">
        <v>163</v>
      </c>
      <c r="B76" s="50">
        <v>0.15053715458329311</v>
      </c>
      <c r="C76" s="50">
        <v>3.3178082191780822</v>
      </c>
      <c r="D76" s="50">
        <f t="shared" si="6"/>
        <v>0.52085127868657755</v>
      </c>
      <c r="E76" s="50">
        <f>IF(Table2[[#This Row],[Geo Distance]]=0,0,LOG(Table2[[#This Row],[Geo Distance]]))</f>
        <v>0</v>
      </c>
      <c r="F76" s="50">
        <f>IF(Table2[[#This Row],[Target age]]=0,0,LOG(Table2[[#This Row],[Target age]]))</f>
        <v>2.0606978403536118</v>
      </c>
      <c r="G76" s="59">
        <v>3.18</v>
      </c>
      <c r="H76" s="59">
        <f t="shared" si="7"/>
        <v>0.50242711998443268</v>
      </c>
      <c r="I76" s="60">
        <f>IF(Table2[[#This Row],[Culture]]=0,0,LOG(Table2[[#This Row],[Culture]]))</f>
        <v>0</v>
      </c>
      <c r="J76" s="60">
        <f>LOG(1+Table2[[#This Row],[S&amp;P]])</f>
        <v>0.13987908640123647</v>
      </c>
      <c r="K76" s="50">
        <v>1.2787536009528289</v>
      </c>
      <c r="L76" s="50">
        <v>84</v>
      </c>
      <c r="M76" s="50">
        <f t="shared" si="8"/>
        <v>1.9242792860618816</v>
      </c>
      <c r="N76" s="62">
        <v>45.4</v>
      </c>
      <c r="O76" s="62">
        <f t="shared" si="9"/>
        <v>1.657055852857104</v>
      </c>
      <c r="P76" s="63">
        <v>57.2278620378247</v>
      </c>
      <c r="Q76" s="63">
        <f t="shared" si="10"/>
        <v>1.7576075215065206</v>
      </c>
      <c r="R76" s="50">
        <f>LOG(Table2[[#This Row],[generalist]])</f>
        <v>3.0840515907405019</v>
      </c>
      <c r="S76" s="50">
        <f>LOG(Table2[[#This Row],[country divers.]])</f>
        <v>3.9050357126538633</v>
      </c>
      <c r="T76" s="50">
        <f>LOG(Table2[[#This Row],[Firm Size]])</f>
        <v>8.5440680443502757</v>
      </c>
      <c r="U76">
        <v>7</v>
      </c>
      <c r="V76" s="137">
        <f t="shared" si="11"/>
        <v>0</v>
      </c>
    </row>
    <row r="77" spans="1:22" x14ac:dyDescent="0.35">
      <c r="A77" s="67" t="s">
        <v>163</v>
      </c>
      <c r="B77" s="52">
        <v>0.2107296090219849</v>
      </c>
      <c r="C77" s="52">
        <v>2.5890410958904111</v>
      </c>
      <c r="D77" s="50">
        <f t="shared" si="6"/>
        <v>0.41313894405278828</v>
      </c>
      <c r="E77" s="52">
        <f>IF(Table2[[#This Row],[Geo Distance]]=0,0,LOG(Table2[[#This Row],[Geo Distance]]))</f>
        <v>0</v>
      </c>
      <c r="F77" s="52">
        <f>IF(Table2[[#This Row],[Target age]]=0,0,LOG(Table2[[#This Row],[Target age]]))</f>
        <v>2.0086001717619175</v>
      </c>
      <c r="G77" s="65">
        <v>3.18</v>
      </c>
      <c r="H77" s="59">
        <f t="shared" si="7"/>
        <v>0.50242711998443268</v>
      </c>
      <c r="I77" s="53">
        <f>IF(Table2[[#This Row],[Culture]]=0,0,LOG(Table2[[#This Row],[Culture]]))</f>
        <v>0</v>
      </c>
      <c r="J77" s="53">
        <f>LOG(1+Table2[[#This Row],[S&amp;P]])</f>
        <v>0.14301480025409513</v>
      </c>
      <c r="K77" s="52">
        <v>0.95424250943932487</v>
      </c>
      <c r="L77" s="52">
        <v>70</v>
      </c>
      <c r="M77" s="50">
        <f t="shared" si="8"/>
        <v>1.8450980400142569</v>
      </c>
      <c r="N77" s="55">
        <v>42.2</v>
      </c>
      <c r="O77" s="62">
        <f t="shared" si="9"/>
        <v>1.6253124509616739</v>
      </c>
      <c r="P77" s="56">
        <v>53.270504198897903</v>
      </c>
      <c r="Q77" s="63">
        <f t="shared" si="10"/>
        <v>1.7264868073491786</v>
      </c>
      <c r="R77" s="52">
        <f>LOG(Table2[[#This Row],[generalist]])</f>
        <v>3.0840515907405019</v>
      </c>
      <c r="S77" s="52">
        <f>LOG(Table2[[#This Row],[country divers.]])</f>
        <v>3.9050357126538633</v>
      </c>
      <c r="T77" s="52">
        <f>LOG(Table2[[#This Row],[Firm Size]])</f>
        <v>8.187210399650052</v>
      </c>
      <c r="U77">
        <v>1</v>
      </c>
      <c r="V77" s="137">
        <f t="shared" si="11"/>
        <v>0</v>
      </c>
    </row>
    <row r="78" spans="1:22" x14ac:dyDescent="0.35">
      <c r="A78" s="49" t="s">
        <v>163</v>
      </c>
      <c r="B78" s="50">
        <v>0.37281998167896813</v>
      </c>
      <c r="C78" s="50">
        <v>4.4821917808219176</v>
      </c>
      <c r="D78" s="50">
        <f t="shared" si="6"/>
        <v>0.65149043487882952</v>
      </c>
      <c r="E78" s="50">
        <f>IF(Table2[[#This Row],[Geo Distance]]=0,0,LOG(Table2[[#This Row],[Geo Distance]]))</f>
        <v>0</v>
      </c>
      <c r="F78" s="50">
        <f>IF(Table2[[#This Row],[Target age]]=0,0,LOG(Table2[[#This Row],[Target age]]))</f>
        <v>0.90308998699194354</v>
      </c>
      <c r="G78" s="59">
        <v>3.18</v>
      </c>
      <c r="H78" s="59">
        <f t="shared" si="7"/>
        <v>0.50242711998443268</v>
      </c>
      <c r="I78" s="60">
        <f>IF(Table2[[#This Row],[Culture]]=0,0,LOG(Table2[[#This Row],[Culture]]))</f>
        <v>0</v>
      </c>
      <c r="J78" s="60">
        <f>LOG(1+Table2[[#This Row],[S&amp;P]])</f>
        <v>0.2253092817258629</v>
      </c>
      <c r="K78" s="50">
        <v>1.2304489213782739</v>
      </c>
      <c r="L78" s="50">
        <v>85.6</v>
      </c>
      <c r="M78" s="50">
        <f t="shared" si="8"/>
        <v>1.9324737646771533</v>
      </c>
      <c r="N78" s="62">
        <v>43.3</v>
      </c>
      <c r="O78" s="62">
        <f t="shared" si="9"/>
        <v>1.6364878963533653</v>
      </c>
      <c r="P78" s="63">
        <v>56.2907330998475</v>
      </c>
      <c r="Q78" s="63">
        <f t="shared" si="10"/>
        <v>1.750436904711814</v>
      </c>
      <c r="R78" s="50">
        <f>LOG(Table2[[#This Row],[generalist]])</f>
        <v>3.0840515907405019</v>
      </c>
      <c r="S78" s="50">
        <f>LOG(Table2[[#This Row],[country divers.]])</f>
        <v>3.9050357126538633</v>
      </c>
      <c r="T78" s="50">
        <f>LOG(Table2[[#This Row],[Firm Size]])</f>
        <v>8.3802112417116064</v>
      </c>
      <c r="U78">
        <v>8</v>
      </c>
      <c r="V78" s="137">
        <f t="shared" si="11"/>
        <v>0</v>
      </c>
    </row>
    <row r="79" spans="1:22" x14ac:dyDescent="0.35">
      <c r="A79" s="67" t="s">
        <v>163</v>
      </c>
      <c r="B79" s="52">
        <v>0.44773747703445277</v>
      </c>
      <c r="C79" s="52">
        <v>6.7342465753424658</v>
      </c>
      <c r="D79" s="50">
        <f t="shared" si="6"/>
        <v>0.82828901409396061</v>
      </c>
      <c r="E79" s="52">
        <f>IF(Table2[[#This Row],[Geo Distance]]=0,0,LOG(Table2[[#This Row],[Geo Distance]]))</f>
        <v>0</v>
      </c>
      <c r="F79" s="52">
        <f>IF(Table2[[#This Row],[Target age]]=0,0,LOG(Table2[[#This Row],[Target age]]))</f>
        <v>1.4913616938342726</v>
      </c>
      <c r="G79" s="65">
        <v>3.18</v>
      </c>
      <c r="H79" s="59">
        <f t="shared" si="7"/>
        <v>0.50242711998443268</v>
      </c>
      <c r="I79" s="53">
        <f>IF(Table2[[#This Row],[Culture]]=0,0,LOG(Table2[[#This Row],[Culture]]))</f>
        <v>0</v>
      </c>
      <c r="J79" s="53">
        <f>LOG(1+Table2[[#This Row],[S&amp;P]])</f>
        <v>0.31386722036915343</v>
      </c>
      <c r="K79" s="52">
        <v>1.1139433523068367</v>
      </c>
      <c r="L79" s="52">
        <v>85.6</v>
      </c>
      <c r="M79" s="50">
        <f t="shared" si="8"/>
        <v>1.9324737646771533</v>
      </c>
      <c r="N79" s="55">
        <v>43.3</v>
      </c>
      <c r="O79" s="62">
        <f t="shared" si="9"/>
        <v>1.6364878963533653</v>
      </c>
      <c r="P79" s="56">
        <v>56.2907330998475</v>
      </c>
      <c r="Q79" s="63">
        <f t="shared" si="10"/>
        <v>1.750436904711814</v>
      </c>
      <c r="R79" s="52">
        <f>LOG(Table2[[#This Row],[generalist]])</f>
        <v>3.2258683344006376</v>
      </c>
      <c r="S79" s="52">
        <f>LOG(Table2[[#This Row],[country divers.]])</f>
        <v>3.9615291321450066</v>
      </c>
      <c r="T79" s="52">
        <f>LOG(Table2[[#This Row],[Firm Size]])</f>
        <v>8.7283537820212285</v>
      </c>
      <c r="U79">
        <v>1</v>
      </c>
      <c r="V79" s="137">
        <f t="shared" si="11"/>
        <v>0</v>
      </c>
    </row>
    <row r="80" spans="1:22" x14ac:dyDescent="0.35">
      <c r="A80" s="49" t="s">
        <v>163</v>
      </c>
      <c r="B80" s="50">
        <v>0.30518595543513888</v>
      </c>
      <c r="C80" s="50">
        <v>5.095890410958904</v>
      </c>
      <c r="D80" s="50">
        <f t="shared" si="6"/>
        <v>0.70722007976144163</v>
      </c>
      <c r="E80" s="50">
        <f>IF(Table2[[#This Row],[Geo Distance]]=0,0,LOG(Table2[[#This Row],[Geo Distance]]))</f>
        <v>0</v>
      </c>
      <c r="F80" s="50">
        <f>IF(Table2[[#This Row],[Target age]]=0,0,LOG(Table2[[#This Row],[Target age]]))</f>
        <v>2.0253058652647704</v>
      </c>
      <c r="G80" s="59">
        <v>3.18</v>
      </c>
      <c r="H80" s="59">
        <f t="shared" si="7"/>
        <v>0.50242711998443268</v>
      </c>
      <c r="I80" s="60">
        <f>IF(Table2[[#This Row],[Culture]]=0,0,LOG(Table2[[#This Row],[Culture]]))</f>
        <v>0</v>
      </c>
      <c r="J80" s="60">
        <f>LOG(1+Table2[[#This Row],[S&amp;P]])</f>
        <v>-1.7728766960431602E-2</v>
      </c>
      <c r="K80" s="50">
        <v>0.90308998699194354</v>
      </c>
      <c r="L80" s="50">
        <v>88</v>
      </c>
      <c r="M80" s="50">
        <f t="shared" si="8"/>
        <v>1.9444826721501687</v>
      </c>
      <c r="N80" s="62">
        <v>43.3</v>
      </c>
      <c r="O80" s="62">
        <f t="shared" si="9"/>
        <v>1.6364878963533653</v>
      </c>
      <c r="P80" s="63">
        <v>52.875711995394298</v>
      </c>
      <c r="Q80" s="63">
        <f t="shared" si="10"/>
        <v>1.7232562283942385</v>
      </c>
      <c r="R80" s="50">
        <f>LOG(Table2[[#This Row],[generalist]])</f>
        <v>3.2258683344006376</v>
      </c>
      <c r="S80" s="50">
        <f>LOG(Table2[[#This Row],[country divers.]])</f>
        <v>3.9615291321450066</v>
      </c>
      <c r="T80" s="50">
        <f>LOG(Table2[[#This Row],[Firm Size]])</f>
        <v>9.0170333392987807</v>
      </c>
      <c r="U80">
        <v>1</v>
      </c>
      <c r="V80" s="137">
        <f t="shared" si="11"/>
        <v>0</v>
      </c>
    </row>
    <row r="81" spans="1:22" x14ac:dyDescent="0.35">
      <c r="A81" s="67" t="s">
        <v>163</v>
      </c>
      <c r="B81" s="52">
        <v>0.47001521451749351</v>
      </c>
      <c r="C81" s="52">
        <v>2.7945205479452055</v>
      </c>
      <c r="D81" s="50">
        <f t="shared" si="6"/>
        <v>0.44630730730544288</v>
      </c>
      <c r="E81" s="52">
        <f>IF(Table2[[#This Row],[Geo Distance]]=0,0,LOG(Table2[[#This Row],[Geo Distance]]))</f>
        <v>0</v>
      </c>
      <c r="F81" s="52">
        <f>IF(Table2[[#This Row],[Target age]]=0,0,LOG(Table2[[#This Row],[Target age]]))</f>
        <v>0.47712125471966244</v>
      </c>
      <c r="G81" s="65">
        <v>3.18</v>
      </c>
      <c r="H81" s="59">
        <f t="shared" si="7"/>
        <v>0.50242711998443268</v>
      </c>
      <c r="I81" s="53">
        <f>IF(Table2[[#This Row],[Culture]]=0,0,LOG(Table2[[#This Row],[Culture]]))</f>
        <v>0</v>
      </c>
      <c r="J81" s="53">
        <f>LOG(1+Table2[[#This Row],[S&amp;P]])</f>
        <v>0.10037054511756291</v>
      </c>
      <c r="K81" s="52">
        <v>0.77815125038364363</v>
      </c>
      <c r="L81" s="52">
        <v>70</v>
      </c>
      <c r="M81" s="50">
        <f t="shared" si="8"/>
        <v>1.8450980400142569</v>
      </c>
      <c r="N81" s="55">
        <v>42.4</v>
      </c>
      <c r="O81" s="62">
        <f t="shared" si="9"/>
        <v>1.6273658565927327</v>
      </c>
      <c r="P81" s="56">
        <v>52.984855215816303</v>
      </c>
      <c r="Q81" s="63">
        <f t="shared" si="10"/>
        <v>1.7241517519382803</v>
      </c>
      <c r="R81" s="52">
        <f>LOG(Table2[[#This Row],[generalist]])</f>
        <v>3.2258683344006376</v>
      </c>
      <c r="S81" s="52">
        <f>LOG(Table2[[#This Row],[country divers.]])</f>
        <v>3.9615291321450066</v>
      </c>
      <c r="T81" s="52">
        <f>LOG(Table2[[#This Row],[Firm Size]])</f>
        <v>9.0740528298327821</v>
      </c>
      <c r="U81">
        <v>5</v>
      </c>
      <c r="V81" s="137">
        <f t="shared" si="11"/>
        <v>0</v>
      </c>
    </row>
    <row r="82" spans="1:22" x14ac:dyDescent="0.35">
      <c r="A82" s="49" t="s">
        <v>163</v>
      </c>
      <c r="B82" s="50">
        <v>0.35495284653698561</v>
      </c>
      <c r="C82" s="50">
        <v>4.3863013698630136</v>
      </c>
      <c r="D82" s="50">
        <f t="shared" si="6"/>
        <v>0.64209846746282506</v>
      </c>
      <c r="E82" s="50">
        <f>IF(Table2[[#This Row],[Geo Distance]]=0,0,LOG(Table2[[#This Row],[Geo Distance]]))</f>
        <v>0</v>
      </c>
      <c r="F82" s="50">
        <f>IF(Table2[[#This Row],[Target age]]=0,0,LOG(Table2[[#This Row],[Target age]]))</f>
        <v>1.8750612633917001</v>
      </c>
      <c r="G82" s="59">
        <v>3.18</v>
      </c>
      <c r="H82" s="59">
        <f t="shared" si="7"/>
        <v>0.50242711998443268</v>
      </c>
      <c r="I82" s="60">
        <f>IF(Table2[[#This Row],[Culture]]=0,0,LOG(Table2[[#This Row],[Culture]]))</f>
        <v>0</v>
      </c>
      <c r="J82" s="60">
        <f>LOG(1+Table2[[#This Row],[S&amp;P]])</f>
        <v>0.19589965240923368</v>
      </c>
      <c r="K82" s="50">
        <v>0.6020599913279624</v>
      </c>
      <c r="L82" s="50">
        <v>70</v>
      </c>
      <c r="M82" s="50">
        <f t="shared" si="8"/>
        <v>1.8450980400142569</v>
      </c>
      <c r="N82" s="62">
        <v>42.4</v>
      </c>
      <c r="O82" s="62">
        <f t="shared" si="9"/>
        <v>1.6273658565927327</v>
      </c>
      <c r="P82" s="63">
        <v>52.795294707427601</v>
      </c>
      <c r="Q82" s="63">
        <f t="shared" si="10"/>
        <v>1.7225952184872551</v>
      </c>
      <c r="R82" s="50">
        <f>LOG(Table2[[#This Row],[generalist]])</f>
        <v>3.2258683344006376</v>
      </c>
      <c r="S82" s="50">
        <f>LOG(Table2[[#This Row],[country divers.]])</f>
        <v>3.9615291321450066</v>
      </c>
      <c r="T82" s="50">
        <f>LOG(Table2[[#This Row],[Firm Size]])</f>
        <v>8.40823996531185</v>
      </c>
      <c r="U82">
        <v>7</v>
      </c>
      <c r="V82" s="137">
        <f t="shared" si="11"/>
        <v>0</v>
      </c>
    </row>
    <row r="83" spans="1:22" x14ac:dyDescent="0.35">
      <c r="A83" s="67" t="s">
        <v>163</v>
      </c>
      <c r="B83" s="52">
        <v>6.1207875035723926E-2</v>
      </c>
      <c r="C83" s="52">
        <v>2.6164383561643834</v>
      </c>
      <c r="D83" s="50">
        <f t="shared" si="6"/>
        <v>0.41771050712727159</v>
      </c>
      <c r="E83" s="52">
        <f>IF(Table2[[#This Row],[Geo Distance]]=0,0,LOG(Table2[[#This Row],[Geo Distance]]))</f>
        <v>0</v>
      </c>
      <c r="F83" s="52">
        <f>IF(Table2[[#This Row],[Target age]]=0,0,LOG(Table2[[#This Row],[Target age]]))</f>
        <v>1.7160033436347992</v>
      </c>
      <c r="G83" s="65">
        <v>3.18</v>
      </c>
      <c r="H83" s="59">
        <f t="shared" si="7"/>
        <v>0.50242711998443268</v>
      </c>
      <c r="I83" s="53">
        <f>IF(Table2[[#This Row],[Culture]]=0,0,LOG(Table2[[#This Row],[Culture]]))</f>
        <v>0</v>
      </c>
      <c r="J83" s="53">
        <f>LOG(1+Table2[[#This Row],[S&amp;P]])</f>
        <v>0.11727129565576427</v>
      </c>
      <c r="K83" s="52">
        <v>0.6020599913279624</v>
      </c>
      <c r="L83" s="52">
        <v>70</v>
      </c>
      <c r="M83" s="50">
        <f t="shared" si="8"/>
        <v>1.8450980400142569</v>
      </c>
      <c r="N83" s="55">
        <v>42.4</v>
      </c>
      <c r="O83" s="62">
        <f t="shared" si="9"/>
        <v>1.6273658565927327</v>
      </c>
      <c r="P83" s="56">
        <v>52.795294707427601</v>
      </c>
      <c r="Q83" s="63">
        <f t="shared" si="10"/>
        <v>1.7225952184872551</v>
      </c>
      <c r="R83" s="52">
        <f>LOG(Table2[[#This Row],[generalist]])</f>
        <v>3.2258683344006376</v>
      </c>
      <c r="S83" s="52">
        <f>LOG(Table2[[#This Row],[country divers.]])</f>
        <v>3.9615291321450066</v>
      </c>
      <c r="T83" s="52">
        <f>LOG(Table2[[#This Row],[Firm Size]])</f>
        <v>8.7442929831226763</v>
      </c>
      <c r="U83">
        <v>7</v>
      </c>
      <c r="V83" s="137">
        <f t="shared" si="11"/>
        <v>0</v>
      </c>
    </row>
    <row r="84" spans="1:22" x14ac:dyDescent="0.35">
      <c r="A84" s="49" t="s">
        <v>163</v>
      </c>
      <c r="B84" s="50">
        <v>0.18184358794477254</v>
      </c>
      <c r="C84" s="50">
        <v>5.2219178082191782</v>
      </c>
      <c r="D84" s="50">
        <f t="shared" si="6"/>
        <v>0.71783003184583294</v>
      </c>
      <c r="E84" s="50">
        <f>IF(Table2[[#This Row],[Geo Distance]]=0,0,LOG(Table2[[#This Row],[Geo Distance]]))</f>
        <v>0</v>
      </c>
      <c r="F84" s="50">
        <f>IF(Table2[[#This Row],[Target age]]=0,0,LOG(Table2[[#This Row],[Target age]]))</f>
        <v>1.5185139398778875</v>
      </c>
      <c r="G84" s="59">
        <v>3.18</v>
      </c>
      <c r="H84" s="59">
        <f t="shared" si="7"/>
        <v>0.50242711998443268</v>
      </c>
      <c r="I84" s="60">
        <f>IF(Table2[[#This Row],[Culture]]=0,0,LOG(Table2[[#This Row],[Culture]]))</f>
        <v>0</v>
      </c>
      <c r="J84" s="60">
        <f>LOG(1+Table2[[#This Row],[S&amp;P]])</f>
        <v>0.23299611039215382</v>
      </c>
      <c r="K84" s="50">
        <v>0.6020599913279624</v>
      </c>
      <c r="L84" s="50">
        <v>70</v>
      </c>
      <c r="M84" s="50">
        <f t="shared" si="8"/>
        <v>1.8450980400142569</v>
      </c>
      <c r="N84" s="62">
        <v>42.4</v>
      </c>
      <c r="O84" s="62">
        <f t="shared" si="9"/>
        <v>1.6273658565927327</v>
      </c>
      <c r="P84" s="63">
        <v>52.795294707427601</v>
      </c>
      <c r="Q84" s="63">
        <f t="shared" si="10"/>
        <v>1.7225952184872551</v>
      </c>
      <c r="R84" s="50">
        <f>LOG(Table2[[#This Row],[generalist]])</f>
        <v>3.2258683344006376</v>
      </c>
      <c r="S84" s="50">
        <f>LOG(Table2[[#This Row],[country divers.]])</f>
        <v>3.9615291321450066</v>
      </c>
      <c r="T84" s="50">
        <f>LOG(Table2[[#This Row],[Firm Size]])</f>
        <v>9.1760912590556813</v>
      </c>
      <c r="U84">
        <v>5</v>
      </c>
      <c r="V84" s="137">
        <f t="shared" si="11"/>
        <v>0</v>
      </c>
    </row>
    <row r="85" spans="1:22" x14ac:dyDescent="0.35">
      <c r="A85" s="67" t="s">
        <v>163</v>
      </c>
      <c r="B85" s="52">
        <v>-0.29803370142006214</v>
      </c>
      <c r="C85" s="52">
        <v>3.010958904109589</v>
      </c>
      <c r="D85" s="50">
        <f t="shared" si="6"/>
        <v>0.47870482796701586</v>
      </c>
      <c r="E85" s="52">
        <f>IF(Table2[[#This Row],[Geo Distance]]=0,0,LOG(Table2[[#This Row],[Geo Distance]]))</f>
        <v>0</v>
      </c>
      <c r="F85" s="52">
        <f>IF(Table2[[#This Row],[Target age]]=0,0,LOG(Table2[[#This Row],[Target age]]))</f>
        <v>1.6989700043360187</v>
      </c>
      <c r="G85" s="65">
        <v>3.18</v>
      </c>
      <c r="H85" s="59">
        <f t="shared" si="7"/>
        <v>0.50242711998443268</v>
      </c>
      <c r="I85" s="53">
        <f>IF(Table2[[#This Row],[Culture]]=0,0,LOG(Table2[[#This Row],[Culture]]))</f>
        <v>0</v>
      </c>
      <c r="J85" s="53">
        <f>LOG(1+Table2[[#This Row],[S&amp;P]])</f>
        <v>-8.7739243075051505E-3</v>
      </c>
      <c r="K85" s="52">
        <v>0.47712125471966244</v>
      </c>
      <c r="L85" s="52">
        <v>70</v>
      </c>
      <c r="M85" s="50">
        <f t="shared" si="8"/>
        <v>1.8450980400142569</v>
      </c>
      <c r="N85" s="55">
        <v>43.1</v>
      </c>
      <c r="O85" s="62">
        <f t="shared" si="9"/>
        <v>1.6344772701607315</v>
      </c>
      <c r="P85" s="56">
        <v>51.718307112209096</v>
      </c>
      <c r="Q85" s="63">
        <f t="shared" si="10"/>
        <v>1.7136443007431839</v>
      </c>
      <c r="R85" s="52">
        <f>LOG(Table2[[#This Row],[generalist]])</f>
        <v>3.2258683344006376</v>
      </c>
      <c r="S85" s="52">
        <f>LOG(Table2[[#This Row],[country divers.]])</f>
        <v>3.9615291321450066</v>
      </c>
      <c r="T85" s="52">
        <f>LOG(Table2[[#This Row],[Firm Size]])</f>
        <v>8.7160033436347994</v>
      </c>
      <c r="U85">
        <v>3</v>
      </c>
      <c r="V85" s="137">
        <f t="shared" si="11"/>
        <v>0</v>
      </c>
    </row>
    <row r="86" spans="1:22" x14ac:dyDescent="0.35">
      <c r="A86" s="49" t="s">
        <v>163</v>
      </c>
      <c r="B86" s="50">
        <v>5.9997929675285368E-2</v>
      </c>
      <c r="C86" s="50">
        <v>8.0684931506849313</v>
      </c>
      <c r="D86" s="50">
        <f t="shared" si="6"/>
        <v>0.90679243466664572</v>
      </c>
      <c r="E86" s="50">
        <f>IF(Table2[[#This Row],[Geo Distance]]=0,0,LOG(Table2[[#This Row],[Geo Distance]]))</f>
        <v>0</v>
      </c>
      <c r="F86" s="50">
        <f>IF(Table2[[#This Row],[Target age]]=0,0,LOG(Table2[[#This Row],[Target age]]))</f>
        <v>1.7853298350107671</v>
      </c>
      <c r="G86" s="59">
        <v>3.18</v>
      </c>
      <c r="H86" s="59">
        <f t="shared" si="7"/>
        <v>0.50242711998443268</v>
      </c>
      <c r="I86" s="60">
        <f>IF(Table2[[#This Row],[Culture]]=0,0,LOG(Table2[[#This Row],[Culture]]))</f>
        <v>0</v>
      </c>
      <c r="J86" s="60">
        <f>LOG(1+Table2[[#This Row],[S&amp;P]])</f>
        <v>0.13033376849500614</v>
      </c>
      <c r="K86" s="50">
        <v>0</v>
      </c>
      <c r="L86" s="50">
        <v>85</v>
      </c>
      <c r="M86" s="50">
        <f t="shared" si="8"/>
        <v>1.9294189257142926</v>
      </c>
      <c r="N86" s="62">
        <v>43.5</v>
      </c>
      <c r="O86" s="62">
        <f t="shared" si="9"/>
        <v>1.6384892569546374</v>
      </c>
      <c r="P86" s="63">
        <v>52.924485315438503</v>
      </c>
      <c r="Q86" s="63">
        <f t="shared" si="10"/>
        <v>1.7236566432478624</v>
      </c>
      <c r="R86" s="50">
        <f>LOG(Table2[[#This Row],[generalist]])</f>
        <v>3.2258683344006376</v>
      </c>
      <c r="S86" s="50">
        <f>LOG(Table2[[#This Row],[country divers.]])</f>
        <v>3.9615291321450066</v>
      </c>
      <c r="T86" s="50">
        <f>LOG(Table2[[#This Row],[Firm Size]])</f>
        <v>8.4313637641589878</v>
      </c>
      <c r="U86">
        <v>5</v>
      </c>
      <c r="V86" s="137">
        <f t="shared" si="11"/>
        <v>0</v>
      </c>
    </row>
    <row r="87" spans="1:22" x14ac:dyDescent="0.35">
      <c r="A87" s="67" t="s">
        <v>163</v>
      </c>
      <c r="B87" s="52">
        <v>0.27988245367132186</v>
      </c>
      <c r="C87" s="52">
        <v>0.9452054794520548</v>
      </c>
      <c r="D87" s="50">
        <f t="shared" si="6"/>
        <v>-2.4473769383200585E-2</v>
      </c>
      <c r="E87" s="52">
        <f>IF(Table2[[#This Row],[Geo Distance]]=0,0,LOG(Table2[[#This Row],[Geo Distance]]))</f>
        <v>2.8352338467089053</v>
      </c>
      <c r="F87" s="52">
        <f>IF(Table2[[#This Row],[Target age]]=0,0,LOG(Table2[[#This Row],[Target age]]))</f>
        <v>1.0791812460476249</v>
      </c>
      <c r="G87" s="65">
        <v>2.85</v>
      </c>
      <c r="H87" s="59">
        <f t="shared" si="7"/>
        <v>0.45484486000851021</v>
      </c>
      <c r="I87" s="53">
        <f>IF(Table2[[#This Row],[Culture]]=0,0,LOG(Table2[[#This Row],[Culture]]))</f>
        <v>3.1499884564914762</v>
      </c>
      <c r="J87" s="53">
        <f>LOG(1+Table2[[#This Row],[S&amp;P]])</f>
        <v>7.1882007306125359E-2</v>
      </c>
      <c r="K87" s="52">
        <v>1.2304489213782739</v>
      </c>
      <c r="L87" s="52">
        <v>84</v>
      </c>
      <c r="M87" s="50">
        <f t="shared" si="8"/>
        <v>1.9242792860618816</v>
      </c>
      <c r="N87" s="55">
        <v>45.4</v>
      </c>
      <c r="O87" s="62">
        <f t="shared" si="9"/>
        <v>1.657055852857104</v>
      </c>
      <c r="P87" s="56">
        <v>57.2278620378247</v>
      </c>
      <c r="Q87" s="63">
        <f t="shared" si="10"/>
        <v>1.7576075215065206</v>
      </c>
      <c r="R87" s="52">
        <f>LOG(Table2[[#This Row],[generalist]])</f>
        <v>3.4006741243771632</v>
      </c>
      <c r="S87" s="52">
        <f>LOG(Table2[[#This Row],[country divers.]])</f>
        <v>3.8325618860191688</v>
      </c>
      <c r="T87" s="52">
        <f>LOG(Table2[[#This Row],[Firm Size]])</f>
        <v>7.2600713879850751</v>
      </c>
      <c r="U87">
        <v>2</v>
      </c>
      <c r="V87" s="137">
        <f t="shared" si="11"/>
        <v>1</v>
      </c>
    </row>
    <row r="88" spans="1:22" x14ac:dyDescent="0.35">
      <c r="A88" s="58" t="s">
        <v>2</v>
      </c>
      <c r="B88" s="50">
        <v>0.50738885994610627</v>
      </c>
      <c r="C88" s="50">
        <v>4.2164383561643834</v>
      </c>
      <c r="D88" s="50">
        <f t="shared" si="6"/>
        <v>0.62494575537500396</v>
      </c>
      <c r="E88" s="50">
        <f>IF(Table2[[#This Row],[Geo Distance]]=0,0,LOG(Table2[[#This Row],[Geo Distance]]))</f>
        <v>2.9624593110290154</v>
      </c>
      <c r="F88" s="50">
        <f>IF(Table2[[#This Row],[Target age]]=0,0,LOG(Table2[[#This Row],[Target age]]))</f>
        <v>1.6720978579357175</v>
      </c>
      <c r="G88" s="59">
        <v>2.62</v>
      </c>
      <c r="H88" s="59">
        <f t="shared" si="7"/>
        <v>0.41830129131974547</v>
      </c>
      <c r="I88" s="60">
        <f>IF(Table2[[#This Row],[Culture]]=0,0,LOG(Table2[[#This Row],[Culture]]))</f>
        <v>2.9317967661271176</v>
      </c>
      <c r="J88" s="60">
        <f>LOG(1+Table2[[#This Row],[S&amp;P]])</f>
        <v>-4.3648054024500883E-3</v>
      </c>
      <c r="K88" s="50">
        <v>1.2041199826559248</v>
      </c>
      <c r="L88" s="50">
        <v>70</v>
      </c>
      <c r="M88" s="50">
        <f t="shared" si="8"/>
        <v>1.8450980400142569</v>
      </c>
      <c r="N88" s="62">
        <v>35</v>
      </c>
      <c r="O88" s="62">
        <f t="shared" si="9"/>
        <v>1.5440680443502757</v>
      </c>
      <c r="P88" s="63">
        <v>46.908044131476899</v>
      </c>
      <c r="Q88" s="63">
        <f t="shared" si="10"/>
        <v>1.6712473250679141</v>
      </c>
      <c r="R88" s="50">
        <f>LOG(Table2[[#This Row],[generalist]])</f>
        <v>3.2699236952309465</v>
      </c>
      <c r="S88" s="50">
        <f>LOG(Table2[[#This Row],[country divers.]])</f>
        <v>3.6984415808994222</v>
      </c>
      <c r="T88" s="83">
        <f>LOG(Table2[[#This Row],[Firm Size]])</f>
        <v>8.3813858660133764</v>
      </c>
      <c r="U88">
        <v>1</v>
      </c>
      <c r="V88" s="137">
        <f t="shared" si="11"/>
        <v>1</v>
      </c>
    </row>
    <row r="89" spans="1:22" x14ac:dyDescent="0.35">
      <c r="A89" s="51" t="s">
        <v>2</v>
      </c>
      <c r="B89" s="52">
        <v>0.61815144277053113</v>
      </c>
      <c r="C89" s="52">
        <v>10.597260273972603</v>
      </c>
      <c r="D89" s="50">
        <f t="shared" si="6"/>
        <v>1.0251936009544893</v>
      </c>
      <c r="E89" s="52">
        <f>IF(Table2[[#This Row],[Geo Distance]]=0,0,LOG(Table2[[#This Row],[Geo Distance]]))</f>
        <v>2.9624593110290154</v>
      </c>
      <c r="F89" s="52">
        <f>IF(Table2[[#This Row],[Target age]]=0,0,LOG(Table2[[#This Row],[Target age]]))</f>
        <v>1.7403626894942439</v>
      </c>
      <c r="G89" s="65">
        <v>2.62</v>
      </c>
      <c r="H89" s="59">
        <f t="shared" si="7"/>
        <v>0.41830129131974547</v>
      </c>
      <c r="I89" s="53">
        <f>IF(Table2[[#This Row],[Culture]]=0,0,LOG(Table2[[#This Row],[Culture]]))</f>
        <v>2.9317967661271176</v>
      </c>
      <c r="J89" s="53">
        <f>LOG(1+Table2[[#This Row],[S&amp;P]])</f>
        <v>0.2576785748691845</v>
      </c>
      <c r="K89" s="52">
        <v>1.5797835966168101</v>
      </c>
      <c r="L89" s="52">
        <v>88.9</v>
      </c>
      <c r="M89" s="50">
        <f t="shared" si="8"/>
        <v>1.9489017609702137</v>
      </c>
      <c r="N89" s="55">
        <v>34.9</v>
      </c>
      <c r="O89" s="62">
        <f t="shared" si="9"/>
        <v>1.5428254269591799</v>
      </c>
      <c r="P89" s="56">
        <v>42.817370475444001</v>
      </c>
      <c r="Q89" s="63">
        <f t="shared" si="10"/>
        <v>1.6316199926391717</v>
      </c>
      <c r="R89" s="52">
        <f>LOG(Table2[[#This Row],[generalist]])</f>
        <v>3.3070943565685456</v>
      </c>
      <c r="S89" s="52">
        <f>LOG(Table2[[#This Row],[country divers.]])</f>
        <v>3.5922013861353577</v>
      </c>
      <c r="T89" s="84">
        <f>LOG(Table2[[#This Row],[Firm Size]])</f>
        <v>9.1734485147443152</v>
      </c>
      <c r="U89">
        <v>3</v>
      </c>
      <c r="V89" s="137">
        <f t="shared" si="11"/>
        <v>1</v>
      </c>
    </row>
    <row r="90" spans="1:22" x14ac:dyDescent="0.35">
      <c r="A90" s="49" t="s">
        <v>2</v>
      </c>
      <c r="B90" s="50">
        <v>0.50696632713727663</v>
      </c>
      <c r="C90" s="50">
        <v>3.6356164383561644</v>
      </c>
      <c r="D90" s="50">
        <f t="shared" si="6"/>
        <v>0.56057805840796082</v>
      </c>
      <c r="E90" s="50">
        <f>IF(Table2[[#This Row],[Geo Distance]]=0,0,LOG(Table2[[#This Row],[Geo Distance]]))</f>
        <v>2.9624593110290154</v>
      </c>
      <c r="F90" s="50">
        <f>IF(Table2[[#This Row],[Target age]]=0,0,LOG(Table2[[#This Row],[Target age]]))</f>
        <v>1.6627578316815741</v>
      </c>
      <c r="G90" s="59">
        <v>2.62</v>
      </c>
      <c r="H90" s="59">
        <f t="shared" si="7"/>
        <v>0.41830129131974547</v>
      </c>
      <c r="I90" s="60">
        <f>IF(Table2[[#This Row],[Culture]]=0,0,LOG(Table2[[#This Row],[Culture]]))</f>
        <v>2.9317967661271176</v>
      </c>
      <c r="J90" s="60">
        <f>LOG(1+Table2[[#This Row],[S&amp;P]])</f>
        <v>0.16435285578443709</v>
      </c>
      <c r="K90" s="50">
        <v>1.3424226808222062</v>
      </c>
      <c r="L90" s="50">
        <v>70</v>
      </c>
      <c r="M90" s="50">
        <f t="shared" si="8"/>
        <v>1.8450980400142569</v>
      </c>
      <c r="N90" s="62">
        <v>34.6</v>
      </c>
      <c r="O90" s="62">
        <f t="shared" si="9"/>
        <v>1.5390760987927767</v>
      </c>
      <c r="P90" s="63">
        <v>47.8156192569637</v>
      </c>
      <c r="Q90" s="63">
        <f t="shared" si="10"/>
        <v>1.6795697846681461</v>
      </c>
      <c r="R90" s="50">
        <f>LOG(Table2[[#This Row],[generalist]])</f>
        <v>3.2224645332922388</v>
      </c>
      <c r="S90" s="50">
        <f>LOG(Table2[[#This Row],[country divers.]])</f>
        <v>3.707126713924402</v>
      </c>
      <c r="T90" s="50">
        <f>LOG(Table2[[#This Row],[Firm Size]])</f>
        <v>8.9967698955170619</v>
      </c>
      <c r="U90">
        <v>1</v>
      </c>
      <c r="V90" s="137">
        <f t="shared" si="11"/>
        <v>1</v>
      </c>
    </row>
    <row r="91" spans="1:22" x14ac:dyDescent="0.35">
      <c r="A91" s="67" t="s">
        <v>2</v>
      </c>
      <c r="B91" s="52">
        <v>0.7861201800549189</v>
      </c>
      <c r="C91" s="52">
        <v>4.3890410958904109</v>
      </c>
      <c r="D91" s="50">
        <f t="shared" si="6"/>
        <v>0.64236964729174417</v>
      </c>
      <c r="E91" s="52">
        <f>IF(Table2[[#This Row],[Geo Distance]]=0,0,LOG(Table2[[#This Row],[Geo Distance]]))</f>
        <v>3.8335123778512705</v>
      </c>
      <c r="F91" s="52">
        <f>IF(Table2[[#This Row],[Target age]]=0,0,LOG(Table2[[#This Row],[Target age]]))</f>
        <v>1.6020599913279623</v>
      </c>
      <c r="G91" s="65">
        <v>2.85</v>
      </c>
      <c r="H91" s="59">
        <f t="shared" si="7"/>
        <v>0.45484486000851021</v>
      </c>
      <c r="I91" s="53">
        <f>IF(Table2[[#This Row],[Culture]]=0,0,LOG(Table2[[#This Row],[Culture]]))</f>
        <v>2.9132839017604186</v>
      </c>
      <c r="J91" s="53">
        <f>LOG(1+Table2[[#This Row],[S&amp;P]])</f>
        <v>0.21218760440395779</v>
      </c>
      <c r="K91" s="52">
        <v>1.414973347970818</v>
      </c>
      <c r="L91" s="52">
        <v>92.1</v>
      </c>
      <c r="M91" s="50">
        <f t="shared" si="8"/>
        <v>1.9642596301968489</v>
      </c>
      <c r="N91" s="55">
        <v>36.799999999999997</v>
      </c>
      <c r="O91" s="62">
        <f t="shared" si="9"/>
        <v>1.5658478186735176</v>
      </c>
      <c r="P91" s="56">
        <v>44.688349184782602</v>
      </c>
      <c r="Q91" s="63">
        <f t="shared" si="10"/>
        <v>1.6501943118503011</v>
      </c>
      <c r="R91" s="55">
        <f>LOG(Table2[[#This Row],[generalist]])</f>
        <v>3.0958500844125241</v>
      </c>
      <c r="S91" s="52">
        <f>LOG(Table2[[#This Row],[country divers.]])</f>
        <v>3.5078178355445662</v>
      </c>
      <c r="T91" s="52">
        <f>LOG(Table2[[#This Row],[Firm Size]])</f>
        <v>8.2552725051033065</v>
      </c>
      <c r="U91">
        <v>7</v>
      </c>
      <c r="V91" s="137">
        <f t="shared" si="11"/>
        <v>1</v>
      </c>
    </row>
    <row r="92" spans="1:22" x14ac:dyDescent="0.35">
      <c r="A92" s="49" t="s">
        <v>2</v>
      </c>
      <c r="B92" s="50">
        <v>0.37337794474981029</v>
      </c>
      <c r="C92" s="50">
        <v>2.6547945205479451</v>
      </c>
      <c r="D92" s="50">
        <f t="shared" si="6"/>
        <v>0.4240309125942906</v>
      </c>
      <c r="E92" s="50">
        <f>IF(Table2[[#This Row],[Geo Distance]]=0,0,LOG(Table2[[#This Row],[Geo Distance]]))</f>
        <v>3.8335123778512705</v>
      </c>
      <c r="F92" s="50">
        <f>IF(Table2[[#This Row],[Target age]]=0,0,LOG(Table2[[#This Row],[Target age]]))</f>
        <v>0</v>
      </c>
      <c r="G92" s="59">
        <v>2.85</v>
      </c>
      <c r="H92" s="59">
        <f t="shared" si="7"/>
        <v>0.45484486000851021</v>
      </c>
      <c r="I92" s="60">
        <f>IF(Table2[[#This Row],[Culture]]=0,0,LOG(Table2[[#This Row],[Culture]]))</f>
        <v>2.9132839017604186</v>
      </c>
      <c r="J92" s="60">
        <f>LOG(1+Table2[[#This Row],[S&amp;P]])</f>
        <v>7.9181246047624818E-2</v>
      </c>
      <c r="K92" s="50">
        <v>1.2304489213782739</v>
      </c>
      <c r="L92" s="50">
        <v>70</v>
      </c>
      <c r="M92" s="50">
        <f t="shared" si="8"/>
        <v>1.8450980400142569</v>
      </c>
      <c r="N92" s="62">
        <v>33.9</v>
      </c>
      <c r="O92" s="62">
        <f t="shared" si="9"/>
        <v>1.5301996982030821</v>
      </c>
      <c r="P92" s="63">
        <v>46.312020505412598</v>
      </c>
      <c r="Q92" s="63">
        <f t="shared" si="10"/>
        <v>1.6656937288498501</v>
      </c>
      <c r="R92" s="50">
        <f>LOG(Table2[[#This Row],[generalist]])</f>
        <v>3.0958500844125241</v>
      </c>
      <c r="S92" s="50">
        <f>LOG(Table2[[#This Row],[country divers.]])</f>
        <v>3.5078178355445662</v>
      </c>
      <c r="T92" s="50">
        <f>LOG(Table2[[#This Row],[Firm Size]])</f>
        <v>8.4771212547196626</v>
      </c>
      <c r="U92">
        <v>8</v>
      </c>
      <c r="V92" s="137">
        <f t="shared" si="11"/>
        <v>1</v>
      </c>
    </row>
    <row r="93" spans="1:22" x14ac:dyDescent="0.35">
      <c r="A93" s="67" t="s">
        <v>2</v>
      </c>
      <c r="B93" s="52">
        <v>-0.74978649618430626</v>
      </c>
      <c r="C93" s="52">
        <v>5.3835616438356162</v>
      </c>
      <c r="D93" s="50">
        <f t="shared" si="6"/>
        <v>0.73106969025497082</v>
      </c>
      <c r="E93" s="52">
        <f>IF(Table2[[#This Row],[Geo Distance]]=0,0,LOG(Table2[[#This Row],[Geo Distance]]))</f>
        <v>3.8335123778512705</v>
      </c>
      <c r="F93" s="52">
        <f>IF(Table2[[#This Row],[Target age]]=0,0,LOG(Table2[[#This Row],[Target age]]))</f>
        <v>1.6232492903979006</v>
      </c>
      <c r="G93" s="65">
        <v>2.85</v>
      </c>
      <c r="H93" s="59">
        <f t="shared" si="7"/>
        <v>0.45484486000851021</v>
      </c>
      <c r="I93" s="53">
        <f>IF(Table2[[#This Row],[Culture]]=0,0,LOG(Table2[[#This Row],[Culture]]))</f>
        <v>2.9132839017604186</v>
      </c>
      <c r="J93" s="53">
        <f>LOG(1+Table2[[#This Row],[S&amp;P]])</f>
        <v>-4.3648054024500883E-3</v>
      </c>
      <c r="K93" s="52">
        <v>1.3424226808222062</v>
      </c>
      <c r="L93" s="52">
        <v>88.9</v>
      </c>
      <c r="M93" s="50">
        <f t="shared" si="8"/>
        <v>1.9489017609702137</v>
      </c>
      <c r="N93" s="55">
        <v>34.9</v>
      </c>
      <c r="O93" s="62">
        <f t="shared" si="9"/>
        <v>1.5428254269591799</v>
      </c>
      <c r="P93" s="56">
        <v>42.817370475444001</v>
      </c>
      <c r="Q93" s="63">
        <f t="shared" si="10"/>
        <v>1.6316199926391717</v>
      </c>
      <c r="R93" s="52">
        <f>LOG(Table2[[#This Row],[generalist]])</f>
        <v>3.3647319918335836</v>
      </c>
      <c r="S93" s="52">
        <f>LOG(Table2[[#This Row],[country divers.]])</f>
        <v>3.568659604598353</v>
      </c>
      <c r="T93" s="52">
        <f>LOG(Table2[[#This Row],[Firm Size]])</f>
        <v>9.1139433523068369</v>
      </c>
      <c r="U93">
        <v>1</v>
      </c>
      <c r="V93" s="137">
        <f t="shared" si="11"/>
        <v>1</v>
      </c>
    </row>
    <row r="94" spans="1:22" x14ac:dyDescent="0.35">
      <c r="A94" s="49" t="s">
        <v>2</v>
      </c>
      <c r="B94" s="50">
        <v>0.46239799789895608</v>
      </c>
      <c r="C94" s="50">
        <v>3.7095890410958905</v>
      </c>
      <c r="D94" s="50">
        <f t="shared" si="6"/>
        <v>0.56932579989265086</v>
      </c>
      <c r="E94" s="50">
        <f>IF(Table2[[#This Row],[Geo Distance]]=0,0,LOG(Table2[[#This Row],[Geo Distance]]))</f>
        <v>3.8335123778512705</v>
      </c>
      <c r="F94" s="50">
        <f>IF(Table2[[#This Row],[Target age]]=0,0,LOG(Table2[[#This Row],[Target age]]))</f>
        <v>2.0453229787866576</v>
      </c>
      <c r="G94" s="59">
        <v>2.85</v>
      </c>
      <c r="H94" s="59">
        <f t="shared" si="7"/>
        <v>0.45484486000851021</v>
      </c>
      <c r="I94" s="60">
        <f>IF(Table2[[#This Row],[Culture]]=0,0,LOG(Table2[[#This Row],[Culture]]))</f>
        <v>2.9132839017604186</v>
      </c>
      <c r="J94" s="60">
        <f>LOG(1+Table2[[#This Row],[S&amp;P]])</f>
        <v>0.17897694729316943</v>
      </c>
      <c r="K94" s="50">
        <v>1.255272505103306</v>
      </c>
      <c r="L94" s="50">
        <v>70</v>
      </c>
      <c r="M94" s="50">
        <f t="shared" si="8"/>
        <v>1.8450980400142569</v>
      </c>
      <c r="N94" s="62">
        <v>34.6</v>
      </c>
      <c r="O94" s="62">
        <f t="shared" si="9"/>
        <v>1.5390760987927767</v>
      </c>
      <c r="P94" s="63">
        <v>47.8156192569637</v>
      </c>
      <c r="Q94" s="63">
        <f t="shared" si="10"/>
        <v>1.6795697846681461</v>
      </c>
      <c r="R94" s="50">
        <f>LOG(Table2[[#This Row],[generalist]])</f>
        <v>3.3647319918335836</v>
      </c>
      <c r="S94" s="50">
        <f>LOG(Table2[[#This Row],[country divers.]])</f>
        <v>3.568659604598353</v>
      </c>
      <c r="T94" s="50">
        <f>LOG(Table2[[#This Row],[Firm Size]])</f>
        <v>8.6989700043360187</v>
      </c>
      <c r="U94">
        <v>1</v>
      </c>
      <c r="V94" s="137">
        <f t="shared" si="11"/>
        <v>1</v>
      </c>
    </row>
    <row r="95" spans="1:22" x14ac:dyDescent="0.35">
      <c r="A95" s="67" t="s">
        <v>2</v>
      </c>
      <c r="B95" s="52">
        <v>0.18247805771708187</v>
      </c>
      <c r="C95" s="52">
        <v>4.3260273972602743</v>
      </c>
      <c r="D95" s="50">
        <f t="shared" si="6"/>
        <v>0.63608926555181955</v>
      </c>
      <c r="E95" s="52">
        <f>IF(Table2[[#This Row],[Geo Distance]]=0,0,LOG(Table2[[#This Row],[Geo Distance]]))</f>
        <v>3.1186680720643172</v>
      </c>
      <c r="F95" s="52">
        <f>IF(Table2[[#This Row],[Target age]]=0,0,LOG(Table2[[#This Row],[Target age]]))</f>
        <v>1.0413926851582251</v>
      </c>
      <c r="G95" s="65">
        <v>3.13</v>
      </c>
      <c r="H95" s="59">
        <f t="shared" si="7"/>
        <v>0.49554433754644844</v>
      </c>
      <c r="I95" s="53">
        <f>IF(Table2[[#This Row],[Culture]]=0,0,LOG(Table2[[#This Row],[Culture]]))</f>
        <v>3.0707764628434346</v>
      </c>
      <c r="J95" s="53">
        <f>LOG(1+Table2[[#This Row],[S&amp;P]])</f>
        <v>0.22271647114758325</v>
      </c>
      <c r="K95" s="52">
        <v>1.255272505103306</v>
      </c>
      <c r="L95" s="52">
        <v>90.5</v>
      </c>
      <c r="M95" s="50">
        <f t="shared" si="8"/>
        <v>1.9566485792052033</v>
      </c>
      <c r="N95" s="55">
        <v>36.4</v>
      </c>
      <c r="O95" s="62">
        <f t="shared" si="9"/>
        <v>1.5611013836490559</v>
      </c>
      <c r="P95" s="56">
        <v>44.295389122127702</v>
      </c>
      <c r="Q95" s="63">
        <f t="shared" si="10"/>
        <v>1.6463585211883986</v>
      </c>
      <c r="R95" s="52">
        <f>LOG(Table2[[#This Row],[generalist]])</f>
        <v>3.1616209089088487</v>
      </c>
      <c r="S95" s="52">
        <f>LOG(Table2[[#This Row],[country divers.]])</f>
        <v>3.7997633234477775</v>
      </c>
      <c r="T95" s="52">
        <f>LOG(Table2[[#This Row],[Firm Size]])</f>
        <v>9.2552725051033065</v>
      </c>
      <c r="U95">
        <v>2</v>
      </c>
      <c r="V95" s="137">
        <f t="shared" si="11"/>
        <v>1</v>
      </c>
    </row>
    <row r="96" spans="1:22" x14ac:dyDescent="0.35">
      <c r="A96" s="49" t="s">
        <v>2</v>
      </c>
      <c r="B96" s="50">
        <v>0.16071639748872701</v>
      </c>
      <c r="C96" s="50">
        <v>3.5342465753424657</v>
      </c>
      <c r="D96" s="50">
        <f t="shared" si="6"/>
        <v>0.54829684584277427</v>
      </c>
      <c r="E96" s="50">
        <f>IF(Table2[[#This Row],[Geo Distance]]=0,0,LOG(Table2[[#This Row],[Geo Distance]]))</f>
        <v>3.1186680720643172</v>
      </c>
      <c r="F96" s="50">
        <f>IF(Table2[[#This Row],[Target age]]=0,0,LOG(Table2[[#This Row],[Target age]]))</f>
        <v>2.2253092817258628</v>
      </c>
      <c r="G96" s="59">
        <v>3.13</v>
      </c>
      <c r="H96" s="59">
        <f t="shared" si="7"/>
        <v>0.49554433754644844</v>
      </c>
      <c r="I96" s="60">
        <f>IF(Table2[[#This Row],[Culture]]=0,0,LOG(Table2[[#This Row],[Culture]]))</f>
        <v>3.0707764628434346</v>
      </c>
      <c r="J96" s="60">
        <f>LOG(1+Table2[[#This Row],[S&amp;P]])</f>
        <v>0.17897694729316943</v>
      </c>
      <c r="K96" s="50">
        <v>1.2041199826559248</v>
      </c>
      <c r="L96" s="50">
        <v>89.6</v>
      </c>
      <c r="M96" s="50">
        <f t="shared" si="8"/>
        <v>1.9523080096621253</v>
      </c>
      <c r="N96" s="62">
        <v>35</v>
      </c>
      <c r="O96" s="62">
        <f t="shared" si="9"/>
        <v>1.5440680443502757</v>
      </c>
      <c r="P96" s="63">
        <v>47.255451423610303</v>
      </c>
      <c r="Q96" s="63">
        <f t="shared" si="10"/>
        <v>1.6744519162659719</v>
      </c>
      <c r="R96" s="50">
        <f>LOG(Table2[[#This Row],[generalist]])</f>
        <v>3.1616209089088487</v>
      </c>
      <c r="S96" s="50">
        <f>LOG(Table2[[#This Row],[country divers.]])</f>
        <v>3.7997633234477775</v>
      </c>
      <c r="T96" s="50">
        <f>LOG(Table2[[#This Row],[Firm Size]])</f>
        <v>9.3617278360175931</v>
      </c>
      <c r="U96">
        <v>4</v>
      </c>
      <c r="V96" s="137">
        <f t="shared" si="11"/>
        <v>1</v>
      </c>
    </row>
    <row r="97" spans="1:22" x14ac:dyDescent="0.35">
      <c r="A97" s="67" t="s">
        <v>2</v>
      </c>
      <c r="B97" s="52">
        <v>0.27056849090355672</v>
      </c>
      <c r="C97" s="52">
        <v>8.7561643835616429</v>
      </c>
      <c r="D97" s="50">
        <f t="shared" si="6"/>
        <v>0.94231390618547906</v>
      </c>
      <c r="E97" s="52">
        <f>IF(Table2[[#This Row],[Geo Distance]]=0,0,LOG(Table2[[#This Row],[Geo Distance]]))</f>
        <v>3.1186680720643172</v>
      </c>
      <c r="F97" s="52">
        <f>IF(Table2[[#This Row],[Target age]]=0,0,LOG(Table2[[#This Row],[Target age]]))</f>
        <v>0.47712125471966244</v>
      </c>
      <c r="G97" s="65">
        <v>3.13</v>
      </c>
      <c r="H97" s="59">
        <f t="shared" si="7"/>
        <v>0.49554433754644844</v>
      </c>
      <c r="I97" s="53">
        <f>IF(Table2[[#This Row],[Culture]]=0,0,LOG(Table2[[#This Row],[Culture]]))</f>
        <v>3.0707764628434346</v>
      </c>
      <c r="J97" s="53">
        <f>LOG(1+Table2[[#This Row],[S&amp;P]])</f>
        <v>0.26717172840301384</v>
      </c>
      <c r="K97" s="52">
        <v>1.146128035678238</v>
      </c>
      <c r="L97" s="52">
        <v>89.9</v>
      </c>
      <c r="M97" s="50">
        <f t="shared" si="8"/>
        <v>1.9537596917332287</v>
      </c>
      <c r="N97" s="55">
        <v>35.4</v>
      </c>
      <c r="O97" s="62">
        <f t="shared" si="9"/>
        <v>1.5490032620257879</v>
      </c>
      <c r="P97" s="56">
        <v>43.572845019400901</v>
      </c>
      <c r="Q97" s="63">
        <f t="shared" si="10"/>
        <v>1.6392159174268797</v>
      </c>
      <c r="R97" s="52">
        <f>LOG(Table2[[#This Row],[generalist]])</f>
        <v>3.1616209089088487</v>
      </c>
      <c r="S97" s="52">
        <f>LOG(Table2[[#This Row],[country divers.]])</f>
        <v>3.7997633234477775</v>
      </c>
      <c r="T97" s="52">
        <f>LOG(Table2[[#This Row],[Firm Size]])</f>
        <v>8.658850434810736</v>
      </c>
      <c r="U97">
        <v>10</v>
      </c>
      <c r="V97" s="137">
        <f t="shared" si="11"/>
        <v>1</v>
      </c>
    </row>
    <row r="98" spans="1:22" x14ac:dyDescent="0.35">
      <c r="A98" s="49" t="s">
        <v>2</v>
      </c>
      <c r="B98" s="50">
        <v>1.727101358167259</v>
      </c>
      <c r="C98" s="50">
        <v>4.904109589041096</v>
      </c>
      <c r="D98" s="50">
        <f t="shared" si="6"/>
        <v>0.69056016652341845</v>
      </c>
      <c r="E98" s="50">
        <f>IF(Table2[[#This Row],[Geo Distance]]=0,0,LOG(Table2[[#This Row],[Geo Distance]]))</f>
        <v>3.1186680720643172</v>
      </c>
      <c r="F98" s="50">
        <f>IF(Table2[[#This Row],[Target age]]=0,0,LOG(Table2[[#This Row],[Target age]]))</f>
        <v>0.69897000433601886</v>
      </c>
      <c r="G98" s="59">
        <v>3.13</v>
      </c>
      <c r="H98" s="59">
        <f t="shared" si="7"/>
        <v>0.49554433754644844</v>
      </c>
      <c r="I98" s="60">
        <f>IF(Table2[[#This Row],[Culture]]=0,0,LOG(Table2[[#This Row],[Culture]]))</f>
        <v>3.0707764628434346</v>
      </c>
      <c r="J98" s="60">
        <f>LOG(1+Table2[[#This Row],[S&amp;P]])</f>
        <v>-4.3648054024500883E-3</v>
      </c>
      <c r="K98" s="50">
        <v>1.0791812460476249</v>
      </c>
      <c r="L98" s="50">
        <v>89.1</v>
      </c>
      <c r="M98" s="50">
        <f t="shared" si="8"/>
        <v>1.9498777040368747</v>
      </c>
      <c r="N98" s="62">
        <v>34.5</v>
      </c>
      <c r="O98" s="62">
        <f t="shared" si="9"/>
        <v>1.5378190950732742</v>
      </c>
      <c r="P98" s="63">
        <v>44.696333437793797</v>
      </c>
      <c r="Q98" s="63">
        <f t="shared" si="10"/>
        <v>1.6502718982315996</v>
      </c>
      <c r="R98" s="50">
        <f>LOG(Table2[[#This Row],[generalist]])</f>
        <v>3.1616209089088487</v>
      </c>
      <c r="S98" s="50">
        <f>LOG(Table2[[#This Row],[country divers.]])</f>
        <v>3.7997633234477775</v>
      </c>
      <c r="T98" s="50">
        <f>LOG(Table2[[#This Row],[Firm Size]])</f>
        <v>9.1139433523068369</v>
      </c>
      <c r="U98">
        <v>4</v>
      </c>
      <c r="V98" s="137">
        <f t="shared" si="11"/>
        <v>1</v>
      </c>
    </row>
    <row r="99" spans="1:22" x14ac:dyDescent="0.35">
      <c r="A99" s="67" t="s">
        <v>2</v>
      </c>
      <c r="B99" s="52">
        <v>0.28243350717232268</v>
      </c>
      <c r="C99" s="52">
        <v>10.736986301369862</v>
      </c>
      <c r="D99" s="50">
        <f t="shared" si="6"/>
        <v>1.0308823990216278</v>
      </c>
      <c r="E99" s="52">
        <f>IF(Table2[[#This Row],[Geo Distance]]=0,0,LOG(Table2[[#This Row],[Geo Distance]]))</f>
        <v>3.1186680720643172</v>
      </c>
      <c r="F99" s="52">
        <f>IF(Table2[[#This Row],[Target age]]=0,0,LOG(Table2[[#This Row],[Target age]]))</f>
        <v>1.255272505103306</v>
      </c>
      <c r="G99" s="65">
        <v>3.13</v>
      </c>
      <c r="H99" s="59">
        <f t="shared" si="7"/>
        <v>0.49554433754644844</v>
      </c>
      <c r="I99" s="53">
        <f>IF(Table2[[#This Row],[Culture]]=0,0,LOG(Table2[[#This Row],[Culture]]))</f>
        <v>3.0707764628434346</v>
      </c>
      <c r="J99" s="53">
        <f>LOG(1+Table2[[#This Row],[S&amp;P]])</f>
        <v>-0.23657200643706267</v>
      </c>
      <c r="K99" s="52">
        <v>1.3222192947339193</v>
      </c>
      <c r="L99" s="52">
        <v>88.2</v>
      </c>
      <c r="M99" s="50">
        <f t="shared" si="8"/>
        <v>1.9454685851318196</v>
      </c>
      <c r="N99" s="55">
        <v>37</v>
      </c>
      <c r="O99" s="62">
        <f t="shared" si="9"/>
        <v>1.568201724066995</v>
      </c>
      <c r="P99" s="56">
        <v>43.709255262622698</v>
      </c>
      <c r="Q99" s="63">
        <f t="shared" si="10"/>
        <v>1.6405734068536693</v>
      </c>
      <c r="R99" s="52">
        <f>LOG(Table2[[#This Row],[generalist]])</f>
        <v>3.1616209089088487</v>
      </c>
      <c r="S99" s="52">
        <f>LOG(Table2[[#This Row],[country divers.]])</f>
        <v>3.7997633234477775</v>
      </c>
      <c r="T99" s="52">
        <f>LOG(Table2[[#This Row],[Firm Size]])</f>
        <v>8.6206564798196208</v>
      </c>
      <c r="U99">
        <v>2</v>
      </c>
      <c r="V99" s="137">
        <f t="shared" si="11"/>
        <v>1</v>
      </c>
    </row>
    <row r="100" spans="1:22" x14ac:dyDescent="0.35">
      <c r="A100" s="49" t="s">
        <v>2</v>
      </c>
      <c r="B100" s="50">
        <v>0.59613873729166744</v>
      </c>
      <c r="C100" s="50">
        <v>3.2082191780821918</v>
      </c>
      <c r="D100" s="50">
        <f t="shared" si="6"/>
        <v>0.50626403061588843</v>
      </c>
      <c r="E100" s="50">
        <f>IF(Table2[[#This Row],[Geo Distance]]=0,0,LOG(Table2[[#This Row],[Geo Distance]]))</f>
        <v>3.8335123778512705</v>
      </c>
      <c r="F100" s="50">
        <f>IF(Table2[[#This Row],[Target age]]=0,0,LOG(Table2[[#This Row],[Target age]]))</f>
        <v>0.77815125038364363</v>
      </c>
      <c r="G100" s="59">
        <v>2.85</v>
      </c>
      <c r="H100" s="59">
        <f t="shared" si="7"/>
        <v>0.45484486000851021</v>
      </c>
      <c r="I100" s="60">
        <f>IF(Table2[[#This Row],[Culture]]=0,0,LOG(Table2[[#This Row],[Culture]]))</f>
        <v>2.9132839017604186</v>
      </c>
      <c r="J100" s="60">
        <f>LOG(1+Table2[[#This Row],[S&amp;P]])</f>
        <v>0.22788670461367352</v>
      </c>
      <c r="K100" s="50">
        <v>1.5440680443502757</v>
      </c>
      <c r="L100" s="50">
        <v>89.6</v>
      </c>
      <c r="M100" s="50">
        <f t="shared" si="8"/>
        <v>1.9523080096621253</v>
      </c>
      <c r="N100" s="62">
        <v>35.700000000000003</v>
      </c>
      <c r="O100" s="62">
        <f t="shared" si="9"/>
        <v>1.5526682161121932</v>
      </c>
      <c r="P100" s="63">
        <v>44.7100017757258</v>
      </c>
      <c r="Q100" s="63">
        <f t="shared" si="10"/>
        <v>1.6504046871166989</v>
      </c>
      <c r="R100" s="50">
        <f>LOG(Table2[[#This Row],[generalist]])</f>
        <v>3.0687415514991745</v>
      </c>
      <c r="S100" s="50">
        <f>LOG(Table2[[#This Row],[country divers.]])</f>
        <v>3.5297005493117593</v>
      </c>
      <c r="T100" s="50">
        <f>LOG(Table2[[#This Row],[Firm Size]])</f>
        <v>8.3802112417116064</v>
      </c>
      <c r="U100">
        <v>4</v>
      </c>
      <c r="V100" s="137">
        <f t="shared" si="11"/>
        <v>1</v>
      </c>
    </row>
    <row r="101" spans="1:22" x14ac:dyDescent="0.35">
      <c r="A101" s="67" t="s">
        <v>2</v>
      </c>
      <c r="B101" s="52">
        <v>0.14680170202996193</v>
      </c>
      <c r="C101" s="52">
        <v>4.484931506849315</v>
      </c>
      <c r="D101" s="50">
        <f t="shared" si="6"/>
        <v>0.65175581495546675</v>
      </c>
      <c r="E101" s="52">
        <f>IF(Table2[[#This Row],[Geo Distance]]=0,0,LOG(Table2[[#This Row],[Geo Distance]]))</f>
        <v>3.8335123778512705</v>
      </c>
      <c r="F101" s="52">
        <f>IF(Table2[[#This Row],[Target age]]=0,0,LOG(Table2[[#This Row],[Target age]]))</f>
        <v>2.2013971243204513</v>
      </c>
      <c r="G101" s="65">
        <v>2.85</v>
      </c>
      <c r="H101" s="59">
        <f t="shared" si="7"/>
        <v>0.45484486000851021</v>
      </c>
      <c r="I101" s="53">
        <f>IF(Table2[[#This Row],[Culture]]=0,0,LOG(Table2[[#This Row],[Culture]]))</f>
        <v>2.9132839017604186</v>
      </c>
      <c r="J101" s="53">
        <f>LOG(1+Table2[[#This Row],[S&amp;P]])</f>
        <v>0.22271647114758325</v>
      </c>
      <c r="K101" s="52">
        <v>1.5563025007672873</v>
      </c>
      <c r="L101" s="52">
        <v>90.5</v>
      </c>
      <c r="M101" s="50">
        <f t="shared" si="8"/>
        <v>1.9566485792052033</v>
      </c>
      <c r="N101" s="55">
        <v>36.4</v>
      </c>
      <c r="O101" s="62">
        <f t="shared" si="9"/>
        <v>1.5611013836490559</v>
      </c>
      <c r="P101" s="56">
        <v>44.295389122127702</v>
      </c>
      <c r="Q101" s="63">
        <f t="shared" si="10"/>
        <v>1.6463585211883986</v>
      </c>
      <c r="R101" s="52">
        <f>LOG(Table2[[#This Row],[generalist]])</f>
        <v>3.0687415514991745</v>
      </c>
      <c r="S101" s="52">
        <f>LOG(Table2[[#This Row],[country divers.]])</f>
        <v>3.5297005493117593</v>
      </c>
      <c r="T101" s="52">
        <f>LOG(Table2[[#This Row],[Firm Size]])</f>
        <v>9.0799652852302781</v>
      </c>
      <c r="U101">
        <v>5</v>
      </c>
      <c r="V101" s="137">
        <f t="shared" si="11"/>
        <v>1</v>
      </c>
    </row>
    <row r="102" spans="1:22" x14ac:dyDescent="0.35">
      <c r="A102" s="49" t="s">
        <v>2</v>
      </c>
      <c r="B102" s="50">
        <v>9.4106426575392227E-2</v>
      </c>
      <c r="C102" s="50">
        <v>4.6410958904109592</v>
      </c>
      <c r="D102" s="50">
        <f t="shared" si="6"/>
        <v>0.66662054153821337</v>
      </c>
      <c r="E102" s="50">
        <f>IF(Table2[[#This Row],[Geo Distance]]=0,0,LOG(Table2[[#This Row],[Geo Distance]]))</f>
        <v>3.8335123778512705</v>
      </c>
      <c r="F102" s="50">
        <f>IF(Table2[[#This Row],[Target age]]=0,0,LOG(Table2[[#This Row],[Target age]]))</f>
        <v>0</v>
      </c>
      <c r="G102" s="59">
        <v>2.85</v>
      </c>
      <c r="H102" s="59">
        <f t="shared" si="7"/>
        <v>0.45484486000851021</v>
      </c>
      <c r="I102" s="60">
        <f>IF(Table2[[#This Row],[Culture]]=0,0,LOG(Table2[[#This Row],[Culture]]))</f>
        <v>2.9132839017604186</v>
      </c>
      <c r="J102" s="60">
        <f>LOG(1+Table2[[#This Row],[S&amp;P]])</f>
        <v>-9.6910013008056392E-2</v>
      </c>
      <c r="K102" s="50">
        <v>1.3802112417116059</v>
      </c>
      <c r="L102" s="50">
        <v>70</v>
      </c>
      <c r="M102" s="50">
        <f t="shared" si="8"/>
        <v>1.8450980400142569</v>
      </c>
      <c r="N102" s="62">
        <v>36.200000000000003</v>
      </c>
      <c r="O102" s="62">
        <f t="shared" si="9"/>
        <v>1.5587085705331658</v>
      </c>
      <c r="P102" s="63">
        <v>44.748733746598099</v>
      </c>
      <c r="Q102" s="63">
        <f t="shared" si="10"/>
        <v>1.6507807506095689</v>
      </c>
      <c r="R102" s="50">
        <f>LOG(Table2[[#This Row],[generalist]])</f>
        <v>3.0687415514991745</v>
      </c>
      <c r="S102" s="50">
        <f>LOG(Table2[[#This Row],[country divers.]])</f>
        <v>3.5297005493117593</v>
      </c>
      <c r="T102" s="50">
        <f>LOG(Table2[[#This Row],[Firm Size]])</f>
        <v>8.7086672987165841</v>
      </c>
      <c r="U102">
        <v>4</v>
      </c>
      <c r="V102" s="137">
        <f t="shared" si="11"/>
        <v>1</v>
      </c>
    </row>
    <row r="103" spans="1:22" x14ac:dyDescent="0.35">
      <c r="A103" s="67" t="s">
        <v>2</v>
      </c>
      <c r="B103" s="52">
        <v>-9.2529421534301021E-2</v>
      </c>
      <c r="C103" s="52">
        <v>1.1808219178082191</v>
      </c>
      <c r="D103" s="50">
        <f t="shared" si="6"/>
        <v>7.2184405704256868E-2</v>
      </c>
      <c r="E103" s="52">
        <f>IF(Table2[[#This Row],[Geo Distance]]=0,0,LOG(Table2[[#This Row],[Geo Distance]]))</f>
        <v>3.8335123778512705</v>
      </c>
      <c r="F103" s="52">
        <f>IF(Table2[[#This Row],[Target age]]=0,0,LOG(Table2[[#This Row],[Target age]]))</f>
        <v>1.8388490907372552</v>
      </c>
      <c r="G103" s="65">
        <v>2.85</v>
      </c>
      <c r="H103" s="59">
        <f t="shared" si="7"/>
        <v>0.45484486000851021</v>
      </c>
      <c r="I103" s="53">
        <f>IF(Table2[[#This Row],[Culture]]=0,0,LOG(Table2[[#This Row],[Culture]]))</f>
        <v>2.9132839017604186</v>
      </c>
      <c r="J103" s="53">
        <f>LOG(1+Table2[[#This Row],[S&amp;P]])</f>
        <v>4.1392685158225077E-2</v>
      </c>
      <c r="K103" s="52">
        <v>1.4313637641589874</v>
      </c>
      <c r="L103" s="52">
        <v>70</v>
      </c>
      <c r="M103" s="50">
        <f t="shared" si="8"/>
        <v>1.8450980400142569</v>
      </c>
      <c r="N103" s="55">
        <v>34.6</v>
      </c>
      <c r="O103" s="62">
        <f t="shared" si="9"/>
        <v>1.5390760987927767</v>
      </c>
      <c r="P103" s="56">
        <v>47.8156192569637</v>
      </c>
      <c r="Q103" s="63">
        <f t="shared" si="10"/>
        <v>1.6795697846681461</v>
      </c>
      <c r="R103" s="52">
        <f>LOG(Table2[[#This Row],[generalist]])</f>
        <v>3.0687415514991745</v>
      </c>
      <c r="S103" s="52">
        <f>LOG(Table2[[#This Row],[country divers.]])</f>
        <v>3.5297005493117593</v>
      </c>
      <c r="T103" s="52">
        <f>LOG(Table2[[#This Row],[Firm Size]])</f>
        <v>9.248190168290872</v>
      </c>
      <c r="U103">
        <v>1</v>
      </c>
      <c r="V103" s="137">
        <f t="shared" si="11"/>
        <v>1</v>
      </c>
    </row>
    <row r="104" spans="1:22" x14ac:dyDescent="0.35">
      <c r="A104" s="49" t="s">
        <v>2</v>
      </c>
      <c r="B104" s="50">
        <v>0.27152736859654975</v>
      </c>
      <c r="C104" s="50">
        <v>2.6273972602739728</v>
      </c>
      <c r="D104" s="50">
        <f t="shared" si="6"/>
        <v>0.41952574271418891</v>
      </c>
      <c r="E104" s="50">
        <f>IF(Table2[[#This Row],[Geo Distance]]=0,0,LOG(Table2[[#This Row],[Geo Distance]]))</f>
        <v>3.8335123778512705</v>
      </c>
      <c r="F104" s="50">
        <f>IF(Table2[[#This Row],[Target age]]=0,0,LOG(Table2[[#This Row],[Target age]]))</f>
        <v>2.0086001717619175</v>
      </c>
      <c r="G104" s="59">
        <v>2.85</v>
      </c>
      <c r="H104" s="59">
        <f t="shared" si="7"/>
        <v>0.45484486000851021</v>
      </c>
      <c r="I104" s="60">
        <f>IF(Table2[[#This Row],[Culture]]=0,0,LOG(Table2[[#This Row],[Culture]]))</f>
        <v>2.9132839017604186</v>
      </c>
      <c r="J104" s="60">
        <f>LOG(1+Table2[[#This Row],[S&amp;P]])</f>
        <v>0.16731733474817609</v>
      </c>
      <c r="K104" s="50">
        <v>1.4471580313422192</v>
      </c>
      <c r="L104" s="50">
        <v>90.5</v>
      </c>
      <c r="M104" s="50">
        <f t="shared" si="8"/>
        <v>1.9566485792052033</v>
      </c>
      <c r="N104" s="62">
        <v>36.4</v>
      </c>
      <c r="O104" s="62">
        <f t="shared" si="9"/>
        <v>1.5611013836490559</v>
      </c>
      <c r="P104" s="63">
        <v>44.295389122127702</v>
      </c>
      <c r="Q104" s="63">
        <f t="shared" si="10"/>
        <v>1.6463585211883986</v>
      </c>
      <c r="R104" s="50">
        <f>LOG(Table2[[#This Row],[generalist]])</f>
        <v>3.0962405795987471</v>
      </c>
      <c r="S104" s="50">
        <f>LOG(Table2[[#This Row],[country divers.]])</f>
        <v>3.4010931514437841</v>
      </c>
      <c r="T104" s="50">
        <f>LOG(Table2[[#This Row],[Firm Size]])</f>
        <v>9.1756306627456699</v>
      </c>
      <c r="U104">
        <v>5</v>
      </c>
      <c r="V104" s="137">
        <f t="shared" si="11"/>
        <v>1</v>
      </c>
    </row>
    <row r="105" spans="1:22" x14ac:dyDescent="0.35">
      <c r="A105" s="67" t="s">
        <v>2</v>
      </c>
      <c r="B105" s="52">
        <v>0.19531422369159093</v>
      </c>
      <c r="C105" s="52">
        <v>3.2136986301369861</v>
      </c>
      <c r="D105" s="50">
        <f t="shared" si="6"/>
        <v>0.50700514765905447</v>
      </c>
      <c r="E105" s="52">
        <f>IF(Table2[[#This Row],[Geo Distance]]=0,0,LOG(Table2[[#This Row],[Geo Distance]]))</f>
        <v>3.8335123778512705</v>
      </c>
      <c r="F105" s="52">
        <f>IF(Table2[[#This Row],[Target age]]=0,0,LOG(Table2[[#This Row],[Target age]]))</f>
        <v>1.3424226808222062</v>
      </c>
      <c r="G105" s="65">
        <v>2.85</v>
      </c>
      <c r="H105" s="59">
        <f t="shared" si="7"/>
        <v>0.45484486000851021</v>
      </c>
      <c r="I105" s="53">
        <f>IF(Table2[[#This Row],[Culture]]=0,0,LOG(Table2[[#This Row],[Culture]]))</f>
        <v>2.9132839017604186</v>
      </c>
      <c r="J105" s="53">
        <f>LOG(1+Table2[[#This Row],[S&amp;P]])</f>
        <v>4.5322978786657475E-2</v>
      </c>
      <c r="K105" s="52">
        <v>1.255272505103306</v>
      </c>
      <c r="L105" s="52">
        <v>70</v>
      </c>
      <c r="M105" s="50">
        <f t="shared" si="8"/>
        <v>1.8450980400142569</v>
      </c>
      <c r="N105" s="55">
        <v>34.4</v>
      </c>
      <c r="O105" s="62">
        <f t="shared" si="9"/>
        <v>1.5365584425715302</v>
      </c>
      <c r="P105" s="56">
        <v>47.264053157349203</v>
      </c>
      <c r="Q105" s="63">
        <f t="shared" si="10"/>
        <v>1.6745309620782511</v>
      </c>
      <c r="R105" s="52">
        <f>LOG(Table2[[#This Row],[generalist]])</f>
        <v>3.0962405795987471</v>
      </c>
      <c r="S105" s="52">
        <f>LOG(Table2[[#This Row],[country divers.]])</f>
        <v>3.4010931514437841</v>
      </c>
      <c r="T105" s="52">
        <f>LOG(Table2[[#This Row],[Firm Size]])</f>
        <v>8.5740312677277188</v>
      </c>
      <c r="U105">
        <v>7</v>
      </c>
      <c r="V105" s="137">
        <f t="shared" si="11"/>
        <v>1</v>
      </c>
    </row>
    <row r="106" spans="1:22" x14ac:dyDescent="0.35">
      <c r="A106" s="49" t="s">
        <v>2</v>
      </c>
      <c r="B106" s="50">
        <v>1.3513916382751612</v>
      </c>
      <c r="C106" s="50">
        <v>1.5506849315068494</v>
      </c>
      <c r="D106" s="50">
        <f t="shared" si="6"/>
        <v>0.19052356673179674</v>
      </c>
      <c r="E106" s="50">
        <f>IF(Table2[[#This Row],[Geo Distance]]=0,0,LOG(Table2[[#This Row],[Geo Distance]]))</f>
        <v>3.8335123778512705</v>
      </c>
      <c r="F106" s="50">
        <f>IF(Table2[[#This Row],[Target age]]=0,0,LOG(Table2[[#This Row],[Target age]]))</f>
        <v>2.4377505628203879</v>
      </c>
      <c r="G106" s="59">
        <v>2.85</v>
      </c>
      <c r="H106" s="59">
        <f t="shared" si="7"/>
        <v>0.45484486000851021</v>
      </c>
      <c r="I106" s="60">
        <f>IF(Table2[[#This Row],[Culture]]=0,0,LOG(Table2[[#This Row],[Culture]]))</f>
        <v>2.9132839017604186</v>
      </c>
      <c r="J106" s="60">
        <f>LOG(1+Table2[[#This Row],[S&amp;P]])</f>
        <v>4.5322978786657475E-2</v>
      </c>
      <c r="K106" s="50">
        <v>1.3010299956639813</v>
      </c>
      <c r="L106" s="50">
        <v>70</v>
      </c>
      <c r="M106" s="50">
        <f t="shared" si="8"/>
        <v>1.8450980400142569</v>
      </c>
      <c r="N106" s="62">
        <v>33.9</v>
      </c>
      <c r="O106" s="62">
        <f t="shared" si="9"/>
        <v>1.5301996982030821</v>
      </c>
      <c r="P106" s="63">
        <v>46.312020505412598</v>
      </c>
      <c r="Q106" s="63">
        <f t="shared" si="10"/>
        <v>1.6656937288498501</v>
      </c>
      <c r="R106" s="50">
        <f>LOG(Table2[[#This Row],[generalist]])</f>
        <v>3.0962405795987471</v>
      </c>
      <c r="S106" s="50">
        <f>LOG(Table2[[#This Row],[country divers.]])</f>
        <v>3.4010931514437841</v>
      </c>
      <c r="T106" s="50">
        <f>LOG(Table2[[#This Row],[Firm Size]])</f>
        <v>7.6900010468830642</v>
      </c>
      <c r="U106">
        <v>1</v>
      </c>
      <c r="V106" s="137">
        <f t="shared" si="11"/>
        <v>1</v>
      </c>
    </row>
    <row r="107" spans="1:22" x14ac:dyDescent="0.35">
      <c r="A107" s="67" t="s">
        <v>2</v>
      </c>
      <c r="B107" s="52">
        <v>0.24178707955854389</v>
      </c>
      <c r="C107" s="52">
        <v>4.1041095890410961</v>
      </c>
      <c r="D107" s="50">
        <f t="shared" si="6"/>
        <v>0.61321894890697304</v>
      </c>
      <c r="E107" s="52">
        <f>IF(Table2[[#This Row],[Geo Distance]]=0,0,LOG(Table2[[#This Row],[Geo Distance]]))</f>
        <v>2.9624593110290154</v>
      </c>
      <c r="F107" s="52">
        <f>IF(Table2[[#This Row],[Target age]]=0,0,LOG(Table2[[#This Row],[Target age]]))</f>
        <v>2.0413926851582249</v>
      </c>
      <c r="G107" s="65">
        <v>2.62</v>
      </c>
      <c r="H107" s="59">
        <f t="shared" si="7"/>
        <v>0.41830129131974547</v>
      </c>
      <c r="I107" s="53">
        <f>IF(Table2[[#This Row],[Culture]]=0,0,LOG(Table2[[#This Row],[Culture]]))</f>
        <v>2.9317967661271176</v>
      </c>
      <c r="J107" s="53">
        <f>LOG(1+Table2[[#This Row],[S&amp;P]])</f>
        <v>0.1903316981702915</v>
      </c>
      <c r="K107" s="52">
        <v>1.5563025007672873</v>
      </c>
      <c r="L107" s="52">
        <v>92.1</v>
      </c>
      <c r="M107" s="50">
        <f t="shared" si="8"/>
        <v>1.9642596301968489</v>
      </c>
      <c r="N107" s="55">
        <v>36.799999999999997</v>
      </c>
      <c r="O107" s="62">
        <f t="shared" si="9"/>
        <v>1.5658478186735176</v>
      </c>
      <c r="P107" s="56">
        <v>44.688349184782602</v>
      </c>
      <c r="Q107" s="63">
        <f t="shared" si="10"/>
        <v>1.6501943118503011</v>
      </c>
      <c r="R107" s="52">
        <f>LOG(Table2[[#This Row],[generalist]])</f>
        <v>3.0962405795987471</v>
      </c>
      <c r="S107" s="52">
        <f>LOG(Table2[[#This Row],[country divers.]])</f>
        <v>3.4010931514437841</v>
      </c>
      <c r="T107" s="52">
        <f>LOG(Table2[[#This Row],[Firm Size]])</f>
        <v>9.1731862684122749</v>
      </c>
      <c r="U107">
        <v>8</v>
      </c>
      <c r="V107" s="137">
        <f t="shared" si="11"/>
        <v>1</v>
      </c>
    </row>
    <row r="108" spans="1:22" x14ac:dyDescent="0.35">
      <c r="A108" s="49" t="s">
        <v>2</v>
      </c>
      <c r="B108" s="50">
        <v>0.3010299956639812</v>
      </c>
      <c r="C108" s="50">
        <v>5.5972602739726032</v>
      </c>
      <c r="D108" s="50">
        <f t="shared" si="6"/>
        <v>0.74797550217597297</v>
      </c>
      <c r="E108" s="50">
        <f>IF(Table2[[#This Row],[Geo Distance]]=0,0,LOG(Table2[[#This Row],[Geo Distance]]))</f>
        <v>2.9624593110290154</v>
      </c>
      <c r="F108" s="50">
        <f>IF(Table2[[#This Row],[Target age]]=0,0,LOG(Table2[[#This Row],[Target age]]))</f>
        <v>1.505149978319906</v>
      </c>
      <c r="G108" s="59">
        <v>2.62</v>
      </c>
      <c r="H108" s="59">
        <f t="shared" si="7"/>
        <v>0.41830129131974547</v>
      </c>
      <c r="I108" s="60">
        <f>IF(Table2[[#This Row],[Culture]]=0,0,LOG(Table2[[#This Row],[Culture]]))</f>
        <v>2.9317967661271176</v>
      </c>
      <c r="J108" s="60">
        <f>LOG(1+Table2[[#This Row],[S&amp;P]])</f>
        <v>0.2355284469075489</v>
      </c>
      <c r="K108" s="50">
        <v>1.5314789170422551</v>
      </c>
      <c r="L108" s="50">
        <v>89.6</v>
      </c>
      <c r="M108" s="50">
        <f t="shared" si="8"/>
        <v>1.9523080096621253</v>
      </c>
      <c r="N108" s="62">
        <v>35.700000000000003</v>
      </c>
      <c r="O108" s="62">
        <f t="shared" si="9"/>
        <v>1.5526682161121932</v>
      </c>
      <c r="P108" s="63">
        <v>44.7100017757258</v>
      </c>
      <c r="Q108" s="63">
        <f t="shared" si="10"/>
        <v>1.6504046871166989</v>
      </c>
      <c r="R108" s="50">
        <f>LOG(Table2[[#This Row],[generalist]])</f>
        <v>3.0962405795987471</v>
      </c>
      <c r="S108" s="50">
        <f>LOG(Table2[[#This Row],[country divers.]])</f>
        <v>3.4010931514437841</v>
      </c>
      <c r="T108" s="50">
        <f>LOG(Table2[[#This Row],[Firm Size]])</f>
        <v>8.6020599913279625</v>
      </c>
      <c r="U108">
        <v>1</v>
      </c>
      <c r="V108" s="137">
        <f t="shared" si="11"/>
        <v>1</v>
      </c>
    </row>
    <row r="109" spans="1:22" x14ac:dyDescent="0.35">
      <c r="A109" s="67" t="s">
        <v>2</v>
      </c>
      <c r="B109" s="52">
        <v>0.28103336724772754</v>
      </c>
      <c r="C109" s="52">
        <v>1.9150684931506849</v>
      </c>
      <c r="D109" s="50">
        <f t="shared" si="6"/>
        <v>0.28218431128920668</v>
      </c>
      <c r="E109" s="52">
        <f>IF(Table2[[#This Row],[Geo Distance]]=0,0,LOG(Table2[[#This Row],[Geo Distance]]))</f>
        <v>2.9624593110290154</v>
      </c>
      <c r="F109" s="52">
        <f>IF(Table2[[#This Row],[Target age]]=0,0,LOG(Table2[[#This Row],[Target age]]))</f>
        <v>1.1139433523068367</v>
      </c>
      <c r="G109" s="65">
        <v>2.62</v>
      </c>
      <c r="H109" s="59">
        <f t="shared" si="7"/>
        <v>0.41830129131974547</v>
      </c>
      <c r="I109" s="53">
        <f>IF(Table2[[#This Row],[Culture]]=0,0,LOG(Table2[[#This Row],[Culture]]))</f>
        <v>2.9317967661271176</v>
      </c>
      <c r="J109" s="53">
        <f>LOG(1+Table2[[#This Row],[S&amp;P]])</f>
        <v>5.3078443483419682E-2</v>
      </c>
      <c r="K109" s="52">
        <v>1.8976270912904414</v>
      </c>
      <c r="L109" s="52">
        <v>92.1</v>
      </c>
      <c r="M109" s="50">
        <f t="shared" si="8"/>
        <v>1.9642596301968489</v>
      </c>
      <c r="N109" s="55">
        <v>36.799999999999997</v>
      </c>
      <c r="O109" s="62">
        <f t="shared" si="9"/>
        <v>1.5658478186735176</v>
      </c>
      <c r="P109" s="56">
        <v>44.688349184782602</v>
      </c>
      <c r="Q109" s="63">
        <f t="shared" si="10"/>
        <v>1.6501943118503011</v>
      </c>
      <c r="R109" s="52">
        <f>LOG(Table2[[#This Row],[generalist]])</f>
        <v>3.3314213062933389</v>
      </c>
      <c r="S109" s="52">
        <f>LOG(Table2[[#This Row],[country divers.]])</f>
        <v>3.884802064783424</v>
      </c>
      <c r="T109" s="52">
        <f>LOG(Table2[[#This Row],[Firm Size]])</f>
        <v>8.6989700043360187</v>
      </c>
      <c r="U109">
        <v>8</v>
      </c>
      <c r="V109" s="137">
        <f t="shared" si="11"/>
        <v>1</v>
      </c>
    </row>
    <row r="110" spans="1:22" x14ac:dyDescent="0.35">
      <c r="A110" s="49" t="s">
        <v>2</v>
      </c>
      <c r="B110" s="50">
        <v>1.4332609045847848</v>
      </c>
      <c r="C110" s="50">
        <v>4.9835616438356167</v>
      </c>
      <c r="D110" s="50">
        <f t="shared" si="6"/>
        <v>0.69753983460700886</v>
      </c>
      <c r="E110" s="50">
        <f>IF(Table2[[#This Row],[Geo Distance]]=0,0,LOG(Table2[[#This Row],[Geo Distance]]))</f>
        <v>2.9624593110290154</v>
      </c>
      <c r="F110" s="50">
        <f>IF(Table2[[#This Row],[Target age]]=0,0,LOG(Table2[[#This Row],[Target age]]))</f>
        <v>1.2304489213782739</v>
      </c>
      <c r="G110" s="59">
        <v>2.62</v>
      </c>
      <c r="H110" s="59">
        <f t="shared" si="7"/>
        <v>0.41830129131974547</v>
      </c>
      <c r="I110" s="60">
        <f>IF(Table2[[#This Row],[Culture]]=0,0,LOG(Table2[[#This Row],[Culture]]))</f>
        <v>2.9317967661271176</v>
      </c>
      <c r="J110" s="60">
        <f>LOG(1+Table2[[#This Row],[S&amp;P]])</f>
        <v>0.2355284469075489</v>
      </c>
      <c r="K110" s="50">
        <v>1.0791812460476249</v>
      </c>
      <c r="L110" s="50">
        <v>90.5</v>
      </c>
      <c r="M110" s="50">
        <f t="shared" si="8"/>
        <v>1.9566485792052033</v>
      </c>
      <c r="N110" s="62">
        <v>36.4</v>
      </c>
      <c r="O110" s="62">
        <f t="shared" si="9"/>
        <v>1.5611013836490559</v>
      </c>
      <c r="P110" s="63">
        <v>44.295389122127702</v>
      </c>
      <c r="Q110" s="63">
        <f t="shared" si="10"/>
        <v>1.6463585211883986</v>
      </c>
      <c r="R110" s="50">
        <f>LOG(Table2[[#This Row],[generalist]])</f>
        <v>3.2860283894181141</v>
      </c>
      <c r="S110" s="50">
        <f>LOG(Table2[[#This Row],[country divers.]])</f>
        <v>3.9098977130890344</v>
      </c>
      <c r="T110" s="50">
        <f>LOG(Table2[[#This Row],[Firm Size]])</f>
        <v>7.1687990867431779</v>
      </c>
      <c r="U110">
        <v>1</v>
      </c>
      <c r="V110" s="137">
        <f t="shared" si="11"/>
        <v>1</v>
      </c>
    </row>
    <row r="111" spans="1:22" x14ac:dyDescent="0.35">
      <c r="A111" s="67" t="s">
        <v>2</v>
      </c>
      <c r="B111" s="52">
        <v>0.22475751901294613</v>
      </c>
      <c r="C111" s="52">
        <v>5.2136986301369861</v>
      </c>
      <c r="D111" s="50">
        <f t="shared" si="6"/>
        <v>0.71714592383054576</v>
      </c>
      <c r="E111" s="52">
        <f>IF(Table2[[#This Row],[Geo Distance]]=0,0,LOG(Table2[[#This Row],[Geo Distance]]))</f>
        <v>2.9624593110290154</v>
      </c>
      <c r="F111" s="52">
        <f>IF(Table2[[#This Row],[Target age]]=0,0,LOG(Table2[[#This Row],[Target age]]))</f>
        <v>1.1760912590556813</v>
      </c>
      <c r="G111" s="65">
        <v>2.62</v>
      </c>
      <c r="H111" s="59">
        <f t="shared" si="7"/>
        <v>0.41830129131974547</v>
      </c>
      <c r="I111" s="53">
        <f>IF(Table2[[#This Row],[Culture]]=0,0,LOG(Table2[[#This Row],[Culture]]))</f>
        <v>2.9317967661271176</v>
      </c>
      <c r="J111" s="53">
        <f>LOG(1+Table2[[#This Row],[S&amp;P]])</f>
        <v>0.2355284469075489</v>
      </c>
      <c r="K111" s="52">
        <v>1</v>
      </c>
      <c r="L111" s="52">
        <v>89.6</v>
      </c>
      <c r="M111" s="50">
        <f t="shared" si="8"/>
        <v>1.9523080096621253</v>
      </c>
      <c r="N111" s="55">
        <v>35</v>
      </c>
      <c r="O111" s="62">
        <f t="shared" si="9"/>
        <v>1.5440680443502757</v>
      </c>
      <c r="P111" s="56">
        <v>47.255451423610303</v>
      </c>
      <c r="Q111" s="63">
        <f t="shared" si="10"/>
        <v>1.6744519162659719</v>
      </c>
      <c r="R111" s="52">
        <f>LOG(Table2[[#This Row],[generalist]])</f>
        <v>3.2860283894181141</v>
      </c>
      <c r="S111" s="52">
        <f>LOG(Table2[[#This Row],[country divers.]])</f>
        <v>3.9098977130890344</v>
      </c>
      <c r="T111" s="52">
        <f>LOG(Table2[[#This Row],[Firm Size]])</f>
        <v>8.0974617757209728</v>
      </c>
      <c r="U111">
        <v>1</v>
      </c>
      <c r="V111" s="137">
        <f t="shared" si="11"/>
        <v>1</v>
      </c>
    </row>
    <row r="112" spans="1:22" x14ac:dyDescent="0.35">
      <c r="A112" s="49" t="s">
        <v>2</v>
      </c>
      <c r="B112" s="50">
        <v>9.691001300805642E-2</v>
      </c>
      <c r="C112" s="50">
        <v>3.7780821917808218</v>
      </c>
      <c r="D112" s="50">
        <f t="shared" si="6"/>
        <v>0.57727140171937508</v>
      </c>
      <c r="E112" s="50">
        <f>IF(Table2[[#This Row],[Geo Distance]]=0,0,LOG(Table2[[#This Row],[Geo Distance]]))</f>
        <v>2.9624593110290154</v>
      </c>
      <c r="F112" s="50">
        <f>IF(Table2[[#This Row],[Target age]]=0,0,LOG(Table2[[#This Row],[Target age]]))</f>
        <v>1.4471580313422192</v>
      </c>
      <c r="G112" s="59">
        <v>2.62</v>
      </c>
      <c r="H112" s="59">
        <f t="shared" si="7"/>
        <v>0.41830129131974547</v>
      </c>
      <c r="I112" s="60">
        <f>IF(Table2[[#This Row],[Culture]]=0,0,LOG(Table2[[#This Row],[Culture]]))</f>
        <v>2.9317967661271176</v>
      </c>
      <c r="J112" s="60">
        <f>LOG(1+Table2[[#This Row],[S&amp;P]])</f>
        <v>-4.5757490560675115E-2</v>
      </c>
      <c r="K112" s="50">
        <v>0.84509804001425681</v>
      </c>
      <c r="L112" s="50">
        <v>88.9</v>
      </c>
      <c r="M112" s="50">
        <f t="shared" si="8"/>
        <v>1.9489017609702137</v>
      </c>
      <c r="N112" s="62">
        <v>34.9</v>
      </c>
      <c r="O112" s="62">
        <f t="shared" si="9"/>
        <v>1.5428254269591799</v>
      </c>
      <c r="P112" s="63">
        <v>42.817370475444001</v>
      </c>
      <c r="Q112" s="63">
        <f t="shared" si="10"/>
        <v>1.6316199926391717</v>
      </c>
      <c r="R112" s="50">
        <f>LOG(Table2[[#This Row],[generalist]])</f>
        <v>3.2860283894181141</v>
      </c>
      <c r="S112" s="50">
        <f>LOG(Table2[[#This Row],[country divers.]])</f>
        <v>3.9098977130890344</v>
      </c>
      <c r="T112" s="50">
        <f>LOG(Table2[[#This Row],[Firm Size]])</f>
        <v>8.3113299523037938</v>
      </c>
      <c r="U112">
        <v>1</v>
      </c>
      <c r="V112" s="137">
        <f t="shared" si="11"/>
        <v>1</v>
      </c>
    </row>
    <row r="113" spans="1:22" x14ac:dyDescent="0.35">
      <c r="A113" s="67" t="s">
        <v>2</v>
      </c>
      <c r="B113" s="52">
        <v>0.24167638572197084</v>
      </c>
      <c r="C113" s="52">
        <v>2.9506849315068493</v>
      </c>
      <c r="D113" s="50">
        <f t="shared" si="6"/>
        <v>0.46992283884150687</v>
      </c>
      <c r="E113" s="52">
        <f>IF(Table2[[#This Row],[Geo Distance]]=0,0,LOG(Table2[[#This Row],[Geo Distance]]))</f>
        <v>2.9624593110290154</v>
      </c>
      <c r="F113" s="52">
        <f>IF(Table2[[#This Row],[Target age]]=0,0,LOG(Table2[[#This Row],[Target age]]))</f>
        <v>1.9030899869919435</v>
      </c>
      <c r="G113" s="65">
        <v>2.62</v>
      </c>
      <c r="H113" s="59">
        <f t="shared" si="7"/>
        <v>0.41830129131974547</v>
      </c>
      <c r="I113" s="53">
        <f>IF(Table2[[#This Row],[Culture]]=0,0,LOG(Table2[[#This Row],[Culture]]))</f>
        <v>2.9317967661271176</v>
      </c>
      <c r="J113" s="53">
        <f>LOG(1+Table2[[#This Row],[S&amp;P]])</f>
        <v>0.10037054511756291</v>
      </c>
      <c r="K113" s="52">
        <v>0.6020599913279624</v>
      </c>
      <c r="L113" s="52">
        <v>70</v>
      </c>
      <c r="M113" s="50">
        <f t="shared" si="8"/>
        <v>1.8450980400142569</v>
      </c>
      <c r="N113" s="55">
        <v>33.9</v>
      </c>
      <c r="O113" s="62">
        <f t="shared" si="9"/>
        <v>1.5301996982030821</v>
      </c>
      <c r="P113" s="56">
        <v>46.312020505412598</v>
      </c>
      <c r="Q113" s="63">
        <f t="shared" si="10"/>
        <v>1.6656937288498501</v>
      </c>
      <c r="R113" s="52">
        <f>LOG(Table2[[#This Row],[generalist]])</f>
        <v>3.2860283894181141</v>
      </c>
      <c r="S113" s="52">
        <f>LOG(Table2[[#This Row],[country divers.]])</f>
        <v>3.9098977130890344</v>
      </c>
      <c r="T113" s="52">
        <f>LOG(Table2[[#This Row],[Firm Size]])</f>
        <v>8.0606978403536118</v>
      </c>
      <c r="U113">
        <v>5</v>
      </c>
      <c r="V113" s="137">
        <f t="shared" si="11"/>
        <v>1</v>
      </c>
    </row>
    <row r="114" spans="1:22" x14ac:dyDescent="0.35">
      <c r="A114" s="49" t="s">
        <v>2</v>
      </c>
      <c r="B114" s="50">
        <v>0.51673804142676738</v>
      </c>
      <c r="C114" s="50">
        <v>2.3890410958904109</v>
      </c>
      <c r="D114" s="50">
        <f t="shared" si="6"/>
        <v>0.37822362047609248</v>
      </c>
      <c r="E114" s="50">
        <f>IF(Table2[[#This Row],[Geo Distance]]=0,0,LOG(Table2[[#This Row],[Geo Distance]]))</f>
        <v>2.9624593110290154</v>
      </c>
      <c r="F114" s="50">
        <f>IF(Table2[[#This Row],[Target age]]=0,0,LOG(Table2[[#This Row],[Target age]]))</f>
        <v>1.7708520116421442</v>
      </c>
      <c r="G114" s="59">
        <v>2.62</v>
      </c>
      <c r="H114" s="59">
        <f t="shared" si="7"/>
        <v>0.41830129131974547</v>
      </c>
      <c r="I114" s="60">
        <f>IF(Table2[[#This Row],[Culture]]=0,0,LOG(Table2[[#This Row],[Culture]]))</f>
        <v>2.9317967661271176</v>
      </c>
      <c r="J114" s="60">
        <f>LOG(1+Table2[[#This Row],[S&amp;P]])</f>
        <v>0.10720996964786837</v>
      </c>
      <c r="K114" s="50">
        <v>0.3010299956639812</v>
      </c>
      <c r="L114" s="50">
        <v>70</v>
      </c>
      <c r="M114" s="50">
        <f t="shared" si="8"/>
        <v>1.8450980400142569</v>
      </c>
      <c r="N114" s="62">
        <v>34.4</v>
      </c>
      <c r="O114" s="62">
        <f t="shared" si="9"/>
        <v>1.5365584425715302</v>
      </c>
      <c r="P114" s="63">
        <v>47.264053157349203</v>
      </c>
      <c r="Q114" s="63">
        <f t="shared" si="10"/>
        <v>1.6745309620782511</v>
      </c>
      <c r="R114" s="50">
        <f>LOG(Table2[[#This Row],[generalist]])</f>
        <v>3.2860283894181141</v>
      </c>
      <c r="S114" s="50">
        <f>LOG(Table2[[#This Row],[country divers.]])</f>
        <v>3.9098977130890344</v>
      </c>
      <c r="T114" s="50">
        <f>LOG(Table2[[#This Row],[Firm Size]])</f>
        <v>8.1760912590556813</v>
      </c>
      <c r="U114">
        <v>5</v>
      </c>
      <c r="V114" s="137">
        <f t="shared" si="11"/>
        <v>1</v>
      </c>
    </row>
    <row r="115" spans="1:22" x14ac:dyDescent="0.35">
      <c r="A115" s="67" t="s">
        <v>2</v>
      </c>
      <c r="B115" s="52">
        <v>0.77469071827413716</v>
      </c>
      <c r="C115" s="52">
        <v>2.6</v>
      </c>
      <c r="D115" s="50">
        <f t="shared" si="6"/>
        <v>0.41497334797081797</v>
      </c>
      <c r="E115" s="52">
        <f>IF(Table2[[#This Row],[Geo Distance]]=0,0,LOG(Table2[[#This Row],[Geo Distance]]))</f>
        <v>3.1174071986167768</v>
      </c>
      <c r="F115" s="52">
        <f>IF(Table2[[#This Row],[Target age]]=0,0,LOG(Table2[[#This Row],[Target age]]))</f>
        <v>1.414973347970818</v>
      </c>
      <c r="G115" s="65">
        <v>2.99</v>
      </c>
      <c r="H115" s="59">
        <f t="shared" si="7"/>
        <v>0.47567118832442967</v>
      </c>
      <c r="I115" s="53">
        <f>IF(Table2[[#This Row],[Culture]]=0,0,LOG(Table2[[#This Row],[Culture]]))</f>
        <v>2.8964343519192699</v>
      </c>
      <c r="J115" s="53">
        <f>LOG(1+Table2[[#This Row],[S&amp;P]])</f>
        <v>0.11058971029924898</v>
      </c>
      <c r="K115" s="52">
        <v>1.2041199826559248</v>
      </c>
      <c r="L115" s="52">
        <v>70</v>
      </c>
      <c r="M115" s="50">
        <f t="shared" si="8"/>
        <v>1.8450980400142569</v>
      </c>
      <c r="N115" s="55">
        <v>33.9</v>
      </c>
      <c r="O115" s="62">
        <f t="shared" si="9"/>
        <v>1.5301996982030821</v>
      </c>
      <c r="P115" s="56">
        <v>46.200073016176603</v>
      </c>
      <c r="Q115" s="63">
        <f t="shared" si="10"/>
        <v>1.664642661930531</v>
      </c>
      <c r="R115" s="52">
        <f>LOG(Table2[[#This Row],[generalist]])</f>
        <v>3.277819633965128</v>
      </c>
      <c r="S115" s="52">
        <f>LOG(Table2[[#This Row],[country divers.]])</f>
        <v>3.9304083853612104</v>
      </c>
      <c r="T115" s="52">
        <f>LOG(Table2[[#This Row],[Firm Size]])</f>
        <v>8.2253092817258633</v>
      </c>
      <c r="U115">
        <v>5</v>
      </c>
      <c r="V115" s="137">
        <f t="shared" si="11"/>
        <v>1</v>
      </c>
    </row>
    <row r="116" spans="1:22" x14ac:dyDescent="0.35">
      <c r="A116" s="49" t="s">
        <v>2</v>
      </c>
      <c r="B116" s="50">
        <v>1.3084902679240464</v>
      </c>
      <c r="C116" s="50">
        <v>4.6356164383561644</v>
      </c>
      <c r="D116" s="50">
        <f t="shared" si="6"/>
        <v>0.66610749424653004</v>
      </c>
      <c r="E116" s="50">
        <f>IF(Table2[[#This Row],[Geo Distance]]=0,0,LOG(Table2[[#This Row],[Geo Distance]]))</f>
        <v>3.1174071986167768</v>
      </c>
      <c r="F116" s="50">
        <f>IF(Table2[[#This Row],[Target age]]=0,0,LOG(Table2[[#This Row],[Target age]]))</f>
        <v>1.6127838567197355</v>
      </c>
      <c r="G116" s="59">
        <v>2.99</v>
      </c>
      <c r="H116" s="59">
        <f t="shared" si="7"/>
        <v>0.47567118832442967</v>
      </c>
      <c r="I116" s="60">
        <f>IF(Table2[[#This Row],[Culture]]=0,0,LOG(Table2[[#This Row],[Culture]]))</f>
        <v>2.8964343519192699</v>
      </c>
      <c r="J116" s="60">
        <f>LOG(1+Table2[[#This Row],[S&amp;P]])</f>
        <v>0.11058971029924898</v>
      </c>
      <c r="K116" s="50">
        <v>1.1139433523068367</v>
      </c>
      <c r="L116" s="50">
        <v>70</v>
      </c>
      <c r="M116" s="50">
        <f t="shared" si="8"/>
        <v>1.8450980400142569</v>
      </c>
      <c r="N116" s="62">
        <v>34.4</v>
      </c>
      <c r="O116" s="62">
        <f t="shared" si="9"/>
        <v>1.5365584425715302</v>
      </c>
      <c r="P116" s="63">
        <v>47.264053157349203</v>
      </c>
      <c r="Q116" s="63">
        <f t="shared" si="10"/>
        <v>1.6745309620782511</v>
      </c>
      <c r="R116" s="50">
        <f>LOG(Table2[[#This Row],[generalist]])</f>
        <v>3.277819633965128</v>
      </c>
      <c r="S116" s="50">
        <f>LOG(Table2[[#This Row],[country divers.]])</f>
        <v>3.9304083853612104</v>
      </c>
      <c r="T116" s="50">
        <f>LOG(Table2[[#This Row],[Firm Size]])</f>
        <v>7.7626035495668031</v>
      </c>
      <c r="U116">
        <v>5</v>
      </c>
      <c r="V116" s="137">
        <f t="shared" si="11"/>
        <v>1</v>
      </c>
    </row>
    <row r="117" spans="1:22" x14ac:dyDescent="0.35">
      <c r="A117" s="67" t="s">
        <v>2</v>
      </c>
      <c r="B117" s="52">
        <v>0.34735724705707294</v>
      </c>
      <c r="C117" s="52">
        <v>9.169863013698631</v>
      </c>
      <c r="D117" s="50">
        <f t="shared" si="6"/>
        <v>0.96236284790130244</v>
      </c>
      <c r="E117" s="52">
        <f>IF(Table2[[#This Row],[Geo Distance]]=0,0,LOG(Table2[[#This Row],[Geo Distance]]))</f>
        <v>3.8335123778512705</v>
      </c>
      <c r="F117" s="52">
        <f>IF(Table2[[#This Row],[Target age]]=0,0,LOG(Table2[[#This Row],[Target age]]))</f>
        <v>1.0413926851582251</v>
      </c>
      <c r="G117" s="65">
        <v>2.85</v>
      </c>
      <c r="H117" s="59">
        <f t="shared" si="7"/>
        <v>0.45484486000851021</v>
      </c>
      <c r="I117" s="53">
        <f>IF(Table2[[#This Row],[Culture]]=0,0,LOG(Table2[[#This Row],[Culture]]))</f>
        <v>2.9132839017604186</v>
      </c>
      <c r="J117" s="53">
        <f>LOG(1+Table2[[#This Row],[S&amp;P]])</f>
        <v>0.22271647114758325</v>
      </c>
      <c r="K117" s="52">
        <v>1.2304489213782739</v>
      </c>
      <c r="L117" s="52">
        <v>70</v>
      </c>
      <c r="M117" s="50">
        <f t="shared" si="8"/>
        <v>1.8450980400142569</v>
      </c>
      <c r="N117" s="55">
        <v>33.9</v>
      </c>
      <c r="O117" s="62">
        <f t="shared" si="9"/>
        <v>1.5301996982030821</v>
      </c>
      <c r="P117" s="56">
        <v>46.312020505412598</v>
      </c>
      <c r="Q117" s="63">
        <f t="shared" si="10"/>
        <v>1.6656937288498501</v>
      </c>
      <c r="R117" s="52">
        <f>LOG(Table2[[#This Row],[generalist]])</f>
        <v>3.0958500844125241</v>
      </c>
      <c r="S117" s="52">
        <f>LOG(Table2[[#This Row],[country divers.]])</f>
        <v>3.5078178355445662</v>
      </c>
      <c r="T117" s="52">
        <f>LOG(Table2[[#This Row],[Firm Size]])</f>
        <v>8.15248098771362</v>
      </c>
      <c r="U117">
        <v>9</v>
      </c>
      <c r="V117" s="137">
        <f t="shared" si="11"/>
        <v>1</v>
      </c>
    </row>
    <row r="118" spans="1:22" x14ac:dyDescent="0.35">
      <c r="A118" s="49" t="s">
        <v>2</v>
      </c>
      <c r="B118" s="50">
        <v>-7.90325429903092E-3</v>
      </c>
      <c r="C118" s="50">
        <v>4.5534246575342463</v>
      </c>
      <c r="D118" s="50">
        <f t="shared" si="6"/>
        <v>0.65833815499161741</v>
      </c>
      <c r="E118" s="50">
        <f>IF(Table2[[#This Row],[Geo Distance]]=0,0,LOG(Table2[[#This Row],[Geo Distance]]))</f>
        <v>3.8335123778512705</v>
      </c>
      <c r="F118" s="50">
        <f>IF(Table2[[#This Row],[Target age]]=0,0,LOG(Table2[[#This Row],[Target age]]))</f>
        <v>1.9444826721501687</v>
      </c>
      <c r="G118" s="59">
        <v>2.85</v>
      </c>
      <c r="H118" s="59">
        <f t="shared" si="7"/>
        <v>0.45484486000851021</v>
      </c>
      <c r="I118" s="60">
        <f>IF(Table2[[#This Row],[Culture]]=0,0,LOG(Table2[[#This Row],[Culture]]))</f>
        <v>2.9132839017604186</v>
      </c>
      <c r="J118" s="60">
        <f>LOG(1+Table2[[#This Row],[S&amp;P]])</f>
        <v>-9.1514981121350217E-2</v>
      </c>
      <c r="K118" s="50">
        <v>1.1139433523068367</v>
      </c>
      <c r="L118" s="50">
        <v>70</v>
      </c>
      <c r="M118" s="50">
        <f t="shared" si="8"/>
        <v>1.8450980400142569</v>
      </c>
      <c r="N118" s="62">
        <v>36.200000000000003</v>
      </c>
      <c r="O118" s="62">
        <f t="shared" si="9"/>
        <v>1.5587085705331658</v>
      </c>
      <c r="P118" s="63">
        <v>44.748733746598099</v>
      </c>
      <c r="Q118" s="63">
        <f t="shared" si="10"/>
        <v>1.6507807506095689</v>
      </c>
      <c r="R118" s="50">
        <f>LOG(Table2[[#This Row],[generalist]])</f>
        <v>3.0958500844125241</v>
      </c>
      <c r="S118" s="50">
        <f>LOG(Table2[[#This Row],[country divers.]])</f>
        <v>3.5078178355445662</v>
      </c>
      <c r="T118" s="50">
        <f>LOG(Table2[[#This Row],[Firm Size]])</f>
        <v>7.8962505624616384</v>
      </c>
      <c r="U118">
        <v>5</v>
      </c>
      <c r="V118" s="137">
        <f t="shared" si="11"/>
        <v>1</v>
      </c>
    </row>
    <row r="119" spans="1:22" x14ac:dyDescent="0.35">
      <c r="A119" s="67" t="s">
        <v>2</v>
      </c>
      <c r="B119" s="52">
        <v>1.0469501621191397</v>
      </c>
      <c r="C119" s="52">
        <v>5.5095890410958903</v>
      </c>
      <c r="D119" s="50">
        <f t="shared" si="6"/>
        <v>0.74111920614026727</v>
      </c>
      <c r="E119" s="52">
        <f>IF(Table2[[#This Row],[Geo Distance]]=0,0,LOG(Table2[[#This Row],[Geo Distance]]))</f>
        <v>3.8335123778512705</v>
      </c>
      <c r="F119" s="52">
        <f>IF(Table2[[#This Row],[Target age]]=0,0,LOG(Table2[[#This Row],[Target age]]))</f>
        <v>1.9590413923210936</v>
      </c>
      <c r="G119" s="65">
        <v>2.85</v>
      </c>
      <c r="H119" s="59">
        <f t="shared" si="7"/>
        <v>0.45484486000851021</v>
      </c>
      <c r="I119" s="53">
        <f>IF(Table2[[#This Row],[Culture]]=0,0,LOG(Table2[[#This Row],[Culture]]))</f>
        <v>2.9132839017604186</v>
      </c>
      <c r="J119" s="53">
        <f>LOG(1+Table2[[#This Row],[S&amp;P]])</f>
        <v>-3.6212172654444715E-2</v>
      </c>
      <c r="K119" s="52">
        <v>1.0791812460476249</v>
      </c>
      <c r="L119" s="52">
        <v>70</v>
      </c>
      <c r="M119" s="50">
        <f t="shared" si="8"/>
        <v>1.8450980400142569</v>
      </c>
      <c r="N119" s="55">
        <v>36.200000000000003</v>
      </c>
      <c r="O119" s="62">
        <f t="shared" si="9"/>
        <v>1.5587085705331658</v>
      </c>
      <c r="P119" s="56">
        <v>47.694345434117203</v>
      </c>
      <c r="Q119" s="63">
        <f t="shared" si="10"/>
        <v>1.6784668928277571</v>
      </c>
      <c r="R119" s="52">
        <f>LOG(Table2[[#This Row],[generalist]])</f>
        <v>3.0958500844125241</v>
      </c>
      <c r="S119" s="52">
        <f>LOG(Table2[[#This Row],[country divers.]])</f>
        <v>3.5078178355445662</v>
      </c>
      <c r="T119" s="52">
        <f>LOG(Table2[[#This Row],[Firm Size]])</f>
        <v>7.7981478778951168</v>
      </c>
      <c r="U119">
        <v>1</v>
      </c>
      <c r="V119" s="137">
        <f t="shared" si="11"/>
        <v>1</v>
      </c>
    </row>
    <row r="120" spans="1:22" x14ac:dyDescent="0.35">
      <c r="A120" s="49" t="s">
        <v>2</v>
      </c>
      <c r="B120" s="50">
        <v>6.1105182401829682E-2</v>
      </c>
      <c r="C120" s="50">
        <v>2.1945205479452055</v>
      </c>
      <c r="D120" s="50">
        <f t="shared" si="6"/>
        <v>0.34133965162776297</v>
      </c>
      <c r="E120" s="50">
        <f>IF(Table2[[#This Row],[Geo Distance]]=0,0,LOG(Table2[[#This Row],[Geo Distance]]))</f>
        <v>3.8335123778512705</v>
      </c>
      <c r="F120" s="50">
        <f>IF(Table2[[#This Row],[Target age]]=0,0,LOG(Table2[[#This Row],[Target age]]))</f>
        <v>2.1303337684950061</v>
      </c>
      <c r="G120" s="59">
        <v>2.85</v>
      </c>
      <c r="H120" s="59">
        <f t="shared" si="7"/>
        <v>0.45484486000851021</v>
      </c>
      <c r="I120" s="60">
        <f>IF(Table2[[#This Row],[Culture]]=0,0,LOG(Table2[[#This Row],[Culture]]))</f>
        <v>2.9132839017604186</v>
      </c>
      <c r="J120" s="60">
        <f>LOG(1+Table2[[#This Row],[S&amp;P]])</f>
        <v>6.445798922691845E-2</v>
      </c>
      <c r="K120" s="50">
        <v>1.2787536009528289</v>
      </c>
      <c r="L120" s="50">
        <v>70</v>
      </c>
      <c r="M120" s="50">
        <f t="shared" si="8"/>
        <v>1.8450980400142569</v>
      </c>
      <c r="N120" s="62">
        <v>33.9</v>
      </c>
      <c r="O120" s="62">
        <f t="shared" si="9"/>
        <v>1.5301996982030821</v>
      </c>
      <c r="P120" s="63">
        <v>46.312020505412598</v>
      </c>
      <c r="Q120" s="63">
        <f t="shared" si="10"/>
        <v>1.6656937288498501</v>
      </c>
      <c r="R120" s="50">
        <f>LOG(Table2[[#This Row],[generalist]])</f>
        <v>3.3647319918335836</v>
      </c>
      <c r="S120" s="50">
        <f>LOG(Table2[[#This Row],[country divers.]])</f>
        <v>3.568659604598353</v>
      </c>
      <c r="T120" s="50">
        <f>LOG(Table2[[#This Row],[Firm Size]])</f>
        <v>9.143014800254095</v>
      </c>
      <c r="U120">
        <v>6</v>
      </c>
      <c r="V120" s="137">
        <f t="shared" si="11"/>
        <v>1</v>
      </c>
    </row>
    <row r="121" spans="1:22" x14ac:dyDescent="0.35">
      <c r="A121" s="67" t="s">
        <v>2</v>
      </c>
      <c r="B121" s="52">
        <v>-0.28280517555778212</v>
      </c>
      <c r="C121" s="52">
        <v>5.9835616438356167</v>
      </c>
      <c r="D121" s="50">
        <f t="shared" si="6"/>
        <v>0.77695976957622492</v>
      </c>
      <c r="E121" s="52">
        <f>IF(Table2[[#This Row],[Geo Distance]]=0,0,LOG(Table2[[#This Row],[Geo Distance]]))</f>
        <v>3.8335123778512705</v>
      </c>
      <c r="F121" s="52">
        <f>IF(Table2[[#This Row],[Target age]]=0,0,LOG(Table2[[#This Row],[Target age]]))</f>
        <v>1.4771212547196624</v>
      </c>
      <c r="G121" s="65">
        <v>2.85</v>
      </c>
      <c r="H121" s="59">
        <f t="shared" si="7"/>
        <v>0.45484486000851021</v>
      </c>
      <c r="I121" s="53">
        <f>IF(Table2[[#This Row],[Culture]]=0,0,LOG(Table2[[#This Row],[Culture]]))</f>
        <v>2.9132839017604186</v>
      </c>
      <c r="J121" s="53">
        <f>LOG(1+Table2[[#This Row],[S&amp;P]])</f>
        <v>0.26007138798507473</v>
      </c>
      <c r="K121" s="52">
        <v>1.414973347970818</v>
      </c>
      <c r="L121" s="52">
        <v>89.6</v>
      </c>
      <c r="M121" s="50">
        <f t="shared" si="8"/>
        <v>1.9523080096621253</v>
      </c>
      <c r="N121" s="55">
        <v>35.700000000000003</v>
      </c>
      <c r="O121" s="62">
        <f t="shared" si="9"/>
        <v>1.5526682161121932</v>
      </c>
      <c r="P121" s="56">
        <v>44.7100017757258</v>
      </c>
      <c r="Q121" s="63">
        <f t="shared" si="10"/>
        <v>1.6504046871166989</v>
      </c>
      <c r="R121" s="52">
        <f>LOG(Table2[[#This Row],[generalist]])</f>
        <v>3.3647319918335836</v>
      </c>
      <c r="S121" s="52">
        <f>LOG(Table2[[#This Row],[country divers.]])</f>
        <v>3.568659604598353</v>
      </c>
      <c r="T121" s="52">
        <f>LOG(Table2[[#This Row],[Firm Size]])</f>
        <v>8.8450980400142569</v>
      </c>
      <c r="U121">
        <v>5</v>
      </c>
      <c r="V121" s="137">
        <f t="shared" si="11"/>
        <v>1</v>
      </c>
    </row>
    <row r="122" spans="1:22" x14ac:dyDescent="0.35">
      <c r="A122" s="49" t="s">
        <v>2</v>
      </c>
      <c r="B122" s="50">
        <v>-0.83518975135400775</v>
      </c>
      <c r="C122" s="50">
        <v>5.0684931506849313</v>
      </c>
      <c r="D122" s="50">
        <f t="shared" si="6"/>
        <v>0.70487886394653909</v>
      </c>
      <c r="E122" s="50">
        <f>IF(Table2[[#This Row],[Geo Distance]]=0,0,LOG(Table2[[#This Row],[Geo Distance]]))</f>
        <v>3.8335123778512705</v>
      </c>
      <c r="F122" s="50">
        <f>IF(Table2[[#This Row],[Target age]]=0,0,LOG(Table2[[#This Row],[Target age]]))</f>
        <v>1.6232492903979006</v>
      </c>
      <c r="G122" s="59">
        <v>2.85</v>
      </c>
      <c r="H122" s="59">
        <f t="shared" si="7"/>
        <v>0.45484486000851021</v>
      </c>
      <c r="I122" s="60">
        <f>IF(Table2[[#This Row],[Culture]]=0,0,LOG(Table2[[#This Row],[Culture]]))</f>
        <v>2.9132839017604186</v>
      </c>
      <c r="J122" s="60">
        <f>LOG(1+Table2[[#This Row],[S&amp;P]])</f>
        <v>-4.5757490560675115E-2</v>
      </c>
      <c r="K122" s="50">
        <v>1.3424226808222062</v>
      </c>
      <c r="L122" s="50">
        <v>88.9</v>
      </c>
      <c r="M122" s="50">
        <f t="shared" si="8"/>
        <v>1.9489017609702137</v>
      </c>
      <c r="N122" s="62">
        <v>34.9</v>
      </c>
      <c r="O122" s="62">
        <f t="shared" si="9"/>
        <v>1.5428254269591799</v>
      </c>
      <c r="P122" s="63">
        <v>42.817370475444001</v>
      </c>
      <c r="Q122" s="63">
        <f t="shared" si="10"/>
        <v>1.6316199926391717</v>
      </c>
      <c r="R122" s="50">
        <f>LOG(Table2[[#This Row],[generalist]])</f>
        <v>3.3647319918335836</v>
      </c>
      <c r="S122" s="50">
        <f>LOG(Table2[[#This Row],[country divers.]])</f>
        <v>3.568659604598353</v>
      </c>
      <c r="T122" s="50">
        <f>LOG(Table2[[#This Row],[Firm Size]])</f>
        <v>9.1139433523068369</v>
      </c>
      <c r="U122">
        <v>8</v>
      </c>
      <c r="V122" s="137">
        <f t="shared" si="11"/>
        <v>1</v>
      </c>
    </row>
    <row r="123" spans="1:22" x14ac:dyDescent="0.35">
      <c r="A123" s="67" t="s">
        <v>2</v>
      </c>
      <c r="B123" s="52">
        <v>6.1665530317871788E-2</v>
      </c>
      <c r="C123" s="52">
        <v>3.4109589041095889</v>
      </c>
      <c r="D123" s="50">
        <f t="shared" si="6"/>
        <v>0.53287648697528045</v>
      </c>
      <c r="E123" s="52">
        <f>IF(Table2[[#This Row],[Geo Distance]]=0,0,LOG(Table2[[#This Row],[Geo Distance]]))</f>
        <v>3.8335123778512705</v>
      </c>
      <c r="F123" s="52">
        <f>IF(Table2[[#This Row],[Target age]]=0,0,LOG(Table2[[#This Row],[Target age]]))</f>
        <v>0.84509804001425681</v>
      </c>
      <c r="G123" s="65">
        <v>2.85</v>
      </c>
      <c r="H123" s="59">
        <f t="shared" si="7"/>
        <v>0.45484486000851021</v>
      </c>
      <c r="I123" s="53">
        <f>IF(Table2[[#This Row],[Culture]]=0,0,LOG(Table2[[#This Row],[Culture]]))</f>
        <v>2.9132839017604186</v>
      </c>
      <c r="J123" s="53">
        <f>LOG(1+Table2[[#This Row],[S&amp;P]])</f>
        <v>0.14612803567823801</v>
      </c>
      <c r="K123" s="52">
        <v>1.255272505103306</v>
      </c>
      <c r="L123" s="52">
        <v>70</v>
      </c>
      <c r="M123" s="50">
        <f t="shared" si="8"/>
        <v>1.8450980400142569</v>
      </c>
      <c r="N123" s="55">
        <v>34.6</v>
      </c>
      <c r="O123" s="62">
        <f t="shared" si="9"/>
        <v>1.5390760987927767</v>
      </c>
      <c r="P123" s="56">
        <v>47.8156192569637</v>
      </c>
      <c r="Q123" s="63">
        <f t="shared" si="10"/>
        <v>1.6795697846681461</v>
      </c>
      <c r="R123" s="52">
        <f>LOG(Table2[[#This Row],[generalist]])</f>
        <v>3.3647319918335836</v>
      </c>
      <c r="S123" s="52">
        <f>LOG(Table2[[#This Row],[country divers.]])</f>
        <v>3.568659604598353</v>
      </c>
      <c r="T123" s="52">
        <f>LOG(Table2[[#This Row],[Firm Size]])</f>
        <v>9.4235325775237104</v>
      </c>
      <c r="U123">
        <v>8</v>
      </c>
      <c r="V123" s="137">
        <f t="shared" si="11"/>
        <v>1</v>
      </c>
    </row>
    <row r="124" spans="1:22" x14ac:dyDescent="0.35">
      <c r="A124" s="49" t="s">
        <v>2</v>
      </c>
      <c r="B124" s="50">
        <v>0.46239799789895608</v>
      </c>
      <c r="C124" s="50">
        <v>3.3561643835616439</v>
      </c>
      <c r="D124" s="50">
        <f t="shared" si="6"/>
        <v>0.52584322424407659</v>
      </c>
      <c r="E124" s="50">
        <f>IF(Table2[[#This Row],[Geo Distance]]=0,0,LOG(Table2[[#This Row],[Geo Distance]]))</f>
        <v>3.8335123778512705</v>
      </c>
      <c r="F124" s="50">
        <f>IF(Table2[[#This Row],[Target age]]=0,0,LOG(Table2[[#This Row],[Target age]]))</f>
        <v>2.0492180226701815</v>
      </c>
      <c r="G124" s="59">
        <v>2.85</v>
      </c>
      <c r="H124" s="59">
        <f t="shared" si="7"/>
        <v>0.45484486000851021</v>
      </c>
      <c r="I124" s="60">
        <f>IF(Table2[[#This Row],[Culture]]=0,0,LOG(Table2[[#This Row],[Culture]]))</f>
        <v>2.9132839017604186</v>
      </c>
      <c r="J124" s="60">
        <f>LOG(1+Table2[[#This Row],[S&amp;P]])</f>
        <v>0.12710479836480765</v>
      </c>
      <c r="K124" s="50">
        <v>1.2787536009528289</v>
      </c>
      <c r="L124" s="50">
        <v>70</v>
      </c>
      <c r="M124" s="50">
        <f t="shared" si="8"/>
        <v>1.8450980400142569</v>
      </c>
      <c r="N124" s="62">
        <v>33.9</v>
      </c>
      <c r="O124" s="62">
        <f t="shared" si="9"/>
        <v>1.5301996982030821</v>
      </c>
      <c r="P124" s="63">
        <v>46.312020505412598</v>
      </c>
      <c r="Q124" s="63">
        <f t="shared" si="10"/>
        <v>1.6656937288498501</v>
      </c>
      <c r="R124" s="50">
        <f>LOG(Table2[[#This Row],[generalist]])</f>
        <v>3.3647319918335836</v>
      </c>
      <c r="S124" s="50">
        <f>LOG(Table2[[#This Row],[country divers.]])</f>
        <v>3.568659604598353</v>
      </c>
      <c r="T124" s="50">
        <f>LOG(Table2[[#This Row],[Firm Size]])</f>
        <v>8.6989700043360187</v>
      </c>
      <c r="U124">
        <v>8</v>
      </c>
      <c r="V124" s="137">
        <f t="shared" si="11"/>
        <v>1</v>
      </c>
    </row>
    <row r="125" spans="1:22" x14ac:dyDescent="0.35">
      <c r="A125" s="67" t="s">
        <v>2</v>
      </c>
      <c r="B125" s="52">
        <v>6.8509665297384587E-2</v>
      </c>
      <c r="C125" s="52">
        <v>3.3232876712328765</v>
      </c>
      <c r="D125" s="50">
        <f t="shared" si="6"/>
        <v>0.52156793641009824</v>
      </c>
      <c r="E125" s="52">
        <f>IF(Table2[[#This Row],[Geo Distance]]=0,0,LOG(Table2[[#This Row],[Geo Distance]]))</f>
        <v>3.8335123778512705</v>
      </c>
      <c r="F125" s="52">
        <f>IF(Table2[[#This Row],[Target age]]=0,0,LOG(Table2[[#This Row],[Target age]]))</f>
        <v>2.1461280356782382</v>
      </c>
      <c r="G125" s="65">
        <v>2.85</v>
      </c>
      <c r="H125" s="59">
        <f t="shared" si="7"/>
        <v>0.45484486000851021</v>
      </c>
      <c r="I125" s="53">
        <f>IF(Table2[[#This Row],[Culture]]=0,0,LOG(Table2[[#This Row],[Culture]]))</f>
        <v>2.9132839017604186</v>
      </c>
      <c r="J125" s="53">
        <f>LOG(1+Table2[[#This Row],[S&amp;P]])</f>
        <v>5.6904851336472641E-2</v>
      </c>
      <c r="K125" s="52">
        <v>1.2787536009528289</v>
      </c>
      <c r="L125" s="52">
        <v>70</v>
      </c>
      <c r="M125" s="50">
        <f t="shared" si="8"/>
        <v>1.8450980400142569</v>
      </c>
      <c r="N125" s="55">
        <v>33.9</v>
      </c>
      <c r="O125" s="62">
        <f t="shared" si="9"/>
        <v>1.5301996982030821</v>
      </c>
      <c r="P125" s="56">
        <v>46.312020505412598</v>
      </c>
      <c r="Q125" s="63">
        <f t="shared" si="10"/>
        <v>1.6656937288498501</v>
      </c>
      <c r="R125" s="52">
        <f>LOG(Table2[[#This Row],[generalist]])</f>
        <v>3.3647319918335836</v>
      </c>
      <c r="S125" s="52">
        <f>LOG(Table2[[#This Row],[country divers.]])</f>
        <v>3.568659604598353</v>
      </c>
      <c r="T125" s="52">
        <f>LOG(Table2[[#This Row],[Firm Size]])</f>
        <v>8.7781512503836439</v>
      </c>
      <c r="U125">
        <v>8</v>
      </c>
      <c r="V125" s="137">
        <f t="shared" si="11"/>
        <v>1</v>
      </c>
    </row>
    <row r="126" spans="1:22" x14ac:dyDescent="0.35">
      <c r="A126" s="49" t="s">
        <v>2</v>
      </c>
      <c r="B126" s="50">
        <v>0.15970084286751188</v>
      </c>
      <c r="C126" s="50">
        <v>2.7808219178082192</v>
      </c>
      <c r="D126" s="50">
        <f t="shared" si="6"/>
        <v>0.444173177792757</v>
      </c>
      <c r="E126" s="50">
        <f>IF(Table2[[#This Row],[Geo Distance]]=0,0,LOG(Table2[[#This Row],[Geo Distance]]))</f>
        <v>3.8335123778512705</v>
      </c>
      <c r="F126" s="50">
        <f>IF(Table2[[#This Row],[Target age]]=0,0,LOG(Table2[[#This Row],[Target age]]))</f>
        <v>0.3010299956639812</v>
      </c>
      <c r="G126" s="59">
        <v>2.85</v>
      </c>
      <c r="H126" s="59">
        <f t="shared" si="7"/>
        <v>0.45484486000851021</v>
      </c>
      <c r="I126" s="60">
        <f>IF(Table2[[#This Row],[Culture]]=0,0,LOG(Table2[[#This Row],[Culture]]))</f>
        <v>2.9132839017604186</v>
      </c>
      <c r="J126" s="60">
        <f>LOG(1+Table2[[#This Row],[S&amp;P]])</f>
        <v>0.11727129565576427</v>
      </c>
      <c r="K126" s="50">
        <v>1.255272505103306</v>
      </c>
      <c r="L126" s="50">
        <v>70</v>
      </c>
      <c r="M126" s="50">
        <f t="shared" si="8"/>
        <v>1.8450980400142569</v>
      </c>
      <c r="N126" s="62">
        <v>34.6</v>
      </c>
      <c r="O126" s="62">
        <f t="shared" si="9"/>
        <v>1.5390760987927767</v>
      </c>
      <c r="P126" s="63">
        <v>47.8156192569637</v>
      </c>
      <c r="Q126" s="63">
        <f t="shared" si="10"/>
        <v>1.6795697846681461</v>
      </c>
      <c r="R126" s="50">
        <f>LOG(Table2[[#This Row],[generalist]])</f>
        <v>3.3647319918335836</v>
      </c>
      <c r="S126" s="50">
        <f>LOG(Table2[[#This Row],[country divers.]])</f>
        <v>3.568659604598353</v>
      </c>
      <c r="T126" s="50">
        <f>LOG(Table2[[#This Row],[Firm Size]])</f>
        <v>8.9542425094393252</v>
      </c>
      <c r="U126">
        <v>4</v>
      </c>
      <c r="V126" s="137">
        <f t="shared" si="11"/>
        <v>1</v>
      </c>
    </row>
    <row r="127" spans="1:22" x14ac:dyDescent="0.35">
      <c r="A127" s="67" t="s">
        <v>2</v>
      </c>
      <c r="B127" s="52">
        <v>-0.21230723712155383</v>
      </c>
      <c r="C127" s="52">
        <v>2.0027397260273974</v>
      </c>
      <c r="D127" s="50">
        <f t="shared" si="6"/>
        <v>0.30162451250138578</v>
      </c>
      <c r="E127" s="52">
        <f>IF(Table2[[#This Row],[Geo Distance]]=0,0,LOG(Table2[[#This Row],[Geo Distance]]))</f>
        <v>2.8352338467089053</v>
      </c>
      <c r="F127" s="52">
        <f>IF(Table2[[#This Row],[Target age]]=0,0,LOG(Table2[[#This Row],[Target age]]))</f>
        <v>1.7160033436347992</v>
      </c>
      <c r="G127" s="65">
        <v>2.74</v>
      </c>
      <c r="H127" s="59">
        <f t="shared" si="7"/>
        <v>0.43775056282038799</v>
      </c>
      <c r="I127" s="53">
        <f>IF(Table2[[#This Row],[Culture]]=0,0,LOG(Table2[[#This Row],[Culture]]))</f>
        <v>3.1499884564914762</v>
      </c>
      <c r="J127" s="53">
        <f>LOG(1+Table2[[#This Row],[S&amp;P]])</f>
        <v>0.10037054511756291</v>
      </c>
      <c r="K127" s="52">
        <v>0.95424250943932487</v>
      </c>
      <c r="L127" s="52">
        <v>70</v>
      </c>
      <c r="M127" s="50">
        <f t="shared" si="8"/>
        <v>1.8450980400142569</v>
      </c>
      <c r="N127" s="55">
        <v>34.6</v>
      </c>
      <c r="O127" s="62">
        <f t="shared" si="9"/>
        <v>1.5390760987927767</v>
      </c>
      <c r="P127" s="56">
        <v>47.8156192569637</v>
      </c>
      <c r="Q127" s="63">
        <f t="shared" si="10"/>
        <v>1.6795697846681461</v>
      </c>
      <c r="R127" s="52">
        <f>LOG(Table2[[#This Row],[generalist]])</f>
        <v>3.0840515198150036</v>
      </c>
      <c r="S127" s="52">
        <f>LOG(Table2[[#This Row],[country divers.]])</f>
        <v>3.905035725793323</v>
      </c>
      <c r="T127" s="52">
        <f>LOG(Table2[[#This Row],[Firm Size]])</f>
        <v>8.1727780146558526</v>
      </c>
      <c r="U127">
        <v>7</v>
      </c>
      <c r="V127" s="137">
        <f t="shared" si="11"/>
        <v>1</v>
      </c>
    </row>
    <row r="128" spans="1:22" x14ac:dyDescent="0.35">
      <c r="A128" s="49" t="s">
        <v>2</v>
      </c>
      <c r="B128" s="50">
        <v>3.3858267260967419E-2</v>
      </c>
      <c r="C128" s="50">
        <v>8.2547945205479447</v>
      </c>
      <c r="D128" s="50">
        <f t="shared" si="6"/>
        <v>0.91670626721688242</v>
      </c>
      <c r="E128" s="50">
        <f>IF(Table2[[#This Row],[Geo Distance]]=0,0,LOG(Table2[[#This Row],[Geo Distance]]))</f>
        <v>2.8352338467089053</v>
      </c>
      <c r="F128" s="50">
        <f>IF(Table2[[#This Row],[Target age]]=0,0,LOG(Table2[[#This Row],[Target age]]))</f>
        <v>1.7923916894982539</v>
      </c>
      <c r="G128" s="59">
        <v>2.74</v>
      </c>
      <c r="H128" s="59">
        <f t="shared" si="7"/>
        <v>0.43775056282038799</v>
      </c>
      <c r="I128" s="60">
        <f>IF(Table2[[#This Row],[Culture]]=0,0,LOG(Table2[[#This Row],[Culture]]))</f>
        <v>3.1499884564914762</v>
      </c>
      <c r="J128" s="60">
        <f>LOG(1+Table2[[#This Row],[S&amp;P]])</f>
        <v>0.16435285578443709</v>
      </c>
      <c r="K128" s="50">
        <v>0.84509804001425681</v>
      </c>
      <c r="L128" s="50">
        <v>70</v>
      </c>
      <c r="M128" s="50">
        <f t="shared" si="8"/>
        <v>1.8450980400142569</v>
      </c>
      <c r="N128" s="62">
        <v>33.9</v>
      </c>
      <c r="O128" s="62">
        <f t="shared" si="9"/>
        <v>1.5301996982030821</v>
      </c>
      <c r="P128" s="63">
        <v>46.200073016176603</v>
      </c>
      <c r="Q128" s="63">
        <f t="shared" si="10"/>
        <v>1.664642661930531</v>
      </c>
      <c r="R128" s="50">
        <f>LOG(Table2[[#This Row],[generalist]])</f>
        <v>3.2258683317817765</v>
      </c>
      <c r="S128" s="50">
        <f>LOG(Table2[[#This Row],[country divers.]])</f>
        <v>3.9615291224236637</v>
      </c>
      <c r="T128" s="50">
        <f>LOG(Table2[[#This Row],[Firm Size]])</f>
        <v>8.568201724066995</v>
      </c>
      <c r="U128">
        <v>5</v>
      </c>
      <c r="V128" s="137">
        <f t="shared" si="11"/>
        <v>1</v>
      </c>
    </row>
    <row r="129" spans="1:22" x14ac:dyDescent="0.35">
      <c r="A129" s="67" t="s">
        <v>2</v>
      </c>
      <c r="B129" s="52">
        <v>9.1633117733940173E-2</v>
      </c>
      <c r="C129" s="52">
        <v>2.0027397260273974</v>
      </c>
      <c r="D129" s="50">
        <f t="shared" si="6"/>
        <v>0.30162451250138578</v>
      </c>
      <c r="E129" s="52">
        <f>IF(Table2[[#This Row],[Geo Distance]]=0,0,LOG(Table2[[#This Row],[Geo Distance]]))</f>
        <v>3.8335123778512705</v>
      </c>
      <c r="F129" s="52">
        <f>IF(Table2[[#This Row],[Target age]]=0,0,LOG(Table2[[#This Row],[Target age]]))</f>
        <v>1.146128035678238</v>
      </c>
      <c r="G129" s="65">
        <v>2.85</v>
      </c>
      <c r="H129" s="59">
        <f t="shared" si="7"/>
        <v>0.45484486000851021</v>
      </c>
      <c r="I129" s="53">
        <f>IF(Table2[[#This Row],[Culture]]=0,0,LOG(Table2[[#This Row],[Culture]]))</f>
        <v>2.9132839017604186</v>
      </c>
      <c r="J129" s="53">
        <f>LOG(1+Table2[[#This Row],[S&amp;P]])</f>
        <v>0.10720996964786837</v>
      </c>
      <c r="K129" s="52">
        <v>1.1139433523068367</v>
      </c>
      <c r="L129" s="52">
        <v>70</v>
      </c>
      <c r="M129" s="50">
        <f t="shared" si="8"/>
        <v>1.8450980400142569</v>
      </c>
      <c r="N129" s="55">
        <v>33.9</v>
      </c>
      <c r="O129" s="62">
        <f t="shared" si="9"/>
        <v>1.5301996982030821</v>
      </c>
      <c r="P129" s="56">
        <v>46.200073016176603</v>
      </c>
      <c r="Q129" s="63">
        <f t="shared" si="10"/>
        <v>1.664642661930531</v>
      </c>
      <c r="R129" s="52">
        <f>LOG(Table2[[#This Row],[generalist]])</f>
        <v>3.1628767233771686</v>
      </c>
      <c r="S129" s="52">
        <f>LOG(Table2[[#This Row],[country divers.]])</f>
        <v>3.6087947637270492</v>
      </c>
      <c r="T129" s="52">
        <f>LOG(Table2[[#This Row],[Firm Size]])</f>
        <v>8.423245873936807</v>
      </c>
      <c r="U129">
        <v>4</v>
      </c>
      <c r="V129" s="137">
        <f t="shared" si="11"/>
        <v>1</v>
      </c>
    </row>
    <row r="130" spans="1:22" x14ac:dyDescent="0.35">
      <c r="A130" s="49" t="s">
        <v>2</v>
      </c>
      <c r="B130" s="50">
        <v>0.147699940896518</v>
      </c>
      <c r="C130" s="50">
        <v>7.4356164383561643</v>
      </c>
      <c r="D130" s="50">
        <f t="shared" si="6"/>
        <v>0.87131697886724357</v>
      </c>
      <c r="E130" s="50">
        <f>IF(Table2[[#This Row],[Geo Distance]]=0,0,LOG(Table2[[#This Row],[Geo Distance]]))</f>
        <v>3.8335123778512705</v>
      </c>
      <c r="F130" s="50">
        <f>IF(Table2[[#This Row],[Target age]]=0,0,LOG(Table2[[#This Row],[Target age]]))</f>
        <v>1.6989700043360187</v>
      </c>
      <c r="G130" s="59">
        <v>2.85</v>
      </c>
      <c r="H130" s="59">
        <f t="shared" si="7"/>
        <v>0.45484486000851021</v>
      </c>
      <c r="I130" s="60">
        <f>IF(Table2[[#This Row],[Culture]]=0,0,LOG(Table2[[#This Row],[Culture]]))</f>
        <v>2.9132839017604186</v>
      </c>
      <c r="J130" s="60">
        <f>LOG(1+Table2[[#This Row],[S&amp;P]])</f>
        <v>0.35793484700045386</v>
      </c>
      <c r="K130" s="50">
        <v>1.6334684555795864</v>
      </c>
      <c r="L130" s="50">
        <v>90.3</v>
      </c>
      <c r="M130" s="50">
        <f t="shared" si="8"/>
        <v>1.9556877503135057</v>
      </c>
      <c r="N130" s="62">
        <v>36.1</v>
      </c>
      <c r="O130" s="62">
        <f t="shared" si="9"/>
        <v>1.5575072019056579</v>
      </c>
      <c r="P130" s="63">
        <v>47.576210837790804</v>
      </c>
      <c r="Q130" s="63">
        <f t="shared" si="10"/>
        <v>1.6773898501062838</v>
      </c>
      <c r="R130" s="50">
        <f>LOG(Table2[[#This Row],[generalist]])</f>
        <v>3.1527645837352773</v>
      </c>
      <c r="S130" s="50">
        <f>LOG(Table2[[#This Row],[country divers.]])</f>
        <v>3.5411223705253856</v>
      </c>
      <c r="T130" s="50">
        <f>LOG(Table2[[#This Row],[Firm Size]])</f>
        <v>7.5866998016240492</v>
      </c>
      <c r="U130">
        <v>9</v>
      </c>
      <c r="V130" s="137">
        <f t="shared" si="11"/>
        <v>1</v>
      </c>
    </row>
    <row r="131" spans="1:22" x14ac:dyDescent="0.35">
      <c r="A131" s="67" t="s">
        <v>2</v>
      </c>
      <c r="B131" s="52">
        <v>-0.3979400086720376</v>
      </c>
      <c r="C131" s="52">
        <v>3.6958904109589041</v>
      </c>
      <c r="D131" s="50">
        <f t="shared" ref="D131:D194" si="12">LOG(C131)</f>
        <v>0.56771908521542958</v>
      </c>
      <c r="E131" s="52">
        <f>IF(Table2[[#This Row],[Geo Distance]]=0,0,LOG(Table2[[#This Row],[Geo Distance]]))</f>
        <v>2.9624593110290154</v>
      </c>
      <c r="F131" s="52">
        <f>IF(Table2[[#This Row],[Target age]]=0,0,LOG(Table2[[#This Row],[Target age]]))</f>
        <v>1.4471580313422192</v>
      </c>
      <c r="G131" s="65">
        <v>2.62</v>
      </c>
      <c r="H131" s="59">
        <f t="shared" ref="H131:H194" si="13">LOG(G131)</f>
        <v>0.41830129131974547</v>
      </c>
      <c r="I131" s="53">
        <f>IF(Table2[[#This Row],[Culture]]=0,0,LOG(Table2[[#This Row],[Culture]]))</f>
        <v>2.9317967661271176</v>
      </c>
      <c r="J131" s="53">
        <f>LOG(1+Table2[[#This Row],[S&amp;P]])</f>
        <v>-9.1514981121350217E-2</v>
      </c>
      <c r="K131" s="52">
        <v>1.414973347970818</v>
      </c>
      <c r="L131" s="52">
        <v>88.9</v>
      </c>
      <c r="M131" s="50">
        <f t="shared" ref="M131:M194" si="14">LOG(L131)</f>
        <v>1.9489017609702137</v>
      </c>
      <c r="N131" s="55">
        <v>34.9</v>
      </c>
      <c r="O131" s="62">
        <f t="shared" ref="O131:O194" si="15">LOG(N131)</f>
        <v>1.5428254269591799</v>
      </c>
      <c r="P131" s="56">
        <v>42.817370475444001</v>
      </c>
      <c r="Q131" s="63">
        <f t="shared" ref="Q131:Q194" si="16">LOG(P131)</f>
        <v>1.6316199926391717</v>
      </c>
      <c r="R131" s="52">
        <f>LOG(Table2[[#This Row],[generalist]])</f>
        <v>3.22246453795844</v>
      </c>
      <c r="S131" s="52">
        <f>LOG(Table2[[#This Row],[country divers.]])</f>
        <v>3.7071267407396937</v>
      </c>
      <c r="T131" s="52">
        <f>LOG(Table2[[#This Row],[Firm Size]])</f>
        <v>9</v>
      </c>
      <c r="U131">
        <v>5</v>
      </c>
      <c r="V131" s="137">
        <f t="shared" ref="V131:V194" si="17">IF(E131=0,0,1)</f>
        <v>1</v>
      </c>
    </row>
    <row r="132" spans="1:22" x14ac:dyDescent="0.35">
      <c r="A132" s="49" t="s">
        <v>2</v>
      </c>
      <c r="B132" s="50">
        <v>0.60939357636285729</v>
      </c>
      <c r="C132" s="50">
        <v>5.7534246575342465</v>
      </c>
      <c r="D132" s="50">
        <f t="shared" si="12"/>
        <v>0.75992643027744455</v>
      </c>
      <c r="E132" s="50">
        <f>IF(Table2[[#This Row],[Geo Distance]]=0,0,LOG(Table2[[#This Row],[Geo Distance]]))</f>
        <v>2.9624593110290154</v>
      </c>
      <c r="F132" s="50">
        <f>IF(Table2[[#This Row],[Target age]]=0,0,LOG(Table2[[#This Row],[Target age]]))</f>
        <v>1.0413926851582251</v>
      </c>
      <c r="G132" s="59">
        <v>2.62</v>
      </c>
      <c r="H132" s="59">
        <f t="shared" si="13"/>
        <v>0.41830129131974547</v>
      </c>
      <c r="I132" s="60">
        <f>IF(Table2[[#This Row],[Culture]]=0,0,LOG(Table2[[#This Row],[Culture]]))</f>
        <v>2.9317967661271176</v>
      </c>
      <c r="J132" s="60">
        <f>LOG(1+Table2[[#This Row],[S&amp;P]])</f>
        <v>0.2380461031287954</v>
      </c>
      <c r="K132" s="50">
        <v>1.3617278360175928</v>
      </c>
      <c r="L132" s="50">
        <v>90.3</v>
      </c>
      <c r="M132" s="50">
        <f t="shared" si="14"/>
        <v>1.9556877503135057</v>
      </c>
      <c r="N132" s="62">
        <v>36.1</v>
      </c>
      <c r="O132" s="62">
        <f t="shared" si="15"/>
        <v>1.5575072019056579</v>
      </c>
      <c r="P132" s="63">
        <v>47.576210837790804</v>
      </c>
      <c r="Q132" s="63">
        <f t="shared" si="16"/>
        <v>1.6773898501062838</v>
      </c>
      <c r="R132" s="50">
        <f>LOG(Table2[[#This Row],[generalist]])</f>
        <v>3.2188271541979425</v>
      </c>
      <c r="S132" s="50">
        <f>LOG(Table2[[#This Row],[country divers.]])</f>
        <v>3.7570584504768405</v>
      </c>
      <c r="T132" s="50">
        <f>LOG(Table2[[#This Row],[Firm Size]])</f>
        <v>8.6940356954964511</v>
      </c>
      <c r="U132">
        <v>2</v>
      </c>
      <c r="V132" s="137">
        <f t="shared" si="17"/>
        <v>1</v>
      </c>
    </row>
    <row r="133" spans="1:22" x14ac:dyDescent="0.35">
      <c r="A133" s="67" t="s">
        <v>2</v>
      </c>
      <c r="B133" s="52">
        <v>0.10168862928688671</v>
      </c>
      <c r="C133" s="52">
        <v>6.5780821917808217</v>
      </c>
      <c r="D133" s="50">
        <f t="shared" si="12"/>
        <v>0.81809929560055261</v>
      </c>
      <c r="E133" s="52">
        <f>IF(Table2[[#This Row],[Geo Distance]]=0,0,LOG(Table2[[#This Row],[Geo Distance]]))</f>
        <v>2.9624593110290154</v>
      </c>
      <c r="F133" s="52">
        <f>IF(Table2[[#This Row],[Target age]]=0,0,LOG(Table2[[#This Row],[Target age]]))</f>
        <v>0</v>
      </c>
      <c r="G133" s="65">
        <v>2.62</v>
      </c>
      <c r="H133" s="59">
        <f t="shared" si="13"/>
        <v>0.41830129131974547</v>
      </c>
      <c r="I133" s="53">
        <f>IF(Table2[[#This Row],[Culture]]=0,0,LOG(Table2[[#This Row],[Culture]]))</f>
        <v>2.9317967661271176</v>
      </c>
      <c r="J133" s="53">
        <f>LOG(1+Table2[[#This Row],[S&amp;P]])</f>
        <v>4.1392685158225077E-2</v>
      </c>
      <c r="K133" s="52">
        <v>1.2304489213782739</v>
      </c>
      <c r="L133" s="52">
        <v>70</v>
      </c>
      <c r="M133" s="50">
        <f t="shared" si="14"/>
        <v>1.8450980400142569</v>
      </c>
      <c r="N133" s="55">
        <v>34.6</v>
      </c>
      <c r="O133" s="62">
        <f t="shared" si="15"/>
        <v>1.5390760987927767</v>
      </c>
      <c r="P133" s="56">
        <v>47.8156192569637</v>
      </c>
      <c r="Q133" s="63">
        <f t="shared" si="16"/>
        <v>1.6795697846681461</v>
      </c>
      <c r="R133" s="52">
        <f>LOG(Table2[[#This Row],[generalist]])</f>
        <v>3.2188271541979425</v>
      </c>
      <c r="S133" s="52">
        <f>LOG(Table2[[#This Row],[country divers.]])</f>
        <v>3.7570584504768405</v>
      </c>
      <c r="T133" s="52">
        <f>LOG(Table2[[#This Row],[Firm Size]])</f>
        <v>9.4423794150633888</v>
      </c>
      <c r="U133">
        <v>4</v>
      </c>
      <c r="V133" s="137">
        <f t="shared" si="17"/>
        <v>1</v>
      </c>
    </row>
    <row r="134" spans="1:22" x14ac:dyDescent="0.35">
      <c r="A134" s="49" t="s">
        <v>2</v>
      </c>
      <c r="B134" s="50">
        <v>1.9154642507423002E-2</v>
      </c>
      <c r="C134" s="50">
        <v>5</v>
      </c>
      <c r="D134" s="50">
        <f t="shared" si="12"/>
        <v>0.69897000433601886</v>
      </c>
      <c r="E134" s="50">
        <f>IF(Table2[[#This Row],[Geo Distance]]=0,0,LOG(Table2[[#This Row],[Geo Distance]]))</f>
        <v>2.9624593110290154</v>
      </c>
      <c r="F134" s="50">
        <f>IF(Table2[[#This Row],[Target age]]=0,0,LOG(Table2[[#This Row],[Target age]]))</f>
        <v>1.7993405494535817</v>
      </c>
      <c r="G134" s="59">
        <v>2.62</v>
      </c>
      <c r="H134" s="59">
        <f t="shared" si="13"/>
        <v>0.41830129131974547</v>
      </c>
      <c r="I134" s="60">
        <f>IF(Table2[[#This Row],[Culture]]=0,0,LOG(Table2[[#This Row],[Culture]]))</f>
        <v>2.9317967661271176</v>
      </c>
      <c r="J134" s="60">
        <f>LOG(1+Table2[[#This Row],[S&amp;P]])</f>
        <v>-0.10790539730951958</v>
      </c>
      <c r="K134" s="50">
        <v>1.1139433523068367</v>
      </c>
      <c r="L134" s="50">
        <v>70</v>
      </c>
      <c r="M134" s="50">
        <f t="shared" si="14"/>
        <v>1.8450980400142569</v>
      </c>
      <c r="N134" s="62">
        <v>36.200000000000003</v>
      </c>
      <c r="O134" s="62">
        <f t="shared" si="15"/>
        <v>1.5587085705331658</v>
      </c>
      <c r="P134" s="63">
        <v>47.694345434117203</v>
      </c>
      <c r="Q134" s="63">
        <f t="shared" si="16"/>
        <v>1.6784668928277571</v>
      </c>
      <c r="R134" s="50">
        <f>LOG(Table2[[#This Row],[generalist]])</f>
        <v>3.2188271541979425</v>
      </c>
      <c r="S134" s="50">
        <f>LOG(Table2[[#This Row],[country divers.]])</f>
        <v>3.7570584504768405</v>
      </c>
      <c r="T134" s="50">
        <f>LOG(Table2[[#This Row],[Firm Size]])</f>
        <v>9.1569366165482577</v>
      </c>
      <c r="U134">
        <v>5</v>
      </c>
      <c r="V134" s="137">
        <f t="shared" si="17"/>
        <v>1</v>
      </c>
    </row>
    <row r="135" spans="1:22" x14ac:dyDescent="0.35">
      <c r="A135" s="67" t="s">
        <v>2</v>
      </c>
      <c r="B135" s="52">
        <v>0.40976541581488246</v>
      </c>
      <c r="C135" s="52">
        <v>4.0821917808219181</v>
      </c>
      <c r="D135" s="50">
        <f t="shared" si="12"/>
        <v>0.61089340395579939</v>
      </c>
      <c r="E135" s="52">
        <f>IF(Table2[[#This Row],[Geo Distance]]=0,0,LOG(Table2[[#This Row],[Geo Distance]]))</f>
        <v>2.9624593110290154</v>
      </c>
      <c r="F135" s="52">
        <f>IF(Table2[[#This Row],[Target age]]=0,0,LOG(Table2[[#This Row],[Target age]]))</f>
        <v>1.1139433523068367</v>
      </c>
      <c r="G135" s="65">
        <v>2.62</v>
      </c>
      <c r="H135" s="59">
        <f t="shared" si="13"/>
        <v>0.41830129131974547</v>
      </c>
      <c r="I135" s="53">
        <f>IF(Table2[[#This Row],[Culture]]=0,0,LOG(Table2[[#This Row],[Culture]]))</f>
        <v>2.9317967661271176</v>
      </c>
      <c r="J135" s="53">
        <f>LOG(1+Table2[[#This Row],[S&amp;P]])</f>
        <v>4.1392685158225077E-2</v>
      </c>
      <c r="K135" s="52">
        <v>1.2787536009528289</v>
      </c>
      <c r="L135" s="52">
        <v>70</v>
      </c>
      <c r="M135" s="50">
        <f t="shared" si="14"/>
        <v>1.8450980400142569</v>
      </c>
      <c r="N135" s="55">
        <v>33.9</v>
      </c>
      <c r="O135" s="62">
        <f t="shared" si="15"/>
        <v>1.5301996982030821</v>
      </c>
      <c r="P135" s="56">
        <v>46.312020505412598</v>
      </c>
      <c r="Q135" s="63">
        <f t="shared" si="16"/>
        <v>1.6656937288498501</v>
      </c>
      <c r="R135" s="52">
        <f>LOG(Table2[[#This Row],[generalist]])</f>
        <v>3.2699236952309461</v>
      </c>
      <c r="S135" s="52">
        <f>LOG(Table2[[#This Row],[country divers.]])</f>
        <v>3.6984415808994222</v>
      </c>
      <c r="T135" s="52">
        <f>LOG(Table2[[#This Row],[Firm Size]])</f>
        <v>8.7773688159137464</v>
      </c>
      <c r="U135">
        <v>4</v>
      </c>
      <c r="V135" s="137">
        <f t="shared" si="17"/>
        <v>1</v>
      </c>
    </row>
    <row r="136" spans="1:22" x14ac:dyDescent="0.35">
      <c r="A136" s="49" t="s">
        <v>2</v>
      </c>
      <c r="B136" s="50">
        <v>0.80823731347034766</v>
      </c>
      <c r="C136" s="50">
        <v>3.7232876712328768</v>
      </c>
      <c r="D136" s="50">
        <f t="shared" si="12"/>
        <v>0.57092659227601961</v>
      </c>
      <c r="E136" s="50">
        <f>IF(Table2[[#This Row],[Geo Distance]]=0,0,LOG(Table2[[#This Row],[Geo Distance]]))</f>
        <v>2.9624593110290154</v>
      </c>
      <c r="F136" s="50">
        <f>IF(Table2[[#This Row],[Target age]]=0,0,LOG(Table2[[#This Row],[Target age]]))</f>
        <v>1.0791812460476249</v>
      </c>
      <c r="G136" s="59">
        <v>2.62</v>
      </c>
      <c r="H136" s="59">
        <f t="shared" si="13"/>
        <v>0.41830129131974547</v>
      </c>
      <c r="I136" s="60">
        <f>IF(Table2[[#This Row],[Culture]]=0,0,LOG(Table2[[#This Row],[Culture]]))</f>
        <v>2.9317967661271176</v>
      </c>
      <c r="J136" s="60">
        <f>LOG(1+Table2[[#This Row],[S&amp;P]])</f>
        <v>0.21748394421390627</v>
      </c>
      <c r="K136" s="50">
        <v>1.255272505103306</v>
      </c>
      <c r="L136" s="50">
        <v>70</v>
      </c>
      <c r="M136" s="50">
        <f t="shared" si="14"/>
        <v>1.8450980400142569</v>
      </c>
      <c r="N136" s="62">
        <v>34.6</v>
      </c>
      <c r="O136" s="62">
        <f t="shared" si="15"/>
        <v>1.5390760987927767</v>
      </c>
      <c r="P136" s="63">
        <v>47.8156192569637</v>
      </c>
      <c r="Q136" s="63">
        <f t="shared" si="16"/>
        <v>1.6795697846681461</v>
      </c>
      <c r="R136" s="50">
        <f>LOG(Table2[[#This Row],[generalist]])</f>
        <v>3.2699236952309461</v>
      </c>
      <c r="S136" s="50">
        <f>LOG(Table2[[#This Row],[country divers.]])</f>
        <v>3.6984415808994222</v>
      </c>
      <c r="T136" s="50">
        <f>LOG(Table2[[#This Row],[Firm Size]])</f>
        <v>8.3010299956639813</v>
      </c>
      <c r="U136">
        <v>4</v>
      </c>
      <c r="V136" s="137">
        <f t="shared" si="17"/>
        <v>1</v>
      </c>
    </row>
    <row r="137" spans="1:22" x14ac:dyDescent="0.35">
      <c r="A137" s="67" t="s">
        <v>2</v>
      </c>
      <c r="B137" s="52">
        <v>0.32150923106716078</v>
      </c>
      <c r="C137" s="52">
        <v>2.8301369863013699</v>
      </c>
      <c r="D137" s="50">
        <f t="shared" si="12"/>
        <v>0.4518074570631459</v>
      </c>
      <c r="E137" s="52">
        <f>IF(Table2[[#This Row],[Geo Distance]]=0,0,LOG(Table2[[#This Row],[Geo Distance]]))</f>
        <v>2.9624593110290154</v>
      </c>
      <c r="F137" s="52">
        <f>IF(Table2[[#This Row],[Target age]]=0,0,LOG(Table2[[#This Row],[Target age]]))</f>
        <v>0.47712125471966244</v>
      </c>
      <c r="G137" s="65">
        <v>2.62</v>
      </c>
      <c r="H137" s="59">
        <f t="shared" si="13"/>
        <v>0.41830129131974547</v>
      </c>
      <c r="I137" s="53">
        <f>IF(Table2[[#This Row],[Culture]]=0,0,LOG(Table2[[#This Row],[Culture]]))</f>
        <v>2.9317967661271176</v>
      </c>
      <c r="J137" s="53">
        <f>LOG(1+Table2[[#This Row],[S&amp;P]])</f>
        <v>-0.10237290870955855</v>
      </c>
      <c r="K137" s="52">
        <v>1.1760912590556813</v>
      </c>
      <c r="L137" s="52">
        <v>70</v>
      </c>
      <c r="M137" s="50">
        <f t="shared" si="14"/>
        <v>1.8450980400142569</v>
      </c>
      <c r="N137" s="55">
        <v>36.200000000000003</v>
      </c>
      <c r="O137" s="62">
        <f t="shared" si="15"/>
        <v>1.5587085705331658</v>
      </c>
      <c r="P137" s="56">
        <v>44.748733746598099</v>
      </c>
      <c r="Q137" s="63">
        <f t="shared" si="16"/>
        <v>1.6507807506095689</v>
      </c>
      <c r="R137" s="52">
        <f>LOG(Table2[[#This Row],[generalist]])</f>
        <v>3.2699236952309461</v>
      </c>
      <c r="S137" s="52">
        <f>LOG(Table2[[#This Row],[country divers.]])</f>
        <v>3.6984415808994222</v>
      </c>
      <c r="T137" s="52">
        <f>LOG(Table2[[#This Row],[Firm Size]])</f>
        <v>8.1367205671564076</v>
      </c>
      <c r="U137">
        <v>2</v>
      </c>
      <c r="V137" s="137">
        <f t="shared" si="17"/>
        <v>1</v>
      </c>
    </row>
    <row r="138" spans="1:22" x14ac:dyDescent="0.35">
      <c r="A138" s="49" t="s">
        <v>2</v>
      </c>
      <c r="B138" s="50">
        <v>0.97003677662255683</v>
      </c>
      <c r="C138" s="50">
        <v>2.6794520547945204</v>
      </c>
      <c r="D138" s="50">
        <f t="shared" si="12"/>
        <v>0.42804599033112672</v>
      </c>
      <c r="E138" s="50">
        <f>IF(Table2[[#This Row],[Geo Distance]]=0,0,LOG(Table2[[#This Row],[Geo Distance]]))</f>
        <v>2.9624593110290154</v>
      </c>
      <c r="F138" s="50">
        <f>IF(Table2[[#This Row],[Target age]]=0,0,LOG(Table2[[#This Row],[Target age]]))</f>
        <v>0.3010299956639812</v>
      </c>
      <c r="G138" s="59">
        <v>2.62</v>
      </c>
      <c r="H138" s="59">
        <f t="shared" si="13"/>
        <v>0.41830129131974547</v>
      </c>
      <c r="I138" s="60">
        <f>IF(Table2[[#This Row],[Culture]]=0,0,LOG(Table2[[#This Row],[Culture]]))</f>
        <v>2.9317967661271176</v>
      </c>
      <c r="J138" s="60">
        <f>LOG(1+Table2[[#This Row],[S&amp;P]])</f>
        <v>0.17897694729316943</v>
      </c>
      <c r="K138" s="50">
        <v>1.0791812460476249</v>
      </c>
      <c r="L138" s="50">
        <v>70</v>
      </c>
      <c r="M138" s="50">
        <f t="shared" si="14"/>
        <v>1.8450980400142569</v>
      </c>
      <c r="N138" s="62">
        <v>35.200000000000003</v>
      </c>
      <c r="O138" s="62">
        <f t="shared" si="15"/>
        <v>1.546542663478131</v>
      </c>
      <c r="P138" s="63">
        <v>48.057282584935102</v>
      </c>
      <c r="Q138" s="63">
        <f t="shared" si="16"/>
        <v>1.6817592098358938</v>
      </c>
      <c r="R138" s="50">
        <f>LOG(Table2[[#This Row],[generalist]])</f>
        <v>3.2699236952309461</v>
      </c>
      <c r="S138" s="50">
        <f>LOG(Table2[[#This Row],[country divers.]])</f>
        <v>3.6984415808994222</v>
      </c>
      <c r="T138" s="50">
        <f>LOG(Table2[[#This Row],[Firm Size]])</f>
        <v>7.3802112417116064</v>
      </c>
      <c r="U138">
        <v>9</v>
      </c>
      <c r="V138" s="137">
        <f t="shared" si="17"/>
        <v>1</v>
      </c>
    </row>
    <row r="139" spans="1:22" x14ac:dyDescent="0.35">
      <c r="A139" s="67" t="s">
        <v>2</v>
      </c>
      <c r="B139" s="52">
        <v>0.375735713440081</v>
      </c>
      <c r="C139" s="52">
        <v>3.2958904109589042</v>
      </c>
      <c r="D139" s="50">
        <f t="shared" si="12"/>
        <v>0.51797276288337002</v>
      </c>
      <c r="E139" s="52">
        <f>IF(Table2[[#This Row],[Geo Distance]]=0,0,LOG(Table2[[#This Row],[Geo Distance]]))</f>
        <v>2.9624593110290154</v>
      </c>
      <c r="F139" s="52">
        <f>IF(Table2[[#This Row],[Target age]]=0,0,LOG(Table2[[#This Row],[Target age]]))</f>
        <v>0.90308998699194354</v>
      </c>
      <c r="G139" s="65">
        <v>2.62</v>
      </c>
      <c r="H139" s="59">
        <f t="shared" si="13"/>
        <v>0.41830129131974547</v>
      </c>
      <c r="I139" s="53">
        <f>IF(Table2[[#This Row],[Culture]]=0,0,LOG(Table2[[#This Row],[Culture]]))</f>
        <v>2.9317967661271176</v>
      </c>
      <c r="J139" s="53">
        <f>LOG(1+Table2[[#This Row],[S&amp;P]])</f>
        <v>0.18469143081759881</v>
      </c>
      <c r="K139" s="52">
        <v>1.4313637641589874</v>
      </c>
      <c r="L139" s="52">
        <v>89.6</v>
      </c>
      <c r="M139" s="50">
        <f t="shared" si="14"/>
        <v>1.9523080096621253</v>
      </c>
      <c r="N139" s="55">
        <v>35.700000000000003</v>
      </c>
      <c r="O139" s="62">
        <f t="shared" si="15"/>
        <v>1.5526682161121932</v>
      </c>
      <c r="P139" s="56">
        <v>44.7100017757258</v>
      </c>
      <c r="Q139" s="63">
        <f t="shared" si="16"/>
        <v>1.6504046871166989</v>
      </c>
      <c r="R139" s="52">
        <f>LOG(Table2[[#This Row],[generalist]])</f>
        <v>3.25553976325445</v>
      </c>
      <c r="S139" s="52">
        <f>LOG(Table2[[#This Row],[country divers.]])</f>
        <v>3.9251377454872847</v>
      </c>
      <c r="T139" s="52">
        <f>LOG(Table2[[#This Row],[Firm Size]])</f>
        <v>8.5273542735518628</v>
      </c>
      <c r="U139">
        <v>8</v>
      </c>
      <c r="V139" s="137">
        <f t="shared" si="17"/>
        <v>1</v>
      </c>
    </row>
    <row r="140" spans="1:22" x14ac:dyDescent="0.35">
      <c r="A140" s="49" t="s">
        <v>2</v>
      </c>
      <c r="B140" s="50">
        <v>-0.38021124171160592</v>
      </c>
      <c r="C140" s="50">
        <v>6.1753424657534248</v>
      </c>
      <c r="D140" s="50">
        <f t="shared" si="12"/>
        <v>0.79066104725361308</v>
      </c>
      <c r="E140" s="50">
        <f>IF(Table2[[#This Row],[Geo Distance]]=0,0,LOG(Table2[[#This Row],[Geo Distance]]))</f>
        <v>0</v>
      </c>
      <c r="F140" s="50">
        <f>IF(Table2[[#This Row],[Target age]]=0,0,LOG(Table2[[#This Row],[Target age]]))</f>
        <v>0.95424250943932487</v>
      </c>
      <c r="G140" s="59">
        <v>3.5</v>
      </c>
      <c r="H140" s="59">
        <f t="shared" si="13"/>
        <v>0.54406804435027567</v>
      </c>
      <c r="I140" s="60">
        <f>IF(Table2[[#This Row],[Culture]]=0,0,LOG(Table2[[#This Row],[Culture]]))</f>
        <v>0</v>
      </c>
      <c r="J140" s="60">
        <f>LOG(1+Table2[[#This Row],[S&amp;P]])</f>
        <v>7.1882007306125359E-2</v>
      </c>
      <c r="K140" s="50">
        <v>0.95424250943932487</v>
      </c>
      <c r="L140" s="50">
        <v>88.9</v>
      </c>
      <c r="M140" s="50">
        <f t="shared" si="14"/>
        <v>1.9489017609702137</v>
      </c>
      <c r="N140" s="62">
        <v>34.9</v>
      </c>
      <c r="O140" s="62">
        <f t="shared" si="15"/>
        <v>1.5428254269591799</v>
      </c>
      <c r="P140" s="63">
        <v>42.817370475444001</v>
      </c>
      <c r="Q140" s="63">
        <f t="shared" si="16"/>
        <v>1.6316199926391717</v>
      </c>
      <c r="R140" s="50">
        <f>LOG(Table2[[#This Row],[generalist]])</f>
        <v>3.9690067974360175</v>
      </c>
      <c r="S140" s="50">
        <f>LOG(Table2[[#This Row],[country divers.]])</f>
        <v>3.6622275530882837</v>
      </c>
      <c r="T140" s="50">
        <f>LOG(Table2[[#This Row],[Firm Size]])</f>
        <v>9.1931245983544621</v>
      </c>
      <c r="U140">
        <v>1</v>
      </c>
      <c r="V140" s="137">
        <f t="shared" si="17"/>
        <v>0</v>
      </c>
    </row>
    <row r="141" spans="1:22" x14ac:dyDescent="0.35">
      <c r="A141" s="67" t="s">
        <v>2</v>
      </c>
      <c r="B141" s="52">
        <v>0.52917492333003802</v>
      </c>
      <c r="C141" s="52">
        <v>1.9178082191780821</v>
      </c>
      <c r="D141" s="50">
        <f t="shared" si="12"/>
        <v>0.28280517555778212</v>
      </c>
      <c r="E141" s="52">
        <f>IF(Table2[[#This Row],[Geo Distance]]=0,0,LOG(Table2[[#This Row],[Geo Distance]]))</f>
        <v>3.8335123778512705</v>
      </c>
      <c r="F141" s="52">
        <f>IF(Table2[[#This Row],[Target age]]=0,0,LOG(Table2[[#This Row],[Target age]]))</f>
        <v>2.0569048513364727</v>
      </c>
      <c r="G141" s="65">
        <v>2.85</v>
      </c>
      <c r="H141" s="59">
        <f t="shared" si="13"/>
        <v>0.45484486000851021</v>
      </c>
      <c r="I141" s="53">
        <f>IF(Table2[[#This Row],[Culture]]=0,0,LOG(Table2[[#This Row],[Culture]]))</f>
        <v>2.9132839017604186</v>
      </c>
      <c r="J141" s="53">
        <f>LOG(1+Table2[[#This Row],[S&amp;P]])</f>
        <v>5.3078443483419682E-2</v>
      </c>
      <c r="K141" s="52">
        <v>0.95424250943932487</v>
      </c>
      <c r="L141" s="52">
        <v>70</v>
      </c>
      <c r="M141" s="50">
        <f t="shared" si="14"/>
        <v>1.8450980400142569</v>
      </c>
      <c r="N141" s="55">
        <v>33.9</v>
      </c>
      <c r="O141" s="62">
        <f t="shared" si="15"/>
        <v>1.5301996982030821</v>
      </c>
      <c r="P141" s="56">
        <v>46.312020505412598</v>
      </c>
      <c r="Q141" s="63">
        <f t="shared" si="16"/>
        <v>1.6656937288498501</v>
      </c>
      <c r="R141" s="52">
        <f>LOG(Table2[[#This Row],[generalist]])</f>
        <v>3.17328398991646</v>
      </c>
      <c r="S141" s="52">
        <f>LOG(Table2[[#This Row],[country divers.]])</f>
        <v>3.8227937352435273</v>
      </c>
      <c r="T141" s="52">
        <f>LOG(Table2[[#This Row],[Firm Size]])</f>
        <v>8.243286146083447</v>
      </c>
      <c r="U141">
        <v>1</v>
      </c>
      <c r="V141" s="137">
        <f t="shared" si="17"/>
        <v>1</v>
      </c>
    </row>
    <row r="142" spans="1:22" x14ac:dyDescent="0.35">
      <c r="A142" s="49" t="s">
        <v>2</v>
      </c>
      <c r="B142" s="50">
        <v>0.32860990173839816</v>
      </c>
      <c r="C142" s="50">
        <v>6.8657534246575347</v>
      </c>
      <c r="D142" s="50">
        <f t="shared" si="12"/>
        <v>0.83668820220165652</v>
      </c>
      <c r="E142" s="50">
        <f>IF(Table2[[#This Row],[Geo Distance]]=0,0,LOG(Table2[[#This Row],[Geo Distance]]))</f>
        <v>2.9624593110290154</v>
      </c>
      <c r="F142" s="50">
        <f>IF(Table2[[#This Row],[Target age]]=0,0,LOG(Table2[[#This Row],[Target age]]))</f>
        <v>2.1643528557844371</v>
      </c>
      <c r="G142" s="59">
        <v>2.62</v>
      </c>
      <c r="H142" s="59">
        <f t="shared" si="13"/>
        <v>0.41830129131974547</v>
      </c>
      <c r="I142" s="60">
        <f>IF(Table2[[#This Row],[Culture]]=0,0,LOG(Table2[[#This Row],[Culture]]))</f>
        <v>2.9317967661271176</v>
      </c>
      <c r="J142" s="60">
        <f>LOG(1+Table2[[#This Row],[S&amp;P]])</f>
        <v>0.31806333496276157</v>
      </c>
      <c r="K142" s="50">
        <v>1.3802112417116059</v>
      </c>
      <c r="L142" s="50">
        <v>90.3</v>
      </c>
      <c r="M142" s="50">
        <f t="shared" si="14"/>
        <v>1.9556877503135057</v>
      </c>
      <c r="N142" s="62">
        <v>36.1</v>
      </c>
      <c r="O142" s="62">
        <f t="shared" si="15"/>
        <v>1.5575072019056579</v>
      </c>
      <c r="P142" s="63">
        <v>47.576210837790804</v>
      </c>
      <c r="Q142" s="63">
        <f t="shared" si="16"/>
        <v>1.6773898501062838</v>
      </c>
      <c r="R142" s="50">
        <f>LOG(Table2[[#This Row],[generalist]])</f>
        <v>3.3833706119727633</v>
      </c>
      <c r="S142" s="50">
        <f>LOG(Table2[[#This Row],[country divers.]])</f>
        <v>3.9798077985646683</v>
      </c>
      <c r="T142" s="50">
        <f>LOG(Table2[[#This Row],[Firm Size]])</f>
        <v>8.2858137595502335</v>
      </c>
      <c r="U142">
        <v>1</v>
      </c>
      <c r="V142" s="137">
        <f t="shared" si="17"/>
        <v>1</v>
      </c>
    </row>
    <row r="143" spans="1:22" x14ac:dyDescent="0.35">
      <c r="A143" s="67" t="s">
        <v>2</v>
      </c>
      <c r="B143" s="52">
        <v>0.18905623622004888</v>
      </c>
      <c r="C143" s="52">
        <v>6.5890410958904111</v>
      </c>
      <c r="D143" s="50">
        <f t="shared" si="12"/>
        <v>0.81882221625337592</v>
      </c>
      <c r="E143" s="52">
        <f>IF(Table2[[#This Row],[Geo Distance]]=0,0,LOG(Table2[[#This Row],[Geo Distance]]))</f>
        <v>2.9624593110290154</v>
      </c>
      <c r="F143" s="52">
        <f>IF(Table2[[#This Row],[Target age]]=0,0,LOG(Table2[[#This Row],[Target age]]))</f>
        <v>0</v>
      </c>
      <c r="G143" s="65">
        <v>2.62</v>
      </c>
      <c r="H143" s="59">
        <f t="shared" si="13"/>
        <v>0.41830129131974547</v>
      </c>
      <c r="I143" s="53">
        <f>IF(Table2[[#This Row],[Culture]]=0,0,LOG(Table2[[#This Row],[Culture]]))</f>
        <v>2.9317967661271176</v>
      </c>
      <c r="J143" s="53">
        <f>LOG(1+Table2[[#This Row],[S&amp;P]])</f>
        <v>8.2785370316450071E-2</v>
      </c>
      <c r="K143" s="52">
        <v>1.2787536009528289</v>
      </c>
      <c r="L143" s="52">
        <v>70</v>
      </c>
      <c r="M143" s="50">
        <f t="shared" si="14"/>
        <v>1.8450980400142569</v>
      </c>
      <c r="N143" s="55">
        <v>33.9</v>
      </c>
      <c r="O143" s="62">
        <f t="shared" si="15"/>
        <v>1.5301996982030821</v>
      </c>
      <c r="P143" s="56">
        <v>46.312020505412598</v>
      </c>
      <c r="Q143" s="63">
        <f t="shared" si="16"/>
        <v>1.6656937288498501</v>
      </c>
      <c r="R143" s="52">
        <f>LOG(Table2[[#This Row],[generalist]])</f>
        <v>3.3833706119727633</v>
      </c>
      <c r="S143" s="52">
        <f>LOG(Table2[[#This Row],[country divers.]])</f>
        <v>3.9798077985646683</v>
      </c>
      <c r="T143" s="52">
        <f>LOG(Table2[[#This Row],[Firm Size]])</f>
        <v>8.0413926851582254</v>
      </c>
      <c r="U143">
        <v>2</v>
      </c>
      <c r="V143" s="137">
        <f t="shared" si="17"/>
        <v>1</v>
      </c>
    </row>
    <row r="144" spans="1:22" x14ac:dyDescent="0.35">
      <c r="A144" s="49" t="s">
        <v>2</v>
      </c>
      <c r="B144" s="50">
        <v>0.61995582675819938</v>
      </c>
      <c r="C144" s="50">
        <v>3.8465753424657536</v>
      </c>
      <c r="D144" s="50">
        <f t="shared" si="12"/>
        <v>0.58507424333731184</v>
      </c>
      <c r="E144" s="50">
        <f>IF(Table2[[#This Row],[Geo Distance]]=0,0,LOG(Table2[[#This Row],[Geo Distance]]))</f>
        <v>3.8335123778512705</v>
      </c>
      <c r="F144" s="50">
        <f>IF(Table2[[#This Row],[Target age]]=0,0,LOG(Table2[[#This Row],[Target age]]))</f>
        <v>2.2855573090077739</v>
      </c>
      <c r="G144" s="59">
        <v>2.85</v>
      </c>
      <c r="H144" s="59">
        <f t="shared" si="13"/>
        <v>0.45484486000851021</v>
      </c>
      <c r="I144" s="60">
        <f>IF(Table2[[#This Row],[Culture]]=0,0,LOG(Table2[[#This Row],[Culture]]))</f>
        <v>2.9132839017604186</v>
      </c>
      <c r="J144" s="60">
        <f>LOG(1+Table2[[#This Row],[S&amp;P]])</f>
        <v>0.17897694729316943</v>
      </c>
      <c r="K144" s="50">
        <v>1.6434526764861874</v>
      </c>
      <c r="L144" s="50">
        <v>90.5</v>
      </c>
      <c r="M144" s="50">
        <f t="shared" si="14"/>
        <v>1.9566485792052033</v>
      </c>
      <c r="N144" s="62">
        <v>36.4</v>
      </c>
      <c r="O144" s="62">
        <f t="shared" si="15"/>
        <v>1.5611013836490559</v>
      </c>
      <c r="P144" s="63">
        <v>44.295389122127702</v>
      </c>
      <c r="Q144" s="63">
        <f t="shared" si="16"/>
        <v>1.6463585211883986</v>
      </c>
      <c r="R144" s="50">
        <f>LOG(Table2[[#This Row],[generalist]])</f>
        <v>3.3418755036276071</v>
      </c>
      <c r="S144" s="50">
        <f>LOG(Table2[[#This Row],[country divers.]])</f>
        <v>3.8872244231830928</v>
      </c>
      <c r="T144" s="50">
        <f>LOG(Table2[[#This Row],[Firm Size]])</f>
        <v>8.8919275342206756</v>
      </c>
      <c r="U144">
        <v>1</v>
      </c>
      <c r="V144" s="137">
        <f t="shared" si="17"/>
        <v>1</v>
      </c>
    </row>
    <row r="145" spans="1:22" x14ac:dyDescent="0.35">
      <c r="A145" s="67" t="s">
        <v>2</v>
      </c>
      <c r="B145" s="52">
        <v>1.1870866433571445</v>
      </c>
      <c r="C145" s="52">
        <v>3.2383561643835614</v>
      </c>
      <c r="D145" s="50">
        <f t="shared" si="12"/>
        <v>0.51032461208876179</v>
      </c>
      <c r="E145" s="52">
        <f>IF(Table2[[#This Row],[Geo Distance]]=0,0,LOG(Table2[[#This Row],[Geo Distance]]))</f>
        <v>2.8252183337883063</v>
      </c>
      <c r="F145" s="52">
        <f>IF(Table2[[#This Row],[Target age]]=0,0,LOG(Table2[[#This Row],[Target age]]))</f>
        <v>0</v>
      </c>
      <c r="G145" s="65">
        <v>2.84</v>
      </c>
      <c r="H145" s="59">
        <f t="shared" si="13"/>
        <v>0.45331834004703764</v>
      </c>
      <c r="I145" s="53">
        <f>IF(Table2[[#This Row],[Culture]]=0,0,LOG(Table2[[#This Row],[Culture]]))</f>
        <v>2.0361096670605798</v>
      </c>
      <c r="J145" s="53">
        <f>LOG(1+Table2[[#This Row],[S&amp;P]])</f>
        <v>0.18184358794477254</v>
      </c>
      <c r="K145" s="52">
        <v>0.77815125038364363</v>
      </c>
      <c r="L145" s="52">
        <v>89.6</v>
      </c>
      <c r="M145" s="50">
        <f t="shared" si="14"/>
        <v>1.9523080096621253</v>
      </c>
      <c r="N145" s="55">
        <v>35.700000000000003</v>
      </c>
      <c r="O145" s="62">
        <f t="shared" si="15"/>
        <v>1.5526682161121932</v>
      </c>
      <c r="P145" s="56">
        <v>44.7100017757258</v>
      </c>
      <c r="Q145" s="63">
        <f t="shared" si="16"/>
        <v>1.6504046871166989</v>
      </c>
      <c r="R145" s="52">
        <f>LOG(Table2[[#This Row],[generalist]])</f>
        <v>3.8659974508347341</v>
      </c>
      <c r="S145" s="52">
        <f>LOG(Table2[[#This Row],[country divers.]])</f>
        <v>3.8302925433451809</v>
      </c>
      <c r="T145" s="52">
        <f>LOG(Table2[[#This Row],[Firm Size]])</f>
        <v>7.1139433523068369</v>
      </c>
      <c r="U145">
        <v>2</v>
      </c>
      <c r="V145" s="137">
        <f t="shared" si="17"/>
        <v>1</v>
      </c>
    </row>
    <row r="146" spans="1:22" x14ac:dyDescent="0.35">
      <c r="A146" s="49" t="s">
        <v>2</v>
      </c>
      <c r="B146" s="50">
        <v>0.74472749489669388</v>
      </c>
      <c r="C146" s="50">
        <v>2.0575342465753423</v>
      </c>
      <c r="D146" s="50">
        <f t="shared" si="12"/>
        <v>0.31334707254769367</v>
      </c>
      <c r="E146" s="50">
        <f>IF(Table2[[#This Row],[Geo Distance]]=0,0,LOG(Table2[[#This Row],[Geo Distance]]))</f>
        <v>2.2401247301685658</v>
      </c>
      <c r="F146" s="50">
        <f>IF(Table2[[#This Row],[Target age]]=0,0,LOG(Table2[[#This Row],[Target age]]))</f>
        <v>0.69897000433601886</v>
      </c>
      <c r="G146" s="59">
        <v>2.84</v>
      </c>
      <c r="H146" s="59">
        <f t="shared" si="13"/>
        <v>0.45331834004703764</v>
      </c>
      <c r="I146" s="60">
        <f>IF(Table2[[#This Row],[Culture]]=0,0,LOG(Table2[[#This Row],[Culture]]))</f>
        <v>2.0361096670605798</v>
      </c>
      <c r="J146" s="60">
        <f>LOG(1+Table2[[#This Row],[S&amp;P]])</f>
        <v>2.9383777685209667E-2</v>
      </c>
      <c r="K146" s="50">
        <v>0</v>
      </c>
      <c r="L146" s="50">
        <v>89.1</v>
      </c>
      <c r="M146" s="50">
        <f t="shared" si="14"/>
        <v>1.9498777040368747</v>
      </c>
      <c r="N146" s="62">
        <v>34.5</v>
      </c>
      <c r="O146" s="62">
        <f t="shared" si="15"/>
        <v>1.5378190950732742</v>
      </c>
      <c r="P146" s="63">
        <v>44.696333437793797</v>
      </c>
      <c r="Q146" s="63">
        <f t="shared" si="16"/>
        <v>1.6502718982315996</v>
      </c>
      <c r="R146" s="50">
        <f>LOG(Table2[[#This Row],[generalist]])</f>
        <v>3.8659974508347341</v>
      </c>
      <c r="S146" s="50">
        <f>LOG(Table2[[#This Row],[country divers.]])</f>
        <v>3.8302925433451809</v>
      </c>
      <c r="T146" s="50">
        <f>LOG(Table2[[#This Row],[Firm Size]])</f>
        <v>7.4313637641589869</v>
      </c>
      <c r="U146">
        <v>2</v>
      </c>
      <c r="V146" s="137">
        <f t="shared" si="17"/>
        <v>1</v>
      </c>
    </row>
    <row r="147" spans="1:22" x14ac:dyDescent="0.35">
      <c r="A147" s="67" t="s">
        <v>2</v>
      </c>
      <c r="B147" s="52">
        <v>0.31138296353143335</v>
      </c>
      <c r="C147" s="52">
        <v>4.2547945205479456</v>
      </c>
      <c r="D147" s="50">
        <f t="shared" si="12"/>
        <v>0.6288785912720839</v>
      </c>
      <c r="E147" s="52">
        <f>IF(Table2[[#This Row],[Geo Distance]]=0,0,LOG(Table2[[#This Row],[Geo Distance]]))</f>
        <v>3.8335123778512705</v>
      </c>
      <c r="F147" s="52">
        <f>IF(Table2[[#This Row],[Target age]]=0,0,LOG(Table2[[#This Row],[Target age]]))</f>
        <v>1.8450980400142569</v>
      </c>
      <c r="G147" s="65">
        <v>2.85</v>
      </c>
      <c r="H147" s="59">
        <f t="shared" si="13"/>
        <v>0.45484486000851021</v>
      </c>
      <c r="I147" s="53">
        <f>IF(Table2[[#This Row],[Culture]]=0,0,LOG(Table2[[#This Row],[Culture]]))</f>
        <v>2.9132839017604186</v>
      </c>
      <c r="J147" s="53">
        <f>LOG(1+Table2[[#This Row],[S&amp;P]])</f>
        <v>0.18469143081759881</v>
      </c>
      <c r="K147" s="52">
        <v>1.4623979978989561</v>
      </c>
      <c r="L147" s="52">
        <v>92.1</v>
      </c>
      <c r="M147" s="50">
        <f t="shared" si="14"/>
        <v>1.9642596301968489</v>
      </c>
      <c r="N147" s="55">
        <v>36.799999999999997</v>
      </c>
      <c r="O147" s="62">
        <f t="shared" si="15"/>
        <v>1.5658478186735176</v>
      </c>
      <c r="P147" s="56">
        <v>44.688349184782602</v>
      </c>
      <c r="Q147" s="63">
        <f t="shared" si="16"/>
        <v>1.6501943118503011</v>
      </c>
      <c r="R147" s="52">
        <f>LOG(Table2[[#This Row],[generalist]])</f>
        <v>3.20911860699078</v>
      </c>
      <c r="S147" s="52">
        <f>LOG(Table2[[#This Row],[country divers.]])</f>
        <v>3.5849986651910224</v>
      </c>
      <c r="T147" s="52">
        <f>LOG(Table2[[#This Row],[Firm Size]])</f>
        <v>8.6020599913279625</v>
      </c>
      <c r="U147">
        <v>5</v>
      </c>
      <c r="V147" s="137">
        <f t="shared" si="17"/>
        <v>1</v>
      </c>
    </row>
    <row r="148" spans="1:22" x14ac:dyDescent="0.35">
      <c r="A148" s="49" t="s">
        <v>2</v>
      </c>
      <c r="B148" s="50">
        <v>-3.6684488613888719E-2</v>
      </c>
      <c r="C148" s="50">
        <v>2.6547945205479451</v>
      </c>
      <c r="D148" s="50">
        <f t="shared" si="12"/>
        <v>0.4240309125942906</v>
      </c>
      <c r="E148" s="50">
        <f>IF(Table2[[#This Row],[Geo Distance]]=0,0,LOG(Table2[[#This Row],[Geo Distance]]))</f>
        <v>3.8335123778512705</v>
      </c>
      <c r="F148" s="50">
        <f>IF(Table2[[#This Row],[Target age]]=0,0,LOG(Table2[[#This Row],[Target age]]))</f>
        <v>1.4623979978989561</v>
      </c>
      <c r="G148" s="59">
        <v>2.85</v>
      </c>
      <c r="H148" s="59">
        <f t="shared" si="13"/>
        <v>0.45484486000851021</v>
      </c>
      <c r="I148" s="60">
        <f>IF(Table2[[#This Row],[Culture]]=0,0,LOG(Table2[[#This Row],[Culture]]))</f>
        <v>2.9132839017604186</v>
      </c>
      <c r="J148" s="60">
        <f>LOG(1+Table2[[#This Row],[S&amp;P]])</f>
        <v>-9.6910013008056392E-2</v>
      </c>
      <c r="K148" s="50">
        <v>1.3617278360175928</v>
      </c>
      <c r="L148" s="50">
        <v>88.9</v>
      </c>
      <c r="M148" s="50">
        <f t="shared" si="14"/>
        <v>1.9489017609702137</v>
      </c>
      <c r="N148" s="62">
        <v>34.9</v>
      </c>
      <c r="O148" s="62">
        <f t="shared" si="15"/>
        <v>1.5428254269591799</v>
      </c>
      <c r="P148" s="63">
        <v>42.817370475444001</v>
      </c>
      <c r="Q148" s="63">
        <f t="shared" si="16"/>
        <v>1.6316199926391717</v>
      </c>
      <c r="R148" s="50">
        <f>LOG(Table2[[#This Row],[generalist]])</f>
        <v>3.20911860699078</v>
      </c>
      <c r="S148" s="50">
        <f>LOG(Table2[[#This Row],[country divers.]])</f>
        <v>3.5849986651910224</v>
      </c>
      <c r="T148" s="50">
        <f>LOG(Table2[[#This Row],[Firm Size]])</f>
        <v>9</v>
      </c>
      <c r="U148">
        <v>1</v>
      </c>
      <c r="V148" s="137">
        <f t="shared" si="17"/>
        <v>1</v>
      </c>
    </row>
    <row r="149" spans="1:22" x14ac:dyDescent="0.35">
      <c r="A149" s="67" t="s">
        <v>2</v>
      </c>
      <c r="B149" s="52">
        <v>0.29196006238313771</v>
      </c>
      <c r="C149" s="52">
        <v>2.7260273972602738</v>
      </c>
      <c r="D149" s="50">
        <f t="shared" si="12"/>
        <v>0.4355302162892507</v>
      </c>
      <c r="E149" s="52">
        <f>IF(Table2[[#This Row],[Geo Distance]]=0,0,LOG(Table2[[#This Row],[Geo Distance]]))</f>
        <v>3.8335123778512705</v>
      </c>
      <c r="F149" s="52">
        <f>IF(Table2[[#This Row],[Target age]]=0,0,LOG(Table2[[#This Row],[Target age]]))</f>
        <v>1.3222192947339193</v>
      </c>
      <c r="G149" s="65">
        <v>2.85</v>
      </c>
      <c r="H149" s="59">
        <f t="shared" si="13"/>
        <v>0.45484486000851021</v>
      </c>
      <c r="I149" s="53">
        <f>IF(Table2[[#This Row],[Culture]]=0,0,LOG(Table2[[#This Row],[Culture]]))</f>
        <v>2.9132839017604186</v>
      </c>
      <c r="J149" s="53">
        <f>LOG(1+Table2[[#This Row],[S&amp;P]])</f>
        <v>0.12057393120584989</v>
      </c>
      <c r="K149" s="52">
        <v>1.255272505103306</v>
      </c>
      <c r="L149" s="52">
        <v>70</v>
      </c>
      <c r="M149" s="50">
        <f t="shared" si="14"/>
        <v>1.8450980400142569</v>
      </c>
      <c r="N149" s="55">
        <v>34.4</v>
      </c>
      <c r="O149" s="62">
        <f t="shared" si="15"/>
        <v>1.5365584425715302</v>
      </c>
      <c r="P149" s="56">
        <v>47.264053157349203</v>
      </c>
      <c r="Q149" s="63">
        <f t="shared" si="16"/>
        <v>1.6745309620782511</v>
      </c>
      <c r="R149" s="52">
        <f>LOG(Table2[[#This Row],[generalist]])</f>
        <v>3.20911860699078</v>
      </c>
      <c r="S149" s="52">
        <f>LOG(Table2[[#This Row],[country divers.]])</f>
        <v>3.5849986651910224</v>
      </c>
      <c r="T149" s="52">
        <f>LOG(Table2[[#This Row],[Firm Size]])</f>
        <v>7.7986506454452691</v>
      </c>
      <c r="U149">
        <v>5</v>
      </c>
      <c r="V149" s="137">
        <f t="shared" si="17"/>
        <v>1</v>
      </c>
    </row>
    <row r="150" spans="1:22" x14ac:dyDescent="0.35">
      <c r="A150" s="49" t="s">
        <v>2</v>
      </c>
      <c r="B150" s="50">
        <v>0.14780161956780419</v>
      </c>
      <c r="C150" s="50">
        <v>5.6849315068493151</v>
      </c>
      <c r="D150" s="50">
        <f t="shared" si="12"/>
        <v>0.75472523659163682</v>
      </c>
      <c r="E150" s="50">
        <f>IF(Table2[[#This Row],[Geo Distance]]=0,0,LOG(Table2[[#This Row],[Geo Distance]]))</f>
        <v>3.8335123778512705</v>
      </c>
      <c r="F150" s="50">
        <f>IF(Table2[[#This Row],[Target age]]=0,0,LOG(Table2[[#This Row],[Target age]]))</f>
        <v>1.5563025007672873</v>
      </c>
      <c r="G150" s="59">
        <v>2.85</v>
      </c>
      <c r="H150" s="59">
        <f t="shared" si="13"/>
        <v>0.45484486000851021</v>
      </c>
      <c r="I150" s="60">
        <f>IF(Table2[[#This Row],[Culture]]=0,0,LOG(Table2[[#This Row],[Culture]]))</f>
        <v>2.9132839017604186</v>
      </c>
      <c r="J150" s="60">
        <f>LOG(1+Table2[[#This Row],[S&amp;P]])</f>
        <v>0.13987908640123647</v>
      </c>
      <c r="K150" s="50">
        <v>0</v>
      </c>
      <c r="L150" s="50">
        <v>70</v>
      </c>
      <c r="M150" s="50">
        <f t="shared" si="14"/>
        <v>1.8450980400142569</v>
      </c>
      <c r="N150" s="62">
        <v>35</v>
      </c>
      <c r="O150" s="62">
        <f t="shared" si="15"/>
        <v>1.5440680443502757</v>
      </c>
      <c r="P150" s="63">
        <v>46.908044131476899</v>
      </c>
      <c r="Q150" s="63">
        <f t="shared" si="16"/>
        <v>1.6712473250679141</v>
      </c>
      <c r="R150" s="50">
        <f>LOG(Table2[[#This Row],[generalist]])</f>
        <v>3.348721986001856</v>
      </c>
      <c r="S150" s="50">
        <f>LOG(Table2[[#This Row],[country divers.]])</f>
        <v>3.7520876635386311</v>
      </c>
      <c r="T150" s="50">
        <f>LOG(Table2[[#This Row],[Firm Size]])</f>
        <v>8.9661417327390325</v>
      </c>
      <c r="U150">
        <v>8</v>
      </c>
      <c r="V150" s="137">
        <f t="shared" si="17"/>
        <v>1</v>
      </c>
    </row>
    <row r="151" spans="1:22" x14ac:dyDescent="0.35">
      <c r="A151" s="67" t="s">
        <v>2</v>
      </c>
      <c r="B151" s="52">
        <v>0.22788670461367352</v>
      </c>
      <c r="C151" s="52">
        <v>1.7205479452054795</v>
      </c>
      <c r="D151" s="50">
        <f t="shared" si="12"/>
        <v>0.23566677928072144</v>
      </c>
      <c r="E151" s="52">
        <f>IF(Table2[[#This Row],[Geo Distance]]=0,0,LOG(Table2[[#This Row],[Geo Distance]]))</f>
        <v>3.8335123778512705</v>
      </c>
      <c r="F151" s="52">
        <f>IF(Table2[[#This Row],[Target age]]=0,0,LOG(Table2[[#This Row],[Target age]]))</f>
        <v>0.84509804001425681</v>
      </c>
      <c r="G151" s="65">
        <v>2.85</v>
      </c>
      <c r="H151" s="59">
        <f t="shared" si="13"/>
        <v>0.45484486000851021</v>
      </c>
      <c r="I151" s="53">
        <f>IF(Table2[[#This Row],[Culture]]=0,0,LOG(Table2[[#This Row],[Culture]]))</f>
        <v>2.9132839017604186</v>
      </c>
      <c r="J151" s="53">
        <f>LOG(1+Table2[[#This Row],[S&amp;P]])</f>
        <v>7.1882007306125359E-2</v>
      </c>
      <c r="K151" s="52">
        <v>1.1139433523068367</v>
      </c>
      <c r="L151" s="52">
        <v>70</v>
      </c>
      <c r="M151" s="50">
        <f t="shared" si="14"/>
        <v>1.8450980400142569</v>
      </c>
      <c r="N151" s="55">
        <v>33.9</v>
      </c>
      <c r="O151" s="62">
        <f t="shared" si="15"/>
        <v>1.5301996982030821</v>
      </c>
      <c r="P151" s="56">
        <v>46.200073016176603</v>
      </c>
      <c r="Q151" s="63">
        <f t="shared" si="16"/>
        <v>1.664642661930531</v>
      </c>
      <c r="R151" s="52">
        <f>LOG(Table2[[#This Row],[generalist]])</f>
        <v>3.3265688034989269</v>
      </c>
      <c r="S151" s="52">
        <f>LOG(Table2[[#This Row],[country divers.]])</f>
        <v>3.64990043303693</v>
      </c>
      <c r="T151" s="52">
        <f>LOG(Table2[[#This Row],[Firm Size]])</f>
        <v>9</v>
      </c>
      <c r="U151">
        <v>6</v>
      </c>
      <c r="V151" s="137">
        <f t="shared" si="17"/>
        <v>1</v>
      </c>
    </row>
    <row r="152" spans="1:22" x14ac:dyDescent="0.35">
      <c r="A152" s="49" t="s">
        <v>2</v>
      </c>
      <c r="B152" s="50">
        <v>-0.44973627637745167</v>
      </c>
      <c r="C152" s="50">
        <v>7.6410958904109592</v>
      </c>
      <c r="D152" s="50">
        <f t="shared" si="12"/>
        <v>0.88315564980957517</v>
      </c>
      <c r="E152" s="50">
        <f>IF(Table2[[#This Row],[Geo Distance]]=0,0,LOG(Table2[[#This Row],[Geo Distance]]))</f>
        <v>3.8335123778512705</v>
      </c>
      <c r="F152" s="50">
        <f>IF(Table2[[#This Row],[Target age]]=0,0,LOG(Table2[[#This Row],[Target age]]))</f>
        <v>1.9030899869919435</v>
      </c>
      <c r="G152" s="59">
        <v>2.85</v>
      </c>
      <c r="H152" s="59">
        <f t="shared" si="13"/>
        <v>0.45484486000851021</v>
      </c>
      <c r="I152" s="60">
        <f>IF(Table2[[#This Row],[Culture]]=0,0,LOG(Table2[[#This Row],[Culture]]))</f>
        <v>2.9132839017604186</v>
      </c>
      <c r="J152" s="60">
        <f>LOG(1+Table2[[#This Row],[S&amp;P]])</f>
        <v>7.1882007306125359E-2</v>
      </c>
      <c r="K152" s="50">
        <v>1.0791812460476249</v>
      </c>
      <c r="L152" s="50">
        <v>70</v>
      </c>
      <c r="M152" s="50">
        <f t="shared" si="14"/>
        <v>1.8450980400142569</v>
      </c>
      <c r="N152" s="62">
        <v>33.9</v>
      </c>
      <c r="O152" s="62">
        <f t="shared" si="15"/>
        <v>1.5301996982030821</v>
      </c>
      <c r="P152" s="63">
        <v>46.312020505412598</v>
      </c>
      <c r="Q152" s="63">
        <f t="shared" si="16"/>
        <v>1.6656937288498501</v>
      </c>
      <c r="R152" s="50">
        <f>LOG(Table2[[#This Row],[generalist]])</f>
        <v>3.3265688034989269</v>
      </c>
      <c r="S152" s="50">
        <f>LOG(Table2[[#This Row],[country divers.]])</f>
        <v>3.64990043303693</v>
      </c>
      <c r="T152" s="50">
        <f>LOG(Table2[[#This Row],[Firm Size]])</f>
        <v>9.2944662261615925</v>
      </c>
      <c r="U152">
        <v>6</v>
      </c>
      <c r="V152" s="137">
        <f t="shared" si="17"/>
        <v>1</v>
      </c>
    </row>
    <row r="153" spans="1:22" x14ac:dyDescent="0.35">
      <c r="A153" s="67" t="s">
        <v>2</v>
      </c>
      <c r="B153" s="52">
        <v>-1</v>
      </c>
      <c r="C153" s="52">
        <v>2.3232876712328765</v>
      </c>
      <c r="D153" s="50">
        <f t="shared" si="12"/>
        <v>0.36610298780023909</v>
      </c>
      <c r="E153" s="52">
        <f>IF(Table2[[#This Row],[Geo Distance]]=0,0,LOG(Table2[[#This Row],[Geo Distance]]))</f>
        <v>3.8335123778512705</v>
      </c>
      <c r="F153" s="52">
        <f>IF(Table2[[#This Row],[Target age]]=0,0,LOG(Table2[[#This Row],[Target age]]))</f>
        <v>1.8195439355418688</v>
      </c>
      <c r="G153" s="65">
        <v>2.85</v>
      </c>
      <c r="H153" s="59">
        <f t="shared" si="13"/>
        <v>0.45484486000851021</v>
      </c>
      <c r="I153" s="53">
        <f>IF(Table2[[#This Row],[Culture]]=0,0,LOG(Table2[[#This Row],[Culture]]))</f>
        <v>2.9132839017604186</v>
      </c>
      <c r="J153" s="53">
        <f>LOG(1+Table2[[#This Row],[S&amp;P]])</f>
        <v>-0.13076828026902382</v>
      </c>
      <c r="K153" s="52">
        <v>1.3424226808222062</v>
      </c>
      <c r="L153" s="52">
        <v>70</v>
      </c>
      <c r="M153" s="50">
        <f t="shared" si="14"/>
        <v>1.8450980400142569</v>
      </c>
      <c r="N153" s="55">
        <v>36.200000000000003</v>
      </c>
      <c r="O153" s="62">
        <f t="shared" si="15"/>
        <v>1.5587085705331658</v>
      </c>
      <c r="P153" s="56">
        <v>44.748733746598099</v>
      </c>
      <c r="Q153" s="63">
        <f t="shared" si="16"/>
        <v>1.6507807506095689</v>
      </c>
      <c r="R153" s="52">
        <f>LOG(Table2[[#This Row],[generalist]])</f>
        <v>3.3075667315086759</v>
      </c>
      <c r="S153" s="52">
        <f>LOG(Table2[[#This Row],[country divers.]])</f>
        <v>3.8308810053047755</v>
      </c>
      <c r="T153" s="52">
        <f>LOG(Table2[[#This Row],[Firm Size]])</f>
        <v>9.0791812460476251</v>
      </c>
      <c r="U153">
        <v>1</v>
      </c>
      <c r="V153" s="137">
        <f t="shared" si="17"/>
        <v>1</v>
      </c>
    </row>
    <row r="154" spans="1:22" x14ac:dyDescent="0.35">
      <c r="A154" s="49" t="s">
        <v>2</v>
      </c>
      <c r="B154" s="50">
        <v>0.64341739841377443</v>
      </c>
      <c r="C154" s="50">
        <v>3.8219178082191783</v>
      </c>
      <c r="D154" s="50">
        <f t="shared" si="12"/>
        <v>0.58228134315314173</v>
      </c>
      <c r="E154" s="50">
        <f>IF(Table2[[#This Row],[Geo Distance]]=0,0,LOG(Table2[[#This Row],[Geo Distance]]))</f>
        <v>3.8335123778512705</v>
      </c>
      <c r="F154" s="50">
        <f>IF(Table2[[#This Row],[Target age]]=0,0,LOG(Table2[[#This Row],[Target age]]))</f>
        <v>0</v>
      </c>
      <c r="G154" s="59">
        <v>2.85</v>
      </c>
      <c r="H154" s="59">
        <f t="shared" si="13"/>
        <v>0.45484486000851021</v>
      </c>
      <c r="I154" s="60">
        <f>IF(Table2[[#This Row],[Culture]]=0,0,LOG(Table2[[#This Row],[Culture]]))</f>
        <v>2.9132839017604186</v>
      </c>
      <c r="J154" s="60">
        <f>LOG(1+Table2[[#This Row],[S&amp;P]])</f>
        <v>0.18184358794477254</v>
      </c>
      <c r="K154" s="50">
        <v>1.505149978319906</v>
      </c>
      <c r="L154" s="50">
        <v>90.5</v>
      </c>
      <c r="M154" s="50">
        <f t="shared" si="14"/>
        <v>1.9566485792052033</v>
      </c>
      <c r="N154" s="62">
        <v>36.4</v>
      </c>
      <c r="O154" s="62">
        <f t="shared" si="15"/>
        <v>1.5611013836490559</v>
      </c>
      <c r="P154" s="63">
        <v>44.295389122127702</v>
      </c>
      <c r="Q154" s="63">
        <f t="shared" si="16"/>
        <v>1.6463585211883986</v>
      </c>
      <c r="R154" s="50">
        <f>LOG(Table2[[#This Row],[generalist]])</f>
        <v>3.3348710074773962</v>
      </c>
      <c r="S154" s="50">
        <f>LOG(Table2[[#This Row],[country divers.]])</f>
        <v>3.5008426709709495</v>
      </c>
      <c r="T154" s="50">
        <f>LOG(Table2[[#This Row],[Firm Size]])</f>
        <v>8.3747483460101044</v>
      </c>
      <c r="U154">
        <v>4</v>
      </c>
      <c r="V154" s="137">
        <f t="shared" si="17"/>
        <v>1</v>
      </c>
    </row>
    <row r="155" spans="1:22" x14ac:dyDescent="0.35">
      <c r="A155" s="67" t="s">
        <v>2</v>
      </c>
      <c r="B155" s="52">
        <v>6.8835171269757328E-2</v>
      </c>
      <c r="C155" s="52">
        <v>1.5342465753424657</v>
      </c>
      <c r="D155" s="50">
        <f t="shared" si="12"/>
        <v>0.18589516254972568</v>
      </c>
      <c r="E155" s="52">
        <f>IF(Table2[[#This Row],[Geo Distance]]=0,0,LOG(Table2[[#This Row],[Geo Distance]]))</f>
        <v>3.8335123778512705</v>
      </c>
      <c r="F155" s="52">
        <f>IF(Table2[[#This Row],[Target age]]=0,0,LOG(Table2[[#This Row],[Target age]]))</f>
        <v>0.90308998699194354</v>
      </c>
      <c r="G155" s="65">
        <v>2.85</v>
      </c>
      <c r="H155" s="59">
        <f t="shared" si="13"/>
        <v>0.45484486000851021</v>
      </c>
      <c r="I155" s="53">
        <f>IF(Table2[[#This Row],[Culture]]=0,0,LOG(Table2[[#This Row],[Culture]]))</f>
        <v>2.9132839017604186</v>
      </c>
      <c r="J155" s="53">
        <f>LOG(1+Table2[[#This Row],[S&amp;P]])</f>
        <v>0.11058971029924898</v>
      </c>
      <c r="K155" s="52">
        <v>1.3424226808222062</v>
      </c>
      <c r="L155" s="52">
        <v>70</v>
      </c>
      <c r="M155" s="50">
        <f t="shared" si="14"/>
        <v>1.8450980400142569</v>
      </c>
      <c r="N155" s="55">
        <v>34.4</v>
      </c>
      <c r="O155" s="62">
        <f t="shared" si="15"/>
        <v>1.5365584425715302</v>
      </c>
      <c r="P155" s="56">
        <v>47.264053157349203</v>
      </c>
      <c r="Q155" s="63">
        <f t="shared" si="16"/>
        <v>1.6745309620782511</v>
      </c>
      <c r="R155" s="52">
        <f>LOG(Table2[[#This Row],[generalist]])</f>
        <v>3.3348710074773962</v>
      </c>
      <c r="S155" s="52">
        <f>LOG(Table2[[#This Row],[country divers.]])</f>
        <v>3.5008426709709495</v>
      </c>
      <c r="T155" s="52">
        <f>LOG(Table2[[#This Row],[Firm Size]])</f>
        <v>7.4661258704181996</v>
      </c>
      <c r="U155">
        <v>9</v>
      </c>
      <c r="V155" s="137">
        <f t="shared" si="17"/>
        <v>1</v>
      </c>
    </row>
    <row r="156" spans="1:22" x14ac:dyDescent="0.35">
      <c r="A156" s="49" t="s">
        <v>2</v>
      </c>
      <c r="B156" s="50">
        <v>-0.29039087892735133</v>
      </c>
      <c r="C156" s="50">
        <v>7.4821917808219176</v>
      </c>
      <c r="D156" s="50">
        <f t="shared" si="12"/>
        <v>0.87402883568325862</v>
      </c>
      <c r="E156" s="50">
        <f>IF(Table2[[#This Row],[Geo Distance]]=0,0,LOG(Table2[[#This Row],[Geo Distance]]))</f>
        <v>3.8335123778512705</v>
      </c>
      <c r="F156" s="50">
        <f>IF(Table2[[#This Row],[Target age]]=0,0,LOG(Table2[[#This Row],[Target age]]))</f>
        <v>0</v>
      </c>
      <c r="G156" s="59">
        <v>2.85</v>
      </c>
      <c r="H156" s="59">
        <f t="shared" si="13"/>
        <v>0.45484486000851021</v>
      </c>
      <c r="I156" s="60">
        <f>IF(Table2[[#This Row],[Culture]]=0,0,LOG(Table2[[#This Row],[Culture]]))</f>
        <v>2.9132839017604186</v>
      </c>
      <c r="J156" s="60">
        <f>LOG(1+Table2[[#This Row],[S&amp;P]])</f>
        <v>0.16731733474817609</v>
      </c>
      <c r="K156" s="50">
        <v>1.3222192947339193</v>
      </c>
      <c r="L156" s="50">
        <v>89.9</v>
      </c>
      <c r="M156" s="50">
        <f t="shared" si="14"/>
        <v>1.9537596917332287</v>
      </c>
      <c r="N156" s="62">
        <v>35.4</v>
      </c>
      <c r="O156" s="62">
        <f t="shared" si="15"/>
        <v>1.5490032620257879</v>
      </c>
      <c r="P156" s="63">
        <v>43.572845019400901</v>
      </c>
      <c r="Q156" s="63">
        <f t="shared" si="16"/>
        <v>1.6392159174268797</v>
      </c>
      <c r="R156" s="50">
        <f>LOG(Table2[[#This Row],[generalist]])</f>
        <v>3.4269037046073545</v>
      </c>
      <c r="S156" s="50">
        <f>LOG(Table2[[#This Row],[country divers.]])</f>
        <v>3.857855755812408</v>
      </c>
      <c r="T156" s="50">
        <f>LOG(Table2[[#This Row],[Firm Size]])</f>
        <v>8.5440680443502757</v>
      </c>
      <c r="U156">
        <v>9</v>
      </c>
      <c r="V156" s="137">
        <f t="shared" si="17"/>
        <v>1</v>
      </c>
    </row>
    <row r="157" spans="1:22" x14ac:dyDescent="0.35">
      <c r="A157" s="67" t="s">
        <v>2</v>
      </c>
      <c r="B157" s="52">
        <v>0.59470324156447552</v>
      </c>
      <c r="C157" s="52">
        <v>2.9753424657534246</v>
      </c>
      <c r="D157" s="50">
        <f t="shared" si="12"/>
        <v>0.47353696079635343</v>
      </c>
      <c r="E157" s="52">
        <f>IF(Table2[[#This Row],[Geo Distance]]=0,0,LOG(Table2[[#This Row],[Geo Distance]]))</f>
        <v>3.8335123778512705</v>
      </c>
      <c r="F157" s="52">
        <f>IF(Table2[[#This Row],[Target age]]=0,0,LOG(Table2[[#This Row],[Target age]]))</f>
        <v>0</v>
      </c>
      <c r="G157" s="65">
        <v>2.85</v>
      </c>
      <c r="H157" s="59">
        <f t="shared" si="13"/>
        <v>0.45484486000851021</v>
      </c>
      <c r="I157" s="53">
        <f>IF(Table2[[#This Row],[Culture]]=0,0,LOG(Table2[[#This Row],[Culture]]))</f>
        <v>2.9132839017604186</v>
      </c>
      <c r="J157" s="53">
        <f>LOG(1+Table2[[#This Row],[S&amp;P]])</f>
        <v>0.11058971029924898</v>
      </c>
      <c r="K157" s="52">
        <v>1.6334684555795864</v>
      </c>
      <c r="L157" s="52">
        <v>88.2</v>
      </c>
      <c r="M157" s="50">
        <f t="shared" si="14"/>
        <v>1.9454685851318196</v>
      </c>
      <c r="N157" s="55">
        <v>37</v>
      </c>
      <c r="O157" s="62">
        <f t="shared" si="15"/>
        <v>1.568201724066995</v>
      </c>
      <c r="P157" s="56">
        <v>43.709255262622698</v>
      </c>
      <c r="Q157" s="63">
        <f t="shared" si="16"/>
        <v>1.6405734068536693</v>
      </c>
      <c r="R157" s="52">
        <f>LOG(Table2[[#This Row],[generalist]])</f>
        <v>3.3900400165248765</v>
      </c>
      <c r="S157" s="52">
        <f>LOG(Table2[[#This Row],[country divers.]])</f>
        <v>3.8670608679422993</v>
      </c>
      <c r="T157" s="52">
        <f>LOG(Table2[[#This Row],[Firm Size]])</f>
        <v>7.8061799739838875</v>
      </c>
      <c r="U157">
        <v>9</v>
      </c>
      <c r="V157" s="137">
        <f t="shared" si="17"/>
        <v>1</v>
      </c>
    </row>
    <row r="158" spans="1:22" x14ac:dyDescent="0.35">
      <c r="A158" s="49" t="s">
        <v>2</v>
      </c>
      <c r="B158" s="50">
        <v>-0.36768611887009245</v>
      </c>
      <c r="C158" s="50">
        <v>2.0767123287671234</v>
      </c>
      <c r="D158" s="50">
        <f t="shared" si="12"/>
        <v>0.31737634117557884</v>
      </c>
      <c r="E158" s="50">
        <f>IF(Table2[[#This Row],[Geo Distance]]=0,0,LOG(Table2[[#This Row],[Geo Distance]]))</f>
        <v>3.8335123778512705</v>
      </c>
      <c r="F158" s="50">
        <f>IF(Table2[[#This Row],[Target age]]=0,0,LOG(Table2[[#This Row],[Target age]]))</f>
        <v>1.9956351945975499</v>
      </c>
      <c r="G158" s="59">
        <v>2.85</v>
      </c>
      <c r="H158" s="59">
        <f t="shared" si="13"/>
        <v>0.45484486000851021</v>
      </c>
      <c r="I158" s="60">
        <f>IF(Table2[[#This Row],[Culture]]=0,0,LOG(Table2[[#This Row],[Culture]]))</f>
        <v>2.9132839017604186</v>
      </c>
      <c r="J158" s="60">
        <f>LOG(1+Table2[[#This Row],[S&amp;P]])</f>
        <v>9.3421685162235063E-2</v>
      </c>
      <c r="K158" s="50">
        <v>0.6020599913279624</v>
      </c>
      <c r="L158" s="50">
        <v>70</v>
      </c>
      <c r="M158" s="50">
        <f t="shared" si="14"/>
        <v>1.8450980400142569</v>
      </c>
      <c r="N158" s="62">
        <v>33.9</v>
      </c>
      <c r="O158" s="62">
        <f t="shared" si="15"/>
        <v>1.5301996982030821</v>
      </c>
      <c r="P158" s="63">
        <v>46.200073016176603</v>
      </c>
      <c r="Q158" s="63">
        <f t="shared" si="16"/>
        <v>1.664642661930531</v>
      </c>
      <c r="R158" s="50">
        <f>LOG(Table2[[#This Row],[generalist]])</f>
        <v>3.1630287862164392</v>
      </c>
      <c r="S158" s="50">
        <f>LOG(Table2[[#This Row],[country divers.]])</f>
        <v>3.8199093495153855</v>
      </c>
      <c r="T158" s="50">
        <f>LOG(Table2[[#This Row],[Firm Size]])</f>
        <v>9.0863598306747484</v>
      </c>
      <c r="U158">
        <v>8</v>
      </c>
      <c r="V158" s="137">
        <f t="shared" si="17"/>
        <v>1</v>
      </c>
    </row>
    <row r="159" spans="1:22" x14ac:dyDescent="0.35">
      <c r="A159" s="67" t="s">
        <v>2</v>
      </c>
      <c r="B159" s="52">
        <v>-1.6531584835935944E-2</v>
      </c>
      <c r="C159" s="52">
        <v>2.1643835616438358</v>
      </c>
      <c r="D159" s="50">
        <f t="shared" si="12"/>
        <v>0.33533422683396674</v>
      </c>
      <c r="E159" s="52">
        <f>IF(Table2[[#This Row],[Geo Distance]]=0,0,LOG(Table2[[#This Row],[Geo Distance]]))</f>
        <v>3.8335123778512705</v>
      </c>
      <c r="F159" s="52">
        <f>IF(Table2[[#This Row],[Target age]]=0,0,LOG(Table2[[#This Row],[Target age]]))</f>
        <v>0.90308998699194354</v>
      </c>
      <c r="G159" s="65">
        <v>2.85</v>
      </c>
      <c r="H159" s="59">
        <f t="shared" si="13"/>
        <v>0.45484486000851021</v>
      </c>
      <c r="I159" s="53">
        <f>IF(Table2[[#This Row],[Culture]]=0,0,LOG(Table2[[#This Row],[Culture]]))</f>
        <v>2.9132839017604186</v>
      </c>
      <c r="J159" s="53">
        <f>LOG(1+Table2[[#This Row],[S&amp;P]])</f>
        <v>-9.1514981121350217E-2</v>
      </c>
      <c r="K159" s="52">
        <v>1.8864907251724818</v>
      </c>
      <c r="L159" s="52">
        <v>89.9</v>
      </c>
      <c r="M159" s="50">
        <f t="shared" si="14"/>
        <v>1.9537596917332287</v>
      </c>
      <c r="N159" s="55">
        <v>35.4</v>
      </c>
      <c r="O159" s="62">
        <f t="shared" si="15"/>
        <v>1.5490032620257879</v>
      </c>
      <c r="P159" s="56">
        <v>43.572845019400901</v>
      </c>
      <c r="Q159" s="63">
        <f t="shared" si="16"/>
        <v>1.6392159174268797</v>
      </c>
      <c r="R159" s="52">
        <f>LOG(Table2[[#This Row],[generalist]])</f>
        <v>3.3779512479807074</v>
      </c>
      <c r="S159" s="52">
        <f>LOG(Table2[[#This Row],[country divers.]])</f>
        <v>3.7669888618571257</v>
      </c>
      <c r="T159" s="52">
        <f>LOG(Table2[[#This Row],[Firm Size]])</f>
        <v>8.7781512503836439</v>
      </c>
      <c r="U159">
        <v>5</v>
      </c>
      <c r="V159" s="137">
        <f t="shared" si="17"/>
        <v>1</v>
      </c>
    </row>
    <row r="160" spans="1:22" x14ac:dyDescent="0.35">
      <c r="A160" s="49" t="s">
        <v>2</v>
      </c>
      <c r="B160" s="50">
        <v>0.23657200643706269</v>
      </c>
      <c r="C160" s="50">
        <v>2.3890410958904109</v>
      </c>
      <c r="D160" s="50">
        <f t="shared" si="12"/>
        <v>0.37822362047609248</v>
      </c>
      <c r="E160" s="50">
        <f>IF(Table2[[#This Row],[Geo Distance]]=0,0,LOG(Table2[[#This Row],[Geo Distance]]))</f>
        <v>0</v>
      </c>
      <c r="F160" s="50">
        <f>IF(Table2[[#This Row],[Target age]]=0,0,LOG(Table2[[#This Row],[Target age]]))</f>
        <v>1.7708520116421442</v>
      </c>
      <c r="G160" s="59">
        <v>3.5</v>
      </c>
      <c r="H160" s="59">
        <f t="shared" si="13"/>
        <v>0.54406804435027567</v>
      </c>
      <c r="I160" s="60">
        <f>IF(Table2[[#This Row],[Culture]]=0,0,LOG(Table2[[#This Row],[Culture]]))</f>
        <v>0</v>
      </c>
      <c r="J160" s="60">
        <f>LOG(1+Table2[[#This Row],[S&amp;P]])</f>
        <v>7.1882007306125359E-2</v>
      </c>
      <c r="K160" s="50">
        <v>1.0791812460476249</v>
      </c>
      <c r="L160" s="50">
        <v>90.3</v>
      </c>
      <c r="M160" s="50">
        <f t="shared" si="14"/>
        <v>1.9556877503135057</v>
      </c>
      <c r="N160" s="62">
        <v>36.1</v>
      </c>
      <c r="O160" s="62">
        <f t="shared" si="15"/>
        <v>1.5575072019056579</v>
      </c>
      <c r="P160" s="63">
        <v>47.576210837790804</v>
      </c>
      <c r="Q160" s="63">
        <f t="shared" si="16"/>
        <v>1.6773898501062838</v>
      </c>
      <c r="R160" s="50">
        <f>LOG(Table2[[#This Row],[generalist]])</f>
        <v>3.359479897098526</v>
      </c>
      <c r="S160" s="50">
        <f>LOG(Table2[[#This Row],[country divers.]])</f>
        <v>3.9336135634448146</v>
      </c>
      <c r="T160" s="50">
        <f>LOG(Table2[[#This Row],[Firm Size]])</f>
        <v>8.1613680022349744</v>
      </c>
      <c r="U160">
        <v>1</v>
      </c>
      <c r="V160" s="137">
        <f t="shared" si="17"/>
        <v>0</v>
      </c>
    </row>
    <row r="161" spans="1:22" x14ac:dyDescent="0.35">
      <c r="A161" s="67" t="s">
        <v>2</v>
      </c>
      <c r="B161" s="52">
        <v>-1</v>
      </c>
      <c r="C161" s="52">
        <v>2.1808219178082191</v>
      </c>
      <c r="D161" s="50">
        <f t="shared" si="12"/>
        <v>0.3386202032811943</v>
      </c>
      <c r="E161" s="52">
        <f>IF(Table2[[#This Row],[Geo Distance]]=0,0,LOG(Table2[[#This Row],[Geo Distance]]))</f>
        <v>0</v>
      </c>
      <c r="F161" s="52">
        <f>IF(Table2[[#This Row],[Target age]]=0,0,LOG(Table2[[#This Row],[Target age]]))</f>
        <v>1.3424226808222062</v>
      </c>
      <c r="G161" s="65">
        <v>3.5</v>
      </c>
      <c r="H161" s="59">
        <f t="shared" si="13"/>
        <v>0.54406804435027567</v>
      </c>
      <c r="I161" s="53">
        <f>IF(Table2[[#This Row],[Culture]]=0,0,LOG(Table2[[#This Row],[Culture]]))</f>
        <v>0</v>
      </c>
      <c r="J161" s="53">
        <f>LOG(1+Table2[[#This Row],[S&amp;P]])</f>
        <v>-0.29242982390206362</v>
      </c>
      <c r="K161" s="52">
        <v>1</v>
      </c>
      <c r="L161" s="52">
        <v>88.9</v>
      </c>
      <c r="M161" s="50">
        <f t="shared" si="14"/>
        <v>1.9489017609702137</v>
      </c>
      <c r="N161" s="55">
        <v>34.9</v>
      </c>
      <c r="O161" s="62">
        <f t="shared" si="15"/>
        <v>1.5428254269591799</v>
      </c>
      <c r="P161" s="56">
        <v>42.817370475444001</v>
      </c>
      <c r="Q161" s="63">
        <f t="shared" si="16"/>
        <v>1.6316199926391717</v>
      </c>
      <c r="R161" s="52">
        <f>LOG(Table2[[#This Row],[generalist]])</f>
        <v>3.359479897098526</v>
      </c>
      <c r="S161" s="52">
        <f>LOG(Table2[[#This Row],[country divers.]])</f>
        <v>3.9336135634448146</v>
      </c>
      <c r="T161" s="52">
        <f>LOG(Table2[[#This Row],[Firm Size]])</f>
        <v>7.4802944600030061</v>
      </c>
      <c r="U161">
        <v>5</v>
      </c>
      <c r="V161" s="137">
        <f t="shared" si="17"/>
        <v>0</v>
      </c>
    </row>
    <row r="162" spans="1:22" x14ac:dyDescent="0.35">
      <c r="A162" s="49" t="s">
        <v>2</v>
      </c>
      <c r="B162" s="50">
        <v>0.21514762636368814</v>
      </c>
      <c r="C162" s="50">
        <v>6.183561643835616</v>
      </c>
      <c r="D162" s="50">
        <f t="shared" si="12"/>
        <v>0.79123869462128726</v>
      </c>
      <c r="E162" s="50">
        <f>IF(Table2[[#This Row],[Geo Distance]]=0,0,LOG(Table2[[#This Row],[Geo Distance]]))</f>
        <v>0</v>
      </c>
      <c r="F162" s="50">
        <f>IF(Table2[[#This Row],[Target age]]=0,0,LOG(Table2[[#This Row],[Target age]]))</f>
        <v>1.3424226808222062</v>
      </c>
      <c r="G162" s="59">
        <v>3.5</v>
      </c>
      <c r="H162" s="59">
        <f t="shared" si="13"/>
        <v>0.54406804435027567</v>
      </c>
      <c r="I162" s="60">
        <f>IF(Table2[[#This Row],[Culture]]=0,0,LOG(Table2[[#This Row],[Culture]]))</f>
        <v>0</v>
      </c>
      <c r="J162" s="60">
        <f>LOG(1+Table2[[#This Row],[S&amp;P]])</f>
        <v>0.250420002308894</v>
      </c>
      <c r="K162" s="50">
        <v>1.6627578316815741</v>
      </c>
      <c r="L162" s="50">
        <v>89.6</v>
      </c>
      <c r="M162" s="50">
        <f t="shared" si="14"/>
        <v>1.9523080096621253</v>
      </c>
      <c r="N162" s="62">
        <v>35.700000000000003</v>
      </c>
      <c r="O162" s="62">
        <f t="shared" si="15"/>
        <v>1.5526682161121932</v>
      </c>
      <c r="P162" s="63">
        <v>44.7100017757258</v>
      </c>
      <c r="Q162" s="63">
        <f t="shared" si="16"/>
        <v>1.6504046871166989</v>
      </c>
      <c r="R162" s="50">
        <f>LOG(Table2[[#This Row],[generalist]])</f>
        <v>3.1748092491298348</v>
      </c>
      <c r="S162" s="50">
        <f>LOG(Table2[[#This Row],[country divers.]])</f>
        <v>3.5756423396072652</v>
      </c>
      <c r="T162" s="50">
        <f>LOG(Table2[[#This Row],[Firm Size]])</f>
        <v>7.8129133566428557</v>
      </c>
      <c r="U162">
        <v>8</v>
      </c>
      <c r="V162" s="137">
        <f t="shared" si="17"/>
        <v>0</v>
      </c>
    </row>
    <row r="163" spans="1:22" x14ac:dyDescent="0.35">
      <c r="A163" s="67" t="s">
        <v>2</v>
      </c>
      <c r="B163" s="52">
        <v>0.13353890837021754</v>
      </c>
      <c r="C163" s="52">
        <v>5.624657534246575</v>
      </c>
      <c r="D163" s="50">
        <f t="shared" si="12"/>
        <v>0.75009608491411717</v>
      </c>
      <c r="E163" s="52">
        <f>IF(Table2[[#This Row],[Geo Distance]]=0,0,LOG(Table2[[#This Row],[Geo Distance]]))</f>
        <v>0</v>
      </c>
      <c r="F163" s="52">
        <f>IF(Table2[[#This Row],[Target age]]=0,0,LOG(Table2[[#This Row],[Target age]]))</f>
        <v>2.1072099696478683</v>
      </c>
      <c r="G163" s="65">
        <v>3.5</v>
      </c>
      <c r="H163" s="59">
        <f t="shared" si="13"/>
        <v>0.54406804435027567</v>
      </c>
      <c r="I163" s="53">
        <f>IF(Table2[[#This Row],[Culture]]=0,0,LOG(Table2[[#This Row],[Culture]]))</f>
        <v>0</v>
      </c>
      <c r="J163" s="53">
        <f>LOG(1+Table2[[#This Row],[S&amp;P]])</f>
        <v>-2.2276394711152253E-2</v>
      </c>
      <c r="K163" s="52">
        <v>1.6232492903979006</v>
      </c>
      <c r="L163" s="52">
        <v>88.9</v>
      </c>
      <c r="M163" s="50">
        <f t="shared" si="14"/>
        <v>1.9489017609702137</v>
      </c>
      <c r="N163" s="55">
        <v>34.9</v>
      </c>
      <c r="O163" s="62">
        <f t="shared" si="15"/>
        <v>1.5428254269591799</v>
      </c>
      <c r="P163" s="56">
        <v>42.817370475444001</v>
      </c>
      <c r="Q163" s="63">
        <f t="shared" si="16"/>
        <v>1.6316199926391717</v>
      </c>
      <c r="R163" s="52">
        <f>LOG(Table2[[#This Row],[generalist]])</f>
        <v>3.1748092491298348</v>
      </c>
      <c r="S163" s="52">
        <f>LOG(Table2[[#This Row],[country divers.]])</f>
        <v>3.5756423396072652</v>
      </c>
      <c r="T163" s="52">
        <f>LOG(Table2[[#This Row],[Firm Size]])</f>
        <v>8.4771212547196626</v>
      </c>
      <c r="U163">
        <v>1</v>
      </c>
      <c r="V163" s="137">
        <f t="shared" si="17"/>
        <v>0</v>
      </c>
    </row>
    <row r="164" spans="1:22" x14ac:dyDescent="0.35">
      <c r="A164" s="49" t="s">
        <v>2</v>
      </c>
      <c r="B164" s="50">
        <v>0.51450379065407925</v>
      </c>
      <c r="C164" s="50">
        <v>10.893150684931507</v>
      </c>
      <c r="D164" s="50">
        <f t="shared" si="12"/>
        <v>1.0371535112688011</v>
      </c>
      <c r="E164" s="50">
        <f>IF(Table2[[#This Row],[Geo Distance]]=0,0,LOG(Table2[[#This Row],[Geo Distance]]))</f>
        <v>0</v>
      </c>
      <c r="F164" s="50">
        <f>IF(Table2[[#This Row],[Target age]]=0,0,LOG(Table2[[#This Row],[Target age]]))</f>
        <v>0.95424250943932487</v>
      </c>
      <c r="G164" s="59">
        <v>3.5</v>
      </c>
      <c r="H164" s="59">
        <f t="shared" si="13"/>
        <v>0.54406804435027567</v>
      </c>
      <c r="I164" s="60">
        <f>IF(Table2[[#This Row],[Culture]]=0,0,LOG(Table2[[#This Row],[Culture]]))</f>
        <v>0</v>
      </c>
      <c r="J164" s="60">
        <f>LOG(1+Table2[[#This Row],[S&amp;P]])</f>
        <v>0.24303804868629444</v>
      </c>
      <c r="K164" s="50">
        <v>1.6020599913279623</v>
      </c>
      <c r="L164" s="50">
        <v>70</v>
      </c>
      <c r="M164" s="50">
        <f t="shared" si="14"/>
        <v>1.8450980400142569</v>
      </c>
      <c r="N164" s="62">
        <v>33.9</v>
      </c>
      <c r="O164" s="62">
        <f t="shared" si="15"/>
        <v>1.5301996982030821</v>
      </c>
      <c r="P164" s="63">
        <v>46.200073016176603</v>
      </c>
      <c r="Q164" s="63">
        <f t="shared" si="16"/>
        <v>1.664642661930531</v>
      </c>
      <c r="R164" s="50">
        <f>LOG(Table2[[#This Row],[generalist]])</f>
        <v>3.1748092491298348</v>
      </c>
      <c r="S164" s="50">
        <f>LOG(Table2[[#This Row],[country divers.]])</f>
        <v>3.5756423396072652</v>
      </c>
      <c r="T164" s="50">
        <f>LOG(Table2[[#This Row],[Firm Size]])</f>
        <v>8.0347792104435261</v>
      </c>
      <c r="U164">
        <v>1</v>
      </c>
      <c r="V164" s="137">
        <f t="shared" si="17"/>
        <v>0</v>
      </c>
    </row>
    <row r="165" spans="1:22" x14ac:dyDescent="0.35">
      <c r="A165" s="67" t="s">
        <v>2</v>
      </c>
      <c r="B165" s="52">
        <v>-0.47639682672533018</v>
      </c>
      <c r="C165" s="52">
        <v>4.9095890410958907</v>
      </c>
      <c r="D165" s="50">
        <f t="shared" si="12"/>
        <v>0.69104514086963176</v>
      </c>
      <c r="E165" s="52">
        <f>IF(Table2[[#This Row],[Geo Distance]]=0,0,LOG(Table2[[#This Row],[Geo Distance]]))</f>
        <v>3.8335123778512705</v>
      </c>
      <c r="F165" s="52">
        <f>IF(Table2[[#This Row],[Target age]]=0,0,LOG(Table2[[#This Row],[Target age]]))</f>
        <v>0.95424250943932487</v>
      </c>
      <c r="G165" s="65">
        <v>2.85</v>
      </c>
      <c r="H165" s="59">
        <f t="shared" si="13"/>
        <v>0.45484486000851021</v>
      </c>
      <c r="I165" s="53">
        <f>IF(Table2[[#This Row],[Culture]]=0,0,LOG(Table2[[#This Row],[Culture]]))</f>
        <v>2.9132839017604186</v>
      </c>
      <c r="J165" s="53">
        <f>LOG(1+Table2[[#This Row],[S&amp;P]])</f>
        <v>0.18184358794477254</v>
      </c>
      <c r="K165" s="52">
        <v>1.6334684555795864</v>
      </c>
      <c r="L165" s="52">
        <v>89.6</v>
      </c>
      <c r="M165" s="50">
        <f t="shared" si="14"/>
        <v>1.9523080096621253</v>
      </c>
      <c r="N165" s="55">
        <v>35.700000000000003</v>
      </c>
      <c r="O165" s="62">
        <f t="shared" si="15"/>
        <v>1.5526682161121932</v>
      </c>
      <c r="P165" s="56">
        <v>44.7100017757258</v>
      </c>
      <c r="Q165" s="63">
        <f t="shared" si="16"/>
        <v>1.6504046871166989</v>
      </c>
      <c r="R165" s="52">
        <f>LOG(Table2[[#This Row],[generalist]])</f>
        <v>3.3885364494891754</v>
      </c>
      <c r="S165" s="52">
        <f>LOG(Table2[[#This Row],[country divers.]])</f>
        <v>3.818148300254375</v>
      </c>
      <c r="T165" s="52">
        <f>LOG(Table2[[#This Row],[Firm Size]])</f>
        <v>8.3794868137172731</v>
      </c>
      <c r="U165">
        <v>9</v>
      </c>
      <c r="V165" s="137">
        <f t="shared" si="17"/>
        <v>1</v>
      </c>
    </row>
    <row r="166" spans="1:22" x14ac:dyDescent="0.35">
      <c r="A166" s="49" t="s">
        <v>497</v>
      </c>
      <c r="B166" s="50">
        <v>0.21195514674005575</v>
      </c>
      <c r="C166" s="50">
        <v>4.2328767123287667</v>
      </c>
      <c r="D166" s="50">
        <f t="shared" si="12"/>
        <v>0.62663561930437872</v>
      </c>
      <c r="E166" s="50">
        <f>IF(Table2[[#This Row],[Geo Distance]]=0,0,LOG(Table2[[#This Row],[Geo Distance]]))</f>
        <v>2.6664899002624973</v>
      </c>
      <c r="F166" s="50">
        <f>IF(Table2[[#This Row],[Target age]]=0,0,LOG(Table2[[#This Row],[Target age]]))</f>
        <v>0</v>
      </c>
      <c r="G166" s="59">
        <v>2.61</v>
      </c>
      <c r="H166" s="59">
        <f t="shared" si="13"/>
        <v>0.41664050733828095</v>
      </c>
      <c r="I166" s="60">
        <f>IF(Table2[[#This Row],[Culture]]=0,0,LOG(Table2[[#This Row],[Culture]]))</f>
        <v>2.285932185579953</v>
      </c>
      <c r="J166" s="60">
        <f>LOG(1+Table2[[#This Row],[S&amp;P]])</f>
        <v>-8.092190762392612E-2</v>
      </c>
      <c r="K166" s="50">
        <v>1.2787536009528289</v>
      </c>
      <c r="L166" s="50">
        <v>85</v>
      </c>
      <c r="M166" s="50">
        <f t="shared" si="14"/>
        <v>1.9294189257142926</v>
      </c>
      <c r="N166" s="62">
        <v>30.9</v>
      </c>
      <c r="O166" s="62">
        <f t="shared" si="15"/>
        <v>1.4899584794248346</v>
      </c>
      <c r="P166" s="63">
        <v>33.950689057445601</v>
      </c>
      <c r="Q166" s="63">
        <f t="shared" si="16"/>
        <v>1.5308485930733544</v>
      </c>
      <c r="R166" s="50">
        <f>LOG(Table2[[#This Row],[generalist]])</f>
        <v>3.2327651641054547</v>
      </c>
      <c r="S166" s="50">
        <f>LOG(Table2[[#This Row],[country divers.]])</f>
        <v>3.9527244147731087</v>
      </c>
      <c r="T166" s="50">
        <f>LOG(Table2[[#This Row],[Firm Size]])</f>
        <v>8.5873854027135259</v>
      </c>
      <c r="U166">
        <v>8</v>
      </c>
      <c r="V166" s="137">
        <f t="shared" si="17"/>
        <v>1</v>
      </c>
    </row>
    <row r="167" spans="1:22" x14ac:dyDescent="0.35">
      <c r="A167" s="67" t="s">
        <v>497</v>
      </c>
      <c r="B167" s="52">
        <v>0.75696195131370558</v>
      </c>
      <c r="C167" s="52">
        <v>7.3643835616438356</v>
      </c>
      <c r="D167" s="50">
        <f t="shared" si="12"/>
        <v>0.86713639992531288</v>
      </c>
      <c r="E167" s="52">
        <f>IF(Table2[[#This Row],[Geo Distance]]=0,0,LOG(Table2[[#This Row],[Geo Distance]]))</f>
        <v>2.6664899002624973</v>
      </c>
      <c r="F167" s="52">
        <f>IF(Table2[[#This Row],[Target age]]=0,0,LOG(Table2[[#This Row],[Target age]]))</f>
        <v>0.3010299956639812</v>
      </c>
      <c r="G167" s="65">
        <v>2.61</v>
      </c>
      <c r="H167" s="59">
        <f t="shared" si="13"/>
        <v>0.41664050733828095</v>
      </c>
      <c r="I167" s="53">
        <f>IF(Table2[[#This Row],[Culture]]=0,0,LOG(Table2[[#This Row],[Culture]]))</f>
        <v>2.285932185579953</v>
      </c>
      <c r="J167" s="53">
        <f>LOG(1+Table2[[#This Row],[S&amp;P]])</f>
        <v>-0.10790539730951958</v>
      </c>
      <c r="K167" s="52">
        <v>0</v>
      </c>
      <c r="L167" s="52">
        <v>85</v>
      </c>
      <c r="M167" s="50">
        <f t="shared" si="14"/>
        <v>1.9294189257142926</v>
      </c>
      <c r="N167" s="55">
        <v>28.6</v>
      </c>
      <c r="O167" s="62">
        <f t="shared" si="15"/>
        <v>1.4563660331290431</v>
      </c>
      <c r="P167" s="56">
        <v>32.513676738539097</v>
      </c>
      <c r="Q167" s="63">
        <f t="shared" si="16"/>
        <v>1.5120660835216855</v>
      </c>
      <c r="R167" s="52">
        <f>LOG(Table2[[#This Row],[generalist]])</f>
        <v>3.2860283894181141</v>
      </c>
      <c r="S167" s="52">
        <f>LOG(Table2[[#This Row],[country divers.]])</f>
        <v>3.9098977130890344</v>
      </c>
      <c r="T167" s="52">
        <f>LOG(Table2[[#This Row],[Firm Size]])</f>
        <v>7.2430380486862944</v>
      </c>
      <c r="U167">
        <v>9</v>
      </c>
      <c r="V167" s="137">
        <f t="shared" si="17"/>
        <v>1</v>
      </c>
    </row>
    <row r="168" spans="1:22" x14ac:dyDescent="0.35">
      <c r="A168" s="49" t="s">
        <v>497</v>
      </c>
      <c r="B168" s="50">
        <v>0.55837223743297271</v>
      </c>
      <c r="C168" s="50">
        <v>2.0493150684931507</v>
      </c>
      <c r="D168" s="50">
        <f t="shared" si="12"/>
        <v>0.31160873340798667</v>
      </c>
      <c r="E168" s="50">
        <f>IF(Table2[[#This Row],[Geo Distance]]=0,0,LOG(Table2[[#This Row],[Geo Distance]]))</f>
        <v>3.735736989773935</v>
      </c>
      <c r="F168" s="50">
        <f>IF(Table2[[#This Row],[Target age]]=0,0,LOG(Table2[[#This Row],[Target age]]))</f>
        <v>1.3617278360175928</v>
      </c>
      <c r="G168" s="59">
        <v>2.91</v>
      </c>
      <c r="H168" s="59">
        <f t="shared" si="13"/>
        <v>0.46389298898590731</v>
      </c>
      <c r="I168" s="60">
        <f>IF(Table2[[#This Row],[Culture]]=0,0,LOG(Table2[[#This Row],[Culture]]))</f>
        <v>2.0997957012455433</v>
      </c>
      <c r="J168" s="60">
        <f>LOG(1+Table2[[#This Row],[S&amp;P]])</f>
        <v>7.9181246047624818E-2</v>
      </c>
      <c r="K168" s="50">
        <v>0.77815125038364363</v>
      </c>
      <c r="L168" s="50">
        <v>85</v>
      </c>
      <c r="M168" s="50">
        <f t="shared" si="14"/>
        <v>1.9294189257142926</v>
      </c>
      <c r="N168" s="62">
        <v>30.8</v>
      </c>
      <c r="O168" s="62">
        <f t="shared" si="15"/>
        <v>1.4885507165004443</v>
      </c>
      <c r="P168" s="63">
        <v>34.575632305406103</v>
      </c>
      <c r="Q168" s="63">
        <f t="shared" si="16"/>
        <v>1.5387701310586521</v>
      </c>
      <c r="R168" s="50">
        <f>LOG(Table2[[#This Row],[generalist]])</f>
        <v>3.1628767233771686</v>
      </c>
      <c r="S168" s="50">
        <f>LOG(Table2[[#This Row],[country divers.]])</f>
        <v>3.6087947637270492</v>
      </c>
      <c r="T168" s="50">
        <f>LOG(Table2[[#This Row],[Firm Size]])</f>
        <v>7.8344842853348053</v>
      </c>
      <c r="U168">
        <v>6</v>
      </c>
      <c r="V168" s="137">
        <f t="shared" si="17"/>
        <v>1</v>
      </c>
    </row>
    <row r="169" spans="1:22" x14ac:dyDescent="0.35">
      <c r="A169" s="67" t="s">
        <v>497</v>
      </c>
      <c r="B169" s="52">
        <v>0.37016136667678035</v>
      </c>
      <c r="C169" s="52">
        <v>5.6410958904109592</v>
      </c>
      <c r="D169" s="50">
        <f t="shared" si="12"/>
        <v>0.75136348216155668</v>
      </c>
      <c r="E169" s="52">
        <f>IF(Table2[[#This Row],[Geo Distance]]=0,0,LOG(Table2[[#This Row],[Geo Distance]]))</f>
        <v>2.6664899002624973</v>
      </c>
      <c r="F169" s="52">
        <f>IF(Table2[[#This Row],[Target age]]=0,0,LOG(Table2[[#This Row],[Target age]]))</f>
        <v>0</v>
      </c>
      <c r="G169" s="65">
        <v>2.61</v>
      </c>
      <c r="H169" s="59">
        <f t="shared" si="13"/>
        <v>0.41664050733828095</v>
      </c>
      <c r="I169" s="53">
        <f>IF(Table2[[#This Row],[Culture]]=0,0,LOG(Table2[[#This Row],[Culture]]))</f>
        <v>2.285932185579953</v>
      </c>
      <c r="J169" s="53">
        <f>LOG(1+Table2[[#This Row],[S&amp;P]])</f>
        <v>0.2528530309798932</v>
      </c>
      <c r="K169" s="52">
        <v>1.4623979978989561</v>
      </c>
      <c r="L169" s="52">
        <v>92.8</v>
      </c>
      <c r="M169" s="50">
        <f t="shared" si="14"/>
        <v>1.9675479762188621</v>
      </c>
      <c r="N169" s="55">
        <v>27</v>
      </c>
      <c r="O169" s="62">
        <f t="shared" si="15"/>
        <v>1.4313637641589874</v>
      </c>
      <c r="P169" s="56">
        <v>65.041501268831993</v>
      </c>
      <c r="Q169" s="63">
        <f t="shared" si="16"/>
        <v>1.8131905569593969</v>
      </c>
      <c r="R169" s="52">
        <f>LOG(Table2[[#This Row],[generalist]])</f>
        <v>3.22246453795844</v>
      </c>
      <c r="S169" s="52">
        <f>LOG(Table2[[#This Row],[country divers.]])</f>
        <v>3.7071267407396937</v>
      </c>
      <c r="T169" s="52">
        <f>LOG(Table2[[#This Row],[Firm Size]])</f>
        <v>9</v>
      </c>
      <c r="U169">
        <v>6</v>
      </c>
      <c r="V169" s="137">
        <f t="shared" si="17"/>
        <v>1</v>
      </c>
    </row>
    <row r="170" spans="1:22" x14ac:dyDescent="0.35">
      <c r="A170" s="49" t="s">
        <v>497</v>
      </c>
      <c r="B170" s="50">
        <v>-0.2932838616563514</v>
      </c>
      <c r="C170" s="50">
        <v>5.3506849315068497</v>
      </c>
      <c r="D170" s="50">
        <f t="shared" si="12"/>
        <v>0.72840937883137968</v>
      </c>
      <c r="E170" s="50">
        <f>IF(Table2[[#This Row],[Geo Distance]]=0,0,LOG(Table2[[#This Row],[Geo Distance]]))</f>
        <v>2.6664899002624973</v>
      </c>
      <c r="F170" s="50">
        <f>IF(Table2[[#This Row],[Target age]]=0,0,LOG(Table2[[#This Row],[Target age]]))</f>
        <v>2.167317334748176</v>
      </c>
      <c r="G170" s="59">
        <v>2.61</v>
      </c>
      <c r="H170" s="59">
        <f t="shared" si="13"/>
        <v>0.41664050733828095</v>
      </c>
      <c r="I170" s="60">
        <f>IF(Table2[[#This Row],[Culture]]=0,0,LOG(Table2[[#This Row],[Culture]]))</f>
        <v>2.285932185579953</v>
      </c>
      <c r="J170" s="60">
        <f>LOG(1+Table2[[#This Row],[S&amp;P]])</f>
        <v>-6.5501548756432285E-2</v>
      </c>
      <c r="K170" s="50">
        <v>1.1139433523068367</v>
      </c>
      <c r="L170" s="50">
        <v>85</v>
      </c>
      <c r="M170" s="50">
        <f t="shared" si="14"/>
        <v>1.9294189257142926</v>
      </c>
      <c r="N170" s="62">
        <v>30.9</v>
      </c>
      <c r="O170" s="62">
        <f t="shared" si="15"/>
        <v>1.4899584794248346</v>
      </c>
      <c r="P170" s="63">
        <v>33.950689057445601</v>
      </c>
      <c r="Q170" s="63">
        <f t="shared" si="16"/>
        <v>1.5308485930733544</v>
      </c>
      <c r="R170" s="50">
        <f>LOG(Table2[[#This Row],[generalist]])</f>
        <v>3.2188271541979425</v>
      </c>
      <c r="S170" s="50">
        <f>LOG(Table2[[#This Row],[country divers.]])</f>
        <v>3.7570584504768405</v>
      </c>
      <c r="T170" s="50">
        <f>LOG(Table2[[#This Row],[Firm Size]])</f>
        <v>8.7151673578484576</v>
      </c>
      <c r="U170">
        <v>7</v>
      </c>
      <c r="V170" s="137">
        <f t="shared" si="17"/>
        <v>1</v>
      </c>
    </row>
    <row r="171" spans="1:22" x14ac:dyDescent="0.35">
      <c r="A171" s="67" t="s">
        <v>497</v>
      </c>
      <c r="B171" s="52">
        <v>0.60940035449370578</v>
      </c>
      <c r="C171" s="52">
        <v>5.4986301369863018</v>
      </c>
      <c r="D171" s="50">
        <f t="shared" si="12"/>
        <v>0.74025450803101089</v>
      </c>
      <c r="E171" s="52">
        <f>IF(Table2[[#This Row],[Geo Distance]]=0,0,LOG(Table2[[#This Row],[Geo Distance]]))</f>
        <v>2.6664899002624973</v>
      </c>
      <c r="F171" s="52">
        <f>IF(Table2[[#This Row],[Target age]]=0,0,LOG(Table2[[#This Row],[Target age]]))</f>
        <v>1.4913616938342726</v>
      </c>
      <c r="G171" s="65">
        <v>2.61</v>
      </c>
      <c r="H171" s="59">
        <f t="shared" si="13"/>
        <v>0.41664050733828095</v>
      </c>
      <c r="I171" s="53">
        <f>IF(Table2[[#This Row],[Culture]]=0,0,LOG(Table2[[#This Row],[Culture]]))</f>
        <v>2.285932185579953</v>
      </c>
      <c r="J171" s="53">
        <f>LOG(1+Table2[[#This Row],[S&amp;P]])</f>
        <v>0.250420002308894</v>
      </c>
      <c r="K171" s="52">
        <v>1.3979400086720377</v>
      </c>
      <c r="L171" s="52">
        <v>92.8</v>
      </c>
      <c r="M171" s="50">
        <f t="shared" si="14"/>
        <v>1.9675479762188621</v>
      </c>
      <c r="N171" s="55">
        <v>27</v>
      </c>
      <c r="O171" s="62">
        <f t="shared" si="15"/>
        <v>1.4313637641589874</v>
      </c>
      <c r="P171" s="56">
        <v>65.041501268831993</v>
      </c>
      <c r="Q171" s="63">
        <f t="shared" si="16"/>
        <v>1.8131905569593969</v>
      </c>
      <c r="R171" s="52">
        <f>LOG(Table2[[#This Row],[generalist]])</f>
        <v>3.2699236952309461</v>
      </c>
      <c r="S171" s="52">
        <f>LOG(Table2[[#This Row],[country divers.]])</f>
        <v>3.6984415808994222</v>
      </c>
      <c r="T171" s="52">
        <f>LOG(Table2[[#This Row],[Firm Size]])</f>
        <v>8.3424226808222066</v>
      </c>
      <c r="U171">
        <v>2</v>
      </c>
      <c r="V171" s="137">
        <f t="shared" si="17"/>
        <v>1</v>
      </c>
    </row>
    <row r="172" spans="1:22" x14ac:dyDescent="0.35">
      <c r="A172" s="49" t="s">
        <v>497</v>
      </c>
      <c r="B172" s="50">
        <v>0.55506342865173885</v>
      </c>
      <c r="C172" s="50">
        <v>2.6328767123287671</v>
      </c>
      <c r="D172" s="50">
        <f t="shared" si="12"/>
        <v>0.42043052321207064</v>
      </c>
      <c r="E172" s="50">
        <f>IF(Table2[[#This Row],[Geo Distance]]=0,0,LOG(Table2[[#This Row],[Geo Distance]]))</f>
        <v>3.735736989773935</v>
      </c>
      <c r="F172" s="50">
        <f>IF(Table2[[#This Row],[Target age]]=0,0,LOG(Table2[[#This Row],[Target age]]))</f>
        <v>0.77815125038364363</v>
      </c>
      <c r="G172" s="59">
        <v>2.91</v>
      </c>
      <c r="H172" s="59">
        <f t="shared" si="13"/>
        <v>0.46389298898590731</v>
      </c>
      <c r="I172" s="60">
        <f>IF(Table2[[#This Row],[Culture]]=0,0,LOG(Table2[[#This Row],[Culture]]))</f>
        <v>2.0997957012455433</v>
      </c>
      <c r="J172" s="60">
        <f>LOG(1+Table2[[#This Row],[S&amp;P]])</f>
        <v>0.17318626841227402</v>
      </c>
      <c r="K172" s="50">
        <v>1</v>
      </c>
      <c r="L172" s="50">
        <v>92.8</v>
      </c>
      <c r="M172" s="50">
        <f t="shared" si="14"/>
        <v>1.9675479762188621</v>
      </c>
      <c r="N172" s="62">
        <v>27.6</v>
      </c>
      <c r="O172" s="62">
        <f t="shared" si="15"/>
        <v>1.4409090820652177</v>
      </c>
      <c r="P172" s="63">
        <v>42.012447889189502</v>
      </c>
      <c r="Q172" s="63">
        <f t="shared" si="16"/>
        <v>1.6233779867937734</v>
      </c>
      <c r="R172" s="50">
        <f>LOG(Table2[[#This Row],[generalist]])</f>
        <v>3.2887955392469697</v>
      </c>
      <c r="S172" s="50">
        <f>LOG(Table2[[#This Row],[country divers.]])</f>
        <v>3.9279973385794986</v>
      </c>
      <c r="T172" s="50">
        <f>LOG(Table2[[#This Row],[Firm Size]])</f>
        <v>7.2900346113625183</v>
      </c>
      <c r="U172">
        <v>9</v>
      </c>
      <c r="V172" s="137">
        <f t="shared" si="17"/>
        <v>1</v>
      </c>
    </row>
    <row r="173" spans="1:22" x14ac:dyDescent="0.35">
      <c r="A173" s="67" t="s">
        <v>497</v>
      </c>
      <c r="B173" s="52">
        <v>-0.45933663353988768</v>
      </c>
      <c r="C173" s="52">
        <v>6.1698630136986301</v>
      </c>
      <c r="D173" s="50">
        <f t="shared" si="12"/>
        <v>0.79027552172283388</v>
      </c>
      <c r="E173" s="52">
        <f>IF(Table2[[#This Row],[Geo Distance]]=0,0,LOG(Table2[[#This Row],[Geo Distance]]))</f>
        <v>3.735736989773935</v>
      </c>
      <c r="F173" s="52">
        <f>IF(Table2[[#This Row],[Target age]]=0,0,LOG(Table2[[#This Row],[Target age]]))</f>
        <v>1.4471580313422192</v>
      </c>
      <c r="G173" s="65">
        <v>2.91</v>
      </c>
      <c r="H173" s="59">
        <f t="shared" si="13"/>
        <v>0.46389298898590731</v>
      </c>
      <c r="I173" s="53">
        <f>IF(Table2[[#This Row],[Culture]]=0,0,LOG(Table2[[#This Row],[Culture]]))</f>
        <v>2.0997957012455433</v>
      </c>
      <c r="J173" s="53">
        <f>LOG(1+Table2[[#This Row],[S&amp;P]])</f>
        <v>4.5322978786657475E-2</v>
      </c>
      <c r="K173" s="52">
        <v>1.3222192947339193</v>
      </c>
      <c r="L173" s="52">
        <v>85</v>
      </c>
      <c r="M173" s="50">
        <f t="shared" si="14"/>
        <v>1.9294189257142926</v>
      </c>
      <c r="N173" s="55">
        <v>29.4</v>
      </c>
      <c r="O173" s="62">
        <f t="shared" si="15"/>
        <v>1.4683473304121573</v>
      </c>
      <c r="P173" s="56">
        <v>33.3433362985758</v>
      </c>
      <c r="Q173" s="63">
        <f t="shared" si="16"/>
        <v>1.5230090527076294</v>
      </c>
      <c r="R173" s="52">
        <f>LOG(Table2[[#This Row],[generalist]])</f>
        <v>3.20911860699078</v>
      </c>
      <c r="S173" s="52">
        <f>LOG(Table2[[#This Row],[country divers.]])</f>
        <v>3.5849986651910224</v>
      </c>
      <c r="T173" s="52">
        <f>LOG(Table2[[#This Row],[Firm Size]])</f>
        <v>9.4664078846510513</v>
      </c>
      <c r="U173">
        <v>2</v>
      </c>
      <c r="V173" s="137">
        <f t="shared" si="17"/>
        <v>1</v>
      </c>
    </row>
    <row r="174" spans="1:22" x14ac:dyDescent="0.35">
      <c r="A174" s="49" t="s">
        <v>434</v>
      </c>
      <c r="B174" s="50">
        <v>-6.4240896254688248E-2</v>
      </c>
      <c r="C174" s="50">
        <v>7.3287671232876717</v>
      </c>
      <c r="D174" s="50">
        <f t="shared" si="12"/>
        <v>0.86503092190077258</v>
      </c>
      <c r="E174" s="50">
        <f>IF(Table2[[#This Row],[Geo Distance]]=0,0,LOG(Table2[[#This Row],[Geo Distance]]))</f>
        <v>3.1565854924457226</v>
      </c>
      <c r="F174" s="50">
        <f>IF(Table2[[#This Row],[Target age]]=0,0,LOG(Table2[[#This Row],[Target age]]))</f>
        <v>1.9637878273455553</v>
      </c>
      <c r="G174" s="59">
        <v>2.5099999999999998</v>
      </c>
      <c r="H174" s="59">
        <f t="shared" si="13"/>
        <v>0.39967372148103808</v>
      </c>
      <c r="I174" s="60">
        <f>IF(Table2[[#This Row],[Culture]]=0,0,LOG(Table2[[#This Row],[Culture]]))</f>
        <v>2.7818749985292488</v>
      </c>
      <c r="J174" s="60">
        <f>LOG(1+Table2[[#This Row],[S&amp;P]])</f>
        <v>0.3820170425748684</v>
      </c>
      <c r="K174" s="50">
        <v>0</v>
      </c>
      <c r="L174" s="50">
        <v>77</v>
      </c>
      <c r="M174" s="50">
        <f t="shared" si="14"/>
        <v>1.8864907251724818</v>
      </c>
      <c r="N174" s="62">
        <v>41.72</v>
      </c>
      <c r="O174" s="62">
        <f t="shared" si="15"/>
        <v>1.6203442997544932</v>
      </c>
      <c r="P174" s="63">
        <v>47.830384300274197</v>
      </c>
      <c r="Q174" s="63">
        <f t="shared" si="16"/>
        <v>1.6797038702890243</v>
      </c>
      <c r="R174" s="50">
        <f>LOG(Table2[[#This Row],[generalist]])</f>
        <v>3.1884249941294067</v>
      </c>
      <c r="S174" s="50">
        <f>LOG(Table2[[#This Row],[country divers.]])</f>
        <v>3.9391261945252749</v>
      </c>
      <c r="T174" s="50">
        <f>LOG(Table2[[#This Row],[Firm Size]])</f>
        <v>8.9030899869919438</v>
      </c>
      <c r="U174">
        <v>5</v>
      </c>
      <c r="V174" s="137">
        <f t="shared" si="17"/>
        <v>1</v>
      </c>
    </row>
    <row r="175" spans="1:22" x14ac:dyDescent="0.35">
      <c r="A175" s="67" t="s">
        <v>434</v>
      </c>
      <c r="B175" s="52">
        <v>5.2714734498433974E-2</v>
      </c>
      <c r="C175" s="52">
        <v>1.1972602739726028</v>
      </c>
      <c r="D175" s="50">
        <f t="shared" si="12"/>
        <v>7.818857251394716E-2</v>
      </c>
      <c r="E175" s="52">
        <f>IF(Table2[[#This Row],[Geo Distance]]=0,0,LOG(Table2[[#This Row],[Geo Distance]]))</f>
        <v>0</v>
      </c>
      <c r="F175" s="52">
        <f>IF(Table2[[#This Row],[Target age]]=0,0,LOG(Table2[[#This Row],[Target age]]))</f>
        <v>2.1271047983648077</v>
      </c>
      <c r="G175" s="65">
        <v>2.8</v>
      </c>
      <c r="H175" s="59">
        <f t="shared" si="13"/>
        <v>0.44715803134221921</v>
      </c>
      <c r="I175" s="53">
        <f>IF(Table2[[#This Row],[Culture]]=0,0,LOG(Table2[[#This Row],[Culture]]))</f>
        <v>0</v>
      </c>
      <c r="J175" s="53">
        <f>LOG(1+Table2[[#This Row],[S&amp;P]])</f>
        <v>-3.6212172654444715E-2</v>
      </c>
      <c r="K175" s="52">
        <v>0</v>
      </c>
      <c r="L175" s="52">
        <v>78.400000000000006</v>
      </c>
      <c r="M175" s="50">
        <f t="shared" si="14"/>
        <v>1.8943160626844384</v>
      </c>
      <c r="N175" s="55">
        <v>40.57</v>
      </c>
      <c r="O175" s="62">
        <f t="shared" si="15"/>
        <v>1.6082050077043262</v>
      </c>
      <c r="P175" s="56">
        <v>47.629620244041597</v>
      </c>
      <c r="Q175" s="63">
        <f t="shared" si="16"/>
        <v>1.6778771188499342</v>
      </c>
      <c r="R175" s="52">
        <f>LOG(Table2[[#This Row],[generalist]])</f>
        <v>3.0962405795987471</v>
      </c>
      <c r="S175" s="52">
        <f>LOG(Table2[[#This Row],[country divers.]])</f>
        <v>3.4010931514437841</v>
      </c>
      <c r="T175" s="52">
        <f>LOG(Table2[[#This Row],[Firm Size]])</f>
        <v>8.8692317197309762</v>
      </c>
      <c r="U175">
        <v>5</v>
      </c>
      <c r="V175" s="137">
        <f t="shared" si="17"/>
        <v>0</v>
      </c>
    </row>
    <row r="176" spans="1:22" x14ac:dyDescent="0.35">
      <c r="A176" s="49" t="s">
        <v>434</v>
      </c>
      <c r="B176" s="50">
        <v>0.15295425796258474</v>
      </c>
      <c r="C176" s="50">
        <v>6.6356164383561644</v>
      </c>
      <c r="D176" s="50">
        <f t="shared" si="12"/>
        <v>0.82188127435055869</v>
      </c>
      <c r="E176" s="50">
        <f>IF(Table2[[#This Row],[Geo Distance]]=0,0,LOG(Table2[[#This Row],[Geo Distance]]))</f>
        <v>3.1565854924457226</v>
      </c>
      <c r="F176" s="50">
        <f>IF(Table2[[#This Row],[Target age]]=0,0,LOG(Table2[[#This Row],[Target age]]))</f>
        <v>1.9912260756924949</v>
      </c>
      <c r="G176" s="59">
        <v>2.5099999999999998</v>
      </c>
      <c r="H176" s="59">
        <f t="shared" si="13"/>
        <v>0.39967372148103808</v>
      </c>
      <c r="I176" s="60">
        <f>IF(Table2[[#This Row],[Culture]]=0,0,LOG(Table2[[#This Row],[Culture]]))</f>
        <v>2.7818749985292488</v>
      </c>
      <c r="J176" s="60">
        <f>LOG(1+Table2[[#This Row],[S&amp;P]])</f>
        <v>7.9181246047624818E-2</v>
      </c>
      <c r="K176" s="50">
        <v>1.4623979978989561</v>
      </c>
      <c r="L176" s="50">
        <v>78.400000000000006</v>
      </c>
      <c r="M176" s="50">
        <f t="shared" si="14"/>
        <v>1.8943160626844384</v>
      </c>
      <c r="N176" s="62">
        <v>40.57</v>
      </c>
      <c r="O176" s="62">
        <f t="shared" si="15"/>
        <v>1.6082050077043262</v>
      </c>
      <c r="P176" s="63">
        <v>47.629620244041597</v>
      </c>
      <c r="Q176" s="63">
        <f t="shared" si="16"/>
        <v>1.6778771188499342</v>
      </c>
      <c r="R176" s="50">
        <f>LOG(Table2[[#This Row],[generalist]])</f>
        <v>3.0962405795987471</v>
      </c>
      <c r="S176" s="50">
        <f>LOG(Table2[[#This Row],[country divers.]])</f>
        <v>3.4010931514437841</v>
      </c>
      <c r="T176" s="50">
        <f>LOG(Table2[[#This Row],[Firm Size]])</f>
        <v>9.4099331233312942</v>
      </c>
      <c r="U176">
        <v>1</v>
      </c>
      <c r="V176" s="137">
        <f t="shared" si="17"/>
        <v>1</v>
      </c>
    </row>
    <row r="177" spans="1:22" x14ac:dyDescent="0.35">
      <c r="A177" s="67" t="s">
        <v>434</v>
      </c>
      <c r="B177" s="52">
        <v>0.27470105694163205</v>
      </c>
      <c r="C177" s="52">
        <v>2.1945205479452055</v>
      </c>
      <c r="D177" s="50">
        <f t="shared" si="12"/>
        <v>0.34133965162776297</v>
      </c>
      <c r="E177" s="52">
        <f>IF(Table2[[#This Row],[Geo Distance]]=0,0,LOG(Table2[[#This Row],[Geo Distance]]))</f>
        <v>3.1565854924457226</v>
      </c>
      <c r="F177" s="52">
        <f>IF(Table2[[#This Row],[Target age]]=0,0,LOG(Table2[[#This Row],[Target age]]))</f>
        <v>1.2304489213782739</v>
      </c>
      <c r="G177" s="65">
        <v>2.5099999999999998</v>
      </c>
      <c r="H177" s="59">
        <f t="shared" si="13"/>
        <v>0.39967372148103808</v>
      </c>
      <c r="I177" s="53">
        <f>IF(Table2[[#This Row],[Culture]]=0,0,LOG(Table2[[#This Row],[Culture]]))</f>
        <v>2.7818749985292488</v>
      </c>
      <c r="J177" s="53">
        <f>LOG(1+Table2[[#This Row],[S&amp;P]])</f>
        <v>3.7426497940623665E-2</v>
      </c>
      <c r="K177" s="52">
        <v>1.8976270912904414</v>
      </c>
      <c r="L177" s="52">
        <v>76.900000000000006</v>
      </c>
      <c r="M177" s="50">
        <f t="shared" si="14"/>
        <v>1.885926339801431</v>
      </c>
      <c r="N177" s="55">
        <v>44.05</v>
      </c>
      <c r="O177" s="62">
        <f t="shared" si="15"/>
        <v>1.6439459127480667</v>
      </c>
      <c r="P177" s="56">
        <v>51.064530698041601</v>
      </c>
      <c r="Q177" s="63">
        <f t="shared" si="16"/>
        <v>1.7081193449348573</v>
      </c>
      <c r="R177" s="52">
        <f>LOG(Table2[[#This Row],[generalist]])</f>
        <v>3.3314213062933389</v>
      </c>
      <c r="S177" s="52">
        <f>LOG(Table2[[#This Row],[country divers.]])</f>
        <v>3.884802064783424</v>
      </c>
      <c r="T177" s="52">
        <f>LOG(Table2[[#This Row],[Firm Size]])</f>
        <v>8.5314789170422554</v>
      </c>
      <c r="U177">
        <v>2</v>
      </c>
      <c r="V177" s="137">
        <f t="shared" si="17"/>
        <v>1</v>
      </c>
    </row>
    <row r="178" spans="1:22" x14ac:dyDescent="0.35">
      <c r="A178" s="49" t="s">
        <v>434</v>
      </c>
      <c r="B178" s="50">
        <v>0.2966651902615311</v>
      </c>
      <c r="C178" s="50">
        <v>8.4027397260273968</v>
      </c>
      <c r="D178" s="50">
        <f t="shared" si="12"/>
        <v>0.9244209115260108</v>
      </c>
      <c r="E178" s="50">
        <f>IF(Table2[[#This Row],[Geo Distance]]=0,0,LOG(Table2[[#This Row],[Geo Distance]]))</f>
        <v>3.8583555017642173</v>
      </c>
      <c r="F178" s="50">
        <f>IF(Table2[[#This Row],[Target age]]=0,0,LOG(Table2[[#This Row],[Target age]]))</f>
        <v>1.7634279935629373</v>
      </c>
      <c r="G178" s="59">
        <v>2.66</v>
      </c>
      <c r="H178" s="59">
        <f t="shared" si="13"/>
        <v>0.42488163663106698</v>
      </c>
      <c r="I178" s="60">
        <f>IF(Table2[[#This Row],[Culture]]=0,0,LOG(Table2[[#This Row],[Culture]]))</f>
        <v>2.812801984804342</v>
      </c>
      <c r="J178" s="60">
        <f>LOG(1+Table2[[#This Row],[S&amp;P]])</f>
        <v>0.12385164096708581</v>
      </c>
      <c r="K178" s="50">
        <v>0.6020599913279624</v>
      </c>
      <c r="L178" s="50">
        <v>70</v>
      </c>
      <c r="M178" s="50">
        <f t="shared" si="14"/>
        <v>1.8450980400142569</v>
      </c>
      <c r="N178" s="62">
        <v>39.33</v>
      </c>
      <c r="O178" s="62">
        <f t="shared" si="15"/>
        <v>1.5947239464097467</v>
      </c>
      <c r="P178" s="63">
        <v>46.838198746764199</v>
      </c>
      <c r="Q178" s="63">
        <f t="shared" si="16"/>
        <v>1.6706001850898524</v>
      </c>
      <c r="R178" s="50">
        <f>LOG(Table2[[#This Row],[generalist]])</f>
        <v>3.348721986001856</v>
      </c>
      <c r="S178" s="50">
        <f>LOG(Table2[[#This Row],[country divers.]])</f>
        <v>3.7520876635386311</v>
      </c>
      <c r="T178" s="50">
        <f>LOG(Table2[[#This Row],[Firm Size]])</f>
        <v>8.3979400086720375</v>
      </c>
      <c r="U178">
        <v>5</v>
      </c>
      <c r="V178" s="137">
        <f t="shared" si="17"/>
        <v>1</v>
      </c>
    </row>
    <row r="179" spans="1:22" x14ac:dyDescent="0.35">
      <c r="A179" s="67" t="s">
        <v>434</v>
      </c>
      <c r="B179" s="52">
        <v>9.4324195066784917E-3</v>
      </c>
      <c r="C179" s="52">
        <v>4.5315068493150683</v>
      </c>
      <c r="D179" s="50">
        <f t="shared" si="12"/>
        <v>0.65624264076005312</v>
      </c>
      <c r="E179" s="52">
        <f>IF(Table2[[#This Row],[Geo Distance]]=0,0,LOG(Table2[[#This Row],[Geo Distance]]))</f>
        <v>3.8583555017642173</v>
      </c>
      <c r="F179" s="52">
        <f>IF(Table2[[#This Row],[Target age]]=0,0,LOG(Table2[[#This Row],[Target age]]))</f>
        <v>1.3802112417116059</v>
      </c>
      <c r="G179" s="65">
        <v>2.66</v>
      </c>
      <c r="H179" s="59">
        <f t="shared" si="13"/>
        <v>0.42488163663106698</v>
      </c>
      <c r="I179" s="53">
        <f>IF(Table2[[#This Row],[Culture]]=0,0,LOG(Table2[[#This Row],[Culture]]))</f>
        <v>2.812801984804342</v>
      </c>
      <c r="J179" s="53">
        <f>LOG(1+Table2[[#This Row],[S&amp;P]])</f>
        <v>0.24551266781414982</v>
      </c>
      <c r="K179" s="52">
        <v>0.3010299956639812</v>
      </c>
      <c r="L179" s="52">
        <v>70</v>
      </c>
      <c r="M179" s="50">
        <f t="shared" si="14"/>
        <v>1.8450980400142569</v>
      </c>
      <c r="N179" s="55">
        <v>39.75</v>
      </c>
      <c r="O179" s="62">
        <f t="shared" si="15"/>
        <v>1.599337132992489</v>
      </c>
      <c r="P179" s="56">
        <v>46.7864254430581</v>
      </c>
      <c r="Q179" s="63">
        <f t="shared" si="16"/>
        <v>1.6701198656739731</v>
      </c>
      <c r="R179" s="52">
        <f>LOG(Table2[[#This Row],[generalist]])</f>
        <v>3.348721986001856</v>
      </c>
      <c r="S179" s="52">
        <f>LOG(Table2[[#This Row],[country divers.]])</f>
        <v>3.7520876635386311</v>
      </c>
      <c r="T179" s="52">
        <f>LOG(Table2[[#This Row],[Firm Size]])</f>
        <v>8.6627578316815743</v>
      </c>
      <c r="U179">
        <v>5</v>
      </c>
      <c r="V179" s="137">
        <f t="shared" si="17"/>
        <v>1</v>
      </c>
    </row>
    <row r="180" spans="1:22" x14ac:dyDescent="0.35">
      <c r="A180" s="49" t="s">
        <v>434</v>
      </c>
      <c r="B180" s="50">
        <v>0.3035644433514339</v>
      </c>
      <c r="C180" s="50">
        <v>2.8547945205479452</v>
      </c>
      <c r="D180" s="50">
        <f t="shared" si="12"/>
        <v>0.45557485450703095</v>
      </c>
      <c r="E180" s="50">
        <f>IF(Table2[[#This Row],[Geo Distance]]=0,0,LOG(Table2[[#This Row],[Geo Distance]]))</f>
        <v>3.8583555017642173</v>
      </c>
      <c r="F180" s="50">
        <f>IF(Table2[[#This Row],[Target age]]=0,0,LOG(Table2[[#This Row],[Target age]]))</f>
        <v>1.5185139398778875</v>
      </c>
      <c r="G180" s="59">
        <v>2.66</v>
      </c>
      <c r="H180" s="59">
        <f t="shared" si="13"/>
        <v>0.42488163663106698</v>
      </c>
      <c r="I180" s="60">
        <f>IF(Table2[[#This Row],[Culture]]=0,0,LOG(Table2[[#This Row],[Culture]]))</f>
        <v>2.812801984804342</v>
      </c>
      <c r="J180" s="60">
        <f>LOG(1+Table2[[#This Row],[S&amp;P]])</f>
        <v>8.6359830674748214E-2</v>
      </c>
      <c r="K180" s="50">
        <v>1.0791812460476249</v>
      </c>
      <c r="L180" s="50">
        <v>76.900000000000006</v>
      </c>
      <c r="M180" s="50">
        <f t="shared" si="14"/>
        <v>1.885926339801431</v>
      </c>
      <c r="N180" s="62">
        <v>44.05</v>
      </c>
      <c r="O180" s="62">
        <f t="shared" si="15"/>
        <v>1.6439459127480667</v>
      </c>
      <c r="P180" s="63">
        <v>51.064530698041601</v>
      </c>
      <c r="Q180" s="63">
        <f t="shared" si="16"/>
        <v>1.7081193449348573</v>
      </c>
      <c r="R180" s="50">
        <f>LOG(Table2[[#This Row],[generalist]])</f>
        <v>3.1867416979308154</v>
      </c>
      <c r="S180" s="50">
        <f>LOG(Table2[[#This Row],[country divers.]])</f>
        <v>3.6572619512401316</v>
      </c>
      <c r="T180" s="50">
        <f>LOG(Table2[[#This Row],[Firm Size]])</f>
        <v>8.0777311796523925</v>
      </c>
      <c r="U180">
        <v>9</v>
      </c>
      <c r="V180" s="137">
        <f t="shared" si="17"/>
        <v>1</v>
      </c>
    </row>
    <row r="181" spans="1:22" x14ac:dyDescent="0.35">
      <c r="A181" s="67" t="s">
        <v>434</v>
      </c>
      <c r="B181" s="52">
        <v>5.2714734498433974E-2</v>
      </c>
      <c r="C181" s="52">
        <v>1.1972602739726028</v>
      </c>
      <c r="D181" s="50">
        <f t="shared" si="12"/>
        <v>7.818857251394716E-2</v>
      </c>
      <c r="E181" s="52">
        <f>IF(Table2[[#This Row],[Geo Distance]]=0,0,LOG(Table2[[#This Row],[Geo Distance]]))</f>
        <v>3.8583555017642173</v>
      </c>
      <c r="F181" s="52">
        <f>IF(Table2[[#This Row],[Target age]]=0,0,LOG(Table2[[#This Row],[Target age]]))</f>
        <v>2.0644579892269186</v>
      </c>
      <c r="G181" s="65">
        <v>2.66</v>
      </c>
      <c r="H181" s="59">
        <f t="shared" si="13"/>
        <v>0.42488163663106698</v>
      </c>
      <c r="I181" s="53">
        <f>IF(Table2[[#This Row],[Culture]]=0,0,LOG(Table2[[#This Row],[Culture]]))</f>
        <v>2.812801984804342</v>
      </c>
      <c r="J181" s="53">
        <f>LOG(1+Table2[[#This Row],[S&amp;P]])</f>
        <v>-3.6212172654444715E-2</v>
      </c>
      <c r="K181" s="52">
        <v>0.69897000433601886</v>
      </c>
      <c r="L181" s="52">
        <v>78.400000000000006</v>
      </c>
      <c r="M181" s="50">
        <f t="shared" si="14"/>
        <v>1.8943160626844384</v>
      </c>
      <c r="N181" s="55">
        <v>40.57</v>
      </c>
      <c r="O181" s="62">
        <f t="shared" si="15"/>
        <v>1.6082050077043262</v>
      </c>
      <c r="P181" s="56">
        <v>47.629620244041597</v>
      </c>
      <c r="Q181" s="63">
        <f t="shared" si="16"/>
        <v>1.6778771188499342</v>
      </c>
      <c r="R181" s="52">
        <f>LOG(Table2[[#This Row],[generalist]])</f>
        <v>3.1867416979308154</v>
      </c>
      <c r="S181" s="52">
        <f>LOG(Table2[[#This Row],[country divers.]])</f>
        <v>3.6572619512401316</v>
      </c>
      <c r="T181" s="52">
        <f>LOG(Table2[[#This Row],[Firm Size]])</f>
        <v>8.8692317197309762</v>
      </c>
      <c r="U181">
        <v>5</v>
      </c>
      <c r="V181" s="137">
        <f t="shared" si="17"/>
        <v>1</v>
      </c>
    </row>
    <row r="182" spans="1:22" x14ac:dyDescent="0.35">
      <c r="A182" s="49" t="s">
        <v>434</v>
      </c>
      <c r="B182" s="50">
        <v>0.28851248880774655</v>
      </c>
      <c r="C182" s="50">
        <v>4.183561643835616</v>
      </c>
      <c r="D182" s="50">
        <f t="shared" si="12"/>
        <v>0.62154617259994649</v>
      </c>
      <c r="E182" s="50">
        <f>IF(Table2[[#This Row],[Geo Distance]]=0,0,LOG(Table2[[#This Row],[Geo Distance]]))</f>
        <v>3.8583555017642173</v>
      </c>
      <c r="F182" s="50">
        <f>IF(Table2[[#This Row],[Target age]]=0,0,LOG(Table2[[#This Row],[Target age]]))</f>
        <v>1.5314789170422551</v>
      </c>
      <c r="G182" s="59">
        <v>2.66</v>
      </c>
      <c r="H182" s="59">
        <f t="shared" si="13"/>
        <v>0.42488163663106698</v>
      </c>
      <c r="I182" s="60">
        <f>IF(Table2[[#This Row],[Culture]]=0,0,LOG(Table2[[#This Row],[Culture]]))</f>
        <v>2.812801984804342</v>
      </c>
      <c r="J182" s="60">
        <f>LOG(1+Table2[[#This Row],[S&amp;P]])</f>
        <v>0.24054924828259971</v>
      </c>
      <c r="K182" s="50">
        <v>1.3802112417116059</v>
      </c>
      <c r="L182" s="50">
        <v>77</v>
      </c>
      <c r="M182" s="50">
        <f t="shared" si="14"/>
        <v>1.8864907251724818</v>
      </c>
      <c r="N182" s="62">
        <v>41.72</v>
      </c>
      <c r="O182" s="62">
        <f t="shared" si="15"/>
        <v>1.6203442997544932</v>
      </c>
      <c r="P182" s="63">
        <v>47.830384300274197</v>
      </c>
      <c r="Q182" s="63">
        <f t="shared" si="16"/>
        <v>1.6797038702890243</v>
      </c>
      <c r="R182" s="50">
        <f>LOG(Table2[[#This Row],[generalist]])</f>
        <v>3.20911860699078</v>
      </c>
      <c r="S182" s="50">
        <f>LOG(Table2[[#This Row],[country divers.]])</f>
        <v>3.5849986651910224</v>
      </c>
      <c r="T182" s="50">
        <f>LOG(Table2[[#This Row],[Firm Size]])</f>
        <v>8.7283537820212285</v>
      </c>
      <c r="U182">
        <v>4</v>
      </c>
      <c r="V182" s="137">
        <f t="shared" si="17"/>
        <v>1</v>
      </c>
    </row>
    <row r="183" spans="1:22" x14ac:dyDescent="0.35">
      <c r="A183" s="67" t="s">
        <v>434</v>
      </c>
      <c r="B183" s="52">
        <v>0.37120259555558283</v>
      </c>
      <c r="C183" s="52">
        <v>5.7726027397260271</v>
      </c>
      <c r="D183" s="50">
        <f t="shared" si="12"/>
        <v>0.76137167115162541</v>
      </c>
      <c r="E183" s="52">
        <f>IF(Table2[[#This Row],[Geo Distance]]=0,0,LOG(Table2[[#This Row],[Geo Distance]]))</f>
        <v>3.8583555017642173</v>
      </c>
      <c r="F183" s="52">
        <f>IF(Table2[[#This Row],[Target age]]=0,0,LOG(Table2[[#This Row],[Target age]]))</f>
        <v>1.3979400086720377</v>
      </c>
      <c r="G183" s="65">
        <v>2.66</v>
      </c>
      <c r="H183" s="59">
        <f t="shared" si="13"/>
        <v>0.42488163663106698</v>
      </c>
      <c r="I183" s="53">
        <f>IF(Table2[[#This Row],[Culture]]=0,0,LOG(Table2[[#This Row],[Culture]]))</f>
        <v>2.812801984804342</v>
      </c>
      <c r="J183" s="53">
        <f>LOG(1+Table2[[#This Row],[S&amp;P]])</f>
        <v>-2.2276394711152253E-2</v>
      </c>
      <c r="K183" s="52">
        <v>1.3010299956639813</v>
      </c>
      <c r="L183" s="52">
        <v>70</v>
      </c>
      <c r="M183" s="50">
        <f t="shared" si="14"/>
        <v>1.8450980400142569</v>
      </c>
      <c r="N183" s="55">
        <v>39.33</v>
      </c>
      <c r="O183" s="62">
        <f t="shared" si="15"/>
        <v>1.5947239464097467</v>
      </c>
      <c r="P183" s="56">
        <v>46.838198746764199</v>
      </c>
      <c r="Q183" s="63">
        <f t="shared" si="16"/>
        <v>1.6706001850898524</v>
      </c>
      <c r="R183" s="52">
        <f>LOG(Table2[[#This Row],[generalist]])</f>
        <v>3.20911860699078</v>
      </c>
      <c r="S183" s="52">
        <f>LOG(Table2[[#This Row],[country divers.]])</f>
        <v>3.5849986651910224</v>
      </c>
      <c r="T183" s="52">
        <f>LOG(Table2[[#This Row],[Firm Size]])</f>
        <v>8.3010299956639813</v>
      </c>
      <c r="U183">
        <v>9</v>
      </c>
      <c r="V183" s="137">
        <f t="shared" si="17"/>
        <v>1</v>
      </c>
    </row>
    <row r="184" spans="1:22" x14ac:dyDescent="0.35">
      <c r="A184" s="49" t="s">
        <v>434</v>
      </c>
      <c r="B184" s="50">
        <v>-1.6020599913279621</v>
      </c>
      <c r="C184" s="50">
        <v>17.032876712328768</v>
      </c>
      <c r="D184" s="50">
        <f t="shared" si="12"/>
        <v>1.2312880029116811</v>
      </c>
      <c r="E184" s="50">
        <f>IF(Table2[[#This Row],[Geo Distance]]=0,0,LOG(Table2[[#This Row],[Geo Distance]]))</f>
        <v>3.8583555017642173</v>
      </c>
      <c r="F184" s="50">
        <f>IF(Table2[[#This Row],[Target age]]=0,0,LOG(Table2[[#This Row],[Target age]]))</f>
        <v>1.8976270912904414</v>
      </c>
      <c r="G184" s="59">
        <v>2.66</v>
      </c>
      <c r="H184" s="59">
        <f t="shared" si="13"/>
        <v>0.42488163663106698</v>
      </c>
      <c r="I184" s="60">
        <f>IF(Table2[[#This Row],[Culture]]=0,0,LOG(Table2[[#This Row],[Culture]]))</f>
        <v>2.812801984804342</v>
      </c>
      <c r="J184" s="60">
        <f>LOG(1+Table2[[#This Row],[S&amp;P]])</f>
        <v>0.29885307640970665</v>
      </c>
      <c r="K184" s="50">
        <v>1.3424226808222062</v>
      </c>
      <c r="L184" s="50">
        <v>70</v>
      </c>
      <c r="M184" s="50">
        <f t="shared" si="14"/>
        <v>1.8450980400142569</v>
      </c>
      <c r="N184" s="62">
        <v>40.57</v>
      </c>
      <c r="O184" s="62">
        <f t="shared" si="15"/>
        <v>1.6082050077043262</v>
      </c>
      <c r="P184" s="63">
        <v>46.612741748887998</v>
      </c>
      <c r="Q184" s="63">
        <f t="shared" si="16"/>
        <v>1.6685046487680937</v>
      </c>
      <c r="R184" s="50">
        <f>LOG(Table2[[#This Row],[generalist]])</f>
        <v>3.3075667315086759</v>
      </c>
      <c r="S184" s="50">
        <f>LOG(Table2[[#This Row],[country divers.]])</f>
        <v>3.8308810053047755</v>
      </c>
      <c r="T184" s="50">
        <f>LOG(Table2[[#This Row],[Firm Size]])</f>
        <v>9</v>
      </c>
      <c r="U184">
        <v>9</v>
      </c>
      <c r="V184" s="137">
        <f t="shared" si="17"/>
        <v>1</v>
      </c>
    </row>
    <row r="185" spans="1:22" x14ac:dyDescent="0.35">
      <c r="A185" s="67" t="s">
        <v>434</v>
      </c>
      <c r="B185" s="52">
        <v>0.12860590118784496</v>
      </c>
      <c r="C185" s="52">
        <v>2.5671232876712327</v>
      </c>
      <c r="D185" s="50">
        <f t="shared" si="12"/>
        <v>0.40944672643130353</v>
      </c>
      <c r="E185" s="52">
        <f>IF(Table2[[#This Row],[Geo Distance]]=0,0,LOG(Table2[[#This Row],[Geo Distance]]))</f>
        <v>3.8583555017642173</v>
      </c>
      <c r="F185" s="52">
        <f>IF(Table2[[#This Row],[Target age]]=0,0,LOG(Table2[[#This Row],[Target age]]))</f>
        <v>2.1986570869544226</v>
      </c>
      <c r="G185" s="65">
        <v>2.66</v>
      </c>
      <c r="H185" s="59">
        <f t="shared" si="13"/>
        <v>0.42488163663106698</v>
      </c>
      <c r="I185" s="53">
        <f>IF(Table2[[#This Row],[Culture]]=0,0,LOG(Table2[[#This Row],[Culture]]))</f>
        <v>2.812801984804342</v>
      </c>
      <c r="J185" s="53">
        <f>LOG(1+Table2[[#This Row],[S&amp;P]])</f>
        <v>0.13353890837021748</v>
      </c>
      <c r="K185" s="52">
        <v>1.4313637641589874</v>
      </c>
      <c r="L185" s="52">
        <v>77.3</v>
      </c>
      <c r="M185" s="50">
        <f t="shared" si="14"/>
        <v>1.888179493918325</v>
      </c>
      <c r="N185" s="55">
        <v>41.91</v>
      </c>
      <c r="O185" s="62">
        <f t="shared" si="15"/>
        <v>1.6223176608338443</v>
      </c>
      <c r="P185" s="56">
        <v>49.378950814702399</v>
      </c>
      <c r="Q185" s="63">
        <f t="shared" si="16"/>
        <v>1.6935418579688173</v>
      </c>
      <c r="R185" s="52">
        <f>LOG(Table2[[#This Row],[generalist]])</f>
        <v>3.6224784109972026</v>
      </c>
      <c r="S185" s="52">
        <f>LOG(Table2[[#This Row],[country divers.]])</f>
        <v>3.7852505485064163</v>
      </c>
      <c r="T185" s="52">
        <f>LOG(Table2[[#This Row],[Firm Size]])</f>
        <v>8.7618151176130699</v>
      </c>
      <c r="U185">
        <v>3</v>
      </c>
      <c r="V185" s="137">
        <f t="shared" si="17"/>
        <v>1</v>
      </c>
    </row>
    <row r="186" spans="1:22" x14ac:dyDescent="0.35">
      <c r="A186" s="49" t="s">
        <v>434</v>
      </c>
      <c r="B186" s="50">
        <v>0.5831746471675886</v>
      </c>
      <c r="C186" s="50">
        <v>3.4</v>
      </c>
      <c r="D186" s="50">
        <f t="shared" si="12"/>
        <v>0.53147891704225514</v>
      </c>
      <c r="E186" s="50">
        <f>IF(Table2[[#This Row],[Geo Distance]]=0,0,LOG(Table2[[#This Row],[Geo Distance]]))</f>
        <v>3.8583555017642173</v>
      </c>
      <c r="F186" s="50">
        <f>IF(Table2[[#This Row],[Target age]]=0,0,LOG(Table2[[#This Row],[Target age]]))</f>
        <v>1.3802112417116059</v>
      </c>
      <c r="G186" s="59">
        <v>2.66</v>
      </c>
      <c r="H186" s="59">
        <f t="shared" si="13"/>
        <v>0.42488163663106698</v>
      </c>
      <c r="I186" s="60">
        <f>IF(Table2[[#This Row],[Culture]]=0,0,LOG(Table2[[#This Row],[Culture]]))</f>
        <v>2.812801984804342</v>
      </c>
      <c r="J186" s="60">
        <f>LOG(1+Table2[[#This Row],[S&amp;P]])</f>
        <v>0.11727129565576427</v>
      </c>
      <c r="K186" s="50">
        <v>1.0791812460476249</v>
      </c>
      <c r="L186" s="50">
        <v>76.900000000000006</v>
      </c>
      <c r="M186" s="50">
        <f t="shared" si="14"/>
        <v>1.885926339801431</v>
      </c>
      <c r="N186" s="62">
        <v>44.05</v>
      </c>
      <c r="O186" s="62">
        <f t="shared" si="15"/>
        <v>1.6439459127480667</v>
      </c>
      <c r="P186" s="63">
        <v>51.064530698041601</v>
      </c>
      <c r="Q186" s="63">
        <f t="shared" si="16"/>
        <v>1.7081193449348573</v>
      </c>
      <c r="R186" s="50">
        <f>LOG(Table2[[#This Row],[generalist]])</f>
        <v>3.792430514795639</v>
      </c>
      <c r="S186" s="50">
        <f>LOG(Table2[[#This Row],[country divers.]])</f>
        <v>3.5446460310848829</v>
      </c>
      <c r="T186" s="50">
        <f>LOG(Table2[[#This Row],[Firm Size]])</f>
        <v>7.6720978579357171</v>
      </c>
      <c r="U186">
        <v>6</v>
      </c>
      <c r="V186" s="137">
        <f t="shared" si="17"/>
        <v>1</v>
      </c>
    </row>
    <row r="187" spans="1:22" x14ac:dyDescent="0.35">
      <c r="A187" s="67" t="s">
        <v>434</v>
      </c>
      <c r="B187" s="52">
        <v>0.16408235158266582</v>
      </c>
      <c r="C187" s="52">
        <v>2.3698630136986303</v>
      </c>
      <c r="D187" s="50">
        <f t="shared" si="12"/>
        <v>0.37472324300833953</v>
      </c>
      <c r="E187" s="52">
        <f>IF(Table2[[#This Row],[Geo Distance]]=0,0,LOG(Table2[[#This Row],[Geo Distance]]))</f>
        <v>3.8583555017642173</v>
      </c>
      <c r="F187" s="52">
        <f>IF(Table2[[#This Row],[Target age]]=0,0,LOG(Table2[[#This Row],[Target age]]))</f>
        <v>0.47712125471966244</v>
      </c>
      <c r="G187" s="65">
        <v>2.66</v>
      </c>
      <c r="H187" s="59">
        <f t="shared" si="13"/>
        <v>0.42488163663106698</v>
      </c>
      <c r="I187" s="53">
        <f>IF(Table2[[#This Row],[Culture]]=0,0,LOG(Table2[[#This Row],[Culture]]))</f>
        <v>2.812801984804342</v>
      </c>
      <c r="J187" s="53">
        <f>LOG(1+Table2[[#This Row],[S&amp;P]])</f>
        <v>0.20951501454263097</v>
      </c>
      <c r="K187" s="52">
        <v>1.6020599913279623</v>
      </c>
      <c r="L187" s="52">
        <v>77</v>
      </c>
      <c r="M187" s="50">
        <f t="shared" si="14"/>
        <v>1.8864907251724818</v>
      </c>
      <c r="N187" s="55">
        <v>41.72</v>
      </c>
      <c r="O187" s="62">
        <f t="shared" si="15"/>
        <v>1.6203442997544932</v>
      </c>
      <c r="P187" s="56">
        <v>47.830384300274197</v>
      </c>
      <c r="Q187" s="63">
        <f t="shared" si="16"/>
        <v>1.6797038702890243</v>
      </c>
      <c r="R187" s="52">
        <f>LOG(Table2[[#This Row],[generalist]])</f>
        <v>3.3885364494891754</v>
      </c>
      <c r="S187" s="52">
        <f>LOG(Table2[[#This Row],[country divers.]])</f>
        <v>3.818148300254375</v>
      </c>
      <c r="T187" s="52">
        <f>LOG(Table2[[#This Row],[Firm Size]])</f>
        <v>9.0413926851582254</v>
      </c>
      <c r="U187">
        <v>4</v>
      </c>
      <c r="V187" s="137">
        <f t="shared" si="17"/>
        <v>1</v>
      </c>
    </row>
    <row r="188" spans="1:22" x14ac:dyDescent="0.35">
      <c r="A188" s="49" t="s">
        <v>7</v>
      </c>
      <c r="B188" s="50">
        <v>1.0251887889783344</v>
      </c>
      <c r="C188" s="50">
        <v>4.2767123287671236</v>
      </c>
      <c r="D188" s="50">
        <f t="shared" si="12"/>
        <v>0.63111003860594284</v>
      </c>
      <c r="E188" s="50">
        <f>IF(Table2[[#This Row],[Geo Distance]]=0,0,LOG(Table2[[#This Row],[Geo Distance]]))</f>
        <v>2.6894598146071598</v>
      </c>
      <c r="F188" s="50">
        <f>IF(Table2[[#This Row],[Target age]]=0,0,LOG(Table2[[#This Row],[Target age]]))</f>
        <v>1.6020599913279623</v>
      </c>
      <c r="G188" s="59">
        <v>2.59</v>
      </c>
      <c r="H188" s="59">
        <f t="shared" si="13"/>
        <v>0.4132997640812518</v>
      </c>
      <c r="I188" s="60">
        <f>IF(Table2[[#This Row],[Culture]]=0,0,LOG(Table2[[#This Row],[Culture]]))</f>
        <v>2.7501225267834002</v>
      </c>
      <c r="J188" s="60">
        <f>LOG(1+Table2[[#This Row],[S&amp;P]])</f>
        <v>0.20682587603184968</v>
      </c>
      <c r="K188" s="50">
        <v>1.505149978319906</v>
      </c>
      <c r="L188" s="50">
        <v>74.8</v>
      </c>
      <c r="M188" s="50">
        <f t="shared" si="14"/>
        <v>1.8739015978644613</v>
      </c>
      <c r="N188" s="62">
        <v>38.299999999999997</v>
      </c>
      <c r="O188" s="62">
        <f t="shared" si="15"/>
        <v>1.5831987739686226</v>
      </c>
      <c r="P188" s="63">
        <v>43.321936809724697</v>
      </c>
      <c r="Q188" s="63">
        <f t="shared" si="16"/>
        <v>1.6367078645500728</v>
      </c>
      <c r="R188" s="50">
        <f>LOG(Table2[[#This Row],[generalist]])</f>
        <v>3.2224645332922388</v>
      </c>
      <c r="S188" s="50">
        <f>LOG(Table2[[#This Row],[country divers.]])</f>
        <v>3.707126713924402</v>
      </c>
      <c r="T188" s="50">
        <f>LOG(Table2[[#This Row],[Firm Size]])</f>
        <v>9.4913616938342731</v>
      </c>
      <c r="U188">
        <v>1</v>
      </c>
      <c r="V188" s="137">
        <f t="shared" si="17"/>
        <v>1</v>
      </c>
    </row>
    <row r="189" spans="1:22" x14ac:dyDescent="0.35">
      <c r="A189" s="115" t="s">
        <v>7</v>
      </c>
      <c r="B189" s="52">
        <v>0.40991495239420256</v>
      </c>
      <c r="C189" s="52">
        <v>3.9205479452054797</v>
      </c>
      <c r="D189" s="50">
        <f t="shared" si="12"/>
        <v>0.59334676930330166</v>
      </c>
      <c r="E189" s="52">
        <f>IF(Table2[[#This Row],[Geo Distance]]=0,0,LOG(Table2[[#This Row],[Geo Distance]]))</f>
        <v>2.6894598146071598</v>
      </c>
      <c r="F189" s="52">
        <f>IF(Table2[[#This Row],[Target age]]=0,0,LOG(Table2[[#This Row],[Target age]]))</f>
        <v>1.4771212547196624</v>
      </c>
      <c r="G189" s="65">
        <v>2.59</v>
      </c>
      <c r="H189" s="59">
        <f t="shared" si="13"/>
        <v>0.4132997640812518</v>
      </c>
      <c r="I189" s="53">
        <f>IF(Table2[[#This Row],[Culture]]=0,0,LOG(Table2[[#This Row],[Culture]]))</f>
        <v>2.7501225267834002</v>
      </c>
      <c r="J189" s="53">
        <f>LOG(1+Table2[[#This Row],[S&amp;P]])</f>
        <v>0.19589965240923368</v>
      </c>
      <c r="K189" s="52">
        <v>1.3424226808222062</v>
      </c>
      <c r="L189" s="52">
        <v>85</v>
      </c>
      <c r="M189" s="50">
        <f t="shared" si="14"/>
        <v>1.9294189257142926</v>
      </c>
      <c r="N189" s="55">
        <v>37.5</v>
      </c>
      <c r="O189" s="62">
        <f t="shared" si="15"/>
        <v>1.5740312677277188</v>
      </c>
      <c r="P189" s="56">
        <v>43.5008834269711</v>
      </c>
      <c r="Q189" s="63">
        <f t="shared" si="16"/>
        <v>1.6384980768066575</v>
      </c>
      <c r="R189" s="52">
        <f>LOG(Table2[[#This Row],[generalist]])</f>
        <v>3.2224645332922388</v>
      </c>
      <c r="S189" s="52">
        <f>LOG(Table2[[#This Row],[country divers.]])</f>
        <v>3.707126713924402</v>
      </c>
      <c r="T189" s="116">
        <f>LOG(Table2[[#This Row],[Firm Size]])</f>
        <v>8.9684829485539357</v>
      </c>
      <c r="U189">
        <v>1</v>
      </c>
      <c r="V189" s="137">
        <f t="shared" si="17"/>
        <v>1</v>
      </c>
    </row>
    <row r="190" spans="1:22" x14ac:dyDescent="0.35">
      <c r="A190" s="49" t="s">
        <v>7</v>
      </c>
      <c r="B190" s="50">
        <v>0.36469907553335851</v>
      </c>
      <c r="C190" s="50">
        <v>6.4164383561643836</v>
      </c>
      <c r="D190" s="50">
        <f t="shared" si="12"/>
        <v>0.80729402627986957</v>
      </c>
      <c r="E190" s="50">
        <f>IF(Table2[[#This Row],[Geo Distance]]=0,0,LOG(Table2[[#This Row],[Geo Distance]]))</f>
        <v>3.8052057911131025</v>
      </c>
      <c r="F190" s="50">
        <f>IF(Table2[[#This Row],[Target age]]=0,0,LOG(Table2[[#This Row],[Target age]]))</f>
        <v>1.9030899869919435</v>
      </c>
      <c r="G190" s="59">
        <v>2.99</v>
      </c>
      <c r="H190" s="59">
        <f t="shared" si="13"/>
        <v>0.47567118832442967</v>
      </c>
      <c r="I190" s="60">
        <f>IF(Table2[[#This Row],[Culture]]=0,0,LOG(Table2[[#This Row],[Culture]]))</f>
        <v>2.8408376699812901</v>
      </c>
      <c r="J190" s="60">
        <f>LOG(1+Table2[[#This Row],[S&amp;P]])</f>
        <v>0.28103336724772759</v>
      </c>
      <c r="K190" s="50">
        <v>1.5440680443502757</v>
      </c>
      <c r="L190" s="50">
        <v>76.400000000000006</v>
      </c>
      <c r="M190" s="50">
        <f t="shared" si="14"/>
        <v>1.8830933585756899</v>
      </c>
      <c r="N190" s="62">
        <v>37</v>
      </c>
      <c r="O190" s="62">
        <f t="shared" si="15"/>
        <v>1.568201724066995</v>
      </c>
      <c r="P190" s="63">
        <v>42.366037242608201</v>
      </c>
      <c r="Q190" s="63">
        <f t="shared" si="16"/>
        <v>1.6270178436527734</v>
      </c>
      <c r="R190" s="50">
        <f>LOG(Table2[[#This Row],[generalist]])</f>
        <v>3.0687415514991745</v>
      </c>
      <c r="S190" s="50">
        <f>LOG(Table2[[#This Row],[country divers.]])</f>
        <v>3.5297005493117593</v>
      </c>
      <c r="T190" s="50">
        <f>LOG(Table2[[#This Row],[Firm Size]])</f>
        <v>9.3756636139608851</v>
      </c>
      <c r="U190">
        <v>2</v>
      </c>
      <c r="V190" s="137">
        <f t="shared" si="17"/>
        <v>1</v>
      </c>
    </row>
    <row r="191" spans="1:22" x14ac:dyDescent="0.35">
      <c r="A191" s="67" t="s">
        <v>7</v>
      </c>
      <c r="B191" s="52">
        <v>-1</v>
      </c>
      <c r="C191" s="52">
        <v>5.9178082191780819</v>
      </c>
      <c r="D191" s="50">
        <f t="shared" si="12"/>
        <v>0.77216088669445615</v>
      </c>
      <c r="E191" s="52">
        <f>IF(Table2[[#This Row],[Geo Distance]]=0,0,LOG(Table2[[#This Row],[Geo Distance]]))</f>
        <v>2.6894598146071598</v>
      </c>
      <c r="F191" s="52">
        <f>IF(Table2[[#This Row],[Target age]]=0,0,LOG(Table2[[#This Row],[Target age]]))</f>
        <v>1.5563025007672873</v>
      </c>
      <c r="G191" s="65">
        <v>2.59</v>
      </c>
      <c r="H191" s="59">
        <f t="shared" si="13"/>
        <v>0.4132997640812518</v>
      </c>
      <c r="I191" s="53">
        <f>IF(Table2[[#This Row],[Culture]]=0,0,LOG(Table2[[#This Row],[Culture]]))</f>
        <v>2.7501225267834002</v>
      </c>
      <c r="J191" s="53">
        <f>LOG(1+Table2[[#This Row],[S&amp;P]])</f>
        <v>0</v>
      </c>
      <c r="K191" s="52">
        <v>1.4313637641589874</v>
      </c>
      <c r="L191" s="52">
        <v>85</v>
      </c>
      <c r="M191" s="50">
        <f t="shared" si="14"/>
        <v>1.9294189257142926</v>
      </c>
      <c r="N191" s="55">
        <v>36.5</v>
      </c>
      <c r="O191" s="62">
        <f t="shared" si="15"/>
        <v>1.5622928644564746</v>
      </c>
      <c r="P191" s="56">
        <v>43.824698342891402</v>
      </c>
      <c r="Q191" s="63">
        <f t="shared" si="16"/>
        <v>1.641718935411159</v>
      </c>
      <c r="R191" s="52">
        <f>LOG(Table2[[#This Row],[generalist]])</f>
        <v>3.0962405795987471</v>
      </c>
      <c r="S191" s="52">
        <f>LOG(Table2[[#This Row],[country divers.]])</f>
        <v>3.4010931514437841</v>
      </c>
      <c r="T191" s="52">
        <f>LOG(Table2[[#This Row],[Firm Size]])</f>
        <v>9.3170181010481112</v>
      </c>
      <c r="U191">
        <v>4</v>
      </c>
      <c r="V191" s="137">
        <f t="shared" si="17"/>
        <v>1</v>
      </c>
    </row>
    <row r="192" spans="1:22" x14ac:dyDescent="0.35">
      <c r="A192" s="49" t="s">
        <v>7</v>
      </c>
      <c r="B192" s="50">
        <v>0.11115045212266668</v>
      </c>
      <c r="C192" s="50">
        <v>6.5917808219178085</v>
      </c>
      <c r="D192" s="50">
        <f t="shared" si="12"/>
        <v>0.81900275854735127</v>
      </c>
      <c r="E192" s="50">
        <f>IF(Table2[[#This Row],[Geo Distance]]=0,0,LOG(Table2[[#This Row],[Geo Distance]]))</f>
        <v>2.6894598146071598</v>
      </c>
      <c r="F192" s="50">
        <f>IF(Table2[[#This Row],[Target age]]=0,0,LOG(Table2[[#This Row],[Target age]]))</f>
        <v>1.5314789170422551</v>
      </c>
      <c r="G192" s="59">
        <v>2.59</v>
      </c>
      <c r="H192" s="59">
        <f t="shared" si="13"/>
        <v>0.4132997640812518</v>
      </c>
      <c r="I192" s="60">
        <f>IF(Table2[[#This Row],[Culture]]=0,0,LOG(Table2[[#This Row],[Culture]]))</f>
        <v>2.7501225267834002</v>
      </c>
      <c r="J192" s="60">
        <f>LOG(1+Table2[[#This Row],[S&amp;P]])</f>
        <v>8.2785370316450071E-2</v>
      </c>
      <c r="K192" s="50">
        <v>1.8633228601204559</v>
      </c>
      <c r="L192" s="50">
        <v>76.900000000000006</v>
      </c>
      <c r="M192" s="50">
        <f t="shared" si="14"/>
        <v>1.885926339801431</v>
      </c>
      <c r="N192" s="62">
        <v>36.1</v>
      </c>
      <c r="O192" s="62">
        <f t="shared" si="15"/>
        <v>1.5575072019056579</v>
      </c>
      <c r="P192" s="63">
        <v>37.805693454220297</v>
      </c>
      <c r="Q192" s="63">
        <f t="shared" si="16"/>
        <v>1.5775572085556049</v>
      </c>
      <c r="R192" s="50">
        <f>LOG(Table2[[#This Row],[generalist]])</f>
        <v>3.3314213062933389</v>
      </c>
      <c r="S192" s="50">
        <f>LOG(Table2[[#This Row],[country divers.]])</f>
        <v>3.884802064783424</v>
      </c>
      <c r="T192" s="50">
        <f>LOG(Table2[[#This Row],[Firm Size]])</f>
        <v>9.3802112417116064</v>
      </c>
      <c r="U192">
        <v>1</v>
      </c>
      <c r="V192" s="137">
        <f t="shared" si="17"/>
        <v>1</v>
      </c>
    </row>
    <row r="193" spans="1:22" x14ac:dyDescent="0.35">
      <c r="A193" s="67" t="s">
        <v>7</v>
      </c>
      <c r="B193" s="52">
        <v>-3.7788560889399803E-2</v>
      </c>
      <c r="C193" s="52">
        <v>8.0520547945205472</v>
      </c>
      <c r="D193" s="50">
        <f t="shared" si="12"/>
        <v>0.90590672161613783</v>
      </c>
      <c r="E193" s="52">
        <f>IF(Table2[[#This Row],[Geo Distance]]=0,0,LOG(Table2[[#This Row],[Geo Distance]]))</f>
        <v>3.8052057911131025</v>
      </c>
      <c r="F193" s="52">
        <f>IF(Table2[[#This Row],[Target age]]=0,0,LOG(Table2[[#This Row],[Target age]]))</f>
        <v>0.95424250943932487</v>
      </c>
      <c r="G193" s="65">
        <v>2.99</v>
      </c>
      <c r="H193" s="59">
        <f t="shared" si="13"/>
        <v>0.47567118832442967</v>
      </c>
      <c r="I193" s="53">
        <f>IF(Table2[[#This Row],[Culture]]=0,0,LOG(Table2[[#This Row],[Culture]]))</f>
        <v>2.8408376699812901</v>
      </c>
      <c r="J193" s="53">
        <f>LOG(1+Table2[[#This Row],[S&amp;P]])</f>
        <v>0.12710479836480765</v>
      </c>
      <c r="K193" s="52">
        <v>1.5910646070264991</v>
      </c>
      <c r="L193" s="52">
        <v>85</v>
      </c>
      <c r="M193" s="50">
        <f t="shared" si="14"/>
        <v>1.9294189257142926</v>
      </c>
      <c r="N193" s="55">
        <v>37.799999999999997</v>
      </c>
      <c r="O193" s="62">
        <f t="shared" si="15"/>
        <v>1.5774917998372253</v>
      </c>
      <c r="P193" s="56">
        <v>43.5787105608064</v>
      </c>
      <c r="Q193" s="63">
        <f t="shared" si="16"/>
        <v>1.6392743758732649</v>
      </c>
      <c r="R193" s="52">
        <f>LOG(Table2[[#This Row],[generalist]])</f>
        <v>3.1527645837352773</v>
      </c>
      <c r="S193" s="52">
        <f>LOG(Table2[[#This Row],[country divers.]])</f>
        <v>3.5411223705253856</v>
      </c>
      <c r="T193" s="52">
        <f>LOG(Table2[[#This Row],[Firm Size]])</f>
        <v>8.7781512503836439</v>
      </c>
      <c r="U193">
        <v>9</v>
      </c>
      <c r="V193" s="137">
        <f t="shared" si="17"/>
        <v>1</v>
      </c>
    </row>
    <row r="194" spans="1:22" x14ac:dyDescent="0.35">
      <c r="A194" s="49" t="s">
        <v>7</v>
      </c>
      <c r="B194" s="50">
        <v>0.42311965077168279</v>
      </c>
      <c r="C194" s="50">
        <v>8.9452054794520546</v>
      </c>
      <c r="D194" s="50">
        <f t="shared" si="12"/>
        <v>0.95159032115461806</v>
      </c>
      <c r="E194" s="50">
        <f>IF(Table2[[#This Row],[Geo Distance]]=0,0,LOG(Table2[[#This Row],[Geo Distance]]))</f>
        <v>2.6894598146071598</v>
      </c>
      <c r="F194" s="50">
        <f>IF(Table2[[#This Row],[Target age]]=0,0,LOG(Table2[[#This Row],[Target age]]))</f>
        <v>1.9294189257142926</v>
      </c>
      <c r="G194" s="59">
        <v>2.59</v>
      </c>
      <c r="H194" s="59">
        <f t="shared" si="13"/>
        <v>0.4132997640812518</v>
      </c>
      <c r="I194" s="60">
        <f>IF(Table2[[#This Row],[Culture]]=0,0,LOG(Table2[[#This Row],[Culture]]))</f>
        <v>2.7501225267834002</v>
      </c>
      <c r="J194" s="60">
        <f>LOG(1+Table2[[#This Row],[S&amp;P]])</f>
        <v>0.21218760440395779</v>
      </c>
      <c r="K194" s="50">
        <v>1.3802112417116059</v>
      </c>
      <c r="L194" s="50">
        <v>85</v>
      </c>
      <c r="M194" s="50">
        <f t="shared" si="14"/>
        <v>1.9294189257142926</v>
      </c>
      <c r="N194" s="62">
        <v>37.799999999999997</v>
      </c>
      <c r="O194" s="62">
        <f t="shared" si="15"/>
        <v>1.5774917998372253</v>
      </c>
      <c r="P194" s="63">
        <v>43.5787105608064</v>
      </c>
      <c r="Q194" s="63">
        <f t="shared" si="16"/>
        <v>1.6392743758732649</v>
      </c>
      <c r="R194" s="50">
        <f>LOG(Table2[[#This Row],[generalist]])</f>
        <v>3.22246453795844</v>
      </c>
      <c r="S194" s="50">
        <f>LOG(Table2[[#This Row],[country divers.]])</f>
        <v>3.7071267407396937</v>
      </c>
      <c r="T194" s="50">
        <f>LOG(Table2[[#This Row],[Firm Size]])</f>
        <v>8.9193030300505232</v>
      </c>
      <c r="U194">
        <v>1</v>
      </c>
      <c r="V194" s="137">
        <f t="shared" si="17"/>
        <v>1</v>
      </c>
    </row>
    <row r="195" spans="1:22" x14ac:dyDescent="0.35">
      <c r="A195" s="67" t="s">
        <v>7</v>
      </c>
      <c r="B195" s="52">
        <v>0.51666755909904294</v>
      </c>
      <c r="C195" s="52">
        <v>3.0191780821917806</v>
      </c>
      <c r="D195" s="50">
        <f t="shared" ref="D195:D258" si="18">LOG(C195)</f>
        <v>0.4798887300592915</v>
      </c>
      <c r="E195" s="52">
        <f>IF(Table2[[#This Row],[Geo Distance]]=0,0,LOG(Table2[[#This Row],[Geo Distance]]))</f>
        <v>2.6894598146071598</v>
      </c>
      <c r="F195" s="52">
        <f>IF(Table2[[#This Row],[Target age]]=0,0,LOG(Table2[[#This Row],[Target age]]))</f>
        <v>1.6127838567197355</v>
      </c>
      <c r="G195" s="65">
        <v>2.59</v>
      </c>
      <c r="H195" s="59">
        <f t="shared" ref="H195:H258" si="19">LOG(G195)</f>
        <v>0.4132997640812518</v>
      </c>
      <c r="I195" s="53">
        <f>IF(Table2[[#This Row],[Culture]]=0,0,LOG(Table2[[#This Row],[Culture]]))</f>
        <v>2.7501225267834002</v>
      </c>
      <c r="J195" s="53">
        <f>LOG(1+Table2[[#This Row],[S&amp;P]])</f>
        <v>7.1882007306125359E-2</v>
      </c>
      <c r="K195" s="52">
        <v>1.3010299956639813</v>
      </c>
      <c r="L195" s="52">
        <v>85</v>
      </c>
      <c r="M195" s="50">
        <f t="shared" ref="M195:M258" si="20">LOG(L195)</f>
        <v>1.9294189257142926</v>
      </c>
      <c r="N195" s="55">
        <v>37.799999999999997</v>
      </c>
      <c r="O195" s="62">
        <f t="shared" ref="O195:O258" si="21">LOG(N195)</f>
        <v>1.5774917998372253</v>
      </c>
      <c r="P195" s="56">
        <v>43.5787105608064</v>
      </c>
      <c r="Q195" s="63">
        <f t="shared" ref="Q195:Q258" si="22">LOG(P195)</f>
        <v>1.6392743758732649</v>
      </c>
      <c r="R195" s="52">
        <f>LOG(Table2[[#This Row],[generalist]])</f>
        <v>3.2699236952309461</v>
      </c>
      <c r="S195" s="52">
        <f>LOG(Table2[[#This Row],[country divers.]])</f>
        <v>3.6984415808994222</v>
      </c>
      <c r="T195" s="52">
        <f>LOG(Table2[[#This Row],[Firm Size]])</f>
        <v>9.6989700043360187</v>
      </c>
      <c r="U195">
        <v>4</v>
      </c>
      <c r="V195" s="137">
        <f t="shared" ref="V195:V258" si="23">IF(E195=0,0,1)</f>
        <v>1</v>
      </c>
    </row>
    <row r="196" spans="1:22" x14ac:dyDescent="0.35">
      <c r="A196" s="49" t="s">
        <v>7</v>
      </c>
      <c r="B196" s="50">
        <v>6.7848283429978257E-2</v>
      </c>
      <c r="C196" s="50">
        <v>4.0602739726027401</v>
      </c>
      <c r="D196" s="50">
        <f t="shared" si="18"/>
        <v>0.60855533918683469</v>
      </c>
      <c r="E196" s="50">
        <f>IF(Table2[[#This Row],[Geo Distance]]=0,0,LOG(Table2[[#This Row],[Geo Distance]]))</f>
        <v>3.8052057911131025</v>
      </c>
      <c r="F196" s="50">
        <f>IF(Table2[[#This Row],[Target age]]=0,0,LOG(Table2[[#This Row],[Target age]]))</f>
        <v>0</v>
      </c>
      <c r="G196" s="59">
        <v>2.99</v>
      </c>
      <c r="H196" s="59">
        <f t="shared" si="19"/>
        <v>0.47567118832442967</v>
      </c>
      <c r="I196" s="60">
        <f>IF(Table2[[#This Row],[Culture]]=0,0,LOG(Table2[[#This Row],[Culture]]))</f>
        <v>2.8408376699812901</v>
      </c>
      <c r="J196" s="60">
        <f>LOG(1+Table2[[#This Row],[S&amp;P]])</f>
        <v>7.1882007306125359E-2</v>
      </c>
      <c r="K196" s="50">
        <v>2.1818435879447726</v>
      </c>
      <c r="L196" s="50">
        <v>85</v>
      </c>
      <c r="M196" s="50">
        <f t="shared" si="20"/>
        <v>1.9294189257142926</v>
      </c>
      <c r="N196" s="62">
        <v>37.4</v>
      </c>
      <c r="O196" s="62">
        <f t="shared" si="21"/>
        <v>1.5728716022004801</v>
      </c>
      <c r="P196" s="63">
        <v>41.359233027230303</v>
      </c>
      <c r="Q196" s="63">
        <f t="shared" si="22"/>
        <v>1.6165724765285823</v>
      </c>
      <c r="R196" s="50">
        <f>LOG(Table2[[#This Row],[generalist]])</f>
        <v>3.2986404739170001</v>
      </c>
      <c r="S196" s="50">
        <f>LOG(Table2[[#This Row],[country divers.]])</f>
        <v>3.7777539086524472</v>
      </c>
      <c r="T196" s="50">
        <f>LOG(Table2[[#This Row],[Firm Size]])</f>
        <v>8.7403626894942441</v>
      </c>
      <c r="U196">
        <v>6</v>
      </c>
      <c r="V196" s="137">
        <f t="shared" si="23"/>
        <v>1</v>
      </c>
    </row>
    <row r="197" spans="1:22" x14ac:dyDescent="0.35">
      <c r="A197" s="67" t="s">
        <v>5</v>
      </c>
      <c r="B197" s="52">
        <v>0.63202321470540557</v>
      </c>
      <c r="C197" s="52">
        <v>3.5616438356164384</v>
      </c>
      <c r="D197" s="50">
        <f t="shared" si="18"/>
        <v>0.55165048785036208</v>
      </c>
      <c r="E197" s="52">
        <f>IF(Table2[[#This Row],[Geo Distance]]=0,0,LOG(Table2[[#This Row],[Geo Distance]]))</f>
        <v>3.791612763704681</v>
      </c>
      <c r="F197" s="52">
        <f>IF(Table2[[#This Row],[Target age]]=0,0,LOG(Table2[[#This Row],[Target age]]))</f>
        <v>1.505149978319906</v>
      </c>
      <c r="G197" s="65">
        <v>2.72</v>
      </c>
      <c r="H197" s="59">
        <f t="shared" si="19"/>
        <v>0.43456890403419873</v>
      </c>
      <c r="I197" s="53">
        <f>IF(Table2[[#This Row],[Culture]]=0,0,LOG(Table2[[#This Row],[Culture]]))</f>
        <v>3.0351628085621898</v>
      </c>
      <c r="J197" s="53">
        <f>LOG(1+Table2[[#This Row],[S&amp;P]])</f>
        <v>0.14301480025409513</v>
      </c>
      <c r="K197" s="52">
        <v>1.1760912590556813</v>
      </c>
      <c r="L197" s="52">
        <v>70</v>
      </c>
      <c r="M197" s="50">
        <f t="shared" si="20"/>
        <v>1.8450980400142569</v>
      </c>
      <c r="N197" s="55">
        <v>35</v>
      </c>
      <c r="O197" s="62">
        <f t="shared" si="21"/>
        <v>1.5440680443502757</v>
      </c>
      <c r="P197" s="56">
        <v>43.580897040130701</v>
      </c>
      <c r="Q197" s="63">
        <f t="shared" si="22"/>
        <v>1.6392961652303231</v>
      </c>
      <c r="R197" s="52">
        <f>LOG(Table2[[#This Row],[generalist]])</f>
        <v>3.0958500844125241</v>
      </c>
      <c r="S197" s="52">
        <f>LOG(Table2[[#This Row],[country divers.]])</f>
        <v>3.5078178355445662</v>
      </c>
      <c r="T197" s="52">
        <f>LOG(Table2[[#This Row],[Firm Size]])</f>
        <v>8.8228216453031045</v>
      </c>
      <c r="U197">
        <v>4</v>
      </c>
      <c r="V197" s="137">
        <f t="shared" si="23"/>
        <v>1</v>
      </c>
    </row>
    <row r="198" spans="1:22" x14ac:dyDescent="0.35">
      <c r="A198" s="49" t="s">
        <v>5</v>
      </c>
      <c r="B198" s="50">
        <v>-0.34678748622465638</v>
      </c>
      <c r="C198" s="50">
        <v>4.7452054794520544</v>
      </c>
      <c r="D198" s="50">
        <f t="shared" si="18"/>
        <v>0.67625502322485309</v>
      </c>
      <c r="E198" s="50">
        <f>IF(Table2[[#This Row],[Geo Distance]]=0,0,LOG(Table2[[#This Row],[Geo Distance]]))</f>
        <v>2.5530208611350047</v>
      </c>
      <c r="F198" s="50">
        <f>IF(Table2[[#This Row],[Target age]]=0,0,LOG(Table2[[#This Row],[Target age]]))</f>
        <v>1.6627578316815741</v>
      </c>
      <c r="G198" s="59">
        <v>3.16</v>
      </c>
      <c r="H198" s="59">
        <f t="shared" si="19"/>
        <v>0.49968708261840383</v>
      </c>
      <c r="I198" s="60">
        <f>IF(Table2[[#This Row],[Culture]]=0,0,LOG(Table2[[#This Row],[Culture]]))</f>
        <v>2.9872192299080047</v>
      </c>
      <c r="J198" s="60">
        <f>LOG(1+Table2[[#This Row],[S&amp;P]])</f>
        <v>0.24054924828259971</v>
      </c>
      <c r="K198" s="50">
        <v>1.4771212547196624</v>
      </c>
      <c r="L198" s="50">
        <v>81.900000000000006</v>
      </c>
      <c r="M198" s="50">
        <f t="shared" si="20"/>
        <v>1.9132839017604184</v>
      </c>
      <c r="N198" s="62">
        <v>35.4</v>
      </c>
      <c r="O198" s="62">
        <f t="shared" si="21"/>
        <v>1.5490032620257879</v>
      </c>
      <c r="P198" s="63">
        <v>46.7926176158091</v>
      </c>
      <c r="Q198" s="63">
        <f t="shared" si="22"/>
        <v>1.6701773406464193</v>
      </c>
      <c r="R198" s="50">
        <f>LOG(Table2[[#This Row],[generalist]])</f>
        <v>3.2224645332922388</v>
      </c>
      <c r="S198" s="50">
        <f>LOG(Table2[[#This Row],[country divers.]])</f>
        <v>3.707126713924402</v>
      </c>
      <c r="T198" s="50">
        <f>LOG(Table2[[#This Row],[Firm Size]])</f>
        <v>8.6020599913279625</v>
      </c>
      <c r="U198">
        <v>9</v>
      </c>
      <c r="V198" s="137">
        <f t="shared" si="23"/>
        <v>1</v>
      </c>
    </row>
    <row r="199" spans="1:22" x14ac:dyDescent="0.35">
      <c r="A199" s="67" t="s">
        <v>5</v>
      </c>
      <c r="B199" s="52">
        <v>0.37473423390735744</v>
      </c>
      <c r="C199" s="52">
        <v>13.484931506849316</v>
      </c>
      <c r="D199" s="50">
        <f t="shared" si="18"/>
        <v>1.129848744910309</v>
      </c>
      <c r="E199" s="52">
        <f>IF(Table2[[#This Row],[Geo Distance]]=0,0,LOG(Table2[[#This Row],[Geo Distance]]))</f>
        <v>0</v>
      </c>
      <c r="F199" s="52">
        <f>IF(Table2[[#This Row],[Target age]]=0,0,LOG(Table2[[#This Row],[Target age]]))</f>
        <v>1.6127838567197355</v>
      </c>
      <c r="G199" s="65">
        <v>3.28</v>
      </c>
      <c r="H199" s="59">
        <f t="shared" si="19"/>
        <v>0.5158738437116791</v>
      </c>
      <c r="I199" s="53">
        <f>IF(Table2[[#This Row],[Culture]]=0,0,LOG(Table2[[#This Row],[Culture]]))</f>
        <v>0</v>
      </c>
      <c r="J199" s="53">
        <f>LOG(1+Table2[[#This Row],[S&amp;P]])</f>
        <v>0.30319605742048883</v>
      </c>
      <c r="K199" s="52">
        <v>1.2787536009528289</v>
      </c>
      <c r="L199" s="52">
        <v>70</v>
      </c>
      <c r="M199" s="50">
        <f t="shared" si="20"/>
        <v>1.8450980400142569</v>
      </c>
      <c r="N199" s="55">
        <v>35.6</v>
      </c>
      <c r="O199" s="62">
        <f t="shared" si="21"/>
        <v>1.5514499979728751</v>
      </c>
      <c r="P199" s="56">
        <v>42.882578893959298</v>
      </c>
      <c r="Q199" s="63">
        <f t="shared" si="22"/>
        <v>1.6322808952886716</v>
      </c>
      <c r="R199" s="52">
        <f>LOG(Table2[[#This Row],[generalist]])</f>
        <v>3.3740570806117947</v>
      </c>
      <c r="S199" s="57">
        <f>LOG(Table2[[#This Row],[country divers.]])</f>
        <v>3.9700736609473402</v>
      </c>
      <c r="T199" s="52">
        <f>LOG(Table2[[#This Row],[Firm Size]])</f>
        <v>7.6120375003588876</v>
      </c>
      <c r="U199">
        <v>7</v>
      </c>
      <c r="V199" s="137">
        <f t="shared" si="23"/>
        <v>0</v>
      </c>
    </row>
    <row r="200" spans="1:22" x14ac:dyDescent="0.35">
      <c r="A200" s="49" t="s">
        <v>5</v>
      </c>
      <c r="B200" s="50">
        <v>-1.6922705116064297E-2</v>
      </c>
      <c r="C200" s="50">
        <v>1.010958904109589</v>
      </c>
      <c r="D200" s="50">
        <f t="shared" si="18"/>
        <v>4.7335017025856435E-3</v>
      </c>
      <c r="E200" s="50">
        <f>IF(Table2[[#This Row],[Geo Distance]]=0,0,LOG(Table2[[#This Row],[Geo Distance]]))</f>
        <v>0</v>
      </c>
      <c r="F200" s="50">
        <f>IF(Table2[[#This Row],[Target age]]=0,0,LOG(Table2[[#This Row],[Target age]]))</f>
        <v>1.9138138523837167</v>
      </c>
      <c r="G200" s="59">
        <v>3.28</v>
      </c>
      <c r="H200" s="59">
        <f t="shared" si="19"/>
        <v>0.5158738437116791</v>
      </c>
      <c r="I200" s="60">
        <f>IF(Table2[[#This Row],[Culture]]=0,0,LOG(Table2[[#This Row],[Culture]]))</f>
        <v>0</v>
      </c>
      <c r="J200" s="60">
        <f>LOG(1+Table2[[#This Row],[S&amp;P]])</f>
        <v>-7.0581074285707285E-2</v>
      </c>
      <c r="K200" s="50">
        <v>1.255272505103306</v>
      </c>
      <c r="L200" s="50">
        <v>70</v>
      </c>
      <c r="M200" s="50">
        <f t="shared" si="20"/>
        <v>1.8450980400142569</v>
      </c>
      <c r="N200" s="62">
        <v>36.9</v>
      </c>
      <c r="O200" s="62">
        <f t="shared" si="21"/>
        <v>1.5670263661590604</v>
      </c>
      <c r="P200" s="63">
        <v>42.177001683602199</v>
      </c>
      <c r="Q200" s="63">
        <f t="shared" si="22"/>
        <v>1.6250757029864513</v>
      </c>
      <c r="R200" s="50">
        <f>LOG(Table2[[#This Row],[generalist]])</f>
        <v>3.3740570806117947</v>
      </c>
      <c r="S200" s="64">
        <f>LOG(Table2[[#This Row],[country divers.]])</f>
        <v>3.9700736609473402</v>
      </c>
      <c r="T200" s="50">
        <f>LOG(Table2[[#This Row],[Firm Size]])</f>
        <v>8.1958996524092331</v>
      </c>
      <c r="U200">
        <v>1</v>
      </c>
      <c r="V200" s="137">
        <f t="shared" si="23"/>
        <v>0</v>
      </c>
    </row>
    <row r="201" spans="1:22" x14ac:dyDescent="0.35">
      <c r="A201" s="67" t="s">
        <v>5</v>
      </c>
      <c r="B201" s="52">
        <v>0.63106976869808307</v>
      </c>
      <c r="C201" s="52">
        <v>2.2136986301369861</v>
      </c>
      <c r="D201" s="50">
        <f t="shared" si="18"/>
        <v>0.34511849631811142</v>
      </c>
      <c r="E201" s="52">
        <f>IF(Table2[[#This Row],[Geo Distance]]=0,0,LOG(Table2[[#This Row],[Geo Distance]]))</f>
        <v>0</v>
      </c>
      <c r="F201" s="52">
        <f>IF(Table2[[#This Row],[Target age]]=0,0,LOG(Table2[[#This Row],[Target age]]))</f>
        <v>1.9395192526186185</v>
      </c>
      <c r="G201" s="65">
        <v>3.28</v>
      </c>
      <c r="H201" s="59">
        <f t="shared" si="19"/>
        <v>0.5158738437116791</v>
      </c>
      <c r="I201" s="53">
        <f>IF(Table2[[#This Row],[Culture]]=0,0,LOG(Table2[[#This Row],[Culture]]))</f>
        <v>0</v>
      </c>
      <c r="J201" s="53">
        <f>LOG(1+Table2[[#This Row],[S&amp;P]])</f>
        <v>0.10720996964786837</v>
      </c>
      <c r="K201" s="52">
        <v>1.3617278360175928</v>
      </c>
      <c r="L201" s="52">
        <v>70</v>
      </c>
      <c r="M201" s="50">
        <f t="shared" si="20"/>
        <v>1.8450980400142569</v>
      </c>
      <c r="N201" s="55">
        <v>35</v>
      </c>
      <c r="O201" s="62">
        <f t="shared" si="21"/>
        <v>1.5440680443502757</v>
      </c>
      <c r="P201" s="56">
        <v>42.243452783984999</v>
      </c>
      <c r="Q201" s="63">
        <f t="shared" si="22"/>
        <v>1.625759408194035</v>
      </c>
      <c r="R201" s="52">
        <f>LOG(Table2[[#This Row],[generalist]])</f>
        <v>3.3740570806117947</v>
      </c>
      <c r="S201" s="57">
        <f>LOG(Table2[[#This Row],[country divers.]])</f>
        <v>3.9700736609473402</v>
      </c>
      <c r="T201" s="52">
        <f>LOG(Table2[[#This Row],[Firm Size]])</f>
        <v>8.1818435879447726</v>
      </c>
      <c r="U201">
        <v>1</v>
      </c>
      <c r="V201" s="137">
        <f t="shared" si="23"/>
        <v>0</v>
      </c>
    </row>
    <row r="202" spans="1:22" x14ac:dyDescent="0.35">
      <c r="A202" s="49" t="s">
        <v>5</v>
      </c>
      <c r="B202" s="50">
        <v>-0.69897000433601886</v>
      </c>
      <c r="C202" s="50">
        <v>3.0657534246575344</v>
      </c>
      <c r="D202" s="50">
        <f t="shared" si="18"/>
        <v>0.48653722207187539</v>
      </c>
      <c r="E202" s="50">
        <f>IF(Table2[[#This Row],[Geo Distance]]=0,0,LOG(Table2[[#This Row],[Geo Distance]]))</f>
        <v>3.791612763704681</v>
      </c>
      <c r="F202" s="50">
        <f>IF(Table2[[#This Row],[Target age]]=0,0,LOG(Table2[[#This Row],[Target age]]))</f>
        <v>1.7075701760979363</v>
      </c>
      <c r="G202" s="59">
        <v>2.72</v>
      </c>
      <c r="H202" s="59">
        <f t="shared" si="19"/>
        <v>0.43456890403419873</v>
      </c>
      <c r="I202" s="60">
        <f>IF(Table2[[#This Row],[Culture]]=0,0,LOG(Table2[[#This Row],[Culture]]))</f>
        <v>3.0351628085621898</v>
      </c>
      <c r="J202" s="60">
        <f>LOG(1+Table2[[#This Row],[S&amp;P]])</f>
        <v>0.11727129565576427</v>
      </c>
      <c r="K202" s="50">
        <v>1.4913616938342726</v>
      </c>
      <c r="L202" s="50">
        <v>84.3</v>
      </c>
      <c r="M202" s="50">
        <f t="shared" si="20"/>
        <v>1.9258275746247424</v>
      </c>
      <c r="N202" s="62">
        <v>37</v>
      </c>
      <c r="O202" s="62">
        <f t="shared" si="21"/>
        <v>1.568201724066995</v>
      </c>
      <c r="P202" s="63">
        <v>44.611946528156203</v>
      </c>
      <c r="Q202" s="63">
        <f t="shared" si="22"/>
        <v>1.6494511729836956</v>
      </c>
      <c r="R202" s="50">
        <f>LOG(Table2[[#This Row],[generalist]])</f>
        <v>3.0962405795987471</v>
      </c>
      <c r="S202" s="50">
        <f>LOG(Table2[[#This Row],[country divers.]])</f>
        <v>3.4010931514437841</v>
      </c>
      <c r="T202" s="50">
        <f>LOG(Table2[[#This Row],[Firm Size]])</f>
        <v>8.6989700043360187</v>
      </c>
      <c r="U202">
        <v>1</v>
      </c>
      <c r="V202" s="137">
        <f t="shared" si="23"/>
        <v>1</v>
      </c>
    </row>
    <row r="203" spans="1:22" x14ac:dyDescent="0.35">
      <c r="A203" s="67" t="s">
        <v>5</v>
      </c>
      <c r="B203" s="52">
        <v>0.40855917261704727</v>
      </c>
      <c r="C203" s="52">
        <v>0.56712328767123288</v>
      </c>
      <c r="D203" s="50">
        <f t="shared" si="18"/>
        <v>-0.24632251899955696</v>
      </c>
      <c r="E203" s="52">
        <f>IF(Table2[[#This Row],[Geo Distance]]=0,0,LOG(Table2[[#This Row],[Geo Distance]]))</f>
        <v>2.5530208611350047</v>
      </c>
      <c r="F203" s="52">
        <f>IF(Table2[[#This Row],[Target age]]=0,0,LOG(Table2[[#This Row],[Target age]]))</f>
        <v>0.95424250943932487</v>
      </c>
      <c r="G203" s="65">
        <v>3.16</v>
      </c>
      <c r="H203" s="59">
        <f t="shared" si="19"/>
        <v>0.49968708261840383</v>
      </c>
      <c r="I203" s="53">
        <f>IF(Table2[[#This Row],[Culture]]=0,0,LOG(Table2[[#This Row],[Culture]]))</f>
        <v>2.9872192299080047</v>
      </c>
      <c r="J203" s="53">
        <f>LOG(1+Table2[[#This Row],[S&amp;P]])</f>
        <v>-3.6212172654444715E-2</v>
      </c>
      <c r="K203" s="52">
        <v>1.4771212547196624</v>
      </c>
      <c r="L203" s="52">
        <v>88.4</v>
      </c>
      <c r="M203" s="50">
        <f t="shared" si="20"/>
        <v>1.9464522650130731</v>
      </c>
      <c r="N203" s="55">
        <v>35.700000000000003</v>
      </c>
      <c r="O203" s="62">
        <f t="shared" si="21"/>
        <v>1.5526682161121932</v>
      </c>
      <c r="P203" s="56">
        <v>42.337645557762798</v>
      </c>
      <c r="Q203" s="63">
        <f t="shared" si="22"/>
        <v>1.6267267027692975</v>
      </c>
      <c r="R203" s="52">
        <f>LOG(Table2[[#This Row],[generalist]])</f>
        <v>3.0962405795987471</v>
      </c>
      <c r="S203" s="52">
        <f>LOG(Table2[[#This Row],[country divers.]])</f>
        <v>3.4010931514437841</v>
      </c>
      <c r="T203" s="52">
        <f>LOG(Table2[[#This Row],[Firm Size]])</f>
        <v>8.8259386592127473</v>
      </c>
      <c r="U203">
        <v>4</v>
      </c>
      <c r="V203" s="137">
        <f t="shared" si="23"/>
        <v>1</v>
      </c>
    </row>
    <row r="204" spans="1:22" x14ac:dyDescent="0.35">
      <c r="A204" s="49" t="s">
        <v>5</v>
      </c>
      <c r="B204" s="50">
        <v>-0.19604918633510771</v>
      </c>
      <c r="C204" s="50">
        <v>6.5753424657534243</v>
      </c>
      <c r="D204" s="50">
        <f t="shared" si="18"/>
        <v>0.81791837725513128</v>
      </c>
      <c r="E204" s="50">
        <f>IF(Table2[[#This Row],[Geo Distance]]=0,0,LOG(Table2[[#This Row],[Geo Distance]]))</f>
        <v>2.5530208611350047</v>
      </c>
      <c r="F204" s="50">
        <f>IF(Table2[[#This Row],[Target age]]=0,0,LOG(Table2[[#This Row],[Target age]]))</f>
        <v>0</v>
      </c>
      <c r="G204" s="59">
        <v>3.16</v>
      </c>
      <c r="H204" s="59">
        <f t="shared" si="19"/>
        <v>0.49968708261840383</v>
      </c>
      <c r="I204" s="60">
        <f>IF(Table2[[#This Row],[Culture]]=0,0,LOG(Table2[[#This Row],[Culture]]))</f>
        <v>2.9872192299080047</v>
      </c>
      <c r="J204" s="60">
        <f>LOG(1+Table2[[#This Row],[S&amp;P]])</f>
        <v>7.1882007306125359E-2</v>
      </c>
      <c r="K204" s="50">
        <v>1.4623979978989561</v>
      </c>
      <c r="L204" s="50">
        <v>87.5</v>
      </c>
      <c r="M204" s="50">
        <f t="shared" si="20"/>
        <v>1.9420080530223132</v>
      </c>
      <c r="N204" s="62">
        <v>36</v>
      </c>
      <c r="O204" s="62">
        <f t="shared" si="21"/>
        <v>1.5563025007672873</v>
      </c>
      <c r="P204" s="63">
        <v>42.967191632480599</v>
      </c>
      <c r="Q204" s="63">
        <f t="shared" si="22"/>
        <v>1.6331369688020121</v>
      </c>
      <c r="R204" s="50">
        <f>LOG(Table2[[#This Row],[generalist]])</f>
        <v>3.0962405795987471</v>
      </c>
      <c r="S204" s="50">
        <f>LOG(Table2[[#This Row],[country divers.]])</f>
        <v>3.4010931514437841</v>
      </c>
      <c r="T204" s="50">
        <f>LOG(Table2[[#This Row],[Firm Size]])</f>
        <v>9.672097857935718</v>
      </c>
      <c r="U204">
        <v>4</v>
      </c>
      <c r="V204" s="137">
        <f t="shared" si="23"/>
        <v>1</v>
      </c>
    </row>
    <row r="205" spans="1:22" x14ac:dyDescent="0.35">
      <c r="A205" s="67" t="s">
        <v>5</v>
      </c>
      <c r="B205" s="52">
        <v>0.36797678529459443</v>
      </c>
      <c r="C205" s="52">
        <v>3.0794520547945203</v>
      </c>
      <c r="D205" s="50">
        <f t="shared" si="18"/>
        <v>0.48847344677656757</v>
      </c>
      <c r="E205" s="52">
        <f>IF(Table2[[#This Row],[Geo Distance]]=0,0,LOG(Table2[[#This Row],[Geo Distance]]))</f>
        <v>2.5530208611350047</v>
      </c>
      <c r="F205" s="52">
        <f>IF(Table2[[#This Row],[Target age]]=0,0,LOG(Table2[[#This Row],[Target age]]))</f>
        <v>1.1139433523068367</v>
      </c>
      <c r="G205" s="65">
        <v>3.16</v>
      </c>
      <c r="H205" s="59">
        <f t="shared" si="19"/>
        <v>0.49968708261840383</v>
      </c>
      <c r="I205" s="53">
        <f>IF(Table2[[#This Row],[Culture]]=0,0,LOG(Table2[[#This Row],[Culture]]))</f>
        <v>2.9872192299080047</v>
      </c>
      <c r="J205" s="53">
        <f>LOG(1+Table2[[#This Row],[S&amp;P]])</f>
        <v>0.12385164096708581</v>
      </c>
      <c r="K205" s="52">
        <v>1.3802112417116059</v>
      </c>
      <c r="L205" s="52">
        <v>70</v>
      </c>
      <c r="M205" s="50">
        <f t="shared" si="20"/>
        <v>1.8450980400142569</v>
      </c>
      <c r="N205" s="55">
        <v>34.799999999999997</v>
      </c>
      <c r="O205" s="62">
        <f t="shared" si="21"/>
        <v>1.541579243946581</v>
      </c>
      <c r="P205" s="56">
        <v>43.471204603938098</v>
      </c>
      <c r="Q205" s="63">
        <f t="shared" si="22"/>
        <v>1.6382016748260968</v>
      </c>
      <c r="R205" s="52">
        <f>LOG(Table2[[#This Row],[generalist]])</f>
        <v>3.2327651641054547</v>
      </c>
      <c r="S205" s="52">
        <f>LOG(Table2[[#This Row],[country divers.]])</f>
        <v>3.9527244147731087</v>
      </c>
      <c r="T205" s="52">
        <f>LOG(Table2[[#This Row],[Firm Size]])</f>
        <v>8.4771212547196626</v>
      </c>
      <c r="U205">
        <v>9</v>
      </c>
      <c r="V205" s="137">
        <f t="shared" si="23"/>
        <v>1</v>
      </c>
    </row>
    <row r="206" spans="1:22" x14ac:dyDescent="0.35">
      <c r="A206" s="49" t="s">
        <v>5</v>
      </c>
      <c r="B206" s="50">
        <v>0.28280517555778212</v>
      </c>
      <c r="C206" s="50">
        <v>7.6410958904109592</v>
      </c>
      <c r="D206" s="50">
        <f t="shared" si="18"/>
        <v>0.88315564980957517</v>
      </c>
      <c r="E206" s="50">
        <f>IF(Table2[[#This Row],[Geo Distance]]=0,0,LOG(Table2[[#This Row],[Geo Distance]]))</f>
        <v>2.5530208611350047</v>
      </c>
      <c r="F206" s="50">
        <f>IF(Table2[[#This Row],[Target age]]=0,0,LOG(Table2[[#This Row],[Target age]]))</f>
        <v>1.1760912590556813</v>
      </c>
      <c r="G206" s="59">
        <v>3.16</v>
      </c>
      <c r="H206" s="59">
        <f t="shared" si="19"/>
        <v>0.49968708261840383</v>
      </c>
      <c r="I206" s="60">
        <f>IF(Table2[[#This Row],[Culture]]=0,0,LOG(Table2[[#This Row],[Culture]]))</f>
        <v>2.9872192299080047</v>
      </c>
      <c r="J206" s="60">
        <f>LOG(1+Table2[[#This Row],[S&amp;P]])</f>
        <v>0.12710479836480765</v>
      </c>
      <c r="K206" s="50">
        <v>1.3617278360175928</v>
      </c>
      <c r="L206" s="50">
        <v>70</v>
      </c>
      <c r="M206" s="50">
        <f t="shared" si="20"/>
        <v>1.8450980400142569</v>
      </c>
      <c r="N206" s="62">
        <v>34.799999999999997</v>
      </c>
      <c r="O206" s="62">
        <f t="shared" si="21"/>
        <v>1.541579243946581</v>
      </c>
      <c r="P206" s="63">
        <v>44.539498059710198</v>
      </c>
      <c r="Q206" s="63">
        <f t="shared" si="22"/>
        <v>1.6487453184203718</v>
      </c>
      <c r="R206" s="50">
        <f>LOG(Table2[[#This Row],[generalist]])</f>
        <v>3.2327651641054547</v>
      </c>
      <c r="S206" s="50">
        <f>LOG(Table2[[#This Row],[country divers.]])</f>
        <v>3.9527244147731087</v>
      </c>
      <c r="T206" s="50">
        <f>LOG(Table2[[#This Row],[Firm Size]])</f>
        <v>8.2612628687924943</v>
      </c>
      <c r="U206">
        <v>6</v>
      </c>
      <c r="V206" s="137">
        <f t="shared" si="23"/>
        <v>1</v>
      </c>
    </row>
    <row r="207" spans="1:22" x14ac:dyDescent="0.35">
      <c r="A207" s="67" t="s">
        <v>5</v>
      </c>
      <c r="B207" s="52">
        <v>0.45222844311731442</v>
      </c>
      <c r="C207" s="52">
        <v>0.88767123287671235</v>
      </c>
      <c r="D207" s="50">
        <f t="shared" si="18"/>
        <v>-5.1747854249862557E-2</v>
      </c>
      <c r="E207" s="52">
        <f>IF(Table2[[#This Row],[Geo Distance]]=0,0,LOG(Table2[[#This Row],[Geo Distance]]))</f>
        <v>3.791612763704681</v>
      </c>
      <c r="F207" s="52">
        <f>IF(Table2[[#This Row],[Target age]]=0,0,LOG(Table2[[#This Row],[Target age]]))</f>
        <v>0.95424250943932487</v>
      </c>
      <c r="G207" s="65">
        <v>2.72</v>
      </c>
      <c r="H207" s="59">
        <f t="shared" si="19"/>
        <v>0.43456890403419873</v>
      </c>
      <c r="I207" s="53">
        <f>IF(Table2[[#This Row],[Culture]]=0,0,LOG(Table2[[#This Row],[Culture]]))</f>
        <v>3.0351628085621898</v>
      </c>
      <c r="J207" s="53">
        <f>LOG(1+Table2[[#This Row],[S&amp;P]])</f>
        <v>2.1189299069938092E-2</v>
      </c>
      <c r="K207" s="52">
        <v>1.3424226808222062</v>
      </c>
      <c r="L207" s="52">
        <v>70</v>
      </c>
      <c r="M207" s="50">
        <f t="shared" si="20"/>
        <v>1.8450980400142569</v>
      </c>
      <c r="N207" s="55">
        <v>34.799999999999997</v>
      </c>
      <c r="O207" s="62">
        <f t="shared" si="21"/>
        <v>1.541579243946581</v>
      </c>
      <c r="P207" s="56">
        <v>43.471204603938098</v>
      </c>
      <c r="Q207" s="63">
        <f t="shared" si="22"/>
        <v>1.6382016748260968</v>
      </c>
      <c r="R207" s="52">
        <f>LOG(Table2[[#This Row],[generalist]])</f>
        <v>3.3787349600790799</v>
      </c>
      <c r="S207" s="52">
        <f>LOG(Table2[[#This Row],[country divers.]])</f>
        <v>3.7392221923384441</v>
      </c>
      <c r="T207" s="52">
        <f>LOG(Table2[[#This Row],[Firm Size]])</f>
        <v>7.3424226808222066</v>
      </c>
      <c r="U207">
        <v>5</v>
      </c>
      <c r="V207" s="137">
        <f t="shared" si="23"/>
        <v>1</v>
      </c>
    </row>
    <row r="208" spans="1:22" x14ac:dyDescent="0.35">
      <c r="A208" s="49" t="s">
        <v>5</v>
      </c>
      <c r="B208" s="50">
        <v>0.52287874528033762</v>
      </c>
      <c r="C208" s="50">
        <v>2.2438356164383562</v>
      </c>
      <c r="D208" s="50">
        <f t="shared" si="18"/>
        <v>0.35099103730394376</v>
      </c>
      <c r="E208" s="50">
        <f>IF(Table2[[#This Row],[Geo Distance]]=0,0,LOG(Table2[[#This Row],[Geo Distance]]))</f>
        <v>2.5530208611350047</v>
      </c>
      <c r="F208" s="50">
        <f>IF(Table2[[#This Row],[Target age]]=0,0,LOG(Table2[[#This Row],[Target age]]))</f>
        <v>1.1139433523068367</v>
      </c>
      <c r="G208" s="59">
        <v>3.16</v>
      </c>
      <c r="H208" s="59">
        <f t="shared" si="19"/>
        <v>0.49968708261840383</v>
      </c>
      <c r="I208" s="60">
        <f>IF(Table2[[#This Row],[Culture]]=0,0,LOG(Table2[[#This Row],[Culture]]))</f>
        <v>2.9872192299080047</v>
      </c>
      <c r="J208" s="60">
        <f>LOG(1+Table2[[#This Row],[S&amp;P]])</f>
        <v>0.13353890837021748</v>
      </c>
      <c r="K208" s="50">
        <v>1.2041199826559248</v>
      </c>
      <c r="L208" s="50">
        <v>80</v>
      </c>
      <c r="M208" s="50">
        <f t="shared" si="20"/>
        <v>1.9030899869919435</v>
      </c>
      <c r="N208" s="62">
        <v>38.4</v>
      </c>
      <c r="O208" s="62">
        <f t="shared" si="21"/>
        <v>1.5843312243675307</v>
      </c>
      <c r="P208" s="63">
        <v>43.580244996378802</v>
      </c>
      <c r="Q208" s="63">
        <f t="shared" si="22"/>
        <v>1.639289667403498</v>
      </c>
      <c r="R208" s="50">
        <f>LOG(Table2[[#This Row],[generalist]])</f>
        <v>3.2860283894181141</v>
      </c>
      <c r="S208" s="50">
        <f>LOG(Table2[[#This Row],[country divers.]])</f>
        <v>3.9098977130890344</v>
      </c>
      <c r="T208" s="50">
        <f>LOG(Table2[[#This Row],[Firm Size]])</f>
        <v>8.2552725051033065</v>
      </c>
      <c r="U208">
        <v>9</v>
      </c>
      <c r="V208" s="137">
        <f t="shared" si="23"/>
        <v>1</v>
      </c>
    </row>
    <row r="209" spans="1:22" x14ac:dyDescent="0.35">
      <c r="A209" s="67" t="s">
        <v>5</v>
      </c>
      <c r="B209" s="52">
        <v>1.2539352388078999</v>
      </c>
      <c r="C209" s="52">
        <v>2.4027397260273973</v>
      </c>
      <c r="D209" s="50">
        <f t="shared" si="18"/>
        <v>0.38070672890956581</v>
      </c>
      <c r="E209" s="52">
        <f>IF(Table2[[#This Row],[Geo Distance]]=0,0,LOG(Table2[[#This Row],[Geo Distance]]))</f>
        <v>2.5530208611350047</v>
      </c>
      <c r="F209" s="52">
        <f>IF(Table2[[#This Row],[Target age]]=0,0,LOG(Table2[[#This Row],[Target age]]))</f>
        <v>0.47712125471966244</v>
      </c>
      <c r="G209" s="65">
        <v>3.16</v>
      </c>
      <c r="H209" s="59">
        <f t="shared" si="19"/>
        <v>0.49968708261840383</v>
      </c>
      <c r="I209" s="53">
        <f>IF(Table2[[#This Row],[Culture]]=0,0,LOG(Table2[[#This Row],[Culture]]))</f>
        <v>2.9872192299080047</v>
      </c>
      <c r="J209" s="53">
        <f>LOG(1+Table2[[#This Row],[S&amp;P]])</f>
        <v>0.13033376849500614</v>
      </c>
      <c r="K209" s="52">
        <v>1.0413926851582251</v>
      </c>
      <c r="L209" s="52">
        <v>81.900000000000006</v>
      </c>
      <c r="M209" s="50">
        <f t="shared" si="20"/>
        <v>1.9132839017604184</v>
      </c>
      <c r="N209" s="55">
        <v>35.4</v>
      </c>
      <c r="O209" s="62">
        <f t="shared" si="21"/>
        <v>1.5490032620257879</v>
      </c>
      <c r="P209" s="56">
        <v>46.7926176158091</v>
      </c>
      <c r="Q209" s="63">
        <f t="shared" si="22"/>
        <v>1.6701773406464193</v>
      </c>
      <c r="R209" s="52">
        <f>LOG(Table2[[#This Row],[generalist]])</f>
        <v>3.2860283894181141</v>
      </c>
      <c r="S209" s="52">
        <f>LOG(Table2[[#This Row],[country divers.]])</f>
        <v>3.9098977130890344</v>
      </c>
      <c r="T209" s="52">
        <f>LOG(Table2[[#This Row],[Firm Size]])</f>
        <v>7.012837224705172</v>
      </c>
      <c r="U209">
        <v>5</v>
      </c>
      <c r="V209" s="137">
        <f t="shared" si="23"/>
        <v>1</v>
      </c>
    </row>
    <row r="210" spans="1:22" x14ac:dyDescent="0.35">
      <c r="A210" s="49" t="s">
        <v>5</v>
      </c>
      <c r="B210" s="50">
        <v>1.6020599913279623</v>
      </c>
      <c r="C210" s="50">
        <v>3.9917808219178084</v>
      </c>
      <c r="D210" s="50">
        <f t="shared" si="18"/>
        <v>0.60116668731351541</v>
      </c>
      <c r="E210" s="50">
        <f>IF(Table2[[#This Row],[Geo Distance]]=0,0,LOG(Table2[[#This Row],[Geo Distance]]))</f>
        <v>2.5530208611350047</v>
      </c>
      <c r="F210" s="50">
        <f>IF(Table2[[#This Row],[Target age]]=0,0,LOG(Table2[[#This Row],[Target age]]))</f>
        <v>0</v>
      </c>
      <c r="G210" s="59">
        <v>3.16</v>
      </c>
      <c r="H210" s="59">
        <f t="shared" si="19"/>
        <v>0.49968708261840383</v>
      </c>
      <c r="I210" s="60">
        <f>IF(Table2[[#This Row],[Culture]]=0,0,LOG(Table2[[#This Row],[Culture]]))</f>
        <v>2.9872192299080047</v>
      </c>
      <c r="J210" s="60">
        <f>LOG(1+Table2[[#This Row],[S&amp;P]])</f>
        <v>-8.092190762392612E-2</v>
      </c>
      <c r="K210" s="50">
        <v>0.84509804001425681</v>
      </c>
      <c r="L210" s="50">
        <v>88.4</v>
      </c>
      <c r="M210" s="50">
        <f t="shared" si="20"/>
        <v>1.9464522650130731</v>
      </c>
      <c r="N210" s="62">
        <v>35.700000000000003</v>
      </c>
      <c r="O210" s="62">
        <f t="shared" si="21"/>
        <v>1.5526682161121932</v>
      </c>
      <c r="P210" s="63">
        <v>42.337645557762798</v>
      </c>
      <c r="Q210" s="63">
        <f t="shared" si="22"/>
        <v>1.6267267027692975</v>
      </c>
      <c r="R210" s="50">
        <f>LOG(Table2[[#This Row],[generalist]])</f>
        <v>3.2860283894181141</v>
      </c>
      <c r="S210" s="50">
        <f>LOG(Table2[[#This Row],[country divers.]])</f>
        <v>3.9098977130890344</v>
      </c>
      <c r="T210" s="50">
        <f>LOG(Table2[[#This Row],[Firm Size]])</f>
        <v>7</v>
      </c>
      <c r="U210">
        <v>8</v>
      </c>
      <c r="V210" s="137">
        <f t="shared" si="23"/>
        <v>1</v>
      </c>
    </row>
    <row r="211" spans="1:22" x14ac:dyDescent="0.35">
      <c r="A211" s="67" t="s">
        <v>5</v>
      </c>
      <c r="B211" s="52">
        <v>2.7898069076135487E-3</v>
      </c>
      <c r="C211" s="52">
        <v>3.43013698630137</v>
      </c>
      <c r="D211" s="50">
        <f t="shared" si="18"/>
        <v>0.5353114644179362</v>
      </c>
      <c r="E211" s="52">
        <f>IF(Table2[[#This Row],[Geo Distance]]=0,0,LOG(Table2[[#This Row],[Geo Distance]]))</f>
        <v>2.5530208611350047</v>
      </c>
      <c r="F211" s="52">
        <f>IF(Table2[[#This Row],[Target age]]=0,0,LOG(Table2[[#This Row],[Target age]]))</f>
        <v>1.255272505103306</v>
      </c>
      <c r="G211" s="65">
        <v>3.16</v>
      </c>
      <c r="H211" s="59">
        <f t="shared" si="19"/>
        <v>0.49968708261840383</v>
      </c>
      <c r="I211" s="53">
        <f>IF(Table2[[#This Row],[Culture]]=0,0,LOG(Table2[[#This Row],[Culture]]))</f>
        <v>2.9872192299080047</v>
      </c>
      <c r="J211" s="53">
        <f>LOG(1+Table2[[#This Row],[S&amp;P]])</f>
        <v>0.16731733474817609</v>
      </c>
      <c r="K211" s="52">
        <v>0.3010299956639812</v>
      </c>
      <c r="L211" s="52">
        <v>70</v>
      </c>
      <c r="M211" s="50">
        <f t="shared" si="20"/>
        <v>1.8450980400142569</v>
      </c>
      <c r="N211" s="55">
        <v>35</v>
      </c>
      <c r="O211" s="62">
        <f t="shared" si="21"/>
        <v>1.5440680443502757</v>
      </c>
      <c r="P211" s="56">
        <v>43.580897040130701</v>
      </c>
      <c r="Q211" s="63">
        <f t="shared" si="22"/>
        <v>1.6392961652303231</v>
      </c>
      <c r="R211" s="52">
        <f>LOG(Table2[[#This Row],[generalist]])</f>
        <v>3.2860283894181141</v>
      </c>
      <c r="S211" s="52">
        <f>LOG(Table2[[#This Row],[country divers.]])</f>
        <v>3.9098977130890344</v>
      </c>
      <c r="T211" s="52">
        <f>LOG(Table2[[#This Row],[Firm Size]])</f>
        <v>7.9542425094393252</v>
      </c>
      <c r="U211">
        <v>2</v>
      </c>
      <c r="V211" s="137">
        <f t="shared" si="23"/>
        <v>1</v>
      </c>
    </row>
    <row r="212" spans="1:22" x14ac:dyDescent="0.35">
      <c r="A212" s="49" t="s">
        <v>5</v>
      </c>
      <c r="B212" s="50">
        <v>0.25065023940252346</v>
      </c>
      <c r="C212" s="50">
        <v>7.4657534246575343</v>
      </c>
      <c r="D212" s="50">
        <f t="shared" si="18"/>
        <v>0.87307364215618655</v>
      </c>
      <c r="E212" s="50">
        <f>IF(Table2[[#This Row],[Geo Distance]]=0,0,LOG(Table2[[#This Row],[Geo Distance]]))</f>
        <v>2.9602614285392095</v>
      </c>
      <c r="F212" s="50">
        <f>IF(Table2[[#This Row],[Target age]]=0,0,LOG(Table2[[#This Row],[Target age]]))</f>
        <v>2.2405492482825999</v>
      </c>
      <c r="G212" s="59">
        <v>3.26</v>
      </c>
      <c r="H212" s="59">
        <f t="shared" si="19"/>
        <v>0.51321760006793893</v>
      </c>
      <c r="I212" s="60">
        <f>IF(Table2[[#This Row],[Culture]]=0,0,LOG(Table2[[#This Row],[Culture]]))</f>
        <v>3.0944128927070067</v>
      </c>
      <c r="J212" s="60">
        <f>LOG(1+Table2[[#This Row],[S&amp;P]])</f>
        <v>8.6001717619175692E-3</v>
      </c>
      <c r="K212" s="50">
        <v>1</v>
      </c>
      <c r="L212" s="50">
        <v>70</v>
      </c>
      <c r="M212" s="50">
        <f t="shared" si="20"/>
        <v>1.8450980400142569</v>
      </c>
      <c r="N212" s="62">
        <v>37.200000000000003</v>
      </c>
      <c r="O212" s="62">
        <f t="shared" si="21"/>
        <v>1.5705429398818975</v>
      </c>
      <c r="P212" s="63">
        <v>43.419976684252802</v>
      </c>
      <c r="Q212" s="63">
        <f t="shared" si="22"/>
        <v>1.6376895859101317</v>
      </c>
      <c r="R212" s="50">
        <f>LOG(Table2[[#This Row],[generalist]])</f>
        <v>3.277819633965128</v>
      </c>
      <c r="S212" s="50">
        <f>LOG(Table2[[#This Row],[country divers.]])</f>
        <v>3.9304083853612104</v>
      </c>
      <c r="T212" s="50">
        <f>LOG(Table2[[#This Row],[Firm Size]])</f>
        <v>7.7907424457557015</v>
      </c>
      <c r="U212">
        <v>7</v>
      </c>
      <c r="V212" s="137">
        <f t="shared" si="23"/>
        <v>1</v>
      </c>
    </row>
    <row r="213" spans="1:22" x14ac:dyDescent="0.35">
      <c r="A213" s="67" t="s">
        <v>5</v>
      </c>
      <c r="B213" s="52">
        <v>-8.0931995377048899E-2</v>
      </c>
      <c r="C213" s="52">
        <v>1.1123287671232878</v>
      </c>
      <c r="D213" s="50">
        <f t="shared" si="18"/>
        <v>4.6233169120719446E-2</v>
      </c>
      <c r="E213" s="52">
        <f>IF(Table2[[#This Row],[Geo Distance]]=0,0,LOG(Table2[[#This Row],[Geo Distance]]))</f>
        <v>3.791612763704681</v>
      </c>
      <c r="F213" s="52">
        <f>IF(Table2[[#This Row],[Target age]]=0,0,LOG(Table2[[#This Row],[Target age]]))</f>
        <v>0.77815125038364363</v>
      </c>
      <c r="G213" s="65">
        <v>2.72</v>
      </c>
      <c r="H213" s="59">
        <f t="shared" si="19"/>
        <v>0.43456890403419873</v>
      </c>
      <c r="I213" s="53">
        <f>IF(Table2[[#This Row],[Culture]]=0,0,LOG(Table2[[#This Row],[Culture]]))</f>
        <v>3.0351628085621898</v>
      </c>
      <c r="J213" s="53">
        <f>LOG(1+Table2[[#This Row],[S&amp;P]])</f>
        <v>4.5322978786657475E-2</v>
      </c>
      <c r="K213" s="52">
        <v>1.2787536009528289</v>
      </c>
      <c r="L213" s="52">
        <v>70</v>
      </c>
      <c r="M213" s="50">
        <f t="shared" si="20"/>
        <v>1.8450980400142569</v>
      </c>
      <c r="N213" s="55">
        <v>34.799999999999997</v>
      </c>
      <c r="O213" s="62">
        <f t="shared" si="21"/>
        <v>1.541579243946581</v>
      </c>
      <c r="P213" s="56">
        <v>43.471204603938098</v>
      </c>
      <c r="Q213" s="63">
        <f t="shared" si="22"/>
        <v>1.6382016748260968</v>
      </c>
      <c r="R213" s="52">
        <f>LOG(Table2[[#This Row],[generalist]])</f>
        <v>3.3647319918335836</v>
      </c>
      <c r="S213" s="52">
        <f>LOG(Table2[[#This Row],[country divers.]])</f>
        <v>3.568659604598353</v>
      </c>
      <c r="T213" s="52">
        <f>LOG(Table2[[#This Row],[Firm Size]])</f>
        <v>8.8192608938937127</v>
      </c>
      <c r="U213">
        <v>4</v>
      </c>
      <c r="V213" s="137">
        <f t="shared" si="23"/>
        <v>1</v>
      </c>
    </row>
    <row r="214" spans="1:22" x14ac:dyDescent="0.35">
      <c r="A214" s="49" t="s">
        <v>5</v>
      </c>
      <c r="B214" s="50">
        <v>0.1386957688604587</v>
      </c>
      <c r="C214" s="50">
        <v>8.5506849315068489</v>
      </c>
      <c r="D214" s="50">
        <f t="shared" si="18"/>
        <v>0.93200090420885795</v>
      </c>
      <c r="E214" s="50">
        <f>IF(Table2[[#This Row],[Geo Distance]]=0,0,LOG(Table2[[#This Row],[Geo Distance]]))</f>
        <v>3.791612763704681</v>
      </c>
      <c r="F214" s="50">
        <f>IF(Table2[[#This Row],[Target age]]=0,0,LOG(Table2[[#This Row],[Target age]]))</f>
        <v>1.8920946026904804</v>
      </c>
      <c r="G214" s="59">
        <v>2.72</v>
      </c>
      <c r="H214" s="59">
        <f t="shared" si="19"/>
        <v>0.43456890403419873</v>
      </c>
      <c r="I214" s="60">
        <f>IF(Table2[[#This Row],[Culture]]=0,0,LOG(Table2[[#This Row],[Culture]]))</f>
        <v>3.0351628085621898</v>
      </c>
      <c r="J214" s="60">
        <f>LOG(1+Table2[[#This Row],[S&amp;P]])</f>
        <v>0.28103336724772759</v>
      </c>
      <c r="K214" s="50">
        <v>1.2041199826559248</v>
      </c>
      <c r="L214" s="50">
        <v>88</v>
      </c>
      <c r="M214" s="50">
        <f t="shared" si="20"/>
        <v>1.9444826721501687</v>
      </c>
      <c r="N214" s="62">
        <v>35.9</v>
      </c>
      <c r="O214" s="62">
        <f t="shared" si="21"/>
        <v>1.5550944485783191</v>
      </c>
      <c r="P214" s="63">
        <v>43.1081369225492</v>
      </c>
      <c r="Q214" s="63">
        <f t="shared" si="22"/>
        <v>1.634559253618429</v>
      </c>
      <c r="R214" s="50">
        <f>LOG(Table2[[#This Row],[generalist]])</f>
        <v>3.1628767233771686</v>
      </c>
      <c r="S214" s="50">
        <f>LOG(Table2[[#This Row],[country divers.]])</f>
        <v>3.6087947637270492</v>
      </c>
      <c r="T214" s="50">
        <f>LOG(Table2[[#This Row],[Firm Size]])</f>
        <v>8.271237354470836</v>
      </c>
      <c r="U214">
        <v>7</v>
      </c>
      <c r="V214" s="137">
        <f t="shared" si="23"/>
        <v>1</v>
      </c>
    </row>
    <row r="215" spans="1:22" x14ac:dyDescent="0.35">
      <c r="A215" s="67" t="s">
        <v>5</v>
      </c>
      <c r="B215" s="52">
        <v>1.4670033807127596</v>
      </c>
      <c r="C215" s="52">
        <v>11.887671232876713</v>
      </c>
      <c r="D215" s="50">
        <f t="shared" si="18"/>
        <v>1.0750967856727371</v>
      </c>
      <c r="E215" s="52">
        <f>IF(Table2[[#This Row],[Geo Distance]]=0,0,LOG(Table2[[#This Row],[Geo Distance]]))</f>
        <v>3.791612763704681</v>
      </c>
      <c r="F215" s="52">
        <f>IF(Table2[[#This Row],[Target age]]=0,0,LOG(Table2[[#This Row],[Target age]]))</f>
        <v>1.1760912590556813</v>
      </c>
      <c r="G215" s="65">
        <v>2.72</v>
      </c>
      <c r="H215" s="59">
        <f t="shared" si="19"/>
        <v>0.43456890403419873</v>
      </c>
      <c r="I215" s="53">
        <f>IF(Table2[[#This Row],[Culture]]=0,0,LOG(Table2[[#This Row],[Culture]]))</f>
        <v>3.0351628085621898</v>
      </c>
      <c r="J215" s="53">
        <f>LOG(1+Table2[[#This Row],[S&amp;P]])</f>
        <v>-4.3648054024500883E-3</v>
      </c>
      <c r="K215" s="52">
        <v>1.5185139398778875</v>
      </c>
      <c r="L215" s="52">
        <v>70</v>
      </c>
      <c r="M215" s="50">
        <f t="shared" si="20"/>
        <v>1.8450980400142569</v>
      </c>
      <c r="N215" s="55">
        <v>37.200000000000003</v>
      </c>
      <c r="O215" s="62">
        <f t="shared" si="21"/>
        <v>1.5705429398818975</v>
      </c>
      <c r="P215" s="56">
        <v>43.419976684252802</v>
      </c>
      <c r="Q215" s="63">
        <f t="shared" si="22"/>
        <v>1.6376895859101317</v>
      </c>
      <c r="R215" s="52">
        <f>LOG(Table2[[#This Row],[generalist]])</f>
        <v>3.1527645837352773</v>
      </c>
      <c r="S215" s="52">
        <f>LOG(Table2[[#This Row],[country divers.]])</f>
        <v>3.5411223705253856</v>
      </c>
      <c r="T215" s="52">
        <f>LOG(Table2[[#This Row],[Firm Size]])</f>
        <v>7.5240455588884867</v>
      </c>
      <c r="U215">
        <v>2</v>
      </c>
      <c r="V215" s="137">
        <f t="shared" si="23"/>
        <v>1</v>
      </c>
    </row>
    <row r="216" spans="1:22" x14ac:dyDescent="0.35">
      <c r="A216" s="49" t="s">
        <v>5</v>
      </c>
      <c r="B216" s="50">
        <v>0.10699908637159473</v>
      </c>
      <c r="C216" s="50">
        <v>3.4027397260273973</v>
      </c>
      <c r="D216" s="50">
        <f t="shared" si="18"/>
        <v>0.53182873138408671</v>
      </c>
      <c r="E216" s="50">
        <f>IF(Table2[[#This Row],[Geo Distance]]=0,0,LOG(Table2[[#This Row],[Geo Distance]]))</f>
        <v>2.5530208611350047</v>
      </c>
      <c r="F216" s="50">
        <f>IF(Table2[[#This Row],[Target age]]=0,0,LOG(Table2[[#This Row],[Target age]]))</f>
        <v>1.4313637641589874</v>
      </c>
      <c r="G216" s="59">
        <v>3.16</v>
      </c>
      <c r="H216" s="59">
        <f t="shared" si="19"/>
        <v>0.49968708261840383</v>
      </c>
      <c r="I216" s="60">
        <f>IF(Table2[[#This Row],[Culture]]=0,0,LOG(Table2[[#This Row],[Culture]]))</f>
        <v>2.9872192299080047</v>
      </c>
      <c r="J216" s="60">
        <f>LOG(1+Table2[[#This Row],[S&amp;P]])</f>
        <v>-4.0958607678906384E-2</v>
      </c>
      <c r="K216" s="50">
        <v>1.4313637641589874</v>
      </c>
      <c r="L216" s="50">
        <v>88</v>
      </c>
      <c r="M216" s="50">
        <f t="shared" si="20"/>
        <v>1.9444826721501687</v>
      </c>
      <c r="N216" s="62">
        <v>35.9</v>
      </c>
      <c r="O216" s="62">
        <f t="shared" si="21"/>
        <v>1.5550944485783191</v>
      </c>
      <c r="P216" s="63">
        <v>43.1081369225492</v>
      </c>
      <c r="Q216" s="63">
        <f t="shared" si="22"/>
        <v>1.634559253618429</v>
      </c>
      <c r="R216" s="50">
        <f>LOG(Table2[[#This Row],[generalist]])</f>
        <v>3.22246453795844</v>
      </c>
      <c r="S216" s="50">
        <f>LOG(Table2[[#This Row],[country divers.]])</f>
        <v>3.7071267407396937</v>
      </c>
      <c r="T216" s="50">
        <f>LOG(Table2[[#This Row],[Firm Size]])</f>
        <v>8.8401060944567575</v>
      </c>
      <c r="U216">
        <v>7</v>
      </c>
      <c r="V216" s="137">
        <f t="shared" si="23"/>
        <v>1</v>
      </c>
    </row>
    <row r="217" spans="1:22" x14ac:dyDescent="0.35">
      <c r="A217" s="67" t="s">
        <v>5</v>
      </c>
      <c r="B217" s="52">
        <v>-0.62872113857682677</v>
      </c>
      <c r="C217" s="52">
        <v>2.3068493150684932</v>
      </c>
      <c r="D217" s="50">
        <f t="shared" si="18"/>
        <v>0.3630192270431748</v>
      </c>
      <c r="E217" s="52">
        <f>IF(Table2[[#This Row],[Geo Distance]]=0,0,LOG(Table2[[#This Row],[Geo Distance]]))</f>
        <v>2.5530208611350047</v>
      </c>
      <c r="F217" s="52">
        <f>IF(Table2[[#This Row],[Target age]]=0,0,LOG(Table2[[#This Row],[Target age]]))</f>
        <v>2.6263403673750423</v>
      </c>
      <c r="G217" s="65">
        <v>3.16</v>
      </c>
      <c r="H217" s="59">
        <f t="shared" si="19"/>
        <v>0.49968708261840383</v>
      </c>
      <c r="I217" s="53">
        <f>IF(Table2[[#This Row],[Culture]]=0,0,LOG(Table2[[#This Row],[Culture]]))</f>
        <v>2.9872192299080047</v>
      </c>
      <c r="J217" s="53">
        <f>LOG(1+Table2[[#This Row],[S&amp;P]])</f>
        <v>0.10380372095595687</v>
      </c>
      <c r="K217" s="52">
        <v>1.2304489213782739</v>
      </c>
      <c r="L217" s="52">
        <v>70</v>
      </c>
      <c r="M217" s="50">
        <f t="shared" si="20"/>
        <v>1.8450980400142569</v>
      </c>
      <c r="N217" s="55">
        <v>36.299999999999997</v>
      </c>
      <c r="O217" s="62">
        <f t="shared" si="21"/>
        <v>1.5599066250361124</v>
      </c>
      <c r="P217" s="56">
        <v>44.332035658580502</v>
      </c>
      <c r="Q217" s="63">
        <f t="shared" si="22"/>
        <v>1.6467176738887899</v>
      </c>
      <c r="R217" s="52">
        <f>LOG(Table2[[#This Row],[generalist]])</f>
        <v>3.22246453795844</v>
      </c>
      <c r="S217" s="52">
        <f>LOG(Table2[[#This Row],[country divers.]])</f>
        <v>3.7071267407396937</v>
      </c>
      <c r="T217" s="52">
        <f>LOG(Table2[[#This Row],[Firm Size]])</f>
        <v>9.3359931671248475</v>
      </c>
      <c r="U217">
        <v>7</v>
      </c>
      <c r="V217" s="137">
        <f t="shared" si="23"/>
        <v>1</v>
      </c>
    </row>
    <row r="218" spans="1:22" x14ac:dyDescent="0.35">
      <c r="A218" s="49" t="s">
        <v>5</v>
      </c>
      <c r="B218" s="50">
        <v>0.2400010119608123</v>
      </c>
      <c r="C218" s="50">
        <v>7.2986301369863016</v>
      </c>
      <c r="D218" s="50">
        <f t="shared" si="18"/>
        <v>0.86324135604178875</v>
      </c>
      <c r="E218" s="50">
        <f>IF(Table2[[#This Row],[Geo Distance]]=0,0,LOG(Table2[[#This Row],[Geo Distance]]))</f>
        <v>2.5530208611350047</v>
      </c>
      <c r="F218" s="50">
        <f>IF(Table2[[#This Row],[Target age]]=0,0,LOG(Table2[[#This Row],[Target age]]))</f>
        <v>0</v>
      </c>
      <c r="G218" s="59">
        <v>3.16</v>
      </c>
      <c r="H218" s="59">
        <f t="shared" si="19"/>
        <v>0.49968708261840383</v>
      </c>
      <c r="I218" s="60">
        <f>IF(Table2[[#This Row],[Culture]]=0,0,LOG(Table2[[#This Row],[Culture]]))</f>
        <v>2.9872192299080047</v>
      </c>
      <c r="J218" s="60">
        <f>LOG(1+Table2[[#This Row],[S&amp;P]])</f>
        <v>0.12057393120584989</v>
      </c>
      <c r="K218" s="50">
        <v>1.2041199826559248</v>
      </c>
      <c r="L218" s="50">
        <v>85</v>
      </c>
      <c r="M218" s="50">
        <f t="shared" si="20"/>
        <v>1.9294189257142926</v>
      </c>
      <c r="N218" s="62">
        <v>36.799999999999997</v>
      </c>
      <c r="O218" s="62">
        <f t="shared" si="21"/>
        <v>1.5658478186735176</v>
      </c>
      <c r="P218" s="63">
        <v>45.479154360161097</v>
      </c>
      <c r="Q218" s="63">
        <f t="shared" si="22"/>
        <v>1.6578123808149479</v>
      </c>
      <c r="R218" s="50">
        <f>LOG(Table2[[#This Row],[generalist]])</f>
        <v>3.22246453795844</v>
      </c>
      <c r="S218" s="50">
        <f>LOG(Table2[[#This Row],[country divers.]])</f>
        <v>3.7071267407396937</v>
      </c>
      <c r="T218" s="50">
        <f>LOG(Table2[[#This Row],[Firm Size]])</f>
        <v>8.214843848047698</v>
      </c>
      <c r="U218">
        <v>1</v>
      </c>
      <c r="V218" s="137">
        <f t="shared" si="23"/>
        <v>1</v>
      </c>
    </row>
    <row r="219" spans="1:22" x14ac:dyDescent="0.35">
      <c r="A219" s="67" t="s">
        <v>5</v>
      </c>
      <c r="B219" s="52">
        <v>0.12368252267762356</v>
      </c>
      <c r="C219" s="52">
        <v>3.7342465753424658</v>
      </c>
      <c r="D219" s="50">
        <f t="shared" si="18"/>
        <v>0.57220299137819886</v>
      </c>
      <c r="E219" s="52">
        <f>IF(Table2[[#This Row],[Geo Distance]]=0,0,LOG(Table2[[#This Row],[Geo Distance]]))</f>
        <v>2.5530208611350047</v>
      </c>
      <c r="F219" s="52">
        <f>IF(Table2[[#This Row],[Target age]]=0,0,LOG(Table2[[#This Row],[Target age]]))</f>
        <v>1.2041199826559248</v>
      </c>
      <c r="G219" s="65">
        <v>3.16</v>
      </c>
      <c r="H219" s="59">
        <f t="shared" si="19"/>
        <v>0.49968708261840383</v>
      </c>
      <c r="I219" s="53">
        <f>IF(Table2[[#This Row],[Culture]]=0,0,LOG(Table2[[#This Row],[Culture]]))</f>
        <v>2.9872192299080047</v>
      </c>
      <c r="J219" s="53">
        <f>LOG(1+Table2[[#This Row],[S&amp;P]])</f>
        <v>-6.5501548756432285E-2</v>
      </c>
      <c r="K219" s="52">
        <v>1.3222192947339193</v>
      </c>
      <c r="L219" s="52">
        <v>88.4</v>
      </c>
      <c r="M219" s="50">
        <f t="shared" si="20"/>
        <v>1.9464522650130731</v>
      </c>
      <c r="N219" s="55">
        <v>35.700000000000003</v>
      </c>
      <c r="O219" s="62">
        <f t="shared" si="21"/>
        <v>1.5526682161121932</v>
      </c>
      <c r="P219" s="56">
        <v>42.337645557762798</v>
      </c>
      <c r="Q219" s="63">
        <f t="shared" si="22"/>
        <v>1.6267267027692975</v>
      </c>
      <c r="R219" s="52">
        <f>LOG(Table2[[#This Row],[generalist]])</f>
        <v>3.2188271541979425</v>
      </c>
      <c r="S219" s="52">
        <f>LOG(Table2[[#This Row],[country divers.]])</f>
        <v>3.7570584504768405</v>
      </c>
      <c r="T219" s="52">
        <f>LOG(Table2[[#This Row],[Firm Size]])</f>
        <v>8.996743860869806</v>
      </c>
      <c r="U219">
        <v>9</v>
      </c>
      <c r="V219" s="137">
        <f t="shared" si="23"/>
        <v>1</v>
      </c>
    </row>
    <row r="220" spans="1:22" x14ac:dyDescent="0.35">
      <c r="A220" s="49" t="s">
        <v>5</v>
      </c>
      <c r="B220" s="50">
        <v>0.37377713170619614</v>
      </c>
      <c r="C220" s="50">
        <v>4.0520547945205481</v>
      </c>
      <c r="D220" s="50">
        <f t="shared" si="18"/>
        <v>0.60767530954041771</v>
      </c>
      <c r="E220" s="50">
        <f>IF(Table2[[#This Row],[Geo Distance]]=0,0,LOG(Table2[[#This Row],[Geo Distance]]))</f>
        <v>0</v>
      </c>
      <c r="F220" s="50">
        <f>IF(Table2[[#This Row],[Target age]]=0,0,LOG(Table2[[#This Row],[Target age]]))</f>
        <v>1.9294189257142926</v>
      </c>
      <c r="G220" s="59">
        <v>3.28</v>
      </c>
      <c r="H220" s="59">
        <f t="shared" si="19"/>
        <v>0.5158738437116791</v>
      </c>
      <c r="I220" s="60">
        <f>IF(Table2[[#This Row],[Culture]]=0,0,LOG(Table2[[#This Row],[Culture]]))</f>
        <v>0</v>
      </c>
      <c r="J220" s="60">
        <f>LOG(1+Table2[[#This Row],[S&amp;P]])</f>
        <v>0.16435285578443709</v>
      </c>
      <c r="K220" s="50">
        <v>1.1760912590556813</v>
      </c>
      <c r="L220" s="50">
        <v>89.7</v>
      </c>
      <c r="M220" s="50">
        <f t="shared" si="20"/>
        <v>1.9527924430440922</v>
      </c>
      <c r="N220" s="62">
        <v>37</v>
      </c>
      <c r="O220" s="62">
        <f t="shared" si="21"/>
        <v>1.568201724066995</v>
      </c>
      <c r="P220" s="63">
        <v>45.741556971826803</v>
      </c>
      <c r="Q220" s="63">
        <f t="shared" si="22"/>
        <v>1.660310943234538</v>
      </c>
      <c r="R220" s="50">
        <f>LOG(Table2[[#This Row],[generalist]])</f>
        <v>3.4636187843160156</v>
      </c>
      <c r="S220" s="50">
        <f>LOG(Table2[[#This Row],[country divers.]])</f>
        <v>3.9690067974360175</v>
      </c>
      <c r="T220" s="50">
        <f>LOG(Table2[[#This Row],[Firm Size]])</f>
        <v>8.2304489213782741</v>
      </c>
      <c r="U220">
        <v>1</v>
      </c>
      <c r="V220" s="137">
        <f t="shared" si="23"/>
        <v>0</v>
      </c>
    </row>
    <row r="221" spans="1:22" x14ac:dyDescent="0.35">
      <c r="A221" s="67" t="s">
        <v>5</v>
      </c>
      <c r="B221" s="52">
        <v>-0.38021124171160592</v>
      </c>
      <c r="C221" s="52">
        <v>6.2712328767123289</v>
      </c>
      <c r="D221" s="50">
        <f t="shared" si="18"/>
        <v>0.79735292821806825</v>
      </c>
      <c r="E221" s="52">
        <f>IF(Table2[[#This Row],[Geo Distance]]=0,0,LOG(Table2[[#This Row],[Geo Distance]]))</f>
        <v>0</v>
      </c>
      <c r="F221" s="52">
        <f>IF(Table2[[#This Row],[Target age]]=0,0,LOG(Table2[[#This Row],[Target age]]))</f>
        <v>0.47712125471966244</v>
      </c>
      <c r="G221" s="65">
        <v>3.28</v>
      </c>
      <c r="H221" s="59">
        <f t="shared" si="19"/>
        <v>0.5158738437116791</v>
      </c>
      <c r="I221" s="53">
        <f>IF(Table2[[#This Row],[Culture]]=0,0,LOG(Table2[[#This Row],[Culture]]))</f>
        <v>0</v>
      </c>
      <c r="J221" s="53">
        <f>LOG(1+Table2[[#This Row],[S&amp;P]])</f>
        <v>0.46389298898590731</v>
      </c>
      <c r="K221" s="52">
        <v>1</v>
      </c>
      <c r="L221" s="52">
        <v>86.5</v>
      </c>
      <c r="M221" s="50">
        <f t="shared" si="20"/>
        <v>1.9370161074648142</v>
      </c>
      <c r="N221" s="55">
        <v>34.9</v>
      </c>
      <c r="O221" s="62">
        <f t="shared" si="21"/>
        <v>1.5428254269591799</v>
      </c>
      <c r="P221" s="56">
        <v>47.583389080759602</v>
      </c>
      <c r="Q221" s="63">
        <f t="shared" si="22"/>
        <v>1.6774553710063234</v>
      </c>
      <c r="R221" s="52">
        <f>LOG(Table2[[#This Row],[generalist]])</f>
        <v>3.2676062401770314</v>
      </c>
      <c r="S221" s="52">
        <f>LOG(Table2[[#This Row],[country divers.]])</f>
        <v>3.9645616210373218</v>
      </c>
      <c r="T221" s="52">
        <f>LOG(Table2[[#This Row],[Firm Size]])</f>
        <v>7.5563025007672868</v>
      </c>
      <c r="U221">
        <v>3</v>
      </c>
      <c r="V221" s="137">
        <f t="shared" si="23"/>
        <v>0</v>
      </c>
    </row>
    <row r="222" spans="1:22" x14ac:dyDescent="0.35">
      <c r="A222" s="49" t="s">
        <v>5</v>
      </c>
      <c r="B222" s="50">
        <v>0.52589988515043506</v>
      </c>
      <c r="C222" s="50">
        <v>2.0986301369863014</v>
      </c>
      <c r="D222" s="50">
        <f t="shared" si="18"/>
        <v>0.32193590517612924</v>
      </c>
      <c r="E222" s="50">
        <f>IF(Table2[[#This Row],[Geo Distance]]=0,0,LOG(Table2[[#This Row],[Geo Distance]]))</f>
        <v>2.2401247301685658</v>
      </c>
      <c r="F222" s="50">
        <f>IF(Table2[[#This Row],[Target age]]=0,0,LOG(Table2[[#This Row],[Target age]]))</f>
        <v>0.90308998699194354</v>
      </c>
      <c r="G222" s="59">
        <v>2.9</v>
      </c>
      <c r="H222" s="59">
        <f t="shared" si="19"/>
        <v>0.46239799789895608</v>
      </c>
      <c r="I222" s="60">
        <f>IF(Table2[[#This Row],[Culture]]=0,0,LOG(Table2[[#This Row],[Culture]]))</f>
        <v>2.4690852991231202</v>
      </c>
      <c r="J222" s="60">
        <f>LOG(1+Table2[[#This Row],[S&amp;P]])</f>
        <v>0.15228834438305647</v>
      </c>
      <c r="K222" s="50">
        <v>1.255272505103306</v>
      </c>
      <c r="L222" s="50">
        <v>70</v>
      </c>
      <c r="M222" s="50">
        <f t="shared" si="20"/>
        <v>1.8450980400142569</v>
      </c>
      <c r="N222" s="62">
        <v>36.299999999999997</v>
      </c>
      <c r="O222" s="62">
        <f t="shared" si="21"/>
        <v>1.5599066250361124</v>
      </c>
      <c r="P222" s="63">
        <v>44.332035658580502</v>
      </c>
      <c r="Q222" s="63">
        <f t="shared" si="22"/>
        <v>1.6467176738887899</v>
      </c>
      <c r="R222" s="50">
        <f>LOG(Table2[[#This Row],[generalist]])</f>
        <v>3.2103561131344809</v>
      </c>
      <c r="S222" s="50">
        <f>LOG(Table2[[#This Row],[country divers.]])</f>
        <v>3.6619768667491281</v>
      </c>
      <c r="T222" s="50">
        <f>LOG(Table2[[#This Row],[Firm Size]])</f>
        <v>7.3771901018415083</v>
      </c>
      <c r="U222">
        <v>2</v>
      </c>
      <c r="V222" s="137">
        <f t="shared" si="23"/>
        <v>1</v>
      </c>
    </row>
    <row r="223" spans="1:22" x14ac:dyDescent="0.35">
      <c r="A223" s="67" t="s">
        <v>5</v>
      </c>
      <c r="B223" s="52">
        <v>0.33871328580219212</v>
      </c>
      <c r="C223" s="52">
        <v>5.1726027397260275</v>
      </c>
      <c r="D223" s="50">
        <f t="shared" si="18"/>
        <v>0.71370912550557541</v>
      </c>
      <c r="E223" s="52">
        <f>IF(Table2[[#This Row],[Geo Distance]]=0,0,LOG(Table2[[#This Row],[Geo Distance]]))</f>
        <v>2.5530208611350047</v>
      </c>
      <c r="F223" s="52">
        <f>IF(Table2[[#This Row],[Target age]]=0,0,LOG(Table2[[#This Row],[Target age]]))</f>
        <v>1.8573324964312685</v>
      </c>
      <c r="G223" s="65">
        <v>3.16</v>
      </c>
      <c r="H223" s="59">
        <f t="shared" si="19"/>
        <v>0.49968708261840383</v>
      </c>
      <c r="I223" s="53">
        <f>IF(Table2[[#This Row],[Culture]]=0,0,LOG(Table2[[#This Row],[Culture]]))</f>
        <v>2.9872192299080047</v>
      </c>
      <c r="J223" s="53">
        <f>LOG(1+Table2[[#This Row],[S&amp;P]])</f>
        <v>-3.1517051446064911E-2</v>
      </c>
      <c r="K223" s="52">
        <v>0.69897000433601886</v>
      </c>
      <c r="L223" s="52">
        <v>88.4</v>
      </c>
      <c r="M223" s="50">
        <f t="shared" si="20"/>
        <v>1.9464522650130731</v>
      </c>
      <c r="N223" s="55">
        <v>35.700000000000003</v>
      </c>
      <c r="O223" s="62">
        <f t="shared" si="21"/>
        <v>1.5526682161121932</v>
      </c>
      <c r="P223" s="56">
        <v>42.337645557762798</v>
      </c>
      <c r="Q223" s="63">
        <f t="shared" si="22"/>
        <v>1.6267267027692975</v>
      </c>
      <c r="R223" s="52">
        <f>LOG(Table2[[#This Row],[generalist]])</f>
        <v>3.3438084825075891</v>
      </c>
      <c r="S223" s="52">
        <f>LOG(Table2[[#This Row],[country divers.]])</f>
        <v>3.8895205457872843</v>
      </c>
      <c r="T223" s="52">
        <f>LOG(Table2[[#This Row],[Firm Size]])</f>
        <v>7.9165592193011136</v>
      </c>
      <c r="U223">
        <v>5</v>
      </c>
      <c r="V223" s="137">
        <f t="shared" si="23"/>
        <v>1</v>
      </c>
    </row>
    <row r="224" spans="1:22" x14ac:dyDescent="0.35">
      <c r="A224" s="49" t="s">
        <v>5</v>
      </c>
      <c r="B224" s="50">
        <v>0.50218365862222958</v>
      </c>
      <c r="C224" s="50">
        <v>1.9150684931506849</v>
      </c>
      <c r="D224" s="50">
        <f t="shared" si="18"/>
        <v>0.28218431128920668</v>
      </c>
      <c r="E224" s="50">
        <f>IF(Table2[[#This Row],[Geo Distance]]=0,0,LOG(Table2[[#This Row],[Geo Distance]]))</f>
        <v>2.5530208611350047</v>
      </c>
      <c r="F224" s="50">
        <f>IF(Table2[[#This Row],[Target age]]=0,0,LOG(Table2[[#This Row],[Target age]]))</f>
        <v>0.84509804001425681</v>
      </c>
      <c r="G224" s="59">
        <v>3.16</v>
      </c>
      <c r="H224" s="59">
        <f t="shared" si="19"/>
        <v>0.49968708261840383</v>
      </c>
      <c r="I224" s="60">
        <f>IF(Table2[[#This Row],[Culture]]=0,0,LOG(Table2[[#This Row],[Culture]]))</f>
        <v>2.9872192299080047</v>
      </c>
      <c r="J224" s="60">
        <f>LOG(1+Table2[[#This Row],[S&amp;P]])</f>
        <v>7.9181246047624818E-2</v>
      </c>
      <c r="K224" s="50">
        <v>0.47712125471966244</v>
      </c>
      <c r="L224" s="50">
        <v>70</v>
      </c>
      <c r="M224" s="50">
        <f t="shared" si="20"/>
        <v>1.8450980400142569</v>
      </c>
      <c r="N224" s="62">
        <v>35</v>
      </c>
      <c r="O224" s="62">
        <f t="shared" si="21"/>
        <v>1.5440680443502757</v>
      </c>
      <c r="P224" s="63">
        <v>42.243452783984999</v>
      </c>
      <c r="Q224" s="63">
        <f t="shared" si="22"/>
        <v>1.625759408194035</v>
      </c>
      <c r="R224" s="50">
        <f>LOG(Table2[[#This Row],[generalist]])</f>
        <v>3.3438084825075891</v>
      </c>
      <c r="S224" s="50">
        <f>LOG(Table2[[#This Row],[country divers.]])</f>
        <v>3.8895205457872843</v>
      </c>
      <c r="T224" s="50">
        <f>LOG(Table2[[#This Row],[Firm Size]])</f>
        <v>7.4814426285023048</v>
      </c>
      <c r="U224">
        <v>6</v>
      </c>
      <c r="V224" s="137">
        <f t="shared" si="23"/>
        <v>1</v>
      </c>
    </row>
    <row r="225" spans="1:22" x14ac:dyDescent="0.35">
      <c r="A225" s="67" t="s">
        <v>5</v>
      </c>
      <c r="B225" s="52">
        <v>0.11778629856151522</v>
      </c>
      <c r="C225" s="52">
        <v>5.2712328767123289</v>
      </c>
      <c r="D225" s="50">
        <f t="shared" si="18"/>
        <v>0.72191220324531946</v>
      </c>
      <c r="E225" s="52">
        <f>IF(Table2[[#This Row],[Geo Distance]]=0,0,LOG(Table2[[#This Row],[Geo Distance]]))</f>
        <v>3.791612763704681</v>
      </c>
      <c r="F225" s="52">
        <f>IF(Table2[[#This Row],[Target age]]=0,0,LOG(Table2[[#This Row],[Target age]]))</f>
        <v>1.1760912590556813</v>
      </c>
      <c r="G225" s="65">
        <v>2.72</v>
      </c>
      <c r="H225" s="59">
        <f t="shared" si="19"/>
        <v>0.43456890403419873</v>
      </c>
      <c r="I225" s="53">
        <f>IF(Table2[[#This Row],[Culture]]=0,0,LOG(Table2[[#This Row],[Culture]]))</f>
        <v>3.0351628085621898</v>
      </c>
      <c r="J225" s="53">
        <f>LOG(1+Table2[[#This Row],[S&amp;P]])</f>
        <v>0.21748394421390627</v>
      </c>
      <c r="K225" s="52">
        <v>1.414973347970818</v>
      </c>
      <c r="L225" s="52">
        <v>82.6</v>
      </c>
      <c r="M225" s="50">
        <f t="shared" si="20"/>
        <v>1.9169800473203822</v>
      </c>
      <c r="N225" s="55">
        <v>35.700000000000003</v>
      </c>
      <c r="O225" s="62">
        <f t="shared" si="21"/>
        <v>1.5526682161121932</v>
      </c>
      <c r="P225" s="56">
        <v>47.863614247473699</v>
      </c>
      <c r="Q225" s="63">
        <f t="shared" si="22"/>
        <v>1.6800054896904866</v>
      </c>
      <c r="R225" s="52">
        <f>LOG(Table2[[#This Row],[generalist]])</f>
        <v>3.20911860699078</v>
      </c>
      <c r="S225" s="52">
        <f>LOG(Table2[[#This Row],[country divers.]])</f>
        <v>3.5849986651910224</v>
      </c>
      <c r="T225" s="52">
        <f>LOG(Table2[[#This Row],[Firm Size]])</f>
        <v>8.8129133566428557</v>
      </c>
      <c r="U225">
        <v>8</v>
      </c>
      <c r="V225" s="137">
        <f t="shared" si="23"/>
        <v>1</v>
      </c>
    </row>
    <row r="226" spans="1:22" x14ac:dyDescent="0.35">
      <c r="A226" s="49" t="s">
        <v>5</v>
      </c>
      <c r="B226" s="50">
        <v>0.34242268082220628</v>
      </c>
      <c r="C226" s="50">
        <v>4.8301369863013699</v>
      </c>
      <c r="D226" s="50">
        <f t="shared" si="18"/>
        <v>0.68395944784284735</v>
      </c>
      <c r="E226" s="50">
        <f>IF(Table2[[#This Row],[Geo Distance]]=0,0,LOG(Table2[[#This Row],[Geo Distance]]))</f>
        <v>3.791612763704681</v>
      </c>
      <c r="F226" s="50">
        <f>IF(Table2[[#This Row],[Target age]]=0,0,LOG(Table2[[#This Row],[Target age]]))</f>
        <v>1.9138138523837167</v>
      </c>
      <c r="G226" s="59">
        <v>2.72</v>
      </c>
      <c r="H226" s="59">
        <f t="shared" si="19"/>
        <v>0.43456890403419873</v>
      </c>
      <c r="I226" s="60">
        <f>IF(Table2[[#This Row],[Culture]]=0,0,LOG(Table2[[#This Row],[Culture]]))</f>
        <v>3.0351628085621898</v>
      </c>
      <c r="J226" s="60">
        <f>LOG(1+Table2[[#This Row],[S&amp;P]])</f>
        <v>0.24551266781414982</v>
      </c>
      <c r="K226" s="50">
        <v>1.2787536009528289</v>
      </c>
      <c r="L226" s="50">
        <v>70</v>
      </c>
      <c r="M226" s="50">
        <f t="shared" si="20"/>
        <v>1.8450980400142569</v>
      </c>
      <c r="N226" s="62">
        <v>34.799999999999997</v>
      </c>
      <c r="O226" s="62">
        <f t="shared" si="21"/>
        <v>1.541579243946581</v>
      </c>
      <c r="P226" s="63">
        <v>44.539498059710198</v>
      </c>
      <c r="Q226" s="63">
        <f t="shared" si="22"/>
        <v>1.6487453184203718</v>
      </c>
      <c r="R226" s="50">
        <f>LOG(Table2[[#This Row],[generalist]])</f>
        <v>3.20911860699078</v>
      </c>
      <c r="S226" s="50">
        <f>LOG(Table2[[#This Row],[country divers.]])</f>
        <v>3.5849986651910224</v>
      </c>
      <c r="T226" s="50">
        <f>LOG(Table2[[#This Row],[Firm Size]])</f>
        <v>9</v>
      </c>
      <c r="U226">
        <v>8</v>
      </c>
      <c r="V226" s="137">
        <f t="shared" si="23"/>
        <v>1</v>
      </c>
    </row>
    <row r="227" spans="1:22" x14ac:dyDescent="0.35">
      <c r="A227" s="67" t="s">
        <v>5</v>
      </c>
      <c r="B227" s="52">
        <v>0.15490195998574319</v>
      </c>
      <c r="C227" s="52">
        <v>5.2438356164383562</v>
      </c>
      <c r="D227" s="50">
        <f t="shared" si="18"/>
        <v>0.7196490689843501</v>
      </c>
      <c r="E227" s="52">
        <f>IF(Table2[[#This Row],[Geo Distance]]=0,0,LOG(Table2[[#This Row],[Geo Distance]]))</f>
        <v>3.791612763704681</v>
      </c>
      <c r="F227" s="52">
        <f>IF(Table2[[#This Row],[Target age]]=0,0,LOG(Table2[[#This Row],[Target age]]))</f>
        <v>0</v>
      </c>
      <c r="G227" s="65">
        <v>2.72</v>
      </c>
      <c r="H227" s="59">
        <f t="shared" si="19"/>
        <v>0.43456890403419873</v>
      </c>
      <c r="I227" s="53">
        <f>IF(Table2[[#This Row],[Culture]]=0,0,LOG(Table2[[#This Row],[Culture]]))</f>
        <v>3.0351628085621898</v>
      </c>
      <c r="J227" s="53">
        <f>LOG(1+Table2[[#This Row],[S&amp;P]])</f>
        <v>0.16435285578443709</v>
      </c>
      <c r="K227" s="52">
        <v>0.95424250943932487</v>
      </c>
      <c r="L227" s="52">
        <v>85</v>
      </c>
      <c r="M227" s="50">
        <f t="shared" si="20"/>
        <v>1.9294189257142926</v>
      </c>
      <c r="N227" s="55">
        <v>37.299999999999997</v>
      </c>
      <c r="O227" s="62">
        <f t="shared" si="21"/>
        <v>1.5717088318086876</v>
      </c>
      <c r="P227" s="56">
        <v>46.9693144722524</v>
      </c>
      <c r="Q227" s="63">
        <f t="shared" si="22"/>
        <v>1.6718142216035041</v>
      </c>
      <c r="R227" s="52">
        <f>LOG(Table2[[#This Row],[generalist]])</f>
        <v>3.3151244779693188</v>
      </c>
      <c r="S227" s="52">
        <f>LOG(Table2[[#This Row],[country divers.]])</f>
        <v>3.8475683751239629</v>
      </c>
      <c r="T227" s="52">
        <f>LOG(Table2[[#This Row],[Firm Size]])</f>
        <v>8.3222192947339195</v>
      </c>
      <c r="U227">
        <v>1</v>
      </c>
      <c r="V227" s="137">
        <f t="shared" si="23"/>
        <v>1</v>
      </c>
    </row>
    <row r="228" spans="1:22" x14ac:dyDescent="0.35">
      <c r="A228" s="49" t="s">
        <v>5</v>
      </c>
      <c r="B228" s="50">
        <v>0.13127891463931898</v>
      </c>
      <c r="C228" s="50">
        <v>2.6657534246575341</v>
      </c>
      <c r="D228" s="50">
        <f t="shared" si="18"/>
        <v>0.42581997581187719</v>
      </c>
      <c r="E228" s="50">
        <f>IF(Table2[[#This Row],[Geo Distance]]=0,0,LOG(Table2[[#This Row],[Geo Distance]]))</f>
        <v>3.791612763704681</v>
      </c>
      <c r="F228" s="50">
        <f>IF(Table2[[#This Row],[Target age]]=0,0,LOG(Table2[[#This Row],[Target age]]))</f>
        <v>0</v>
      </c>
      <c r="G228" s="59">
        <v>2.72</v>
      </c>
      <c r="H228" s="59">
        <f t="shared" si="19"/>
        <v>0.43456890403419873</v>
      </c>
      <c r="I228" s="60">
        <f>IF(Table2[[#This Row],[Culture]]=0,0,LOG(Table2[[#This Row],[Culture]]))</f>
        <v>3.0351628085621898</v>
      </c>
      <c r="J228" s="60">
        <f>LOG(1+Table2[[#This Row],[S&amp;P]])</f>
        <v>8.6359830674748214E-2</v>
      </c>
      <c r="K228" s="50">
        <v>1.5563025007672873</v>
      </c>
      <c r="L228" s="50">
        <v>89.7</v>
      </c>
      <c r="M228" s="50">
        <f t="shared" si="20"/>
        <v>1.9527924430440922</v>
      </c>
      <c r="N228" s="62">
        <v>37</v>
      </c>
      <c r="O228" s="62">
        <f t="shared" si="21"/>
        <v>1.568201724066995</v>
      </c>
      <c r="P228" s="63">
        <v>45.741556971826803</v>
      </c>
      <c r="Q228" s="63">
        <f t="shared" si="22"/>
        <v>1.660310943234538</v>
      </c>
      <c r="R228" s="50">
        <f>LOG(Table2[[#This Row],[generalist]])</f>
        <v>3.3075667315086759</v>
      </c>
      <c r="S228" s="50">
        <f>LOG(Table2[[#This Row],[country divers.]])</f>
        <v>3.8308810053047755</v>
      </c>
      <c r="T228" s="50">
        <f>LOG(Table2[[#This Row],[Firm Size]])</f>
        <v>9.2304489213782741</v>
      </c>
      <c r="U228">
        <v>8</v>
      </c>
      <c r="V228" s="137">
        <f t="shared" si="23"/>
        <v>1</v>
      </c>
    </row>
    <row r="229" spans="1:22" x14ac:dyDescent="0.35">
      <c r="A229" s="67" t="s">
        <v>5</v>
      </c>
      <c r="B229" s="52">
        <v>0.29559965097806595</v>
      </c>
      <c r="C229" s="52">
        <v>3.0657534246575344</v>
      </c>
      <c r="D229" s="50">
        <f t="shared" si="18"/>
        <v>0.48653722207187539</v>
      </c>
      <c r="E229" s="52">
        <f>IF(Table2[[#This Row],[Geo Distance]]=0,0,LOG(Table2[[#This Row],[Geo Distance]]))</f>
        <v>3.791612763704681</v>
      </c>
      <c r="F229" s="52">
        <f>IF(Table2[[#This Row],[Target age]]=0,0,LOG(Table2[[#This Row],[Target age]]))</f>
        <v>2.0453229787866576</v>
      </c>
      <c r="G229" s="65">
        <v>2.72</v>
      </c>
      <c r="H229" s="59">
        <f t="shared" si="19"/>
        <v>0.43456890403419873</v>
      </c>
      <c r="I229" s="53">
        <f>IF(Table2[[#This Row],[Culture]]=0,0,LOG(Table2[[#This Row],[Culture]]))</f>
        <v>3.0351628085621898</v>
      </c>
      <c r="J229" s="53">
        <f>LOG(1+Table2[[#This Row],[S&amp;P]])</f>
        <v>-6.0480747381381476E-2</v>
      </c>
      <c r="K229" s="52">
        <v>1.2041199826559248</v>
      </c>
      <c r="L229" s="52">
        <v>70</v>
      </c>
      <c r="M229" s="50">
        <f t="shared" si="20"/>
        <v>1.8450980400142569</v>
      </c>
      <c r="N229" s="55">
        <v>36.9</v>
      </c>
      <c r="O229" s="62">
        <f t="shared" si="21"/>
        <v>1.5670263661590604</v>
      </c>
      <c r="P229" s="56">
        <v>42.177001683602199</v>
      </c>
      <c r="Q229" s="63">
        <f t="shared" si="22"/>
        <v>1.6250757029864513</v>
      </c>
      <c r="R229" s="52">
        <f>LOG(Table2[[#This Row],[generalist]])</f>
        <v>3.6224784109972026</v>
      </c>
      <c r="S229" s="52">
        <f>LOG(Table2[[#This Row],[country divers.]])</f>
        <v>3.7852505485064163</v>
      </c>
      <c r="T229" s="52">
        <f>LOG(Table2[[#This Row],[Firm Size]])</f>
        <v>7.8704463376399296</v>
      </c>
      <c r="U229">
        <v>1</v>
      </c>
      <c r="V229" s="137">
        <f t="shared" si="23"/>
        <v>1</v>
      </c>
    </row>
    <row r="230" spans="1:22" x14ac:dyDescent="0.35">
      <c r="A230" s="49" t="s">
        <v>5</v>
      </c>
      <c r="B230" s="50">
        <v>-0.15050885164204009</v>
      </c>
      <c r="C230" s="50">
        <v>5.0383561643835613</v>
      </c>
      <c r="D230" s="50">
        <f t="shared" si="18"/>
        <v>0.70228886478160268</v>
      </c>
      <c r="E230" s="50">
        <f>IF(Table2[[#This Row],[Geo Distance]]=0,0,LOG(Table2[[#This Row],[Geo Distance]]))</f>
        <v>3.791612763704681</v>
      </c>
      <c r="F230" s="50">
        <f>IF(Table2[[#This Row],[Target age]]=0,0,LOG(Table2[[#This Row],[Target age]]))</f>
        <v>0.69897000433601886</v>
      </c>
      <c r="G230" s="59">
        <v>2.72</v>
      </c>
      <c r="H230" s="59">
        <f t="shared" si="19"/>
        <v>0.43456890403419873</v>
      </c>
      <c r="I230" s="60">
        <f>IF(Table2[[#This Row],[Culture]]=0,0,LOG(Table2[[#This Row],[Culture]]))</f>
        <v>3.0351628085621898</v>
      </c>
      <c r="J230" s="60">
        <f>LOG(1+Table2[[#This Row],[S&amp;P]])</f>
        <v>0.22271647114758325</v>
      </c>
      <c r="K230" s="50">
        <v>1.0791812460476249</v>
      </c>
      <c r="L230" s="50">
        <v>83</v>
      </c>
      <c r="M230" s="50">
        <f t="shared" si="20"/>
        <v>1.919078092376074</v>
      </c>
      <c r="N230" s="62">
        <v>36.1</v>
      </c>
      <c r="O230" s="62">
        <f t="shared" si="21"/>
        <v>1.5575072019056579</v>
      </c>
      <c r="P230" s="63">
        <v>46.521758221126703</v>
      </c>
      <c r="Q230" s="63">
        <f t="shared" si="22"/>
        <v>1.6676561198849535</v>
      </c>
      <c r="R230" s="50">
        <f>LOG(Table2[[#This Row],[generalist]])</f>
        <v>3.1630287862164392</v>
      </c>
      <c r="S230" s="50">
        <f>LOG(Table2[[#This Row],[country divers.]])</f>
        <v>3.8199093495153855</v>
      </c>
      <c r="T230" s="50">
        <f>LOG(Table2[[#This Row],[Firm Size]])</f>
        <v>8.3408405498123308</v>
      </c>
      <c r="U230">
        <v>3</v>
      </c>
      <c r="V230" s="137">
        <f t="shared" si="23"/>
        <v>1</v>
      </c>
    </row>
    <row r="231" spans="1:22" x14ac:dyDescent="0.35">
      <c r="A231" s="67" t="s">
        <v>5</v>
      </c>
      <c r="B231" s="52">
        <v>0.51850866474122814</v>
      </c>
      <c r="C231" s="52">
        <v>4</v>
      </c>
      <c r="D231" s="50">
        <f t="shared" si="18"/>
        <v>0.6020599913279624</v>
      </c>
      <c r="E231" s="52">
        <f>IF(Table2[[#This Row],[Geo Distance]]=0,0,LOG(Table2[[#This Row],[Geo Distance]]))</f>
        <v>2.5530208611350047</v>
      </c>
      <c r="F231" s="52">
        <f>IF(Table2[[#This Row],[Target age]]=0,0,LOG(Table2[[#This Row],[Target age]]))</f>
        <v>1.0413926851582251</v>
      </c>
      <c r="G231" s="65">
        <v>3.16</v>
      </c>
      <c r="H231" s="59">
        <f t="shared" si="19"/>
        <v>0.49968708261840383</v>
      </c>
      <c r="I231" s="53">
        <f>IF(Table2[[#This Row],[Culture]]=0,0,LOG(Table2[[#This Row],[Culture]]))</f>
        <v>2.9872192299080047</v>
      </c>
      <c r="J231" s="53">
        <f>LOG(1+Table2[[#This Row],[S&amp;P]])</f>
        <v>-6.5501548756432285E-2</v>
      </c>
      <c r="K231" s="52">
        <v>1.2041199826559248</v>
      </c>
      <c r="L231" s="52">
        <v>70</v>
      </c>
      <c r="M231" s="50">
        <f t="shared" si="20"/>
        <v>1.8450980400142569</v>
      </c>
      <c r="N231" s="55">
        <v>36.9</v>
      </c>
      <c r="O231" s="62">
        <f t="shared" si="21"/>
        <v>1.5670263661590604</v>
      </c>
      <c r="P231" s="56">
        <v>42.177001683602199</v>
      </c>
      <c r="Q231" s="63">
        <f t="shared" si="22"/>
        <v>1.6250757029864513</v>
      </c>
      <c r="R231" s="52">
        <f>LOG(Table2[[#This Row],[generalist]])</f>
        <v>3.2555397552391718</v>
      </c>
      <c r="S231" s="52">
        <f>LOG(Table2[[#This Row],[country divers.]])</f>
        <v>3.9251377713585649</v>
      </c>
      <c r="T231" s="52">
        <f>LOG(Table2[[#This Row],[Firm Size]])</f>
        <v>7.8588378514285857</v>
      </c>
      <c r="U231">
        <v>9</v>
      </c>
      <c r="V231" s="137">
        <f t="shared" si="23"/>
        <v>1</v>
      </c>
    </row>
    <row r="232" spans="1:22" x14ac:dyDescent="0.35">
      <c r="A232" s="49" t="s">
        <v>5</v>
      </c>
      <c r="B232" s="50">
        <v>0.3127683989352254</v>
      </c>
      <c r="C232" s="50">
        <v>3.8301369863013699</v>
      </c>
      <c r="D232" s="50">
        <f t="shared" si="18"/>
        <v>0.58321430695318788</v>
      </c>
      <c r="E232" s="50">
        <f>IF(Table2[[#This Row],[Geo Distance]]=0,0,LOG(Table2[[#This Row],[Geo Distance]]))</f>
        <v>2.5530208611350047</v>
      </c>
      <c r="F232" s="50">
        <f>IF(Table2[[#This Row],[Target age]]=0,0,LOG(Table2[[#This Row],[Target age]]))</f>
        <v>1.4913616938342726</v>
      </c>
      <c r="G232" s="59">
        <v>3.16</v>
      </c>
      <c r="H232" s="59">
        <f t="shared" si="19"/>
        <v>0.49968708261840383</v>
      </c>
      <c r="I232" s="60">
        <f>IF(Table2[[#This Row],[Culture]]=0,0,LOG(Table2[[#This Row],[Culture]]))</f>
        <v>2.9872192299080047</v>
      </c>
      <c r="J232" s="60">
        <f>LOG(1+Table2[[#This Row],[S&amp;P]])</f>
        <v>0.12710479836480765</v>
      </c>
      <c r="K232" s="50">
        <v>1.6627578316815741</v>
      </c>
      <c r="L232" s="50">
        <v>84.3</v>
      </c>
      <c r="M232" s="50">
        <f t="shared" si="20"/>
        <v>1.9258275746247424</v>
      </c>
      <c r="N232" s="62">
        <v>37</v>
      </c>
      <c r="O232" s="62">
        <f t="shared" si="21"/>
        <v>1.568201724066995</v>
      </c>
      <c r="P232" s="63">
        <v>44.611946528156203</v>
      </c>
      <c r="Q232" s="63">
        <f t="shared" si="22"/>
        <v>1.6494511729836956</v>
      </c>
      <c r="R232" s="50">
        <f>LOG(Table2[[#This Row],[generalist]])</f>
        <v>3.2528486942934638</v>
      </c>
      <c r="S232" s="50">
        <f>LOG(Table2[[#This Row],[country divers.]])</f>
        <v>3.6102804432713853</v>
      </c>
      <c r="T232" s="50">
        <f>LOG(Table2[[#This Row],[Firm Size]])</f>
        <v>8.8633228601204568</v>
      </c>
      <c r="U232">
        <v>9</v>
      </c>
      <c r="V232" s="137">
        <f t="shared" si="23"/>
        <v>1</v>
      </c>
    </row>
    <row r="233" spans="1:22" x14ac:dyDescent="0.35">
      <c r="A233" s="51" t="s">
        <v>1</v>
      </c>
      <c r="B233" s="52">
        <v>1.3528413607722642</v>
      </c>
      <c r="C233" s="52">
        <v>7.86027397260274</v>
      </c>
      <c r="D233" s="50">
        <f t="shared" si="18"/>
        <v>0.89543768378952371</v>
      </c>
      <c r="E233" s="52">
        <f>IF(Table2[[#This Row],[Geo Distance]]=0,0,LOG(Table2[[#This Row],[Geo Distance]]))</f>
        <v>0</v>
      </c>
      <c r="F233" s="52">
        <f>IF(Table2[[#This Row],[Target age]]=0,0,LOG(Table2[[#This Row],[Target age]]))</f>
        <v>2.2227164711475833</v>
      </c>
      <c r="G233" s="65">
        <v>3.42</v>
      </c>
      <c r="H233" s="59">
        <f t="shared" si="19"/>
        <v>0.53402610605613499</v>
      </c>
      <c r="I233" s="53">
        <f>IF(Table2[[#This Row],[Culture]]=0,0,LOG(Table2[[#This Row],[Culture]]))</f>
        <v>0</v>
      </c>
      <c r="J233" s="53">
        <f>LOG(1+Table2[[#This Row],[S&amp;P]])</f>
        <v>0.11727129565576427</v>
      </c>
      <c r="K233" s="52">
        <v>0.3010299956639812</v>
      </c>
      <c r="L233" s="52">
        <v>70</v>
      </c>
      <c r="M233" s="50">
        <f t="shared" si="20"/>
        <v>1.8450980400142569</v>
      </c>
      <c r="N233" s="55">
        <v>42.6</v>
      </c>
      <c r="O233" s="62">
        <f t="shared" si="21"/>
        <v>1.6294095991027189</v>
      </c>
      <c r="P233" s="56">
        <v>42.063871143552703</v>
      </c>
      <c r="Q233" s="63">
        <f t="shared" si="22"/>
        <v>1.6239092383674194</v>
      </c>
      <c r="R233" s="52">
        <f>LOG(Table2[[#This Row],[generalist]])</f>
        <v>3.3222069919483515</v>
      </c>
      <c r="S233" s="52">
        <f>LOG(Table2[[#This Row],[country divers.]])</f>
        <v>3.9577021302433337</v>
      </c>
      <c r="T233" s="84">
        <f>LOG(Table2[[#This Row],[Firm Size]])</f>
        <v>7.6352826379982117</v>
      </c>
      <c r="U233">
        <v>5</v>
      </c>
      <c r="V233" s="137">
        <f t="shared" si="23"/>
        <v>0</v>
      </c>
    </row>
    <row r="234" spans="1:22" x14ac:dyDescent="0.35">
      <c r="A234" s="49" t="s">
        <v>1</v>
      </c>
      <c r="B234" s="50">
        <v>0.22606403032051303</v>
      </c>
      <c r="C234" s="50">
        <v>5.8794520547945206</v>
      </c>
      <c r="D234" s="50">
        <f t="shared" si="18"/>
        <v>0.76933685317345757</v>
      </c>
      <c r="E234" s="50">
        <f>IF(Table2[[#This Row],[Geo Distance]]=0,0,LOG(Table2[[#This Row],[Geo Distance]]))</f>
        <v>2.6198547660331819</v>
      </c>
      <c r="F234" s="50">
        <f>IF(Table2[[#This Row],[Target age]]=0,0,LOG(Table2[[#This Row],[Target age]]))</f>
        <v>1.0413926851582251</v>
      </c>
      <c r="G234" s="59">
        <v>3.65</v>
      </c>
      <c r="H234" s="59">
        <f t="shared" si="19"/>
        <v>0.56229286445647475</v>
      </c>
      <c r="I234" s="60">
        <f>IF(Table2[[#This Row],[Culture]]=0,0,LOG(Table2[[#This Row],[Culture]]))</f>
        <v>2.3381243371968998</v>
      </c>
      <c r="J234" s="60">
        <f>LOG(1+Table2[[#This Row],[S&amp;P]])</f>
        <v>0.2944662261615929</v>
      </c>
      <c r="K234" s="50">
        <v>1.255272505103306</v>
      </c>
      <c r="L234" s="50">
        <v>88.4</v>
      </c>
      <c r="M234" s="50">
        <f t="shared" si="20"/>
        <v>1.9464522650130731</v>
      </c>
      <c r="N234" s="62">
        <v>41.5</v>
      </c>
      <c r="O234" s="62">
        <f t="shared" si="21"/>
        <v>1.6180480967120927</v>
      </c>
      <c r="P234" s="63">
        <v>42.888893081396603</v>
      </c>
      <c r="Q234" s="63">
        <f t="shared" si="22"/>
        <v>1.6323448376859169</v>
      </c>
      <c r="R234" s="50">
        <f>LOG(Table2[[#This Row],[generalist]])</f>
        <v>3.1616209089088487</v>
      </c>
      <c r="S234" s="50">
        <f>LOG(Table2[[#This Row],[country divers.]])</f>
        <v>3.7997633234477775</v>
      </c>
      <c r="T234" s="50">
        <f>LOG(Table2[[#This Row],[Firm Size]])</f>
        <v>8.4173886461656746</v>
      </c>
      <c r="U234">
        <v>4</v>
      </c>
      <c r="V234" s="137">
        <f t="shared" si="23"/>
        <v>1</v>
      </c>
    </row>
    <row r="235" spans="1:22" x14ac:dyDescent="0.35">
      <c r="A235" s="67" t="s">
        <v>1</v>
      </c>
      <c r="B235" s="52">
        <v>0.26556229421670802</v>
      </c>
      <c r="C235" s="52">
        <v>3.4602739726027396</v>
      </c>
      <c r="D235" s="50">
        <f t="shared" si="18"/>
        <v>0.53911048609885603</v>
      </c>
      <c r="E235" s="52">
        <f>IF(Table2[[#This Row],[Geo Distance]]=0,0,LOG(Table2[[#This Row],[Geo Distance]]))</f>
        <v>2.6198547660331819</v>
      </c>
      <c r="F235" s="52">
        <f>IF(Table2[[#This Row],[Target age]]=0,0,LOG(Table2[[#This Row],[Target age]]))</f>
        <v>1.1760912590556813</v>
      </c>
      <c r="G235" s="65">
        <v>3.65</v>
      </c>
      <c r="H235" s="59">
        <f t="shared" si="19"/>
        <v>0.56229286445647475</v>
      </c>
      <c r="I235" s="53">
        <f>IF(Table2[[#This Row],[Culture]]=0,0,LOG(Table2[[#This Row],[Culture]]))</f>
        <v>2.3381243371968998</v>
      </c>
      <c r="J235" s="53">
        <f>LOG(1+Table2[[#This Row],[S&amp;P]])</f>
        <v>2.9383777685209667E-2</v>
      </c>
      <c r="K235" s="52">
        <v>1.0791812460476249</v>
      </c>
      <c r="L235" s="52">
        <v>70</v>
      </c>
      <c r="M235" s="50">
        <f t="shared" si="20"/>
        <v>1.8450980400142569</v>
      </c>
      <c r="N235" s="55">
        <v>42.1</v>
      </c>
      <c r="O235" s="62">
        <f t="shared" si="21"/>
        <v>1.6242820958356683</v>
      </c>
      <c r="P235" s="56">
        <v>43.801966655694599</v>
      </c>
      <c r="Q235" s="63">
        <f t="shared" si="22"/>
        <v>1.6414936102424893</v>
      </c>
      <c r="R235" s="52">
        <f>LOG(Table2[[#This Row],[generalist]])</f>
        <v>3.212261842580872</v>
      </c>
      <c r="S235" s="52">
        <f>LOG(Table2[[#This Row],[country divers.]])</f>
        <v>3.9329492300777744</v>
      </c>
      <c r="T235" s="52">
        <f>LOG(Table2[[#This Row],[Firm Size]])</f>
        <v>8.213950393578326</v>
      </c>
      <c r="U235">
        <v>2</v>
      </c>
      <c r="V235" s="137">
        <f t="shared" si="23"/>
        <v>1</v>
      </c>
    </row>
    <row r="236" spans="1:22" x14ac:dyDescent="0.35">
      <c r="A236" s="49" t="s">
        <v>1</v>
      </c>
      <c r="B236" s="50">
        <v>0.76929065710878552</v>
      </c>
      <c r="C236" s="50">
        <v>10.731506849315069</v>
      </c>
      <c r="D236" s="50">
        <f t="shared" si="18"/>
        <v>1.0306607070913911</v>
      </c>
      <c r="E236" s="50">
        <f>IF(Table2[[#This Row],[Geo Distance]]=0,0,LOG(Table2[[#This Row],[Geo Distance]]))</f>
        <v>2.6198547660331819</v>
      </c>
      <c r="F236" s="50">
        <f>IF(Table2[[#This Row],[Target age]]=0,0,LOG(Table2[[#This Row],[Target age]]))</f>
        <v>2.0253058652647704</v>
      </c>
      <c r="G236" s="59">
        <v>3.65</v>
      </c>
      <c r="H236" s="59">
        <f t="shared" si="19"/>
        <v>0.56229286445647475</v>
      </c>
      <c r="I236" s="60">
        <f>IF(Table2[[#This Row],[Culture]]=0,0,LOG(Table2[[#This Row],[Culture]]))</f>
        <v>2.3381243371968998</v>
      </c>
      <c r="J236" s="60">
        <f>LOG(1+Table2[[#This Row],[S&amp;P]])</f>
        <v>0.24054924828259971</v>
      </c>
      <c r="K236" s="50">
        <v>0</v>
      </c>
      <c r="L236" s="50">
        <v>70</v>
      </c>
      <c r="M236" s="50">
        <f t="shared" si="20"/>
        <v>1.8450980400142569</v>
      </c>
      <c r="N236" s="62">
        <v>42.4</v>
      </c>
      <c r="O236" s="62">
        <f t="shared" si="21"/>
        <v>1.6273658565927327</v>
      </c>
      <c r="P236" s="63">
        <v>44.9782573439335</v>
      </c>
      <c r="Q236" s="63">
        <f t="shared" si="22"/>
        <v>1.6530026249418825</v>
      </c>
      <c r="R236" s="50">
        <f>LOG(Table2[[#This Row],[generalist]])</f>
        <v>3.1884249941294067</v>
      </c>
      <c r="S236" s="50">
        <f>LOG(Table2[[#This Row],[country divers.]])</f>
        <v>3.9391261945252749</v>
      </c>
      <c r="T236" s="50">
        <f>LOG(Table2[[#This Row],[Firm Size]])</f>
        <v>8.2951673321181332</v>
      </c>
      <c r="U236">
        <v>6</v>
      </c>
      <c r="V236" s="137">
        <f t="shared" si="23"/>
        <v>1</v>
      </c>
    </row>
    <row r="237" spans="1:22" x14ac:dyDescent="0.35">
      <c r="A237" s="67" t="s">
        <v>1</v>
      </c>
      <c r="B237" s="52">
        <v>0.20885920560465057</v>
      </c>
      <c r="C237" s="52">
        <v>1.821917808219178</v>
      </c>
      <c r="D237" s="50">
        <f t="shared" si="18"/>
        <v>0.26052878084662989</v>
      </c>
      <c r="E237" s="52">
        <f>IF(Table2[[#This Row],[Geo Distance]]=0,0,LOG(Table2[[#This Row],[Geo Distance]]))</f>
        <v>3.0621644096256042</v>
      </c>
      <c r="F237" s="52">
        <f>IF(Table2[[#This Row],[Target age]]=0,0,LOG(Table2[[#This Row],[Target age]]))</f>
        <v>1.568201724066995</v>
      </c>
      <c r="G237" s="65">
        <v>3.06</v>
      </c>
      <c r="H237" s="59">
        <f t="shared" si="19"/>
        <v>0.48572142648158001</v>
      </c>
      <c r="I237" s="53">
        <f>IF(Table2[[#This Row],[Culture]]=0,0,LOG(Table2[[#This Row],[Culture]]))</f>
        <v>2.8708913837025327</v>
      </c>
      <c r="J237" s="53">
        <f>LOG(1+Table2[[#This Row],[S&amp;P]])</f>
        <v>5.6904851336472641E-2</v>
      </c>
      <c r="K237" s="52">
        <v>1.414973347970818</v>
      </c>
      <c r="L237" s="52">
        <v>91.4</v>
      </c>
      <c r="M237" s="50">
        <f t="shared" si="20"/>
        <v>1.9609461957338314</v>
      </c>
      <c r="N237" s="55">
        <v>42.8</v>
      </c>
      <c r="O237" s="62">
        <f t="shared" si="21"/>
        <v>1.631443769013172</v>
      </c>
      <c r="P237" s="56">
        <v>40.8082924662531</v>
      </c>
      <c r="Q237" s="63">
        <f t="shared" si="22"/>
        <v>1.6107484230506914</v>
      </c>
      <c r="R237" s="52">
        <f>LOG(Table2[[#This Row],[generalist]])</f>
        <v>3.2327651641054547</v>
      </c>
      <c r="S237" s="52">
        <f>LOG(Table2[[#This Row],[country divers.]])</f>
        <v>3.9527244147731087</v>
      </c>
      <c r="T237" s="52">
        <f>LOG(Table2[[#This Row],[Firm Size]])</f>
        <v>8.653212513775344</v>
      </c>
      <c r="U237">
        <v>4</v>
      </c>
      <c r="V237" s="137">
        <f t="shared" si="23"/>
        <v>1</v>
      </c>
    </row>
    <row r="238" spans="1:22" x14ac:dyDescent="0.35">
      <c r="A238" s="49" t="s">
        <v>1</v>
      </c>
      <c r="B238" s="50">
        <v>0.24539996693467084</v>
      </c>
      <c r="C238" s="50">
        <v>7.4246575342465757</v>
      </c>
      <c r="D238" s="50">
        <f t="shared" si="18"/>
        <v>0.87067642641793108</v>
      </c>
      <c r="E238" s="50">
        <f>IF(Table2[[#This Row],[Geo Distance]]=0,0,LOG(Table2[[#This Row],[Geo Distance]]))</f>
        <v>0</v>
      </c>
      <c r="F238" s="50">
        <f>IF(Table2[[#This Row],[Target age]]=0,0,LOG(Table2[[#This Row],[Target age]]))</f>
        <v>1.0791812460476249</v>
      </c>
      <c r="G238" s="59">
        <v>3.42</v>
      </c>
      <c r="H238" s="59">
        <f t="shared" si="19"/>
        <v>0.53402610605613499</v>
      </c>
      <c r="I238" s="60">
        <f>IF(Table2[[#This Row],[Culture]]=0,0,LOG(Table2[[#This Row],[Culture]]))</f>
        <v>0</v>
      </c>
      <c r="J238" s="60">
        <f>LOG(1+Table2[[#This Row],[S&amp;P]])</f>
        <v>8.9905111439397931E-2</v>
      </c>
      <c r="K238" s="50">
        <v>1.1760912590556813</v>
      </c>
      <c r="L238" s="50">
        <v>70</v>
      </c>
      <c r="M238" s="50">
        <f t="shared" si="20"/>
        <v>1.8450980400142569</v>
      </c>
      <c r="N238" s="62">
        <v>42.4</v>
      </c>
      <c r="O238" s="62">
        <f t="shared" si="21"/>
        <v>1.6273658565927327</v>
      </c>
      <c r="P238" s="63">
        <v>44.9782573439335</v>
      </c>
      <c r="Q238" s="63">
        <f t="shared" si="22"/>
        <v>1.6530026249418825</v>
      </c>
      <c r="R238" s="50">
        <f>LOG(Table2[[#This Row],[generalist]])</f>
        <v>3.277819633965128</v>
      </c>
      <c r="S238" s="50">
        <f>LOG(Table2[[#This Row],[country divers.]])</f>
        <v>3.9304083853612104</v>
      </c>
      <c r="T238" s="50">
        <f>LOG(Table2[[#This Row],[Firm Size]])</f>
        <v>8.4771212547196626</v>
      </c>
      <c r="U238">
        <v>7</v>
      </c>
      <c r="V238" s="137">
        <f t="shared" si="23"/>
        <v>0</v>
      </c>
    </row>
    <row r="239" spans="1:22" x14ac:dyDescent="0.35">
      <c r="A239" s="67" t="s">
        <v>1</v>
      </c>
      <c r="B239" s="52">
        <v>0.33449350360926283</v>
      </c>
      <c r="C239" s="52">
        <v>5.117808219178082</v>
      </c>
      <c r="D239" s="50">
        <f t="shared" si="18"/>
        <v>0.70908400743759981</v>
      </c>
      <c r="E239" s="52">
        <f>IF(Table2[[#This Row],[Geo Distance]]=0,0,LOG(Table2[[#This Row],[Geo Distance]]))</f>
        <v>0</v>
      </c>
      <c r="F239" s="52">
        <f>IF(Table2[[#This Row],[Target age]]=0,0,LOG(Table2[[#This Row],[Target age]]))</f>
        <v>2.1003705451175629</v>
      </c>
      <c r="G239" s="65">
        <v>3.42</v>
      </c>
      <c r="H239" s="59">
        <f t="shared" si="19"/>
        <v>0.53402610605613499</v>
      </c>
      <c r="I239" s="53">
        <f>IF(Table2[[#This Row],[Culture]]=0,0,LOG(Table2[[#This Row],[Culture]]))</f>
        <v>0</v>
      </c>
      <c r="J239" s="53">
        <f>LOG(1+Table2[[#This Row],[S&amp;P]])</f>
        <v>-4.5757490560675115E-2</v>
      </c>
      <c r="K239" s="52">
        <v>1.0413926851582251</v>
      </c>
      <c r="L239" s="52">
        <v>70</v>
      </c>
      <c r="M239" s="50">
        <f t="shared" si="20"/>
        <v>1.8450980400142569</v>
      </c>
      <c r="N239" s="55">
        <v>41.9</v>
      </c>
      <c r="O239" s="62">
        <f t="shared" si="21"/>
        <v>1.6222140229662954</v>
      </c>
      <c r="P239" s="56">
        <v>42.033747909324703</v>
      </c>
      <c r="Q239" s="63">
        <f t="shared" si="22"/>
        <v>1.6235981152914243</v>
      </c>
      <c r="R239" s="52">
        <f>LOG(Table2[[#This Row],[generalist]])</f>
        <v>3.277819633965128</v>
      </c>
      <c r="S239" s="52">
        <f>LOG(Table2[[#This Row],[country divers.]])</f>
        <v>3.9304083853612104</v>
      </c>
      <c r="T239" s="52">
        <f>LOG(Table2[[#This Row],[Firm Size]])</f>
        <v>8.8084338040518055</v>
      </c>
      <c r="U239">
        <v>8</v>
      </c>
      <c r="V239" s="137">
        <f t="shared" si="23"/>
        <v>0</v>
      </c>
    </row>
    <row r="240" spans="1:22" x14ac:dyDescent="0.35">
      <c r="A240" s="49" t="s">
        <v>1</v>
      </c>
      <c r="B240" s="50">
        <v>-1</v>
      </c>
      <c r="C240" s="50">
        <v>4.8904109589041092</v>
      </c>
      <c r="D240" s="50">
        <f t="shared" si="18"/>
        <v>0.6893453559917373</v>
      </c>
      <c r="E240" s="50">
        <f>IF(Table2[[#This Row],[Geo Distance]]=0,0,LOG(Table2[[#This Row],[Geo Distance]]))</f>
        <v>0</v>
      </c>
      <c r="F240" s="50">
        <f>IF(Table2[[#This Row],[Target age]]=0,0,LOG(Table2[[#This Row],[Target age]]))</f>
        <v>0</v>
      </c>
      <c r="G240" s="59">
        <v>3.42</v>
      </c>
      <c r="H240" s="59">
        <f t="shared" si="19"/>
        <v>0.53402610605613499</v>
      </c>
      <c r="I240" s="60">
        <f>IF(Table2[[#This Row],[Culture]]=0,0,LOG(Table2[[#This Row],[Culture]]))</f>
        <v>0</v>
      </c>
      <c r="J240" s="60">
        <f>LOG(1+Table2[[#This Row],[S&amp;P]])</f>
        <v>0.24551266781414982</v>
      </c>
      <c r="K240" s="50">
        <v>1.3979400086720377</v>
      </c>
      <c r="L240" s="50">
        <v>88.8</v>
      </c>
      <c r="M240" s="50">
        <f t="shared" si="20"/>
        <v>1.9484129657786009</v>
      </c>
      <c r="N240" s="62">
        <v>41.9</v>
      </c>
      <c r="O240" s="62">
        <f t="shared" si="21"/>
        <v>1.6222140229662954</v>
      </c>
      <c r="P240" s="63">
        <v>44.943689399743</v>
      </c>
      <c r="Q240" s="63">
        <f t="shared" si="22"/>
        <v>1.6526687205126336</v>
      </c>
      <c r="R240" s="50">
        <f>LOG(Table2[[#This Row],[generalist]])</f>
        <v>3.5405797165044541</v>
      </c>
      <c r="S240" s="50">
        <f>LOG(Table2[[#This Row],[country divers.]])</f>
        <v>3.8947589943718919</v>
      </c>
      <c r="T240" s="50">
        <f>LOG(Table2[[#This Row],[Firm Size]])</f>
        <v>7.3856062735983121</v>
      </c>
      <c r="U240">
        <v>3</v>
      </c>
      <c r="V240" s="137">
        <f t="shared" si="23"/>
        <v>0</v>
      </c>
    </row>
    <row r="241" spans="1:22" x14ac:dyDescent="0.35">
      <c r="A241" s="67" t="s">
        <v>1</v>
      </c>
      <c r="B241" s="52">
        <v>0.53683585802401912</v>
      </c>
      <c r="C241" s="52">
        <v>2.032876712328767</v>
      </c>
      <c r="D241" s="50">
        <f t="shared" si="18"/>
        <v>0.30811104082255236</v>
      </c>
      <c r="E241" s="52">
        <f>IF(Table2[[#This Row],[Geo Distance]]=0,0,LOG(Table2[[#This Row],[Geo Distance]]))</f>
        <v>0</v>
      </c>
      <c r="F241" s="52">
        <f>IF(Table2[[#This Row],[Target age]]=0,0,LOG(Table2[[#This Row],[Target age]]))</f>
        <v>0</v>
      </c>
      <c r="G241" s="65">
        <v>3.42</v>
      </c>
      <c r="H241" s="59">
        <f t="shared" si="19"/>
        <v>0.53402610605613499</v>
      </c>
      <c r="I241" s="53">
        <f>IF(Table2[[#This Row],[Culture]]=0,0,LOG(Table2[[#This Row],[Culture]]))</f>
        <v>0</v>
      </c>
      <c r="J241" s="53">
        <f>LOG(1+Table2[[#This Row],[S&amp;P]])</f>
        <v>7.1882007306125359E-2</v>
      </c>
      <c r="K241" s="52">
        <v>1.255272505103306</v>
      </c>
      <c r="L241" s="52">
        <v>70</v>
      </c>
      <c r="M241" s="50">
        <f t="shared" si="20"/>
        <v>1.8450980400142569</v>
      </c>
      <c r="N241" s="55">
        <v>41.7</v>
      </c>
      <c r="O241" s="62">
        <f t="shared" si="21"/>
        <v>1.6201360549737576</v>
      </c>
      <c r="P241" s="56">
        <v>47.869460173510603</v>
      </c>
      <c r="Q241" s="63">
        <f t="shared" si="22"/>
        <v>1.6800585299472204</v>
      </c>
      <c r="R241" s="52">
        <f>LOG(Table2[[#This Row],[generalist]])</f>
        <v>3.5405797165044541</v>
      </c>
      <c r="S241" s="52">
        <f>LOG(Table2[[#This Row],[country divers.]])</f>
        <v>3.8947589943718919</v>
      </c>
      <c r="T241" s="52">
        <f>LOG(Table2[[#This Row],[Firm Size]])</f>
        <v>7.3979400086720375</v>
      </c>
      <c r="U241">
        <v>3</v>
      </c>
      <c r="V241" s="137">
        <f t="shared" si="23"/>
        <v>0</v>
      </c>
    </row>
    <row r="242" spans="1:22" x14ac:dyDescent="0.35">
      <c r="A242" s="49" t="s">
        <v>1</v>
      </c>
      <c r="B242" s="50">
        <v>1.3682076395096798</v>
      </c>
      <c r="C242" s="50">
        <v>8.9972602739726035</v>
      </c>
      <c r="D242" s="50">
        <f t="shared" si="18"/>
        <v>0.95411028399092845</v>
      </c>
      <c r="E242" s="50">
        <f>IF(Table2[[#This Row],[Geo Distance]]=0,0,LOG(Table2[[#This Row],[Geo Distance]]))</f>
        <v>3.7946344133903995</v>
      </c>
      <c r="F242" s="50">
        <f>IF(Table2[[#This Row],[Target age]]=0,0,LOG(Table2[[#This Row],[Target age]]))</f>
        <v>0.6020599913279624</v>
      </c>
      <c r="G242" s="59">
        <v>2.93</v>
      </c>
      <c r="H242" s="59">
        <f t="shared" si="19"/>
        <v>0.4668676203541095</v>
      </c>
      <c r="I242" s="60">
        <f>IF(Table2[[#This Row],[Culture]]=0,0,LOG(Table2[[#This Row],[Culture]]))</f>
        <v>2.7955324427101544</v>
      </c>
      <c r="J242" s="60">
        <f>LOG(1+Table2[[#This Row],[S&amp;P]])</f>
        <v>-4.0958607678906384E-2</v>
      </c>
      <c r="K242" s="50">
        <v>1.146128035678238</v>
      </c>
      <c r="L242" s="50">
        <v>70</v>
      </c>
      <c r="M242" s="50">
        <f t="shared" si="20"/>
        <v>1.8450980400142569</v>
      </c>
      <c r="N242" s="62">
        <v>42.1</v>
      </c>
      <c r="O242" s="62">
        <f t="shared" si="21"/>
        <v>1.6242820958356683</v>
      </c>
      <c r="P242" s="63">
        <v>43.801966655694599</v>
      </c>
      <c r="Q242" s="63">
        <f t="shared" si="22"/>
        <v>1.6414936102424893</v>
      </c>
      <c r="R242" s="50">
        <f>LOG(Table2[[#This Row],[generalist]])</f>
        <v>3.0958500844125241</v>
      </c>
      <c r="S242" s="50">
        <f>LOG(Table2[[#This Row],[country divers.]])</f>
        <v>3.5078178355445662</v>
      </c>
      <c r="T242" s="50">
        <f>LOG(Table2[[#This Row],[Firm Size]])</f>
        <v>8.2443266102306367</v>
      </c>
      <c r="U242">
        <v>3</v>
      </c>
      <c r="V242" s="137">
        <f t="shared" si="23"/>
        <v>1</v>
      </c>
    </row>
    <row r="243" spans="1:22" x14ac:dyDescent="0.35">
      <c r="A243" s="67" t="s">
        <v>1</v>
      </c>
      <c r="B243" s="52">
        <v>1.3592653130497758</v>
      </c>
      <c r="C243" s="52">
        <v>2.4465753424657533</v>
      </c>
      <c r="D243" s="50">
        <f t="shared" si="18"/>
        <v>0.38855859443207169</v>
      </c>
      <c r="E243" s="52">
        <f>IF(Table2[[#This Row],[Geo Distance]]=0,0,LOG(Table2[[#This Row],[Geo Distance]]))</f>
        <v>3.0621644096256042</v>
      </c>
      <c r="F243" s="52">
        <f>IF(Table2[[#This Row],[Target age]]=0,0,LOG(Table2[[#This Row],[Target age]]))</f>
        <v>0.95424250943932487</v>
      </c>
      <c r="G243" s="65">
        <v>3.06</v>
      </c>
      <c r="H243" s="59">
        <f t="shared" si="19"/>
        <v>0.48572142648158001</v>
      </c>
      <c r="I243" s="53">
        <f>IF(Table2[[#This Row],[Culture]]=0,0,LOG(Table2[[#This Row],[Culture]]))</f>
        <v>2.8708913837025327</v>
      </c>
      <c r="J243" s="53">
        <f>LOG(1+Table2[[#This Row],[S&amp;P]])</f>
        <v>0.10720996964786837</v>
      </c>
      <c r="K243" s="52">
        <v>1.4471580313422192</v>
      </c>
      <c r="L243" s="52">
        <v>92.6</v>
      </c>
      <c r="M243" s="50">
        <f t="shared" si="20"/>
        <v>1.9666109866819343</v>
      </c>
      <c r="N243" s="55">
        <v>39.9</v>
      </c>
      <c r="O243" s="62">
        <f t="shared" si="21"/>
        <v>1.6009728956867482</v>
      </c>
      <c r="P243" s="56">
        <v>43.966315241865303</v>
      </c>
      <c r="Q243" s="63">
        <f t="shared" si="22"/>
        <v>1.6431200695045953</v>
      </c>
      <c r="R243" s="52">
        <f>LOG(Table2[[#This Row],[generalist]])</f>
        <v>3.2699236952309461</v>
      </c>
      <c r="S243" s="52">
        <f>LOG(Table2[[#This Row],[country divers.]])</f>
        <v>3.6984415808994222</v>
      </c>
      <c r="T243" s="52">
        <f>LOG(Table2[[#This Row],[Firm Size]])</f>
        <v>7.524396122103842</v>
      </c>
      <c r="U243">
        <v>2</v>
      </c>
      <c r="V243" s="137">
        <f t="shared" si="23"/>
        <v>1</v>
      </c>
    </row>
    <row r="244" spans="1:22" x14ac:dyDescent="0.35">
      <c r="A244" s="49" t="s">
        <v>1</v>
      </c>
      <c r="B244" s="50">
        <v>0.24874460454816136</v>
      </c>
      <c r="C244" s="50">
        <v>1.3917808219178083</v>
      </c>
      <c r="D244" s="50">
        <f t="shared" si="18"/>
        <v>0.14357084782744456</v>
      </c>
      <c r="E244" s="50">
        <f>IF(Table2[[#This Row],[Geo Distance]]=0,0,LOG(Table2[[#This Row],[Geo Distance]]))</f>
        <v>0</v>
      </c>
      <c r="F244" s="50">
        <f>IF(Table2[[#This Row],[Target age]]=0,0,LOG(Table2[[#This Row],[Target age]]))</f>
        <v>0.84509804001425681</v>
      </c>
      <c r="G244" s="59">
        <v>3.42</v>
      </c>
      <c r="H244" s="59">
        <f t="shared" si="19"/>
        <v>0.53402610605613499</v>
      </c>
      <c r="I244" s="60">
        <f>IF(Table2[[#This Row],[Culture]]=0,0,LOG(Table2[[#This Row],[Culture]]))</f>
        <v>0</v>
      </c>
      <c r="J244" s="60">
        <f>LOG(1+Table2[[#This Row],[S&amp;P]])</f>
        <v>5.6904851336472641E-2</v>
      </c>
      <c r="K244" s="50">
        <v>1.3802112417116059</v>
      </c>
      <c r="L244" s="50">
        <v>92.1</v>
      </c>
      <c r="M244" s="50">
        <f t="shared" si="20"/>
        <v>1.9642596301968489</v>
      </c>
      <c r="N244" s="62">
        <v>38.4</v>
      </c>
      <c r="O244" s="62">
        <f t="shared" si="21"/>
        <v>1.5843312243675307</v>
      </c>
      <c r="P244" s="63">
        <v>48.799820147807203</v>
      </c>
      <c r="Q244" s="63">
        <f t="shared" si="22"/>
        <v>1.688418221409292</v>
      </c>
      <c r="R244" s="50">
        <f>LOG(Table2[[#This Row],[generalist]])</f>
        <v>3.2596780568098533</v>
      </c>
      <c r="S244" s="50">
        <f>LOG(Table2[[#This Row],[country divers.]])</f>
        <v>4</v>
      </c>
      <c r="T244" s="50">
        <f>LOG(Table2[[#This Row],[Firm Size]])</f>
        <v>7.9102507723001478</v>
      </c>
      <c r="U244">
        <v>4</v>
      </c>
      <c r="V244" s="137">
        <f t="shared" si="23"/>
        <v>0</v>
      </c>
    </row>
    <row r="245" spans="1:22" x14ac:dyDescent="0.35">
      <c r="A245" s="67" t="s">
        <v>1</v>
      </c>
      <c r="B245" s="52">
        <v>0.23674696107305315</v>
      </c>
      <c r="C245" s="52">
        <v>2.1643835616438358</v>
      </c>
      <c r="D245" s="50">
        <f t="shared" si="18"/>
        <v>0.33533422683396674</v>
      </c>
      <c r="E245" s="52">
        <f>IF(Table2[[#This Row],[Geo Distance]]=0,0,LOG(Table2[[#This Row],[Geo Distance]]))</f>
        <v>3.0621644096256042</v>
      </c>
      <c r="F245" s="52">
        <f>IF(Table2[[#This Row],[Target age]]=0,0,LOG(Table2[[#This Row],[Target age]]))</f>
        <v>1.4313637641589874</v>
      </c>
      <c r="G245" s="65">
        <v>3.06</v>
      </c>
      <c r="H245" s="59">
        <f t="shared" si="19"/>
        <v>0.48572142648158001</v>
      </c>
      <c r="I245" s="53">
        <f>IF(Table2[[#This Row],[Culture]]=0,0,LOG(Table2[[#This Row],[Culture]]))</f>
        <v>2.8708913837025327</v>
      </c>
      <c r="J245" s="53">
        <f>LOG(1+Table2[[#This Row],[S&amp;P]])</f>
        <v>0.22788670461367352</v>
      </c>
      <c r="K245" s="52">
        <v>0.90308998699194354</v>
      </c>
      <c r="L245" s="52">
        <v>70</v>
      </c>
      <c r="M245" s="50">
        <f t="shared" si="20"/>
        <v>1.8450980400142569</v>
      </c>
      <c r="N245" s="55">
        <v>40</v>
      </c>
      <c r="O245" s="62">
        <f t="shared" si="21"/>
        <v>1.6020599913279623</v>
      </c>
      <c r="P245" s="56">
        <v>47.867790191502998</v>
      </c>
      <c r="Q245" s="63">
        <f t="shared" si="22"/>
        <v>1.6800433788128795</v>
      </c>
      <c r="R245" s="108">
        <f>LOG(Table2[[#This Row],[generalist]])</f>
        <v>3.5347454529897258</v>
      </c>
      <c r="S245" s="108">
        <f>LOG(Table2[[#This Row],[country divers.]])</f>
        <v>3.9695495619878729</v>
      </c>
      <c r="T245" s="52">
        <f>LOG(Table2[[#This Row],[Firm Size]])</f>
        <v>7.0413926851582254</v>
      </c>
      <c r="U245">
        <v>5</v>
      </c>
      <c r="V245" s="137">
        <f t="shared" si="23"/>
        <v>1</v>
      </c>
    </row>
    <row r="246" spans="1:22" x14ac:dyDescent="0.35">
      <c r="A246" s="49" t="s">
        <v>1</v>
      </c>
      <c r="B246" s="50">
        <v>0.20114482427160621</v>
      </c>
      <c r="C246" s="50">
        <v>1.9369863013698629</v>
      </c>
      <c r="D246" s="50">
        <f t="shared" si="18"/>
        <v>0.2871265493404247</v>
      </c>
      <c r="E246" s="50">
        <f>IF(Table2[[#This Row],[Geo Distance]]=0,0,LOG(Table2[[#This Row],[Geo Distance]]))</f>
        <v>3.7946344133903995</v>
      </c>
      <c r="F246" s="50">
        <f>IF(Table2[[#This Row],[Target age]]=0,0,LOG(Table2[[#This Row],[Target age]]))</f>
        <v>2.1702617153949575</v>
      </c>
      <c r="G246" s="59">
        <v>2.93</v>
      </c>
      <c r="H246" s="59">
        <f t="shared" si="19"/>
        <v>0.4668676203541095</v>
      </c>
      <c r="I246" s="60">
        <f>IF(Table2[[#This Row],[Culture]]=0,0,LOG(Table2[[#This Row],[Culture]]))</f>
        <v>2.7955324427101544</v>
      </c>
      <c r="J246" s="60">
        <f>LOG(1+Table2[[#This Row],[S&amp;P]])</f>
        <v>6.069784035361165E-2</v>
      </c>
      <c r="K246" s="50">
        <v>1.4623979978989561</v>
      </c>
      <c r="L246" s="50">
        <v>92.6</v>
      </c>
      <c r="M246" s="50">
        <f t="shared" si="20"/>
        <v>1.9666109866819343</v>
      </c>
      <c r="N246" s="62">
        <v>39.9</v>
      </c>
      <c r="O246" s="62">
        <f t="shared" si="21"/>
        <v>1.6009728956867482</v>
      </c>
      <c r="P246" s="63">
        <v>43.966315241865303</v>
      </c>
      <c r="Q246" s="63">
        <f t="shared" si="22"/>
        <v>1.6431200695045953</v>
      </c>
      <c r="R246" s="50">
        <f>LOG(Table2[[#This Row],[generalist]])</f>
        <v>3.20911860699078</v>
      </c>
      <c r="S246" s="50">
        <f>LOG(Table2[[#This Row],[country divers.]])</f>
        <v>3.5849986651910224</v>
      </c>
      <c r="T246" s="50">
        <f>LOG(Table2[[#This Row],[Firm Size]])</f>
        <v>8.9291889442233998</v>
      </c>
      <c r="U246">
        <v>7</v>
      </c>
      <c r="V246" s="137">
        <f t="shared" si="23"/>
        <v>1</v>
      </c>
    </row>
    <row r="247" spans="1:22" x14ac:dyDescent="0.35">
      <c r="A247" s="67" t="s">
        <v>1</v>
      </c>
      <c r="B247" s="52">
        <v>0.24850094438779657</v>
      </c>
      <c r="C247" s="52">
        <v>5.5013698630136982</v>
      </c>
      <c r="D247" s="50">
        <f t="shared" si="18"/>
        <v>0.74047084401650698</v>
      </c>
      <c r="E247" s="52">
        <f>IF(Table2[[#This Row],[Geo Distance]]=0,0,LOG(Table2[[#This Row],[Geo Distance]]))</f>
        <v>3.0621644096256042</v>
      </c>
      <c r="F247" s="52">
        <f>IF(Table2[[#This Row],[Target age]]=0,0,LOG(Table2[[#This Row],[Target age]]))</f>
        <v>1.7923916894982539</v>
      </c>
      <c r="G247" s="65">
        <v>3.06</v>
      </c>
      <c r="H247" s="59">
        <f t="shared" si="19"/>
        <v>0.48572142648158001</v>
      </c>
      <c r="I247" s="53">
        <f>IF(Table2[[#This Row],[Culture]]=0,0,LOG(Table2[[#This Row],[Culture]]))</f>
        <v>2.8708913837025327</v>
      </c>
      <c r="J247" s="53">
        <f>LOG(1+Table2[[#This Row],[S&amp;P]])</f>
        <v>8.9905111439397931E-2</v>
      </c>
      <c r="K247" s="52">
        <v>1.7993405494535817</v>
      </c>
      <c r="L247" s="52">
        <v>89.1</v>
      </c>
      <c r="M247" s="50">
        <f t="shared" si="20"/>
        <v>1.9498777040368747</v>
      </c>
      <c r="N247" s="55">
        <v>41.4</v>
      </c>
      <c r="O247" s="62">
        <f t="shared" si="21"/>
        <v>1.6170003411208989</v>
      </c>
      <c r="P247" s="56">
        <v>40.193544405546298</v>
      </c>
      <c r="Q247" s="63">
        <f t="shared" si="22"/>
        <v>1.6041563054679069</v>
      </c>
      <c r="R247" s="52">
        <f>LOG(Table2[[#This Row],[generalist]])</f>
        <v>3.1990556451691736</v>
      </c>
      <c r="S247" s="52">
        <f>LOG(Table2[[#This Row],[country divers.]])</f>
        <v>3.7784953823207492</v>
      </c>
      <c r="T247" s="52">
        <f>LOG(Table2[[#This Row],[Firm Size]])</f>
        <v>8.5965970956264606</v>
      </c>
      <c r="U247">
        <v>2</v>
      </c>
      <c r="V247" s="137">
        <f t="shared" si="23"/>
        <v>1</v>
      </c>
    </row>
    <row r="248" spans="1:22" x14ac:dyDescent="0.35">
      <c r="A248" s="49" t="s">
        <v>954</v>
      </c>
      <c r="B248" s="50">
        <v>1.0881360887005513</v>
      </c>
      <c r="C248" s="50">
        <v>2.2821917808219179</v>
      </c>
      <c r="D248" s="50">
        <f t="shared" si="18"/>
        <v>0.35835213695031287</v>
      </c>
      <c r="E248" s="50">
        <f>IF(Table2[[#This Row],[Geo Distance]]=0,0,LOG(Table2[[#This Row],[Geo Distance]]))</f>
        <v>3.200242936188824</v>
      </c>
      <c r="F248" s="50">
        <f>IF(Table2[[#This Row],[Target age]]=0,0,LOG(Table2[[#This Row],[Target age]]))</f>
        <v>0.90308998699194354</v>
      </c>
      <c r="G248" s="59">
        <v>2.4700000000000002</v>
      </c>
      <c r="H248" s="59">
        <f t="shared" si="19"/>
        <v>0.39269695325966575</v>
      </c>
      <c r="I248" s="60">
        <f>IF(Table2[[#This Row],[Culture]]=0,0,LOG(Table2[[#This Row],[Culture]]))</f>
        <v>3.2927720433740579</v>
      </c>
      <c r="J248" s="60">
        <f>LOG(1+Table2[[#This Row],[S&amp;P]])</f>
        <v>0.10037054511756291</v>
      </c>
      <c r="K248" s="50">
        <v>0.90308998699194354</v>
      </c>
      <c r="L248" s="50">
        <v>70</v>
      </c>
      <c r="M248" s="50">
        <f t="shared" si="20"/>
        <v>1.8450980400142569</v>
      </c>
      <c r="N248" s="62">
        <v>30.8</v>
      </c>
      <c r="O248" s="62">
        <f t="shared" si="21"/>
        <v>1.4885507165004443</v>
      </c>
      <c r="P248" s="63">
        <v>46.676832990761902</v>
      </c>
      <c r="Q248" s="63">
        <f t="shared" si="22"/>
        <v>1.6691013816214919</v>
      </c>
      <c r="R248" s="50">
        <f>LOG(Table2[[#This Row],[generalist]])</f>
        <v>3.6410631547392063</v>
      </c>
      <c r="S248" s="50">
        <f>LOG(Table2[[#This Row],[country divers.]])</f>
        <v>3.7013464506591722</v>
      </c>
      <c r="T248" s="50">
        <f>LOG(Table2[[#This Row],[Firm Size]])</f>
        <v>7.0791812460476251</v>
      </c>
      <c r="U248">
        <v>9</v>
      </c>
      <c r="V248" s="137">
        <f t="shared" si="23"/>
        <v>1</v>
      </c>
    </row>
    <row r="249" spans="1:22" x14ac:dyDescent="0.35">
      <c r="A249" s="67" t="s">
        <v>447</v>
      </c>
      <c r="B249" s="52">
        <v>0.66900678095857558</v>
      </c>
      <c r="C249" s="52">
        <v>2.7342465753424658</v>
      </c>
      <c r="D249" s="50">
        <f t="shared" si="18"/>
        <v>0.43683767683089642</v>
      </c>
      <c r="E249" s="52">
        <f>IF(Table2[[#This Row],[Geo Distance]]=0,0,LOG(Table2[[#This Row],[Geo Distance]]))</f>
        <v>3.7844632298285115</v>
      </c>
      <c r="F249" s="52">
        <f>IF(Table2[[#This Row],[Target age]]=0,0,LOG(Table2[[#This Row],[Target age]]))</f>
        <v>0.95424250943932487</v>
      </c>
      <c r="G249" s="65">
        <v>2.81</v>
      </c>
      <c r="H249" s="59">
        <f t="shared" si="19"/>
        <v>0.44870631990507992</v>
      </c>
      <c r="I249" s="53">
        <f>IF(Table2[[#This Row],[Culture]]=0,0,LOG(Table2[[#This Row],[Culture]]))</f>
        <v>2.9163662034275126</v>
      </c>
      <c r="J249" s="53">
        <f>LOG(1+Table2[[#This Row],[S&amp;P]])</f>
        <v>0.14921911265537988</v>
      </c>
      <c r="K249" s="52">
        <v>1.3222192947339193</v>
      </c>
      <c r="L249" s="52">
        <v>76</v>
      </c>
      <c r="M249" s="50">
        <f t="shared" si="20"/>
        <v>1.8808135922807914</v>
      </c>
      <c r="N249" s="55">
        <v>33.19</v>
      </c>
      <c r="O249" s="62">
        <f t="shared" si="21"/>
        <v>1.521007252408604</v>
      </c>
      <c r="P249" s="56">
        <v>42.2040629527961</v>
      </c>
      <c r="Q249" s="63">
        <f t="shared" si="22"/>
        <v>1.6253542621712107</v>
      </c>
      <c r="R249" s="52">
        <f>LOG(Table2[[#This Row],[generalist]])</f>
        <v>3.1574743240259107</v>
      </c>
      <c r="S249" s="52">
        <f>LOG(Table2[[#This Row],[country divers.]])</f>
        <v>3.7043045135512243</v>
      </c>
      <c r="T249" s="52">
        <f>LOG(Table2[[#This Row],[Firm Size]])</f>
        <v>9</v>
      </c>
      <c r="U249">
        <v>3</v>
      </c>
      <c r="V249" s="137">
        <f t="shared" si="23"/>
        <v>1</v>
      </c>
    </row>
    <row r="250" spans="1:22" x14ac:dyDescent="0.35">
      <c r="A250" s="49" t="s">
        <v>447</v>
      </c>
      <c r="B250" s="50">
        <v>-0.13033376849500614</v>
      </c>
      <c r="C250" s="50">
        <v>1.8493150684931507</v>
      </c>
      <c r="D250" s="50">
        <f t="shared" si="18"/>
        <v>0.26701090837455022</v>
      </c>
      <c r="E250" s="50">
        <f>IF(Table2[[#This Row],[Geo Distance]]=0,0,LOG(Table2[[#This Row],[Geo Distance]]))</f>
        <v>3.1012692246615559</v>
      </c>
      <c r="F250" s="50">
        <f>IF(Table2[[#This Row],[Target age]]=0,0,LOG(Table2[[#This Row],[Target age]]))</f>
        <v>0.95424250943932487</v>
      </c>
      <c r="G250" s="59">
        <v>2.4700000000000002</v>
      </c>
      <c r="H250" s="59">
        <f t="shared" si="19"/>
        <v>0.39269695325966575</v>
      </c>
      <c r="I250" s="60">
        <f>IF(Table2[[#This Row],[Culture]]=0,0,LOG(Table2[[#This Row],[Culture]]))</f>
        <v>2.9806849743633146</v>
      </c>
      <c r="J250" s="60">
        <f>LOG(1+Table2[[#This Row],[S&amp;P]])</f>
        <v>-0.23657200643706267</v>
      </c>
      <c r="K250" s="50">
        <v>1.4771212547196624</v>
      </c>
      <c r="L250" s="50">
        <v>78</v>
      </c>
      <c r="M250" s="50">
        <f t="shared" si="20"/>
        <v>1.8920946026904804</v>
      </c>
      <c r="N250" s="62">
        <v>36.36</v>
      </c>
      <c r="O250" s="62">
        <f t="shared" si="21"/>
        <v>1.5606238745499299</v>
      </c>
      <c r="P250" s="63">
        <v>39.0275969715222</v>
      </c>
      <c r="Q250" s="63">
        <f t="shared" si="22"/>
        <v>1.5913718114878503</v>
      </c>
      <c r="R250" s="50">
        <f>LOG(Table2[[#This Row],[generalist]])</f>
        <v>3.0962405795987471</v>
      </c>
      <c r="S250" s="50">
        <f>LOG(Table2[[#This Row],[country divers.]])</f>
        <v>3.4010931514437841</v>
      </c>
      <c r="T250" s="50">
        <f>LOG(Table2[[#This Row],[Firm Size]])</f>
        <v>8.8293037728310253</v>
      </c>
      <c r="U250">
        <v>2</v>
      </c>
      <c r="V250" s="137">
        <f t="shared" si="23"/>
        <v>1</v>
      </c>
    </row>
    <row r="251" spans="1:22" x14ac:dyDescent="0.35">
      <c r="A251" s="67" t="s">
        <v>447</v>
      </c>
      <c r="B251" s="52">
        <v>0.85733249643126852</v>
      </c>
      <c r="C251" s="52">
        <v>8.7205479452054799</v>
      </c>
      <c r="D251" s="50">
        <f t="shared" si="18"/>
        <v>0.94054377416452839</v>
      </c>
      <c r="E251" s="52">
        <f>IF(Table2[[#This Row],[Geo Distance]]=0,0,LOG(Table2[[#This Row],[Geo Distance]]))</f>
        <v>3.7844632298285115</v>
      </c>
      <c r="F251" s="52">
        <f>IF(Table2[[#This Row],[Target age]]=0,0,LOG(Table2[[#This Row],[Target age]]))</f>
        <v>0.69897000433601886</v>
      </c>
      <c r="G251" s="65">
        <v>2.81</v>
      </c>
      <c r="H251" s="59">
        <f t="shared" si="19"/>
        <v>0.44870631990507992</v>
      </c>
      <c r="I251" s="53">
        <f>IF(Table2[[#This Row],[Culture]]=0,0,LOG(Table2[[#This Row],[Culture]]))</f>
        <v>2.9163662034275126</v>
      </c>
      <c r="J251" s="53">
        <f>LOG(1+Table2[[#This Row],[S&amp;P]])</f>
        <v>0.21218760440395779</v>
      </c>
      <c r="K251" s="52">
        <v>0.69897000433601886</v>
      </c>
      <c r="L251" s="52">
        <v>70</v>
      </c>
      <c r="M251" s="50">
        <f t="shared" si="20"/>
        <v>1.8450980400142569</v>
      </c>
      <c r="N251" s="55">
        <v>35.14</v>
      </c>
      <c r="O251" s="62">
        <f t="shared" si="21"/>
        <v>1.5458017571592761</v>
      </c>
      <c r="P251" s="56">
        <v>38.315068463709203</v>
      </c>
      <c r="Q251" s="63">
        <f t="shared" si="22"/>
        <v>1.5833696059173574</v>
      </c>
      <c r="R251" s="52">
        <f>LOG(Table2[[#This Row],[generalist]])</f>
        <v>3.348721986001856</v>
      </c>
      <c r="S251" s="52">
        <f>LOG(Table2[[#This Row],[country divers.]])</f>
        <v>3.7520876635386311</v>
      </c>
      <c r="T251" s="52">
        <f>LOG(Table2[[#This Row],[Firm Size]])</f>
        <v>8.7275412570285571</v>
      </c>
      <c r="U251">
        <v>4</v>
      </c>
      <c r="V251" s="137">
        <f t="shared" si="23"/>
        <v>1</v>
      </c>
    </row>
    <row r="252" spans="1:22" x14ac:dyDescent="0.35">
      <c r="A252" s="117" t="s">
        <v>447</v>
      </c>
      <c r="B252" s="50">
        <v>0.65402975999973634</v>
      </c>
      <c r="C252" s="50">
        <v>2.8904109589041096</v>
      </c>
      <c r="D252" s="50">
        <f t="shared" si="18"/>
        <v>0.46095959517723678</v>
      </c>
      <c r="E252" s="50">
        <f>IF(Table2[[#This Row],[Geo Distance]]=0,0,LOG(Table2[[#This Row],[Geo Distance]]))</f>
        <v>3.7844632298285115</v>
      </c>
      <c r="F252" s="106">
        <f>IF(Table2[[#This Row],[Target age]]=0,0,LOG(Table2[[#This Row],[Target age]]))</f>
        <v>1.6434526764861874</v>
      </c>
      <c r="G252" s="59">
        <v>2.81</v>
      </c>
      <c r="H252" s="59">
        <f t="shared" si="19"/>
        <v>0.44870631990507992</v>
      </c>
      <c r="I252" s="60">
        <f>IF(Table2[[#This Row],[Culture]]=0,0,LOG(Table2[[#This Row],[Culture]]))</f>
        <v>2.9163662034275126</v>
      </c>
      <c r="J252" s="118">
        <f>LOG(1+Table2[[#This Row],[S&amp;P]])</f>
        <v>0.11394335230683679</v>
      </c>
      <c r="K252" s="106">
        <v>1.4313637641589874</v>
      </c>
      <c r="L252" s="106">
        <v>77.5</v>
      </c>
      <c r="M252" s="50">
        <f t="shared" si="20"/>
        <v>1.8893017025063104</v>
      </c>
      <c r="N252" s="119">
        <v>33.590000000000003</v>
      </c>
      <c r="O252" s="62">
        <f t="shared" si="21"/>
        <v>1.5262100038416644</v>
      </c>
      <c r="P252" s="120">
        <v>43.725055842540201</v>
      </c>
      <c r="Q252" s="63">
        <f t="shared" si="22"/>
        <v>1.6407303728011791</v>
      </c>
      <c r="R252" s="106">
        <f>LOG(Table2[[#This Row],[generalist]])</f>
        <v>3.2302554789881364</v>
      </c>
      <c r="S252" s="106">
        <f>LOG(Table2[[#This Row],[country divers.]])</f>
        <v>3.7665752718932795</v>
      </c>
      <c r="T252" s="106">
        <f>LOG(Table2[[#This Row],[Firm Size]])</f>
        <v>7.7815040572087328</v>
      </c>
      <c r="U252">
        <v>7</v>
      </c>
      <c r="V252" s="137">
        <f t="shared" si="23"/>
        <v>1</v>
      </c>
    </row>
    <row r="253" spans="1:22" x14ac:dyDescent="0.35">
      <c r="A253" s="67" t="s">
        <v>447</v>
      </c>
      <c r="B253" s="52">
        <v>5.2852307325275676E-2</v>
      </c>
      <c r="C253" s="52">
        <v>2.6876712328767125</v>
      </c>
      <c r="D253" s="50">
        <f t="shared" si="18"/>
        <v>0.42937614292347381</v>
      </c>
      <c r="E253" s="52">
        <f>IF(Table2[[#This Row],[Geo Distance]]=0,0,LOG(Table2[[#This Row],[Geo Distance]]))</f>
        <v>3.1012692246615559</v>
      </c>
      <c r="F253" s="52">
        <f>IF(Table2[[#This Row],[Target age]]=0,0,LOG(Table2[[#This Row],[Target age]]))</f>
        <v>0</v>
      </c>
      <c r="G253" s="65">
        <v>2.4700000000000002</v>
      </c>
      <c r="H253" s="59">
        <f t="shared" si="19"/>
        <v>0.39269695325966575</v>
      </c>
      <c r="I253" s="53">
        <f>IF(Table2[[#This Row],[Culture]]=0,0,LOG(Table2[[#This Row],[Culture]]))</f>
        <v>2.9806849743633146</v>
      </c>
      <c r="J253" s="53">
        <f>LOG(1+Table2[[#This Row],[S&amp;P]])</f>
        <v>0.19865708695442263</v>
      </c>
      <c r="K253" s="52">
        <v>0.84509804001425681</v>
      </c>
      <c r="L253" s="52">
        <v>70</v>
      </c>
      <c r="M253" s="50">
        <f t="shared" si="20"/>
        <v>1.8450980400142569</v>
      </c>
      <c r="N253" s="55">
        <v>31.23</v>
      </c>
      <c r="O253" s="62">
        <f t="shared" si="21"/>
        <v>1.4945719842301985</v>
      </c>
      <c r="P253" s="56">
        <v>44.330850769696298</v>
      </c>
      <c r="Q253" s="63">
        <f t="shared" si="22"/>
        <v>1.6467060660847843</v>
      </c>
      <c r="R253" s="108">
        <f>LOG(Table2[[#This Row],[generalist]])</f>
        <v>3.5347454529897258</v>
      </c>
      <c r="S253" s="108">
        <f>LOG(Table2[[#This Row],[country divers.]])</f>
        <v>3.9695495619878729</v>
      </c>
      <c r="T253" s="52">
        <f>LOG(Table2[[#This Row],[Firm Size]])</f>
        <v>7.9294189257142929</v>
      </c>
      <c r="U253">
        <v>1</v>
      </c>
      <c r="V253" s="137">
        <f t="shared" si="23"/>
        <v>1</v>
      </c>
    </row>
    <row r="254" spans="1:22" x14ac:dyDescent="0.35">
      <c r="A254" s="49" t="s">
        <v>447</v>
      </c>
      <c r="B254" s="50">
        <v>0.66216735642827007</v>
      </c>
      <c r="C254" s="50">
        <v>2.419178082191781</v>
      </c>
      <c r="D254" s="50">
        <f t="shared" si="18"/>
        <v>0.38366783912109392</v>
      </c>
      <c r="E254" s="50">
        <f>IF(Table2[[#This Row],[Geo Distance]]=0,0,LOG(Table2[[#This Row],[Geo Distance]]))</f>
        <v>3.7844632298285115</v>
      </c>
      <c r="F254" s="50">
        <f>IF(Table2[[#This Row],[Target age]]=0,0,LOG(Table2[[#This Row],[Target age]]))</f>
        <v>1.3222192947339193</v>
      </c>
      <c r="G254" s="59">
        <v>2.81</v>
      </c>
      <c r="H254" s="59">
        <f t="shared" si="19"/>
        <v>0.44870631990507992</v>
      </c>
      <c r="I254" s="60">
        <f>IF(Table2[[#This Row],[Culture]]=0,0,LOG(Table2[[#This Row],[Culture]]))</f>
        <v>2.9163662034275126</v>
      </c>
      <c r="J254" s="60">
        <f>LOG(1+Table2[[#This Row],[S&amp;P]])</f>
        <v>-1.322826573375516E-2</v>
      </c>
      <c r="K254" s="50">
        <v>1.8450980400142569</v>
      </c>
      <c r="L254" s="50">
        <v>70</v>
      </c>
      <c r="M254" s="50">
        <f t="shared" si="20"/>
        <v>1.8450980400142569</v>
      </c>
      <c r="N254" s="62">
        <v>32.840000000000003</v>
      </c>
      <c r="O254" s="62">
        <f t="shared" si="21"/>
        <v>1.5164031484474032</v>
      </c>
      <c r="P254" s="63">
        <v>38.458217540970502</v>
      </c>
      <c r="Q254" s="63">
        <f t="shared" si="22"/>
        <v>1.5849891517157813</v>
      </c>
      <c r="R254" s="50">
        <f>LOG(Table2[[#This Row],[generalist]])</f>
        <v>3.3779512479807074</v>
      </c>
      <c r="S254" s="50">
        <f>LOG(Table2[[#This Row],[country divers.]])</f>
        <v>3.7669888618571257</v>
      </c>
      <c r="T254" s="50">
        <f>LOG(Table2[[#This Row],[Firm Size]])</f>
        <v>7.9965116721541785</v>
      </c>
      <c r="U254">
        <v>6</v>
      </c>
      <c r="V254" s="137">
        <f t="shared" si="23"/>
        <v>1</v>
      </c>
    </row>
    <row r="255" spans="1:22" x14ac:dyDescent="0.35">
      <c r="A255" s="67" t="s">
        <v>447</v>
      </c>
      <c r="B255" s="52">
        <v>0.34733625860207795</v>
      </c>
      <c r="C255" s="52">
        <v>9.1452054794520556</v>
      </c>
      <c r="D255" s="50">
        <f t="shared" si="18"/>
        <v>0.96119346788675319</v>
      </c>
      <c r="E255" s="52">
        <f>IF(Table2[[#This Row],[Geo Distance]]=0,0,LOG(Table2[[#This Row],[Geo Distance]]))</f>
        <v>3.7844632298285115</v>
      </c>
      <c r="F255" s="52">
        <f>IF(Table2[[#This Row],[Target age]]=0,0,LOG(Table2[[#This Row],[Target age]]))</f>
        <v>1.1760912590556813</v>
      </c>
      <c r="G255" s="65">
        <v>2.81</v>
      </c>
      <c r="H255" s="59">
        <f t="shared" si="19"/>
        <v>0.44870631990507992</v>
      </c>
      <c r="I255" s="53">
        <f>IF(Table2[[#This Row],[Culture]]=0,0,LOG(Table2[[#This Row],[Culture]]))</f>
        <v>2.9163662034275126</v>
      </c>
      <c r="J255" s="53">
        <f>LOG(1+Table2[[#This Row],[S&amp;P]])</f>
        <v>3.7426497940623665E-2</v>
      </c>
      <c r="K255" s="52">
        <v>1.8325089127062364</v>
      </c>
      <c r="L255" s="52">
        <v>70</v>
      </c>
      <c r="M255" s="50">
        <f t="shared" si="20"/>
        <v>1.8450980400142569</v>
      </c>
      <c r="N255" s="55">
        <v>33.08</v>
      </c>
      <c r="O255" s="62">
        <f t="shared" si="21"/>
        <v>1.5195655008805091</v>
      </c>
      <c r="P255" s="56">
        <v>39.934142779262203</v>
      </c>
      <c r="Q255" s="63">
        <f t="shared" si="22"/>
        <v>1.6013443663637854</v>
      </c>
      <c r="R255" s="52">
        <f>LOG(Table2[[#This Row],[generalist]])</f>
        <v>3.3779512479807074</v>
      </c>
      <c r="S255" s="52">
        <f>LOG(Table2[[#This Row],[country divers.]])</f>
        <v>3.7669888618571257</v>
      </c>
      <c r="T255" s="52">
        <f>LOG(Table2[[#This Row],[Firm Size]])</f>
        <v>8.6005481897240834</v>
      </c>
      <c r="U255">
        <v>5</v>
      </c>
      <c r="V255" s="137">
        <f t="shared" si="23"/>
        <v>1</v>
      </c>
    </row>
    <row r="256" spans="1:22" x14ac:dyDescent="0.35">
      <c r="A256" s="49" t="s">
        <v>447</v>
      </c>
      <c r="B256" s="50">
        <v>0.32679085780840267</v>
      </c>
      <c r="C256" s="50">
        <v>3.7643835616438355</v>
      </c>
      <c r="D256" s="50">
        <f t="shared" si="18"/>
        <v>0.57569386826705693</v>
      </c>
      <c r="E256" s="50">
        <f>IF(Table2[[#This Row],[Geo Distance]]=0,0,LOG(Table2[[#This Row],[Geo Distance]]))</f>
        <v>3.7844632298285115</v>
      </c>
      <c r="F256" s="50">
        <f>IF(Table2[[#This Row],[Target age]]=0,0,LOG(Table2[[#This Row],[Target age]]))</f>
        <v>0.84509804001425681</v>
      </c>
      <c r="G256" s="59">
        <v>2.81</v>
      </c>
      <c r="H256" s="59">
        <f t="shared" si="19"/>
        <v>0.44870631990507992</v>
      </c>
      <c r="I256" s="60">
        <f>IF(Table2[[#This Row],[Culture]]=0,0,LOG(Table2[[#This Row],[Culture]]))</f>
        <v>2.9163662034275126</v>
      </c>
      <c r="J256" s="60">
        <f>LOG(1+Table2[[#This Row],[S&amp;P]])</f>
        <v>-9.1514981121350217E-2</v>
      </c>
      <c r="K256" s="50">
        <v>1.5797835966168101</v>
      </c>
      <c r="L256" s="50">
        <v>78.7</v>
      </c>
      <c r="M256" s="50">
        <f t="shared" si="20"/>
        <v>1.8959747323590646</v>
      </c>
      <c r="N256" s="62">
        <v>35.93</v>
      </c>
      <c r="O256" s="62">
        <f t="shared" si="21"/>
        <v>1.5554572172046495</v>
      </c>
      <c r="P256" s="63">
        <v>38.284221616827402</v>
      </c>
      <c r="Q256" s="63">
        <f t="shared" si="22"/>
        <v>1.5830198215761455</v>
      </c>
      <c r="R256" s="50">
        <f>LOG(Table2[[#This Row],[generalist]])</f>
        <v>3.3885364494891754</v>
      </c>
      <c r="S256" s="50">
        <f>LOG(Table2[[#This Row],[country divers.]])</f>
        <v>3.818148300254375</v>
      </c>
      <c r="T256" s="50">
        <f>LOG(Table2[[#This Row],[Firm Size]])</f>
        <v>8.1846914308175993</v>
      </c>
      <c r="U256">
        <v>5</v>
      </c>
      <c r="V256" s="137">
        <f t="shared" si="23"/>
        <v>1</v>
      </c>
    </row>
    <row r="257" spans="1:22" x14ac:dyDescent="0.35">
      <c r="A257" s="51" t="s">
        <v>4</v>
      </c>
      <c r="B257" s="52">
        <v>-3.3241325847105839E-2</v>
      </c>
      <c r="C257" s="52">
        <v>4.4027397260273968</v>
      </c>
      <c r="D257" s="50">
        <f t="shared" si="18"/>
        <v>0.64372301230686979</v>
      </c>
      <c r="E257" s="52">
        <f>IF(Table2[[#This Row],[Geo Distance]]=0,0,LOG(Table2[[#This Row],[Geo Distance]]))</f>
        <v>3.156321950446713</v>
      </c>
      <c r="F257" s="52">
        <f>IF(Table2[[#This Row],[Target age]]=0,0,LOG(Table2[[#This Row],[Target age]]))</f>
        <v>1.8750612633917001</v>
      </c>
      <c r="G257" s="65">
        <v>3.03</v>
      </c>
      <c r="H257" s="59">
        <f t="shared" si="19"/>
        <v>0.48144262850230496</v>
      </c>
      <c r="I257" s="53">
        <f>IF(Table2[[#This Row],[Culture]]=0,0,LOG(Table2[[#This Row],[Culture]]))</f>
        <v>2.8432327780980096</v>
      </c>
      <c r="J257" s="53">
        <f>LOG(1+Table2[[#This Row],[S&amp;P]])</f>
        <v>-1.322826573375516E-2</v>
      </c>
      <c r="K257" s="52">
        <v>0.95424250943932487</v>
      </c>
      <c r="L257" s="52">
        <v>70</v>
      </c>
      <c r="M257" s="50">
        <f t="shared" si="20"/>
        <v>1.8450980400142569</v>
      </c>
      <c r="N257" s="55">
        <v>48.4</v>
      </c>
      <c r="O257" s="62">
        <f t="shared" si="21"/>
        <v>1.6848453616444126</v>
      </c>
      <c r="P257" s="56">
        <v>56.929890049265502</v>
      </c>
      <c r="Q257" s="63">
        <f t="shared" si="22"/>
        <v>1.7553403450438787</v>
      </c>
      <c r="R257" s="52">
        <f>LOG(Table2[[#This Row],[generalist]])</f>
        <v>3.277819633965128</v>
      </c>
      <c r="S257" s="57">
        <f>LOG(Table2[[#This Row],[country divers.]])</f>
        <v>3.9304083853612104</v>
      </c>
      <c r="T257" s="84">
        <f>LOG(Table2[[#This Row],[Firm Size]])</f>
        <v>8.0992316150808819</v>
      </c>
      <c r="U257">
        <v>6</v>
      </c>
      <c r="V257" s="137">
        <f t="shared" si="23"/>
        <v>1</v>
      </c>
    </row>
    <row r="258" spans="1:22" x14ac:dyDescent="0.35">
      <c r="A258" s="58" t="s">
        <v>4</v>
      </c>
      <c r="B258" s="50">
        <v>-0.12160259330391791</v>
      </c>
      <c r="C258" s="50">
        <v>1.3205479452054794</v>
      </c>
      <c r="D258" s="50">
        <f t="shared" si="18"/>
        <v>0.12075417378237484</v>
      </c>
      <c r="E258" s="50">
        <f>IF(Table2[[#This Row],[Geo Distance]]=0,0,LOG(Table2[[#This Row],[Geo Distance]]))</f>
        <v>0</v>
      </c>
      <c r="F258" s="50">
        <f>IF(Table2[[#This Row],[Target age]]=0,0,LOG(Table2[[#This Row],[Target age]]))</f>
        <v>1.7075701760979363</v>
      </c>
      <c r="G258" s="59">
        <v>3.59</v>
      </c>
      <c r="H258" s="59">
        <f t="shared" si="19"/>
        <v>0.55509444857831913</v>
      </c>
      <c r="I258" s="60">
        <f>IF(Table2[[#This Row],[Culture]]=0,0,LOG(Table2[[#This Row],[Culture]]))</f>
        <v>0</v>
      </c>
      <c r="J258" s="60">
        <f>LOG(1+Table2[[#This Row],[S&amp;P]])</f>
        <v>6.069784035361165E-2</v>
      </c>
      <c r="K258" s="50">
        <v>1.1760912590556813</v>
      </c>
      <c r="L258" s="50">
        <v>70</v>
      </c>
      <c r="M258" s="50">
        <f t="shared" si="20"/>
        <v>1.8450980400142569</v>
      </c>
      <c r="N258" s="62">
        <v>45.7</v>
      </c>
      <c r="O258" s="62">
        <f t="shared" si="21"/>
        <v>1.6599162000698502</v>
      </c>
      <c r="P258" s="63">
        <v>52.379377176281302</v>
      </c>
      <c r="Q258" s="63">
        <f t="shared" si="22"/>
        <v>1.7191603300855409</v>
      </c>
      <c r="R258" s="50">
        <f>LOG(Table2[[#This Row],[generalist]])</f>
        <v>3.212261842580872</v>
      </c>
      <c r="S258" s="50">
        <f>LOG(Table2[[#This Row],[country divers.]])</f>
        <v>3.9329492300777744</v>
      </c>
      <c r="T258" s="83">
        <f>LOG(Table2[[#This Row],[Firm Size]])</f>
        <v>8.4392063352370226</v>
      </c>
      <c r="U258">
        <v>7</v>
      </c>
      <c r="V258" s="137">
        <f t="shared" si="23"/>
        <v>0</v>
      </c>
    </row>
    <row r="259" spans="1:22" x14ac:dyDescent="0.35">
      <c r="A259" s="67" t="s">
        <v>4</v>
      </c>
      <c r="B259" s="52">
        <v>0.41210918827114207</v>
      </c>
      <c r="C259" s="52">
        <v>2.8493150684931505</v>
      </c>
      <c r="D259" s="50">
        <f t="shared" ref="D259:D322" si="24">LOG(C259)</f>
        <v>0.45474047484230562</v>
      </c>
      <c r="E259" s="52">
        <f>IF(Table2[[#This Row],[Geo Distance]]=0,0,LOG(Table2[[#This Row],[Geo Distance]]))</f>
        <v>0</v>
      </c>
      <c r="F259" s="52">
        <f>IF(Table2[[#This Row],[Target age]]=0,0,LOG(Table2[[#This Row],[Target age]]))</f>
        <v>1.3010299956639813</v>
      </c>
      <c r="G259" s="65">
        <v>3.59</v>
      </c>
      <c r="H259" s="59">
        <f t="shared" ref="H259:H322" si="25">LOG(G259)</f>
        <v>0.55509444857831913</v>
      </c>
      <c r="I259" s="53">
        <f>IF(Table2[[#This Row],[Culture]]=0,0,LOG(Table2[[#This Row],[Culture]]))</f>
        <v>0</v>
      </c>
      <c r="J259" s="53">
        <f>LOG(1+Table2[[#This Row],[S&amp;P]])</f>
        <v>-4.3648054024500883E-3</v>
      </c>
      <c r="K259" s="52">
        <v>1.146128035678238</v>
      </c>
      <c r="L259" s="52">
        <v>95.6</v>
      </c>
      <c r="M259" s="50">
        <f t="shared" ref="M259:M322" si="26">LOG(L259)</f>
        <v>1.9804578922761</v>
      </c>
      <c r="N259" s="55">
        <v>44</v>
      </c>
      <c r="O259" s="62">
        <f t="shared" ref="O259:O322" si="27">LOG(N259)</f>
        <v>1.6434526764861874</v>
      </c>
      <c r="P259" s="56">
        <v>50.007710041127098</v>
      </c>
      <c r="Q259" s="63">
        <f t="shared" ref="Q259:Q322" si="28">LOG(P259)</f>
        <v>1.6990369677395805</v>
      </c>
      <c r="R259" s="52">
        <f>LOG(Table2[[#This Row],[generalist]])</f>
        <v>3.1616209089088487</v>
      </c>
      <c r="S259" s="52">
        <f>LOG(Table2[[#This Row],[country divers.]])</f>
        <v>3.7997633234477775</v>
      </c>
      <c r="T259" s="52">
        <f>LOG(Table2[[#This Row],[Firm Size]])</f>
        <v>8.9617579569203265</v>
      </c>
      <c r="U259">
        <v>1</v>
      </c>
      <c r="V259" s="137">
        <f t="shared" ref="V259:V322" si="29">IF(E259=0,0,1)</f>
        <v>0</v>
      </c>
    </row>
    <row r="260" spans="1:22" x14ac:dyDescent="0.35">
      <c r="A260" s="49" t="s">
        <v>4</v>
      </c>
      <c r="B260" s="50">
        <v>-9.9220849176223133E-2</v>
      </c>
      <c r="C260" s="50">
        <v>6.8931506849315065</v>
      </c>
      <c r="D260" s="50">
        <f t="shared" si="24"/>
        <v>0.83841777231675663</v>
      </c>
      <c r="E260" s="50">
        <f>IF(Table2[[#This Row],[Geo Distance]]=0,0,LOG(Table2[[#This Row],[Geo Distance]]))</f>
        <v>0</v>
      </c>
      <c r="F260" s="50">
        <f>IF(Table2[[#This Row],[Target age]]=0,0,LOG(Table2[[#This Row],[Target age]]))</f>
        <v>1.6232492903979006</v>
      </c>
      <c r="G260" s="59">
        <v>3.59</v>
      </c>
      <c r="H260" s="59">
        <f t="shared" si="25"/>
        <v>0.55509444857831913</v>
      </c>
      <c r="I260" s="60">
        <f>IF(Table2[[#This Row],[Culture]]=0,0,LOG(Table2[[#This Row],[Culture]]))</f>
        <v>0</v>
      </c>
      <c r="J260" s="60">
        <f>LOG(1+Table2[[#This Row],[S&amp;P]])</f>
        <v>0.12057393120584989</v>
      </c>
      <c r="K260" s="50">
        <v>1.0791812460476249</v>
      </c>
      <c r="L260" s="50">
        <v>96.1</v>
      </c>
      <c r="M260" s="50">
        <f t="shared" si="26"/>
        <v>1.9827233876685453</v>
      </c>
      <c r="N260" s="62">
        <v>46</v>
      </c>
      <c r="O260" s="62">
        <f t="shared" si="27"/>
        <v>1.6627578316815741</v>
      </c>
      <c r="P260" s="63">
        <v>50.974560675820896</v>
      </c>
      <c r="Q260" s="63">
        <f t="shared" si="28"/>
        <v>1.7073534914999287</v>
      </c>
      <c r="R260" s="50">
        <f>LOG(Table2[[#This Row],[generalist]])</f>
        <v>3.1616209089088487</v>
      </c>
      <c r="S260" s="50">
        <f>LOG(Table2[[#This Row],[country divers.]])</f>
        <v>3.7997633234477775</v>
      </c>
      <c r="T260" s="50">
        <f>LOG(Table2[[#This Row],[Firm Size]])</f>
        <v>9.622354964412688</v>
      </c>
      <c r="U260">
        <v>2</v>
      </c>
      <c r="V260" s="137">
        <f t="shared" si="29"/>
        <v>0</v>
      </c>
    </row>
    <row r="261" spans="1:22" x14ac:dyDescent="0.35">
      <c r="A261" s="67" t="s">
        <v>4</v>
      </c>
      <c r="B261" s="52">
        <v>0.66076339551899865</v>
      </c>
      <c r="C261" s="52">
        <v>2.7315068493150685</v>
      </c>
      <c r="D261" s="50">
        <f t="shared" si="24"/>
        <v>0.43640229385518103</v>
      </c>
      <c r="E261" s="52">
        <f>IF(Table2[[#This Row],[Geo Distance]]=0,0,LOG(Table2[[#This Row],[Geo Distance]]))</f>
        <v>0</v>
      </c>
      <c r="F261" s="52">
        <f>IF(Table2[[#This Row],[Target age]]=0,0,LOG(Table2[[#This Row],[Target age]]))</f>
        <v>1.3010299956639813</v>
      </c>
      <c r="G261" s="65">
        <v>3.59</v>
      </c>
      <c r="H261" s="59">
        <f t="shared" si="25"/>
        <v>0.55509444857831913</v>
      </c>
      <c r="I261" s="53">
        <f>IF(Table2[[#This Row],[Culture]]=0,0,LOG(Table2[[#This Row],[Culture]]))</f>
        <v>0</v>
      </c>
      <c r="J261" s="53">
        <f>LOG(1+Table2[[#This Row],[S&amp;P]])</f>
        <v>0.13672056715640679</v>
      </c>
      <c r="K261" s="52">
        <v>0.95424250943932487</v>
      </c>
      <c r="L261" s="52">
        <v>70</v>
      </c>
      <c r="M261" s="50">
        <f t="shared" si="26"/>
        <v>1.8450980400142569</v>
      </c>
      <c r="N261" s="55">
        <v>45.5</v>
      </c>
      <c r="O261" s="62">
        <f t="shared" si="27"/>
        <v>1.6580113966571124</v>
      </c>
      <c r="P261" s="56">
        <v>53.974932698910798</v>
      </c>
      <c r="Q261" s="63">
        <f t="shared" si="28"/>
        <v>1.7321921094868633</v>
      </c>
      <c r="R261" s="52">
        <f>LOG(Table2[[#This Row],[generalist]])</f>
        <v>3.1616209089088487</v>
      </c>
      <c r="S261" s="52">
        <f>LOG(Table2[[#This Row],[country divers.]])</f>
        <v>3.7997633234477775</v>
      </c>
      <c r="T261" s="52">
        <f>LOG(Table2[[#This Row],[Firm Size]])</f>
        <v>8.3722443640434001</v>
      </c>
      <c r="U261">
        <v>4</v>
      </c>
      <c r="V261" s="137">
        <f t="shared" si="29"/>
        <v>0</v>
      </c>
    </row>
    <row r="262" spans="1:22" x14ac:dyDescent="0.35">
      <c r="A262" s="49" t="s">
        <v>4</v>
      </c>
      <c r="B262" s="50">
        <v>0.40690165901075054</v>
      </c>
      <c r="C262" s="50">
        <v>4.0821917808219181</v>
      </c>
      <c r="D262" s="50">
        <f t="shared" si="24"/>
        <v>0.61089340395579939</v>
      </c>
      <c r="E262" s="50">
        <f>IF(Table2[[#This Row],[Geo Distance]]=0,0,LOG(Table2[[#This Row],[Geo Distance]]))</f>
        <v>0</v>
      </c>
      <c r="F262" s="50">
        <f>IF(Table2[[#This Row],[Target age]]=0,0,LOG(Table2[[#This Row],[Target age]]))</f>
        <v>1.9138138523837167</v>
      </c>
      <c r="G262" s="59">
        <v>3.59</v>
      </c>
      <c r="H262" s="59">
        <f t="shared" si="25"/>
        <v>0.55509444857831913</v>
      </c>
      <c r="I262" s="60">
        <f>IF(Table2[[#This Row],[Culture]]=0,0,LOG(Table2[[#This Row],[Culture]]))</f>
        <v>0</v>
      </c>
      <c r="J262" s="60">
        <f>LOG(1+Table2[[#This Row],[S&amp;P]])</f>
        <v>-3.1517051446064911E-2</v>
      </c>
      <c r="K262" s="50">
        <v>0.84509804001425681</v>
      </c>
      <c r="L262" s="50">
        <v>70</v>
      </c>
      <c r="M262" s="50">
        <f t="shared" si="26"/>
        <v>1.8450980400142569</v>
      </c>
      <c r="N262" s="62">
        <v>46.8</v>
      </c>
      <c r="O262" s="62">
        <f t="shared" si="27"/>
        <v>1.670245853074124</v>
      </c>
      <c r="P262" s="63">
        <v>52.695054949482603</v>
      </c>
      <c r="Q262" s="63">
        <f t="shared" si="28"/>
        <v>1.7217698617226407</v>
      </c>
      <c r="R262" s="50">
        <f>LOG(Table2[[#This Row],[generalist]])</f>
        <v>3.1616209089088487</v>
      </c>
      <c r="S262" s="50">
        <f>LOG(Table2[[#This Row],[country divers.]])</f>
        <v>3.7997633234477775</v>
      </c>
      <c r="T262" s="50">
        <f>LOG(Table2[[#This Row],[Firm Size]])</f>
        <v>8.6367686426690309</v>
      </c>
      <c r="U262">
        <v>5</v>
      </c>
      <c r="V262" s="137">
        <f t="shared" si="29"/>
        <v>0</v>
      </c>
    </row>
    <row r="263" spans="1:22" x14ac:dyDescent="0.35">
      <c r="A263" s="67" t="s">
        <v>4</v>
      </c>
      <c r="B263" s="52">
        <v>0.19629464514396819</v>
      </c>
      <c r="C263" s="52">
        <v>7.397260273972603</v>
      </c>
      <c r="D263" s="50">
        <f t="shared" si="24"/>
        <v>0.86907089970251261</v>
      </c>
      <c r="E263" s="52">
        <f>IF(Table2[[#This Row],[Geo Distance]]=0,0,LOG(Table2[[#This Row],[Geo Distance]]))</f>
        <v>0</v>
      </c>
      <c r="F263" s="52">
        <f>IF(Table2[[#This Row],[Target age]]=0,0,LOG(Table2[[#This Row],[Target age]]))</f>
        <v>1.9822712330395684</v>
      </c>
      <c r="G263" s="65">
        <v>3.59</v>
      </c>
      <c r="H263" s="59">
        <f t="shared" si="25"/>
        <v>0.55509444857831913</v>
      </c>
      <c r="I263" s="53">
        <f>IF(Table2[[#This Row],[Culture]]=0,0,LOG(Table2[[#This Row],[Culture]]))</f>
        <v>0</v>
      </c>
      <c r="J263" s="53">
        <f>LOG(1+Table2[[#This Row],[S&amp;P]])</f>
        <v>4.5322978786657475E-2</v>
      </c>
      <c r="K263" s="52">
        <v>0.69897000433601886</v>
      </c>
      <c r="L263" s="52">
        <v>70</v>
      </c>
      <c r="M263" s="50">
        <f t="shared" si="26"/>
        <v>1.8450980400142569</v>
      </c>
      <c r="N263" s="55">
        <v>48.8</v>
      </c>
      <c r="O263" s="62">
        <f t="shared" si="27"/>
        <v>1.6884198220027107</v>
      </c>
      <c r="P263" s="56">
        <v>56.244853437044902</v>
      </c>
      <c r="Q263" s="63">
        <f t="shared" si="28"/>
        <v>1.750082789429638</v>
      </c>
      <c r="R263" s="52">
        <f>LOG(Table2[[#This Row],[generalist]])</f>
        <v>3.1616209089088487</v>
      </c>
      <c r="S263" s="52">
        <f>LOG(Table2[[#This Row],[country divers.]])</f>
        <v>3.7997633234477775</v>
      </c>
      <c r="T263" s="52">
        <f>LOG(Table2[[#This Row],[Firm Size]])</f>
        <v>8.7781512503836439</v>
      </c>
      <c r="U263">
        <v>7</v>
      </c>
      <c r="V263" s="137">
        <f t="shared" si="29"/>
        <v>0</v>
      </c>
    </row>
    <row r="264" spans="1:22" x14ac:dyDescent="0.35">
      <c r="A264" s="49" t="s">
        <v>4</v>
      </c>
      <c r="B264" s="50">
        <v>-1</v>
      </c>
      <c r="C264" s="50">
        <v>5.6356164383561644</v>
      </c>
      <c r="D264" s="50">
        <f t="shared" si="24"/>
        <v>0.7509414272382493</v>
      </c>
      <c r="E264" s="50">
        <f>IF(Table2[[#This Row],[Geo Distance]]=0,0,LOG(Table2[[#This Row],[Geo Distance]]))</f>
        <v>0</v>
      </c>
      <c r="F264" s="50">
        <f>IF(Table2[[#This Row],[Target age]]=0,0,LOG(Table2[[#This Row],[Target age]]))</f>
        <v>1.7558748556724915</v>
      </c>
      <c r="G264" s="59">
        <v>3.59</v>
      </c>
      <c r="H264" s="59">
        <f t="shared" si="25"/>
        <v>0.55509444857831913</v>
      </c>
      <c r="I264" s="60">
        <f>IF(Table2[[#This Row],[Culture]]=0,0,LOG(Table2[[#This Row],[Culture]]))</f>
        <v>0</v>
      </c>
      <c r="J264" s="60">
        <f>LOG(1+Table2[[#This Row],[S&amp;P]])</f>
        <v>-4.5757490560675115E-2</v>
      </c>
      <c r="K264" s="50">
        <v>0.69897000433601886</v>
      </c>
      <c r="L264" s="50">
        <v>70</v>
      </c>
      <c r="M264" s="50">
        <f t="shared" si="26"/>
        <v>1.8450980400142569</v>
      </c>
      <c r="N264" s="62">
        <v>48.8</v>
      </c>
      <c r="O264" s="62">
        <f t="shared" si="27"/>
        <v>1.6884198220027107</v>
      </c>
      <c r="P264" s="63">
        <v>56.244853437044902</v>
      </c>
      <c r="Q264" s="63">
        <f t="shared" si="28"/>
        <v>1.750082789429638</v>
      </c>
      <c r="R264" s="50">
        <f>LOG(Table2[[#This Row],[generalist]])</f>
        <v>3.1616209089088487</v>
      </c>
      <c r="S264" s="50">
        <f>LOG(Table2[[#This Row],[country divers.]])</f>
        <v>3.7997633234477775</v>
      </c>
      <c r="T264" s="50">
        <f>LOG(Table2[[#This Row],[Firm Size]])</f>
        <v>8.3360778451611068</v>
      </c>
      <c r="U264">
        <v>5</v>
      </c>
      <c r="V264" s="137">
        <f t="shared" si="29"/>
        <v>0</v>
      </c>
    </row>
    <row r="265" spans="1:22" x14ac:dyDescent="0.35">
      <c r="A265" s="67" t="s">
        <v>4</v>
      </c>
      <c r="B265" s="52">
        <v>0.96589849818814433</v>
      </c>
      <c r="C265" s="52">
        <v>5.4164383561643836</v>
      </c>
      <c r="D265" s="50">
        <f t="shared" si="24"/>
        <v>0.73371380485719762</v>
      </c>
      <c r="E265" s="52">
        <f>IF(Table2[[#This Row],[Geo Distance]]=0,0,LOG(Table2[[#This Row],[Geo Distance]]))</f>
        <v>0</v>
      </c>
      <c r="F265" s="52">
        <f>IF(Table2[[#This Row],[Target age]]=0,0,LOG(Table2[[#This Row],[Target age]]))</f>
        <v>1.8633228601204559</v>
      </c>
      <c r="G265" s="65">
        <v>3.59</v>
      </c>
      <c r="H265" s="59">
        <f t="shared" si="25"/>
        <v>0.55509444857831913</v>
      </c>
      <c r="I265" s="53">
        <f>IF(Table2[[#This Row],[Culture]]=0,0,LOG(Table2[[#This Row],[Culture]]))</f>
        <v>0</v>
      </c>
      <c r="J265" s="53">
        <f>LOG(1+Table2[[#This Row],[S&amp;P]])</f>
        <v>-4.0958607678906384E-2</v>
      </c>
      <c r="K265" s="52">
        <v>0.6020599913279624</v>
      </c>
      <c r="L265" s="52">
        <v>70</v>
      </c>
      <c r="M265" s="50">
        <f t="shared" si="26"/>
        <v>1.8450980400142569</v>
      </c>
      <c r="N265" s="55">
        <v>48.4</v>
      </c>
      <c r="O265" s="62">
        <f t="shared" si="27"/>
        <v>1.6848453616444126</v>
      </c>
      <c r="P265" s="56">
        <v>56.929890049265502</v>
      </c>
      <c r="Q265" s="63">
        <f t="shared" si="28"/>
        <v>1.7553403450438787</v>
      </c>
      <c r="R265" s="52">
        <f>LOG(Table2[[#This Row],[generalist]])</f>
        <v>3.1616209089088487</v>
      </c>
      <c r="S265" s="52">
        <f>LOG(Table2[[#This Row],[country divers.]])</f>
        <v>3.7997633234477775</v>
      </c>
      <c r="T265" s="52">
        <f>LOG(Table2[[#This Row],[Firm Size]])</f>
        <v>7.6594139527735292</v>
      </c>
      <c r="U265">
        <v>9</v>
      </c>
      <c r="V265" s="137">
        <f t="shared" si="29"/>
        <v>0</v>
      </c>
    </row>
    <row r="266" spans="1:22" x14ac:dyDescent="0.35">
      <c r="A266" s="49" t="s">
        <v>4</v>
      </c>
      <c r="B266" s="50">
        <v>0.44369749923271273</v>
      </c>
      <c r="C266" s="50">
        <v>4.6301369863013697</v>
      </c>
      <c r="D266" s="50">
        <f t="shared" si="24"/>
        <v>0.6655938401571988</v>
      </c>
      <c r="E266" s="50">
        <f>IF(Table2[[#This Row],[Geo Distance]]=0,0,LOG(Table2[[#This Row],[Geo Distance]]))</f>
        <v>3.156321950446713</v>
      </c>
      <c r="F266" s="50">
        <f>IF(Table2[[#This Row],[Target age]]=0,0,LOG(Table2[[#This Row],[Target age]]))</f>
        <v>1.4313637641589874</v>
      </c>
      <c r="G266" s="59">
        <v>3.03</v>
      </c>
      <c r="H266" s="59">
        <f t="shared" si="25"/>
        <v>0.48144262850230496</v>
      </c>
      <c r="I266" s="60">
        <f>IF(Table2[[#This Row],[Culture]]=0,0,LOG(Table2[[#This Row],[Culture]]))</f>
        <v>2.8432327780980096</v>
      </c>
      <c r="J266" s="60">
        <f>LOG(1+Table2[[#This Row],[S&amp;P]])</f>
        <v>-7.0581074285707285E-2</v>
      </c>
      <c r="K266" s="50">
        <v>0</v>
      </c>
      <c r="L266" s="50">
        <v>94.2</v>
      </c>
      <c r="M266" s="50">
        <f t="shared" si="26"/>
        <v>1.9740509027928774</v>
      </c>
      <c r="N266" s="62">
        <v>45</v>
      </c>
      <c r="O266" s="62">
        <f t="shared" si="27"/>
        <v>1.6532125137753437</v>
      </c>
      <c r="P266" s="63">
        <v>49.278563385512697</v>
      </c>
      <c r="Q266" s="63">
        <f t="shared" si="28"/>
        <v>1.6926580383844774</v>
      </c>
      <c r="R266" s="50">
        <f>LOG(Table2[[#This Row],[generalist]])</f>
        <v>3.3209851425446502</v>
      </c>
      <c r="S266" s="50">
        <f>LOG(Table2[[#This Row],[country divers.]])</f>
        <v>3.9950367434689285</v>
      </c>
      <c r="T266" s="50">
        <f>LOG(Table2[[#This Row],[Firm Size]])</f>
        <v>8.5563025007672877</v>
      </c>
      <c r="U266">
        <v>5</v>
      </c>
      <c r="V266" s="137">
        <f t="shared" si="29"/>
        <v>1</v>
      </c>
    </row>
    <row r="267" spans="1:22" x14ac:dyDescent="0.35">
      <c r="A267" s="67" t="s">
        <v>4</v>
      </c>
      <c r="B267" s="52">
        <v>0.5123812603488811</v>
      </c>
      <c r="C267" s="52">
        <v>5.0246575342465754</v>
      </c>
      <c r="D267" s="50">
        <f t="shared" si="24"/>
        <v>0.70110646687752753</v>
      </c>
      <c r="E267" s="52">
        <f>IF(Table2[[#This Row],[Geo Distance]]=0,0,LOG(Table2[[#This Row],[Geo Distance]]))</f>
        <v>0</v>
      </c>
      <c r="F267" s="52">
        <f>IF(Table2[[#This Row],[Target age]]=0,0,LOG(Table2[[#This Row],[Target age]]))</f>
        <v>2.0791812460476247</v>
      </c>
      <c r="G267" s="65">
        <v>3.59</v>
      </c>
      <c r="H267" s="59">
        <f t="shared" si="25"/>
        <v>0.55509444857831913</v>
      </c>
      <c r="I267" s="53">
        <f>IF(Table2[[#This Row],[Culture]]=0,0,LOG(Table2[[#This Row],[Culture]]))</f>
        <v>0</v>
      </c>
      <c r="J267" s="53">
        <f>LOG(1+Table2[[#This Row],[S&amp;P]])</f>
        <v>0.32428245529769273</v>
      </c>
      <c r="K267" s="52">
        <v>0.77815125038364363</v>
      </c>
      <c r="L267" s="52">
        <v>95.9</v>
      </c>
      <c r="M267" s="50">
        <f t="shared" si="26"/>
        <v>1.9818186071706636</v>
      </c>
      <c r="N267" s="55">
        <v>44.1</v>
      </c>
      <c r="O267" s="62">
        <f t="shared" si="27"/>
        <v>1.6444385894678386</v>
      </c>
      <c r="P267" s="56">
        <v>52.700584961948799</v>
      </c>
      <c r="Q267" s="63">
        <f t="shared" si="28"/>
        <v>1.721815435788193</v>
      </c>
      <c r="R267" s="52">
        <f>LOG(Table2[[#This Row],[generalist]])</f>
        <v>3.1884249941294067</v>
      </c>
      <c r="S267" s="52">
        <f>LOG(Table2[[#This Row],[country divers.]])</f>
        <v>3.9391261945252749</v>
      </c>
      <c r="T267" s="52">
        <f>LOG(Table2[[#This Row],[Firm Size]])</f>
        <v>7.6652994994998966</v>
      </c>
      <c r="U267">
        <v>6</v>
      </c>
      <c r="V267" s="137">
        <f t="shared" si="29"/>
        <v>0</v>
      </c>
    </row>
    <row r="268" spans="1:22" x14ac:dyDescent="0.35">
      <c r="A268" s="49" t="s">
        <v>4</v>
      </c>
      <c r="B268" s="50">
        <v>0.39973663535655063</v>
      </c>
      <c r="C268" s="50">
        <v>2.9150684931506849</v>
      </c>
      <c r="D268" s="50">
        <f t="shared" si="24"/>
        <v>0.46464876350255468</v>
      </c>
      <c r="E268" s="50">
        <f>IF(Table2[[#This Row],[Geo Distance]]=0,0,LOG(Table2[[#This Row],[Geo Distance]]))</f>
        <v>0</v>
      </c>
      <c r="F268" s="50">
        <f>IF(Table2[[#This Row],[Target age]]=0,0,LOG(Table2[[#This Row],[Target age]]))</f>
        <v>2.0253058652647704</v>
      </c>
      <c r="G268" s="59">
        <v>3.59</v>
      </c>
      <c r="H268" s="59">
        <f t="shared" si="25"/>
        <v>0.55509444857831913</v>
      </c>
      <c r="I268" s="60">
        <f>IF(Table2[[#This Row],[Culture]]=0,0,LOG(Table2[[#This Row],[Culture]]))</f>
        <v>0</v>
      </c>
      <c r="J268" s="60">
        <f>LOG(1+Table2[[#This Row],[S&amp;P]])</f>
        <v>0.13353890837021748</v>
      </c>
      <c r="K268" s="50">
        <v>0</v>
      </c>
      <c r="L268" s="50">
        <v>70</v>
      </c>
      <c r="M268" s="50">
        <f t="shared" si="26"/>
        <v>1.8450980400142569</v>
      </c>
      <c r="N268" s="62">
        <v>45.7</v>
      </c>
      <c r="O268" s="62">
        <f t="shared" si="27"/>
        <v>1.6599162000698502</v>
      </c>
      <c r="P268" s="63">
        <v>52.379377176281302</v>
      </c>
      <c r="Q268" s="63">
        <f t="shared" si="28"/>
        <v>1.7191603300855409</v>
      </c>
      <c r="R268" s="50">
        <f>LOG(Table2[[#This Row],[generalist]])</f>
        <v>3.1884249941294067</v>
      </c>
      <c r="S268" s="50">
        <f>LOG(Table2[[#This Row],[country divers.]])</f>
        <v>3.9391261945252749</v>
      </c>
      <c r="T268" s="50">
        <f>LOG(Table2[[#This Row],[Firm Size]])</f>
        <v>8.4393326938302629</v>
      </c>
      <c r="U268">
        <v>1</v>
      </c>
      <c r="V268" s="137">
        <f t="shared" si="29"/>
        <v>0</v>
      </c>
    </row>
    <row r="269" spans="1:22" x14ac:dyDescent="0.35">
      <c r="A269" s="67" t="s">
        <v>4</v>
      </c>
      <c r="B269" s="52">
        <v>0.4117282931576709</v>
      </c>
      <c r="C269" s="52">
        <v>2.536986301369863</v>
      </c>
      <c r="D269" s="50">
        <f t="shared" si="24"/>
        <v>0.40431812222545965</v>
      </c>
      <c r="E269" s="52">
        <f>IF(Table2[[#This Row],[Geo Distance]]=0,0,LOG(Table2[[#This Row],[Geo Distance]]))</f>
        <v>3.156321950446713</v>
      </c>
      <c r="F269" s="52">
        <f>IF(Table2[[#This Row],[Target age]]=0,0,LOG(Table2[[#This Row],[Target age]]))</f>
        <v>1.7923916894982539</v>
      </c>
      <c r="G269" s="65">
        <v>3.03</v>
      </c>
      <c r="H269" s="59">
        <f t="shared" si="25"/>
        <v>0.48144262850230496</v>
      </c>
      <c r="I269" s="53">
        <f>IF(Table2[[#This Row],[Culture]]=0,0,LOG(Table2[[#This Row],[Culture]]))</f>
        <v>2.8432327780980096</v>
      </c>
      <c r="J269" s="53">
        <f>LOG(1+Table2[[#This Row],[S&amp;P]])</f>
        <v>9.691001300805642E-2</v>
      </c>
      <c r="K269" s="52">
        <v>1.3802112417116059</v>
      </c>
      <c r="L269" s="52">
        <v>70</v>
      </c>
      <c r="M269" s="50">
        <f t="shared" si="26"/>
        <v>1.8450980400142569</v>
      </c>
      <c r="N269" s="55">
        <v>45.7</v>
      </c>
      <c r="O269" s="62">
        <f t="shared" si="27"/>
        <v>1.6599162000698502</v>
      </c>
      <c r="P269" s="56">
        <v>52.379377176281302</v>
      </c>
      <c r="Q269" s="63">
        <f t="shared" si="28"/>
        <v>1.7191603300855409</v>
      </c>
      <c r="R269" s="52">
        <f>LOG(Table2[[#This Row],[generalist]])</f>
        <v>3.2327651641054547</v>
      </c>
      <c r="S269" s="52">
        <f>LOG(Table2[[#This Row],[country divers.]])</f>
        <v>3.9527244147731087</v>
      </c>
      <c r="T269" s="52">
        <f>LOG(Table2[[#This Row],[Firm Size]])</f>
        <v>8.6674529528899544</v>
      </c>
      <c r="U269">
        <v>5</v>
      </c>
      <c r="V269" s="137">
        <f t="shared" si="29"/>
        <v>1</v>
      </c>
    </row>
    <row r="270" spans="1:22" x14ac:dyDescent="0.35">
      <c r="A270" s="49" t="s">
        <v>4</v>
      </c>
      <c r="B270" s="50">
        <v>0.66217254470212683</v>
      </c>
      <c r="C270" s="50">
        <v>5.4438356164383563</v>
      </c>
      <c r="D270" s="50">
        <f t="shared" si="24"/>
        <v>0.73590500265334047</v>
      </c>
      <c r="E270" s="50">
        <f>IF(Table2[[#This Row],[Geo Distance]]=0,0,LOG(Table2[[#This Row],[Geo Distance]]))</f>
        <v>2.5976074408030998</v>
      </c>
      <c r="F270" s="50">
        <f>IF(Table2[[#This Row],[Target age]]=0,0,LOG(Table2[[#This Row],[Target age]]))</f>
        <v>0.90308998699194354</v>
      </c>
      <c r="G270" s="59">
        <v>3.35</v>
      </c>
      <c r="H270" s="59">
        <f t="shared" si="25"/>
        <v>0.5250448070368452</v>
      </c>
      <c r="I270" s="60">
        <f>IF(Table2[[#This Row],[Culture]]=0,0,LOG(Table2[[#This Row],[Culture]]))</f>
        <v>2.5388668506644674</v>
      </c>
      <c r="J270" s="60">
        <f>LOG(1+Table2[[#This Row],[S&amp;P]])</f>
        <v>2.5305865264770262E-2</v>
      </c>
      <c r="K270" s="50">
        <v>1.0413926851582251</v>
      </c>
      <c r="L270" s="50">
        <v>70</v>
      </c>
      <c r="M270" s="50">
        <f t="shared" si="26"/>
        <v>1.8450980400142569</v>
      </c>
      <c r="N270" s="62">
        <v>46.6</v>
      </c>
      <c r="O270" s="62">
        <f t="shared" si="27"/>
        <v>1.6683859166900001</v>
      </c>
      <c r="P270" s="63">
        <v>52.311776995296299</v>
      </c>
      <c r="Q270" s="63">
        <f t="shared" si="28"/>
        <v>1.7185994729646119</v>
      </c>
      <c r="R270" s="50">
        <f>LOG(Table2[[#This Row],[generalist]])</f>
        <v>3.277819633965128</v>
      </c>
      <c r="S270" s="50">
        <f>LOG(Table2[[#This Row],[country divers.]])</f>
        <v>3.9304083853612104</v>
      </c>
      <c r="T270" s="50">
        <f>LOG(Table2[[#This Row],[Firm Size]])</f>
        <v>7.6151680596380977</v>
      </c>
      <c r="U270">
        <v>9</v>
      </c>
      <c r="V270" s="137">
        <f t="shared" si="29"/>
        <v>1</v>
      </c>
    </row>
    <row r="271" spans="1:22" x14ac:dyDescent="0.35">
      <c r="A271" s="67" t="s">
        <v>4</v>
      </c>
      <c r="B271" s="52">
        <v>0.84593942448518078</v>
      </c>
      <c r="C271" s="52">
        <v>9.6794520547945204</v>
      </c>
      <c r="D271" s="50">
        <f t="shared" si="24"/>
        <v>0.98585077297837076</v>
      </c>
      <c r="E271" s="52">
        <f>IF(Table2[[#This Row],[Geo Distance]]=0,0,LOG(Table2[[#This Row],[Geo Distance]]))</f>
        <v>2.5976074408030998</v>
      </c>
      <c r="F271" s="52">
        <f>IF(Table2[[#This Row],[Target age]]=0,0,LOG(Table2[[#This Row],[Target age]]))</f>
        <v>0.69897000433601886</v>
      </c>
      <c r="G271" s="65">
        <v>3.35</v>
      </c>
      <c r="H271" s="59">
        <f t="shared" si="25"/>
        <v>0.5250448070368452</v>
      </c>
      <c r="I271" s="53">
        <f>IF(Table2[[#This Row],[Culture]]=0,0,LOG(Table2[[#This Row],[Culture]]))</f>
        <v>2.5388668506644674</v>
      </c>
      <c r="J271" s="53">
        <f>LOG(1+Table2[[#This Row],[S&amp;P]])</f>
        <v>0.18469143081759881</v>
      </c>
      <c r="K271" s="52">
        <v>1.1139433523068367</v>
      </c>
      <c r="L271" s="52">
        <v>70</v>
      </c>
      <c r="M271" s="50">
        <f t="shared" si="26"/>
        <v>1.8450980400142569</v>
      </c>
      <c r="N271" s="55">
        <v>45.2</v>
      </c>
      <c r="O271" s="62">
        <f t="shared" si="27"/>
        <v>1.6551384348113822</v>
      </c>
      <c r="P271" s="56">
        <v>53.8530722517336</v>
      </c>
      <c r="Q271" s="63">
        <f t="shared" si="28"/>
        <v>1.7312104843083773</v>
      </c>
      <c r="R271" s="52">
        <f>LOG(Table2[[#This Row],[generalist]])</f>
        <v>3.277819633965128</v>
      </c>
      <c r="S271" s="52">
        <f>LOG(Table2[[#This Row],[country divers.]])</f>
        <v>3.9304083853612104</v>
      </c>
      <c r="T271" s="52">
        <f>LOG(Table2[[#This Row],[Firm Size]])</f>
        <v>6.344392273685111</v>
      </c>
      <c r="U271">
        <v>9</v>
      </c>
      <c r="V271" s="137">
        <f t="shared" si="29"/>
        <v>1</v>
      </c>
    </row>
    <row r="272" spans="1:22" x14ac:dyDescent="0.35">
      <c r="A272" s="49" t="s">
        <v>4</v>
      </c>
      <c r="B272" s="50">
        <v>1.2117945616294652</v>
      </c>
      <c r="C272" s="50">
        <v>5.4602739726027396</v>
      </c>
      <c r="D272" s="50">
        <f t="shared" si="24"/>
        <v>0.7372144342440129</v>
      </c>
      <c r="E272" s="50">
        <f>IF(Table2[[#This Row],[Geo Distance]]=0,0,LOG(Table2[[#This Row],[Geo Distance]]))</f>
        <v>2.5976074408030998</v>
      </c>
      <c r="F272" s="50">
        <f>IF(Table2[[#This Row],[Target age]]=0,0,LOG(Table2[[#This Row],[Target age]]))</f>
        <v>1.255272505103306</v>
      </c>
      <c r="G272" s="59">
        <v>3.35</v>
      </c>
      <c r="H272" s="59">
        <f t="shared" si="25"/>
        <v>0.5250448070368452</v>
      </c>
      <c r="I272" s="60">
        <f>IF(Table2[[#This Row],[Culture]]=0,0,LOG(Table2[[#This Row],[Culture]]))</f>
        <v>2.5388668506644674</v>
      </c>
      <c r="J272" s="60">
        <f>LOG(1+Table2[[#This Row],[S&amp;P]])</f>
        <v>0.13672056715640679</v>
      </c>
      <c r="K272" s="50">
        <v>1.1139433523068367</v>
      </c>
      <c r="L272" s="50">
        <v>70</v>
      </c>
      <c r="M272" s="50">
        <f t="shared" si="26"/>
        <v>1.8450980400142569</v>
      </c>
      <c r="N272" s="62">
        <v>45.2</v>
      </c>
      <c r="O272" s="62">
        <f t="shared" si="27"/>
        <v>1.6551384348113822</v>
      </c>
      <c r="P272" s="63">
        <v>53.8530722517336</v>
      </c>
      <c r="Q272" s="63">
        <f t="shared" si="28"/>
        <v>1.7312104843083773</v>
      </c>
      <c r="R272" s="50">
        <f>LOG(Table2[[#This Row],[generalist]])</f>
        <v>3.277819633965128</v>
      </c>
      <c r="S272" s="50">
        <f>LOG(Table2[[#This Row],[country divers.]])</f>
        <v>3.9304083853612104</v>
      </c>
      <c r="T272" s="50">
        <f>LOG(Table2[[#This Row],[Firm Size]])</f>
        <v>6.337858429041094</v>
      </c>
      <c r="U272">
        <v>9</v>
      </c>
      <c r="V272" s="137">
        <f t="shared" si="29"/>
        <v>1</v>
      </c>
    </row>
    <row r="273" spans="1:22" x14ac:dyDescent="0.35">
      <c r="A273" s="67" t="s">
        <v>4</v>
      </c>
      <c r="B273" s="52">
        <v>0.56946234932479256</v>
      </c>
      <c r="C273" s="52">
        <v>5.6520547945205477</v>
      </c>
      <c r="D273" s="50">
        <f t="shared" si="24"/>
        <v>0.7522063635166768</v>
      </c>
      <c r="E273" s="52">
        <f>IF(Table2[[#This Row],[Geo Distance]]=0,0,LOG(Table2[[#This Row],[Geo Distance]]))</f>
        <v>3.8218972149248307</v>
      </c>
      <c r="F273" s="52">
        <f>IF(Table2[[#This Row],[Target age]]=0,0,LOG(Table2[[#This Row],[Target age]]))</f>
        <v>1.3617278360175928</v>
      </c>
      <c r="G273" s="65">
        <v>3.03</v>
      </c>
      <c r="H273" s="59">
        <f t="shared" si="25"/>
        <v>0.48144262850230496</v>
      </c>
      <c r="I273" s="53">
        <f>IF(Table2[[#This Row],[Culture]]=0,0,LOG(Table2[[#This Row],[Culture]]))</f>
        <v>2.907411360774586</v>
      </c>
      <c r="J273" s="53">
        <f>LOG(1+Table2[[#This Row],[S&amp;P]])</f>
        <v>-4.0958607678906384E-2</v>
      </c>
      <c r="K273" s="52">
        <v>1.2787536009528289</v>
      </c>
      <c r="L273" s="52">
        <v>96.1</v>
      </c>
      <c r="M273" s="50">
        <f t="shared" si="26"/>
        <v>1.9827233876685453</v>
      </c>
      <c r="N273" s="55">
        <v>46</v>
      </c>
      <c r="O273" s="62">
        <f t="shared" si="27"/>
        <v>1.6627578316815741</v>
      </c>
      <c r="P273" s="56">
        <v>50.974560675820896</v>
      </c>
      <c r="Q273" s="63">
        <f t="shared" si="28"/>
        <v>1.7073534914999287</v>
      </c>
      <c r="R273" s="52">
        <f>LOG(Table2[[#This Row],[generalist]])</f>
        <v>3.0958500844125241</v>
      </c>
      <c r="S273" s="52">
        <f>LOG(Table2[[#This Row],[country divers.]])</f>
        <v>3.5078178355445662</v>
      </c>
      <c r="T273" s="52">
        <f>LOG(Table2[[#This Row],[Firm Size]])</f>
        <v>8.6974554989651978</v>
      </c>
      <c r="U273">
        <v>4</v>
      </c>
      <c r="V273" s="137">
        <f t="shared" si="29"/>
        <v>1</v>
      </c>
    </row>
    <row r="274" spans="1:22" x14ac:dyDescent="0.35">
      <c r="A274" s="49" t="s">
        <v>4</v>
      </c>
      <c r="B274" s="50">
        <v>0.481352939899792</v>
      </c>
      <c r="C274" s="50">
        <v>2.0849315068493151</v>
      </c>
      <c r="D274" s="50">
        <f t="shared" si="24"/>
        <v>0.31909179231409812</v>
      </c>
      <c r="E274" s="50">
        <f>IF(Table2[[#This Row],[Geo Distance]]=0,0,LOG(Table2[[#This Row],[Geo Distance]]))</f>
        <v>3.1186680720643172</v>
      </c>
      <c r="F274" s="50">
        <f>IF(Table2[[#This Row],[Target age]]=0,0,LOG(Table2[[#This Row],[Target age]]))</f>
        <v>1.5185139398778875</v>
      </c>
      <c r="G274" s="59">
        <v>2.99</v>
      </c>
      <c r="H274" s="59">
        <f t="shared" si="25"/>
        <v>0.47567118832442967</v>
      </c>
      <c r="I274" s="60">
        <f>IF(Table2[[#This Row],[Culture]]=0,0,LOG(Table2[[#This Row],[Culture]]))</f>
        <v>3.0707764628434346</v>
      </c>
      <c r="J274" s="60">
        <f>LOG(1+Table2[[#This Row],[S&amp;P]])</f>
        <v>7.554696139253074E-2</v>
      </c>
      <c r="K274" s="50">
        <v>0.84509804001425681</v>
      </c>
      <c r="L274" s="50">
        <v>70</v>
      </c>
      <c r="M274" s="50">
        <f t="shared" si="26"/>
        <v>1.8450980400142569</v>
      </c>
      <c r="N274" s="62">
        <v>45.7</v>
      </c>
      <c r="O274" s="62">
        <f t="shared" si="27"/>
        <v>1.6599162000698502</v>
      </c>
      <c r="P274" s="63">
        <v>52.379377176281302</v>
      </c>
      <c r="Q274" s="63">
        <f t="shared" si="28"/>
        <v>1.7191603300855409</v>
      </c>
      <c r="R274" s="50">
        <f>LOG(Table2[[#This Row],[generalist]])</f>
        <v>3.2258683317817765</v>
      </c>
      <c r="S274" s="50">
        <f>LOG(Table2[[#This Row],[country divers.]])</f>
        <v>3.9615291224236637</v>
      </c>
      <c r="T274" s="50">
        <f>LOG(Table2[[#This Row],[Firm Size]])</f>
        <v>8.6275501877675218</v>
      </c>
      <c r="U274">
        <v>2</v>
      </c>
      <c r="V274" s="137">
        <f t="shared" si="29"/>
        <v>1</v>
      </c>
    </row>
    <row r="275" spans="1:22" x14ac:dyDescent="0.35">
      <c r="A275" s="67" t="s">
        <v>4</v>
      </c>
      <c r="B275" s="52">
        <v>0.39051099108289822</v>
      </c>
      <c r="C275" s="52">
        <v>2.7397260273972601</v>
      </c>
      <c r="D275" s="50">
        <f t="shared" si="24"/>
        <v>0.43770713554352525</v>
      </c>
      <c r="E275" s="52">
        <f>IF(Table2[[#This Row],[Geo Distance]]=0,0,LOG(Table2[[#This Row],[Geo Distance]]))</f>
        <v>2.6198547660331819</v>
      </c>
      <c r="F275" s="52">
        <f>IF(Table2[[#This Row],[Target age]]=0,0,LOG(Table2[[#This Row],[Target age]]))</f>
        <v>1.2041199826559248</v>
      </c>
      <c r="G275" s="65">
        <v>3.49</v>
      </c>
      <c r="H275" s="59">
        <f t="shared" si="25"/>
        <v>0.5428254269591799</v>
      </c>
      <c r="I275" s="53">
        <f>IF(Table2[[#This Row],[Culture]]=0,0,LOG(Table2[[#This Row],[Culture]]))</f>
        <v>2.3381243371968998</v>
      </c>
      <c r="J275" s="53">
        <f>LOG(1+Table2[[#This Row],[S&amp;P]])</f>
        <v>0.17609125905568124</v>
      </c>
      <c r="K275" s="52">
        <v>0.95424250943932487</v>
      </c>
      <c r="L275" s="52">
        <v>94.6</v>
      </c>
      <c r="M275" s="50">
        <f t="shared" si="26"/>
        <v>1.9758911364017928</v>
      </c>
      <c r="N275" s="55">
        <v>42.6</v>
      </c>
      <c r="O275" s="62">
        <f t="shared" si="27"/>
        <v>1.6294095991027189</v>
      </c>
      <c r="P275" s="56">
        <v>51.303664454517403</v>
      </c>
      <c r="Q275" s="63">
        <f t="shared" si="28"/>
        <v>1.7101483864673446</v>
      </c>
      <c r="R275" s="52">
        <f>LOG(Table2[[#This Row],[generalist]])</f>
        <v>3.3222069919483515</v>
      </c>
      <c r="S275" s="52">
        <f>LOG(Table2[[#This Row],[country divers.]])</f>
        <v>3.9577021302433337</v>
      </c>
      <c r="T275" s="52">
        <f>LOG(Table2[[#This Row],[Firm Size]])</f>
        <v>7.9799578933406652</v>
      </c>
      <c r="U275">
        <v>7</v>
      </c>
      <c r="V275" s="137">
        <f t="shared" si="29"/>
        <v>1</v>
      </c>
    </row>
    <row r="276" spans="1:22" x14ac:dyDescent="0.35">
      <c r="A276" s="49" t="s">
        <v>4</v>
      </c>
      <c r="B276" s="50">
        <v>0.78952095735475225</v>
      </c>
      <c r="C276" s="50">
        <v>2.956164383561644</v>
      </c>
      <c r="D276" s="50">
        <f t="shared" si="24"/>
        <v>0.47072858022643599</v>
      </c>
      <c r="E276" s="50">
        <f>IF(Table2[[#This Row],[Geo Distance]]=0,0,LOG(Table2[[#This Row],[Geo Distance]]))</f>
        <v>0</v>
      </c>
      <c r="F276" s="50">
        <f>IF(Table2[[#This Row],[Target age]]=0,0,LOG(Table2[[#This Row],[Target age]]))</f>
        <v>1.4913616938342726</v>
      </c>
      <c r="G276" s="59">
        <v>3.59</v>
      </c>
      <c r="H276" s="59">
        <f t="shared" si="25"/>
        <v>0.55509444857831913</v>
      </c>
      <c r="I276" s="60">
        <f>IF(Table2[[#This Row],[Culture]]=0,0,LOG(Table2[[#This Row],[Culture]]))</f>
        <v>0</v>
      </c>
      <c r="J276" s="60">
        <f>LOG(1+Table2[[#This Row],[S&amp;P]])</f>
        <v>0.10037054511756291</v>
      </c>
      <c r="K276" s="50">
        <v>1.3979400086720377</v>
      </c>
      <c r="L276" s="50">
        <v>91.1</v>
      </c>
      <c r="M276" s="50">
        <f t="shared" si="26"/>
        <v>1.9595183769729982</v>
      </c>
      <c r="N276" s="62">
        <v>42.6</v>
      </c>
      <c r="O276" s="62">
        <f t="shared" si="27"/>
        <v>1.6294095991027189</v>
      </c>
      <c r="P276" s="63">
        <v>51.076866471704001</v>
      </c>
      <c r="Q276" s="63">
        <f t="shared" si="28"/>
        <v>1.7082242457606944</v>
      </c>
      <c r="R276" s="50">
        <f>LOG(Table2[[#This Row],[generalist]])</f>
        <v>3.212261842580872</v>
      </c>
      <c r="S276" s="50">
        <f>LOG(Table2[[#This Row],[country divers.]])</f>
        <v>3.9329492300777744</v>
      </c>
      <c r="T276" s="50">
        <f>LOG(Table2[[#This Row],[Firm Size]])</f>
        <v>8.3865703017009299</v>
      </c>
      <c r="U276">
        <v>6</v>
      </c>
      <c r="V276" s="137">
        <f t="shared" si="29"/>
        <v>0</v>
      </c>
    </row>
    <row r="277" spans="1:22" x14ac:dyDescent="0.35">
      <c r="A277" s="67" t="s">
        <v>4</v>
      </c>
      <c r="B277" s="52">
        <v>0.88303019306297537</v>
      </c>
      <c r="C277" s="52">
        <v>1.8356164383561644</v>
      </c>
      <c r="D277" s="50">
        <f t="shared" si="24"/>
        <v>0.26378193824435175</v>
      </c>
      <c r="E277" s="52">
        <f>IF(Table2[[#This Row],[Geo Distance]]=0,0,LOG(Table2[[#This Row],[Geo Distance]]))</f>
        <v>3.8218972149248307</v>
      </c>
      <c r="F277" s="52" t="e">
        <f>IF(Table2[[#This Row],[Target age]]=0,0,LOG(Table2[[#This Row],[Target age]]))</f>
        <v>#NUM!</v>
      </c>
      <c r="G277" s="65">
        <v>3.03</v>
      </c>
      <c r="H277" s="59">
        <f t="shared" si="25"/>
        <v>0.48144262850230496</v>
      </c>
      <c r="I277" s="53">
        <f>IF(Table2[[#This Row],[Culture]]=0,0,LOG(Table2[[#This Row],[Culture]]))</f>
        <v>2.907411360774586</v>
      </c>
      <c r="J277" s="53">
        <f>LOG(1+Table2[[#This Row],[S&amp;P]])</f>
        <v>0.13672056715640679</v>
      </c>
      <c r="K277" s="52">
        <v>1.7558748556724915</v>
      </c>
      <c r="L277" s="52">
        <v>70</v>
      </c>
      <c r="M277" s="50">
        <f t="shared" si="26"/>
        <v>1.8450980400142569</v>
      </c>
      <c r="N277" s="55">
        <v>48.8</v>
      </c>
      <c r="O277" s="62">
        <f t="shared" si="27"/>
        <v>1.6884198220027107</v>
      </c>
      <c r="P277" s="56">
        <v>40.994444916013499</v>
      </c>
      <c r="Q277" s="63">
        <f t="shared" si="28"/>
        <v>1.61272501023744</v>
      </c>
      <c r="R277" s="52">
        <f>LOG(Table2[[#This Row],[generalist]])</f>
        <v>3.3779512479807074</v>
      </c>
      <c r="S277" s="52">
        <f>LOG(Table2[[#This Row],[country divers.]])</f>
        <v>3.7669888618571257</v>
      </c>
      <c r="T277" s="52">
        <f>LOG(Table2[[#This Row],[Firm Size]])</f>
        <v>6.8573324964312681</v>
      </c>
      <c r="U277">
        <v>9</v>
      </c>
      <c r="V277" s="137">
        <f t="shared" si="29"/>
        <v>1</v>
      </c>
    </row>
    <row r="278" spans="1:22" x14ac:dyDescent="0.35">
      <c r="A278" s="49" t="s">
        <v>4</v>
      </c>
      <c r="B278" s="50">
        <v>-2.9999301058829555E-2</v>
      </c>
      <c r="C278" s="50">
        <v>14.665753424657535</v>
      </c>
      <c r="D278" s="50">
        <f t="shared" si="24"/>
        <v>1.1663043789269569</v>
      </c>
      <c r="E278" s="50">
        <f>IF(Table2[[#This Row],[Geo Distance]]=0,0,LOG(Table2[[#This Row],[Geo Distance]]))</f>
        <v>3.8218972149248307</v>
      </c>
      <c r="F278" s="50">
        <f>IF(Table2[[#This Row],[Target age]]=0,0,LOG(Table2[[#This Row],[Target age]]))</f>
        <v>1.9493900066449128</v>
      </c>
      <c r="G278" s="59">
        <v>3.03</v>
      </c>
      <c r="H278" s="59">
        <f t="shared" si="25"/>
        <v>0.48144262850230496</v>
      </c>
      <c r="I278" s="60">
        <f>IF(Table2[[#This Row],[Culture]]=0,0,LOG(Table2[[#This Row],[Culture]]))</f>
        <v>2.907411360774586</v>
      </c>
      <c r="J278" s="60">
        <f>LOG(1+Table2[[#This Row],[S&amp;P]])</f>
        <v>0.34635297445063856</v>
      </c>
      <c r="K278" s="50">
        <v>0.84509804001425681</v>
      </c>
      <c r="L278" s="50">
        <v>70</v>
      </c>
      <c r="M278" s="50">
        <f t="shared" si="26"/>
        <v>1.8450980400142569</v>
      </c>
      <c r="N278" s="62">
        <v>45.2</v>
      </c>
      <c r="O278" s="62">
        <f t="shared" si="27"/>
        <v>1.6551384348113822</v>
      </c>
      <c r="P278" s="63">
        <v>53.8530722517336</v>
      </c>
      <c r="Q278" s="63">
        <f t="shared" si="28"/>
        <v>1.7312104843083773</v>
      </c>
      <c r="R278" s="50">
        <f>LOG(Table2[[#This Row],[generalist]])</f>
        <v>3.4646002676582905</v>
      </c>
      <c r="S278" s="50">
        <f>LOG(Table2[[#This Row],[country divers.]])</f>
        <v>3.9695495619878729</v>
      </c>
      <c r="T278" s="50">
        <f>LOG(Table2[[#This Row],[Firm Size]])</f>
        <v>8.5159051925510969</v>
      </c>
      <c r="U278">
        <v>5</v>
      </c>
      <c r="V278" s="137">
        <f t="shared" si="29"/>
        <v>1</v>
      </c>
    </row>
    <row r="279" spans="1:22" x14ac:dyDescent="0.35">
      <c r="A279" s="67" t="s">
        <v>4</v>
      </c>
      <c r="B279" s="52">
        <v>-0.50046355716177571</v>
      </c>
      <c r="C279" s="52">
        <v>2.2383561643835614</v>
      </c>
      <c r="D279" s="50">
        <f t="shared" si="24"/>
        <v>0.34992919207594075</v>
      </c>
      <c r="E279" s="52">
        <f>IF(Table2[[#This Row],[Geo Distance]]=0,0,LOG(Table2[[#This Row],[Geo Distance]]))</f>
        <v>3.156321950446713</v>
      </c>
      <c r="F279" s="52">
        <f>IF(Table2[[#This Row],[Target age]]=0,0,LOG(Table2[[#This Row],[Target age]]))</f>
        <v>1.7160033436347992</v>
      </c>
      <c r="G279" s="65">
        <v>3.03</v>
      </c>
      <c r="H279" s="59">
        <f t="shared" si="25"/>
        <v>0.48144262850230496</v>
      </c>
      <c r="I279" s="53">
        <f>IF(Table2[[#This Row],[Culture]]=0,0,LOG(Table2[[#This Row],[Culture]]))</f>
        <v>2.8432327780980096</v>
      </c>
      <c r="J279" s="53">
        <f>LOG(1+Table2[[#This Row],[S&amp;P]])</f>
        <v>-0.10790539730951958</v>
      </c>
      <c r="K279" s="52">
        <v>1.7923916894982539</v>
      </c>
      <c r="L279" s="52">
        <v>94.2</v>
      </c>
      <c r="M279" s="50">
        <f t="shared" si="26"/>
        <v>1.9740509027928774</v>
      </c>
      <c r="N279" s="55">
        <v>45</v>
      </c>
      <c r="O279" s="62">
        <f t="shared" si="27"/>
        <v>1.6532125137753437</v>
      </c>
      <c r="P279" s="56">
        <v>49.278563385512697</v>
      </c>
      <c r="Q279" s="63">
        <f t="shared" si="28"/>
        <v>1.6926580383844774</v>
      </c>
      <c r="R279" s="52">
        <f>LOG(Table2[[#This Row],[generalist]])</f>
        <v>3.1990556451691736</v>
      </c>
      <c r="S279" s="52">
        <f>LOG(Table2[[#This Row],[country divers.]])</f>
        <v>3.7784953823207492</v>
      </c>
      <c r="T279" s="52">
        <f>LOG(Table2[[#This Row],[Firm Size]])</f>
        <v>8.8633228601204568</v>
      </c>
      <c r="U279">
        <v>1</v>
      </c>
      <c r="V279" s="137">
        <f t="shared" si="29"/>
        <v>1</v>
      </c>
    </row>
    <row r="280" spans="1:22" x14ac:dyDescent="0.35">
      <c r="A280" s="49" t="s">
        <v>489</v>
      </c>
      <c r="B280" s="50">
        <v>4.6804524432146763E-2</v>
      </c>
      <c r="C280" s="50">
        <v>3.6739726027397261</v>
      </c>
      <c r="D280" s="50">
        <f t="shared" si="24"/>
        <v>0.56513591339512426</v>
      </c>
      <c r="E280" s="50">
        <f>IF(Table2[[#This Row],[Geo Distance]]=0,0,LOG(Table2[[#This Row],[Geo Distance]]))</f>
        <v>2.8898897032485915</v>
      </c>
      <c r="F280" s="50">
        <f>IF(Table2[[#This Row],[Target age]]=0,0,LOG(Table2[[#This Row],[Target age]]))</f>
        <v>0.77815125038364363</v>
      </c>
      <c r="G280" s="59">
        <v>3.18</v>
      </c>
      <c r="H280" s="59">
        <f t="shared" si="25"/>
        <v>0.50242711998443268</v>
      </c>
      <c r="I280" s="60">
        <f>IF(Table2[[#This Row],[Culture]]=0,0,LOG(Table2[[#This Row],[Culture]]))</f>
        <v>2.4051185932991617</v>
      </c>
      <c r="J280" s="60">
        <f>LOG(1+Table2[[#This Row],[S&amp;P]])</f>
        <v>4.1392685158225077E-2</v>
      </c>
      <c r="K280" s="50">
        <v>1.3424226808222062</v>
      </c>
      <c r="L280" s="50">
        <v>70</v>
      </c>
      <c r="M280" s="50">
        <f t="shared" si="26"/>
        <v>1.8450980400142569</v>
      </c>
      <c r="N280" s="62">
        <v>27.63</v>
      </c>
      <c r="O280" s="62">
        <f t="shared" si="27"/>
        <v>1.4413808849165113</v>
      </c>
      <c r="P280" s="63">
        <v>49.329709120205997</v>
      </c>
      <c r="Q280" s="63">
        <f t="shared" si="28"/>
        <v>1.6931085545892062</v>
      </c>
      <c r="R280" s="50">
        <f>LOG(Table2[[#This Row],[generalist]])</f>
        <v>3.2327651641054547</v>
      </c>
      <c r="S280" s="50">
        <f>LOG(Table2[[#This Row],[country divers.]])</f>
        <v>3.9527244147731087</v>
      </c>
      <c r="T280" s="50">
        <f>LOG(Table2[[#This Row],[Firm Size]])</f>
        <v>8.7634279935629369</v>
      </c>
      <c r="U280">
        <v>1</v>
      </c>
      <c r="V280" s="137">
        <f t="shared" si="29"/>
        <v>1</v>
      </c>
    </row>
    <row r="281" spans="1:22" x14ac:dyDescent="0.35">
      <c r="A281" s="67" t="s">
        <v>489</v>
      </c>
      <c r="B281" s="52">
        <v>-0.21439828045410877</v>
      </c>
      <c r="C281" s="52">
        <v>8.4493150684931511</v>
      </c>
      <c r="D281" s="50">
        <f t="shared" si="24"/>
        <v>0.92682150492244464</v>
      </c>
      <c r="E281" s="52">
        <f>IF(Table2[[#This Row],[Geo Distance]]=0,0,LOG(Table2[[#This Row],[Geo Distance]]))</f>
        <v>2.8264246901087553</v>
      </c>
      <c r="F281" s="52">
        <f>IF(Table2[[#This Row],[Target age]]=0,0,LOG(Table2[[#This Row],[Target age]]))</f>
        <v>1.6989700043360187</v>
      </c>
      <c r="G281" s="65">
        <v>3.25</v>
      </c>
      <c r="H281" s="59">
        <f t="shared" si="25"/>
        <v>0.51188336097887432</v>
      </c>
      <c r="I281" s="53">
        <f>IF(Table2[[#This Row],[Culture]]=0,0,LOG(Table2[[#This Row],[Culture]]))</f>
        <v>2.7164207338465549</v>
      </c>
      <c r="J281" s="53">
        <f>LOG(1+Table2[[#This Row],[S&amp;P]])</f>
        <v>0.12057393120584989</v>
      </c>
      <c r="K281" s="52">
        <v>0.95424250943932487</v>
      </c>
      <c r="L281" s="52">
        <v>84.1</v>
      </c>
      <c r="M281" s="50">
        <f t="shared" si="26"/>
        <v>1.9247959957979122</v>
      </c>
      <c r="N281" s="55">
        <v>26.2</v>
      </c>
      <c r="O281" s="62">
        <f t="shared" si="27"/>
        <v>1.4183012913197455</v>
      </c>
      <c r="P281" s="56">
        <v>49.329709120205997</v>
      </c>
      <c r="Q281" s="63">
        <f t="shared" si="28"/>
        <v>1.6931085545892062</v>
      </c>
      <c r="R281" s="52">
        <f>LOG(Table2[[#This Row],[generalist]])</f>
        <v>3.9690067974360175</v>
      </c>
      <c r="S281" s="52">
        <f>LOG(Table2[[#This Row],[country divers.]])</f>
        <v>3.6622275530882837</v>
      </c>
      <c r="T281" s="52">
        <f>LOG(Table2[[#This Row],[Firm Size]])</f>
        <v>9.0594963204683658</v>
      </c>
      <c r="U281">
        <v>1</v>
      </c>
      <c r="V281" s="137">
        <f t="shared" si="29"/>
        <v>1</v>
      </c>
    </row>
    <row r="282" spans="1:22" x14ac:dyDescent="0.35">
      <c r="A282" s="49" t="s">
        <v>489</v>
      </c>
      <c r="B282" s="50">
        <v>0.40401005301388143</v>
      </c>
      <c r="C282" s="50">
        <v>3.6301369863013697</v>
      </c>
      <c r="D282" s="50">
        <f t="shared" si="24"/>
        <v>0.5599230138163519</v>
      </c>
      <c r="E282" s="50">
        <f>IF(Table2[[#This Row],[Geo Distance]]=0,0,LOG(Table2[[#This Row],[Geo Distance]]))</f>
        <v>0</v>
      </c>
      <c r="F282" s="50">
        <f>IF(Table2[[#This Row],[Target age]]=0,0,LOG(Table2[[#This Row],[Target age]]))</f>
        <v>1.6901960800285136</v>
      </c>
      <c r="G282" s="71">
        <v>0</v>
      </c>
      <c r="H282" s="59" t="e">
        <f t="shared" si="25"/>
        <v>#NUM!</v>
      </c>
      <c r="I282" s="60">
        <f>IF(Table2[[#This Row],[Culture]]=0,0,LOG(Table2[[#This Row],[Culture]]))</f>
        <v>0</v>
      </c>
      <c r="J282" s="60">
        <f>LOG(1+Table2[[#This Row],[S&amp;P]])</f>
        <v>0.13987908640123647</v>
      </c>
      <c r="K282" s="50">
        <v>1.255272505103306</v>
      </c>
      <c r="L282" s="50">
        <v>75.400000000000006</v>
      </c>
      <c r="M282" s="50">
        <f t="shared" si="26"/>
        <v>1.8773713458697741</v>
      </c>
      <c r="N282" s="62">
        <v>26.88</v>
      </c>
      <c r="O282" s="62">
        <f t="shared" si="27"/>
        <v>1.4294292643817876</v>
      </c>
      <c r="P282" s="63">
        <v>49.329709120205997</v>
      </c>
      <c r="Q282" s="63">
        <f t="shared" si="28"/>
        <v>1.6931085545892062</v>
      </c>
      <c r="R282" s="50">
        <f>LOG(Table2[[#This Row],[generalist]])</f>
        <v>3.1532162502154288</v>
      </c>
      <c r="S282" s="50">
        <f>LOG(Table2[[#This Row],[country divers.]])</f>
        <v>3.5175748361336181</v>
      </c>
      <c r="T282" s="50">
        <f>LOG(Table2[[#This Row],[Firm Size]])</f>
        <v>8.8159982239937715</v>
      </c>
      <c r="U282">
        <v>1</v>
      </c>
      <c r="V282" s="137">
        <f t="shared" si="29"/>
        <v>0</v>
      </c>
    </row>
    <row r="283" spans="1:22" x14ac:dyDescent="0.35">
      <c r="A283" s="67" t="s">
        <v>489</v>
      </c>
      <c r="B283" s="52">
        <v>0.90859223884756946</v>
      </c>
      <c r="C283" s="52">
        <v>3.473972602739726</v>
      </c>
      <c r="D283" s="50">
        <f t="shared" si="24"/>
        <v>0.54082638908923919</v>
      </c>
      <c r="E283" s="52">
        <f>IF(Table2[[#This Row],[Geo Distance]]=0,0,LOG(Table2[[#This Row],[Geo Distance]]))</f>
        <v>0</v>
      </c>
      <c r="F283" s="52">
        <f>IF(Table2[[#This Row],[Target age]]=0,0,LOG(Table2[[#This Row],[Target age]]))</f>
        <v>0.47712125471966244</v>
      </c>
      <c r="G283" s="121">
        <v>0</v>
      </c>
      <c r="H283" s="59" t="e">
        <f t="shared" si="25"/>
        <v>#NUM!</v>
      </c>
      <c r="I283" s="53">
        <f>IF(Table2[[#This Row],[Culture]]=0,0,LOG(Table2[[#This Row],[Culture]]))</f>
        <v>0</v>
      </c>
      <c r="J283" s="53">
        <f>LOG(1+Table2[[#This Row],[S&amp;P]])</f>
        <v>3.7426497940623665E-2</v>
      </c>
      <c r="K283" s="52">
        <v>0.77815125038364363</v>
      </c>
      <c r="L283" s="52">
        <v>70</v>
      </c>
      <c r="M283" s="50">
        <f t="shared" si="26"/>
        <v>1.8450980400142569</v>
      </c>
      <c r="N283" s="55">
        <v>27.63</v>
      </c>
      <c r="O283" s="62">
        <f t="shared" si="27"/>
        <v>1.4413808849165113</v>
      </c>
      <c r="P283" s="56">
        <v>49.329709120205997</v>
      </c>
      <c r="Q283" s="63">
        <f t="shared" si="28"/>
        <v>1.6931085545892062</v>
      </c>
      <c r="R283" s="52">
        <f>LOG(Table2[[#This Row],[generalist]])</f>
        <v>3.1532162502154288</v>
      </c>
      <c r="S283" s="52">
        <f>LOG(Table2[[#This Row],[country divers.]])</f>
        <v>3.5175748361336181</v>
      </c>
      <c r="T283" s="52">
        <f>LOG(Table2[[#This Row],[Firm Size]])</f>
        <v>7</v>
      </c>
      <c r="U283">
        <v>9</v>
      </c>
      <c r="V283" s="137">
        <f t="shared" si="29"/>
        <v>0</v>
      </c>
    </row>
    <row r="284" spans="1:22" x14ac:dyDescent="0.35">
      <c r="A284" s="49" t="s">
        <v>489</v>
      </c>
      <c r="B284" s="50">
        <v>0.55017516002644007</v>
      </c>
      <c r="C284" s="50">
        <v>4.5287671232876709</v>
      </c>
      <c r="D284" s="50">
        <f t="shared" si="24"/>
        <v>0.65597998911497279</v>
      </c>
      <c r="E284" s="50">
        <f>IF(Table2[[#This Row],[Geo Distance]]=0,0,LOG(Table2[[#This Row],[Geo Distance]]))</f>
        <v>0</v>
      </c>
      <c r="F284" s="50">
        <f>IF(Table2[[#This Row],[Target age]]=0,0,LOG(Table2[[#This Row],[Target age]]))</f>
        <v>0</v>
      </c>
      <c r="G284" s="71">
        <v>0</v>
      </c>
      <c r="H284" s="59" t="e">
        <f t="shared" si="25"/>
        <v>#NUM!</v>
      </c>
      <c r="I284" s="60">
        <f>IF(Table2[[#This Row],[Culture]]=0,0,LOG(Table2[[#This Row],[Culture]]))</f>
        <v>0</v>
      </c>
      <c r="J284" s="60">
        <f>LOG(1+Table2[[#This Row],[S&amp;P]])</f>
        <v>-8.092190762392612E-2</v>
      </c>
      <c r="K284" s="50">
        <v>0.6020599913279624</v>
      </c>
      <c r="L284" s="50">
        <v>70</v>
      </c>
      <c r="M284" s="50">
        <f t="shared" si="26"/>
        <v>1.8450980400142569</v>
      </c>
      <c r="N284" s="62">
        <v>27.61</v>
      </c>
      <c r="O284" s="62">
        <f t="shared" si="27"/>
        <v>1.4410664066392631</v>
      </c>
      <c r="P284" s="63">
        <v>49.329709120205997</v>
      </c>
      <c r="Q284" s="63">
        <f t="shared" si="28"/>
        <v>1.6931085545892062</v>
      </c>
      <c r="R284" s="50">
        <f>LOG(Table2[[#This Row],[generalist]])</f>
        <v>3.1532162502154288</v>
      </c>
      <c r="S284" s="50">
        <f>LOG(Table2[[#This Row],[country divers.]])</f>
        <v>3.5175748361336181</v>
      </c>
      <c r="T284" s="50">
        <f>LOG(Table2[[#This Row],[Firm Size]])</f>
        <v>7.3617278360175931</v>
      </c>
      <c r="U284">
        <v>2</v>
      </c>
      <c r="V284" s="137">
        <f t="shared" si="29"/>
        <v>0</v>
      </c>
    </row>
    <row r="285" spans="1:22" x14ac:dyDescent="0.35">
      <c r="A285" s="67" t="s">
        <v>489</v>
      </c>
      <c r="B285" s="52">
        <v>1.085692621382691</v>
      </c>
      <c r="C285" s="52">
        <v>8.8328767123287673</v>
      </c>
      <c r="D285" s="50">
        <f t="shared" si="24"/>
        <v>0.94610216867657837</v>
      </c>
      <c r="E285" s="52">
        <f>IF(Table2[[#This Row],[Geo Distance]]=0,0,LOG(Table2[[#This Row],[Geo Distance]]))</f>
        <v>3.8229111072821804</v>
      </c>
      <c r="F285" s="52">
        <f>IF(Table2[[#This Row],[Target age]]=0,0,LOG(Table2[[#This Row],[Target age]]))</f>
        <v>2.1072099696478683</v>
      </c>
      <c r="G285" s="65">
        <v>3.03</v>
      </c>
      <c r="H285" s="59">
        <f t="shared" si="25"/>
        <v>0.48144262850230496</v>
      </c>
      <c r="I285" s="53">
        <f>IF(Table2[[#This Row],[Culture]]=0,0,LOG(Table2[[#This Row],[Culture]]))</f>
        <v>2.7105404479332971</v>
      </c>
      <c r="J285" s="53">
        <f>LOG(1+Table2[[#This Row],[S&amp;P]])</f>
        <v>8.2785370316450071E-2</v>
      </c>
      <c r="K285" s="52">
        <v>1.2304489213782739</v>
      </c>
      <c r="L285" s="52">
        <v>70</v>
      </c>
      <c r="M285" s="50">
        <f t="shared" si="26"/>
        <v>1.8450980400142569</v>
      </c>
      <c r="N285" s="55">
        <v>27.63</v>
      </c>
      <c r="O285" s="62">
        <f t="shared" si="27"/>
        <v>1.4413808849165113</v>
      </c>
      <c r="P285" s="56">
        <v>49.329709120205997</v>
      </c>
      <c r="Q285" s="63">
        <f t="shared" si="28"/>
        <v>1.6931085545892062</v>
      </c>
      <c r="R285" s="52">
        <f>LOG(Table2[[#This Row],[generalist]])</f>
        <v>3.4636820971642801</v>
      </c>
      <c r="S285" s="52">
        <f>LOG(Table2[[#This Row],[country divers.]])</f>
        <v>3.6703795027080157</v>
      </c>
      <c r="T285" s="52">
        <f>LOG(Table2[[#This Row],[Firm Size]])</f>
        <v>9.052066473798158</v>
      </c>
      <c r="U285">
        <v>2</v>
      </c>
      <c r="V285" s="137">
        <f t="shared" si="29"/>
        <v>1</v>
      </c>
    </row>
    <row r="286" spans="1:22" x14ac:dyDescent="0.35">
      <c r="A286" s="49" t="s">
        <v>489</v>
      </c>
      <c r="B286" s="50">
        <v>0.39755231136672903</v>
      </c>
      <c r="C286" s="50">
        <v>8.3890410958904109</v>
      </c>
      <c r="D286" s="50">
        <f t="shared" si="24"/>
        <v>0.92371232190576746</v>
      </c>
      <c r="E286" s="50">
        <f>IF(Table2[[#This Row],[Geo Distance]]=0,0,LOG(Table2[[#This Row],[Geo Distance]]))</f>
        <v>3.8229111072821804</v>
      </c>
      <c r="F286" s="50">
        <f>IF(Table2[[#This Row],[Target age]]=0,0,LOG(Table2[[#This Row],[Target age]]))</f>
        <v>1.6127838567197355</v>
      </c>
      <c r="G286" s="59">
        <v>3.03</v>
      </c>
      <c r="H286" s="59">
        <f t="shared" si="25"/>
        <v>0.48144262850230496</v>
      </c>
      <c r="I286" s="60">
        <f>IF(Table2[[#This Row],[Culture]]=0,0,LOG(Table2[[#This Row],[Culture]]))</f>
        <v>2.7105404479332971</v>
      </c>
      <c r="J286" s="60">
        <f>LOG(1+Table2[[#This Row],[S&amp;P]])</f>
        <v>0.12057393120584989</v>
      </c>
      <c r="K286" s="50">
        <v>1.146128035678238</v>
      </c>
      <c r="L286" s="50">
        <v>70</v>
      </c>
      <c r="M286" s="50">
        <f t="shared" si="26"/>
        <v>1.8450980400142569</v>
      </c>
      <c r="N286" s="62">
        <v>26.36</v>
      </c>
      <c r="O286" s="62">
        <f t="shared" si="27"/>
        <v>1.4209454059219722</v>
      </c>
      <c r="P286" s="63">
        <v>49.329709120205997</v>
      </c>
      <c r="Q286" s="63">
        <f t="shared" si="28"/>
        <v>1.6931085545892062</v>
      </c>
      <c r="R286" s="50">
        <f>LOG(Table2[[#This Row],[generalist]])</f>
        <v>3.1611681223374744</v>
      </c>
      <c r="S286" s="50">
        <f>LOG(Table2[[#This Row],[country divers.]])</f>
        <v>3.6619163036888955</v>
      </c>
      <c r="T286" s="50">
        <f>LOG(Table2[[#This Row],[Firm Size]])</f>
        <v>8.1139433523068369</v>
      </c>
      <c r="U286">
        <v>9</v>
      </c>
      <c r="V286" s="137">
        <f t="shared" si="29"/>
        <v>1</v>
      </c>
    </row>
    <row r="287" spans="1:22" x14ac:dyDescent="0.35">
      <c r="A287" s="51" t="s">
        <v>59</v>
      </c>
      <c r="B287" s="52">
        <v>-0.43880684783884277</v>
      </c>
      <c r="C287" s="52">
        <v>9.2657534246575342</v>
      </c>
      <c r="D287" s="50">
        <f t="shared" si="24"/>
        <v>0.96688073880524827</v>
      </c>
      <c r="E287" s="52">
        <f>IF(Table2[[#This Row],[Geo Distance]]=0,0,LOG(Table2[[#This Row],[Geo Distance]]))</f>
        <v>0</v>
      </c>
      <c r="F287" s="52">
        <f>IF(Table2[[#This Row],[Target age]]=0,0,LOG(Table2[[#This Row],[Target age]]))</f>
        <v>0</v>
      </c>
      <c r="G287" s="65">
        <v>3.29</v>
      </c>
      <c r="H287" s="59">
        <f t="shared" si="25"/>
        <v>0.51719589794997434</v>
      </c>
      <c r="I287" s="53">
        <f>IF(Table2[[#This Row],[Culture]]=0,0,LOG(Table2[[#This Row],[Culture]]))</f>
        <v>0</v>
      </c>
      <c r="J287" s="53">
        <f>LOG(1+Table2[[#This Row],[S&amp;P]])</f>
        <v>0.17897694729316943</v>
      </c>
      <c r="K287" s="52">
        <v>0</v>
      </c>
      <c r="L287" s="52">
        <v>85</v>
      </c>
      <c r="M287" s="50">
        <f t="shared" si="26"/>
        <v>1.9294189257142926</v>
      </c>
      <c r="N287" s="55">
        <v>30</v>
      </c>
      <c r="O287" s="62">
        <f t="shared" si="27"/>
        <v>1.4771212547196624</v>
      </c>
      <c r="P287" s="56">
        <v>35.807885111275297</v>
      </c>
      <c r="Q287" s="63">
        <f t="shared" si="28"/>
        <v>1.5539786714272548</v>
      </c>
      <c r="R287" s="52">
        <f>LOG(Table2[[#This Row],[generalist]])</f>
        <v>3.2860283894181141</v>
      </c>
      <c r="S287" s="52">
        <f>LOG(Table2[[#This Row],[country divers.]])</f>
        <v>3.9098977130890344</v>
      </c>
      <c r="T287" s="84">
        <f>LOG(Table2[[#This Row],[Firm Size]])</f>
        <v>7.7160033436347994</v>
      </c>
      <c r="U287">
        <v>7</v>
      </c>
      <c r="V287" s="137">
        <f t="shared" si="29"/>
        <v>0</v>
      </c>
    </row>
    <row r="288" spans="1:22" x14ac:dyDescent="0.35">
      <c r="A288" s="58" t="s">
        <v>59</v>
      </c>
      <c r="B288" s="50">
        <v>-0.22590584449276507</v>
      </c>
      <c r="C288" s="50">
        <v>4.2876712328767121</v>
      </c>
      <c r="D288" s="50">
        <f t="shared" si="24"/>
        <v>0.63222147742599255</v>
      </c>
      <c r="E288" s="50">
        <f>IF(Table2[[#This Row],[Geo Distance]]=0,0,LOG(Table2[[#This Row],[Geo Distance]]))</f>
        <v>0</v>
      </c>
      <c r="F288" s="50">
        <f>IF(Table2[[#This Row],[Target age]]=0,0,LOG(Table2[[#This Row],[Target age]]))</f>
        <v>1.8129133566428555</v>
      </c>
      <c r="G288" s="59">
        <v>3.29</v>
      </c>
      <c r="H288" s="59">
        <f t="shared" si="25"/>
        <v>0.51719589794997434</v>
      </c>
      <c r="I288" s="60">
        <f>IF(Table2[[#This Row],[Culture]]=0,0,LOG(Table2[[#This Row],[Culture]]))</f>
        <v>0</v>
      </c>
      <c r="J288" s="60">
        <f>LOG(1+Table2[[#This Row],[S&amp;P]])</f>
        <v>-0.10790539730951958</v>
      </c>
      <c r="K288" s="50">
        <v>1.3424226808222062</v>
      </c>
      <c r="L288" s="50">
        <v>85</v>
      </c>
      <c r="M288" s="50">
        <f t="shared" si="26"/>
        <v>1.9294189257142926</v>
      </c>
      <c r="N288" s="62">
        <v>32.200000000000003</v>
      </c>
      <c r="O288" s="62">
        <f t="shared" si="27"/>
        <v>1.507855871695831</v>
      </c>
      <c r="P288" s="63">
        <v>35.326012114535303</v>
      </c>
      <c r="Q288" s="63">
        <f t="shared" si="28"/>
        <v>1.548094613534351</v>
      </c>
      <c r="R288" s="50">
        <f>LOG(Table2[[#This Row],[generalist]])</f>
        <v>3.1817251205543564</v>
      </c>
      <c r="S288" s="50">
        <f>LOG(Table2[[#This Row],[country divers.]])</f>
        <v>3.9234321312589846</v>
      </c>
      <c r="T288" s="83">
        <f>LOG(Table2[[#This Row],[Firm Size]])</f>
        <v>8.9164539485499255</v>
      </c>
      <c r="U288">
        <v>2</v>
      </c>
      <c r="V288" s="137">
        <f t="shared" si="29"/>
        <v>0</v>
      </c>
    </row>
    <row r="289" spans="1:22" x14ac:dyDescent="0.35">
      <c r="A289" s="51" t="s">
        <v>59</v>
      </c>
      <c r="B289" s="52">
        <v>-0.14804489260047846</v>
      </c>
      <c r="C289" s="52">
        <v>3.6164383561643834</v>
      </c>
      <c r="D289" s="50">
        <f t="shared" si="24"/>
        <v>0.55828106674937517</v>
      </c>
      <c r="E289" s="52">
        <f>IF(Table2[[#This Row],[Geo Distance]]=0,0,LOG(Table2[[#This Row],[Geo Distance]]))</f>
        <v>0</v>
      </c>
      <c r="F289" s="52">
        <f>IF(Table2[[#This Row],[Target age]]=0,0,LOG(Table2[[#This Row],[Target age]]))</f>
        <v>1.1139433523068367</v>
      </c>
      <c r="G289" s="65">
        <v>3.29</v>
      </c>
      <c r="H289" s="59">
        <f t="shared" si="25"/>
        <v>0.51719589794997434</v>
      </c>
      <c r="I289" s="53">
        <f>IF(Table2[[#This Row],[Culture]]=0,0,LOG(Table2[[#This Row],[Culture]]))</f>
        <v>0</v>
      </c>
      <c r="J289" s="53">
        <f>LOG(1+Table2[[#This Row],[S&amp;P]])</f>
        <v>-7.0581074285707285E-2</v>
      </c>
      <c r="K289" s="52">
        <v>1.2304489213782739</v>
      </c>
      <c r="L289" s="52">
        <v>85</v>
      </c>
      <c r="M289" s="50">
        <f t="shared" si="26"/>
        <v>1.9294189257142926</v>
      </c>
      <c r="N289" s="55">
        <v>32.9</v>
      </c>
      <c r="O289" s="62">
        <f t="shared" si="27"/>
        <v>1.5171958979499742</v>
      </c>
      <c r="P289" s="56">
        <v>35.433808146393098</v>
      </c>
      <c r="Q289" s="63">
        <f t="shared" si="28"/>
        <v>1.5494178293890581</v>
      </c>
      <c r="R289" s="52">
        <f>LOG(Table2[[#This Row],[generalist]])</f>
        <v>3.3345874007848226</v>
      </c>
      <c r="S289" s="52">
        <f>LOG(Table2[[#This Row],[country divers.]])</f>
        <v>3.9771533739227865</v>
      </c>
      <c r="T289" s="84">
        <f>LOG(Table2[[#This Row],[Firm Size]])</f>
        <v>7.2787536009528289</v>
      </c>
      <c r="U289">
        <v>2</v>
      </c>
      <c r="V289" s="137">
        <f t="shared" si="29"/>
        <v>0</v>
      </c>
    </row>
    <row r="290" spans="1:22" x14ac:dyDescent="0.35">
      <c r="A290" s="58" t="s">
        <v>59</v>
      </c>
      <c r="B290" s="50">
        <v>0.63468209599159786</v>
      </c>
      <c r="C290" s="50">
        <v>3.4986301369863013</v>
      </c>
      <c r="D290" s="50">
        <f t="shared" si="24"/>
        <v>0.5438980328069406</v>
      </c>
      <c r="E290" s="50">
        <f>IF(Table2[[#This Row],[Geo Distance]]=0,0,LOG(Table2[[#This Row],[Geo Distance]]))</f>
        <v>0</v>
      </c>
      <c r="F290" s="50">
        <f>IF(Table2[[#This Row],[Target age]]=0,0,LOG(Table2[[#This Row],[Target age]]))</f>
        <v>0</v>
      </c>
      <c r="G290" s="59">
        <v>3.29</v>
      </c>
      <c r="H290" s="59">
        <f t="shared" si="25"/>
        <v>0.51719589794997434</v>
      </c>
      <c r="I290" s="60">
        <f>IF(Table2[[#This Row],[Culture]]=0,0,LOG(Table2[[#This Row],[Culture]]))</f>
        <v>0</v>
      </c>
      <c r="J290" s="60">
        <f>LOG(1+Table2[[#This Row],[S&amp;P]])</f>
        <v>-6.5501548756432285E-2</v>
      </c>
      <c r="K290" s="50">
        <v>1.8750612633917001</v>
      </c>
      <c r="L290" s="50">
        <v>85</v>
      </c>
      <c r="M290" s="50">
        <f t="shared" si="26"/>
        <v>1.9294189257142926</v>
      </c>
      <c r="N290" s="62">
        <v>32.9</v>
      </c>
      <c r="O290" s="62">
        <f t="shared" si="27"/>
        <v>1.5171958979499742</v>
      </c>
      <c r="P290" s="63">
        <v>35.433808146393098</v>
      </c>
      <c r="Q290" s="63">
        <f t="shared" si="28"/>
        <v>1.5494178293890581</v>
      </c>
      <c r="R290" s="50">
        <f>LOG(Table2[[#This Row],[generalist]])</f>
        <v>3.421015158567184</v>
      </c>
      <c r="S290" s="50">
        <f>LOG(Table2[[#This Row],[country divers.]])</f>
        <v>3.9777386330395683</v>
      </c>
      <c r="T290" s="83">
        <f>LOG(Table2[[#This Row],[Firm Size]])</f>
        <v>7</v>
      </c>
      <c r="U290">
        <v>5</v>
      </c>
      <c r="V290" s="137">
        <f t="shared" si="29"/>
        <v>0</v>
      </c>
    </row>
    <row r="291" spans="1:22" x14ac:dyDescent="0.35">
      <c r="A291" s="51" t="s">
        <v>59</v>
      </c>
      <c r="B291" s="52">
        <v>-0.20333242963631826</v>
      </c>
      <c r="C291" s="52">
        <v>1.547945205479452</v>
      </c>
      <c r="D291" s="50">
        <f t="shared" si="24"/>
        <v>0.1897555833629638</v>
      </c>
      <c r="E291" s="52">
        <f>IF(Table2[[#This Row],[Geo Distance]]=0,0,LOG(Table2[[#This Row],[Geo Distance]]))</f>
        <v>0</v>
      </c>
      <c r="F291" s="52">
        <f>IF(Table2[[#This Row],[Target age]]=0,0,LOG(Table2[[#This Row],[Target age]]))</f>
        <v>2.0293837776852097</v>
      </c>
      <c r="G291" s="65">
        <v>3.29</v>
      </c>
      <c r="H291" s="59">
        <f t="shared" si="25"/>
        <v>0.51719589794997434</v>
      </c>
      <c r="I291" s="53">
        <f>IF(Table2[[#This Row],[Culture]]=0,0,LOG(Table2[[#This Row],[Culture]]))</f>
        <v>0</v>
      </c>
      <c r="J291" s="53">
        <f>LOG(1+Table2[[#This Row],[S&amp;P]])</f>
        <v>6.8185861746161619E-2</v>
      </c>
      <c r="K291" s="52">
        <v>1.255272505103306</v>
      </c>
      <c r="L291" s="52">
        <v>85</v>
      </c>
      <c r="M291" s="50">
        <f t="shared" si="26"/>
        <v>1.9294189257142926</v>
      </c>
      <c r="N291" s="55">
        <v>32.299999999999997</v>
      </c>
      <c r="O291" s="62">
        <f t="shared" si="27"/>
        <v>1.5092025223311027</v>
      </c>
      <c r="P291" s="56">
        <v>40.040400531970803</v>
      </c>
      <c r="Q291" s="63">
        <f t="shared" si="28"/>
        <v>1.6024984131617945</v>
      </c>
      <c r="R291" s="52">
        <f>LOG(Table2[[#This Row],[generalist]])</f>
        <v>3.4636187843160156</v>
      </c>
      <c r="S291" s="52">
        <f>LOG(Table2[[#This Row],[country divers.]])</f>
        <v>3.9690067974360175</v>
      </c>
      <c r="T291" s="84">
        <f>LOG(Table2[[#This Row],[Firm Size]])</f>
        <v>7.6901960800285138</v>
      </c>
      <c r="U291">
        <v>5</v>
      </c>
      <c r="V291" s="137">
        <f t="shared" si="29"/>
        <v>0</v>
      </c>
    </row>
    <row r="292" spans="1:22" x14ac:dyDescent="0.35">
      <c r="A292" s="58" t="s">
        <v>59</v>
      </c>
      <c r="B292" s="50">
        <v>-1</v>
      </c>
      <c r="C292" s="50">
        <v>4.8136986301369866</v>
      </c>
      <c r="D292" s="50">
        <f t="shared" si="24"/>
        <v>0.68247889703882025</v>
      </c>
      <c r="E292" s="50">
        <f>IF(Table2[[#This Row],[Geo Distance]]=0,0,LOG(Table2[[#This Row],[Geo Distance]]))</f>
        <v>0</v>
      </c>
      <c r="F292" s="50">
        <f>IF(Table2[[#This Row],[Target age]]=0,0,LOG(Table2[[#This Row],[Target age]]))</f>
        <v>1.9822712330395684</v>
      </c>
      <c r="G292" s="59">
        <v>3.29</v>
      </c>
      <c r="H292" s="59">
        <f t="shared" si="25"/>
        <v>0.51719589794997434</v>
      </c>
      <c r="I292" s="60">
        <f>IF(Table2[[#This Row],[Culture]]=0,0,LOG(Table2[[#This Row],[Culture]]))</f>
        <v>0</v>
      </c>
      <c r="J292" s="60">
        <f>LOG(1+Table2[[#This Row],[S&amp;P]])</f>
        <v>2.5305865264770262E-2</v>
      </c>
      <c r="K292" s="50">
        <v>1.6020599913279623</v>
      </c>
      <c r="L292" s="50">
        <v>90.8</v>
      </c>
      <c r="M292" s="50">
        <f t="shared" si="26"/>
        <v>1.958085848521085</v>
      </c>
      <c r="N292" s="62">
        <v>32.299999999999997</v>
      </c>
      <c r="O292" s="62">
        <f t="shared" si="27"/>
        <v>1.5092025223311027</v>
      </c>
      <c r="P292" s="63">
        <v>44.4007960521485</v>
      </c>
      <c r="Q292" s="63">
        <f t="shared" si="28"/>
        <v>1.6473907565550749</v>
      </c>
      <c r="R292" s="50">
        <f>LOG(Table2[[#This Row],[generalist]])</f>
        <v>3.1944263938906516</v>
      </c>
      <c r="S292" s="50">
        <f>LOG(Table2[[#This Row],[country divers.]])</f>
        <v>3.9270969452030209</v>
      </c>
      <c r="T292" s="83">
        <f>LOG(Table2[[#This Row],[Firm Size]])</f>
        <v>9.1961070683879775</v>
      </c>
      <c r="U292">
        <v>1</v>
      </c>
      <c r="V292" s="137">
        <f t="shared" si="29"/>
        <v>0</v>
      </c>
    </row>
    <row r="293" spans="1:22" x14ac:dyDescent="0.35">
      <c r="A293" s="51" t="s">
        <v>59</v>
      </c>
      <c r="B293" s="52">
        <v>0.33053874923578419</v>
      </c>
      <c r="C293" s="52">
        <v>8.6630136986301363</v>
      </c>
      <c r="D293" s="50">
        <f t="shared" si="24"/>
        <v>0.93766900113971552</v>
      </c>
      <c r="E293" s="52">
        <f>IF(Table2[[#This Row],[Geo Distance]]=0,0,LOG(Table2[[#This Row],[Geo Distance]]))</f>
        <v>0</v>
      </c>
      <c r="F293" s="52">
        <f>IF(Table2[[#This Row],[Target age]]=0,0,LOG(Table2[[#This Row],[Target age]]))</f>
        <v>0.69897000433601886</v>
      </c>
      <c r="G293" s="65">
        <v>3.29</v>
      </c>
      <c r="H293" s="59">
        <f t="shared" si="25"/>
        <v>0.51719589794997434</v>
      </c>
      <c r="I293" s="53">
        <f>IF(Table2[[#This Row],[Culture]]=0,0,LOG(Table2[[#This Row],[Culture]]))</f>
        <v>0</v>
      </c>
      <c r="J293" s="53">
        <f>LOG(1+Table2[[#This Row],[S&amp;P]])</f>
        <v>0.40483371661993806</v>
      </c>
      <c r="K293" s="52">
        <v>1.3802112417116059</v>
      </c>
      <c r="L293" s="52">
        <v>89.8</v>
      </c>
      <c r="M293" s="50">
        <f t="shared" si="26"/>
        <v>1.9532763366673043</v>
      </c>
      <c r="N293" s="55">
        <v>31.2</v>
      </c>
      <c r="O293" s="62">
        <f t="shared" si="27"/>
        <v>1.4941545940184429</v>
      </c>
      <c r="P293" s="56">
        <v>47.307367293927399</v>
      </c>
      <c r="Q293" s="63">
        <f t="shared" si="28"/>
        <v>1.6749287797641836</v>
      </c>
      <c r="R293" s="52">
        <f>LOG(Table2[[#This Row],[generalist]])</f>
        <v>3.2699236952309465</v>
      </c>
      <c r="S293" s="52">
        <f>LOG(Table2[[#This Row],[country divers.]])</f>
        <v>3.6984415808994222</v>
      </c>
      <c r="T293" s="84">
        <f>LOG(Table2[[#This Row],[Firm Size]])</f>
        <v>8.346939462698991</v>
      </c>
      <c r="U293">
        <v>6</v>
      </c>
      <c r="V293" s="137">
        <f t="shared" si="29"/>
        <v>0</v>
      </c>
    </row>
    <row r="294" spans="1:22" x14ac:dyDescent="0.35">
      <c r="A294" s="58" t="s">
        <v>59</v>
      </c>
      <c r="B294" s="50">
        <v>0.38247249775835224</v>
      </c>
      <c r="C294" s="50">
        <v>3.1095890410958904</v>
      </c>
      <c r="D294" s="50">
        <f t="shared" si="24"/>
        <v>0.49270299707266679</v>
      </c>
      <c r="E294" s="50">
        <f>IF(Table2[[#This Row],[Geo Distance]]=0,0,LOG(Table2[[#This Row],[Geo Distance]]))</f>
        <v>0</v>
      </c>
      <c r="F294" s="50">
        <f>IF(Table2[[#This Row],[Target age]]=0,0,LOG(Table2[[#This Row],[Target age]]))</f>
        <v>1</v>
      </c>
      <c r="G294" s="59">
        <v>3.29</v>
      </c>
      <c r="H294" s="59">
        <f t="shared" si="25"/>
        <v>0.51719589794997434</v>
      </c>
      <c r="I294" s="60">
        <f>IF(Table2[[#This Row],[Culture]]=0,0,LOG(Table2[[#This Row],[Culture]]))</f>
        <v>0</v>
      </c>
      <c r="J294" s="60">
        <f>LOG(1+Table2[[#This Row],[S&amp;P]])</f>
        <v>0.15836249209524964</v>
      </c>
      <c r="K294" s="50">
        <v>1.0413926851582251</v>
      </c>
      <c r="L294" s="50">
        <v>94.9</v>
      </c>
      <c r="M294" s="50">
        <f t="shared" si="26"/>
        <v>1.9772662124272926</v>
      </c>
      <c r="N294" s="62">
        <v>32.299999999999997</v>
      </c>
      <c r="O294" s="62">
        <f t="shared" si="27"/>
        <v>1.5092025223311027</v>
      </c>
      <c r="P294" s="63">
        <v>47.560703662314701</v>
      </c>
      <c r="Q294" s="63">
        <f t="shared" si="28"/>
        <v>1.6772482713966061</v>
      </c>
      <c r="R294" s="50">
        <f>LOG(Table2[[#This Row],[generalist]])</f>
        <v>3.1872550351599198</v>
      </c>
      <c r="S294" s="64">
        <f>LOG(Table2[[#This Row],[country divers.]])</f>
        <v>3.8872244231830928</v>
      </c>
      <c r="T294" s="83">
        <f>LOG(Table2[[#This Row],[Firm Size]])</f>
        <v>8.2671717284030137</v>
      </c>
      <c r="U294">
        <v>6</v>
      </c>
      <c r="V294" s="137">
        <f t="shared" si="29"/>
        <v>0</v>
      </c>
    </row>
    <row r="295" spans="1:22" x14ac:dyDescent="0.35">
      <c r="A295" s="67" t="s">
        <v>59</v>
      </c>
      <c r="B295" s="52">
        <v>0.25661085587556831</v>
      </c>
      <c r="C295" s="52">
        <v>12.758904109589041</v>
      </c>
      <c r="D295" s="50">
        <f t="shared" si="24"/>
        <v>1.1058133734762565</v>
      </c>
      <c r="E295" s="52">
        <f>IF(Table2[[#This Row],[Geo Distance]]=0,0,LOG(Table2[[#This Row],[Geo Distance]]))</f>
        <v>0</v>
      </c>
      <c r="F295" s="52">
        <f>IF(Table2[[#This Row],[Target age]]=0,0,LOG(Table2[[#This Row],[Target age]]))</f>
        <v>0.69897000433601886</v>
      </c>
      <c r="G295" s="65">
        <v>3.29</v>
      </c>
      <c r="H295" s="59">
        <f t="shared" si="25"/>
        <v>0.51719589794997434</v>
      </c>
      <c r="I295" s="53">
        <f>IF(Table2[[#This Row],[Culture]]=0,0,LOG(Table2[[#This Row],[Culture]]))</f>
        <v>0</v>
      </c>
      <c r="J295" s="53">
        <f>LOG(1+Table2[[#This Row],[S&amp;P]])</f>
        <v>0.27875360095282892</v>
      </c>
      <c r="K295" s="52">
        <v>1.3010299956639813</v>
      </c>
      <c r="L295" s="52">
        <v>85</v>
      </c>
      <c r="M295" s="50">
        <f t="shared" si="26"/>
        <v>1.9294189257142926</v>
      </c>
      <c r="N295" s="55">
        <v>32.299999999999997</v>
      </c>
      <c r="O295" s="62">
        <f t="shared" si="27"/>
        <v>1.5092025223311027</v>
      </c>
      <c r="P295" s="56">
        <v>40.040400531970803</v>
      </c>
      <c r="Q295" s="63">
        <f t="shared" si="28"/>
        <v>1.6024984131617945</v>
      </c>
      <c r="R295" s="52">
        <f>LOG(Table2[[#This Row],[generalist]])</f>
        <v>3.2555397552391718</v>
      </c>
      <c r="S295" s="52">
        <f>LOG(Table2[[#This Row],[country divers.]])</f>
        <v>3.9251377713585649</v>
      </c>
      <c r="T295" s="52">
        <f>LOG(Table2[[#This Row],[Firm Size]])</f>
        <v>7.8573324964312681</v>
      </c>
      <c r="U295">
        <v>6</v>
      </c>
      <c r="V295" s="137">
        <f t="shared" si="29"/>
        <v>0</v>
      </c>
    </row>
    <row r="296" spans="1:22" x14ac:dyDescent="0.35">
      <c r="A296" s="49" t="s">
        <v>59</v>
      </c>
      <c r="B296" s="50">
        <v>0.61827553556615344</v>
      </c>
      <c r="C296" s="50">
        <v>5.5260273972602736</v>
      </c>
      <c r="D296" s="50">
        <f t="shared" si="24"/>
        <v>0.74241303375629075</v>
      </c>
      <c r="E296" s="50">
        <f>IF(Table2[[#This Row],[Geo Distance]]=0,0,LOG(Table2[[#This Row],[Geo Distance]]))</f>
        <v>0</v>
      </c>
      <c r="F296" s="50">
        <f>IF(Table2[[#This Row],[Target age]]=0,0,LOG(Table2[[#This Row],[Target age]]))</f>
        <v>1.1139433523068367</v>
      </c>
      <c r="G296" s="59">
        <v>3.29</v>
      </c>
      <c r="H296" s="59">
        <f t="shared" si="25"/>
        <v>0.51719589794997434</v>
      </c>
      <c r="I296" s="60">
        <f>IF(Table2[[#This Row],[Culture]]=0,0,LOG(Table2[[#This Row],[Culture]]))</f>
        <v>0</v>
      </c>
      <c r="J296" s="60">
        <f>LOG(1+Table2[[#This Row],[S&amp;P]])</f>
        <v>-4.3648054024500883E-3</v>
      </c>
      <c r="K296" s="50">
        <v>1.3010299956639813</v>
      </c>
      <c r="L296" s="50">
        <v>85</v>
      </c>
      <c r="M296" s="50">
        <f t="shared" si="26"/>
        <v>1.9294189257142926</v>
      </c>
      <c r="N296" s="62">
        <v>32.299999999999997</v>
      </c>
      <c r="O296" s="62">
        <f t="shared" si="27"/>
        <v>1.5092025223311027</v>
      </c>
      <c r="P296" s="63">
        <v>40.040400531970803</v>
      </c>
      <c r="Q296" s="63">
        <f t="shared" si="28"/>
        <v>1.6024984131617945</v>
      </c>
      <c r="R296" s="50">
        <f>LOG(Table2[[#This Row],[generalist]])</f>
        <v>3.2555397552391718</v>
      </c>
      <c r="S296" s="50">
        <f>LOG(Table2[[#This Row],[country divers.]])</f>
        <v>3.9251377713585649</v>
      </c>
      <c r="T296" s="50">
        <f>LOG(Table2[[#This Row],[Firm Size]])</f>
        <v>8.3617278360175931</v>
      </c>
      <c r="U296">
        <v>5</v>
      </c>
      <c r="V296" s="137">
        <f t="shared" si="29"/>
        <v>0</v>
      </c>
    </row>
    <row r="297" spans="1:22" x14ac:dyDescent="0.35">
      <c r="A297" s="67" t="s">
        <v>59</v>
      </c>
      <c r="B297" s="52">
        <v>0.35878060088391328</v>
      </c>
      <c r="C297" s="52">
        <v>2.8876712328767122</v>
      </c>
      <c r="D297" s="50">
        <f t="shared" si="24"/>
        <v>0.46054774642005308</v>
      </c>
      <c r="E297" s="52">
        <f>IF(Table2[[#This Row],[Geo Distance]]=0,0,LOG(Table2[[#This Row],[Geo Distance]]))</f>
        <v>0</v>
      </c>
      <c r="F297" s="52">
        <f>IF(Table2[[#This Row],[Target age]]=0,0,LOG(Table2[[#This Row],[Target age]]))</f>
        <v>1.6812412373755872</v>
      </c>
      <c r="G297" s="65">
        <v>3.29</v>
      </c>
      <c r="H297" s="59">
        <f t="shared" si="25"/>
        <v>0.51719589794997434</v>
      </c>
      <c r="I297" s="53">
        <f>IF(Table2[[#This Row],[Culture]]=0,0,LOG(Table2[[#This Row],[Culture]]))</f>
        <v>0</v>
      </c>
      <c r="J297" s="53">
        <f>LOG(1+Table2[[#This Row],[S&amp;P]])</f>
        <v>6.8185861746161619E-2</v>
      </c>
      <c r="K297" s="52">
        <v>1.3222192947339193</v>
      </c>
      <c r="L297" s="52">
        <v>85</v>
      </c>
      <c r="M297" s="50">
        <f t="shared" si="26"/>
        <v>1.9294189257142926</v>
      </c>
      <c r="N297" s="55">
        <v>32.700000000000003</v>
      </c>
      <c r="O297" s="62">
        <f t="shared" si="27"/>
        <v>1.5145477526602862</v>
      </c>
      <c r="P297" s="56">
        <v>41.286751495766303</v>
      </c>
      <c r="Q297" s="63">
        <f t="shared" si="28"/>
        <v>1.6158107132703448</v>
      </c>
      <c r="R297" s="52">
        <f>LOG(Table2[[#This Row],[generalist]])</f>
        <v>3.2555397552391718</v>
      </c>
      <c r="S297" s="52">
        <f>LOG(Table2[[#This Row],[country divers.]])</f>
        <v>3.9251377713585649</v>
      </c>
      <c r="T297" s="52">
        <f>LOG(Table2[[#This Row],[Firm Size]])</f>
        <v>8.3521825181113627</v>
      </c>
      <c r="U297">
        <v>1</v>
      </c>
      <c r="V297" s="137">
        <f t="shared" si="29"/>
        <v>0</v>
      </c>
    </row>
    <row r="298" spans="1:22" x14ac:dyDescent="0.35">
      <c r="A298" s="122" t="s">
        <v>59</v>
      </c>
      <c r="B298" s="50">
        <v>0.11860222409030695</v>
      </c>
      <c r="C298" s="50">
        <v>8.8493150684931514</v>
      </c>
      <c r="D298" s="50">
        <f t="shared" si="24"/>
        <v>0.94690965787462822</v>
      </c>
      <c r="E298" s="50">
        <f>IF(Table2[[#This Row],[Geo Distance]]=0,0,LOG(Table2[[#This Row],[Geo Distance]]))</f>
        <v>3.7707018228379927</v>
      </c>
      <c r="F298" s="123">
        <f>IF(Table2[[#This Row],[Target age]]=0,0,LOG(Table2[[#This Row],[Target age]]))</f>
        <v>0</v>
      </c>
      <c r="G298" s="124">
        <v>2.3199999999999998</v>
      </c>
      <c r="H298" s="59">
        <f t="shared" si="25"/>
        <v>0.36548798489089962</v>
      </c>
      <c r="I298" s="60">
        <f>IF(Table2[[#This Row],[Culture]]=0,0,LOG(Table2[[#This Row],[Culture]]))</f>
        <v>2.12057393120585</v>
      </c>
      <c r="J298" s="60">
        <f>LOG(1+Table2[[#This Row],[S&amp;P]])</f>
        <v>0.15228834438305647</v>
      </c>
      <c r="K298" s="50">
        <v>1.4913616938342726</v>
      </c>
      <c r="L298" s="50">
        <v>91.2</v>
      </c>
      <c r="M298" s="50">
        <f t="shared" si="26"/>
        <v>1.9599948383284163</v>
      </c>
      <c r="N298" s="62">
        <v>33</v>
      </c>
      <c r="O298" s="62">
        <f t="shared" si="27"/>
        <v>1.5185139398778875</v>
      </c>
      <c r="P298" s="63">
        <v>40.902544500539101</v>
      </c>
      <c r="Q298" s="63">
        <f t="shared" si="28"/>
        <v>1.6117503258110162</v>
      </c>
      <c r="R298" s="50">
        <f>LOG(Table2[[#This Row],[generalist]])</f>
        <v>3.0687415514991745</v>
      </c>
      <c r="S298" s="50">
        <f>LOG(Table2[[#This Row],[country divers.]])</f>
        <v>3.5297005493117593</v>
      </c>
      <c r="T298" s="123">
        <f>LOG(Table2[[#This Row],[Firm Size]])</f>
        <v>10.082119060875158</v>
      </c>
      <c r="U298">
        <v>2</v>
      </c>
      <c r="V298" s="137">
        <f t="shared" si="29"/>
        <v>1</v>
      </c>
    </row>
    <row r="299" spans="1:22" x14ac:dyDescent="0.35">
      <c r="A299" s="67" t="s">
        <v>59</v>
      </c>
      <c r="B299" s="52">
        <v>0.40926303876942843</v>
      </c>
      <c r="C299" s="52">
        <v>5.86027397260274</v>
      </c>
      <c r="D299" s="50">
        <f t="shared" si="24"/>
        <v>0.76791792011505333</v>
      </c>
      <c r="E299" s="52">
        <f>IF(Table2[[#This Row],[Geo Distance]]=0,0,LOG(Table2[[#This Row],[Geo Distance]]))</f>
        <v>0</v>
      </c>
      <c r="F299" s="52">
        <f>IF(Table2[[#This Row],[Target age]]=0,0,LOG(Table2[[#This Row],[Target age]]))</f>
        <v>2.1398790864012365</v>
      </c>
      <c r="G299" s="65">
        <v>3.29</v>
      </c>
      <c r="H299" s="59">
        <f t="shared" si="25"/>
        <v>0.51719589794997434</v>
      </c>
      <c r="I299" s="53">
        <f>IF(Table2[[#This Row],[Culture]]=0,0,LOG(Table2[[#This Row],[Culture]]))</f>
        <v>0</v>
      </c>
      <c r="J299" s="53">
        <f>LOG(1+Table2[[#This Row],[S&amp;P]])</f>
        <v>-8.7739243075051505E-3</v>
      </c>
      <c r="K299" s="52">
        <v>1.255272505103306</v>
      </c>
      <c r="L299" s="52">
        <v>85</v>
      </c>
      <c r="M299" s="50">
        <f t="shared" si="26"/>
        <v>1.9294189257142926</v>
      </c>
      <c r="N299" s="55">
        <v>32.299999999999997</v>
      </c>
      <c r="O299" s="62">
        <f t="shared" si="27"/>
        <v>1.5092025223311027</v>
      </c>
      <c r="P299" s="56">
        <v>40.040400531970803</v>
      </c>
      <c r="Q299" s="63">
        <f t="shared" si="28"/>
        <v>1.6024984131617945</v>
      </c>
      <c r="R299" s="52">
        <f>LOG(Table2[[#This Row],[generalist]])</f>
        <v>3.2188268626467691</v>
      </c>
      <c r="S299" s="52">
        <f>LOG(Table2[[#This Row],[country divers.]])</f>
        <v>3.7570580283396975</v>
      </c>
      <c r="T299" s="52">
        <f>LOG(Table2[[#This Row],[Firm Size]])</f>
        <v>8.8211858826088463</v>
      </c>
      <c r="U299">
        <v>1</v>
      </c>
      <c r="V299" s="137">
        <f t="shared" si="29"/>
        <v>0</v>
      </c>
    </row>
    <row r="300" spans="1:22" x14ac:dyDescent="0.35">
      <c r="A300" s="49" t="s">
        <v>59</v>
      </c>
      <c r="B300" s="50">
        <v>0.21695206338669118</v>
      </c>
      <c r="C300" s="50">
        <v>7.3808219178082188</v>
      </c>
      <c r="D300" s="50">
        <f t="shared" si="24"/>
        <v>0.86810472693049212</v>
      </c>
      <c r="E300" s="50">
        <f>IF(Table2[[#This Row],[Geo Distance]]=0,0,LOG(Table2[[#This Row],[Geo Distance]]))</f>
        <v>3.7707018228379927</v>
      </c>
      <c r="F300" s="50">
        <f>IF(Table2[[#This Row],[Target age]]=0,0,LOG(Table2[[#This Row],[Target age]]))</f>
        <v>1.7634279935629373</v>
      </c>
      <c r="G300" s="59">
        <v>2.3199999999999998</v>
      </c>
      <c r="H300" s="59">
        <f t="shared" si="25"/>
        <v>0.36548798489089962</v>
      </c>
      <c r="I300" s="60">
        <f>IF(Table2[[#This Row],[Culture]]=0,0,LOG(Table2[[#This Row],[Culture]]))</f>
        <v>2.12057393120585</v>
      </c>
      <c r="J300" s="60">
        <f>LOG(1+Table2[[#This Row],[S&amp;P]])</f>
        <v>0.13033376849500614</v>
      </c>
      <c r="K300" s="50">
        <v>1.3222192947339193</v>
      </c>
      <c r="L300" s="50">
        <v>91.5</v>
      </c>
      <c r="M300" s="50">
        <f t="shared" si="26"/>
        <v>1.9614210940664483</v>
      </c>
      <c r="N300" s="62">
        <v>32.9</v>
      </c>
      <c r="O300" s="62">
        <f t="shared" si="27"/>
        <v>1.5171958979499742</v>
      </c>
      <c r="P300" s="63">
        <v>40.767390998852598</v>
      </c>
      <c r="Q300" s="63">
        <f t="shared" si="28"/>
        <v>1.6103129186864549</v>
      </c>
      <c r="R300" s="50">
        <f>LOG(Table2[[#This Row],[generalist]])</f>
        <v>3.3647319918335836</v>
      </c>
      <c r="S300" s="50">
        <f>LOG(Table2[[#This Row],[country divers.]])</f>
        <v>3.568659604598353</v>
      </c>
      <c r="T300" s="50">
        <f>LOG(Table2[[#This Row],[Firm Size]])</f>
        <v>9.2706322605125209</v>
      </c>
      <c r="U300">
        <v>7</v>
      </c>
      <c r="V300" s="137">
        <f t="shared" si="29"/>
        <v>1</v>
      </c>
    </row>
    <row r="301" spans="1:22" x14ac:dyDescent="0.35">
      <c r="A301" s="67" t="s">
        <v>59</v>
      </c>
      <c r="B301" s="52">
        <v>2.8298992127170717E-2</v>
      </c>
      <c r="C301" s="52">
        <v>3.1424657534246574</v>
      </c>
      <c r="D301" s="50">
        <f t="shared" si="24"/>
        <v>0.49727055344479293</v>
      </c>
      <c r="E301" s="52">
        <f>IF(Table2[[#This Row],[Geo Distance]]=0,0,LOG(Table2[[#This Row],[Geo Distance]]))</f>
        <v>0</v>
      </c>
      <c r="F301" s="52">
        <f>IF(Table2[[#This Row],[Target age]]=0,0,LOG(Table2[[#This Row],[Target age]]))</f>
        <v>0.6020599913279624</v>
      </c>
      <c r="G301" s="65">
        <v>3.29</v>
      </c>
      <c r="H301" s="59">
        <f t="shared" si="25"/>
        <v>0.51719589794997434</v>
      </c>
      <c r="I301" s="53">
        <f>IF(Table2[[#This Row],[Culture]]=0,0,LOG(Table2[[#This Row],[Culture]]))</f>
        <v>0</v>
      </c>
      <c r="J301" s="53">
        <f>LOG(1+Table2[[#This Row],[S&amp;P]])</f>
        <v>0.21218760440395779</v>
      </c>
      <c r="K301" s="52">
        <v>1.3424226808222062</v>
      </c>
      <c r="L301" s="52">
        <v>85</v>
      </c>
      <c r="M301" s="50">
        <f t="shared" si="26"/>
        <v>1.9294189257142926</v>
      </c>
      <c r="N301" s="55">
        <v>31.3</v>
      </c>
      <c r="O301" s="62">
        <f t="shared" si="27"/>
        <v>1.4955443375464486</v>
      </c>
      <c r="P301" s="56">
        <v>38.7850112673514</v>
      </c>
      <c r="Q301" s="63">
        <f t="shared" si="28"/>
        <v>1.5886639219461918</v>
      </c>
      <c r="R301" s="52">
        <f>LOG(Table2[[#This Row],[generalist]])</f>
        <v>3.2224645332922388</v>
      </c>
      <c r="S301" s="52">
        <f>LOG(Table2[[#This Row],[country divers.]])</f>
        <v>3.707126713924402</v>
      </c>
      <c r="T301" s="52">
        <f>LOG(Table2[[#This Row],[Firm Size]])</f>
        <v>9.3996737214810384</v>
      </c>
      <c r="U301">
        <v>6</v>
      </c>
      <c r="V301" s="137">
        <f t="shared" si="29"/>
        <v>0</v>
      </c>
    </row>
    <row r="302" spans="1:22" x14ac:dyDescent="0.35">
      <c r="A302" s="49" t="s">
        <v>59</v>
      </c>
      <c r="B302" s="50">
        <v>0.38064575348562374</v>
      </c>
      <c r="C302" s="50">
        <v>2.7150684931506848</v>
      </c>
      <c r="D302" s="50">
        <f t="shared" si="24"/>
        <v>0.4337807900288006</v>
      </c>
      <c r="E302" s="50">
        <f>IF(Table2[[#This Row],[Geo Distance]]=0,0,LOG(Table2[[#This Row],[Geo Distance]]))</f>
        <v>0</v>
      </c>
      <c r="F302" s="50">
        <f>IF(Table2[[#This Row],[Target age]]=0,0,LOG(Table2[[#This Row],[Target age]]))</f>
        <v>1.4913616938342726</v>
      </c>
      <c r="G302" s="59">
        <v>3.29</v>
      </c>
      <c r="H302" s="59">
        <f t="shared" si="25"/>
        <v>0.51719589794997434</v>
      </c>
      <c r="I302" s="60">
        <f>IF(Table2[[#This Row],[Culture]]=0,0,LOG(Table2[[#This Row],[Culture]]))</f>
        <v>0</v>
      </c>
      <c r="J302" s="60">
        <f>LOG(1+Table2[[#This Row],[S&amp;P]])</f>
        <v>0.11394335230683679</v>
      </c>
      <c r="K302" s="50">
        <v>1.3222192947339193</v>
      </c>
      <c r="L302" s="50">
        <v>85</v>
      </c>
      <c r="M302" s="50">
        <f t="shared" si="26"/>
        <v>1.9294189257142926</v>
      </c>
      <c r="N302" s="62">
        <v>31.5</v>
      </c>
      <c r="O302" s="62">
        <f t="shared" si="27"/>
        <v>1.4983105537896004</v>
      </c>
      <c r="P302" s="63">
        <v>37.589394702761602</v>
      </c>
      <c r="Q302" s="63">
        <f t="shared" si="28"/>
        <v>1.575065332381355</v>
      </c>
      <c r="R302" s="50">
        <f>LOG(Table2[[#This Row],[generalist]])</f>
        <v>3.2224645332922388</v>
      </c>
      <c r="S302" s="50">
        <f>LOG(Table2[[#This Row],[country divers.]])</f>
        <v>3.707126713924402</v>
      </c>
      <c r="T302" s="50">
        <f>LOG(Table2[[#This Row],[Firm Size]])</f>
        <v>8.5224442335063202</v>
      </c>
      <c r="U302">
        <v>5</v>
      </c>
      <c r="V302" s="137">
        <f t="shared" si="29"/>
        <v>0</v>
      </c>
    </row>
    <row r="303" spans="1:22" x14ac:dyDescent="0.35">
      <c r="A303" s="67" t="s">
        <v>59</v>
      </c>
      <c r="B303" s="52">
        <v>0.24667233334138849</v>
      </c>
      <c r="C303" s="52">
        <v>3.1945205479452055</v>
      </c>
      <c r="D303" s="50">
        <f t="shared" si="24"/>
        <v>0.50440568596652058</v>
      </c>
      <c r="E303" s="52">
        <f>IF(Table2[[#This Row],[Geo Distance]]=0,0,LOG(Table2[[#This Row],[Geo Distance]]))</f>
        <v>3.156321950446713</v>
      </c>
      <c r="F303" s="52">
        <f>IF(Table2[[#This Row],[Target age]]=0,0,LOG(Table2[[#This Row],[Target age]]))</f>
        <v>0.84509804001425681</v>
      </c>
      <c r="G303" s="65">
        <v>3.43</v>
      </c>
      <c r="H303" s="59">
        <f t="shared" si="25"/>
        <v>0.53529412004277055</v>
      </c>
      <c r="I303" s="53">
        <f>IF(Table2[[#This Row],[Culture]]=0,0,LOG(Table2[[#This Row],[Culture]]))</f>
        <v>2.8432327780980096</v>
      </c>
      <c r="J303" s="53">
        <f>LOG(1+Table2[[#This Row],[S&amp;P]])</f>
        <v>0.13033376849500614</v>
      </c>
      <c r="K303" s="52">
        <v>1.3222192947339193</v>
      </c>
      <c r="L303" s="52">
        <v>91.1</v>
      </c>
      <c r="M303" s="50">
        <f t="shared" si="26"/>
        <v>1.9595183769729982</v>
      </c>
      <c r="N303" s="55">
        <v>32.200000000000003</v>
      </c>
      <c r="O303" s="62">
        <f t="shared" si="27"/>
        <v>1.507855871695831</v>
      </c>
      <c r="P303" s="56">
        <v>42.1993112284324</v>
      </c>
      <c r="Q303" s="63">
        <f t="shared" si="28"/>
        <v>1.6253053625225207</v>
      </c>
      <c r="R303" s="52">
        <f>LOG(Table2[[#This Row],[generalist]])</f>
        <v>3.1616209089088487</v>
      </c>
      <c r="S303" s="52">
        <f>LOG(Table2[[#This Row],[country divers.]])</f>
        <v>3.7997633234477775</v>
      </c>
      <c r="T303" s="52">
        <f>LOG(Table2[[#This Row],[Firm Size]])</f>
        <v>8.9294189257142929</v>
      </c>
      <c r="U303">
        <v>3</v>
      </c>
      <c r="V303" s="137">
        <f t="shared" si="29"/>
        <v>1</v>
      </c>
    </row>
    <row r="304" spans="1:22" x14ac:dyDescent="0.35">
      <c r="A304" s="49" t="s">
        <v>59</v>
      </c>
      <c r="B304" s="50">
        <v>0.69179141970889546</v>
      </c>
      <c r="C304" s="50">
        <v>1.4602739726027398</v>
      </c>
      <c r="D304" s="50">
        <f t="shared" si="24"/>
        <v>0.16443434457009759</v>
      </c>
      <c r="E304" s="50">
        <f>IF(Table2[[#This Row],[Geo Distance]]=0,0,LOG(Table2[[#This Row],[Geo Distance]]))</f>
        <v>3.7707018228379927</v>
      </c>
      <c r="F304" s="50">
        <f>IF(Table2[[#This Row],[Target age]]=0,0,LOG(Table2[[#This Row],[Target age]]))</f>
        <v>0</v>
      </c>
      <c r="G304" s="59">
        <v>2.3199999999999998</v>
      </c>
      <c r="H304" s="59">
        <f t="shared" si="25"/>
        <v>0.36548798489089962</v>
      </c>
      <c r="I304" s="60">
        <f>IF(Table2[[#This Row],[Culture]]=0,0,LOG(Table2[[#This Row],[Culture]]))</f>
        <v>2.12057393120585</v>
      </c>
      <c r="J304" s="60">
        <f>LOG(1+Table2[[#This Row],[S&amp;P]])</f>
        <v>0.16435285578443709</v>
      </c>
      <c r="K304" s="50">
        <v>1.3010299956639813</v>
      </c>
      <c r="L304" s="50">
        <v>85</v>
      </c>
      <c r="M304" s="50">
        <f t="shared" si="26"/>
        <v>1.9294189257142926</v>
      </c>
      <c r="N304" s="62">
        <v>29.3</v>
      </c>
      <c r="O304" s="62">
        <f t="shared" si="27"/>
        <v>1.4668676203541096</v>
      </c>
      <c r="P304" s="63">
        <v>36.913126831903199</v>
      </c>
      <c r="Q304" s="63">
        <f t="shared" si="28"/>
        <v>1.5671808349091383</v>
      </c>
      <c r="R304" s="50">
        <f>LOG(Table2[[#This Row],[generalist]])</f>
        <v>3.0687415514991745</v>
      </c>
      <c r="S304" s="50">
        <f>LOG(Table2[[#This Row],[country divers.]])</f>
        <v>3.5297005493117593</v>
      </c>
      <c r="T304" s="50">
        <f>LOG(Table2[[#This Row],[Firm Size]])</f>
        <v>8.4842998393467859</v>
      </c>
      <c r="U304">
        <v>4</v>
      </c>
      <c r="V304" s="137">
        <f t="shared" si="29"/>
        <v>1</v>
      </c>
    </row>
    <row r="305" spans="1:22" x14ac:dyDescent="0.35">
      <c r="A305" s="67" t="s">
        <v>59</v>
      </c>
      <c r="B305" s="52">
        <v>9.4257061306150067E-2</v>
      </c>
      <c r="C305" s="52">
        <v>5.9369863013698634</v>
      </c>
      <c r="D305" s="50">
        <f t="shared" si="24"/>
        <v>0.77356604686334329</v>
      </c>
      <c r="E305" s="52">
        <f>IF(Table2[[#This Row],[Geo Distance]]=0,0,LOG(Table2[[#This Row],[Geo Distance]]))</f>
        <v>3.7707018228379927</v>
      </c>
      <c r="F305" s="52">
        <f>IF(Table2[[#This Row],[Target age]]=0,0,LOG(Table2[[#This Row],[Target age]]))</f>
        <v>1.9777236052888478</v>
      </c>
      <c r="G305" s="65">
        <v>2.3199999999999998</v>
      </c>
      <c r="H305" s="59">
        <f t="shared" si="25"/>
        <v>0.36548798489089962</v>
      </c>
      <c r="I305" s="53">
        <f>IF(Table2[[#This Row],[Culture]]=0,0,LOG(Table2[[#This Row],[Culture]]))</f>
        <v>2.12057393120585</v>
      </c>
      <c r="J305" s="53">
        <f>LOG(1+Table2[[#This Row],[S&amp;P]])</f>
        <v>6.8185861746161619E-2</v>
      </c>
      <c r="K305" s="52">
        <v>1.3617278360175928</v>
      </c>
      <c r="L305" s="52">
        <v>91.2</v>
      </c>
      <c r="M305" s="50">
        <f t="shared" si="26"/>
        <v>1.9599948383284163</v>
      </c>
      <c r="N305" s="55">
        <v>33</v>
      </c>
      <c r="O305" s="62">
        <f t="shared" si="27"/>
        <v>1.5185139398778875</v>
      </c>
      <c r="P305" s="56">
        <v>40.902544500539101</v>
      </c>
      <c r="Q305" s="63">
        <f t="shared" si="28"/>
        <v>1.6117503258110162</v>
      </c>
      <c r="R305" s="52">
        <f>LOG(Table2[[#This Row],[generalist]])</f>
        <v>3.0962405795987471</v>
      </c>
      <c r="S305" s="52">
        <f>LOG(Table2[[#This Row],[country divers.]])</f>
        <v>3.4010931514437841</v>
      </c>
      <c r="T305" s="52">
        <f>LOG(Table2[[#This Row],[Firm Size]])</f>
        <v>8.8625344996145241</v>
      </c>
      <c r="U305">
        <v>6</v>
      </c>
      <c r="V305" s="137">
        <f t="shared" si="29"/>
        <v>1</v>
      </c>
    </row>
    <row r="306" spans="1:22" x14ac:dyDescent="0.35">
      <c r="A306" s="49" t="s">
        <v>59</v>
      </c>
      <c r="B306" s="50">
        <v>0.386410680043898</v>
      </c>
      <c r="C306" s="50">
        <v>1.904109589041096</v>
      </c>
      <c r="D306" s="50">
        <f t="shared" si="24"/>
        <v>0.27969194013363918</v>
      </c>
      <c r="E306" s="50">
        <f>IF(Table2[[#This Row],[Geo Distance]]=0,0,LOG(Table2[[#This Row],[Geo Distance]]))</f>
        <v>3.7707018228379927</v>
      </c>
      <c r="F306" s="50">
        <f>IF(Table2[[#This Row],[Target age]]=0,0,LOG(Table2[[#This Row],[Target age]]))</f>
        <v>1.2304489213782739</v>
      </c>
      <c r="G306" s="59">
        <v>2.3199999999999998</v>
      </c>
      <c r="H306" s="59">
        <f t="shared" si="25"/>
        <v>0.36548798489089962</v>
      </c>
      <c r="I306" s="60">
        <f>IF(Table2[[#This Row],[Culture]]=0,0,LOG(Table2[[#This Row],[Culture]]))</f>
        <v>2.12057393120585</v>
      </c>
      <c r="J306" s="60">
        <f>LOG(1+Table2[[#This Row],[S&amp;P]])</f>
        <v>9.3421685162235063E-2</v>
      </c>
      <c r="K306" s="50">
        <v>1.3222192947339193</v>
      </c>
      <c r="L306" s="50">
        <v>85</v>
      </c>
      <c r="M306" s="50">
        <f t="shared" si="26"/>
        <v>1.9294189257142926</v>
      </c>
      <c r="N306" s="62">
        <v>32.700000000000003</v>
      </c>
      <c r="O306" s="62">
        <f t="shared" si="27"/>
        <v>1.5145477526602862</v>
      </c>
      <c r="P306" s="63">
        <v>41.286751495766303</v>
      </c>
      <c r="Q306" s="63">
        <f t="shared" si="28"/>
        <v>1.6158107132703448</v>
      </c>
      <c r="R306" s="50">
        <f>LOG(Table2[[#This Row],[generalist]])</f>
        <v>3.0962405795987471</v>
      </c>
      <c r="S306" s="50">
        <f>LOG(Table2[[#This Row],[country divers.]])</f>
        <v>3.4010931514437841</v>
      </c>
      <c r="T306" s="50">
        <f>LOG(Table2[[#This Row],[Firm Size]])</f>
        <v>8.1698918207233895</v>
      </c>
      <c r="U306">
        <v>5</v>
      </c>
      <c r="V306" s="137">
        <f t="shared" si="29"/>
        <v>1</v>
      </c>
    </row>
    <row r="307" spans="1:22" x14ac:dyDescent="0.35">
      <c r="A307" s="67" t="s">
        <v>59</v>
      </c>
      <c r="B307" s="52">
        <v>0.72966311961767405</v>
      </c>
      <c r="C307" s="52">
        <v>3.1835616438356165</v>
      </c>
      <c r="D307" s="50">
        <f t="shared" si="24"/>
        <v>0.50291326359783728</v>
      </c>
      <c r="E307" s="52">
        <f>IF(Table2[[#This Row],[Geo Distance]]=0,0,LOG(Table2[[#This Row],[Geo Distance]]))</f>
        <v>3.7707018228379927</v>
      </c>
      <c r="F307" s="52">
        <f>IF(Table2[[#This Row],[Target age]]=0,0,LOG(Table2[[#This Row],[Target age]]))</f>
        <v>1.3222192947339193</v>
      </c>
      <c r="G307" s="65">
        <v>2.3199999999999998</v>
      </c>
      <c r="H307" s="59">
        <f t="shared" si="25"/>
        <v>0.36548798489089962</v>
      </c>
      <c r="I307" s="53">
        <f>IF(Table2[[#This Row],[Culture]]=0,0,LOG(Table2[[#This Row],[Culture]]))</f>
        <v>2.12057393120585</v>
      </c>
      <c r="J307" s="53">
        <f>LOG(1+Table2[[#This Row],[S&amp;P]])</f>
        <v>0.11058971029924898</v>
      </c>
      <c r="K307" s="52">
        <v>1.2787536009528289</v>
      </c>
      <c r="L307" s="52">
        <v>85</v>
      </c>
      <c r="M307" s="50">
        <f t="shared" si="26"/>
        <v>1.9294189257142926</v>
      </c>
      <c r="N307" s="55">
        <v>31.3</v>
      </c>
      <c r="O307" s="62">
        <f t="shared" si="27"/>
        <v>1.4955443375464486</v>
      </c>
      <c r="P307" s="56">
        <v>38.7850112673514</v>
      </c>
      <c r="Q307" s="63">
        <f t="shared" si="28"/>
        <v>1.5886639219461918</v>
      </c>
      <c r="R307" s="52">
        <f>LOG(Table2[[#This Row],[generalist]])</f>
        <v>3.0962405795987471</v>
      </c>
      <c r="S307" s="52">
        <f>LOG(Table2[[#This Row],[country divers.]])</f>
        <v>3.4010931514437841</v>
      </c>
      <c r="T307" s="52">
        <f>LOG(Table2[[#This Row],[Firm Size]])</f>
        <v>7.4149733479708182</v>
      </c>
      <c r="U307">
        <v>4</v>
      </c>
      <c r="V307" s="137">
        <f t="shared" si="29"/>
        <v>1</v>
      </c>
    </row>
    <row r="308" spans="1:22" x14ac:dyDescent="0.35">
      <c r="A308" s="49" t="s">
        <v>59</v>
      </c>
      <c r="B308" s="50">
        <v>-0.76447155309245129</v>
      </c>
      <c r="C308" s="50">
        <v>3.0931506849315067</v>
      </c>
      <c r="D308" s="50">
        <f t="shared" si="24"/>
        <v>0.49040107746849315</v>
      </c>
      <c r="E308" s="50">
        <f>IF(Table2[[#This Row],[Geo Distance]]=0,0,LOG(Table2[[#This Row],[Geo Distance]]))</f>
        <v>0</v>
      </c>
      <c r="F308" s="50">
        <f>IF(Table2[[#This Row],[Target age]]=0,0,LOG(Table2[[#This Row],[Target age]]))</f>
        <v>0.77815125038364363</v>
      </c>
      <c r="G308" s="59">
        <v>3.29</v>
      </c>
      <c r="H308" s="59">
        <f t="shared" si="25"/>
        <v>0.51719589794997434</v>
      </c>
      <c r="I308" s="60">
        <f>IF(Table2[[#This Row],[Culture]]=0,0,LOG(Table2[[#This Row],[Culture]]))</f>
        <v>0</v>
      </c>
      <c r="J308" s="60">
        <f>LOG(1+Table2[[#This Row],[S&amp;P]])</f>
        <v>-8.6186147616283279E-2</v>
      </c>
      <c r="K308" s="50">
        <v>1.7403626894942439</v>
      </c>
      <c r="L308" s="50">
        <v>85</v>
      </c>
      <c r="M308" s="50">
        <f t="shared" si="26"/>
        <v>1.9294189257142926</v>
      </c>
      <c r="N308" s="62">
        <v>32.9</v>
      </c>
      <c r="O308" s="62">
        <f t="shared" si="27"/>
        <v>1.5171958979499742</v>
      </c>
      <c r="P308" s="63">
        <v>35.433808146393098</v>
      </c>
      <c r="Q308" s="63">
        <f t="shared" si="28"/>
        <v>1.5494178293890581</v>
      </c>
      <c r="R308" s="50">
        <f>LOG(Table2[[#This Row],[generalist]])</f>
        <v>3.1990557401914899</v>
      </c>
      <c r="S308" s="50">
        <f>LOG(Table2[[#This Row],[country divers.]])</f>
        <v>3.7784953647769717</v>
      </c>
      <c r="T308" s="50">
        <f>LOG(Table2[[#This Row],[Firm Size]])</f>
        <v>7</v>
      </c>
      <c r="U308">
        <v>9</v>
      </c>
      <c r="V308" s="137">
        <f t="shared" si="29"/>
        <v>0</v>
      </c>
    </row>
    <row r="309" spans="1:22" x14ac:dyDescent="0.35">
      <c r="A309" s="67" t="s">
        <v>59</v>
      </c>
      <c r="B309" s="52">
        <v>-1</v>
      </c>
      <c r="C309" s="52">
        <v>7.1808219178082195</v>
      </c>
      <c r="D309" s="50">
        <f t="shared" si="24"/>
        <v>0.85617415649012574</v>
      </c>
      <c r="E309" s="52">
        <f>IF(Table2[[#This Row],[Geo Distance]]=0,0,LOG(Table2[[#This Row],[Geo Distance]]))</f>
        <v>3.0621644096256042</v>
      </c>
      <c r="F309" s="52">
        <f>IF(Table2[[#This Row],[Target age]]=0,0,LOG(Table2[[#This Row],[Target age]]))</f>
        <v>0.84509804001425681</v>
      </c>
      <c r="G309" s="65">
        <v>3.27</v>
      </c>
      <c r="H309" s="59">
        <f t="shared" si="25"/>
        <v>0.51454775266028607</v>
      </c>
      <c r="I309" s="53">
        <f>IF(Table2[[#This Row],[Culture]]=0,0,LOG(Table2[[#This Row],[Culture]]))</f>
        <v>2.8708913837025327</v>
      </c>
      <c r="J309" s="53">
        <f>LOG(1+Table2[[#This Row],[S&amp;P]])</f>
        <v>0.18184358794477254</v>
      </c>
      <c r="K309" s="52">
        <v>0.84509804001425681</v>
      </c>
      <c r="L309" s="52">
        <v>90.8</v>
      </c>
      <c r="M309" s="50">
        <f t="shared" si="26"/>
        <v>1.958085848521085</v>
      </c>
      <c r="N309" s="55">
        <v>32.299999999999997</v>
      </c>
      <c r="O309" s="62">
        <f t="shared" si="27"/>
        <v>1.5092025223311027</v>
      </c>
      <c r="P309" s="56">
        <v>44.4007960521485</v>
      </c>
      <c r="Q309" s="63">
        <f t="shared" si="28"/>
        <v>1.6473907565550749</v>
      </c>
      <c r="R309" s="52">
        <f>LOG(Table2[[#This Row],[generalist]])</f>
        <v>3.2566108558755684</v>
      </c>
      <c r="S309" s="52">
        <f>LOG(Table2[[#This Row],[country divers.]])</f>
        <v>3.9279973385794986</v>
      </c>
      <c r="T309" s="52">
        <f>LOG(Table2[[#This Row],[Firm Size]])</f>
        <v>7.1760912590556813</v>
      </c>
      <c r="U309">
        <v>9</v>
      </c>
      <c r="V309" s="137">
        <f t="shared" si="29"/>
        <v>1</v>
      </c>
    </row>
    <row r="310" spans="1:22" x14ac:dyDescent="0.35">
      <c r="A310" s="49" t="s">
        <v>59</v>
      </c>
      <c r="B310" s="50">
        <v>0.23201101174001795</v>
      </c>
      <c r="C310" s="50">
        <v>4.1753424657534248</v>
      </c>
      <c r="D310" s="50">
        <f t="shared" si="24"/>
        <v>0.62069210254710705</v>
      </c>
      <c r="E310" s="50">
        <f>IF(Table2[[#This Row],[Geo Distance]]=0,0,LOG(Table2[[#This Row],[Geo Distance]]))</f>
        <v>3.7707018228379927</v>
      </c>
      <c r="F310" s="50">
        <f>IF(Table2[[#This Row],[Target age]]=0,0,LOG(Table2[[#This Row],[Target age]]))</f>
        <v>0.77815125038364363</v>
      </c>
      <c r="G310" s="59">
        <v>2.3199999999999998</v>
      </c>
      <c r="H310" s="59">
        <f t="shared" si="25"/>
        <v>0.36548798489089962</v>
      </c>
      <c r="I310" s="60">
        <f>IF(Table2[[#This Row],[Culture]]=0,0,LOG(Table2[[#This Row],[Culture]]))</f>
        <v>2.12057393120585</v>
      </c>
      <c r="J310" s="60">
        <f>LOG(1+Table2[[#This Row],[S&amp;P]])</f>
        <v>0.26481782300953643</v>
      </c>
      <c r="K310" s="50">
        <v>1.146128035678238</v>
      </c>
      <c r="L310" s="50">
        <v>89.8</v>
      </c>
      <c r="M310" s="50">
        <f t="shared" si="26"/>
        <v>1.9532763366673043</v>
      </c>
      <c r="N310" s="62">
        <v>31.2</v>
      </c>
      <c r="O310" s="62">
        <f t="shared" si="27"/>
        <v>1.4941545940184429</v>
      </c>
      <c r="P310" s="63">
        <v>47.307367293927399</v>
      </c>
      <c r="Q310" s="63">
        <f t="shared" si="28"/>
        <v>1.6749287797641836</v>
      </c>
      <c r="R310" s="50">
        <f>LOG(Table2[[#This Row],[generalist]])</f>
        <v>3.1574743240259107</v>
      </c>
      <c r="S310" s="50">
        <f>LOG(Table2[[#This Row],[country divers.]])</f>
        <v>3.7043045135512243</v>
      </c>
      <c r="T310" s="50">
        <f>LOG(Table2[[#This Row],[Firm Size]])</f>
        <v>8.53424192979422</v>
      </c>
      <c r="U310">
        <v>8</v>
      </c>
      <c r="V310" s="137">
        <f t="shared" si="29"/>
        <v>1</v>
      </c>
    </row>
    <row r="311" spans="1:22" x14ac:dyDescent="0.35">
      <c r="A311" s="67" t="s">
        <v>59</v>
      </c>
      <c r="B311" s="52">
        <v>0.53186342917297091</v>
      </c>
      <c r="C311" s="52">
        <v>12.621917808219179</v>
      </c>
      <c r="D311" s="50">
        <f t="shared" si="24"/>
        <v>1.1011253477962051</v>
      </c>
      <c r="E311" s="52">
        <f>IF(Table2[[#This Row],[Geo Distance]]=0,0,LOG(Table2[[#This Row],[Geo Distance]]))</f>
        <v>0</v>
      </c>
      <c r="F311" s="52">
        <f>IF(Table2[[#This Row],[Target age]]=0,0,LOG(Table2[[#This Row],[Target age]]))</f>
        <v>1.8512583487190752</v>
      </c>
      <c r="G311" s="65">
        <v>3.29</v>
      </c>
      <c r="H311" s="59">
        <f t="shared" si="25"/>
        <v>0.51719589794997434</v>
      </c>
      <c r="I311" s="53">
        <f>IF(Table2[[#This Row],[Culture]]=0,0,LOG(Table2[[#This Row],[Culture]]))</f>
        <v>0</v>
      </c>
      <c r="J311" s="53">
        <f>LOG(1+Table2[[#This Row],[S&amp;P]])</f>
        <v>0.33243845991560533</v>
      </c>
      <c r="K311" s="52">
        <v>1.3802112417116059</v>
      </c>
      <c r="L311" s="52">
        <v>85</v>
      </c>
      <c r="M311" s="50">
        <f t="shared" si="26"/>
        <v>1.9294189257142926</v>
      </c>
      <c r="N311" s="55">
        <v>32.299999999999997</v>
      </c>
      <c r="O311" s="62">
        <f t="shared" si="27"/>
        <v>1.5092025223311027</v>
      </c>
      <c r="P311" s="56">
        <v>40.040400531970803</v>
      </c>
      <c r="Q311" s="63">
        <f t="shared" si="28"/>
        <v>1.6024984131617945</v>
      </c>
      <c r="R311" s="52">
        <f>LOG(Table2[[#This Row],[generalist]])</f>
        <v>3.2327651641054547</v>
      </c>
      <c r="S311" s="52">
        <f>LOG(Table2[[#This Row],[country divers.]])</f>
        <v>3.9527244147731087</v>
      </c>
      <c r="T311" s="52">
        <f>LOG(Table2[[#This Row],[Firm Size]])</f>
        <v>8.5051499783199063</v>
      </c>
      <c r="U311">
        <v>8</v>
      </c>
      <c r="V311" s="137">
        <f t="shared" si="29"/>
        <v>0</v>
      </c>
    </row>
    <row r="312" spans="1:22" x14ac:dyDescent="0.35">
      <c r="A312" s="49" t="s">
        <v>59</v>
      </c>
      <c r="B312" s="50">
        <v>0.25809188504009289</v>
      </c>
      <c r="C312" s="50">
        <v>4.1287671232876715</v>
      </c>
      <c r="D312" s="50">
        <f t="shared" si="24"/>
        <v>0.61582038785815718</v>
      </c>
      <c r="E312" s="50">
        <f>IF(Table2[[#This Row],[Geo Distance]]=0,0,LOG(Table2[[#This Row],[Geo Distance]]))</f>
        <v>0</v>
      </c>
      <c r="F312" s="50">
        <f>IF(Table2[[#This Row],[Target age]]=0,0,LOG(Table2[[#This Row],[Target age]]))</f>
        <v>0</v>
      </c>
      <c r="G312" s="59">
        <v>3.29</v>
      </c>
      <c r="H312" s="59">
        <f t="shared" si="25"/>
        <v>0.51719589794997434</v>
      </c>
      <c r="I312" s="60">
        <f>IF(Table2[[#This Row],[Culture]]=0,0,LOG(Table2[[#This Row],[Culture]]))</f>
        <v>0</v>
      </c>
      <c r="J312" s="60">
        <f>LOG(1+Table2[[#This Row],[S&amp;P]])</f>
        <v>0.27184160653649897</v>
      </c>
      <c r="K312" s="50">
        <v>1.3617278360175928</v>
      </c>
      <c r="L312" s="50">
        <v>85</v>
      </c>
      <c r="M312" s="50">
        <f t="shared" si="26"/>
        <v>1.9294189257142926</v>
      </c>
      <c r="N312" s="62">
        <v>31.3</v>
      </c>
      <c r="O312" s="62">
        <f t="shared" si="27"/>
        <v>1.4955443375464486</v>
      </c>
      <c r="P312" s="63">
        <v>38.7850112673514</v>
      </c>
      <c r="Q312" s="63">
        <f t="shared" si="28"/>
        <v>1.5886639219461918</v>
      </c>
      <c r="R312" s="50">
        <f>LOG(Table2[[#This Row],[generalist]])</f>
        <v>3.2327651641054547</v>
      </c>
      <c r="S312" s="50">
        <f>LOG(Table2[[#This Row],[country divers.]])</f>
        <v>3.9527244147731087</v>
      </c>
      <c r="T312" s="50">
        <f>LOG(Table2[[#This Row],[Firm Size]])</f>
        <v>7.9276782641379917</v>
      </c>
      <c r="U312">
        <v>1</v>
      </c>
      <c r="V312" s="137">
        <f t="shared" si="29"/>
        <v>0</v>
      </c>
    </row>
    <row r="313" spans="1:22" x14ac:dyDescent="0.35">
      <c r="A313" s="67" t="s">
        <v>59</v>
      </c>
      <c r="B313" s="52">
        <v>-0.49717729747086076</v>
      </c>
      <c r="C313" s="52">
        <v>0.4</v>
      </c>
      <c r="D313" s="50">
        <f t="shared" si="24"/>
        <v>-0.3979400086720376</v>
      </c>
      <c r="E313" s="52">
        <f>IF(Table2[[#This Row],[Geo Distance]]=0,0,LOG(Table2[[#This Row],[Geo Distance]]))</f>
        <v>0</v>
      </c>
      <c r="F313" s="52">
        <f>IF(Table2[[#This Row],[Target age]]=0,0,LOG(Table2[[#This Row],[Target age]]))</f>
        <v>1.255272505103306</v>
      </c>
      <c r="G313" s="65">
        <v>3.29</v>
      </c>
      <c r="H313" s="59">
        <f t="shared" si="25"/>
        <v>0.51719589794997434</v>
      </c>
      <c r="I313" s="53">
        <f>IF(Table2[[#This Row],[Culture]]=0,0,LOG(Table2[[#This Row],[Culture]]))</f>
        <v>0</v>
      </c>
      <c r="J313" s="53">
        <f>LOG(1+Table2[[#This Row],[S&amp;P]])</f>
        <v>1.2837224705172217E-2</v>
      </c>
      <c r="K313" s="52">
        <v>1.3010299956639813</v>
      </c>
      <c r="L313" s="52">
        <v>85</v>
      </c>
      <c r="M313" s="50">
        <f t="shared" si="26"/>
        <v>1.9294189257142926</v>
      </c>
      <c r="N313" s="55">
        <v>32.9</v>
      </c>
      <c r="O313" s="62">
        <f t="shared" si="27"/>
        <v>1.5171958979499742</v>
      </c>
      <c r="P313" s="56">
        <v>35.433808146393098</v>
      </c>
      <c r="Q313" s="63">
        <f t="shared" si="28"/>
        <v>1.5494178293890581</v>
      </c>
      <c r="R313" s="52">
        <f>LOG(Table2[[#This Row],[generalist]])</f>
        <v>3.2327651641054547</v>
      </c>
      <c r="S313" s="52">
        <f>LOG(Table2[[#This Row],[country divers.]])</f>
        <v>3.9527244147731087</v>
      </c>
      <c r="T313" s="52">
        <f>LOG(Table2[[#This Row],[Firm Size]])</f>
        <v>8.3232521001716879</v>
      </c>
      <c r="U313">
        <v>5</v>
      </c>
      <c r="V313" s="137">
        <f t="shared" si="29"/>
        <v>0</v>
      </c>
    </row>
    <row r="314" spans="1:22" x14ac:dyDescent="0.35">
      <c r="A314" s="49" t="s">
        <v>59</v>
      </c>
      <c r="B314" s="50">
        <v>-7.0317785716319775E-2</v>
      </c>
      <c r="C314" s="50">
        <v>3.9150684931506849</v>
      </c>
      <c r="D314" s="50">
        <f t="shared" si="24"/>
        <v>0.59273936433449548</v>
      </c>
      <c r="E314" s="50">
        <f>IF(Table2[[#This Row],[Geo Distance]]=0,0,LOG(Table2[[#This Row],[Geo Distance]]))</f>
        <v>0</v>
      </c>
      <c r="F314" s="50">
        <f>IF(Table2[[#This Row],[Target age]]=0,0,LOG(Table2[[#This Row],[Target age]]))</f>
        <v>1.7923916894982539</v>
      </c>
      <c r="G314" s="59">
        <v>3.29</v>
      </c>
      <c r="H314" s="59">
        <f t="shared" si="25"/>
        <v>0.51719589794997434</v>
      </c>
      <c r="I314" s="60">
        <f>IF(Table2[[#This Row],[Culture]]=0,0,LOG(Table2[[#This Row],[Culture]]))</f>
        <v>0</v>
      </c>
      <c r="J314" s="60">
        <f>LOG(1+Table2[[#This Row],[S&amp;P]])</f>
        <v>-0.13076828026902382</v>
      </c>
      <c r="K314" s="50">
        <v>1.2787536009528289</v>
      </c>
      <c r="L314" s="50">
        <v>85</v>
      </c>
      <c r="M314" s="50">
        <f t="shared" si="26"/>
        <v>1.9294189257142926</v>
      </c>
      <c r="N314" s="62">
        <v>32.200000000000003</v>
      </c>
      <c r="O314" s="62">
        <f t="shared" si="27"/>
        <v>1.507855871695831</v>
      </c>
      <c r="P314" s="63">
        <v>35.326012114535303</v>
      </c>
      <c r="Q314" s="63">
        <f t="shared" si="28"/>
        <v>1.548094613534351</v>
      </c>
      <c r="R314" s="50">
        <f>LOG(Table2[[#This Row],[generalist]])</f>
        <v>3.2327651641054547</v>
      </c>
      <c r="S314" s="50">
        <f>LOG(Table2[[#This Row],[country divers.]])</f>
        <v>3.9527244147731087</v>
      </c>
      <c r="T314" s="50">
        <f>LOG(Table2[[#This Row],[Firm Size]])</f>
        <v>8.2878017299302265</v>
      </c>
      <c r="U314">
        <v>1</v>
      </c>
      <c r="V314" s="137">
        <f t="shared" si="29"/>
        <v>0</v>
      </c>
    </row>
    <row r="315" spans="1:22" x14ac:dyDescent="0.35">
      <c r="A315" s="67" t="s">
        <v>59</v>
      </c>
      <c r="B315" s="52">
        <v>-0.58883172559420727</v>
      </c>
      <c r="C315" s="52">
        <v>3.106849315068493</v>
      </c>
      <c r="D315" s="50">
        <f t="shared" si="24"/>
        <v>0.49232019010041306</v>
      </c>
      <c r="E315" s="52">
        <f>IF(Table2[[#This Row],[Geo Distance]]=0,0,LOG(Table2[[#This Row],[Geo Distance]]))</f>
        <v>0</v>
      </c>
      <c r="F315" s="52">
        <f>IF(Table2[[#This Row],[Target age]]=0,0,LOG(Table2[[#This Row],[Target age]]))</f>
        <v>0.84509804001425681</v>
      </c>
      <c r="G315" s="65">
        <v>3.29</v>
      </c>
      <c r="H315" s="59">
        <f t="shared" si="25"/>
        <v>0.51719589794997434</v>
      </c>
      <c r="I315" s="53">
        <f>IF(Table2[[#This Row],[Culture]]=0,0,LOG(Table2[[#This Row],[Culture]]))</f>
        <v>0</v>
      </c>
      <c r="J315" s="53">
        <f>LOG(1+Table2[[#This Row],[S&amp;P]])</f>
        <v>-0.18708664335714442</v>
      </c>
      <c r="K315" s="52">
        <v>1.2787536009528289</v>
      </c>
      <c r="L315" s="52">
        <v>85</v>
      </c>
      <c r="M315" s="50">
        <f t="shared" si="26"/>
        <v>1.9294189257142926</v>
      </c>
      <c r="N315" s="55">
        <v>32.200000000000003</v>
      </c>
      <c r="O315" s="62">
        <f t="shared" si="27"/>
        <v>1.507855871695831</v>
      </c>
      <c r="P315" s="56">
        <v>35.326012114535303</v>
      </c>
      <c r="Q315" s="63">
        <f t="shared" si="28"/>
        <v>1.548094613534351</v>
      </c>
      <c r="R315" s="52">
        <f>LOG(Table2[[#This Row],[generalist]])</f>
        <v>3.2327651641054547</v>
      </c>
      <c r="S315" s="52">
        <f>LOG(Table2[[#This Row],[country divers.]])</f>
        <v>3.9527244147731087</v>
      </c>
      <c r="T315" s="52">
        <f>LOG(Table2[[#This Row],[Firm Size]])</f>
        <v>8.2878017299302265</v>
      </c>
      <c r="U315">
        <v>1</v>
      </c>
      <c r="V315" s="137">
        <f t="shared" si="29"/>
        <v>0</v>
      </c>
    </row>
    <row r="316" spans="1:22" x14ac:dyDescent="0.35">
      <c r="A316" s="49" t="s">
        <v>59</v>
      </c>
      <c r="B316" s="50">
        <v>0.12671499463410296</v>
      </c>
      <c r="C316" s="50">
        <v>4.602739726027397</v>
      </c>
      <c r="D316" s="50">
        <f t="shared" si="24"/>
        <v>0.66301641726938809</v>
      </c>
      <c r="E316" s="50">
        <f>IF(Table2[[#This Row],[Geo Distance]]=0,0,LOG(Table2[[#This Row],[Geo Distance]]))</f>
        <v>0</v>
      </c>
      <c r="F316" s="50">
        <f>IF(Table2[[#This Row],[Target age]]=0,0,LOG(Table2[[#This Row],[Target age]]))</f>
        <v>2.0530784434834195</v>
      </c>
      <c r="G316" s="59">
        <v>3.29</v>
      </c>
      <c r="H316" s="59">
        <f t="shared" si="25"/>
        <v>0.51719589794997434</v>
      </c>
      <c r="I316" s="60">
        <f>IF(Table2[[#This Row],[Culture]]=0,0,LOG(Table2[[#This Row],[Culture]]))</f>
        <v>0</v>
      </c>
      <c r="J316" s="60">
        <f>LOG(1+Table2[[#This Row],[S&amp;P]])</f>
        <v>-6.5501548756432285E-2</v>
      </c>
      <c r="K316" s="50">
        <v>1.2787536009528289</v>
      </c>
      <c r="L316" s="50">
        <v>85</v>
      </c>
      <c r="M316" s="50">
        <f t="shared" si="26"/>
        <v>1.9294189257142926</v>
      </c>
      <c r="N316" s="62">
        <v>32.200000000000003</v>
      </c>
      <c r="O316" s="62">
        <f t="shared" si="27"/>
        <v>1.507855871695831</v>
      </c>
      <c r="P316" s="63">
        <v>35.326012114535303</v>
      </c>
      <c r="Q316" s="63">
        <f t="shared" si="28"/>
        <v>1.548094613534351</v>
      </c>
      <c r="R316" s="50">
        <f>LOG(Table2[[#This Row],[generalist]])</f>
        <v>3.2327651641054547</v>
      </c>
      <c r="S316" s="50">
        <f>LOG(Table2[[#This Row],[country divers.]])</f>
        <v>3.9527244147731087</v>
      </c>
      <c r="T316" s="50">
        <f>LOG(Table2[[#This Row],[Firm Size]])</f>
        <v>8.2624510897304297</v>
      </c>
      <c r="U316">
        <v>5</v>
      </c>
      <c r="V316" s="137">
        <f t="shared" si="29"/>
        <v>0</v>
      </c>
    </row>
    <row r="317" spans="1:22" x14ac:dyDescent="0.35">
      <c r="A317" s="67" t="s">
        <v>59</v>
      </c>
      <c r="B317" s="52">
        <v>0.19188552623891317</v>
      </c>
      <c r="C317" s="52">
        <v>4.1232876712328768</v>
      </c>
      <c r="D317" s="50">
        <f t="shared" si="24"/>
        <v>0.61524363547338745</v>
      </c>
      <c r="E317" s="52">
        <f>IF(Table2[[#This Row],[Geo Distance]]=0,0,LOG(Table2[[#This Row],[Geo Distance]]))</f>
        <v>0</v>
      </c>
      <c r="F317" s="52">
        <f>IF(Table2[[#This Row],[Target age]]=0,0,LOG(Table2[[#This Row],[Target age]]))</f>
        <v>0</v>
      </c>
      <c r="G317" s="65">
        <v>3.29</v>
      </c>
      <c r="H317" s="59">
        <f t="shared" si="25"/>
        <v>0.51719589794997434</v>
      </c>
      <c r="I317" s="53">
        <f>IF(Table2[[#This Row],[Culture]]=0,0,LOG(Table2[[#This Row],[Culture]]))</f>
        <v>0</v>
      </c>
      <c r="J317" s="53">
        <f>LOG(1+Table2[[#This Row],[S&amp;P]])</f>
        <v>2.5305865264770262E-2</v>
      </c>
      <c r="K317" s="52">
        <v>1.255272505103306</v>
      </c>
      <c r="L317" s="52">
        <v>85</v>
      </c>
      <c r="M317" s="50">
        <f t="shared" si="26"/>
        <v>1.9294189257142926</v>
      </c>
      <c r="N317" s="55">
        <v>31.5</v>
      </c>
      <c r="O317" s="62">
        <f t="shared" si="27"/>
        <v>1.4983105537896004</v>
      </c>
      <c r="P317" s="56">
        <v>35.516899069648296</v>
      </c>
      <c r="Q317" s="63">
        <f t="shared" si="28"/>
        <v>1.5504350411232082</v>
      </c>
      <c r="R317" s="52">
        <f>LOG(Table2[[#This Row],[generalist]])</f>
        <v>3.2327651641054547</v>
      </c>
      <c r="S317" s="52">
        <f>LOG(Table2[[#This Row],[country divers.]])</f>
        <v>3.9527244147731087</v>
      </c>
      <c r="T317" s="52">
        <f>LOG(Table2[[#This Row],[Firm Size]])</f>
        <v>8.5563025007672877</v>
      </c>
      <c r="U317">
        <v>4</v>
      </c>
      <c r="V317" s="137">
        <f t="shared" si="29"/>
        <v>0</v>
      </c>
    </row>
    <row r="318" spans="1:22" x14ac:dyDescent="0.35">
      <c r="A318" s="49" t="s">
        <v>59</v>
      </c>
      <c r="B318" s="50">
        <v>-7.3010391223115631E-2</v>
      </c>
      <c r="C318" s="50">
        <v>1.2821917808219179</v>
      </c>
      <c r="D318" s="50">
        <f t="shared" si="24"/>
        <v>0.10795298861764935</v>
      </c>
      <c r="E318" s="50">
        <f>IF(Table2[[#This Row],[Geo Distance]]=0,0,LOG(Table2[[#This Row],[Geo Distance]]))</f>
        <v>0</v>
      </c>
      <c r="F318" s="50">
        <f>IF(Table2[[#This Row],[Target age]]=0,0,LOG(Table2[[#This Row],[Target age]]))</f>
        <v>0</v>
      </c>
      <c r="G318" s="59">
        <v>3.29</v>
      </c>
      <c r="H318" s="59">
        <f t="shared" si="25"/>
        <v>0.51719589794997434</v>
      </c>
      <c r="I318" s="60">
        <f>IF(Table2[[#This Row],[Culture]]=0,0,LOG(Table2[[#This Row],[Culture]]))</f>
        <v>0</v>
      </c>
      <c r="J318" s="60">
        <f>LOG(1+Table2[[#This Row],[S&amp;P]])</f>
        <v>0.13672056715640679</v>
      </c>
      <c r="K318" s="50">
        <v>1.1760912590556813</v>
      </c>
      <c r="L318" s="50">
        <v>100</v>
      </c>
      <c r="M318" s="50">
        <f t="shared" si="26"/>
        <v>2</v>
      </c>
      <c r="N318" s="62">
        <v>29.5</v>
      </c>
      <c r="O318" s="62">
        <f t="shared" si="27"/>
        <v>1.469822015978163</v>
      </c>
      <c r="P318" s="63">
        <v>38.538703610951003</v>
      </c>
      <c r="Q318" s="63">
        <f t="shared" si="28"/>
        <v>1.5858971014953607</v>
      </c>
      <c r="R318" s="50">
        <f>LOG(Table2[[#This Row],[generalist]])</f>
        <v>3.2327651641054547</v>
      </c>
      <c r="S318" s="50">
        <f>LOG(Table2[[#This Row],[country divers.]])</f>
        <v>3.9527244147731087</v>
      </c>
      <c r="T318" s="50">
        <f>LOG(Table2[[#This Row],[Firm Size]])</f>
        <v>8.7634279935629369</v>
      </c>
      <c r="U318">
        <v>6</v>
      </c>
      <c r="V318" s="137">
        <f t="shared" si="29"/>
        <v>0</v>
      </c>
    </row>
    <row r="319" spans="1:22" x14ac:dyDescent="0.35">
      <c r="A319" s="67" t="s">
        <v>59</v>
      </c>
      <c r="B319" s="52">
        <v>0.24358103609649076</v>
      </c>
      <c r="C319" s="52">
        <v>10.441095890410958</v>
      </c>
      <c r="D319" s="50">
        <f t="shared" si="24"/>
        <v>1.0187460843156924</v>
      </c>
      <c r="E319" s="52">
        <f>IF(Table2[[#This Row],[Geo Distance]]=0,0,LOG(Table2[[#This Row],[Geo Distance]]))</f>
        <v>0</v>
      </c>
      <c r="F319" s="52">
        <f>IF(Table2[[#This Row],[Target age]]=0,0,LOG(Table2[[#This Row],[Target age]]))</f>
        <v>1.3802112417116059</v>
      </c>
      <c r="G319" s="65">
        <v>3.29</v>
      </c>
      <c r="H319" s="59">
        <f t="shared" si="25"/>
        <v>0.51719589794997434</v>
      </c>
      <c r="I319" s="53">
        <f>IF(Table2[[#This Row],[Culture]]=0,0,LOG(Table2[[#This Row],[Culture]]))</f>
        <v>0</v>
      </c>
      <c r="J319" s="53">
        <f>LOG(1+Table2[[#This Row],[S&amp;P]])</f>
        <v>0.5877109650189114</v>
      </c>
      <c r="K319" s="52">
        <v>1</v>
      </c>
      <c r="L319" s="52">
        <v>100</v>
      </c>
      <c r="M319" s="50">
        <f t="shared" si="26"/>
        <v>2</v>
      </c>
      <c r="N319" s="55">
        <v>32.9</v>
      </c>
      <c r="O319" s="62">
        <f t="shared" si="27"/>
        <v>1.5171958979499742</v>
      </c>
      <c r="P319" s="56">
        <v>49.329709120205997</v>
      </c>
      <c r="Q319" s="63">
        <f t="shared" si="28"/>
        <v>1.6931085545892062</v>
      </c>
      <c r="R319" s="52">
        <f>LOG(Table2[[#This Row],[generalist]])</f>
        <v>3.2327651641054547</v>
      </c>
      <c r="S319" s="52">
        <f>LOG(Table2[[#This Row],[country divers.]])</f>
        <v>3.9527244147731087</v>
      </c>
      <c r="T319" s="52">
        <f>LOG(Table2[[#This Row],[Firm Size]])</f>
        <v>7.9268567089496926</v>
      </c>
      <c r="U319">
        <v>8</v>
      </c>
      <c r="V319" s="137">
        <f t="shared" si="29"/>
        <v>0</v>
      </c>
    </row>
    <row r="320" spans="1:22" x14ac:dyDescent="0.35">
      <c r="A320" s="49" t="s">
        <v>59</v>
      </c>
      <c r="B320" s="50">
        <v>0.27069276805557874</v>
      </c>
      <c r="C320" s="50">
        <v>4.0191780821917806</v>
      </c>
      <c r="D320" s="50">
        <f t="shared" si="24"/>
        <v>0.60413724938680791</v>
      </c>
      <c r="E320" s="50">
        <f>IF(Table2[[#This Row],[Geo Distance]]=0,0,LOG(Table2[[#This Row],[Geo Distance]]))</f>
        <v>0</v>
      </c>
      <c r="F320" s="50">
        <f>IF(Table2[[#This Row],[Target age]]=0,0,LOG(Table2[[#This Row],[Target age]]))</f>
        <v>1.6020599913279623</v>
      </c>
      <c r="G320" s="59">
        <v>3.29</v>
      </c>
      <c r="H320" s="59">
        <f t="shared" si="25"/>
        <v>0.51719589794997434</v>
      </c>
      <c r="I320" s="60">
        <f>IF(Table2[[#This Row],[Culture]]=0,0,LOG(Table2[[#This Row],[Culture]]))</f>
        <v>0</v>
      </c>
      <c r="J320" s="60">
        <f>LOG(1+Table2[[#This Row],[S&amp;P]])</f>
        <v>0.19589965240923368</v>
      </c>
      <c r="K320" s="50">
        <v>1.8864907251724818</v>
      </c>
      <c r="L320" s="50">
        <v>94.6</v>
      </c>
      <c r="M320" s="50">
        <f t="shared" si="26"/>
        <v>1.9758911364017928</v>
      </c>
      <c r="N320" s="62">
        <v>33.200000000000003</v>
      </c>
      <c r="O320" s="62">
        <f t="shared" si="27"/>
        <v>1.5211380837040362</v>
      </c>
      <c r="P320" s="63">
        <v>45.921427555082097</v>
      </c>
      <c r="Q320" s="63">
        <f t="shared" si="28"/>
        <v>1.6620153804713207</v>
      </c>
      <c r="R320" s="50">
        <f>LOG(Table2[[#This Row],[generalist]])</f>
        <v>3.3314213062933389</v>
      </c>
      <c r="S320" s="50">
        <f>LOG(Table2[[#This Row],[country divers.]])</f>
        <v>3.884802064783424</v>
      </c>
      <c r="T320" s="50">
        <f>LOG(Table2[[#This Row],[Firm Size]])</f>
        <v>8.7671558660821809</v>
      </c>
      <c r="U320">
        <v>1</v>
      </c>
      <c r="V320" s="137">
        <f t="shared" si="29"/>
        <v>0</v>
      </c>
    </row>
    <row r="321" spans="1:22" x14ac:dyDescent="0.35">
      <c r="A321" s="67" t="s">
        <v>59</v>
      </c>
      <c r="B321" s="52">
        <v>-7.2569549106915751E-2</v>
      </c>
      <c r="C321" s="52">
        <v>2.1753424657534248</v>
      </c>
      <c r="D321" s="50">
        <f t="shared" si="24"/>
        <v>0.33752763797062157</v>
      </c>
      <c r="E321" s="52">
        <f>IF(Table2[[#This Row],[Geo Distance]]=0,0,LOG(Table2[[#This Row],[Geo Distance]]))</f>
        <v>0</v>
      </c>
      <c r="F321" s="52">
        <f>IF(Table2[[#This Row],[Target age]]=0,0,LOG(Table2[[#This Row],[Target age]]))</f>
        <v>1.3010299956639813</v>
      </c>
      <c r="G321" s="65">
        <v>3.29</v>
      </c>
      <c r="H321" s="59">
        <f t="shared" si="25"/>
        <v>0.51719589794997434</v>
      </c>
      <c r="I321" s="53">
        <f>IF(Table2[[#This Row],[Culture]]=0,0,LOG(Table2[[#This Row],[Culture]]))</f>
        <v>0</v>
      </c>
      <c r="J321" s="53">
        <f>LOG(1+Table2[[#This Row],[S&amp;P]])</f>
        <v>6.445798922691845E-2</v>
      </c>
      <c r="K321" s="52">
        <v>1.8450980400142569</v>
      </c>
      <c r="L321" s="52">
        <v>85</v>
      </c>
      <c r="M321" s="50">
        <f t="shared" si="26"/>
        <v>1.9294189257142926</v>
      </c>
      <c r="N321" s="55">
        <v>32.299999999999997</v>
      </c>
      <c r="O321" s="62">
        <f t="shared" si="27"/>
        <v>1.5092025223311027</v>
      </c>
      <c r="P321" s="56">
        <v>40.040400531970803</v>
      </c>
      <c r="Q321" s="63">
        <f t="shared" si="28"/>
        <v>1.6024984131617945</v>
      </c>
      <c r="R321" s="52">
        <f>LOG(Table2[[#This Row],[generalist]])</f>
        <v>3.3314213062933389</v>
      </c>
      <c r="S321" s="52">
        <f>LOG(Table2[[#This Row],[country divers.]])</f>
        <v>3.884802064783424</v>
      </c>
      <c r="T321" s="52">
        <f>LOG(Table2[[#This Row],[Firm Size]])</f>
        <v>8.7353273807884904</v>
      </c>
      <c r="U321">
        <v>7</v>
      </c>
      <c r="V321" s="137">
        <f t="shared" si="29"/>
        <v>0</v>
      </c>
    </row>
    <row r="322" spans="1:22" x14ac:dyDescent="0.35">
      <c r="A322" s="49" t="s">
        <v>59</v>
      </c>
      <c r="B322" s="50">
        <v>0.40575447990253999</v>
      </c>
      <c r="C322" s="50">
        <v>3.0575342465753423</v>
      </c>
      <c r="D322" s="50">
        <f t="shared" si="24"/>
        <v>0.48537133014508521</v>
      </c>
      <c r="E322" s="50">
        <f>IF(Table2[[#This Row],[Geo Distance]]=0,0,LOG(Table2[[#This Row],[Geo Distance]]))</f>
        <v>0</v>
      </c>
      <c r="F322" s="50">
        <f>IF(Table2[[#This Row],[Target age]]=0,0,LOG(Table2[[#This Row],[Target age]]))</f>
        <v>0</v>
      </c>
      <c r="G322" s="59">
        <v>3.29</v>
      </c>
      <c r="H322" s="59">
        <f t="shared" si="25"/>
        <v>0.51719589794997434</v>
      </c>
      <c r="I322" s="60">
        <f>IF(Table2[[#This Row],[Culture]]=0,0,LOG(Table2[[#This Row],[Culture]]))</f>
        <v>0</v>
      </c>
      <c r="J322" s="60">
        <f>LOG(1+Table2[[#This Row],[S&amp;P]])</f>
        <v>0.13672056715640679</v>
      </c>
      <c r="K322" s="50">
        <v>1.8325089127062364</v>
      </c>
      <c r="L322" s="50">
        <v>85</v>
      </c>
      <c r="M322" s="50">
        <f t="shared" si="26"/>
        <v>1.9294189257142926</v>
      </c>
      <c r="N322" s="62">
        <v>31.5</v>
      </c>
      <c r="O322" s="62">
        <f t="shared" si="27"/>
        <v>1.4983105537896004</v>
      </c>
      <c r="P322" s="63">
        <v>37.589394702761602</v>
      </c>
      <c r="Q322" s="63">
        <f t="shared" si="28"/>
        <v>1.575065332381355</v>
      </c>
      <c r="R322" s="50">
        <f>LOG(Table2[[#This Row],[generalist]])</f>
        <v>3.3314213062933389</v>
      </c>
      <c r="S322" s="50">
        <f>LOG(Table2[[#This Row],[country divers.]])</f>
        <v>3.884802064783424</v>
      </c>
      <c r="T322" s="50">
        <f>LOG(Table2[[#This Row],[Firm Size]])</f>
        <v>8.9327020137020643</v>
      </c>
      <c r="U322">
        <v>5</v>
      </c>
      <c r="V322" s="137">
        <f t="shared" si="29"/>
        <v>0</v>
      </c>
    </row>
    <row r="323" spans="1:22" x14ac:dyDescent="0.35">
      <c r="A323" s="67" t="s">
        <v>59</v>
      </c>
      <c r="B323" s="52">
        <v>0.3128725024674901</v>
      </c>
      <c r="C323" s="52">
        <v>9.580821917808219</v>
      </c>
      <c r="D323" s="50">
        <f t="shared" ref="D323:D386" si="30">LOG(C323)</f>
        <v>0.98140276785277003</v>
      </c>
      <c r="E323" s="52">
        <f>IF(Table2[[#This Row],[Geo Distance]]=0,0,LOG(Table2[[#This Row],[Geo Distance]]))</f>
        <v>0</v>
      </c>
      <c r="F323" s="52">
        <f>IF(Table2[[#This Row],[Target age]]=0,0,LOG(Table2[[#This Row],[Target age]]))</f>
        <v>1.7160033436347992</v>
      </c>
      <c r="G323" s="65">
        <v>3.29</v>
      </c>
      <c r="H323" s="59">
        <f t="shared" ref="H323:H386" si="31">LOG(G323)</f>
        <v>0.51719589794997434</v>
      </c>
      <c r="I323" s="53">
        <f>IF(Table2[[#This Row],[Culture]]=0,0,LOG(Table2[[#This Row],[Culture]]))</f>
        <v>0</v>
      </c>
      <c r="J323" s="53">
        <f>LOG(1+Table2[[#This Row],[S&amp;P]])</f>
        <v>-0.16749108729376372</v>
      </c>
      <c r="K323" s="52">
        <v>1.8129133566428555</v>
      </c>
      <c r="L323" s="52">
        <v>85</v>
      </c>
      <c r="M323" s="50">
        <f t="shared" ref="M323:M386" si="32">LOG(L323)</f>
        <v>1.9294189257142926</v>
      </c>
      <c r="N323" s="55">
        <v>32.200000000000003</v>
      </c>
      <c r="O323" s="62">
        <f t="shared" ref="O323:O386" si="33">LOG(N323)</f>
        <v>1.507855871695831</v>
      </c>
      <c r="P323" s="56">
        <v>35.326012114535303</v>
      </c>
      <c r="Q323" s="63">
        <f t="shared" ref="Q323:Q386" si="34">LOG(P323)</f>
        <v>1.548094613534351</v>
      </c>
      <c r="R323" s="52">
        <f>LOG(Table2[[#This Row],[generalist]])</f>
        <v>3.3314213062933389</v>
      </c>
      <c r="S323" s="52">
        <f>LOG(Table2[[#This Row],[country divers.]])</f>
        <v>3.884802064783424</v>
      </c>
      <c r="T323" s="52">
        <f>LOG(Table2[[#This Row],[Firm Size]])</f>
        <v>8.7032913781186618</v>
      </c>
      <c r="U323">
        <v>8</v>
      </c>
      <c r="V323" s="137">
        <f t="shared" ref="V323:V386" si="35">IF(E323=0,0,1)</f>
        <v>0</v>
      </c>
    </row>
    <row r="324" spans="1:22" x14ac:dyDescent="0.35">
      <c r="A324" s="49" t="s">
        <v>59</v>
      </c>
      <c r="B324" s="50">
        <v>0.35654732351381263</v>
      </c>
      <c r="C324" s="50">
        <v>6.4438356164383563</v>
      </c>
      <c r="D324" s="50">
        <f t="shared" si="30"/>
        <v>0.80914445294762616</v>
      </c>
      <c r="E324" s="50">
        <f>IF(Table2[[#This Row],[Geo Distance]]=0,0,LOG(Table2[[#This Row],[Geo Distance]]))</f>
        <v>0</v>
      </c>
      <c r="F324" s="50">
        <f>IF(Table2[[#This Row],[Target age]]=0,0,LOG(Table2[[#This Row],[Target age]]))</f>
        <v>1.8573324964312685</v>
      </c>
      <c r="G324" s="59">
        <v>3.29</v>
      </c>
      <c r="H324" s="59">
        <f t="shared" si="31"/>
        <v>0.51719589794997434</v>
      </c>
      <c r="I324" s="60">
        <f>IF(Table2[[#This Row],[Culture]]=0,0,LOG(Table2[[#This Row],[Culture]]))</f>
        <v>0</v>
      </c>
      <c r="J324" s="60">
        <f>LOG(1+Table2[[#This Row],[S&amp;P]])</f>
        <v>4.5322978786657475E-2</v>
      </c>
      <c r="K324" s="50">
        <v>1.8061799739838871</v>
      </c>
      <c r="L324" s="50">
        <v>85</v>
      </c>
      <c r="M324" s="50">
        <f t="shared" si="32"/>
        <v>1.9294189257142926</v>
      </c>
      <c r="N324" s="62">
        <v>31.5</v>
      </c>
      <c r="O324" s="62">
        <f t="shared" si="33"/>
        <v>1.4983105537896004</v>
      </c>
      <c r="P324" s="63">
        <v>35.516899069648296</v>
      </c>
      <c r="Q324" s="63">
        <f t="shared" si="34"/>
        <v>1.5504350411232082</v>
      </c>
      <c r="R324" s="50">
        <f>LOG(Table2[[#This Row],[generalist]])</f>
        <v>3.3314213062933389</v>
      </c>
      <c r="S324" s="50">
        <f>LOG(Table2[[#This Row],[country divers.]])</f>
        <v>3.884802064783424</v>
      </c>
      <c r="T324" s="50">
        <f>LOG(Table2[[#This Row],[Firm Size]])</f>
        <v>8.5465426634781316</v>
      </c>
      <c r="U324">
        <v>5</v>
      </c>
      <c r="V324" s="137">
        <f t="shared" si="35"/>
        <v>0</v>
      </c>
    </row>
    <row r="325" spans="1:22" x14ac:dyDescent="0.35">
      <c r="A325" s="67" t="s">
        <v>59</v>
      </c>
      <c r="B325" s="52">
        <v>-0.38209714220653945</v>
      </c>
      <c r="C325" s="52">
        <v>5.5315068493150683</v>
      </c>
      <c r="D325" s="50">
        <f t="shared" si="30"/>
        <v>0.7428434544871646</v>
      </c>
      <c r="E325" s="52">
        <f>IF(Table2[[#This Row],[Geo Distance]]=0,0,LOG(Table2[[#This Row],[Geo Distance]]))</f>
        <v>0</v>
      </c>
      <c r="F325" s="52">
        <f>IF(Table2[[#This Row],[Target age]]=0,0,LOG(Table2[[#This Row],[Target age]]))</f>
        <v>0</v>
      </c>
      <c r="G325" s="65">
        <v>3.29</v>
      </c>
      <c r="H325" s="59">
        <f t="shared" si="31"/>
        <v>0.51719589794997434</v>
      </c>
      <c r="I325" s="53">
        <f>IF(Table2[[#This Row],[Culture]]=0,0,LOG(Table2[[#This Row],[Culture]]))</f>
        <v>0</v>
      </c>
      <c r="J325" s="53">
        <f>LOG(1+Table2[[#This Row],[S&amp;P]])</f>
        <v>0.17318626841227402</v>
      </c>
      <c r="K325" s="52">
        <v>1.7923916894982539</v>
      </c>
      <c r="L325" s="52">
        <v>85</v>
      </c>
      <c r="M325" s="50">
        <f t="shared" si="32"/>
        <v>1.9294189257142926</v>
      </c>
      <c r="N325" s="55">
        <v>29.3</v>
      </c>
      <c r="O325" s="62">
        <f t="shared" si="33"/>
        <v>1.4668676203541096</v>
      </c>
      <c r="P325" s="56">
        <v>36.913126831903199</v>
      </c>
      <c r="Q325" s="63">
        <f t="shared" si="34"/>
        <v>1.5671808349091383</v>
      </c>
      <c r="R325" s="52">
        <f>LOG(Table2[[#This Row],[generalist]])</f>
        <v>3.3314213062933389</v>
      </c>
      <c r="S325" s="52">
        <f>LOG(Table2[[#This Row],[country divers.]])</f>
        <v>3.884802064783424</v>
      </c>
      <c r="T325" s="52">
        <f>LOG(Table2[[#This Row],[Firm Size]])</f>
        <v>8.5797835966168101</v>
      </c>
      <c r="U325">
        <v>5</v>
      </c>
      <c r="V325" s="137">
        <f t="shared" si="35"/>
        <v>0</v>
      </c>
    </row>
    <row r="326" spans="1:22" x14ac:dyDescent="0.35">
      <c r="A326" s="49" t="s">
        <v>59</v>
      </c>
      <c r="B326" s="50">
        <v>0.45307083395064052</v>
      </c>
      <c r="C326" s="50">
        <v>3.8</v>
      </c>
      <c r="D326" s="50">
        <f t="shared" si="30"/>
        <v>0.57978359661681012</v>
      </c>
      <c r="E326" s="50">
        <f>IF(Table2[[#This Row],[Geo Distance]]=0,0,LOG(Table2[[#This Row],[Geo Distance]]))</f>
        <v>3.7707018228379927</v>
      </c>
      <c r="F326" s="50">
        <f>IF(Table2[[#This Row],[Target age]]=0,0,LOG(Table2[[#This Row],[Target age]]))</f>
        <v>1.6127838567197355</v>
      </c>
      <c r="G326" s="59">
        <v>2.3199999999999998</v>
      </c>
      <c r="H326" s="59">
        <f t="shared" si="31"/>
        <v>0.36548798489089962</v>
      </c>
      <c r="I326" s="60">
        <f>IF(Table2[[#This Row],[Culture]]=0,0,LOG(Table2[[#This Row],[Culture]]))</f>
        <v>2.12057393120585</v>
      </c>
      <c r="J326" s="60">
        <f>LOG(1+Table2[[#This Row],[S&amp;P]])</f>
        <v>8.2785370316450071E-2</v>
      </c>
      <c r="K326" s="50">
        <v>0.6020599913279624</v>
      </c>
      <c r="L326" s="50">
        <v>85</v>
      </c>
      <c r="M326" s="50">
        <f t="shared" si="32"/>
        <v>1.9294189257142926</v>
      </c>
      <c r="N326" s="62">
        <v>32.299999999999997</v>
      </c>
      <c r="O326" s="62">
        <f t="shared" si="33"/>
        <v>1.5092025223311027</v>
      </c>
      <c r="P326" s="63">
        <v>40.040400531970803</v>
      </c>
      <c r="Q326" s="63">
        <f t="shared" si="34"/>
        <v>1.6024984131617945</v>
      </c>
      <c r="R326" s="50">
        <f>LOG(Table2[[#This Row],[generalist]])</f>
        <v>3.348721986001856</v>
      </c>
      <c r="S326" s="50">
        <f>LOG(Table2[[#This Row],[country divers.]])</f>
        <v>3.7520876635386311</v>
      </c>
      <c r="T326" s="50">
        <f>LOG(Table2[[#This Row],[Firm Size]])</f>
        <v>8.4369573306694488</v>
      </c>
      <c r="U326">
        <v>5</v>
      </c>
      <c r="V326" s="137">
        <f t="shared" si="35"/>
        <v>1</v>
      </c>
    </row>
    <row r="327" spans="1:22" x14ac:dyDescent="0.35">
      <c r="A327" s="67" t="s">
        <v>59</v>
      </c>
      <c r="B327" s="52">
        <v>0</v>
      </c>
      <c r="C327" s="52">
        <v>2.1671232876712327</v>
      </c>
      <c r="D327" s="50">
        <f t="shared" si="30"/>
        <v>0.33588361904120184</v>
      </c>
      <c r="E327" s="52">
        <f>IF(Table2[[#This Row],[Geo Distance]]=0,0,LOG(Table2[[#This Row],[Geo Distance]]))</f>
        <v>3.7707018228379927</v>
      </c>
      <c r="F327" s="52">
        <f>IF(Table2[[#This Row],[Target age]]=0,0,LOG(Table2[[#This Row],[Target age]]))</f>
        <v>1.5910646070264991</v>
      </c>
      <c r="G327" s="65">
        <v>2.3199999999999998</v>
      </c>
      <c r="H327" s="59">
        <f t="shared" si="31"/>
        <v>0.36548798489089962</v>
      </c>
      <c r="I327" s="53">
        <f>IF(Table2[[#This Row],[Culture]]=0,0,LOG(Table2[[#This Row],[Culture]]))</f>
        <v>2.12057393120585</v>
      </c>
      <c r="J327" s="53">
        <f>LOG(1+Table2[[#This Row],[S&amp;P]])</f>
        <v>5.6904851336472641E-2</v>
      </c>
      <c r="K327" s="52">
        <v>0.6020599913279624</v>
      </c>
      <c r="L327" s="52">
        <v>85</v>
      </c>
      <c r="M327" s="50">
        <f t="shared" si="32"/>
        <v>1.9294189257142926</v>
      </c>
      <c r="N327" s="55">
        <v>32.299999999999997</v>
      </c>
      <c r="O327" s="62">
        <f t="shared" si="33"/>
        <v>1.5092025223311027</v>
      </c>
      <c r="P327" s="56">
        <v>40.040400531970803</v>
      </c>
      <c r="Q327" s="63">
        <f t="shared" si="34"/>
        <v>1.6024984131617945</v>
      </c>
      <c r="R327" s="52">
        <f>LOG(Table2[[#This Row],[generalist]])</f>
        <v>3.348721986001856</v>
      </c>
      <c r="S327" s="52">
        <f>LOG(Table2[[#This Row],[country divers.]])</f>
        <v>3.7520876635386311</v>
      </c>
      <c r="T327" s="52">
        <f>LOG(Table2[[#This Row],[Firm Size]])</f>
        <v>8.5440680443502757</v>
      </c>
      <c r="U327">
        <v>5</v>
      </c>
      <c r="V327" s="137">
        <f t="shared" si="35"/>
        <v>1</v>
      </c>
    </row>
    <row r="328" spans="1:22" x14ac:dyDescent="0.35">
      <c r="A328" s="49" t="s">
        <v>59</v>
      </c>
      <c r="B328" s="50">
        <v>0</v>
      </c>
      <c r="C328" s="50">
        <v>8.1013698630136979</v>
      </c>
      <c r="D328" s="50">
        <f t="shared" si="30"/>
        <v>0.90855846006964291</v>
      </c>
      <c r="E328" s="50">
        <f>IF(Table2[[#This Row],[Geo Distance]]=0,0,LOG(Table2[[#This Row],[Geo Distance]]))</f>
        <v>0</v>
      </c>
      <c r="F328" s="50">
        <f>IF(Table2[[#This Row],[Target age]]=0,0,LOG(Table2[[#This Row],[Target age]]))</f>
        <v>0</v>
      </c>
      <c r="G328" s="59">
        <v>3.29</v>
      </c>
      <c r="H328" s="59">
        <f t="shared" si="31"/>
        <v>0.51719589794997434</v>
      </c>
      <c r="I328" s="60">
        <f>IF(Table2[[#This Row],[Culture]]=0,0,LOG(Table2[[#This Row],[Culture]]))</f>
        <v>0</v>
      </c>
      <c r="J328" s="60">
        <f>LOG(1+Table2[[#This Row],[S&amp;P]])</f>
        <v>0.10720996964786837</v>
      </c>
      <c r="K328" s="50">
        <v>1.255272505103306</v>
      </c>
      <c r="L328" s="50">
        <v>91.2</v>
      </c>
      <c r="M328" s="50">
        <f t="shared" si="32"/>
        <v>1.9599948383284163</v>
      </c>
      <c r="N328" s="62">
        <v>33</v>
      </c>
      <c r="O328" s="62">
        <f t="shared" si="33"/>
        <v>1.5185139398778875</v>
      </c>
      <c r="P328" s="63">
        <v>40.902544500539101</v>
      </c>
      <c r="Q328" s="63">
        <f t="shared" si="34"/>
        <v>1.6117503258110162</v>
      </c>
      <c r="R328" s="50">
        <f>LOG(Table2[[#This Row],[generalist]])</f>
        <v>3.2457564512341266</v>
      </c>
      <c r="S328" s="50">
        <f>LOG(Table2[[#This Row],[country divers.]])</f>
        <v>3.8622739403850663</v>
      </c>
      <c r="T328" s="50">
        <f>LOG(Table2[[#This Row],[Firm Size]])</f>
        <v>8</v>
      </c>
      <c r="U328">
        <v>5</v>
      </c>
      <c r="V328" s="137">
        <f t="shared" si="35"/>
        <v>0</v>
      </c>
    </row>
    <row r="329" spans="1:22" x14ac:dyDescent="0.35">
      <c r="A329" s="67" t="s">
        <v>59</v>
      </c>
      <c r="B329" s="52">
        <v>0.44193238125204243</v>
      </c>
      <c r="C329" s="52">
        <v>6.1863013698630134</v>
      </c>
      <c r="D329" s="50">
        <f t="shared" si="30"/>
        <v>0.79143107313247429</v>
      </c>
      <c r="E329" s="52">
        <f>IF(Table2[[#This Row],[Geo Distance]]=0,0,LOG(Table2[[#This Row],[Geo Distance]]))</f>
        <v>3.7707018228379927</v>
      </c>
      <c r="F329" s="52">
        <f>IF(Table2[[#This Row],[Target age]]=0,0,LOG(Table2[[#This Row],[Target age]]))</f>
        <v>0.69897000433601886</v>
      </c>
      <c r="G329" s="65">
        <v>2.3199999999999998</v>
      </c>
      <c r="H329" s="59">
        <f t="shared" si="31"/>
        <v>0.36548798489089962</v>
      </c>
      <c r="I329" s="53">
        <f>IF(Table2[[#This Row],[Culture]]=0,0,LOG(Table2[[#This Row],[Culture]]))</f>
        <v>2.12057393120585</v>
      </c>
      <c r="J329" s="53">
        <f>LOG(1+Table2[[#This Row],[S&amp;P]])</f>
        <v>0.28555730900777382</v>
      </c>
      <c r="K329" s="52">
        <v>1.3979400086720377</v>
      </c>
      <c r="L329" s="52">
        <v>94.7</v>
      </c>
      <c r="M329" s="50">
        <f t="shared" si="32"/>
        <v>1.9763499790032735</v>
      </c>
      <c r="N329" s="55">
        <v>32.4</v>
      </c>
      <c r="O329" s="62">
        <f t="shared" si="33"/>
        <v>1.510545010206612</v>
      </c>
      <c r="P329" s="56">
        <v>45.737088331856903</v>
      </c>
      <c r="Q329" s="63">
        <f t="shared" si="34"/>
        <v>1.6602685135357675</v>
      </c>
      <c r="R329" s="52">
        <f>LOG(Table2[[#This Row],[generalist]])</f>
        <v>3.0958500844125241</v>
      </c>
      <c r="S329" s="52">
        <f>LOG(Table2[[#This Row],[country divers.]])</f>
        <v>3.5078178355445662</v>
      </c>
      <c r="T329" s="52">
        <f>LOG(Table2[[#This Row],[Firm Size]])</f>
        <v>7.7911590602836815</v>
      </c>
      <c r="U329">
        <v>7</v>
      </c>
      <c r="V329" s="137">
        <f t="shared" si="35"/>
        <v>1</v>
      </c>
    </row>
    <row r="330" spans="1:22" x14ac:dyDescent="0.35">
      <c r="A330" s="49" t="s">
        <v>59</v>
      </c>
      <c r="B330" s="50">
        <v>0.25661085587556831</v>
      </c>
      <c r="C330" s="50">
        <v>3.8575342465753426</v>
      </c>
      <c r="D330" s="50">
        <f t="shared" si="30"/>
        <v>0.58630979034961872</v>
      </c>
      <c r="E330" s="50">
        <f>IF(Table2[[#This Row],[Geo Distance]]=0,0,LOG(Table2[[#This Row],[Geo Distance]]))</f>
        <v>3.7707018228379927</v>
      </c>
      <c r="F330" s="50">
        <f>IF(Table2[[#This Row],[Target age]]=0,0,LOG(Table2[[#This Row],[Target age]]))</f>
        <v>0</v>
      </c>
      <c r="G330" s="59">
        <v>2.3199999999999998</v>
      </c>
      <c r="H330" s="59">
        <f t="shared" si="31"/>
        <v>0.36548798489089962</v>
      </c>
      <c r="I330" s="60">
        <f>IF(Table2[[#This Row],[Culture]]=0,0,LOG(Table2[[#This Row],[Culture]]))</f>
        <v>2.12057393120585</v>
      </c>
      <c r="J330" s="60">
        <f>LOG(1+Table2[[#This Row],[S&amp;P]])</f>
        <v>2.1189299069938092E-2</v>
      </c>
      <c r="K330" s="50">
        <v>1.3222192947339193</v>
      </c>
      <c r="L330" s="50">
        <v>90.8</v>
      </c>
      <c r="M330" s="50">
        <f t="shared" si="32"/>
        <v>1.958085848521085</v>
      </c>
      <c r="N330" s="62">
        <v>32.299999999999997</v>
      </c>
      <c r="O330" s="62">
        <f t="shared" si="33"/>
        <v>1.5092025223311027</v>
      </c>
      <c r="P330" s="63">
        <v>44.4007960521485</v>
      </c>
      <c r="Q330" s="63">
        <f t="shared" si="34"/>
        <v>1.6473907565550749</v>
      </c>
      <c r="R330" s="50">
        <f>LOG(Table2[[#This Row],[generalist]])</f>
        <v>3.0958500844125241</v>
      </c>
      <c r="S330" s="50">
        <f>LOG(Table2[[#This Row],[country divers.]])</f>
        <v>3.5078178355445662</v>
      </c>
      <c r="T330" s="50">
        <f>LOG(Table2[[#This Row],[Firm Size]])</f>
        <v>8.5563025007672877</v>
      </c>
      <c r="U330">
        <v>6</v>
      </c>
      <c r="V330" s="137">
        <f t="shared" si="35"/>
        <v>1</v>
      </c>
    </row>
    <row r="331" spans="1:22" x14ac:dyDescent="0.35">
      <c r="A331" s="67" t="s">
        <v>59</v>
      </c>
      <c r="B331" s="52">
        <v>-4.8523706803827171E-2</v>
      </c>
      <c r="C331" s="52">
        <v>3.3397260273972602</v>
      </c>
      <c r="D331" s="50">
        <f t="shared" si="30"/>
        <v>0.52371084116190725</v>
      </c>
      <c r="E331" s="52">
        <f>IF(Table2[[#This Row],[Geo Distance]]=0,0,LOG(Table2[[#This Row],[Geo Distance]]))</f>
        <v>3.7707018228379927</v>
      </c>
      <c r="F331" s="52">
        <f>IF(Table2[[#This Row],[Target age]]=0,0,LOG(Table2[[#This Row],[Target age]]))</f>
        <v>1.6127838567197355</v>
      </c>
      <c r="G331" s="65">
        <v>2.3199999999999998</v>
      </c>
      <c r="H331" s="59">
        <f t="shared" si="31"/>
        <v>0.36548798489089962</v>
      </c>
      <c r="I331" s="53">
        <f>IF(Table2[[#This Row],[Culture]]=0,0,LOG(Table2[[#This Row],[Culture]]))</f>
        <v>2.12057393120585</v>
      </c>
      <c r="J331" s="53">
        <f>LOG(1+Table2[[#This Row],[S&amp;P]])</f>
        <v>-0.11918640771920865</v>
      </c>
      <c r="K331" s="52">
        <v>1.2787536009528289</v>
      </c>
      <c r="L331" s="52">
        <v>91.5</v>
      </c>
      <c r="M331" s="50">
        <f t="shared" si="32"/>
        <v>1.9614210940664483</v>
      </c>
      <c r="N331" s="55">
        <v>32.9</v>
      </c>
      <c r="O331" s="62">
        <f t="shared" si="33"/>
        <v>1.5171958979499742</v>
      </c>
      <c r="P331" s="56">
        <v>40.767390998852598</v>
      </c>
      <c r="Q331" s="63">
        <f t="shared" si="34"/>
        <v>1.6103129186864549</v>
      </c>
      <c r="R331" s="52">
        <f>LOG(Table2[[#This Row],[generalist]])</f>
        <v>3.0958500844125241</v>
      </c>
      <c r="S331" s="52">
        <f>LOG(Table2[[#This Row],[country divers.]])</f>
        <v>3.5078178355445662</v>
      </c>
      <c r="T331" s="52">
        <f>LOG(Table2[[#This Row],[Firm Size]])</f>
        <v>8.5440680443502757</v>
      </c>
      <c r="U331">
        <v>5</v>
      </c>
      <c r="V331" s="137">
        <f t="shared" si="35"/>
        <v>1</v>
      </c>
    </row>
    <row r="332" spans="1:22" x14ac:dyDescent="0.35">
      <c r="A332" s="49" t="s">
        <v>59</v>
      </c>
      <c r="B332" s="50">
        <v>-4.8952980787425474E-4</v>
      </c>
      <c r="C332" s="50">
        <v>3.128767123287671</v>
      </c>
      <c r="D332" s="50">
        <f t="shared" si="30"/>
        <v>0.49537323945335449</v>
      </c>
      <c r="E332" s="50">
        <f>IF(Table2[[#This Row],[Geo Distance]]=0,0,LOG(Table2[[#This Row],[Geo Distance]]))</f>
        <v>3.7707018228379927</v>
      </c>
      <c r="F332" s="50">
        <f>IF(Table2[[#This Row],[Target age]]=0,0,LOG(Table2[[#This Row],[Target age]]))</f>
        <v>1.8976270912904414</v>
      </c>
      <c r="G332" s="59">
        <v>2.3199999999999998</v>
      </c>
      <c r="H332" s="59">
        <f t="shared" si="31"/>
        <v>0.36548798489089962</v>
      </c>
      <c r="I332" s="60">
        <f>IF(Table2[[#This Row],[Culture]]=0,0,LOG(Table2[[#This Row],[Culture]]))</f>
        <v>2.12057393120585</v>
      </c>
      <c r="J332" s="60">
        <f>LOG(1+Table2[[#This Row],[S&amp;P]])</f>
        <v>-0.13076828026902382</v>
      </c>
      <c r="K332" s="50">
        <v>1.255272505103306</v>
      </c>
      <c r="L332" s="50">
        <v>85</v>
      </c>
      <c r="M332" s="50">
        <f t="shared" si="32"/>
        <v>1.9294189257142926</v>
      </c>
      <c r="N332" s="62">
        <v>32.700000000000003</v>
      </c>
      <c r="O332" s="62">
        <f t="shared" si="33"/>
        <v>1.5145477526602862</v>
      </c>
      <c r="P332" s="63">
        <v>41.286751495766303</v>
      </c>
      <c r="Q332" s="63">
        <f t="shared" si="34"/>
        <v>1.6158107132703448</v>
      </c>
      <c r="R332" s="50">
        <f>LOG(Table2[[#This Row],[generalist]])</f>
        <v>3.0958500844125241</v>
      </c>
      <c r="S332" s="50">
        <f>LOG(Table2[[#This Row],[country divers.]])</f>
        <v>3.5078178355445662</v>
      </c>
      <c r="T332" s="50">
        <f>LOG(Table2[[#This Row],[Firm Size]])</f>
        <v>7.7264011621029223</v>
      </c>
      <c r="U332">
        <v>8</v>
      </c>
      <c r="V332" s="137">
        <f t="shared" si="35"/>
        <v>1</v>
      </c>
    </row>
    <row r="333" spans="1:22" x14ac:dyDescent="0.35">
      <c r="A333" s="67" t="s">
        <v>59</v>
      </c>
      <c r="B333" s="52">
        <v>0.29148467775775083</v>
      </c>
      <c r="C333" s="52">
        <v>5.0630136986301366</v>
      </c>
      <c r="D333" s="50">
        <f t="shared" si="30"/>
        <v>0.70440910242761312</v>
      </c>
      <c r="E333" s="52">
        <f>IF(Table2[[#This Row],[Geo Distance]]=0,0,LOG(Table2[[#This Row],[Geo Distance]]))</f>
        <v>3.7707018228379927</v>
      </c>
      <c r="F333" s="52">
        <f>IF(Table2[[#This Row],[Target age]]=0,0,LOG(Table2[[#This Row],[Target age]]))</f>
        <v>0</v>
      </c>
      <c r="G333" s="65">
        <v>2.3199999999999998</v>
      </c>
      <c r="H333" s="59">
        <f t="shared" si="31"/>
        <v>0.36548798489089962</v>
      </c>
      <c r="I333" s="53">
        <f>IF(Table2[[#This Row],[Culture]]=0,0,LOG(Table2[[#This Row],[Culture]]))</f>
        <v>2.12057393120585</v>
      </c>
      <c r="J333" s="53">
        <f>LOG(1+Table2[[#This Row],[S&amp;P]])</f>
        <v>-4.3648054024500883E-3</v>
      </c>
      <c r="K333" s="52">
        <v>1.255272505103306</v>
      </c>
      <c r="L333" s="52">
        <v>85</v>
      </c>
      <c r="M333" s="50">
        <f t="shared" si="32"/>
        <v>1.9294189257142926</v>
      </c>
      <c r="N333" s="55">
        <v>32.700000000000003</v>
      </c>
      <c r="O333" s="62">
        <f t="shared" si="33"/>
        <v>1.5145477526602862</v>
      </c>
      <c r="P333" s="56">
        <v>41.286751495766303</v>
      </c>
      <c r="Q333" s="63">
        <f t="shared" si="34"/>
        <v>1.6158107132703448</v>
      </c>
      <c r="R333" s="52">
        <f>LOG(Table2[[#This Row],[generalist]])</f>
        <v>3.0958500844125241</v>
      </c>
      <c r="S333" s="52">
        <f>LOG(Table2[[#This Row],[country divers.]])</f>
        <v>3.5078178355445662</v>
      </c>
      <c r="T333" s="52">
        <f>LOG(Table2[[#This Row],[Firm Size]])</f>
        <v>8.3617278360175931</v>
      </c>
      <c r="U333">
        <v>5</v>
      </c>
      <c r="V333" s="137">
        <f t="shared" si="35"/>
        <v>1</v>
      </c>
    </row>
    <row r="334" spans="1:22" x14ac:dyDescent="0.35">
      <c r="A334" s="49" t="s">
        <v>59</v>
      </c>
      <c r="B334" s="50">
        <v>0.29846777889938081</v>
      </c>
      <c r="C334" s="50">
        <v>1.210958904109589</v>
      </c>
      <c r="D334" s="50">
        <f t="shared" si="30"/>
        <v>8.3129404892617151E-2</v>
      </c>
      <c r="E334" s="50">
        <f>IF(Table2[[#This Row],[Geo Distance]]=0,0,LOG(Table2[[#This Row],[Geo Distance]]))</f>
        <v>3.7707018228379927</v>
      </c>
      <c r="F334" s="50">
        <f>IF(Table2[[#This Row],[Target age]]=0,0,LOG(Table2[[#This Row],[Target age]]))</f>
        <v>1</v>
      </c>
      <c r="G334" s="59">
        <v>2.3199999999999998</v>
      </c>
      <c r="H334" s="59">
        <f t="shared" si="31"/>
        <v>0.36548798489089962</v>
      </c>
      <c r="I334" s="60">
        <f>IF(Table2[[#This Row],[Culture]]=0,0,LOG(Table2[[#This Row],[Culture]]))</f>
        <v>2.12057393120585</v>
      </c>
      <c r="J334" s="60">
        <f>LOG(1+Table2[[#This Row],[S&amp;P]])</f>
        <v>4.1392685158225077E-2</v>
      </c>
      <c r="K334" s="50">
        <v>1.2304489213782739</v>
      </c>
      <c r="L334" s="50">
        <v>85</v>
      </c>
      <c r="M334" s="50">
        <f t="shared" si="32"/>
        <v>1.9294189257142926</v>
      </c>
      <c r="N334" s="62">
        <v>32.299999999999997</v>
      </c>
      <c r="O334" s="62">
        <f t="shared" si="33"/>
        <v>1.5092025223311027</v>
      </c>
      <c r="P334" s="63">
        <v>40.040400531970803</v>
      </c>
      <c r="Q334" s="63">
        <f t="shared" si="34"/>
        <v>1.6024984131617945</v>
      </c>
      <c r="R334" s="50">
        <f>LOG(Table2[[#This Row],[generalist]])</f>
        <v>3.0958500844125241</v>
      </c>
      <c r="S334" s="50">
        <f>LOG(Table2[[#This Row],[country divers.]])</f>
        <v>3.5078178355445662</v>
      </c>
      <c r="T334" s="50">
        <f>LOG(Table2[[#This Row],[Firm Size]])</f>
        <v>7.5314789170422554</v>
      </c>
      <c r="U334">
        <v>4</v>
      </c>
      <c r="V334" s="137">
        <f t="shared" si="35"/>
        <v>1</v>
      </c>
    </row>
    <row r="335" spans="1:22" x14ac:dyDescent="0.35">
      <c r="A335" s="67" t="s">
        <v>59</v>
      </c>
      <c r="B335" s="52">
        <v>1.2793376485140397</v>
      </c>
      <c r="C335" s="52">
        <v>4.7835616438356166</v>
      </c>
      <c r="D335" s="50">
        <f t="shared" si="30"/>
        <v>0.67975137491307625</v>
      </c>
      <c r="E335" s="52">
        <f>IF(Table2[[#This Row],[Geo Distance]]=0,0,LOG(Table2[[#This Row],[Geo Distance]]))</f>
        <v>3.7707018228379927</v>
      </c>
      <c r="F335" s="52">
        <f>IF(Table2[[#This Row],[Target age]]=0,0,LOG(Table2[[#This Row],[Target age]]))</f>
        <v>2.220108088040055</v>
      </c>
      <c r="G335" s="65">
        <v>2.3199999999999998</v>
      </c>
      <c r="H335" s="59">
        <f t="shared" si="31"/>
        <v>0.36548798489089962</v>
      </c>
      <c r="I335" s="53">
        <f>IF(Table2[[#This Row],[Culture]]=0,0,LOG(Table2[[#This Row],[Culture]]))</f>
        <v>2.12057393120585</v>
      </c>
      <c r="J335" s="53">
        <f>LOG(1+Table2[[#This Row],[S&amp;P]])</f>
        <v>0.250420002308894</v>
      </c>
      <c r="K335" s="52">
        <v>1.2041199826559248</v>
      </c>
      <c r="L335" s="52">
        <v>85</v>
      </c>
      <c r="M335" s="50">
        <f t="shared" si="32"/>
        <v>1.9294189257142926</v>
      </c>
      <c r="N335" s="55">
        <v>31.3</v>
      </c>
      <c r="O335" s="62">
        <f t="shared" si="33"/>
        <v>1.4955443375464486</v>
      </c>
      <c r="P335" s="56">
        <v>38.7850112673514</v>
      </c>
      <c r="Q335" s="63">
        <f t="shared" si="34"/>
        <v>1.5886639219461918</v>
      </c>
      <c r="R335" s="52">
        <f>LOG(Table2[[#This Row],[generalist]])</f>
        <v>3.0958500844125241</v>
      </c>
      <c r="S335" s="52">
        <f>LOG(Table2[[#This Row],[country divers.]])</f>
        <v>3.5078178355445662</v>
      </c>
      <c r="T335" s="52">
        <f>LOG(Table2[[#This Row],[Firm Size]])</f>
        <v>8.0041063232796574</v>
      </c>
      <c r="U335">
        <v>8</v>
      </c>
      <c r="V335" s="137">
        <f t="shared" si="35"/>
        <v>1</v>
      </c>
    </row>
    <row r="336" spans="1:22" x14ac:dyDescent="0.35">
      <c r="A336" s="49" t="s">
        <v>59</v>
      </c>
      <c r="B336" s="50">
        <v>0.28307026740134966</v>
      </c>
      <c r="C336" s="50">
        <v>2.9452054794520546</v>
      </c>
      <c r="D336" s="50">
        <f t="shared" si="30"/>
        <v>0.46911559979514939</v>
      </c>
      <c r="E336" s="50">
        <f>IF(Table2[[#This Row],[Geo Distance]]=0,0,LOG(Table2[[#This Row],[Geo Distance]]))</f>
        <v>3.7707018228379927</v>
      </c>
      <c r="F336" s="50">
        <f>IF(Table2[[#This Row],[Target age]]=0,0,LOG(Table2[[#This Row],[Target age]]))</f>
        <v>0.3010299956639812</v>
      </c>
      <c r="G336" s="59">
        <v>2.3199999999999998</v>
      </c>
      <c r="H336" s="59">
        <f t="shared" si="31"/>
        <v>0.36548798489089962</v>
      </c>
      <c r="I336" s="60">
        <f>IF(Table2[[#This Row],[Culture]]=0,0,LOG(Table2[[#This Row],[Culture]]))</f>
        <v>2.12057393120585</v>
      </c>
      <c r="J336" s="60">
        <f>LOG(1+Table2[[#This Row],[S&amp;P]])</f>
        <v>0.18184358794477254</v>
      </c>
      <c r="K336" s="50">
        <v>0</v>
      </c>
      <c r="L336" s="50">
        <v>85</v>
      </c>
      <c r="M336" s="50">
        <f t="shared" si="32"/>
        <v>1.9294189257142926</v>
      </c>
      <c r="N336" s="62">
        <v>31.3</v>
      </c>
      <c r="O336" s="62">
        <f t="shared" si="33"/>
        <v>1.4955443375464486</v>
      </c>
      <c r="P336" s="63">
        <v>38.7850112673514</v>
      </c>
      <c r="Q336" s="63">
        <f t="shared" si="34"/>
        <v>1.5886639219461918</v>
      </c>
      <c r="R336" s="50">
        <f>LOG(Table2[[#This Row],[generalist]])</f>
        <v>3.0958500844125241</v>
      </c>
      <c r="S336" s="50">
        <f>LOG(Table2[[#This Row],[country divers.]])</f>
        <v>3.5078178355445662</v>
      </c>
      <c r="T336" s="50">
        <f>LOG(Table2[[#This Row],[Firm Size]])</f>
        <v>8.1760912590556813</v>
      </c>
      <c r="U336">
        <v>9</v>
      </c>
      <c r="V336" s="137">
        <f t="shared" si="35"/>
        <v>1</v>
      </c>
    </row>
    <row r="337" spans="1:22" x14ac:dyDescent="0.35">
      <c r="A337" s="67" t="s">
        <v>59</v>
      </c>
      <c r="B337" s="52">
        <v>0.33666272262619235</v>
      </c>
      <c r="C337" s="52">
        <v>3.0931506849315067</v>
      </c>
      <c r="D337" s="50">
        <f t="shared" si="30"/>
        <v>0.49040107746849315</v>
      </c>
      <c r="E337" s="52">
        <f>IF(Table2[[#This Row],[Geo Distance]]=0,0,LOG(Table2[[#This Row],[Geo Distance]]))</f>
        <v>3.7707018228379927</v>
      </c>
      <c r="F337" s="52">
        <f>IF(Table2[[#This Row],[Target age]]=0,0,LOG(Table2[[#This Row],[Target age]]))</f>
        <v>0.47712125471966244</v>
      </c>
      <c r="G337" s="65">
        <v>2.3199999999999998</v>
      </c>
      <c r="H337" s="59">
        <f t="shared" si="31"/>
        <v>0.36548798489089962</v>
      </c>
      <c r="I337" s="53">
        <f>IF(Table2[[#This Row],[Culture]]=0,0,LOG(Table2[[#This Row],[Culture]]))</f>
        <v>2.12057393120585</v>
      </c>
      <c r="J337" s="53">
        <f>LOG(1+Table2[[#This Row],[S&amp;P]])</f>
        <v>1.2837224705172217E-2</v>
      </c>
      <c r="K337" s="52">
        <v>1.1760912590556813</v>
      </c>
      <c r="L337" s="52">
        <v>85</v>
      </c>
      <c r="M337" s="50">
        <f t="shared" si="32"/>
        <v>1.9294189257142926</v>
      </c>
      <c r="N337" s="55">
        <v>31.5</v>
      </c>
      <c r="O337" s="62">
        <f t="shared" si="33"/>
        <v>1.4983105537896004</v>
      </c>
      <c r="P337" s="56">
        <v>37.589394702761602</v>
      </c>
      <c r="Q337" s="63">
        <f t="shared" si="34"/>
        <v>1.575065332381355</v>
      </c>
      <c r="R337" s="52">
        <f>LOG(Table2[[#This Row],[generalist]])</f>
        <v>3.0958500844125241</v>
      </c>
      <c r="S337" s="52">
        <f>LOG(Table2[[#This Row],[country divers.]])</f>
        <v>3.5078178355445662</v>
      </c>
      <c r="T337" s="52">
        <f>LOG(Table2[[#This Row],[Firm Size]])</f>
        <v>6.8388490907372557</v>
      </c>
      <c r="U337">
        <v>9</v>
      </c>
      <c r="V337" s="137">
        <f t="shared" si="35"/>
        <v>1</v>
      </c>
    </row>
    <row r="338" spans="1:22" x14ac:dyDescent="0.35">
      <c r="A338" s="49" t="s">
        <v>59</v>
      </c>
      <c r="B338" s="50">
        <v>8.3405285057375253E-2</v>
      </c>
      <c r="C338" s="50">
        <v>2.4767123287671233</v>
      </c>
      <c r="D338" s="50">
        <f t="shared" si="30"/>
        <v>0.39387556601888862</v>
      </c>
      <c r="E338" s="50">
        <f>IF(Table2[[#This Row],[Geo Distance]]=0,0,LOG(Table2[[#This Row],[Geo Distance]]))</f>
        <v>3.7707018228379927</v>
      </c>
      <c r="F338" s="50">
        <f>IF(Table2[[#This Row],[Target age]]=0,0,LOG(Table2[[#This Row],[Target age]]))</f>
        <v>0.95424250943932487</v>
      </c>
      <c r="G338" s="59">
        <v>2.3199999999999998</v>
      </c>
      <c r="H338" s="59">
        <f t="shared" si="31"/>
        <v>0.36548798489089962</v>
      </c>
      <c r="I338" s="60">
        <f>IF(Table2[[#This Row],[Culture]]=0,0,LOG(Table2[[#This Row],[Culture]]))</f>
        <v>2.12057393120585</v>
      </c>
      <c r="J338" s="60">
        <f>LOG(1+Table2[[#This Row],[S&amp;P]])</f>
        <v>9.691001300805642E-2</v>
      </c>
      <c r="K338" s="50">
        <v>1.2787536009528289</v>
      </c>
      <c r="L338" s="50">
        <v>85</v>
      </c>
      <c r="M338" s="50">
        <f t="shared" si="32"/>
        <v>1.9294189257142926</v>
      </c>
      <c r="N338" s="62">
        <v>32.299999999999997</v>
      </c>
      <c r="O338" s="62">
        <f t="shared" si="33"/>
        <v>1.5092025223311027</v>
      </c>
      <c r="P338" s="63">
        <v>40.040400531970803</v>
      </c>
      <c r="Q338" s="63">
        <f t="shared" si="34"/>
        <v>1.6024984131617945</v>
      </c>
      <c r="R338" s="50">
        <f>LOG(Table2[[#This Row],[generalist]])</f>
        <v>3.3647319918335836</v>
      </c>
      <c r="S338" s="50">
        <f>LOG(Table2[[#This Row],[country divers.]])</f>
        <v>3.568659604598353</v>
      </c>
      <c r="T338" s="50">
        <f>LOG(Table2[[#This Row],[Firm Size]])</f>
        <v>8.2095150145426317</v>
      </c>
      <c r="U338">
        <v>2</v>
      </c>
      <c r="V338" s="137">
        <f t="shared" si="35"/>
        <v>1</v>
      </c>
    </row>
    <row r="339" spans="1:22" x14ac:dyDescent="0.35">
      <c r="A339" s="67" t="s">
        <v>59</v>
      </c>
      <c r="B339" s="52">
        <v>0.78793087645165238</v>
      </c>
      <c r="C339" s="52">
        <v>9.2246575342465746</v>
      </c>
      <c r="D339" s="50">
        <f t="shared" si="30"/>
        <v>0.96495025193161388</v>
      </c>
      <c r="E339" s="52">
        <f>IF(Table2[[#This Row],[Geo Distance]]=0,0,LOG(Table2[[#This Row],[Geo Distance]]))</f>
        <v>3.7707018228379927</v>
      </c>
      <c r="F339" s="52">
        <f>IF(Table2[[#This Row],[Target age]]=0,0,LOG(Table2[[#This Row],[Target age]]))</f>
        <v>1.2787536009528289</v>
      </c>
      <c r="G339" s="65">
        <v>2.3199999999999998</v>
      </c>
      <c r="H339" s="59">
        <f t="shared" si="31"/>
        <v>0.36548798489089962</v>
      </c>
      <c r="I339" s="53">
        <f>IF(Table2[[#This Row],[Culture]]=0,0,LOG(Table2[[#This Row],[Culture]]))</f>
        <v>2.12057393120585</v>
      </c>
      <c r="J339" s="53">
        <f>LOG(1+Table2[[#This Row],[S&amp;P]])</f>
        <v>0.20951501454263097</v>
      </c>
      <c r="K339" s="52">
        <v>1.3222192947339193</v>
      </c>
      <c r="L339" s="52">
        <v>91.5</v>
      </c>
      <c r="M339" s="50">
        <f t="shared" si="32"/>
        <v>1.9614210940664483</v>
      </c>
      <c r="N339" s="55">
        <v>32.9</v>
      </c>
      <c r="O339" s="62">
        <f t="shared" si="33"/>
        <v>1.5171958979499742</v>
      </c>
      <c r="P339" s="56">
        <v>40.767390998852598</v>
      </c>
      <c r="Q339" s="63">
        <f t="shared" si="34"/>
        <v>1.6103129186864549</v>
      </c>
      <c r="R339" s="52">
        <f>LOG(Table2[[#This Row],[generalist]])</f>
        <v>3.3647319918335836</v>
      </c>
      <c r="S339" s="52">
        <f>LOG(Table2[[#This Row],[country divers.]])</f>
        <v>3.568659604598353</v>
      </c>
      <c r="T339" s="52">
        <f>LOG(Table2[[#This Row],[Firm Size]])</f>
        <v>8.4239990900577286</v>
      </c>
      <c r="U339">
        <v>5</v>
      </c>
      <c r="V339" s="137">
        <f t="shared" si="35"/>
        <v>1</v>
      </c>
    </row>
    <row r="340" spans="1:22" x14ac:dyDescent="0.35">
      <c r="A340" s="49" t="s">
        <v>59</v>
      </c>
      <c r="B340" s="50">
        <v>0.61212131733585828</v>
      </c>
      <c r="C340" s="50">
        <v>5.624657534246575</v>
      </c>
      <c r="D340" s="50">
        <f t="shared" si="30"/>
        <v>0.75009608491411717</v>
      </c>
      <c r="E340" s="50">
        <f>IF(Table2[[#This Row],[Geo Distance]]=0,0,LOG(Table2[[#This Row],[Geo Distance]]))</f>
        <v>3.7707018228379927</v>
      </c>
      <c r="F340" s="50">
        <f>IF(Table2[[#This Row],[Target age]]=0,0,LOG(Table2[[#This Row],[Target age]]))</f>
        <v>1.8920946026904804</v>
      </c>
      <c r="G340" s="59">
        <v>2.3199999999999998</v>
      </c>
      <c r="H340" s="59">
        <f t="shared" si="31"/>
        <v>0.36548798489089962</v>
      </c>
      <c r="I340" s="60">
        <f>IF(Table2[[#This Row],[Culture]]=0,0,LOG(Table2[[#This Row],[Culture]]))</f>
        <v>2.12057393120585</v>
      </c>
      <c r="J340" s="60">
        <f>LOG(1+Table2[[#This Row],[S&amp;P]])</f>
        <v>0.28103336724772759</v>
      </c>
      <c r="K340" s="50">
        <v>1.414973347970818</v>
      </c>
      <c r="L340" s="50">
        <v>94.7</v>
      </c>
      <c r="M340" s="50">
        <f t="shared" si="32"/>
        <v>1.9763499790032735</v>
      </c>
      <c r="N340" s="62">
        <v>32.4</v>
      </c>
      <c r="O340" s="62">
        <f t="shared" si="33"/>
        <v>1.510545010206612</v>
      </c>
      <c r="P340" s="63">
        <v>45.737088331856903</v>
      </c>
      <c r="Q340" s="63">
        <f t="shared" si="34"/>
        <v>1.6602685135357675</v>
      </c>
      <c r="R340" s="50">
        <f>LOG(Table2[[#This Row],[generalist]])</f>
        <v>3.3647319918335836</v>
      </c>
      <c r="S340" s="50">
        <f>LOG(Table2[[#This Row],[country divers.]])</f>
        <v>3.568659604598353</v>
      </c>
      <c r="T340" s="50">
        <f>LOG(Table2[[#This Row],[Firm Size]])</f>
        <v>8.204119982655925</v>
      </c>
      <c r="U340">
        <v>1</v>
      </c>
      <c r="V340" s="137">
        <f t="shared" si="35"/>
        <v>1</v>
      </c>
    </row>
    <row r="341" spans="1:22" x14ac:dyDescent="0.35">
      <c r="A341" s="67" t="s">
        <v>59</v>
      </c>
      <c r="B341" s="52">
        <v>0.71406781442004763</v>
      </c>
      <c r="C341" s="52">
        <v>5.9917808219178079</v>
      </c>
      <c r="D341" s="50">
        <f t="shared" si="30"/>
        <v>0.77755591858116235</v>
      </c>
      <c r="E341" s="52">
        <f>IF(Table2[[#This Row],[Geo Distance]]=0,0,LOG(Table2[[#This Row],[Geo Distance]]))</f>
        <v>3.7707018228379927</v>
      </c>
      <c r="F341" s="52">
        <f>IF(Table2[[#This Row],[Target age]]=0,0,LOG(Table2[[#This Row],[Target age]]))</f>
        <v>0.3010299956639812</v>
      </c>
      <c r="G341" s="65">
        <v>2.3199999999999998</v>
      </c>
      <c r="H341" s="59">
        <f t="shared" si="31"/>
        <v>0.36548798489089962</v>
      </c>
      <c r="I341" s="53">
        <f>IF(Table2[[#This Row],[Culture]]=0,0,LOG(Table2[[#This Row],[Culture]]))</f>
        <v>2.12057393120585</v>
      </c>
      <c r="J341" s="53">
        <f>LOG(1+Table2[[#This Row],[S&amp;P]])</f>
        <v>0.43616264704075602</v>
      </c>
      <c r="K341" s="52">
        <v>0</v>
      </c>
      <c r="L341" s="52">
        <v>89.8</v>
      </c>
      <c r="M341" s="50">
        <f t="shared" si="32"/>
        <v>1.9532763366673043</v>
      </c>
      <c r="N341" s="55">
        <v>31.2</v>
      </c>
      <c r="O341" s="62">
        <f t="shared" si="33"/>
        <v>1.4941545940184429</v>
      </c>
      <c r="P341" s="56">
        <v>47.307367293927399</v>
      </c>
      <c r="Q341" s="63">
        <f t="shared" si="34"/>
        <v>1.6749287797641836</v>
      </c>
      <c r="R341" s="52">
        <f>LOG(Table2[[#This Row],[generalist]])</f>
        <v>3.3647319918335836</v>
      </c>
      <c r="S341" s="52">
        <f>LOG(Table2[[#This Row],[country divers.]])</f>
        <v>3.568659604598353</v>
      </c>
      <c r="T341" s="52">
        <f>LOG(Table2[[#This Row],[Firm Size]])</f>
        <v>7.5412046906832586</v>
      </c>
      <c r="U341">
        <v>2</v>
      </c>
      <c r="V341" s="137">
        <f t="shared" si="35"/>
        <v>1</v>
      </c>
    </row>
    <row r="342" spans="1:22" x14ac:dyDescent="0.35">
      <c r="A342" s="49" t="s">
        <v>59</v>
      </c>
      <c r="B342" s="50">
        <v>2.8298992127170717E-2</v>
      </c>
      <c r="C342" s="50">
        <v>2.1753424657534248</v>
      </c>
      <c r="D342" s="50">
        <f t="shared" si="30"/>
        <v>0.33752763797062157</v>
      </c>
      <c r="E342" s="50">
        <f>IF(Table2[[#This Row],[Geo Distance]]=0,0,LOG(Table2[[#This Row],[Geo Distance]]))</f>
        <v>3.7707018228379927</v>
      </c>
      <c r="F342" s="50">
        <f>IF(Table2[[#This Row],[Target age]]=0,0,LOG(Table2[[#This Row],[Target age]]))</f>
        <v>0.6020599913279624</v>
      </c>
      <c r="G342" s="59">
        <v>2.3199999999999998</v>
      </c>
      <c r="H342" s="59">
        <f t="shared" si="31"/>
        <v>0.36548798489089962</v>
      </c>
      <c r="I342" s="60">
        <f>IF(Table2[[#This Row],[Culture]]=0,0,LOG(Table2[[#This Row],[Culture]]))</f>
        <v>2.12057393120585</v>
      </c>
      <c r="J342" s="60">
        <f>LOG(1+Table2[[#This Row],[S&amp;P]])</f>
        <v>7.9181246047624818E-2</v>
      </c>
      <c r="K342" s="50">
        <v>1.255272505103306</v>
      </c>
      <c r="L342" s="50">
        <v>85</v>
      </c>
      <c r="M342" s="50">
        <f t="shared" si="32"/>
        <v>1.9294189257142926</v>
      </c>
      <c r="N342" s="62">
        <v>31.3</v>
      </c>
      <c r="O342" s="62">
        <f t="shared" si="33"/>
        <v>1.4955443375464486</v>
      </c>
      <c r="P342" s="63">
        <v>38.7850112673514</v>
      </c>
      <c r="Q342" s="63">
        <f t="shared" si="34"/>
        <v>1.5886639219461918</v>
      </c>
      <c r="R342" s="50">
        <f>LOG(Table2[[#This Row],[generalist]])</f>
        <v>3.3647319918335836</v>
      </c>
      <c r="S342" s="50">
        <f>LOG(Table2[[#This Row],[country divers.]])</f>
        <v>3.568659604598353</v>
      </c>
      <c r="T342" s="50">
        <f>LOG(Table2[[#This Row],[Firm Size]])</f>
        <v>9.3996737214810384</v>
      </c>
      <c r="U342">
        <v>5</v>
      </c>
      <c r="V342" s="137">
        <f t="shared" si="35"/>
        <v>1</v>
      </c>
    </row>
    <row r="343" spans="1:22" x14ac:dyDescent="0.35">
      <c r="A343" s="67" t="s">
        <v>59</v>
      </c>
      <c r="B343" s="52">
        <v>0.15772854466068537</v>
      </c>
      <c r="C343" s="52">
        <v>9.6438356164383556</v>
      </c>
      <c r="D343" s="50">
        <f t="shared" si="30"/>
        <v>0.98424979902165632</v>
      </c>
      <c r="E343" s="52">
        <f>IF(Table2[[#This Row],[Geo Distance]]=0,0,LOG(Table2[[#This Row],[Geo Distance]]))</f>
        <v>3.7707018228379927</v>
      </c>
      <c r="F343" s="52">
        <f>IF(Table2[[#This Row],[Target age]]=0,0,LOG(Table2[[#This Row],[Target age]]))</f>
        <v>0.84509804001425681</v>
      </c>
      <c r="G343" s="65">
        <v>2.3199999999999998</v>
      </c>
      <c r="H343" s="59">
        <f t="shared" si="31"/>
        <v>0.36548798489089962</v>
      </c>
      <c r="I343" s="53">
        <f>IF(Table2[[#This Row],[Culture]]=0,0,LOG(Table2[[#This Row],[Culture]]))</f>
        <v>2.12057393120585</v>
      </c>
      <c r="J343" s="53">
        <f>LOG(1+Table2[[#This Row],[S&amp;P]])</f>
        <v>0.2355284469075489</v>
      </c>
      <c r="K343" s="52">
        <v>1.3010299956639813</v>
      </c>
      <c r="L343" s="52">
        <v>85</v>
      </c>
      <c r="M343" s="50">
        <f t="shared" si="32"/>
        <v>1.9294189257142926</v>
      </c>
      <c r="N343" s="55">
        <v>32.700000000000003</v>
      </c>
      <c r="O343" s="62">
        <f t="shared" si="33"/>
        <v>1.5145477526602862</v>
      </c>
      <c r="P343" s="56">
        <v>41.286751495766303</v>
      </c>
      <c r="Q343" s="63">
        <f t="shared" si="34"/>
        <v>1.6158107132703448</v>
      </c>
      <c r="R343" s="52">
        <f>LOG(Table2[[#This Row],[generalist]])</f>
        <v>3.3647319918335836</v>
      </c>
      <c r="S343" s="52">
        <f>LOG(Table2[[#This Row],[country divers.]])</f>
        <v>3.568659604598353</v>
      </c>
      <c r="T343" s="52">
        <f>LOG(Table2[[#This Row],[Firm Size]])</f>
        <v>9.2363762625668429</v>
      </c>
      <c r="U343">
        <v>5</v>
      </c>
      <c r="V343" s="137">
        <f t="shared" si="35"/>
        <v>1</v>
      </c>
    </row>
    <row r="344" spans="1:22" x14ac:dyDescent="0.35">
      <c r="A344" s="49" t="s">
        <v>59</v>
      </c>
      <c r="B344" s="50">
        <v>0.96614173273903259</v>
      </c>
      <c r="C344" s="50">
        <v>1.5863013698630137</v>
      </c>
      <c r="D344" s="50">
        <f t="shared" si="30"/>
        <v>0.2003856992709615</v>
      </c>
      <c r="E344" s="50">
        <f>IF(Table2[[#This Row],[Geo Distance]]=0,0,LOG(Table2[[#This Row],[Geo Distance]]))</f>
        <v>3.7707018228379927</v>
      </c>
      <c r="F344" s="50">
        <f>IF(Table2[[#This Row],[Target age]]=0,0,LOG(Table2[[#This Row],[Target age]]))</f>
        <v>1.0791812460476249</v>
      </c>
      <c r="G344" s="59">
        <v>2.3199999999999998</v>
      </c>
      <c r="H344" s="59">
        <f t="shared" si="31"/>
        <v>0.36548798489089962</v>
      </c>
      <c r="I344" s="60">
        <f>IF(Table2[[#This Row],[Culture]]=0,0,LOG(Table2[[#This Row],[Culture]]))</f>
        <v>2.12057393120585</v>
      </c>
      <c r="J344" s="60">
        <f>LOG(1+Table2[[#This Row],[S&amp;P]])</f>
        <v>-0.10237290870955855</v>
      </c>
      <c r="K344" s="50">
        <v>1.1760912590556813</v>
      </c>
      <c r="L344" s="50">
        <v>85</v>
      </c>
      <c r="M344" s="50">
        <f t="shared" si="32"/>
        <v>1.9294189257142926</v>
      </c>
      <c r="N344" s="62">
        <v>32.9</v>
      </c>
      <c r="O344" s="62">
        <f t="shared" si="33"/>
        <v>1.5171958979499742</v>
      </c>
      <c r="P344" s="63">
        <v>35.433808146393098</v>
      </c>
      <c r="Q344" s="63">
        <f t="shared" si="34"/>
        <v>1.5494178293890581</v>
      </c>
      <c r="R344" s="50">
        <f>LOG(Table2[[#This Row],[generalist]])</f>
        <v>3.3647319918335836</v>
      </c>
      <c r="S344" s="50">
        <f>LOG(Table2[[#This Row],[country divers.]])</f>
        <v>3.568659604598353</v>
      </c>
      <c r="T344" s="50">
        <f>LOG(Table2[[#This Row],[Firm Size]])</f>
        <v>7.7781512503836439</v>
      </c>
      <c r="U344">
        <v>6</v>
      </c>
      <c r="V344" s="137">
        <f t="shared" si="35"/>
        <v>1</v>
      </c>
    </row>
    <row r="345" spans="1:22" x14ac:dyDescent="0.35">
      <c r="A345" s="67" t="s">
        <v>59</v>
      </c>
      <c r="B345" s="52">
        <v>-9.8950554656593151E-2</v>
      </c>
      <c r="C345" s="52">
        <v>5.882191780821918</v>
      </c>
      <c r="D345" s="50">
        <f t="shared" si="30"/>
        <v>0.76953917997977395</v>
      </c>
      <c r="E345" s="52">
        <f>IF(Table2[[#This Row],[Geo Distance]]=0,0,LOG(Table2[[#This Row],[Geo Distance]]))</f>
        <v>2.5349647923946659</v>
      </c>
      <c r="F345" s="52">
        <f>IF(Table2[[#This Row],[Target age]]=0,0,LOG(Table2[[#This Row],[Target age]]))</f>
        <v>1</v>
      </c>
      <c r="G345" s="65">
        <v>2.5499999999999998</v>
      </c>
      <c r="H345" s="59">
        <f t="shared" si="31"/>
        <v>0.40654018043395512</v>
      </c>
      <c r="I345" s="53">
        <f>IF(Table2[[#This Row],[Culture]]=0,0,LOG(Table2[[#This Row],[Culture]]))</f>
        <v>2.7552394576339081</v>
      </c>
      <c r="J345" s="53">
        <f>LOG(1+Table2[[#This Row],[S&amp;P]])</f>
        <v>4.1392685158225077E-2</v>
      </c>
      <c r="K345" s="52">
        <v>1.0413926851582251</v>
      </c>
      <c r="L345" s="52">
        <v>85</v>
      </c>
      <c r="M345" s="50">
        <f t="shared" si="32"/>
        <v>1.9294189257142926</v>
      </c>
      <c r="N345" s="55">
        <v>32.700000000000003</v>
      </c>
      <c r="O345" s="62">
        <f t="shared" si="33"/>
        <v>1.5145477526602862</v>
      </c>
      <c r="P345" s="56">
        <v>41.286751495766303</v>
      </c>
      <c r="Q345" s="63">
        <f t="shared" si="34"/>
        <v>1.6158107132703448</v>
      </c>
      <c r="R345" s="52">
        <f>LOG(Table2[[#This Row],[generalist]])</f>
        <v>3.0840515198150036</v>
      </c>
      <c r="S345" s="52">
        <f>LOG(Table2[[#This Row],[country divers.]])</f>
        <v>3.905035725793323</v>
      </c>
      <c r="T345" s="52">
        <f>LOG(Table2[[#This Row],[Firm Size]])</f>
        <v>8.9030899869919438</v>
      </c>
      <c r="U345">
        <v>5</v>
      </c>
      <c r="V345" s="137">
        <f t="shared" si="35"/>
        <v>1</v>
      </c>
    </row>
    <row r="346" spans="1:22" x14ac:dyDescent="0.35">
      <c r="A346" s="49" t="s">
        <v>59</v>
      </c>
      <c r="B346" s="50">
        <v>-0.87499756983993926</v>
      </c>
      <c r="C346" s="50">
        <v>5.9013698630136986</v>
      </c>
      <c r="D346" s="50">
        <f t="shared" si="30"/>
        <v>0.77095283450548813</v>
      </c>
      <c r="E346" s="50">
        <f>IF(Table2[[#This Row],[Geo Distance]]=0,0,LOG(Table2[[#This Row],[Geo Distance]]))</f>
        <v>3.7707018228379927</v>
      </c>
      <c r="F346" s="50">
        <f>IF(Table2[[#This Row],[Target age]]=0,0,LOG(Table2[[#This Row],[Target age]]))</f>
        <v>2.2787536009528289</v>
      </c>
      <c r="G346" s="59">
        <v>2.3199999999999998</v>
      </c>
      <c r="H346" s="59">
        <f t="shared" si="31"/>
        <v>0.36548798489089962</v>
      </c>
      <c r="I346" s="60">
        <f>IF(Table2[[#This Row],[Culture]]=0,0,LOG(Table2[[#This Row],[Culture]]))</f>
        <v>2.12057393120585</v>
      </c>
      <c r="J346" s="60">
        <f>LOG(1+Table2[[#This Row],[S&amp;P]])</f>
        <v>-8.7739243075051505E-3</v>
      </c>
      <c r="K346" s="50">
        <v>1.0413926851582251</v>
      </c>
      <c r="L346" s="50">
        <v>85</v>
      </c>
      <c r="M346" s="50">
        <f t="shared" si="32"/>
        <v>1.9294189257142926</v>
      </c>
      <c r="N346" s="62">
        <v>31.3</v>
      </c>
      <c r="O346" s="62">
        <f t="shared" si="33"/>
        <v>1.4955443375464486</v>
      </c>
      <c r="P346" s="63">
        <v>38.7850112673514</v>
      </c>
      <c r="Q346" s="63">
        <f t="shared" si="34"/>
        <v>1.5886639219461918</v>
      </c>
      <c r="R346" s="50">
        <f>LOG(Table2[[#This Row],[generalist]])</f>
        <v>3.1628767233771686</v>
      </c>
      <c r="S346" s="50">
        <f>LOG(Table2[[#This Row],[country divers.]])</f>
        <v>3.6087947637270492</v>
      </c>
      <c r="T346" s="50">
        <f>LOG(Table2[[#This Row],[Firm Size]])</f>
        <v>9.2628069230005643</v>
      </c>
      <c r="U346">
        <v>5</v>
      </c>
      <c r="V346" s="137">
        <f t="shared" si="35"/>
        <v>1</v>
      </c>
    </row>
    <row r="347" spans="1:22" x14ac:dyDescent="0.35">
      <c r="A347" s="67" t="s">
        <v>59</v>
      </c>
      <c r="B347" s="52">
        <v>3.1647391927806502E-2</v>
      </c>
      <c r="C347" s="52">
        <v>4.2109589041095887</v>
      </c>
      <c r="D347" s="50">
        <f t="shared" si="30"/>
        <v>0.62438100304327038</v>
      </c>
      <c r="E347" s="52">
        <f>IF(Table2[[#This Row],[Geo Distance]]=0,0,LOG(Table2[[#This Row],[Geo Distance]]))</f>
        <v>3.7707018228379927</v>
      </c>
      <c r="F347" s="52">
        <f>IF(Table2[[#This Row],[Target age]]=0,0,LOG(Table2[[#This Row],[Target age]]))</f>
        <v>0</v>
      </c>
      <c r="G347" s="65">
        <v>2.3199999999999998</v>
      </c>
      <c r="H347" s="59">
        <f t="shared" si="31"/>
        <v>0.36548798489089962</v>
      </c>
      <c r="I347" s="53">
        <f>IF(Table2[[#This Row],[Culture]]=0,0,LOG(Table2[[#This Row],[Culture]]))</f>
        <v>2.12057393120585</v>
      </c>
      <c r="J347" s="53">
        <f>LOG(1+Table2[[#This Row],[S&amp;P]])</f>
        <v>0.35410843914740087</v>
      </c>
      <c r="K347" s="52">
        <v>0.47712125471966244</v>
      </c>
      <c r="L347" s="52">
        <v>100</v>
      </c>
      <c r="M347" s="50">
        <f t="shared" si="32"/>
        <v>2</v>
      </c>
      <c r="N347" s="55">
        <v>29.5</v>
      </c>
      <c r="O347" s="62">
        <f t="shared" si="33"/>
        <v>1.469822015978163</v>
      </c>
      <c r="P347" s="56">
        <v>38.538703610951003</v>
      </c>
      <c r="Q347" s="63">
        <f t="shared" si="34"/>
        <v>1.5858971014953607</v>
      </c>
      <c r="R347" s="52">
        <f>LOG(Table2[[#This Row],[generalist]])</f>
        <v>3.1628767233771686</v>
      </c>
      <c r="S347" s="52">
        <f>LOG(Table2[[#This Row],[country divers.]])</f>
        <v>3.6087947637270492</v>
      </c>
      <c r="T347" s="52">
        <f>LOG(Table2[[#This Row],[Firm Size]])</f>
        <v>8.3007910679877988</v>
      </c>
      <c r="U347">
        <v>4</v>
      </c>
      <c r="V347" s="137">
        <f t="shared" si="35"/>
        <v>1</v>
      </c>
    </row>
    <row r="348" spans="1:22" x14ac:dyDescent="0.35">
      <c r="A348" s="49" t="s">
        <v>59</v>
      </c>
      <c r="B348" s="50">
        <v>-1</v>
      </c>
      <c r="C348" s="50">
        <v>2.6547945205479451</v>
      </c>
      <c r="D348" s="50">
        <f t="shared" si="30"/>
        <v>0.4240309125942906</v>
      </c>
      <c r="E348" s="50">
        <f>IF(Table2[[#This Row],[Geo Distance]]=0,0,LOG(Table2[[#This Row],[Geo Distance]]))</f>
        <v>3.7707018228379927</v>
      </c>
      <c r="F348" s="50">
        <f>IF(Table2[[#This Row],[Target age]]=0,0,LOG(Table2[[#This Row],[Target age]]))</f>
        <v>1.3979400086720377</v>
      </c>
      <c r="G348" s="59">
        <v>2.3199999999999998</v>
      </c>
      <c r="H348" s="59">
        <f t="shared" si="31"/>
        <v>0.36548798489089962</v>
      </c>
      <c r="I348" s="60">
        <f>IF(Table2[[#This Row],[Culture]]=0,0,LOG(Table2[[#This Row],[Culture]]))</f>
        <v>2.12057393120585</v>
      </c>
      <c r="J348" s="60">
        <f>LOG(1+Table2[[#This Row],[S&amp;P]])</f>
        <v>0.13353890837021748</v>
      </c>
      <c r="K348" s="50">
        <v>1.255272505103306</v>
      </c>
      <c r="L348" s="50">
        <v>94.9</v>
      </c>
      <c r="M348" s="50">
        <f t="shared" si="32"/>
        <v>1.9772662124272926</v>
      </c>
      <c r="N348" s="62">
        <v>32.299999999999997</v>
      </c>
      <c r="O348" s="62">
        <f t="shared" si="33"/>
        <v>1.5092025223311027</v>
      </c>
      <c r="P348" s="63">
        <v>47.560703662314701</v>
      </c>
      <c r="Q348" s="63">
        <f t="shared" si="34"/>
        <v>1.6772482713966061</v>
      </c>
      <c r="R348" s="50">
        <f>LOG(Table2[[#This Row],[generalist]])</f>
        <v>3.1628767233771686</v>
      </c>
      <c r="S348" s="50">
        <f>LOG(Table2[[#This Row],[country divers.]])</f>
        <v>3.6087947637270492</v>
      </c>
      <c r="T348" s="50">
        <f>LOG(Table2[[#This Row],[Firm Size]])</f>
        <v>8.4771212547196626</v>
      </c>
      <c r="U348">
        <v>5</v>
      </c>
      <c r="V348" s="137">
        <f t="shared" si="35"/>
        <v>1</v>
      </c>
    </row>
    <row r="349" spans="1:22" x14ac:dyDescent="0.35">
      <c r="A349" s="67" t="s">
        <v>59</v>
      </c>
      <c r="B349" s="52">
        <v>-1</v>
      </c>
      <c r="C349" s="52">
        <v>2.5424657534246577</v>
      </c>
      <c r="D349" s="50">
        <f t="shared" si="30"/>
        <v>0.40525511176238738</v>
      </c>
      <c r="E349" s="52">
        <f>IF(Table2[[#This Row],[Geo Distance]]=0,0,LOG(Table2[[#This Row],[Geo Distance]]))</f>
        <v>3.7707018228379927</v>
      </c>
      <c r="F349" s="52">
        <f>IF(Table2[[#This Row],[Target age]]=0,0,LOG(Table2[[#This Row],[Target age]]))</f>
        <v>0.69897000433601886</v>
      </c>
      <c r="G349" s="65">
        <v>2.3199999999999998</v>
      </c>
      <c r="H349" s="59">
        <f t="shared" si="31"/>
        <v>0.36548798489089962</v>
      </c>
      <c r="I349" s="53">
        <f>IF(Table2[[#This Row],[Culture]]=0,0,LOG(Table2[[#This Row],[Culture]]))</f>
        <v>2.12057393120585</v>
      </c>
      <c r="J349" s="53">
        <f>LOG(1+Table2[[#This Row],[S&amp;P]])</f>
        <v>0.10037054511756291</v>
      </c>
      <c r="K349" s="52">
        <v>1.0791812460476249</v>
      </c>
      <c r="L349" s="52">
        <v>85</v>
      </c>
      <c r="M349" s="50">
        <f t="shared" si="32"/>
        <v>1.9294189257142926</v>
      </c>
      <c r="N349" s="55">
        <v>32.299999999999997</v>
      </c>
      <c r="O349" s="62">
        <f t="shared" si="33"/>
        <v>1.5092025223311027</v>
      </c>
      <c r="P349" s="56">
        <v>40.040400531970803</v>
      </c>
      <c r="Q349" s="63">
        <f t="shared" si="34"/>
        <v>1.6024984131617945</v>
      </c>
      <c r="R349" s="52">
        <f>LOG(Table2[[#This Row],[generalist]])</f>
        <v>3.1628767233771686</v>
      </c>
      <c r="S349" s="52">
        <f>LOG(Table2[[#This Row],[country divers.]])</f>
        <v>3.6087947637270492</v>
      </c>
      <c r="T349" s="52">
        <f>LOG(Table2[[#This Row],[Firm Size]])</f>
        <v>6.5563025007672868</v>
      </c>
      <c r="U349">
        <v>9</v>
      </c>
      <c r="V349" s="137">
        <f t="shared" si="35"/>
        <v>1</v>
      </c>
    </row>
    <row r="350" spans="1:22" x14ac:dyDescent="0.35">
      <c r="A350" s="49" t="s">
        <v>59</v>
      </c>
      <c r="B350" s="50">
        <v>0.38535088136401707</v>
      </c>
      <c r="C350" s="50">
        <v>5.117808219178082</v>
      </c>
      <c r="D350" s="50">
        <f t="shared" si="30"/>
        <v>0.70908400743759981</v>
      </c>
      <c r="E350" s="50">
        <f>IF(Table2[[#This Row],[Geo Distance]]=0,0,LOG(Table2[[#This Row],[Geo Distance]]))</f>
        <v>3.7707018228379927</v>
      </c>
      <c r="F350" s="50">
        <f>IF(Table2[[#This Row],[Target age]]=0,0,LOG(Table2[[#This Row],[Target age]]))</f>
        <v>1.954242509439325</v>
      </c>
      <c r="G350" s="59">
        <v>2.3199999999999998</v>
      </c>
      <c r="H350" s="59">
        <f t="shared" si="31"/>
        <v>0.36548798489089962</v>
      </c>
      <c r="I350" s="60">
        <f>IF(Table2[[#This Row],[Culture]]=0,0,LOG(Table2[[#This Row],[Culture]]))</f>
        <v>2.12057393120585</v>
      </c>
      <c r="J350" s="60">
        <f>LOG(1+Table2[[#This Row],[S&amp;P]])</f>
        <v>0.28330122870354957</v>
      </c>
      <c r="K350" s="50">
        <v>1.6434526764861874</v>
      </c>
      <c r="L350" s="50">
        <v>94.9</v>
      </c>
      <c r="M350" s="50">
        <f t="shared" si="32"/>
        <v>1.9772662124272926</v>
      </c>
      <c r="N350" s="62">
        <v>32.299999999999997</v>
      </c>
      <c r="O350" s="62">
        <f t="shared" si="33"/>
        <v>1.5092025223311027</v>
      </c>
      <c r="P350" s="63">
        <v>47.560703662314701</v>
      </c>
      <c r="Q350" s="63">
        <f t="shared" si="34"/>
        <v>1.6772482713966061</v>
      </c>
      <c r="R350" s="50">
        <f>LOG(Table2[[#This Row],[generalist]])</f>
        <v>3.1527645837352773</v>
      </c>
      <c r="S350" s="50">
        <f>LOG(Table2[[#This Row],[country divers.]])</f>
        <v>3.5411223705253856</v>
      </c>
      <c r="T350" s="50">
        <f>LOG(Table2[[#This Row],[Firm Size]])</f>
        <v>8.4471580313422194</v>
      </c>
      <c r="U350">
        <v>1</v>
      </c>
      <c r="V350" s="137">
        <f t="shared" si="35"/>
        <v>1</v>
      </c>
    </row>
    <row r="351" spans="1:22" x14ac:dyDescent="0.35">
      <c r="A351" s="67" t="s">
        <v>59</v>
      </c>
      <c r="B351" s="52">
        <v>0.14004615487104186</v>
      </c>
      <c r="C351" s="52">
        <v>8.9205479452054792</v>
      </c>
      <c r="D351" s="50">
        <f t="shared" si="30"/>
        <v>0.95039153176068891</v>
      </c>
      <c r="E351" s="52">
        <f>IF(Table2[[#This Row],[Geo Distance]]=0,0,LOG(Table2[[#This Row],[Geo Distance]]))</f>
        <v>3.7707018228379927</v>
      </c>
      <c r="F351" s="52">
        <f>IF(Table2[[#This Row],[Target age]]=0,0,LOG(Table2[[#This Row],[Target age]]))</f>
        <v>1</v>
      </c>
      <c r="G351" s="65">
        <v>2.3199999999999998</v>
      </c>
      <c r="H351" s="59">
        <f t="shared" si="31"/>
        <v>0.36548798489089962</v>
      </c>
      <c r="I351" s="53">
        <f>IF(Table2[[#This Row],[Culture]]=0,0,LOG(Table2[[#This Row],[Culture]]))</f>
        <v>2.12057393120585</v>
      </c>
      <c r="J351" s="53">
        <f>LOG(1+Table2[[#This Row],[S&amp;P]])</f>
        <v>0.24797326636180664</v>
      </c>
      <c r="K351" s="52">
        <v>1.6232492903979006</v>
      </c>
      <c r="L351" s="52">
        <v>90.8</v>
      </c>
      <c r="M351" s="50">
        <f t="shared" si="32"/>
        <v>1.958085848521085</v>
      </c>
      <c r="N351" s="55">
        <v>32.299999999999997</v>
      </c>
      <c r="O351" s="62">
        <f t="shared" si="33"/>
        <v>1.5092025223311027</v>
      </c>
      <c r="P351" s="56">
        <v>44.4007960521485</v>
      </c>
      <c r="Q351" s="63">
        <f t="shared" si="34"/>
        <v>1.6473907565550749</v>
      </c>
      <c r="R351" s="52">
        <f>LOG(Table2[[#This Row],[generalist]])</f>
        <v>3.1527645837352773</v>
      </c>
      <c r="S351" s="52">
        <f>LOG(Table2[[#This Row],[country divers.]])</f>
        <v>3.5411223705253856</v>
      </c>
      <c r="T351" s="52">
        <f>LOG(Table2[[#This Row],[Firm Size]])</f>
        <v>8.7520484478194387</v>
      </c>
      <c r="U351">
        <v>5</v>
      </c>
      <c r="V351" s="137">
        <f t="shared" si="35"/>
        <v>1</v>
      </c>
    </row>
    <row r="352" spans="1:22" x14ac:dyDescent="0.35">
      <c r="A352" s="49" t="s">
        <v>59</v>
      </c>
      <c r="B352" s="50">
        <v>0.14469393041723971</v>
      </c>
      <c r="C352" s="50">
        <v>5.0630136986301366</v>
      </c>
      <c r="D352" s="50">
        <f t="shared" si="30"/>
        <v>0.70440910242761312</v>
      </c>
      <c r="E352" s="50">
        <f>IF(Table2[[#This Row],[Geo Distance]]=0,0,LOG(Table2[[#This Row],[Geo Distance]]))</f>
        <v>3.7707018228379927</v>
      </c>
      <c r="F352" s="50">
        <f>IF(Table2[[#This Row],[Target age]]=0,0,LOG(Table2[[#This Row],[Target age]]))</f>
        <v>0</v>
      </c>
      <c r="G352" s="59">
        <v>2.3199999999999998</v>
      </c>
      <c r="H352" s="59">
        <f t="shared" si="31"/>
        <v>0.36548798489089962</v>
      </c>
      <c r="I352" s="60">
        <f>IF(Table2[[#This Row],[Culture]]=0,0,LOG(Table2[[#This Row],[Culture]]))</f>
        <v>2.12057393120585</v>
      </c>
      <c r="J352" s="60">
        <f>LOG(1+Table2[[#This Row],[S&amp;P]])</f>
        <v>-2.6872146400301365E-2</v>
      </c>
      <c r="K352" s="50">
        <v>1.5910646070264991</v>
      </c>
      <c r="L352" s="50">
        <v>85</v>
      </c>
      <c r="M352" s="50">
        <f t="shared" si="32"/>
        <v>1.9294189257142926</v>
      </c>
      <c r="N352" s="62">
        <v>32.700000000000003</v>
      </c>
      <c r="O352" s="62">
        <f t="shared" si="33"/>
        <v>1.5145477526602862</v>
      </c>
      <c r="P352" s="63">
        <v>41.286751495766303</v>
      </c>
      <c r="Q352" s="63">
        <f t="shared" si="34"/>
        <v>1.6158107132703448</v>
      </c>
      <c r="R352" s="50">
        <f>LOG(Table2[[#This Row],[generalist]])</f>
        <v>3.1527645837352773</v>
      </c>
      <c r="S352" s="50">
        <f>LOG(Table2[[#This Row],[country divers.]])</f>
        <v>3.5411223705253856</v>
      </c>
      <c r="T352" s="50">
        <f>LOG(Table2[[#This Row],[Firm Size]])</f>
        <v>7.8129133566428557</v>
      </c>
      <c r="U352">
        <v>2</v>
      </c>
      <c r="V352" s="137">
        <f t="shared" si="35"/>
        <v>1</v>
      </c>
    </row>
    <row r="353" spans="1:22" x14ac:dyDescent="0.35">
      <c r="A353" s="67" t="s">
        <v>59</v>
      </c>
      <c r="B353" s="52">
        <v>2.9901309558548216E-2</v>
      </c>
      <c r="C353" s="52">
        <v>4.7315068493150685</v>
      </c>
      <c r="D353" s="50">
        <f t="shared" si="30"/>
        <v>0.67499947311098407</v>
      </c>
      <c r="E353" s="52">
        <f>IF(Table2[[#This Row],[Geo Distance]]=0,0,LOG(Table2[[#This Row],[Geo Distance]]))</f>
        <v>3.7707018228379927</v>
      </c>
      <c r="F353" s="52">
        <f>IF(Table2[[#This Row],[Target age]]=0,0,LOG(Table2[[#This Row],[Target age]]))</f>
        <v>1.4771212547196624</v>
      </c>
      <c r="G353" s="65">
        <v>2.3199999999999998</v>
      </c>
      <c r="H353" s="59">
        <f t="shared" si="31"/>
        <v>0.36548798489089962</v>
      </c>
      <c r="I353" s="53">
        <f>IF(Table2[[#This Row],[Culture]]=0,0,LOG(Table2[[#This Row],[Culture]]))</f>
        <v>2.12057393120585</v>
      </c>
      <c r="J353" s="53">
        <f>LOG(1+Table2[[#This Row],[S&amp;P]])</f>
        <v>-7.0581074285707285E-2</v>
      </c>
      <c r="K353" s="52">
        <v>1.5185139398778875</v>
      </c>
      <c r="L353" s="52">
        <v>85</v>
      </c>
      <c r="M353" s="50">
        <f t="shared" si="32"/>
        <v>1.9294189257142926</v>
      </c>
      <c r="N353" s="55">
        <v>32.200000000000003</v>
      </c>
      <c r="O353" s="62">
        <f t="shared" si="33"/>
        <v>1.507855871695831</v>
      </c>
      <c r="P353" s="56">
        <v>35.326012114535303</v>
      </c>
      <c r="Q353" s="63">
        <f t="shared" si="34"/>
        <v>1.548094613534351</v>
      </c>
      <c r="R353" s="52">
        <f>LOG(Table2[[#This Row],[generalist]])</f>
        <v>3.1527645837352773</v>
      </c>
      <c r="S353" s="52">
        <f>LOG(Table2[[#This Row],[country divers.]])</f>
        <v>3.5411223705253856</v>
      </c>
      <c r="T353" s="52">
        <f>LOG(Table2[[#This Row],[Firm Size]])</f>
        <v>8.2561402266345336</v>
      </c>
      <c r="U353">
        <v>5</v>
      </c>
      <c r="V353" s="137">
        <f t="shared" si="35"/>
        <v>1</v>
      </c>
    </row>
    <row r="354" spans="1:22" x14ac:dyDescent="0.35">
      <c r="A354" s="49" t="s">
        <v>59</v>
      </c>
      <c r="B354" s="50">
        <v>0.28812141671823749</v>
      </c>
      <c r="C354" s="50">
        <v>1.8958904109589041</v>
      </c>
      <c r="D354" s="50">
        <f t="shared" si="30"/>
        <v>0.27781323000028307</v>
      </c>
      <c r="E354" s="50">
        <f>IF(Table2[[#This Row],[Geo Distance]]=0,0,LOG(Table2[[#This Row],[Geo Distance]]))</f>
        <v>3.7707018228379927</v>
      </c>
      <c r="F354" s="50">
        <f>IF(Table2[[#This Row],[Target age]]=0,0,LOG(Table2[[#This Row],[Target age]]))</f>
        <v>0</v>
      </c>
      <c r="G354" s="59">
        <v>2.3199999999999998</v>
      </c>
      <c r="H354" s="59">
        <f t="shared" si="31"/>
        <v>0.36548798489089962</v>
      </c>
      <c r="I354" s="60">
        <f>IF(Table2[[#This Row],[Culture]]=0,0,LOG(Table2[[#This Row],[Culture]]))</f>
        <v>2.12057393120585</v>
      </c>
      <c r="J354" s="60">
        <f>LOG(1+Table2[[#This Row],[S&amp;P]])</f>
        <v>5.3078443483419682E-2</v>
      </c>
      <c r="K354" s="50">
        <v>1.414973347970818</v>
      </c>
      <c r="L354" s="50">
        <v>100</v>
      </c>
      <c r="M354" s="50">
        <f t="shared" si="32"/>
        <v>2</v>
      </c>
      <c r="N354" s="62">
        <v>30.9</v>
      </c>
      <c r="O354" s="62">
        <f t="shared" si="33"/>
        <v>1.4899584794248346</v>
      </c>
      <c r="P354" s="63">
        <v>49.329709120205997</v>
      </c>
      <c r="Q354" s="63">
        <f t="shared" si="34"/>
        <v>1.6931085545892062</v>
      </c>
      <c r="R354" s="50">
        <f>LOG(Table2[[#This Row],[generalist]])</f>
        <v>3.1527645837352773</v>
      </c>
      <c r="S354" s="50">
        <f>LOG(Table2[[#This Row],[country divers.]])</f>
        <v>3.5411223705253856</v>
      </c>
      <c r="T354" s="50">
        <f>LOG(Table2[[#This Row],[Firm Size]])</f>
        <v>7.8450980400142569</v>
      </c>
      <c r="U354">
        <v>4</v>
      </c>
      <c r="V354" s="137">
        <f t="shared" si="35"/>
        <v>1</v>
      </c>
    </row>
    <row r="355" spans="1:22" x14ac:dyDescent="0.35">
      <c r="A355" s="67" t="s">
        <v>59</v>
      </c>
      <c r="B355" s="52">
        <v>-7.9181246047624804E-2</v>
      </c>
      <c r="C355" s="52">
        <v>7.0739726027397261</v>
      </c>
      <c r="D355" s="50">
        <f t="shared" si="30"/>
        <v>0.84966337347392684</v>
      </c>
      <c r="E355" s="52">
        <f>IF(Table2[[#This Row],[Geo Distance]]=0,0,LOG(Table2[[#This Row],[Geo Distance]]))</f>
        <v>3.7707018228379927</v>
      </c>
      <c r="F355" s="52">
        <f>IF(Table2[[#This Row],[Target age]]=0,0,LOG(Table2[[#This Row],[Target age]]))</f>
        <v>0.69897000433601886</v>
      </c>
      <c r="G355" s="65">
        <v>2.3199999999999998</v>
      </c>
      <c r="H355" s="59">
        <f t="shared" si="31"/>
        <v>0.36548798489089962</v>
      </c>
      <c r="I355" s="53">
        <f>IF(Table2[[#This Row],[Culture]]=0,0,LOG(Table2[[#This Row],[Culture]]))</f>
        <v>2.12057393120585</v>
      </c>
      <c r="J355" s="53">
        <f>LOG(1+Table2[[#This Row],[S&amp;P]])</f>
        <v>0.34635297445063856</v>
      </c>
      <c r="K355" s="52">
        <v>1.414973347970818</v>
      </c>
      <c r="L355" s="52">
        <v>94.6</v>
      </c>
      <c r="M355" s="50">
        <f t="shared" si="32"/>
        <v>1.9758911364017928</v>
      </c>
      <c r="N355" s="55">
        <v>33.200000000000003</v>
      </c>
      <c r="O355" s="62">
        <f t="shared" si="33"/>
        <v>1.5211380837040362</v>
      </c>
      <c r="P355" s="56">
        <v>45.921427555082097</v>
      </c>
      <c r="Q355" s="63">
        <f t="shared" si="34"/>
        <v>1.6620153804713207</v>
      </c>
      <c r="R355" s="52">
        <f>LOG(Table2[[#This Row],[generalist]])</f>
        <v>3.3647319780710983</v>
      </c>
      <c r="S355" s="52">
        <f>LOG(Table2[[#This Row],[country divers.]])</f>
        <v>3.5686596122879011</v>
      </c>
      <c r="T355" s="52">
        <f>LOG(Table2[[#This Row],[Firm Size]])</f>
        <v>8.0791812460476251</v>
      </c>
      <c r="U355">
        <v>7</v>
      </c>
      <c r="V355" s="137">
        <f t="shared" si="35"/>
        <v>1</v>
      </c>
    </row>
    <row r="356" spans="1:22" x14ac:dyDescent="0.35">
      <c r="A356" s="49" t="s">
        <v>59</v>
      </c>
      <c r="B356" s="50">
        <v>0.37614287957719328</v>
      </c>
      <c r="C356" s="50">
        <v>2.6958904109589041</v>
      </c>
      <c r="D356" s="50">
        <f t="shared" si="30"/>
        <v>0.43070223397486684</v>
      </c>
      <c r="E356" s="50">
        <f>IF(Table2[[#This Row],[Geo Distance]]=0,0,LOG(Table2[[#This Row],[Geo Distance]]))</f>
        <v>0</v>
      </c>
      <c r="F356" s="50">
        <f>IF(Table2[[#This Row],[Target age]]=0,0,LOG(Table2[[#This Row],[Target age]]))</f>
        <v>1.5910646070264991</v>
      </c>
      <c r="G356" s="59">
        <v>3.29</v>
      </c>
      <c r="H356" s="59">
        <f t="shared" si="31"/>
        <v>0.51719589794997434</v>
      </c>
      <c r="I356" s="60">
        <f>IF(Table2[[#This Row],[Culture]]=0,0,LOG(Table2[[#This Row],[Culture]]))</f>
        <v>0</v>
      </c>
      <c r="J356" s="60">
        <f>LOG(1+Table2[[#This Row],[S&amp;P]])</f>
        <v>8.2785370316450071E-2</v>
      </c>
      <c r="K356" s="50">
        <v>1.2304489213782739</v>
      </c>
      <c r="L356" s="50">
        <v>92</v>
      </c>
      <c r="M356" s="50">
        <f t="shared" si="32"/>
        <v>1.9637878273455553</v>
      </c>
      <c r="N356" s="62">
        <v>31.8</v>
      </c>
      <c r="O356" s="62">
        <f t="shared" si="33"/>
        <v>1.5024271199844328</v>
      </c>
      <c r="P356" s="63">
        <v>43.012424801889097</v>
      </c>
      <c r="Q356" s="63">
        <f t="shared" si="34"/>
        <v>1.6335939263577708</v>
      </c>
      <c r="R356" s="50">
        <f>LOG(Table2[[#This Row],[generalist]])</f>
        <v>3.3136191229720016</v>
      </c>
      <c r="S356" s="50">
        <f>LOG(Table2[[#This Row],[country divers.]])</f>
        <v>4</v>
      </c>
      <c r="T356" s="50">
        <f>LOG(Table2[[#This Row],[Firm Size]])</f>
        <v>8.1553360374650623</v>
      </c>
      <c r="U356">
        <v>6</v>
      </c>
      <c r="V356" s="137">
        <f t="shared" si="35"/>
        <v>0</v>
      </c>
    </row>
    <row r="357" spans="1:22" x14ac:dyDescent="0.35">
      <c r="A357" s="67" t="s">
        <v>59</v>
      </c>
      <c r="B357" s="52">
        <v>0.3010299956639812</v>
      </c>
      <c r="C357" s="52">
        <v>3.6054794520547944</v>
      </c>
      <c r="D357" s="50">
        <f t="shared" si="30"/>
        <v>0.55696302482146198</v>
      </c>
      <c r="E357" s="52">
        <f>IF(Table2[[#This Row],[Geo Distance]]=0,0,LOG(Table2[[#This Row],[Geo Distance]]))</f>
        <v>0</v>
      </c>
      <c r="F357" s="52">
        <f>IF(Table2[[#This Row],[Target age]]=0,0,LOG(Table2[[#This Row],[Target age]]))</f>
        <v>1.3010299956639813</v>
      </c>
      <c r="G357" s="65">
        <v>3.29</v>
      </c>
      <c r="H357" s="59">
        <f t="shared" si="31"/>
        <v>0.51719589794997434</v>
      </c>
      <c r="I357" s="53">
        <f>IF(Table2[[#This Row],[Culture]]=0,0,LOG(Table2[[#This Row],[Culture]]))</f>
        <v>0</v>
      </c>
      <c r="J357" s="53">
        <f>LOG(1+Table2[[#This Row],[S&amp;P]])</f>
        <v>0.14612803567823801</v>
      </c>
      <c r="K357" s="52">
        <v>0.47712125471966244</v>
      </c>
      <c r="L357" s="52">
        <v>92</v>
      </c>
      <c r="M357" s="50">
        <f t="shared" si="32"/>
        <v>1.9637878273455553</v>
      </c>
      <c r="N357" s="55">
        <v>31.8</v>
      </c>
      <c r="O357" s="62">
        <f t="shared" si="33"/>
        <v>1.5024271199844328</v>
      </c>
      <c r="P357" s="56">
        <v>43.012424801889097</v>
      </c>
      <c r="Q357" s="63">
        <f t="shared" si="34"/>
        <v>1.6335939263577708</v>
      </c>
      <c r="R357" s="52">
        <f>LOG(Table2[[#This Row],[generalist]])</f>
        <v>3.3209851425446502</v>
      </c>
      <c r="S357" s="52">
        <f>LOG(Table2[[#This Row],[country divers.]])</f>
        <v>3.9950367434689285</v>
      </c>
      <c r="T357" s="52">
        <f>LOG(Table2[[#This Row],[Firm Size]])</f>
        <v>8</v>
      </c>
      <c r="U357">
        <v>5</v>
      </c>
      <c r="V357" s="137">
        <f t="shared" si="35"/>
        <v>0</v>
      </c>
    </row>
    <row r="358" spans="1:22" x14ac:dyDescent="0.35">
      <c r="A358" s="49" t="s">
        <v>59</v>
      </c>
      <c r="B358" s="50">
        <v>-0.57818060962777795</v>
      </c>
      <c r="C358" s="50">
        <v>3.6767123287671235</v>
      </c>
      <c r="D358" s="50">
        <f t="shared" si="30"/>
        <v>0.56545965137649856</v>
      </c>
      <c r="E358" s="50">
        <f>IF(Table2[[#This Row],[Geo Distance]]=0,0,LOG(Table2[[#This Row],[Geo Distance]]))</f>
        <v>0</v>
      </c>
      <c r="F358" s="50">
        <f>IF(Table2[[#This Row],[Target age]]=0,0,LOG(Table2[[#This Row],[Target age]]))</f>
        <v>2.1038037209559568</v>
      </c>
      <c r="G358" s="59">
        <v>3.29</v>
      </c>
      <c r="H358" s="59">
        <f t="shared" si="31"/>
        <v>0.51719589794997434</v>
      </c>
      <c r="I358" s="60">
        <f>IF(Table2[[#This Row],[Culture]]=0,0,LOG(Table2[[#This Row],[Culture]]))</f>
        <v>0</v>
      </c>
      <c r="J358" s="60">
        <f>LOG(1+Table2[[#This Row],[S&amp;P]])</f>
        <v>0.14612803567823801</v>
      </c>
      <c r="K358" s="50">
        <v>0.3010299956639812</v>
      </c>
      <c r="L358" s="50">
        <v>94.1</v>
      </c>
      <c r="M358" s="50">
        <f t="shared" si="32"/>
        <v>1.973589623427257</v>
      </c>
      <c r="N358" s="62">
        <v>32.200000000000003</v>
      </c>
      <c r="O358" s="62">
        <f t="shared" si="33"/>
        <v>1.507855871695831</v>
      </c>
      <c r="P358" s="63">
        <v>43.9397801796012</v>
      </c>
      <c r="Q358" s="63">
        <f t="shared" si="34"/>
        <v>1.6428578799166489</v>
      </c>
      <c r="R358" s="50">
        <f>LOG(Table2[[#This Row],[generalist]])</f>
        <v>3.3209851425446502</v>
      </c>
      <c r="S358" s="50">
        <f>LOG(Table2[[#This Row],[country divers.]])</f>
        <v>3.9950367434689285</v>
      </c>
      <c r="T358" s="50">
        <f>LOG(Table2[[#This Row],[Firm Size]])</f>
        <v>7.8792106052917594</v>
      </c>
      <c r="U358">
        <v>7</v>
      </c>
      <c r="V358" s="137">
        <f t="shared" si="35"/>
        <v>0</v>
      </c>
    </row>
    <row r="359" spans="1:22" x14ac:dyDescent="0.35">
      <c r="A359" s="67" t="s">
        <v>59</v>
      </c>
      <c r="B359" s="52">
        <v>0.33775280268872104</v>
      </c>
      <c r="C359" s="52">
        <v>4.4109589041095889</v>
      </c>
      <c r="D359" s="50">
        <f t="shared" si="30"/>
        <v>0.64453301157537501</v>
      </c>
      <c r="E359" s="52">
        <f>IF(Table2[[#This Row],[Geo Distance]]=0,0,LOG(Table2[[#This Row],[Geo Distance]]))</f>
        <v>0</v>
      </c>
      <c r="F359" s="52">
        <f>IF(Table2[[#This Row],[Target age]]=0,0,LOG(Table2[[#This Row],[Target age]]))</f>
        <v>1.3222192947339193</v>
      </c>
      <c r="G359" s="65">
        <v>3.29</v>
      </c>
      <c r="H359" s="59">
        <f t="shared" si="31"/>
        <v>0.51719589794997434</v>
      </c>
      <c r="I359" s="53">
        <f>IF(Table2[[#This Row],[Culture]]=0,0,LOG(Table2[[#This Row],[Culture]]))</f>
        <v>0</v>
      </c>
      <c r="J359" s="53">
        <f>LOG(1+Table2[[#This Row],[S&amp;P]])</f>
        <v>0.17897694729316943</v>
      </c>
      <c r="K359" s="52">
        <v>0</v>
      </c>
      <c r="L359" s="52">
        <v>94.6</v>
      </c>
      <c r="M359" s="50">
        <f t="shared" si="32"/>
        <v>1.9758911364017928</v>
      </c>
      <c r="N359" s="55">
        <v>33.200000000000003</v>
      </c>
      <c r="O359" s="62">
        <f t="shared" si="33"/>
        <v>1.5211380837040362</v>
      </c>
      <c r="P359" s="56">
        <v>45.921427555082097</v>
      </c>
      <c r="Q359" s="63">
        <f t="shared" si="34"/>
        <v>1.6620153804713207</v>
      </c>
      <c r="R359" s="52">
        <f>LOG(Table2[[#This Row],[generalist]])</f>
        <v>3.3209851425446502</v>
      </c>
      <c r="S359" s="52">
        <f>LOG(Table2[[#This Row],[country divers.]])</f>
        <v>3.9950367434689285</v>
      </c>
      <c r="T359" s="52">
        <f>LOG(Table2[[#This Row],[Firm Size]])</f>
        <v>8.075546961392531</v>
      </c>
      <c r="U359">
        <v>4</v>
      </c>
      <c r="V359" s="137">
        <f t="shared" si="35"/>
        <v>0</v>
      </c>
    </row>
    <row r="360" spans="1:22" x14ac:dyDescent="0.35">
      <c r="A360" s="49" t="s">
        <v>59</v>
      </c>
      <c r="B360" s="50">
        <v>0.51599281280936371</v>
      </c>
      <c r="C360" s="50">
        <v>3.7095890410958905</v>
      </c>
      <c r="D360" s="50">
        <f t="shared" si="30"/>
        <v>0.56932579989265086</v>
      </c>
      <c r="E360" s="50">
        <f>IF(Table2[[#This Row],[Geo Distance]]=0,0,LOG(Table2[[#This Row],[Geo Distance]]))</f>
        <v>0</v>
      </c>
      <c r="F360" s="50">
        <f>IF(Table2[[#This Row],[Target age]]=0,0,LOG(Table2[[#This Row],[Target age]]))</f>
        <v>1.2041199826559248</v>
      </c>
      <c r="G360" s="59">
        <v>3.29</v>
      </c>
      <c r="H360" s="59">
        <f t="shared" si="31"/>
        <v>0.51719589794997434</v>
      </c>
      <c r="I360" s="60">
        <f>IF(Table2[[#This Row],[Culture]]=0,0,LOG(Table2[[#This Row],[Culture]]))</f>
        <v>0</v>
      </c>
      <c r="J360" s="60">
        <f>LOG(1+Table2[[#This Row],[S&amp;P]])</f>
        <v>0.14301480025409513</v>
      </c>
      <c r="K360" s="50">
        <v>1.5563025007672873</v>
      </c>
      <c r="L360" s="50">
        <v>94.1</v>
      </c>
      <c r="M360" s="50">
        <f t="shared" si="32"/>
        <v>1.973589623427257</v>
      </c>
      <c r="N360" s="62">
        <v>32.200000000000003</v>
      </c>
      <c r="O360" s="62">
        <f t="shared" si="33"/>
        <v>1.507855871695831</v>
      </c>
      <c r="P360" s="63">
        <v>43.9397801796012</v>
      </c>
      <c r="Q360" s="63">
        <f t="shared" si="34"/>
        <v>1.6428578799166489</v>
      </c>
      <c r="R360" s="50">
        <f>LOG(Table2[[#This Row],[generalist]])</f>
        <v>3.1817251205543564</v>
      </c>
      <c r="S360" s="50">
        <f>LOG(Table2[[#This Row],[country divers.]])</f>
        <v>3.9234321312589846</v>
      </c>
      <c r="T360" s="50">
        <f>LOG(Table2[[#This Row],[Firm Size]])</f>
        <v>8.6414741105040989</v>
      </c>
      <c r="U360">
        <v>4</v>
      </c>
      <c r="V360" s="137">
        <f t="shared" si="35"/>
        <v>0</v>
      </c>
    </row>
    <row r="361" spans="1:22" x14ac:dyDescent="0.35">
      <c r="A361" s="67" t="s">
        <v>59</v>
      </c>
      <c r="B361" s="52">
        <v>0.3979400086720376</v>
      </c>
      <c r="C361" s="52">
        <v>4.3397260273972602</v>
      </c>
      <c r="D361" s="50">
        <f t="shared" si="30"/>
        <v>0.63746231279699994</v>
      </c>
      <c r="E361" s="52">
        <f>IF(Table2[[#This Row],[Geo Distance]]=0,0,LOG(Table2[[#This Row],[Geo Distance]]))</f>
        <v>0</v>
      </c>
      <c r="F361" s="52">
        <f>IF(Table2[[#This Row],[Target age]]=0,0,LOG(Table2[[#This Row],[Target age]]))</f>
        <v>1.146128035678238</v>
      </c>
      <c r="G361" s="65">
        <v>3.29</v>
      </c>
      <c r="H361" s="59">
        <f t="shared" si="31"/>
        <v>0.51719589794997434</v>
      </c>
      <c r="I361" s="53">
        <f>IF(Table2[[#This Row],[Culture]]=0,0,LOG(Table2[[#This Row],[Culture]]))</f>
        <v>0</v>
      </c>
      <c r="J361" s="53">
        <f>LOG(1+Table2[[#This Row],[S&amp;P]])</f>
        <v>0.17609125905568124</v>
      </c>
      <c r="K361" s="52">
        <v>1.5314789170422551</v>
      </c>
      <c r="L361" s="52">
        <v>92</v>
      </c>
      <c r="M361" s="50">
        <f t="shared" si="32"/>
        <v>1.9637878273455553</v>
      </c>
      <c r="N361" s="55">
        <v>31.8</v>
      </c>
      <c r="O361" s="62">
        <f t="shared" si="33"/>
        <v>1.5024271199844328</v>
      </c>
      <c r="P361" s="56">
        <v>43.012424801889097</v>
      </c>
      <c r="Q361" s="63">
        <f t="shared" si="34"/>
        <v>1.6335939263577708</v>
      </c>
      <c r="R361" s="52">
        <f>LOG(Table2[[#This Row],[generalist]])</f>
        <v>3.1606353037386858</v>
      </c>
      <c r="S361" s="52">
        <f>LOG(Table2[[#This Row],[country divers.]])</f>
        <v>3.9767438733352263</v>
      </c>
      <c r="T361" s="52">
        <f>LOG(Table2[[#This Row],[Firm Size]])</f>
        <v>8.6020599913279625</v>
      </c>
      <c r="U361">
        <v>9</v>
      </c>
      <c r="V361" s="137">
        <f t="shared" si="35"/>
        <v>0</v>
      </c>
    </row>
    <row r="362" spans="1:22" x14ac:dyDescent="0.35">
      <c r="A362" s="49" t="s">
        <v>59</v>
      </c>
      <c r="B362" s="50">
        <v>-0.27378151671391243</v>
      </c>
      <c r="C362" s="50">
        <v>2.2000000000000002</v>
      </c>
      <c r="D362" s="50">
        <f t="shared" si="30"/>
        <v>0.34242268082220628</v>
      </c>
      <c r="E362" s="50">
        <f>IF(Table2[[#This Row],[Geo Distance]]=0,0,LOG(Table2[[#This Row],[Geo Distance]]))</f>
        <v>0</v>
      </c>
      <c r="F362" s="50">
        <f>IF(Table2[[#This Row],[Target age]]=0,0,LOG(Table2[[#This Row],[Target age]]))</f>
        <v>1.414973347970818</v>
      </c>
      <c r="G362" s="59">
        <v>3.29</v>
      </c>
      <c r="H362" s="59">
        <f t="shared" si="31"/>
        <v>0.51719589794997434</v>
      </c>
      <c r="I362" s="60">
        <f>IF(Table2[[#This Row],[Culture]]=0,0,LOG(Table2[[#This Row],[Culture]]))</f>
        <v>0</v>
      </c>
      <c r="J362" s="60">
        <f>LOG(1+Table2[[#This Row],[S&amp;P]])</f>
        <v>0.15228834438305647</v>
      </c>
      <c r="K362" s="50">
        <v>1.505149978319906</v>
      </c>
      <c r="L362" s="50">
        <v>94.7</v>
      </c>
      <c r="M362" s="50">
        <f t="shared" si="32"/>
        <v>1.9763499790032735</v>
      </c>
      <c r="N362" s="62">
        <v>32.4</v>
      </c>
      <c r="O362" s="62">
        <f t="shared" si="33"/>
        <v>1.510545010206612</v>
      </c>
      <c r="P362" s="63">
        <v>45.737088331856903</v>
      </c>
      <c r="Q362" s="63">
        <f t="shared" si="34"/>
        <v>1.6602685135357675</v>
      </c>
      <c r="R362" s="50">
        <f>LOG(Table2[[#This Row],[generalist]])</f>
        <v>3.1606353037386858</v>
      </c>
      <c r="S362" s="50">
        <f>LOG(Table2[[#This Row],[country divers.]])</f>
        <v>3.9767438733352263</v>
      </c>
      <c r="T362" s="50">
        <f>LOG(Table2[[#This Row],[Firm Size]])</f>
        <v>8.9384234922700383</v>
      </c>
      <c r="U362">
        <v>6</v>
      </c>
      <c r="V362" s="137">
        <f t="shared" si="35"/>
        <v>0</v>
      </c>
    </row>
    <row r="363" spans="1:22" x14ac:dyDescent="0.35">
      <c r="A363" s="67" t="s">
        <v>59</v>
      </c>
      <c r="B363" s="52">
        <v>0.22577904324478879</v>
      </c>
      <c r="C363" s="52">
        <v>2.7150684931506848</v>
      </c>
      <c r="D363" s="50">
        <f t="shared" si="30"/>
        <v>0.4337807900288006</v>
      </c>
      <c r="E363" s="52">
        <f>IF(Table2[[#This Row],[Geo Distance]]=0,0,LOG(Table2[[#This Row],[Geo Distance]]))</f>
        <v>3.7707018228379927</v>
      </c>
      <c r="F363" s="52">
        <f>IF(Table2[[#This Row],[Target age]]=0,0,LOG(Table2[[#This Row],[Target age]]))</f>
        <v>1.5910646070264991</v>
      </c>
      <c r="G363" s="65">
        <v>2.3199999999999998</v>
      </c>
      <c r="H363" s="59">
        <f t="shared" si="31"/>
        <v>0.36548798489089962</v>
      </c>
      <c r="I363" s="53">
        <f>IF(Table2[[#This Row],[Culture]]=0,0,LOG(Table2[[#This Row],[Culture]]))</f>
        <v>2.12057393120585</v>
      </c>
      <c r="J363" s="53">
        <f>LOG(1+Table2[[#This Row],[S&amp;P]])</f>
        <v>0.17897694729316943</v>
      </c>
      <c r="K363" s="52">
        <v>1.4471580313422192</v>
      </c>
      <c r="L363" s="52">
        <v>94.7</v>
      </c>
      <c r="M363" s="50">
        <f t="shared" si="32"/>
        <v>1.9763499790032735</v>
      </c>
      <c r="N363" s="55">
        <v>32.4</v>
      </c>
      <c r="O363" s="62">
        <f t="shared" si="33"/>
        <v>1.510545010206612</v>
      </c>
      <c r="P363" s="56">
        <v>45.737088331856903</v>
      </c>
      <c r="Q363" s="63">
        <f t="shared" si="34"/>
        <v>1.6602685135357675</v>
      </c>
      <c r="R363" s="52">
        <f>LOG(Table2[[#This Row],[generalist]])</f>
        <v>3.3240201037352737</v>
      </c>
      <c r="S363" s="52">
        <f>LOG(Table2[[#This Row],[country divers.]])</f>
        <v>3.7683162170970865</v>
      </c>
      <c r="T363" s="52">
        <f>LOG(Table2[[#This Row],[Firm Size]])</f>
        <v>9.0413926851582254</v>
      </c>
      <c r="U363">
        <v>4</v>
      </c>
      <c r="V363" s="137">
        <f t="shared" si="35"/>
        <v>1</v>
      </c>
    </row>
    <row r="364" spans="1:22" x14ac:dyDescent="0.35">
      <c r="A364" s="49" t="s">
        <v>59</v>
      </c>
      <c r="B364" s="50">
        <v>0.93682629938750739</v>
      </c>
      <c r="C364" s="50">
        <v>4.7123287671232879</v>
      </c>
      <c r="D364" s="50">
        <f t="shared" si="30"/>
        <v>0.67323558245107418</v>
      </c>
      <c r="E364" s="50">
        <f>IF(Table2[[#This Row],[Geo Distance]]=0,0,LOG(Table2[[#This Row],[Geo Distance]]))</f>
        <v>2.8898897032485915</v>
      </c>
      <c r="F364" s="50">
        <f>IF(Table2[[#This Row],[Target age]]=0,0,LOG(Table2[[#This Row],[Target age]]))</f>
        <v>1.146128035678238</v>
      </c>
      <c r="G364" s="59">
        <v>3.18</v>
      </c>
      <c r="H364" s="59">
        <f t="shared" si="31"/>
        <v>0.50242711998443268</v>
      </c>
      <c r="I364" s="60">
        <f>IF(Table2[[#This Row],[Culture]]=0,0,LOG(Table2[[#This Row],[Culture]]))</f>
        <v>2.4051185932991617</v>
      </c>
      <c r="J364" s="60">
        <f>LOG(1+Table2[[#This Row],[S&amp;P]])</f>
        <v>0.19312459835446161</v>
      </c>
      <c r="K364" s="50">
        <v>1.2304489213782739</v>
      </c>
      <c r="L364" s="50">
        <v>94.1</v>
      </c>
      <c r="M364" s="50">
        <f t="shared" si="32"/>
        <v>1.973589623427257</v>
      </c>
      <c r="N364" s="62">
        <v>32.200000000000003</v>
      </c>
      <c r="O364" s="62">
        <f t="shared" si="33"/>
        <v>1.507855871695831</v>
      </c>
      <c r="P364" s="63">
        <v>43.9397801796012</v>
      </c>
      <c r="Q364" s="63">
        <f t="shared" si="34"/>
        <v>1.6428578799166489</v>
      </c>
      <c r="R364" s="50">
        <f>LOG(Table2[[#This Row],[generalist]])</f>
        <v>3.5043430043452655</v>
      </c>
      <c r="S364" s="50">
        <f>LOG(Table2[[#This Row],[country divers.]])</f>
        <v>3.6731863116447854</v>
      </c>
      <c r="T364" s="50">
        <f>LOG(Table2[[#This Row],[Firm Size]])</f>
        <v>7.3010299956639813</v>
      </c>
      <c r="U364">
        <v>9</v>
      </c>
      <c r="V364" s="137">
        <f t="shared" si="35"/>
        <v>1</v>
      </c>
    </row>
    <row r="365" spans="1:22" x14ac:dyDescent="0.35">
      <c r="A365" s="67" t="s">
        <v>59</v>
      </c>
      <c r="B365" s="52">
        <v>0.28399665636520083</v>
      </c>
      <c r="C365" s="52">
        <v>2.978082191780822</v>
      </c>
      <c r="D365" s="50">
        <f t="shared" si="30"/>
        <v>0.47393667962981983</v>
      </c>
      <c r="E365" s="52">
        <f>IF(Table2[[#This Row],[Geo Distance]]=0,0,LOG(Table2[[#This Row],[Geo Distance]]))</f>
        <v>0</v>
      </c>
      <c r="F365" s="52">
        <f>IF(Table2[[#This Row],[Target age]]=0,0,LOG(Table2[[#This Row],[Target age]]))</f>
        <v>1.4771212547196624</v>
      </c>
      <c r="G365" s="65">
        <v>3.29</v>
      </c>
      <c r="H365" s="59">
        <f t="shared" si="31"/>
        <v>0.51719589794997434</v>
      </c>
      <c r="I365" s="53">
        <f>IF(Table2[[#This Row],[Culture]]=0,0,LOG(Table2[[#This Row],[Culture]]))</f>
        <v>0</v>
      </c>
      <c r="J365" s="53">
        <f>LOG(1+Table2[[#This Row],[S&amp;P]])</f>
        <v>0.10380372095595687</v>
      </c>
      <c r="K365" s="52">
        <v>1.1139433523068367</v>
      </c>
      <c r="L365" s="52">
        <v>92</v>
      </c>
      <c r="M365" s="50">
        <f t="shared" si="32"/>
        <v>1.9637878273455553</v>
      </c>
      <c r="N365" s="55">
        <v>31.8</v>
      </c>
      <c r="O365" s="62">
        <f t="shared" si="33"/>
        <v>1.5024271199844328</v>
      </c>
      <c r="P365" s="56">
        <v>43.012424801889097</v>
      </c>
      <c r="Q365" s="63">
        <f t="shared" si="34"/>
        <v>1.6335939263577708</v>
      </c>
      <c r="R365" s="52">
        <f>LOG(Table2[[#This Row],[generalist]])</f>
        <v>3.4875507829385946</v>
      </c>
      <c r="S365" s="52">
        <f>LOG(Table2[[#This Row],[country divers.]])</f>
        <v>4</v>
      </c>
      <c r="T365" s="52">
        <f>LOG(Table2[[#This Row],[Firm Size]])</f>
        <v>8.1139433523068369</v>
      </c>
      <c r="U365">
        <v>5</v>
      </c>
      <c r="V365" s="137">
        <f t="shared" si="35"/>
        <v>0</v>
      </c>
    </row>
    <row r="366" spans="1:22" x14ac:dyDescent="0.35">
      <c r="A366" s="49" t="s">
        <v>59</v>
      </c>
      <c r="B366" s="50">
        <v>0.7995493950848741</v>
      </c>
      <c r="C366" s="50">
        <v>3.9397260273972603</v>
      </c>
      <c r="D366" s="50">
        <f t="shared" si="30"/>
        <v>0.59546602159038908</v>
      </c>
      <c r="E366" s="50">
        <f>IF(Table2[[#This Row],[Geo Distance]]=0,0,LOG(Table2[[#This Row],[Geo Distance]]))</f>
        <v>0</v>
      </c>
      <c r="F366" s="50">
        <f>IF(Table2[[#This Row],[Target age]]=0,0,LOG(Table2[[#This Row],[Target age]]))</f>
        <v>1.3617278360175928</v>
      </c>
      <c r="G366" s="59">
        <v>3.29</v>
      </c>
      <c r="H366" s="59">
        <f t="shared" si="31"/>
        <v>0.51719589794997434</v>
      </c>
      <c r="I366" s="60">
        <f>IF(Table2[[#This Row],[Culture]]=0,0,LOG(Table2[[#This Row],[Culture]]))</f>
        <v>0</v>
      </c>
      <c r="J366" s="60">
        <f>LOG(1+Table2[[#This Row],[S&amp;P]])</f>
        <v>0.18184358794477254</v>
      </c>
      <c r="K366" s="50">
        <v>1.0791812460476249</v>
      </c>
      <c r="L366" s="50">
        <v>94.1</v>
      </c>
      <c r="M366" s="50">
        <f t="shared" si="32"/>
        <v>1.973589623427257</v>
      </c>
      <c r="N366" s="62">
        <v>32.200000000000003</v>
      </c>
      <c r="O366" s="62">
        <f t="shared" si="33"/>
        <v>1.507855871695831</v>
      </c>
      <c r="P366" s="63">
        <v>43.9397801796012</v>
      </c>
      <c r="Q366" s="63">
        <f t="shared" si="34"/>
        <v>1.6428578799166489</v>
      </c>
      <c r="R366" s="50">
        <f>LOG(Table2[[#This Row],[generalist]])</f>
        <v>3.4875507829385946</v>
      </c>
      <c r="S366" s="50">
        <f>LOG(Table2[[#This Row],[country divers.]])</f>
        <v>4</v>
      </c>
      <c r="T366" s="50">
        <f>LOG(Table2[[#This Row],[Firm Size]])</f>
        <v>7.5185139398778871</v>
      </c>
      <c r="U366">
        <v>6</v>
      </c>
      <c r="V366" s="137">
        <f t="shared" si="35"/>
        <v>0</v>
      </c>
    </row>
    <row r="367" spans="1:22" x14ac:dyDescent="0.35">
      <c r="A367" s="67" t="s">
        <v>59</v>
      </c>
      <c r="B367" s="52">
        <v>0.41029207058620576</v>
      </c>
      <c r="C367" s="52">
        <v>3.106849315068493</v>
      </c>
      <c r="D367" s="50">
        <f t="shared" si="30"/>
        <v>0.49232019010041306</v>
      </c>
      <c r="E367" s="52">
        <f>IF(Table2[[#This Row],[Geo Distance]]=0,0,LOG(Table2[[#This Row],[Geo Distance]]))</f>
        <v>0</v>
      </c>
      <c r="F367" s="52">
        <f>IF(Table2[[#This Row],[Target age]]=0,0,LOG(Table2[[#This Row],[Target age]]))</f>
        <v>1.5910646070264991</v>
      </c>
      <c r="G367" s="65">
        <v>3.29</v>
      </c>
      <c r="H367" s="59">
        <f t="shared" si="31"/>
        <v>0.51719589794997434</v>
      </c>
      <c r="I367" s="53">
        <f>IF(Table2[[#This Row],[Culture]]=0,0,LOG(Table2[[#This Row],[Culture]]))</f>
        <v>0</v>
      </c>
      <c r="J367" s="53">
        <f>LOG(1+Table2[[#This Row],[S&amp;P]])</f>
        <v>0.10037054511756291</v>
      </c>
      <c r="K367" s="52">
        <v>0.90308998699194354</v>
      </c>
      <c r="L367" s="52">
        <v>92</v>
      </c>
      <c r="M367" s="50">
        <f t="shared" si="32"/>
        <v>1.9637878273455553</v>
      </c>
      <c r="N367" s="55">
        <v>31.8</v>
      </c>
      <c r="O367" s="62">
        <f t="shared" si="33"/>
        <v>1.5024271199844328</v>
      </c>
      <c r="P367" s="56">
        <v>43.012424801889097</v>
      </c>
      <c r="Q367" s="63">
        <f t="shared" si="34"/>
        <v>1.6335939263577708</v>
      </c>
      <c r="R367" s="52">
        <f>LOG(Table2[[#This Row],[generalist]])</f>
        <v>3.3948757743780882</v>
      </c>
      <c r="S367" s="52">
        <f>LOG(Table2[[#This Row],[country divers.]])</f>
        <v>3.9596629940481844</v>
      </c>
      <c r="T367" s="52">
        <f>LOG(Table2[[#This Row],[Firm Size]])</f>
        <v>7.9030899869919438</v>
      </c>
      <c r="U367">
        <v>5</v>
      </c>
      <c r="V367" s="137">
        <f t="shared" si="35"/>
        <v>0</v>
      </c>
    </row>
    <row r="368" spans="1:22" x14ac:dyDescent="0.35">
      <c r="A368" s="49" t="s">
        <v>59</v>
      </c>
      <c r="B368" s="50">
        <v>-1</v>
      </c>
      <c r="C368" s="50">
        <v>3.8575342465753426</v>
      </c>
      <c r="D368" s="50">
        <f t="shared" si="30"/>
        <v>0.58630979034961872</v>
      </c>
      <c r="E368" s="50">
        <f>IF(Table2[[#This Row],[Geo Distance]]=0,0,LOG(Table2[[#This Row],[Geo Distance]]))</f>
        <v>0</v>
      </c>
      <c r="F368" s="50">
        <f>IF(Table2[[#This Row],[Target age]]=0,0,LOG(Table2[[#This Row],[Target age]]))</f>
        <v>1.5797835966168101</v>
      </c>
      <c r="G368" s="59">
        <v>3.29</v>
      </c>
      <c r="H368" s="59">
        <f t="shared" si="31"/>
        <v>0.51719589794997434</v>
      </c>
      <c r="I368" s="60">
        <f>IF(Table2[[#This Row],[Culture]]=0,0,LOG(Table2[[#This Row],[Culture]]))</f>
        <v>0</v>
      </c>
      <c r="J368" s="60">
        <f>LOG(1+Table2[[#This Row],[S&amp;P]])</f>
        <v>0.13353890837021748</v>
      </c>
      <c r="K368" s="50">
        <v>1.4471580313422192</v>
      </c>
      <c r="L368" s="50">
        <v>92</v>
      </c>
      <c r="M368" s="50">
        <f t="shared" si="32"/>
        <v>1.9637878273455553</v>
      </c>
      <c r="N368" s="62">
        <v>31.8</v>
      </c>
      <c r="O368" s="62">
        <f t="shared" si="33"/>
        <v>1.5024271199844328</v>
      </c>
      <c r="P368" s="63">
        <v>43.012424801889097</v>
      </c>
      <c r="Q368" s="63">
        <f t="shared" si="34"/>
        <v>1.6335939263577708</v>
      </c>
      <c r="R368" s="50">
        <f>LOG(Table2[[#This Row],[generalist]])</f>
        <v>3.2676062401770314</v>
      </c>
      <c r="S368" s="50">
        <f>LOG(Table2[[#This Row],[country divers.]])</f>
        <v>3.9645616210373218</v>
      </c>
      <c r="T368" s="50">
        <f>LOG(Table2[[#This Row],[Firm Size]])</f>
        <v>7.9542425094393252</v>
      </c>
      <c r="U368" t="s">
        <v>1323</v>
      </c>
      <c r="V368" s="137">
        <f t="shared" si="35"/>
        <v>0</v>
      </c>
    </row>
    <row r="369" spans="1:22" x14ac:dyDescent="0.35">
      <c r="A369" s="67" t="s">
        <v>59</v>
      </c>
      <c r="B369" s="52">
        <v>0.94884747755261878</v>
      </c>
      <c r="C369" s="52">
        <v>2.1095890410958904</v>
      </c>
      <c r="D369" s="50">
        <f t="shared" si="30"/>
        <v>0.32419786071600715</v>
      </c>
      <c r="E369" s="52">
        <f>IF(Table2[[#This Row],[Geo Distance]]=0,0,LOG(Table2[[#This Row],[Geo Distance]]))</f>
        <v>2.8898897032485915</v>
      </c>
      <c r="F369" s="52">
        <f>IF(Table2[[#This Row],[Target age]]=0,0,LOG(Table2[[#This Row],[Target age]]))</f>
        <v>1.1139433523068367</v>
      </c>
      <c r="G369" s="65">
        <v>3.18</v>
      </c>
      <c r="H369" s="59">
        <f t="shared" si="31"/>
        <v>0.50242711998443268</v>
      </c>
      <c r="I369" s="53">
        <f>IF(Table2[[#This Row],[Culture]]=0,0,LOG(Table2[[#This Row],[Culture]]))</f>
        <v>2.4051185932991617</v>
      </c>
      <c r="J369" s="53">
        <f>LOG(1+Table2[[#This Row],[S&amp;P]])</f>
        <v>9.3421685162235063E-2</v>
      </c>
      <c r="K369" s="52">
        <v>1.1760912590556813</v>
      </c>
      <c r="L369" s="52">
        <v>94.6</v>
      </c>
      <c r="M369" s="50">
        <f t="shared" si="32"/>
        <v>1.9758911364017928</v>
      </c>
      <c r="N369" s="55">
        <v>33.200000000000003</v>
      </c>
      <c r="O369" s="62">
        <f t="shared" si="33"/>
        <v>1.5211380837040362</v>
      </c>
      <c r="P369" s="56">
        <v>45.921427555082097</v>
      </c>
      <c r="Q369" s="63">
        <f t="shared" si="34"/>
        <v>1.6620153804713207</v>
      </c>
      <c r="R369" s="52">
        <f>LOG(Table2[[#This Row],[generalist]])</f>
        <v>3.1532162502154288</v>
      </c>
      <c r="S369" s="52">
        <f>LOG(Table2[[#This Row],[country divers.]])</f>
        <v>3.5175748361336181</v>
      </c>
      <c r="T369" s="52">
        <f>LOG(Table2[[#This Row],[Firm Size]])</f>
        <v>7.9542425094393252</v>
      </c>
      <c r="U369">
        <v>6</v>
      </c>
      <c r="V369" s="137">
        <f t="shared" si="35"/>
        <v>1</v>
      </c>
    </row>
    <row r="370" spans="1:22" x14ac:dyDescent="0.35">
      <c r="A370" s="49" t="s">
        <v>59</v>
      </c>
      <c r="B370" s="50">
        <v>0.40540657335739205</v>
      </c>
      <c r="C370" s="50">
        <v>5.8054794520547945</v>
      </c>
      <c r="D370" s="50">
        <f t="shared" si="30"/>
        <v>0.76383809225431987</v>
      </c>
      <c r="E370" s="50">
        <f>IF(Table2[[#This Row],[Geo Distance]]=0,0,LOG(Table2[[#This Row],[Geo Distance]]))</f>
        <v>0</v>
      </c>
      <c r="F370" s="50">
        <f>IF(Table2[[#This Row],[Target age]]=0,0,LOG(Table2[[#This Row],[Target age]]))</f>
        <v>0.47712125471966244</v>
      </c>
      <c r="G370" s="59">
        <v>3.29</v>
      </c>
      <c r="H370" s="59">
        <f t="shared" si="31"/>
        <v>0.51719589794997434</v>
      </c>
      <c r="I370" s="60">
        <f>IF(Table2[[#This Row],[Culture]]=0,0,LOG(Table2[[#This Row],[Culture]]))</f>
        <v>0</v>
      </c>
      <c r="J370" s="60">
        <f>LOG(1+Table2[[#This Row],[S&amp;P]])</f>
        <v>0.34044411484011833</v>
      </c>
      <c r="K370" s="50">
        <v>0.84509804001425681</v>
      </c>
      <c r="L370" s="50">
        <v>89.8</v>
      </c>
      <c r="M370" s="50">
        <f t="shared" si="32"/>
        <v>1.9532763366673043</v>
      </c>
      <c r="N370" s="62">
        <v>31.2</v>
      </c>
      <c r="O370" s="62">
        <f t="shared" si="33"/>
        <v>1.4941545940184429</v>
      </c>
      <c r="P370" s="63">
        <v>47.307367293927399</v>
      </c>
      <c r="Q370" s="63">
        <f t="shared" si="34"/>
        <v>1.6749287797641836</v>
      </c>
      <c r="R370" s="50">
        <f>LOG(Table2[[#This Row],[generalist]])</f>
        <v>3.3438084825075891</v>
      </c>
      <c r="S370" s="50">
        <f>LOG(Table2[[#This Row],[country divers.]])</f>
        <v>3.8895205457872843</v>
      </c>
      <c r="T370" s="50">
        <f>LOG(Table2[[#This Row],[Firm Size]])</f>
        <v>7.238046103128795</v>
      </c>
      <c r="U370">
        <v>9</v>
      </c>
      <c r="V370" s="137">
        <f t="shared" si="35"/>
        <v>0</v>
      </c>
    </row>
    <row r="371" spans="1:22" x14ac:dyDescent="0.35">
      <c r="A371" s="67" t="s">
        <v>59</v>
      </c>
      <c r="B371" s="52">
        <v>0.95451372538741597</v>
      </c>
      <c r="C371" s="52">
        <v>10.575342465753424</v>
      </c>
      <c r="D371" s="50">
        <f t="shared" si="30"/>
        <v>1.0242944402152803</v>
      </c>
      <c r="E371" s="52">
        <f>IF(Table2[[#This Row],[Geo Distance]]=0,0,LOG(Table2[[#This Row],[Geo Distance]]))</f>
        <v>0</v>
      </c>
      <c r="F371" s="52">
        <f>IF(Table2[[#This Row],[Target age]]=0,0,LOG(Table2[[#This Row],[Target age]]))</f>
        <v>1.3802112417116059</v>
      </c>
      <c r="G371" s="65">
        <v>3.29</v>
      </c>
      <c r="H371" s="59">
        <f t="shared" si="31"/>
        <v>0.51719589794997434</v>
      </c>
      <c r="I371" s="53">
        <f>IF(Table2[[#This Row],[Culture]]=0,0,LOG(Table2[[#This Row],[Culture]]))</f>
        <v>0</v>
      </c>
      <c r="J371" s="53">
        <f>LOG(1+Table2[[#This Row],[S&amp;P]])</f>
        <v>0.2528530309798932</v>
      </c>
      <c r="K371" s="52">
        <v>0.69897000433601886</v>
      </c>
      <c r="L371" s="52">
        <v>91.2</v>
      </c>
      <c r="M371" s="50">
        <f t="shared" si="32"/>
        <v>1.9599948383284163</v>
      </c>
      <c r="N371" s="55">
        <v>33</v>
      </c>
      <c r="O371" s="62">
        <f t="shared" si="33"/>
        <v>1.5185139398778875</v>
      </c>
      <c r="P371" s="56">
        <v>40.902544500539101</v>
      </c>
      <c r="Q371" s="63">
        <f t="shared" si="34"/>
        <v>1.6117503258110162</v>
      </c>
      <c r="R371" s="52">
        <f>LOG(Table2[[#This Row],[generalist]])</f>
        <v>3.3438084825075891</v>
      </c>
      <c r="S371" s="52">
        <f>LOG(Table2[[#This Row],[country divers.]])</f>
        <v>3.8895205457872843</v>
      </c>
      <c r="T371" s="52">
        <f>LOG(Table2[[#This Row],[Firm Size]])</f>
        <v>7.9464473521517798</v>
      </c>
      <c r="U371">
        <v>5</v>
      </c>
      <c r="V371" s="137">
        <f t="shared" si="35"/>
        <v>0</v>
      </c>
    </row>
    <row r="372" spans="1:22" x14ac:dyDescent="0.35">
      <c r="A372" s="49" t="s">
        <v>59</v>
      </c>
      <c r="B372" s="50">
        <v>0.29550329383784157</v>
      </c>
      <c r="C372" s="50">
        <v>1.4</v>
      </c>
      <c r="D372" s="50">
        <f t="shared" si="30"/>
        <v>0.14612803567823801</v>
      </c>
      <c r="E372" s="50">
        <f>IF(Table2[[#This Row],[Geo Distance]]=0,0,LOG(Table2[[#This Row],[Geo Distance]]))</f>
        <v>0</v>
      </c>
      <c r="F372" s="50">
        <f>IF(Table2[[#This Row],[Target age]]=0,0,LOG(Table2[[#This Row],[Target age]]))</f>
        <v>1.0413926851582251</v>
      </c>
      <c r="G372" s="59">
        <v>3.29</v>
      </c>
      <c r="H372" s="59">
        <f t="shared" si="31"/>
        <v>0.51719589794997434</v>
      </c>
      <c r="I372" s="60">
        <f>IF(Table2[[#This Row],[Culture]]=0,0,LOG(Table2[[#This Row],[Culture]]))</f>
        <v>0</v>
      </c>
      <c r="J372" s="60">
        <f>LOG(1+Table2[[#This Row],[S&amp;P]])</f>
        <v>6.069784035361165E-2</v>
      </c>
      <c r="K372" s="50">
        <v>0.47712125471966244</v>
      </c>
      <c r="L372" s="50">
        <v>85</v>
      </c>
      <c r="M372" s="50">
        <f t="shared" si="32"/>
        <v>1.9294189257142926</v>
      </c>
      <c r="N372" s="62">
        <v>32.700000000000003</v>
      </c>
      <c r="O372" s="62">
        <f t="shared" si="33"/>
        <v>1.5145477526602862</v>
      </c>
      <c r="P372" s="63">
        <v>41.286751495766303</v>
      </c>
      <c r="Q372" s="63">
        <f t="shared" si="34"/>
        <v>1.6158107132703448</v>
      </c>
      <c r="R372" s="50">
        <f>LOG(Table2[[#This Row],[generalist]])</f>
        <v>3.3438084825075891</v>
      </c>
      <c r="S372" s="50">
        <f>LOG(Table2[[#This Row],[country divers.]])</f>
        <v>3.8895205457872843</v>
      </c>
      <c r="T372" s="50">
        <f>LOG(Table2[[#This Row],[Firm Size]])</f>
        <v>8.4603715618346502</v>
      </c>
      <c r="U372">
        <v>6</v>
      </c>
      <c r="V372" s="137">
        <f t="shared" si="35"/>
        <v>0</v>
      </c>
    </row>
    <row r="373" spans="1:22" x14ac:dyDescent="0.35">
      <c r="A373" s="67" t="s">
        <v>59</v>
      </c>
      <c r="B373" s="52">
        <v>0.2338176423292847</v>
      </c>
      <c r="C373" s="52">
        <v>3.8273972602739725</v>
      </c>
      <c r="D373" s="50">
        <f t="shared" si="30"/>
        <v>0.58290354165770719</v>
      </c>
      <c r="E373" s="52">
        <f>IF(Table2[[#This Row],[Geo Distance]]=0,0,LOG(Table2[[#This Row],[Geo Distance]]))</f>
        <v>0</v>
      </c>
      <c r="F373" s="52">
        <f>IF(Table2[[#This Row],[Target age]]=0,0,LOG(Table2[[#This Row],[Target age]]))</f>
        <v>0.90308998699194354</v>
      </c>
      <c r="G373" s="65">
        <v>3.29</v>
      </c>
      <c r="H373" s="59">
        <f t="shared" si="31"/>
        <v>0.51719589794997434</v>
      </c>
      <c r="I373" s="53">
        <f>IF(Table2[[#This Row],[Culture]]=0,0,LOG(Table2[[#This Row],[Culture]]))</f>
        <v>0</v>
      </c>
      <c r="J373" s="53">
        <f>LOG(1+Table2[[#This Row],[S&amp;P]])</f>
        <v>9.691001300805642E-2</v>
      </c>
      <c r="K373" s="52">
        <v>0.3010299956639812</v>
      </c>
      <c r="L373" s="52">
        <v>85</v>
      </c>
      <c r="M373" s="50">
        <f t="shared" si="32"/>
        <v>1.9294189257142926</v>
      </c>
      <c r="N373" s="55">
        <v>32.299999999999997</v>
      </c>
      <c r="O373" s="62">
        <f t="shared" si="33"/>
        <v>1.5092025223311027</v>
      </c>
      <c r="P373" s="56">
        <v>40.040400531970803</v>
      </c>
      <c r="Q373" s="63">
        <f t="shared" si="34"/>
        <v>1.6024984131617945</v>
      </c>
      <c r="R373" s="52">
        <f>LOG(Table2[[#This Row],[generalist]])</f>
        <v>3.3438084825075891</v>
      </c>
      <c r="S373" s="52">
        <f>LOG(Table2[[#This Row],[country divers.]])</f>
        <v>3.8895205457872843</v>
      </c>
      <c r="T373" s="52">
        <f>LOG(Table2[[#This Row],[Firm Size]])</f>
        <v>8.3164107107258101</v>
      </c>
      <c r="U373">
        <v>5</v>
      </c>
      <c r="V373" s="137">
        <f t="shared" si="35"/>
        <v>0</v>
      </c>
    </row>
    <row r="374" spans="1:22" x14ac:dyDescent="0.35">
      <c r="A374" s="49" t="s">
        <v>59</v>
      </c>
      <c r="B374" s="50">
        <v>0.77671186392993052</v>
      </c>
      <c r="C374" s="50">
        <v>2.6794520547945204</v>
      </c>
      <c r="D374" s="50">
        <f t="shared" si="30"/>
        <v>0.42804599033112672</v>
      </c>
      <c r="E374" s="50">
        <f>IF(Table2[[#This Row],[Geo Distance]]=0,0,LOG(Table2[[#This Row],[Geo Distance]]))</f>
        <v>2.6664899002624973</v>
      </c>
      <c r="F374" s="50">
        <f>IF(Table2[[#This Row],[Target age]]=0,0,LOG(Table2[[#This Row],[Target age]]))</f>
        <v>1.146128035678238</v>
      </c>
      <c r="G374" s="59">
        <v>2.81</v>
      </c>
      <c r="H374" s="59">
        <f t="shared" si="31"/>
        <v>0.44870631990507992</v>
      </c>
      <c r="I374" s="60">
        <f>IF(Table2[[#This Row],[Culture]]=0,0,LOG(Table2[[#This Row],[Culture]]))</f>
        <v>2.285932185579953</v>
      </c>
      <c r="J374" s="60">
        <f>LOG(1+Table2[[#This Row],[S&amp;P]])</f>
        <v>-3.6212172654444715E-2</v>
      </c>
      <c r="K374" s="50">
        <v>0</v>
      </c>
      <c r="L374" s="50">
        <v>85</v>
      </c>
      <c r="M374" s="50">
        <f t="shared" si="32"/>
        <v>1.9294189257142926</v>
      </c>
      <c r="N374" s="62">
        <v>32.6</v>
      </c>
      <c r="O374" s="62">
        <f t="shared" si="33"/>
        <v>1.5132176000679389</v>
      </c>
      <c r="P374" s="63">
        <v>36.544739309553499</v>
      </c>
      <c r="Q374" s="63">
        <f t="shared" si="34"/>
        <v>1.5628248682086028</v>
      </c>
      <c r="R374" s="50">
        <f>LOG(Table2[[#This Row],[generalist]])</f>
        <v>3.3884049978579722</v>
      </c>
      <c r="S374" s="50">
        <f>LOG(Table2[[#This Row],[country divers.]])</f>
        <v>3.8579486949156889</v>
      </c>
      <c r="T374" s="50">
        <f>LOG(Table2[[#This Row],[Firm Size]])</f>
        <v>7.8325089127062366</v>
      </c>
      <c r="U374">
        <v>5</v>
      </c>
      <c r="V374" s="137">
        <f t="shared" si="35"/>
        <v>1</v>
      </c>
    </row>
    <row r="375" spans="1:22" x14ac:dyDescent="0.35">
      <c r="A375" s="67" t="s">
        <v>59</v>
      </c>
      <c r="B375" s="52">
        <v>0.19092342405844648</v>
      </c>
      <c r="C375" s="52">
        <v>6.4958904109589044</v>
      </c>
      <c r="D375" s="50">
        <f t="shared" si="30"/>
        <v>0.81263868952171348</v>
      </c>
      <c r="E375" s="52">
        <f>IF(Table2[[#This Row],[Geo Distance]]=0,0,LOG(Table2[[#This Row],[Geo Distance]]))</f>
        <v>2.6664899002624973</v>
      </c>
      <c r="F375" s="52">
        <f>IF(Table2[[#This Row],[Target age]]=0,0,LOG(Table2[[#This Row],[Target age]]))</f>
        <v>1.7160033436347992</v>
      </c>
      <c r="G375" s="65">
        <v>2.81</v>
      </c>
      <c r="H375" s="59">
        <f t="shared" si="31"/>
        <v>0.44870631990507992</v>
      </c>
      <c r="I375" s="53">
        <f>IF(Table2[[#This Row],[Culture]]=0,0,LOG(Table2[[#This Row],[Culture]]))</f>
        <v>2.285932185579953</v>
      </c>
      <c r="J375" s="53">
        <f>LOG(1+Table2[[#This Row],[S&amp;P]])</f>
        <v>-1.322826573375516E-2</v>
      </c>
      <c r="K375" s="52">
        <v>0</v>
      </c>
      <c r="L375" s="52">
        <v>85</v>
      </c>
      <c r="M375" s="50">
        <f t="shared" si="32"/>
        <v>1.9294189257142926</v>
      </c>
      <c r="N375" s="55">
        <v>32.9</v>
      </c>
      <c r="O375" s="62">
        <f t="shared" si="33"/>
        <v>1.5171958979499742</v>
      </c>
      <c r="P375" s="56">
        <v>35.433808146393098</v>
      </c>
      <c r="Q375" s="63">
        <f t="shared" si="34"/>
        <v>1.5494178293890581</v>
      </c>
      <c r="R375" s="52">
        <f>LOG(Table2[[#This Row],[generalist]])</f>
        <v>3.3884049978579722</v>
      </c>
      <c r="S375" s="52">
        <f>LOG(Table2[[#This Row],[country divers.]])</f>
        <v>3.8579486949156889</v>
      </c>
      <c r="T375" s="52">
        <f>LOG(Table2[[#This Row],[Firm Size]])</f>
        <v>9.3531446202918289</v>
      </c>
      <c r="U375">
        <v>7</v>
      </c>
      <c r="V375" s="137">
        <f t="shared" si="35"/>
        <v>1</v>
      </c>
    </row>
    <row r="376" spans="1:22" x14ac:dyDescent="0.35">
      <c r="A376" s="49" t="s">
        <v>59</v>
      </c>
      <c r="B376" s="50">
        <v>7.5720713938118342E-2</v>
      </c>
      <c r="C376" s="50">
        <v>4.3698630136986303</v>
      </c>
      <c r="D376" s="50">
        <f t="shared" si="30"/>
        <v>0.64046782293672522</v>
      </c>
      <c r="E376" s="50">
        <f>IF(Table2[[#This Row],[Geo Distance]]=0,0,LOG(Table2[[#This Row],[Geo Distance]]))</f>
        <v>3.7707018228379927</v>
      </c>
      <c r="F376" s="50">
        <f>IF(Table2[[#This Row],[Target age]]=0,0,LOG(Table2[[#This Row],[Target age]]))</f>
        <v>1.2041199826559248</v>
      </c>
      <c r="G376" s="59">
        <v>2.3199999999999998</v>
      </c>
      <c r="H376" s="59">
        <f t="shared" si="31"/>
        <v>0.36548798489089962</v>
      </c>
      <c r="I376" s="60">
        <f>IF(Table2[[#This Row],[Culture]]=0,0,LOG(Table2[[#This Row],[Culture]]))</f>
        <v>2.12057393120585</v>
      </c>
      <c r="J376" s="60">
        <f>LOG(1+Table2[[#This Row],[S&amp;P]])</f>
        <v>0.2355284469075489</v>
      </c>
      <c r="K376" s="50">
        <v>1.8976270912904414</v>
      </c>
      <c r="L376" s="50">
        <v>94.9</v>
      </c>
      <c r="M376" s="50">
        <f t="shared" si="32"/>
        <v>1.9772662124272926</v>
      </c>
      <c r="N376" s="62">
        <v>32.299999999999997</v>
      </c>
      <c r="O376" s="62">
        <f t="shared" si="33"/>
        <v>1.5092025223311027</v>
      </c>
      <c r="P376" s="63">
        <v>47.560703662314701</v>
      </c>
      <c r="Q376" s="63">
        <f t="shared" si="34"/>
        <v>1.6772482713966061</v>
      </c>
      <c r="R376" s="50">
        <f>LOG(Table2[[#This Row],[generalist]])</f>
        <v>3.3779512479807074</v>
      </c>
      <c r="S376" s="50">
        <f>LOG(Table2[[#This Row],[country divers.]])</f>
        <v>3.7669888618571257</v>
      </c>
      <c r="T376" s="50">
        <f>LOG(Table2[[#This Row],[Firm Size]])</f>
        <v>9.3222192947339195</v>
      </c>
      <c r="U376">
        <v>6</v>
      </c>
      <c r="V376" s="137">
        <f t="shared" si="35"/>
        <v>1</v>
      </c>
    </row>
    <row r="377" spans="1:22" x14ac:dyDescent="0.35">
      <c r="A377" s="67" t="s">
        <v>59</v>
      </c>
      <c r="B377" s="52">
        <v>0.48060958256548381</v>
      </c>
      <c r="C377" s="52">
        <v>5.043835616438356</v>
      </c>
      <c r="D377" s="50">
        <f t="shared" si="30"/>
        <v>0.70276092404753998</v>
      </c>
      <c r="E377" s="52">
        <f>IF(Table2[[#This Row],[Geo Distance]]=0,0,LOG(Table2[[#This Row],[Geo Distance]]))</f>
        <v>3.7707018228379927</v>
      </c>
      <c r="F377" s="52">
        <f>IF(Table2[[#This Row],[Target age]]=0,0,LOG(Table2[[#This Row],[Target age]]))</f>
        <v>1.3010299956639813</v>
      </c>
      <c r="G377" s="65">
        <v>2.3199999999999998</v>
      </c>
      <c r="H377" s="59">
        <f t="shared" si="31"/>
        <v>0.36548798489089962</v>
      </c>
      <c r="I377" s="53">
        <f>IF(Table2[[#This Row],[Culture]]=0,0,LOG(Table2[[#This Row],[Culture]]))</f>
        <v>2.12057393120585</v>
      </c>
      <c r="J377" s="53">
        <f>LOG(1+Table2[[#This Row],[S&amp;P]])</f>
        <v>0.22010808804005513</v>
      </c>
      <c r="K377" s="52">
        <v>1.255272505103306</v>
      </c>
      <c r="L377" s="52">
        <v>94.1</v>
      </c>
      <c r="M377" s="50">
        <f t="shared" si="32"/>
        <v>1.973589623427257</v>
      </c>
      <c r="N377" s="55">
        <v>32.200000000000003</v>
      </c>
      <c r="O377" s="62">
        <f t="shared" si="33"/>
        <v>1.507855871695831</v>
      </c>
      <c r="P377" s="56">
        <v>43.9397801796012</v>
      </c>
      <c r="Q377" s="63">
        <f t="shared" si="34"/>
        <v>1.6428578799166489</v>
      </c>
      <c r="R377" s="52">
        <f>LOG(Table2[[#This Row],[generalist]])</f>
        <v>3.17328398991646</v>
      </c>
      <c r="S377" s="52">
        <f>LOG(Table2[[#This Row],[country divers.]])</f>
        <v>3.8227937352435273</v>
      </c>
      <c r="T377" s="52">
        <f>LOG(Table2[[#This Row],[Firm Size]])</f>
        <v>8.1726029312098607</v>
      </c>
      <c r="U377">
        <v>4</v>
      </c>
      <c r="V377" s="137">
        <f t="shared" si="35"/>
        <v>1</v>
      </c>
    </row>
    <row r="378" spans="1:22" x14ac:dyDescent="0.35">
      <c r="A378" s="49" t="s">
        <v>59</v>
      </c>
      <c r="B378" s="50">
        <v>0.39120662601306921</v>
      </c>
      <c r="C378" s="50">
        <v>2.1698630136986301</v>
      </c>
      <c r="D378" s="50">
        <f t="shared" si="30"/>
        <v>0.3364323171330188</v>
      </c>
      <c r="E378" s="50">
        <f>IF(Table2[[#This Row],[Geo Distance]]=0,0,LOG(Table2[[#This Row],[Geo Distance]]))</f>
        <v>3.7707018228379927</v>
      </c>
      <c r="F378" s="50">
        <f>IF(Table2[[#This Row],[Target age]]=0,0,LOG(Table2[[#This Row],[Target age]]))</f>
        <v>1.0791812460476249</v>
      </c>
      <c r="G378" s="59">
        <v>2.3199999999999998</v>
      </c>
      <c r="H378" s="59">
        <f t="shared" si="31"/>
        <v>0.36548798489089962</v>
      </c>
      <c r="I378" s="60">
        <f>IF(Table2[[#This Row],[Culture]]=0,0,LOG(Table2[[#This Row],[Culture]]))</f>
        <v>2.12057393120585</v>
      </c>
      <c r="J378" s="60">
        <f>LOG(1+Table2[[#This Row],[S&amp;P]])</f>
        <v>8.2785370316450071E-2</v>
      </c>
      <c r="K378" s="50">
        <v>1.2041199826559248</v>
      </c>
      <c r="L378" s="50">
        <v>94.6</v>
      </c>
      <c r="M378" s="50">
        <f t="shared" si="32"/>
        <v>1.9758911364017928</v>
      </c>
      <c r="N378" s="62">
        <v>33.200000000000003</v>
      </c>
      <c r="O378" s="62">
        <f t="shared" si="33"/>
        <v>1.5211380837040362</v>
      </c>
      <c r="P378" s="63">
        <v>45.921427555082097</v>
      </c>
      <c r="Q378" s="63">
        <f t="shared" si="34"/>
        <v>1.6620153804713207</v>
      </c>
      <c r="R378" s="50">
        <f>LOG(Table2[[#This Row],[generalist]])</f>
        <v>3.17328398991646</v>
      </c>
      <c r="S378" s="50">
        <f>LOG(Table2[[#This Row],[country divers.]])</f>
        <v>3.8227937352435273</v>
      </c>
      <c r="T378" s="50">
        <f>LOG(Table2[[#This Row],[Firm Size]])</f>
        <v>7.8129133566428557</v>
      </c>
      <c r="U378">
        <v>8</v>
      </c>
      <c r="V378" s="137">
        <f t="shared" si="35"/>
        <v>1</v>
      </c>
    </row>
    <row r="379" spans="1:22" x14ac:dyDescent="0.35">
      <c r="A379" s="67" t="s">
        <v>59</v>
      </c>
      <c r="B379" s="52">
        <v>0.10720996964786837</v>
      </c>
      <c r="C379" s="52">
        <v>4.9726027397260273</v>
      </c>
      <c r="D379" s="50">
        <f t="shared" si="30"/>
        <v>0.69658376491565666</v>
      </c>
      <c r="E379" s="52">
        <f>IF(Table2[[#This Row],[Geo Distance]]=0,0,LOG(Table2[[#This Row],[Geo Distance]]))</f>
        <v>0</v>
      </c>
      <c r="F379" s="52">
        <f>IF(Table2[[#This Row],[Target age]]=0,0,LOG(Table2[[#This Row],[Target age]]))</f>
        <v>1.4623979978989561</v>
      </c>
      <c r="G379" s="65">
        <v>3.29</v>
      </c>
      <c r="H379" s="59">
        <f t="shared" si="31"/>
        <v>0.51719589794997434</v>
      </c>
      <c r="I379" s="53">
        <f>IF(Table2[[#This Row],[Culture]]=0,0,LOG(Table2[[#This Row],[Culture]]))</f>
        <v>0</v>
      </c>
      <c r="J379" s="53">
        <f>LOG(1+Table2[[#This Row],[S&amp;P]])</f>
        <v>0.22788670461367352</v>
      </c>
      <c r="K379" s="52">
        <v>1.3979400086720377</v>
      </c>
      <c r="L379" s="52">
        <v>94.9</v>
      </c>
      <c r="M379" s="50">
        <f t="shared" si="32"/>
        <v>1.9772662124272926</v>
      </c>
      <c r="N379" s="55">
        <v>32.299999999999997</v>
      </c>
      <c r="O379" s="62">
        <f t="shared" si="33"/>
        <v>1.5092025223311027</v>
      </c>
      <c r="P379" s="56">
        <v>47.560703662314701</v>
      </c>
      <c r="Q379" s="63">
        <f t="shared" si="34"/>
        <v>1.6772482713966061</v>
      </c>
      <c r="R379" s="52">
        <f>LOG(Table2[[#This Row],[generalist]])</f>
        <v>3.3833706119727633</v>
      </c>
      <c r="S379" s="52">
        <f>LOG(Table2[[#This Row],[country divers.]])</f>
        <v>3.9798077985646683</v>
      </c>
      <c r="T379" s="52">
        <f>LOG(Table2[[#This Row],[Firm Size]])</f>
        <v>8.3010299956639813</v>
      </c>
      <c r="U379">
        <v>6</v>
      </c>
      <c r="V379" s="137">
        <f t="shared" si="35"/>
        <v>0</v>
      </c>
    </row>
    <row r="380" spans="1:22" x14ac:dyDescent="0.35">
      <c r="A380" s="49" t="s">
        <v>59</v>
      </c>
      <c r="B380" s="50">
        <v>0.44944982812180406</v>
      </c>
      <c r="C380" s="50">
        <v>2.3452054794520549</v>
      </c>
      <c r="D380" s="50">
        <f t="shared" si="30"/>
        <v>0.37018090022067857</v>
      </c>
      <c r="E380" s="50">
        <f>IF(Table2[[#This Row],[Geo Distance]]=0,0,LOG(Table2[[#This Row],[Geo Distance]]))</f>
        <v>0</v>
      </c>
      <c r="F380" s="50">
        <f>IF(Table2[[#This Row],[Target age]]=0,0,LOG(Table2[[#This Row],[Target age]]))</f>
        <v>0.47712125471966244</v>
      </c>
      <c r="G380" s="59">
        <v>3.29</v>
      </c>
      <c r="H380" s="59">
        <f t="shared" si="31"/>
        <v>0.51719589794997434</v>
      </c>
      <c r="I380" s="60">
        <f>IF(Table2[[#This Row],[Culture]]=0,0,LOG(Table2[[#This Row],[Culture]]))</f>
        <v>0</v>
      </c>
      <c r="J380" s="60">
        <f>LOG(1+Table2[[#This Row],[S&amp;P]])</f>
        <v>-6.5501548756432285E-2</v>
      </c>
      <c r="K380" s="50">
        <v>1.2041199826559248</v>
      </c>
      <c r="L380" s="50">
        <v>85</v>
      </c>
      <c r="M380" s="50">
        <f t="shared" si="32"/>
        <v>1.9294189257142926</v>
      </c>
      <c r="N380" s="62">
        <v>32.6</v>
      </c>
      <c r="O380" s="62">
        <f t="shared" si="33"/>
        <v>1.5132176000679389</v>
      </c>
      <c r="P380" s="63">
        <v>36.544739309553499</v>
      </c>
      <c r="Q380" s="63">
        <f t="shared" si="34"/>
        <v>1.5628248682086028</v>
      </c>
      <c r="R380" s="50">
        <f>LOG(Table2[[#This Row],[generalist]])</f>
        <v>3.3833706119727633</v>
      </c>
      <c r="S380" s="50">
        <f>LOG(Table2[[#This Row],[country divers.]])</f>
        <v>3.9798077985646683</v>
      </c>
      <c r="T380" s="50">
        <f>LOG(Table2[[#This Row],[Firm Size]])</f>
        <v>7.7323937598229682</v>
      </c>
      <c r="U380">
        <v>5</v>
      </c>
      <c r="V380" s="137">
        <f t="shared" si="35"/>
        <v>0</v>
      </c>
    </row>
    <row r="381" spans="1:22" x14ac:dyDescent="0.35">
      <c r="A381" s="67" t="s">
        <v>59</v>
      </c>
      <c r="B381" s="52">
        <v>1.3542755076172064</v>
      </c>
      <c r="C381" s="52">
        <v>4.2986301369863016</v>
      </c>
      <c r="D381" s="50">
        <f t="shared" si="30"/>
        <v>0.63333007913046202</v>
      </c>
      <c r="E381" s="52">
        <f>IF(Table2[[#This Row],[Geo Distance]]=0,0,LOG(Table2[[#This Row],[Geo Distance]]))</f>
        <v>0</v>
      </c>
      <c r="F381" s="52">
        <f>IF(Table2[[#This Row],[Target age]]=0,0,LOG(Table2[[#This Row],[Target age]]))</f>
        <v>2.1335389083702174</v>
      </c>
      <c r="G381" s="65">
        <v>3.29</v>
      </c>
      <c r="H381" s="59">
        <f t="shared" si="31"/>
        <v>0.51719589794997434</v>
      </c>
      <c r="I381" s="53">
        <f>IF(Table2[[#This Row],[Culture]]=0,0,LOG(Table2[[#This Row],[Culture]]))</f>
        <v>0</v>
      </c>
      <c r="J381" s="53">
        <f>LOG(1+Table2[[#This Row],[S&amp;P]])</f>
        <v>-6.0480747381381476E-2</v>
      </c>
      <c r="K381" s="52">
        <v>1.1760912590556813</v>
      </c>
      <c r="L381" s="52">
        <v>85</v>
      </c>
      <c r="M381" s="50">
        <f t="shared" si="32"/>
        <v>1.9294189257142926</v>
      </c>
      <c r="N381" s="55">
        <v>32.9</v>
      </c>
      <c r="O381" s="62">
        <f t="shared" si="33"/>
        <v>1.5171958979499742</v>
      </c>
      <c r="P381" s="56">
        <v>35.433808146393098</v>
      </c>
      <c r="Q381" s="63">
        <f t="shared" si="34"/>
        <v>1.5494178293890581</v>
      </c>
      <c r="R381" s="52">
        <f>LOG(Table2[[#This Row],[generalist]])</f>
        <v>3.3833706119727633</v>
      </c>
      <c r="S381" s="52">
        <f>LOG(Table2[[#This Row],[country divers.]])</f>
        <v>3.9798077985646683</v>
      </c>
      <c r="T381" s="52">
        <f>LOG(Table2[[#This Row],[Firm Size]])</f>
        <v>7.3617278360175931</v>
      </c>
      <c r="U381">
        <v>5</v>
      </c>
      <c r="V381" s="137">
        <f t="shared" si="35"/>
        <v>0</v>
      </c>
    </row>
    <row r="382" spans="1:22" x14ac:dyDescent="0.35">
      <c r="A382" s="49" t="s">
        <v>59</v>
      </c>
      <c r="B382" s="50">
        <v>0.71933128698372661</v>
      </c>
      <c r="C382" s="50">
        <v>4.9424657534246572</v>
      </c>
      <c r="D382" s="50">
        <f t="shared" si="30"/>
        <v>0.69394366874944824</v>
      </c>
      <c r="E382" s="50">
        <f>IF(Table2[[#This Row],[Geo Distance]]=0,0,LOG(Table2[[#This Row],[Geo Distance]]))</f>
        <v>0</v>
      </c>
      <c r="F382" s="50">
        <f>IF(Table2[[#This Row],[Target age]]=0,0,LOG(Table2[[#This Row],[Target age]]))</f>
        <v>0</v>
      </c>
      <c r="G382" s="59">
        <v>3.29</v>
      </c>
      <c r="H382" s="59">
        <f t="shared" si="31"/>
        <v>0.51719589794997434</v>
      </c>
      <c r="I382" s="60">
        <f>IF(Table2[[#This Row],[Culture]]=0,0,LOG(Table2[[#This Row],[Culture]]))</f>
        <v>0</v>
      </c>
      <c r="J382" s="60">
        <f>LOG(1+Table2[[#This Row],[S&amp;P]])</f>
        <v>-9.6910013008056392E-2</v>
      </c>
      <c r="K382" s="50">
        <v>1.1760912590556813</v>
      </c>
      <c r="L382" s="50">
        <v>85</v>
      </c>
      <c r="M382" s="50">
        <f t="shared" si="32"/>
        <v>1.9294189257142926</v>
      </c>
      <c r="N382" s="62">
        <v>32.9</v>
      </c>
      <c r="O382" s="62">
        <f t="shared" si="33"/>
        <v>1.5171958979499742</v>
      </c>
      <c r="P382" s="63">
        <v>35.433808146393098</v>
      </c>
      <c r="Q382" s="63">
        <f t="shared" si="34"/>
        <v>1.5494178293890581</v>
      </c>
      <c r="R382" s="50">
        <f>LOG(Table2[[#This Row],[generalist]])</f>
        <v>3.3833706119727633</v>
      </c>
      <c r="S382" s="50">
        <f>LOG(Table2[[#This Row],[country divers.]])</f>
        <v>3.9798077985646683</v>
      </c>
      <c r="T382" s="50">
        <f>LOG(Table2[[#This Row],[Firm Size]])</f>
        <v>7.6989700043360187</v>
      </c>
      <c r="U382">
        <v>5</v>
      </c>
      <c r="V382" s="137">
        <f t="shared" si="35"/>
        <v>0</v>
      </c>
    </row>
    <row r="383" spans="1:22" x14ac:dyDescent="0.35">
      <c r="A383" s="67" t="s">
        <v>59</v>
      </c>
      <c r="B383" s="52">
        <v>5.5348637040989412E-2</v>
      </c>
      <c r="C383" s="52">
        <v>2.5232876712328767</v>
      </c>
      <c r="D383" s="50">
        <f t="shared" si="30"/>
        <v>0.40196676574037421</v>
      </c>
      <c r="E383" s="52">
        <f>IF(Table2[[#This Row],[Geo Distance]]=0,0,LOG(Table2[[#This Row],[Geo Distance]]))</f>
        <v>0</v>
      </c>
      <c r="F383" s="52">
        <f>IF(Table2[[#This Row],[Target age]]=0,0,LOG(Table2[[#This Row],[Target age]]))</f>
        <v>1.1760912590556813</v>
      </c>
      <c r="G383" s="65">
        <v>3.29</v>
      </c>
      <c r="H383" s="59">
        <f t="shared" si="31"/>
        <v>0.51719589794997434</v>
      </c>
      <c r="I383" s="53">
        <f>IF(Table2[[#This Row],[Culture]]=0,0,LOG(Table2[[#This Row],[Culture]]))</f>
        <v>0</v>
      </c>
      <c r="J383" s="53">
        <f>LOG(1+Table2[[#This Row],[S&amp;P]])</f>
        <v>-8.7739243075051505E-3</v>
      </c>
      <c r="K383" s="52">
        <v>1.1139433523068367</v>
      </c>
      <c r="L383" s="52">
        <v>85</v>
      </c>
      <c r="M383" s="50">
        <f t="shared" si="32"/>
        <v>1.9294189257142926</v>
      </c>
      <c r="N383" s="55">
        <v>31.5</v>
      </c>
      <c r="O383" s="62">
        <f t="shared" si="33"/>
        <v>1.4983105537896004</v>
      </c>
      <c r="P383" s="56">
        <v>35.516899069648296</v>
      </c>
      <c r="Q383" s="63">
        <f t="shared" si="34"/>
        <v>1.5504350411232082</v>
      </c>
      <c r="R383" s="52">
        <f>LOG(Table2[[#This Row],[generalist]])</f>
        <v>3.3833706119727633</v>
      </c>
      <c r="S383" s="52">
        <f>LOG(Table2[[#This Row],[country divers.]])</f>
        <v>3.9798077985646683</v>
      </c>
      <c r="T383" s="52">
        <f>LOG(Table2[[#This Row],[Firm Size]])</f>
        <v>7.3138672203691533</v>
      </c>
      <c r="U383">
        <v>5</v>
      </c>
      <c r="V383" s="137">
        <f t="shared" si="35"/>
        <v>0</v>
      </c>
    </row>
    <row r="384" spans="1:22" x14ac:dyDescent="0.35">
      <c r="A384" s="49" t="s">
        <v>59</v>
      </c>
      <c r="B384" s="50">
        <v>0.64781748188863753</v>
      </c>
      <c r="C384" s="50">
        <v>5.1068493150684935</v>
      </c>
      <c r="D384" s="50">
        <f t="shared" si="30"/>
        <v>0.70815304356148789</v>
      </c>
      <c r="E384" s="50">
        <f>IF(Table2[[#This Row],[Geo Distance]]=0,0,LOG(Table2[[#This Row],[Geo Distance]]))</f>
        <v>0</v>
      </c>
      <c r="F384" s="50">
        <f>IF(Table2[[#This Row],[Target age]]=0,0,LOG(Table2[[#This Row],[Target age]]))</f>
        <v>0</v>
      </c>
      <c r="G384" s="59">
        <v>3.29</v>
      </c>
      <c r="H384" s="59">
        <f t="shared" si="31"/>
        <v>0.51719589794997434</v>
      </c>
      <c r="I384" s="60">
        <f>IF(Table2[[#This Row],[Culture]]=0,0,LOG(Table2[[#This Row],[Culture]]))</f>
        <v>0</v>
      </c>
      <c r="J384" s="60">
        <f>LOG(1+Table2[[#This Row],[S&amp;P]])</f>
        <v>-7.0581074285707285E-2</v>
      </c>
      <c r="K384" s="50">
        <v>1.0791812460476249</v>
      </c>
      <c r="L384" s="50">
        <v>85</v>
      </c>
      <c r="M384" s="50">
        <f t="shared" si="32"/>
        <v>1.9294189257142926</v>
      </c>
      <c r="N384" s="62">
        <v>30</v>
      </c>
      <c r="O384" s="62">
        <f t="shared" si="33"/>
        <v>1.4771212547196624</v>
      </c>
      <c r="P384" s="63">
        <v>35.807885111275297</v>
      </c>
      <c r="Q384" s="63">
        <f t="shared" si="34"/>
        <v>1.5539786714272548</v>
      </c>
      <c r="R384" s="50">
        <f>LOG(Table2[[#This Row],[generalist]])</f>
        <v>3.3833706119727633</v>
      </c>
      <c r="S384" s="50">
        <f>LOG(Table2[[#This Row],[country divers.]])</f>
        <v>3.9798077985646683</v>
      </c>
      <c r="T384" s="50">
        <f>LOG(Table2[[#This Row],[Firm Size]])</f>
        <v>8.4456042032735983</v>
      </c>
      <c r="U384">
        <v>5</v>
      </c>
      <c r="V384" s="137">
        <f t="shared" si="35"/>
        <v>0</v>
      </c>
    </row>
    <row r="385" spans="1:22" x14ac:dyDescent="0.35">
      <c r="A385" s="67" t="s">
        <v>59</v>
      </c>
      <c r="B385" s="52">
        <v>6.8033885271827341E-2</v>
      </c>
      <c r="C385" s="52">
        <v>3.8684931506849316</v>
      </c>
      <c r="D385" s="50">
        <f t="shared" si="30"/>
        <v>0.58754183225931023</v>
      </c>
      <c r="E385" s="52">
        <f>IF(Table2[[#This Row],[Geo Distance]]=0,0,LOG(Table2[[#This Row],[Geo Distance]]))</f>
        <v>0</v>
      </c>
      <c r="F385" s="52">
        <f>IF(Table2[[#This Row],[Target age]]=0,0,LOG(Table2[[#This Row],[Target age]]))</f>
        <v>0</v>
      </c>
      <c r="G385" s="65">
        <v>3.29</v>
      </c>
      <c r="H385" s="59">
        <f t="shared" si="31"/>
        <v>0.51719589794997434</v>
      </c>
      <c r="I385" s="53">
        <f>IF(Table2[[#This Row],[Culture]]=0,0,LOG(Table2[[#This Row],[Culture]]))</f>
        <v>0</v>
      </c>
      <c r="J385" s="53">
        <f>LOG(1+Table2[[#This Row],[S&amp;P]])</f>
        <v>0.26481782300953643</v>
      </c>
      <c r="K385" s="52">
        <v>1.0413926851582251</v>
      </c>
      <c r="L385" s="52">
        <v>85</v>
      </c>
      <c r="M385" s="50">
        <f t="shared" si="32"/>
        <v>1.9294189257142926</v>
      </c>
      <c r="N385" s="55">
        <v>29.3</v>
      </c>
      <c r="O385" s="62">
        <f t="shared" si="33"/>
        <v>1.4668676203541096</v>
      </c>
      <c r="P385" s="56">
        <v>36.913126831903199</v>
      </c>
      <c r="Q385" s="63">
        <f t="shared" si="34"/>
        <v>1.5671808349091383</v>
      </c>
      <c r="R385" s="52">
        <f>LOG(Table2[[#This Row],[generalist]])</f>
        <v>3.3833706119727633</v>
      </c>
      <c r="S385" s="52">
        <f>LOG(Table2[[#This Row],[country divers.]])</f>
        <v>3.9798077985646683</v>
      </c>
      <c r="T385" s="52">
        <f>LOG(Table2[[#This Row],[Firm Size]])</f>
        <v>8.2329961103921541</v>
      </c>
      <c r="U385">
        <v>5</v>
      </c>
      <c r="V385" s="137">
        <f t="shared" si="35"/>
        <v>0</v>
      </c>
    </row>
    <row r="386" spans="1:22" x14ac:dyDescent="0.35">
      <c r="A386" s="49" t="s">
        <v>59</v>
      </c>
      <c r="B386" s="50">
        <v>1.0615180379192151</v>
      </c>
      <c r="C386" s="50">
        <v>3.8767123287671232</v>
      </c>
      <c r="D386" s="50">
        <f t="shared" si="30"/>
        <v>0.58846357540383432</v>
      </c>
      <c r="E386" s="50">
        <f>IF(Table2[[#This Row],[Geo Distance]]=0,0,LOG(Table2[[#This Row],[Geo Distance]]))</f>
        <v>0</v>
      </c>
      <c r="F386" s="50">
        <f>IF(Table2[[#This Row],[Target age]]=0,0,LOG(Table2[[#This Row],[Target age]]))</f>
        <v>1</v>
      </c>
      <c r="G386" s="59">
        <v>3.29</v>
      </c>
      <c r="H386" s="59">
        <f t="shared" si="31"/>
        <v>0.51719589794997434</v>
      </c>
      <c r="I386" s="60">
        <f>IF(Table2[[#This Row],[Culture]]=0,0,LOG(Table2[[#This Row],[Culture]]))</f>
        <v>0</v>
      </c>
      <c r="J386" s="60">
        <f>LOG(1+Table2[[#This Row],[S&amp;P]])</f>
        <v>0.16731733474817609</v>
      </c>
      <c r="K386" s="50">
        <v>1.146128035678238</v>
      </c>
      <c r="L386" s="50">
        <v>85</v>
      </c>
      <c r="M386" s="50">
        <f t="shared" si="32"/>
        <v>1.9294189257142926</v>
      </c>
      <c r="N386" s="62">
        <v>31.5</v>
      </c>
      <c r="O386" s="62">
        <f t="shared" si="33"/>
        <v>1.4983105537896004</v>
      </c>
      <c r="P386" s="63">
        <v>37.589394702761602</v>
      </c>
      <c r="Q386" s="63">
        <f t="shared" si="34"/>
        <v>1.575065332381355</v>
      </c>
      <c r="R386" s="50">
        <f>LOG(Table2[[#This Row],[generalist]])</f>
        <v>3.2910873360265542</v>
      </c>
      <c r="S386" s="50">
        <f>LOG(Table2[[#This Row],[country divers.]])</f>
        <v>3.8371101975492712</v>
      </c>
      <c r="T386" s="50">
        <f>LOG(Table2[[#This Row],[Firm Size]])</f>
        <v>7.3617278360175931</v>
      </c>
      <c r="U386">
        <v>3</v>
      </c>
      <c r="V386" s="137">
        <f t="shared" si="35"/>
        <v>0</v>
      </c>
    </row>
    <row r="387" spans="1:22" x14ac:dyDescent="0.35">
      <c r="A387" s="125" t="s">
        <v>59</v>
      </c>
      <c r="B387" s="52">
        <v>-1</v>
      </c>
      <c r="C387" s="52">
        <v>3.2</v>
      </c>
      <c r="D387" s="50">
        <f t="shared" ref="D387:D450" si="36">LOG(C387)</f>
        <v>0.50514997831990605</v>
      </c>
      <c r="E387" s="52">
        <f>IF(Table2[[#This Row],[Geo Distance]]=0,0,LOG(Table2[[#This Row],[Geo Distance]]))</f>
        <v>0</v>
      </c>
      <c r="F387" s="108">
        <f>IF(Table2[[#This Row],[Target age]]=0,0,LOG(Table2[[#This Row],[Target age]]))</f>
        <v>1</v>
      </c>
      <c r="G387" s="65">
        <v>3.29</v>
      </c>
      <c r="H387" s="59">
        <f t="shared" ref="H387:H450" si="37">LOG(G387)</f>
        <v>0.51719589794997434</v>
      </c>
      <c r="I387" s="53">
        <f>IF(Table2[[#This Row],[Culture]]=0,0,LOG(Table2[[#This Row],[Culture]]))</f>
        <v>0</v>
      </c>
      <c r="J387" s="126">
        <f>LOG(1+Table2[[#This Row],[S&amp;P]])</f>
        <v>0.16435285578443709</v>
      </c>
      <c r="K387" s="108">
        <v>1.3802112417116059</v>
      </c>
      <c r="L387" s="108">
        <v>94.7</v>
      </c>
      <c r="M387" s="50">
        <f t="shared" ref="M387:M450" si="38">LOG(L387)</f>
        <v>1.9763499790032735</v>
      </c>
      <c r="N387" s="127">
        <v>32.4</v>
      </c>
      <c r="O387" s="62">
        <f t="shared" ref="O387:O450" si="39">LOG(N387)</f>
        <v>1.510545010206612</v>
      </c>
      <c r="P387" s="128">
        <v>45.737088331856903</v>
      </c>
      <c r="Q387" s="63">
        <f t="shared" ref="Q387:Q450" si="40">LOG(P387)</f>
        <v>1.6602685135357675</v>
      </c>
      <c r="R387" s="108">
        <f>LOG(Table2[[#This Row],[generalist]])</f>
        <v>3.5347454529897258</v>
      </c>
      <c r="S387" s="108">
        <f>LOG(Table2[[#This Row],[country divers.]])</f>
        <v>3.9695495619878729</v>
      </c>
      <c r="T387" s="108">
        <f>LOG(Table2[[#This Row],[Firm Size]])</f>
        <v>7.6989700043360187</v>
      </c>
      <c r="U387">
        <v>5</v>
      </c>
      <c r="V387" s="137">
        <f t="shared" ref="V387:V450" si="41">IF(E387=0,0,1)</f>
        <v>0</v>
      </c>
    </row>
    <row r="388" spans="1:22" x14ac:dyDescent="0.35">
      <c r="A388" s="117" t="s">
        <v>59</v>
      </c>
      <c r="B388" s="50">
        <v>0.41497334797081797</v>
      </c>
      <c r="C388" s="50">
        <v>7.6</v>
      </c>
      <c r="D388" s="50">
        <f t="shared" si="36"/>
        <v>0.88081359228079137</v>
      </c>
      <c r="E388" s="50">
        <f>IF(Table2[[#This Row],[Geo Distance]]=0,0,LOG(Table2[[#This Row],[Geo Distance]]))</f>
        <v>0</v>
      </c>
      <c r="F388" s="106">
        <f>IF(Table2[[#This Row],[Target age]]=0,0,LOG(Table2[[#This Row],[Target age]]))</f>
        <v>1.1760912590556813</v>
      </c>
      <c r="G388" s="59">
        <v>3.29</v>
      </c>
      <c r="H388" s="59">
        <f t="shared" si="37"/>
        <v>0.51719589794997434</v>
      </c>
      <c r="I388" s="60">
        <f>IF(Table2[[#This Row],[Culture]]=0,0,LOG(Table2[[#This Row],[Culture]]))</f>
        <v>0</v>
      </c>
      <c r="J388" s="118">
        <f>LOG(1+Table2[[#This Row],[S&amp;P]])</f>
        <v>0.30963016742589877</v>
      </c>
      <c r="K388" s="106">
        <v>1.3617278360175928</v>
      </c>
      <c r="L388" s="106">
        <v>94.6</v>
      </c>
      <c r="M388" s="50">
        <f t="shared" si="38"/>
        <v>1.9758911364017928</v>
      </c>
      <c r="N388" s="119">
        <v>33.200000000000003</v>
      </c>
      <c r="O388" s="62">
        <f t="shared" si="39"/>
        <v>1.5211380837040362</v>
      </c>
      <c r="P388" s="120">
        <v>45.921427555082097</v>
      </c>
      <c r="Q388" s="63">
        <f t="shared" si="40"/>
        <v>1.6620153804713207</v>
      </c>
      <c r="R388" s="106">
        <f>LOG(Table2[[#This Row],[generalist]])</f>
        <v>3.5347454529897258</v>
      </c>
      <c r="S388" s="106">
        <f>LOG(Table2[[#This Row],[country divers.]])</f>
        <v>3.9695495619878729</v>
      </c>
      <c r="T388" s="106">
        <f>LOG(Table2[[#This Row],[Firm Size]])</f>
        <v>8.3324384599156058</v>
      </c>
      <c r="U388">
        <v>5</v>
      </c>
      <c r="V388" s="137">
        <f t="shared" si="41"/>
        <v>0</v>
      </c>
    </row>
    <row r="389" spans="1:22" x14ac:dyDescent="0.35">
      <c r="A389" s="125" t="s">
        <v>59</v>
      </c>
      <c r="B389" s="52">
        <v>0.15381486434452901</v>
      </c>
      <c r="C389" s="52">
        <v>3.0876712328767124</v>
      </c>
      <c r="D389" s="50">
        <f t="shared" si="36"/>
        <v>0.48963105158963183</v>
      </c>
      <c r="E389" s="52">
        <f>IF(Table2[[#This Row],[Geo Distance]]=0,0,LOG(Table2[[#This Row],[Geo Distance]]))</f>
        <v>0</v>
      </c>
      <c r="F389" s="108">
        <f>IF(Table2[[#This Row],[Target age]]=0,0,LOG(Table2[[#This Row],[Target age]]))</f>
        <v>0.77815125038364363</v>
      </c>
      <c r="G389" s="65">
        <v>3.29</v>
      </c>
      <c r="H389" s="59">
        <f t="shared" si="37"/>
        <v>0.51719589794997434</v>
      </c>
      <c r="I389" s="53">
        <f>IF(Table2[[#This Row],[Culture]]=0,0,LOG(Table2[[#This Row],[Culture]]))</f>
        <v>0</v>
      </c>
      <c r="J389" s="126">
        <f>LOG(1+Table2[[#This Row],[S&amp;P]])</f>
        <v>0.14921911265537988</v>
      </c>
      <c r="K389" s="108">
        <v>1.3617278360175928</v>
      </c>
      <c r="L389" s="108">
        <v>94.6</v>
      </c>
      <c r="M389" s="50">
        <f t="shared" si="38"/>
        <v>1.9758911364017928</v>
      </c>
      <c r="N389" s="127">
        <v>33.200000000000003</v>
      </c>
      <c r="O389" s="62">
        <f t="shared" si="39"/>
        <v>1.5211380837040362</v>
      </c>
      <c r="P389" s="128">
        <v>45.921427555082097</v>
      </c>
      <c r="Q389" s="63">
        <f t="shared" si="40"/>
        <v>1.6620153804713207</v>
      </c>
      <c r="R389" s="108">
        <f>LOG(Table2[[#This Row],[generalist]])</f>
        <v>3.5347454529897258</v>
      </c>
      <c r="S389" s="108">
        <f>LOG(Table2[[#This Row],[country divers.]])</f>
        <v>3.9695495619878729</v>
      </c>
      <c r="T389" s="108">
        <f>LOG(Table2[[#This Row],[Firm Size]])</f>
        <v>7</v>
      </c>
      <c r="U389">
        <v>5</v>
      </c>
      <c r="V389" s="137">
        <f t="shared" si="41"/>
        <v>0</v>
      </c>
    </row>
    <row r="390" spans="1:22" x14ac:dyDescent="0.35">
      <c r="A390" s="117" t="s">
        <v>59</v>
      </c>
      <c r="B390" s="50">
        <v>-0.43496105178239375</v>
      </c>
      <c r="C390" s="50">
        <v>5.6904109589041099</v>
      </c>
      <c r="D390" s="50">
        <f t="shared" si="36"/>
        <v>0.75514363207862445</v>
      </c>
      <c r="E390" s="50">
        <f>IF(Table2[[#This Row],[Geo Distance]]=0,0,LOG(Table2[[#This Row],[Geo Distance]]))</f>
        <v>0</v>
      </c>
      <c r="F390" s="106">
        <f>IF(Table2[[#This Row],[Target age]]=0,0,LOG(Table2[[#This Row],[Target age]]))</f>
        <v>1.3222192947339193</v>
      </c>
      <c r="G390" s="59">
        <v>3.29</v>
      </c>
      <c r="H390" s="59">
        <f t="shared" si="37"/>
        <v>0.51719589794997434</v>
      </c>
      <c r="I390" s="60">
        <f>IF(Table2[[#This Row],[Culture]]=0,0,LOG(Table2[[#This Row],[Culture]]))</f>
        <v>0</v>
      </c>
      <c r="J390" s="118">
        <f>LOG(1+Table2[[#This Row],[S&amp;P]])</f>
        <v>0.20951501454263097</v>
      </c>
      <c r="K390" s="106">
        <v>1.3424226808222062</v>
      </c>
      <c r="L390" s="106">
        <v>94.9</v>
      </c>
      <c r="M390" s="50">
        <f t="shared" si="38"/>
        <v>1.9772662124272926</v>
      </c>
      <c r="N390" s="119">
        <v>32.299999999999997</v>
      </c>
      <c r="O390" s="62">
        <f t="shared" si="39"/>
        <v>1.5092025223311027</v>
      </c>
      <c r="P390" s="120">
        <v>47.560703662314701</v>
      </c>
      <c r="Q390" s="63">
        <f t="shared" si="40"/>
        <v>1.6772482713966061</v>
      </c>
      <c r="R390" s="106">
        <f>LOG(Table2[[#This Row],[generalist]])</f>
        <v>3.5347454529897258</v>
      </c>
      <c r="S390" s="106">
        <f>LOG(Table2[[#This Row],[country divers.]])</f>
        <v>3.9695495619878729</v>
      </c>
      <c r="T390" s="106">
        <f>LOG(Table2[[#This Row],[Firm Size]])</f>
        <v>7.9790290961326695</v>
      </c>
      <c r="U390">
        <v>5</v>
      </c>
      <c r="V390" s="137">
        <f t="shared" si="41"/>
        <v>0</v>
      </c>
    </row>
    <row r="391" spans="1:22" x14ac:dyDescent="0.35">
      <c r="A391" s="67" t="s">
        <v>59</v>
      </c>
      <c r="B391" s="52">
        <v>0.2521295122717786</v>
      </c>
      <c r="C391" s="52">
        <v>5.5178082191780824</v>
      </c>
      <c r="D391" s="50">
        <f t="shared" si="36"/>
        <v>0.74176660176112452</v>
      </c>
      <c r="E391" s="52">
        <f>IF(Table2[[#This Row],[Geo Distance]]=0,0,LOG(Table2[[#This Row],[Geo Distance]]))</f>
        <v>0</v>
      </c>
      <c r="F391" s="52">
        <f>IF(Table2[[#This Row],[Target age]]=0,0,LOG(Table2[[#This Row],[Target age]]))</f>
        <v>1.0413926851582251</v>
      </c>
      <c r="G391" s="65">
        <v>3.29</v>
      </c>
      <c r="H391" s="59">
        <f t="shared" si="37"/>
        <v>0.51719589794997434</v>
      </c>
      <c r="I391" s="53">
        <f>IF(Table2[[#This Row],[Culture]]=0,0,LOG(Table2[[#This Row],[Culture]]))</f>
        <v>0</v>
      </c>
      <c r="J391" s="53">
        <f>LOG(1+Table2[[#This Row],[S&amp;P]])</f>
        <v>1.2837224705172217E-2</v>
      </c>
      <c r="K391" s="52">
        <v>1.2787536009528289</v>
      </c>
      <c r="L391" s="52">
        <v>91.2</v>
      </c>
      <c r="M391" s="50">
        <f t="shared" si="38"/>
        <v>1.9599948383284163</v>
      </c>
      <c r="N391" s="55">
        <v>33</v>
      </c>
      <c r="O391" s="62">
        <f t="shared" si="39"/>
        <v>1.5185139398778875</v>
      </c>
      <c r="P391" s="56">
        <v>40.902544500539101</v>
      </c>
      <c r="Q391" s="63">
        <f t="shared" si="40"/>
        <v>1.6117503258110162</v>
      </c>
      <c r="R391" s="108">
        <f>LOG(Table2[[#This Row],[generalist]])</f>
        <v>3.5347454529897258</v>
      </c>
      <c r="S391" s="108">
        <f>LOG(Table2[[#This Row],[country divers.]])</f>
        <v>3.9695495619878729</v>
      </c>
      <c r="T391" s="52">
        <f>LOG(Table2[[#This Row],[Firm Size]])</f>
        <v>8.0881360887005513</v>
      </c>
      <c r="U391">
        <v>2</v>
      </c>
      <c r="V391" s="137">
        <f t="shared" si="41"/>
        <v>0</v>
      </c>
    </row>
    <row r="392" spans="1:22" x14ac:dyDescent="0.35">
      <c r="A392" s="49" t="s">
        <v>59</v>
      </c>
      <c r="B392" s="50">
        <v>0.24303804868629444</v>
      </c>
      <c r="C392" s="50">
        <v>2.5397260273972604</v>
      </c>
      <c r="D392" s="50">
        <f t="shared" si="36"/>
        <v>0.40478686968802241</v>
      </c>
      <c r="E392" s="50">
        <f>IF(Table2[[#This Row],[Geo Distance]]=0,0,LOG(Table2[[#This Row],[Geo Distance]]))</f>
        <v>0</v>
      </c>
      <c r="F392" s="50">
        <f>IF(Table2[[#This Row],[Target age]]=0,0,LOG(Table2[[#This Row],[Target age]]))</f>
        <v>1.8573324964312685</v>
      </c>
      <c r="G392" s="59">
        <v>3.29</v>
      </c>
      <c r="H392" s="59">
        <f t="shared" si="37"/>
        <v>0.51719589794997434</v>
      </c>
      <c r="I392" s="60">
        <f>IF(Table2[[#This Row],[Culture]]=0,0,LOG(Table2[[#This Row],[Culture]]))</f>
        <v>0</v>
      </c>
      <c r="J392" s="60">
        <f>LOG(1+Table2[[#This Row],[S&amp;P]])</f>
        <v>-0.11918640771920865</v>
      </c>
      <c r="K392" s="50">
        <v>1.2787536009528289</v>
      </c>
      <c r="L392" s="50">
        <v>91.2</v>
      </c>
      <c r="M392" s="50">
        <f t="shared" si="38"/>
        <v>1.9599948383284163</v>
      </c>
      <c r="N392" s="62">
        <v>33</v>
      </c>
      <c r="O392" s="62">
        <f t="shared" si="39"/>
        <v>1.5185139398778875</v>
      </c>
      <c r="P392" s="63">
        <v>40.902544500539101</v>
      </c>
      <c r="Q392" s="63">
        <f t="shared" si="40"/>
        <v>1.6117503258110162</v>
      </c>
      <c r="R392" s="106">
        <f>LOG(Table2[[#This Row],[generalist]])</f>
        <v>3.5347454529897258</v>
      </c>
      <c r="S392" s="106">
        <f>LOG(Table2[[#This Row],[country divers.]])</f>
        <v>3.9695495619878729</v>
      </c>
      <c r="T392" s="50">
        <f>LOG(Table2[[#This Row],[Firm Size]])</f>
        <v>8.3010299956639813</v>
      </c>
      <c r="U392">
        <v>7</v>
      </c>
      <c r="V392" s="137">
        <f t="shared" si="41"/>
        <v>0</v>
      </c>
    </row>
    <row r="393" spans="1:22" x14ac:dyDescent="0.35">
      <c r="A393" s="67" t="s">
        <v>59</v>
      </c>
      <c r="B393" s="52">
        <v>0.18533191579059388</v>
      </c>
      <c r="C393" s="52">
        <v>4.8054794520547945</v>
      </c>
      <c r="D393" s="50">
        <f t="shared" si="36"/>
        <v>0.68173672457354706</v>
      </c>
      <c r="E393" s="52">
        <f>IF(Table2[[#This Row],[Geo Distance]]=0,0,LOG(Table2[[#This Row],[Geo Distance]]))</f>
        <v>0</v>
      </c>
      <c r="F393" s="52">
        <f>IF(Table2[[#This Row],[Target age]]=0,0,LOG(Table2[[#This Row],[Target age]]))</f>
        <v>0</v>
      </c>
      <c r="G393" s="65">
        <v>3.29</v>
      </c>
      <c r="H393" s="59">
        <f t="shared" si="37"/>
        <v>0.51719589794997434</v>
      </c>
      <c r="I393" s="53">
        <f>IF(Table2[[#This Row],[Culture]]=0,0,LOG(Table2[[#This Row],[Culture]]))</f>
        <v>0</v>
      </c>
      <c r="J393" s="53">
        <f>LOG(1+Table2[[#This Row],[S&amp;P]])</f>
        <v>-4.0958607678906384E-2</v>
      </c>
      <c r="K393" s="52">
        <v>1.2304489213782739</v>
      </c>
      <c r="L393" s="52">
        <v>85</v>
      </c>
      <c r="M393" s="50">
        <f t="shared" si="38"/>
        <v>1.9294189257142926</v>
      </c>
      <c r="N393" s="55">
        <v>32.700000000000003</v>
      </c>
      <c r="O393" s="62">
        <f t="shared" si="39"/>
        <v>1.5145477526602862</v>
      </c>
      <c r="P393" s="56">
        <v>41.286751495766303</v>
      </c>
      <c r="Q393" s="63">
        <f t="shared" si="40"/>
        <v>1.6158107132703448</v>
      </c>
      <c r="R393" s="108">
        <f>LOG(Table2[[#This Row],[generalist]])</f>
        <v>3.5347454529897258</v>
      </c>
      <c r="S393" s="108">
        <f>LOG(Table2[[#This Row],[country divers.]])</f>
        <v>3.9695495619878729</v>
      </c>
      <c r="T393" s="52">
        <f>LOG(Table2[[#This Row],[Firm Size]])</f>
        <v>8.0934216851622356</v>
      </c>
      <c r="U393">
        <v>5</v>
      </c>
      <c r="V393" s="137">
        <f t="shared" si="41"/>
        <v>0</v>
      </c>
    </row>
    <row r="394" spans="1:22" x14ac:dyDescent="0.35">
      <c r="A394" s="49" t="s">
        <v>59</v>
      </c>
      <c r="B394" s="50">
        <v>0.12493873660829993</v>
      </c>
      <c r="C394" s="50">
        <v>5.2136986301369861</v>
      </c>
      <c r="D394" s="50">
        <f t="shared" si="36"/>
        <v>0.71714592383054576</v>
      </c>
      <c r="E394" s="50">
        <f>IF(Table2[[#This Row],[Geo Distance]]=0,0,LOG(Table2[[#This Row],[Geo Distance]]))</f>
        <v>0</v>
      </c>
      <c r="F394" s="50">
        <f>IF(Table2[[#This Row],[Target age]]=0,0,LOG(Table2[[#This Row],[Target age]]))</f>
        <v>0</v>
      </c>
      <c r="G394" s="59">
        <v>3.29</v>
      </c>
      <c r="H394" s="59">
        <f t="shared" si="37"/>
        <v>0.51719589794997434</v>
      </c>
      <c r="I394" s="60">
        <f>IF(Table2[[#This Row],[Culture]]=0,0,LOG(Table2[[#This Row],[Culture]]))</f>
        <v>0</v>
      </c>
      <c r="J394" s="60">
        <f>LOG(1+Table2[[#This Row],[S&amp;P]])</f>
        <v>-2.2276394711152253E-2</v>
      </c>
      <c r="K394" s="50">
        <v>1.2041199826559248</v>
      </c>
      <c r="L394" s="50">
        <v>85</v>
      </c>
      <c r="M394" s="50">
        <f t="shared" si="38"/>
        <v>1.9294189257142926</v>
      </c>
      <c r="N394" s="62">
        <v>32.299999999999997</v>
      </c>
      <c r="O394" s="62">
        <f t="shared" si="39"/>
        <v>1.5092025223311027</v>
      </c>
      <c r="P394" s="63">
        <v>40.040400531970803</v>
      </c>
      <c r="Q394" s="63">
        <f t="shared" si="40"/>
        <v>1.6024984131617945</v>
      </c>
      <c r="R394" s="106">
        <f>LOG(Table2[[#This Row],[generalist]])</f>
        <v>3.5347454529897258</v>
      </c>
      <c r="S394" s="106">
        <f>LOG(Table2[[#This Row],[country divers.]])</f>
        <v>3.9695495619878729</v>
      </c>
      <c r="T394" s="50">
        <f>LOG(Table2[[#This Row],[Firm Size]])</f>
        <v>7.8750612633917001</v>
      </c>
      <c r="U394">
        <v>2</v>
      </c>
      <c r="V394" s="137">
        <f t="shared" si="41"/>
        <v>0</v>
      </c>
    </row>
    <row r="395" spans="1:22" x14ac:dyDescent="0.35">
      <c r="A395" s="67" t="s">
        <v>59</v>
      </c>
      <c r="B395" s="52">
        <v>0.5561298209815333</v>
      </c>
      <c r="C395" s="52">
        <v>6.0739726027397261</v>
      </c>
      <c r="D395" s="50">
        <f t="shared" si="36"/>
        <v>0.78347282865801349</v>
      </c>
      <c r="E395" s="52">
        <f>IF(Table2[[#This Row],[Geo Distance]]=0,0,LOG(Table2[[#This Row],[Geo Distance]]))</f>
        <v>0</v>
      </c>
      <c r="F395" s="52">
        <f>IF(Table2[[#This Row],[Target age]]=0,0,LOG(Table2[[#This Row],[Target age]]))</f>
        <v>0.47712125471966244</v>
      </c>
      <c r="G395" s="65">
        <v>3.29</v>
      </c>
      <c r="H395" s="59">
        <f t="shared" si="37"/>
        <v>0.51719589794997434</v>
      </c>
      <c r="I395" s="53">
        <f>IF(Table2[[#This Row],[Culture]]=0,0,LOG(Table2[[#This Row],[Culture]]))</f>
        <v>0</v>
      </c>
      <c r="J395" s="53">
        <f>LOG(1+Table2[[#This Row],[S&amp;P]])</f>
        <v>2.5305865264770262E-2</v>
      </c>
      <c r="K395" s="52">
        <v>1.1760912590556813</v>
      </c>
      <c r="L395" s="52">
        <v>85</v>
      </c>
      <c r="M395" s="50">
        <f t="shared" si="38"/>
        <v>1.9294189257142926</v>
      </c>
      <c r="N395" s="55">
        <v>31.3</v>
      </c>
      <c r="O395" s="62">
        <f t="shared" si="39"/>
        <v>1.4955443375464486</v>
      </c>
      <c r="P395" s="56">
        <v>38.7850112673514</v>
      </c>
      <c r="Q395" s="63">
        <f t="shared" si="40"/>
        <v>1.5886639219461918</v>
      </c>
      <c r="R395" s="108">
        <f>LOG(Table2[[#This Row],[generalist]])</f>
        <v>3.5347454529897258</v>
      </c>
      <c r="S395" s="108">
        <f>LOG(Table2[[#This Row],[country divers.]])</f>
        <v>3.9695495619878729</v>
      </c>
      <c r="T395" s="52">
        <f>LOG(Table2[[#This Row],[Firm Size]])</f>
        <v>8.3521825181113627</v>
      </c>
      <c r="U395">
        <v>7</v>
      </c>
      <c r="V395" s="137">
        <f t="shared" si="41"/>
        <v>0</v>
      </c>
    </row>
    <row r="396" spans="1:22" x14ac:dyDescent="0.35">
      <c r="A396" s="49" t="s">
        <v>59</v>
      </c>
      <c r="B396" s="50">
        <v>0.37473642885801178</v>
      </c>
      <c r="C396" s="50">
        <v>2.8410958904109589</v>
      </c>
      <c r="D396" s="50">
        <f t="shared" si="36"/>
        <v>0.45348589193256628</v>
      </c>
      <c r="E396" s="50">
        <f>IF(Table2[[#This Row],[Geo Distance]]=0,0,LOG(Table2[[#This Row],[Geo Distance]]))</f>
        <v>0</v>
      </c>
      <c r="F396" s="50">
        <f>IF(Table2[[#This Row],[Target age]]=0,0,LOG(Table2[[#This Row],[Target age]]))</f>
        <v>0.95424250943932487</v>
      </c>
      <c r="G396" s="59">
        <v>3.29</v>
      </c>
      <c r="H396" s="59">
        <f t="shared" si="37"/>
        <v>0.51719589794997434</v>
      </c>
      <c r="I396" s="60">
        <f>IF(Table2[[#This Row],[Culture]]=0,0,LOG(Table2[[#This Row],[Culture]]))</f>
        <v>0</v>
      </c>
      <c r="J396" s="60">
        <f>LOG(1+Table2[[#This Row],[S&amp;P]])</f>
        <v>0.14612803567823801</v>
      </c>
      <c r="K396" s="50">
        <v>1.1760912590556813</v>
      </c>
      <c r="L396" s="50">
        <v>85</v>
      </c>
      <c r="M396" s="50">
        <f t="shared" si="38"/>
        <v>1.9294189257142926</v>
      </c>
      <c r="N396" s="62">
        <v>31.3</v>
      </c>
      <c r="O396" s="62">
        <f t="shared" si="39"/>
        <v>1.4955443375464486</v>
      </c>
      <c r="P396" s="63">
        <v>38.7850112673514</v>
      </c>
      <c r="Q396" s="63">
        <f t="shared" si="40"/>
        <v>1.5886639219461918</v>
      </c>
      <c r="R396" s="106">
        <f>LOG(Table2[[#This Row],[generalist]])</f>
        <v>3.5347454529897258</v>
      </c>
      <c r="S396" s="106">
        <f>LOG(Table2[[#This Row],[country divers.]])</f>
        <v>3.9695495619878729</v>
      </c>
      <c r="T396" s="50">
        <f>LOG(Table2[[#This Row],[Firm Size]])</f>
        <v>7.5049327767740417</v>
      </c>
      <c r="U396">
        <v>5</v>
      </c>
      <c r="V396" s="137">
        <f t="shared" si="41"/>
        <v>0</v>
      </c>
    </row>
    <row r="397" spans="1:22" x14ac:dyDescent="0.35">
      <c r="A397" s="67" t="s">
        <v>59</v>
      </c>
      <c r="B397" s="52">
        <v>0.73282827159698616</v>
      </c>
      <c r="C397" s="52">
        <v>4.1452054794520548</v>
      </c>
      <c r="D397" s="50">
        <f t="shared" si="36"/>
        <v>0.61754606356671204</v>
      </c>
      <c r="E397" s="52">
        <f>IF(Table2[[#This Row],[Geo Distance]]=0,0,LOG(Table2[[#This Row],[Geo Distance]]))</f>
        <v>0</v>
      </c>
      <c r="F397" s="52">
        <f>IF(Table2[[#This Row],[Target age]]=0,0,LOG(Table2[[#This Row],[Target age]]))</f>
        <v>2.1643528557844371</v>
      </c>
      <c r="G397" s="65">
        <v>3.29</v>
      </c>
      <c r="H397" s="59">
        <f t="shared" si="37"/>
        <v>0.51719589794997434</v>
      </c>
      <c r="I397" s="53">
        <f>IF(Table2[[#This Row],[Culture]]=0,0,LOG(Table2[[#This Row],[Culture]]))</f>
        <v>0</v>
      </c>
      <c r="J397" s="53">
        <f>LOG(1+Table2[[#This Row],[S&amp;P]])</f>
        <v>-2.2276394711152253E-2</v>
      </c>
      <c r="K397" s="52">
        <v>1.0791812460476249</v>
      </c>
      <c r="L397" s="52">
        <v>85</v>
      </c>
      <c r="M397" s="50">
        <f t="shared" si="38"/>
        <v>1.9294189257142926</v>
      </c>
      <c r="N397" s="55">
        <v>32.9</v>
      </c>
      <c r="O397" s="62">
        <f t="shared" si="39"/>
        <v>1.5171958979499742</v>
      </c>
      <c r="P397" s="56">
        <v>35.433808146393098</v>
      </c>
      <c r="Q397" s="63">
        <f t="shared" si="40"/>
        <v>1.5494178293890581</v>
      </c>
      <c r="R397" s="108">
        <f>LOG(Table2[[#This Row],[generalist]])</f>
        <v>3.5347454529897258</v>
      </c>
      <c r="S397" s="108">
        <f>LOG(Table2[[#This Row],[country divers.]])</f>
        <v>3.9695495619878729</v>
      </c>
      <c r="T397" s="52">
        <f>LOG(Table2[[#This Row],[Firm Size]])</f>
        <v>8.2448953336918613</v>
      </c>
      <c r="U397">
        <v>5</v>
      </c>
      <c r="V397" s="137">
        <f t="shared" si="41"/>
        <v>0</v>
      </c>
    </row>
    <row r="398" spans="1:22" x14ac:dyDescent="0.35">
      <c r="A398" s="49" t="s">
        <v>59</v>
      </c>
      <c r="B398" s="50">
        <v>-0.68554703136658657</v>
      </c>
      <c r="C398" s="50">
        <v>4.1589041095890407</v>
      </c>
      <c r="D398" s="50">
        <f t="shared" si="36"/>
        <v>0.61897890710298675</v>
      </c>
      <c r="E398" s="50">
        <f>IF(Table2[[#This Row],[Geo Distance]]=0,0,LOG(Table2[[#This Row],[Geo Distance]]))</f>
        <v>0</v>
      </c>
      <c r="F398" s="50">
        <f>IF(Table2[[#This Row],[Target age]]=0,0,LOG(Table2[[#This Row],[Target age]]))</f>
        <v>0</v>
      </c>
      <c r="G398" s="59">
        <v>3.29</v>
      </c>
      <c r="H398" s="59">
        <f t="shared" si="37"/>
        <v>0.51719589794997434</v>
      </c>
      <c r="I398" s="60">
        <f>IF(Table2[[#This Row],[Culture]]=0,0,LOG(Table2[[#This Row],[Culture]]))</f>
        <v>0</v>
      </c>
      <c r="J398" s="60">
        <f>LOG(1+Table2[[#This Row],[S&amp;P]])</f>
        <v>-0.10790539730951958</v>
      </c>
      <c r="K398" s="50">
        <v>1.0413926851582251</v>
      </c>
      <c r="L398" s="50">
        <v>85</v>
      </c>
      <c r="M398" s="50">
        <f t="shared" si="38"/>
        <v>1.9294189257142926</v>
      </c>
      <c r="N398" s="62">
        <v>32.200000000000003</v>
      </c>
      <c r="O398" s="62">
        <f t="shared" si="39"/>
        <v>1.507855871695831</v>
      </c>
      <c r="P398" s="63">
        <v>35.326012114535303</v>
      </c>
      <c r="Q398" s="63">
        <f t="shared" si="40"/>
        <v>1.548094613534351</v>
      </c>
      <c r="R398" s="106">
        <f>LOG(Table2[[#This Row],[generalist]])</f>
        <v>3.5347454529897258</v>
      </c>
      <c r="S398" s="106">
        <f>LOG(Table2[[#This Row],[country divers.]])</f>
        <v>3.9695495619878729</v>
      </c>
      <c r="T398" s="50">
        <f>LOG(Table2[[#This Row],[Firm Size]])</f>
        <v>8.0472748673841803</v>
      </c>
      <c r="U398">
        <v>5</v>
      </c>
      <c r="V398" s="137">
        <f t="shared" si="41"/>
        <v>0</v>
      </c>
    </row>
    <row r="399" spans="1:22" x14ac:dyDescent="0.35">
      <c r="A399" s="67" t="s">
        <v>59</v>
      </c>
      <c r="B399" s="52">
        <v>0.51662979600333603</v>
      </c>
      <c r="C399" s="52">
        <v>2.1616438356164385</v>
      </c>
      <c r="D399" s="50">
        <f t="shared" si="36"/>
        <v>0.3347841387529456</v>
      </c>
      <c r="E399" s="52">
        <f>IF(Table2[[#This Row],[Geo Distance]]=0,0,LOG(Table2[[#This Row],[Geo Distance]]))</f>
        <v>0</v>
      </c>
      <c r="F399" s="52">
        <f>IF(Table2[[#This Row],[Target age]]=0,0,LOG(Table2[[#This Row],[Target age]]))</f>
        <v>0</v>
      </c>
      <c r="G399" s="65">
        <v>3.29</v>
      </c>
      <c r="H399" s="59">
        <f t="shared" si="37"/>
        <v>0.51719589794997434</v>
      </c>
      <c r="I399" s="53">
        <f>IF(Table2[[#This Row],[Culture]]=0,0,LOG(Table2[[#This Row],[Culture]]))</f>
        <v>0</v>
      </c>
      <c r="J399" s="53">
        <f>LOG(1+Table2[[#This Row],[S&amp;P]])</f>
        <v>0.11058971029924898</v>
      </c>
      <c r="K399" s="52">
        <v>1</v>
      </c>
      <c r="L399" s="52">
        <v>85</v>
      </c>
      <c r="M399" s="50">
        <f t="shared" si="38"/>
        <v>1.9294189257142926</v>
      </c>
      <c r="N399" s="55">
        <v>31.5</v>
      </c>
      <c r="O399" s="62">
        <f t="shared" si="39"/>
        <v>1.4983105537896004</v>
      </c>
      <c r="P399" s="56">
        <v>35.516899069648296</v>
      </c>
      <c r="Q399" s="63">
        <f t="shared" si="40"/>
        <v>1.5504350411232082</v>
      </c>
      <c r="R399" s="108">
        <f>LOG(Table2[[#This Row],[generalist]])</f>
        <v>3.5347454529897258</v>
      </c>
      <c r="S399" s="108">
        <f>LOG(Table2[[#This Row],[country divers.]])</f>
        <v>3.9695495619878729</v>
      </c>
      <c r="T399" s="52">
        <f>LOG(Table2[[#This Row],[Firm Size]])</f>
        <v>7.8450980400142569</v>
      </c>
      <c r="U399">
        <v>5</v>
      </c>
      <c r="V399" s="137">
        <f t="shared" si="41"/>
        <v>0</v>
      </c>
    </row>
    <row r="400" spans="1:22" x14ac:dyDescent="0.35">
      <c r="A400" s="49" t="s">
        <v>59</v>
      </c>
      <c r="B400" s="50">
        <v>0.29623111278221248</v>
      </c>
      <c r="C400" s="50">
        <v>1.8054794520547945</v>
      </c>
      <c r="D400" s="50">
        <f t="shared" si="36"/>
        <v>0.25659255013753518</v>
      </c>
      <c r="E400" s="50">
        <f>IF(Table2[[#This Row],[Geo Distance]]=0,0,LOG(Table2[[#This Row],[Geo Distance]]))</f>
        <v>0</v>
      </c>
      <c r="F400" s="50">
        <f>IF(Table2[[#This Row],[Target age]]=0,0,LOG(Table2[[#This Row],[Target age]]))</f>
        <v>0</v>
      </c>
      <c r="G400" s="59">
        <v>3.29</v>
      </c>
      <c r="H400" s="59">
        <f t="shared" si="37"/>
        <v>0.51719589794997434</v>
      </c>
      <c r="I400" s="60">
        <f>IF(Table2[[#This Row],[Culture]]=0,0,LOG(Table2[[#This Row],[Culture]]))</f>
        <v>0</v>
      </c>
      <c r="J400" s="60">
        <f>LOG(1+Table2[[#This Row],[S&amp;P]])</f>
        <v>0.21748394421390627</v>
      </c>
      <c r="K400" s="50">
        <v>0.95424250943932487</v>
      </c>
      <c r="L400" s="50">
        <v>85</v>
      </c>
      <c r="M400" s="50">
        <f t="shared" si="38"/>
        <v>1.9294189257142926</v>
      </c>
      <c r="N400" s="62">
        <v>30</v>
      </c>
      <c r="O400" s="62">
        <f t="shared" si="39"/>
        <v>1.4771212547196624</v>
      </c>
      <c r="P400" s="63">
        <v>35.807885111275297</v>
      </c>
      <c r="Q400" s="63">
        <f t="shared" si="40"/>
        <v>1.5539786714272548</v>
      </c>
      <c r="R400" s="106">
        <f>LOG(Table2[[#This Row],[generalist]])</f>
        <v>3.5347454529897258</v>
      </c>
      <c r="S400" s="106">
        <f>LOG(Table2[[#This Row],[country divers.]])</f>
        <v>3.9695495619878729</v>
      </c>
      <c r="T400" s="50">
        <f>LOG(Table2[[#This Row],[Firm Size]])</f>
        <v>7.9590413923210939</v>
      </c>
      <c r="U400">
        <v>5</v>
      </c>
      <c r="V400" s="137">
        <f t="shared" si="41"/>
        <v>0</v>
      </c>
    </row>
    <row r="401" spans="1:22" x14ac:dyDescent="0.35">
      <c r="A401" s="67" t="s">
        <v>59</v>
      </c>
      <c r="B401" s="52">
        <v>0.70560058323503183</v>
      </c>
      <c r="C401" s="52">
        <v>2.9205479452054797</v>
      </c>
      <c r="D401" s="50">
        <f t="shared" si="36"/>
        <v>0.46546434023407879</v>
      </c>
      <c r="E401" s="52">
        <f>IF(Table2[[#This Row],[Geo Distance]]=0,0,LOG(Table2[[#This Row],[Geo Distance]]))</f>
        <v>0</v>
      </c>
      <c r="F401" s="52">
        <f>IF(Table2[[#This Row],[Target age]]=0,0,LOG(Table2[[#This Row],[Target age]]))</f>
        <v>1.5185139398778875</v>
      </c>
      <c r="G401" s="65">
        <v>3.29</v>
      </c>
      <c r="H401" s="59">
        <f t="shared" si="37"/>
        <v>0.51719589794997434</v>
      </c>
      <c r="I401" s="53">
        <f>IF(Table2[[#This Row],[Culture]]=0,0,LOG(Table2[[#This Row],[Culture]]))</f>
        <v>0</v>
      </c>
      <c r="J401" s="53">
        <f>LOG(1+Table2[[#This Row],[S&amp;P]])</f>
        <v>0.21484384804769791</v>
      </c>
      <c r="K401" s="52">
        <v>0.84509804001425681</v>
      </c>
      <c r="L401" s="52">
        <v>100</v>
      </c>
      <c r="M401" s="50">
        <f t="shared" si="38"/>
        <v>2</v>
      </c>
      <c r="N401" s="55">
        <v>29.5</v>
      </c>
      <c r="O401" s="62">
        <f t="shared" si="39"/>
        <v>1.469822015978163</v>
      </c>
      <c r="P401" s="56">
        <v>38.538703610951003</v>
      </c>
      <c r="Q401" s="63">
        <f t="shared" si="40"/>
        <v>1.5858971014953607</v>
      </c>
      <c r="R401" s="108">
        <f>LOG(Table2[[#This Row],[generalist]])</f>
        <v>3.5347454529897258</v>
      </c>
      <c r="S401" s="108">
        <f>LOG(Table2[[#This Row],[country divers.]])</f>
        <v>3.9695495619878729</v>
      </c>
      <c r="T401" s="52">
        <f>LOG(Table2[[#This Row],[Firm Size]])</f>
        <v>7.5118833609788744</v>
      </c>
      <c r="U401">
        <v>4</v>
      </c>
      <c r="V401" s="137">
        <f t="shared" si="41"/>
        <v>0</v>
      </c>
    </row>
    <row r="402" spans="1:22" x14ac:dyDescent="0.35">
      <c r="A402" s="49" t="s">
        <v>59</v>
      </c>
      <c r="B402" s="50">
        <v>1.1725131174401462</v>
      </c>
      <c r="C402" s="50">
        <v>1.8575342465753424</v>
      </c>
      <c r="D402" s="50">
        <f t="shared" si="36"/>
        <v>0.26893682941058861</v>
      </c>
      <c r="E402" s="50">
        <f>IF(Table2[[#This Row],[Geo Distance]]=0,0,LOG(Table2[[#This Row],[Geo Distance]]))</f>
        <v>0</v>
      </c>
      <c r="F402" s="50">
        <f>IF(Table2[[#This Row],[Target age]]=0,0,LOG(Table2[[#This Row],[Target age]]))</f>
        <v>0.6020599913279624</v>
      </c>
      <c r="G402" s="59">
        <v>3.29</v>
      </c>
      <c r="H402" s="59">
        <f t="shared" si="37"/>
        <v>0.51719589794997434</v>
      </c>
      <c r="I402" s="60">
        <f>IF(Table2[[#This Row],[Culture]]=0,0,LOG(Table2[[#This Row],[Culture]]))</f>
        <v>0</v>
      </c>
      <c r="J402" s="60">
        <f>LOG(1+Table2[[#This Row],[S&amp;P]])</f>
        <v>0.20411998265592479</v>
      </c>
      <c r="K402" s="50">
        <v>1.0791812460476249</v>
      </c>
      <c r="L402" s="50">
        <v>89.8</v>
      </c>
      <c r="M402" s="50">
        <f t="shared" si="38"/>
        <v>1.9532763366673043</v>
      </c>
      <c r="N402" s="62">
        <v>31.2</v>
      </c>
      <c r="O402" s="62">
        <f t="shared" si="39"/>
        <v>1.4941545940184429</v>
      </c>
      <c r="P402" s="63">
        <v>47.307367293927399</v>
      </c>
      <c r="Q402" s="63">
        <f t="shared" si="40"/>
        <v>1.6749287797641836</v>
      </c>
      <c r="R402" s="50">
        <f>LOG(Table2[[#This Row],[generalist]])</f>
        <v>3.6410631547392063</v>
      </c>
      <c r="S402" s="50">
        <f>LOG(Table2[[#This Row],[country divers.]])</f>
        <v>3.7013464506591722</v>
      </c>
      <c r="T402" s="50">
        <f>LOG(Table2[[#This Row],[Firm Size]])</f>
        <v>6.8129133566428557</v>
      </c>
      <c r="U402">
        <v>4</v>
      </c>
      <c r="V402" s="137">
        <f t="shared" si="41"/>
        <v>0</v>
      </c>
    </row>
    <row r="403" spans="1:22" x14ac:dyDescent="0.35">
      <c r="A403" s="67" t="s">
        <v>59</v>
      </c>
      <c r="B403" s="52">
        <v>0.4130575410367584</v>
      </c>
      <c r="C403" s="52">
        <v>8.4328767123287669</v>
      </c>
      <c r="D403" s="50">
        <f t="shared" si="36"/>
        <v>0.92597575103898522</v>
      </c>
      <c r="E403" s="52">
        <f>IF(Table2[[#This Row],[Geo Distance]]=0,0,LOG(Table2[[#This Row],[Geo Distance]]))</f>
        <v>0</v>
      </c>
      <c r="F403" s="52">
        <f>IF(Table2[[#This Row],[Target age]]=0,0,LOG(Table2[[#This Row],[Target age]]))</f>
        <v>0.84509804001425681</v>
      </c>
      <c r="G403" s="65">
        <v>3.29</v>
      </c>
      <c r="H403" s="59">
        <f t="shared" si="37"/>
        <v>0.51719589794997434</v>
      </c>
      <c r="I403" s="53">
        <f>IF(Table2[[#This Row],[Culture]]=0,0,LOG(Table2[[#This Row],[Culture]]))</f>
        <v>0</v>
      </c>
      <c r="J403" s="53">
        <f>LOG(1+Table2[[#This Row],[S&amp;P]])</f>
        <v>0.14301480025409513</v>
      </c>
      <c r="K403" s="52">
        <v>0.90308998699194354</v>
      </c>
      <c r="L403" s="52">
        <v>85</v>
      </c>
      <c r="M403" s="50">
        <f t="shared" si="38"/>
        <v>1.9294189257142926</v>
      </c>
      <c r="N403" s="55">
        <v>32.700000000000003</v>
      </c>
      <c r="O403" s="62">
        <f t="shared" si="39"/>
        <v>1.5145477526602862</v>
      </c>
      <c r="P403" s="56">
        <v>41.286751495766303</v>
      </c>
      <c r="Q403" s="63">
        <f t="shared" si="40"/>
        <v>1.6158107132703448</v>
      </c>
      <c r="R403" s="52">
        <f>LOG(Table2[[#This Row],[generalist]])</f>
        <v>3.6410631547392063</v>
      </c>
      <c r="S403" s="52">
        <f>LOG(Table2[[#This Row],[country divers.]])</f>
        <v>3.7013464506591722</v>
      </c>
      <c r="T403" s="52">
        <f>LOG(Table2[[#This Row],[Firm Size]])</f>
        <v>7.2636360685881085</v>
      </c>
      <c r="U403">
        <v>9</v>
      </c>
      <c r="V403" s="137">
        <f t="shared" si="41"/>
        <v>0</v>
      </c>
    </row>
    <row r="404" spans="1:22" x14ac:dyDescent="0.35">
      <c r="A404" s="49" t="s">
        <v>59</v>
      </c>
      <c r="B404" s="50">
        <v>0.55208601636612376</v>
      </c>
      <c r="C404" s="50">
        <v>2.8356164383561642</v>
      </c>
      <c r="D404" s="50">
        <f t="shared" si="36"/>
        <v>0.45264748533646182</v>
      </c>
      <c r="E404" s="50">
        <f>IF(Table2[[#This Row],[Geo Distance]]=0,0,LOG(Table2[[#This Row],[Geo Distance]]))</f>
        <v>3.7707018228379927</v>
      </c>
      <c r="F404" s="50">
        <f>IF(Table2[[#This Row],[Target age]]=0,0,LOG(Table2[[#This Row],[Target age]]))</f>
        <v>1.7708520116421442</v>
      </c>
      <c r="G404" s="59">
        <v>2.3199999999999998</v>
      </c>
      <c r="H404" s="59">
        <f t="shared" si="37"/>
        <v>0.36548798489089962</v>
      </c>
      <c r="I404" s="60">
        <f>IF(Table2[[#This Row],[Culture]]=0,0,LOG(Table2[[#This Row],[Culture]]))</f>
        <v>2.12057393120585</v>
      </c>
      <c r="J404" s="60">
        <f>LOG(1+Table2[[#This Row],[S&amp;P]])</f>
        <v>8.2785370316450071E-2</v>
      </c>
      <c r="K404" s="50">
        <v>1.4623979978989561</v>
      </c>
      <c r="L404" s="50">
        <v>94.1</v>
      </c>
      <c r="M404" s="50">
        <f t="shared" si="38"/>
        <v>1.973589623427257</v>
      </c>
      <c r="N404" s="62">
        <v>32.200000000000003</v>
      </c>
      <c r="O404" s="62">
        <f t="shared" si="39"/>
        <v>1.507855871695831</v>
      </c>
      <c r="P404" s="63">
        <v>43.9397801796012</v>
      </c>
      <c r="Q404" s="63">
        <f t="shared" si="40"/>
        <v>1.6428578799166489</v>
      </c>
      <c r="R404" s="50">
        <f>LOG(Table2[[#This Row],[generalist]])</f>
        <v>3.20911860699078</v>
      </c>
      <c r="S404" s="50">
        <f>LOG(Table2[[#This Row],[country divers.]])</f>
        <v>3.5849986651910224</v>
      </c>
      <c r="T404" s="50">
        <f>LOG(Table2[[#This Row],[Firm Size]])</f>
        <v>8.3617278360175931</v>
      </c>
      <c r="U404">
        <v>2</v>
      </c>
      <c r="V404" s="137">
        <f t="shared" si="41"/>
        <v>1</v>
      </c>
    </row>
    <row r="405" spans="1:22" x14ac:dyDescent="0.35">
      <c r="A405" s="67" t="s">
        <v>59</v>
      </c>
      <c r="B405" s="52">
        <v>0.22622304257923964</v>
      </c>
      <c r="C405" s="52">
        <v>8.8520547945205479</v>
      </c>
      <c r="D405" s="50">
        <f t="shared" si="36"/>
        <v>0.94704409356116936</v>
      </c>
      <c r="E405" s="52">
        <f>IF(Table2[[#This Row],[Geo Distance]]=0,0,LOG(Table2[[#This Row],[Geo Distance]]))</f>
        <v>3.7707018228379927</v>
      </c>
      <c r="F405" s="52">
        <f>IF(Table2[[#This Row],[Target age]]=0,0,LOG(Table2[[#This Row],[Target age]]))</f>
        <v>1.6901960800285136</v>
      </c>
      <c r="G405" s="65">
        <v>2.3199999999999998</v>
      </c>
      <c r="H405" s="59">
        <f t="shared" si="37"/>
        <v>0.36548798489089962</v>
      </c>
      <c r="I405" s="53">
        <f>IF(Table2[[#This Row],[Culture]]=0,0,LOG(Table2[[#This Row],[Culture]]))</f>
        <v>2.12057393120585</v>
      </c>
      <c r="J405" s="53">
        <f>LOG(1+Table2[[#This Row],[S&amp;P]])</f>
        <v>0.15228834438305647</v>
      </c>
      <c r="K405" s="52">
        <v>1.3617278360175928</v>
      </c>
      <c r="L405" s="52">
        <v>91.2</v>
      </c>
      <c r="M405" s="50">
        <f t="shared" si="38"/>
        <v>1.9599948383284163</v>
      </c>
      <c r="N405" s="55">
        <v>33</v>
      </c>
      <c r="O405" s="62">
        <f t="shared" si="39"/>
        <v>1.5185139398778875</v>
      </c>
      <c r="P405" s="56">
        <v>40.902544500539101</v>
      </c>
      <c r="Q405" s="63">
        <f t="shared" si="40"/>
        <v>1.6117503258110162</v>
      </c>
      <c r="R405" s="52">
        <f>LOG(Table2[[#This Row],[generalist]])</f>
        <v>3.20911860699078</v>
      </c>
      <c r="S405" s="52">
        <f>LOG(Table2[[#This Row],[country divers.]])</f>
        <v>3.5849986651910224</v>
      </c>
      <c r="T405" s="52">
        <f>LOG(Table2[[#This Row],[Firm Size]])</f>
        <v>9.1139433523068369</v>
      </c>
      <c r="U405">
        <v>5</v>
      </c>
      <c r="V405" s="137">
        <f t="shared" si="41"/>
        <v>1</v>
      </c>
    </row>
    <row r="406" spans="1:22" x14ac:dyDescent="0.35">
      <c r="A406" s="49" t="s">
        <v>59</v>
      </c>
      <c r="B406" s="50">
        <v>0.28118837093097543</v>
      </c>
      <c r="C406" s="50">
        <v>8.3835616438356162</v>
      </c>
      <c r="D406" s="50">
        <f t="shared" si="36"/>
        <v>0.92342856202510526</v>
      </c>
      <c r="E406" s="50">
        <f>IF(Table2[[#This Row],[Geo Distance]]=0,0,LOG(Table2[[#This Row],[Geo Distance]]))</f>
        <v>3.7707018228379927</v>
      </c>
      <c r="F406" s="50">
        <f>IF(Table2[[#This Row],[Target age]]=0,0,LOG(Table2[[#This Row],[Target age]]))</f>
        <v>1.4313637641589874</v>
      </c>
      <c r="G406" s="59">
        <v>2.3199999999999998</v>
      </c>
      <c r="H406" s="59">
        <f t="shared" si="37"/>
        <v>0.36548798489089962</v>
      </c>
      <c r="I406" s="60">
        <f>IF(Table2[[#This Row],[Culture]]=0,0,LOG(Table2[[#This Row],[Culture]]))</f>
        <v>2.12057393120585</v>
      </c>
      <c r="J406" s="60">
        <f>LOG(1+Table2[[#This Row],[S&amp;P]])</f>
        <v>7.1882007306125359E-2</v>
      </c>
      <c r="K406" s="50">
        <v>1.5185139398778875</v>
      </c>
      <c r="L406" s="50">
        <v>85</v>
      </c>
      <c r="M406" s="50">
        <f t="shared" si="38"/>
        <v>1.9294189257142926</v>
      </c>
      <c r="N406" s="62">
        <v>31.5</v>
      </c>
      <c r="O406" s="62">
        <f t="shared" si="39"/>
        <v>1.4983105537896004</v>
      </c>
      <c r="P406" s="63">
        <v>35.516899069648296</v>
      </c>
      <c r="Q406" s="63">
        <f t="shared" si="40"/>
        <v>1.5504350411232082</v>
      </c>
      <c r="R406" s="50">
        <f>LOG(Table2[[#This Row],[generalist]])</f>
        <v>3.3211431557469533</v>
      </c>
      <c r="S406" s="50">
        <f>LOG(Table2[[#This Row],[country divers.]])</f>
        <v>3.9264410940169014</v>
      </c>
      <c r="T406" s="50">
        <f>LOG(Table2[[#This Row],[Firm Size]])</f>
        <v>7.6434526764861879</v>
      </c>
      <c r="U406">
        <v>1</v>
      </c>
      <c r="V406" s="137">
        <f t="shared" si="41"/>
        <v>1</v>
      </c>
    </row>
    <row r="407" spans="1:22" x14ac:dyDescent="0.35">
      <c r="A407" s="67" t="s">
        <v>59</v>
      </c>
      <c r="B407" s="52">
        <v>0.17274634950008499</v>
      </c>
      <c r="C407" s="52">
        <v>1.9561643835616438</v>
      </c>
      <c r="D407" s="50">
        <f t="shared" si="36"/>
        <v>0.29140534731969969</v>
      </c>
      <c r="E407" s="52">
        <f>IF(Table2[[#This Row],[Geo Distance]]=0,0,LOG(Table2[[#This Row],[Geo Distance]]))</f>
        <v>3.7707018228379927</v>
      </c>
      <c r="F407" s="52">
        <f>IF(Table2[[#This Row],[Target age]]=0,0,LOG(Table2[[#This Row],[Target age]]))</f>
        <v>1.3979400086720377</v>
      </c>
      <c r="G407" s="65">
        <v>2.3199999999999998</v>
      </c>
      <c r="H407" s="59">
        <f t="shared" si="37"/>
        <v>0.36548798489089962</v>
      </c>
      <c r="I407" s="53">
        <f>IF(Table2[[#This Row],[Culture]]=0,0,LOG(Table2[[#This Row],[Culture]]))</f>
        <v>2.12057393120585</v>
      </c>
      <c r="J407" s="53">
        <f>LOG(1+Table2[[#This Row],[S&amp;P]])</f>
        <v>7.554696139253074E-2</v>
      </c>
      <c r="K407" s="52">
        <v>1.255272505103306</v>
      </c>
      <c r="L407" s="52">
        <v>85</v>
      </c>
      <c r="M407" s="50">
        <f t="shared" si="38"/>
        <v>1.9294189257142926</v>
      </c>
      <c r="N407" s="55">
        <v>32.700000000000003</v>
      </c>
      <c r="O407" s="62">
        <f t="shared" si="39"/>
        <v>1.5145477526602862</v>
      </c>
      <c r="P407" s="56">
        <v>41.286751495766303</v>
      </c>
      <c r="Q407" s="63">
        <f t="shared" si="40"/>
        <v>1.6158107132703448</v>
      </c>
      <c r="R407" s="52">
        <f>LOG(Table2[[#This Row],[generalist]])</f>
        <v>3.3151244779693188</v>
      </c>
      <c r="S407" s="52">
        <f>LOG(Table2[[#This Row],[country divers.]])</f>
        <v>3.8475683751239629</v>
      </c>
      <c r="T407" s="52">
        <f>LOG(Table2[[#This Row],[Firm Size]])</f>
        <v>8.46686762035411</v>
      </c>
      <c r="U407">
        <v>5</v>
      </c>
      <c r="V407" s="137">
        <f t="shared" si="41"/>
        <v>1</v>
      </c>
    </row>
    <row r="408" spans="1:22" x14ac:dyDescent="0.35">
      <c r="A408" s="49" t="s">
        <v>59</v>
      </c>
      <c r="B408" s="50">
        <v>0.70626924307751826</v>
      </c>
      <c r="C408" s="50">
        <v>4.5041095890410956</v>
      </c>
      <c r="D408" s="50">
        <f t="shared" si="36"/>
        <v>0.65360894874755682</v>
      </c>
      <c r="E408" s="50">
        <f>IF(Table2[[#This Row],[Geo Distance]]=0,0,LOG(Table2[[#This Row],[Geo Distance]]))</f>
        <v>3.7707018228379927</v>
      </c>
      <c r="F408" s="50">
        <f>IF(Table2[[#This Row],[Target age]]=0,0,LOG(Table2[[#This Row],[Target age]]))</f>
        <v>0.6020599913279624</v>
      </c>
      <c r="G408" s="59">
        <v>2.3199999999999998</v>
      </c>
      <c r="H408" s="59">
        <f t="shared" si="37"/>
        <v>0.36548798489089962</v>
      </c>
      <c r="I408" s="60">
        <f>IF(Table2[[#This Row],[Culture]]=0,0,LOG(Table2[[#This Row],[Culture]]))</f>
        <v>2.12057393120585</v>
      </c>
      <c r="J408" s="60">
        <f>LOG(1+Table2[[#This Row],[S&amp;P]])</f>
        <v>0.20139712432045145</v>
      </c>
      <c r="K408" s="50">
        <v>1.4623979978989561</v>
      </c>
      <c r="L408" s="50">
        <v>94.1</v>
      </c>
      <c r="M408" s="50">
        <f t="shared" si="38"/>
        <v>1.973589623427257</v>
      </c>
      <c r="N408" s="62">
        <v>32.200000000000003</v>
      </c>
      <c r="O408" s="62">
        <f t="shared" si="39"/>
        <v>1.507855871695831</v>
      </c>
      <c r="P408" s="63">
        <v>43.9397801796012</v>
      </c>
      <c r="Q408" s="63">
        <f t="shared" si="40"/>
        <v>1.6428578799166489</v>
      </c>
      <c r="R408" s="50">
        <f>LOG(Table2[[#This Row],[generalist]])</f>
        <v>3.1134603742158462</v>
      </c>
      <c r="S408" s="50">
        <f>LOG(Table2[[#This Row],[country divers.]])</f>
        <v>3.7799945853255905</v>
      </c>
      <c r="T408" s="50">
        <f>LOG(Table2[[#This Row],[Firm Size]])</f>
        <v>8.0718820073061259</v>
      </c>
      <c r="U408">
        <v>5</v>
      </c>
      <c r="V408" s="137">
        <f t="shared" si="41"/>
        <v>1</v>
      </c>
    </row>
    <row r="409" spans="1:22" x14ac:dyDescent="0.35">
      <c r="A409" s="67" t="s">
        <v>59</v>
      </c>
      <c r="B409" s="52">
        <v>0.15065113272112132</v>
      </c>
      <c r="C409" s="52">
        <v>6.4438356164383563</v>
      </c>
      <c r="D409" s="50">
        <f t="shared" si="36"/>
        <v>0.80914445294762616</v>
      </c>
      <c r="E409" s="52">
        <f>IF(Table2[[#This Row],[Geo Distance]]=0,0,LOG(Table2[[#This Row],[Geo Distance]]))</f>
        <v>3.7707018228379927</v>
      </c>
      <c r="F409" s="52">
        <f>IF(Table2[[#This Row],[Target age]]=0,0,LOG(Table2[[#This Row],[Target age]]))</f>
        <v>1.0791812460476249</v>
      </c>
      <c r="G409" s="65">
        <v>2.3199999999999998</v>
      </c>
      <c r="H409" s="59">
        <f t="shared" si="37"/>
        <v>0.36548798489089962</v>
      </c>
      <c r="I409" s="53">
        <f>IF(Table2[[#This Row],[Culture]]=0,0,LOG(Table2[[#This Row],[Culture]]))</f>
        <v>2.12057393120585</v>
      </c>
      <c r="J409" s="53">
        <f>LOG(1+Table2[[#This Row],[S&amp;P]])</f>
        <v>6.8185861746161619E-2</v>
      </c>
      <c r="K409" s="52">
        <v>1.3617278360175928</v>
      </c>
      <c r="L409" s="52">
        <v>91.2</v>
      </c>
      <c r="M409" s="50">
        <f t="shared" si="38"/>
        <v>1.9599948383284163</v>
      </c>
      <c r="N409" s="55">
        <v>33</v>
      </c>
      <c r="O409" s="62">
        <f t="shared" si="39"/>
        <v>1.5185139398778875</v>
      </c>
      <c r="P409" s="56">
        <v>40.902544500539101</v>
      </c>
      <c r="Q409" s="63">
        <f t="shared" si="40"/>
        <v>1.6117503258110162</v>
      </c>
      <c r="R409" s="52">
        <f>LOG(Table2[[#This Row],[generalist]])</f>
        <v>3.1134603742158462</v>
      </c>
      <c r="S409" s="52">
        <f>LOG(Table2[[#This Row],[country divers.]])</f>
        <v>3.7799945853255905</v>
      </c>
      <c r="T409" s="52">
        <f>LOG(Table2[[#This Row],[Firm Size]])</f>
        <v>8.8356905714924263</v>
      </c>
      <c r="U409">
        <v>1</v>
      </c>
      <c r="V409" s="137">
        <f t="shared" si="41"/>
        <v>1</v>
      </c>
    </row>
    <row r="410" spans="1:22" x14ac:dyDescent="0.35">
      <c r="A410" s="49" t="s">
        <v>59</v>
      </c>
      <c r="B410" s="50">
        <v>0.4798189007546495</v>
      </c>
      <c r="C410" s="50">
        <v>4.9397260273972599</v>
      </c>
      <c r="D410" s="50">
        <f t="shared" si="36"/>
        <v>0.69370286226592726</v>
      </c>
      <c r="E410" s="50">
        <f>IF(Table2[[#This Row],[Geo Distance]]=0,0,LOG(Table2[[#This Row],[Geo Distance]]))</f>
        <v>3.7707018228379927</v>
      </c>
      <c r="F410" s="50">
        <f>IF(Table2[[#This Row],[Target age]]=0,0,LOG(Table2[[#This Row],[Target age]]))</f>
        <v>1.6434526764861874</v>
      </c>
      <c r="G410" s="59">
        <v>2.3199999999999998</v>
      </c>
      <c r="H410" s="59">
        <f t="shared" si="37"/>
        <v>0.36548798489089962</v>
      </c>
      <c r="I410" s="60">
        <f>IF(Table2[[#This Row],[Culture]]=0,0,LOG(Table2[[#This Row],[Culture]]))</f>
        <v>2.12057393120585</v>
      </c>
      <c r="J410" s="60">
        <f>LOG(1+Table2[[#This Row],[S&amp;P]])</f>
        <v>0.24797326636180664</v>
      </c>
      <c r="K410" s="50">
        <v>0.3010299956639812</v>
      </c>
      <c r="L410" s="50">
        <v>85</v>
      </c>
      <c r="M410" s="50">
        <f t="shared" si="38"/>
        <v>1.9294189257142926</v>
      </c>
      <c r="N410" s="62">
        <v>31.5</v>
      </c>
      <c r="O410" s="62">
        <f t="shared" si="39"/>
        <v>1.4983105537896004</v>
      </c>
      <c r="P410" s="63">
        <v>37.589394702761602</v>
      </c>
      <c r="Q410" s="63">
        <f t="shared" si="40"/>
        <v>1.575065332381355</v>
      </c>
      <c r="R410" s="50">
        <f>LOG(Table2[[#This Row],[generalist]])</f>
        <v>3.348721986001856</v>
      </c>
      <c r="S410" s="50">
        <f>LOG(Table2[[#This Row],[country divers.]])</f>
        <v>3.7520876635386311</v>
      </c>
      <c r="T410" s="50">
        <f>LOG(Table2[[#This Row],[Firm Size]])</f>
        <v>8.7503926704250539</v>
      </c>
      <c r="U410">
        <v>7</v>
      </c>
      <c r="V410" s="137">
        <f t="shared" si="41"/>
        <v>1</v>
      </c>
    </row>
    <row r="411" spans="1:22" x14ac:dyDescent="0.35">
      <c r="A411" s="67" t="s">
        <v>59</v>
      </c>
      <c r="B411" s="52">
        <v>0</v>
      </c>
      <c r="C411" s="52">
        <v>3.106849315068493</v>
      </c>
      <c r="D411" s="50">
        <f t="shared" si="36"/>
        <v>0.49232019010041306</v>
      </c>
      <c r="E411" s="52">
        <f>IF(Table2[[#This Row],[Geo Distance]]=0,0,LOG(Table2[[#This Row],[Geo Distance]]))</f>
        <v>3.7707018228379927</v>
      </c>
      <c r="F411" s="52">
        <f>IF(Table2[[#This Row],[Target age]]=0,0,LOG(Table2[[#This Row],[Target age]]))</f>
        <v>0.6020599913279624</v>
      </c>
      <c r="G411" s="65">
        <v>2.3199999999999998</v>
      </c>
      <c r="H411" s="59">
        <f t="shared" si="37"/>
        <v>0.36548798489089962</v>
      </c>
      <c r="I411" s="53">
        <f>IF(Table2[[#This Row],[Culture]]=0,0,LOG(Table2[[#This Row],[Culture]]))</f>
        <v>2.12057393120585</v>
      </c>
      <c r="J411" s="53">
        <f>LOG(1+Table2[[#This Row],[S&amp;P]])</f>
        <v>0.12057393120584989</v>
      </c>
      <c r="K411" s="52">
        <v>0.47712125471966244</v>
      </c>
      <c r="L411" s="52">
        <v>85</v>
      </c>
      <c r="M411" s="50">
        <f t="shared" si="38"/>
        <v>1.9294189257142926</v>
      </c>
      <c r="N411" s="55">
        <v>31.3</v>
      </c>
      <c r="O411" s="62">
        <f t="shared" si="39"/>
        <v>1.4955443375464486</v>
      </c>
      <c r="P411" s="56">
        <v>38.7850112673514</v>
      </c>
      <c r="Q411" s="63">
        <f t="shared" si="40"/>
        <v>1.5886639219461918</v>
      </c>
      <c r="R411" s="52">
        <f>LOG(Table2[[#This Row],[generalist]])</f>
        <v>3.4436974992327127</v>
      </c>
      <c r="S411" s="52">
        <f>LOG(Table2[[#This Row],[country divers.]])</f>
        <v>3.848103550153982</v>
      </c>
      <c r="T411" s="52">
        <f>LOG(Table2[[#This Row],[Firm Size]])</f>
        <v>8.5440680443502757</v>
      </c>
      <c r="U411">
        <v>5</v>
      </c>
      <c r="V411" s="137">
        <f t="shared" si="41"/>
        <v>1</v>
      </c>
    </row>
    <row r="412" spans="1:22" x14ac:dyDescent="0.35">
      <c r="A412" s="49" t="s">
        <v>59</v>
      </c>
      <c r="B412" s="50">
        <v>4.1392685158225077E-2</v>
      </c>
      <c r="C412" s="50">
        <v>4.6684931506849319</v>
      </c>
      <c r="D412" s="50">
        <f t="shared" si="36"/>
        <v>0.66917672597420663</v>
      </c>
      <c r="E412" s="50">
        <f>IF(Table2[[#This Row],[Geo Distance]]=0,0,LOG(Table2[[#This Row],[Geo Distance]]))</f>
        <v>3.7707018228379927</v>
      </c>
      <c r="F412" s="50">
        <f>IF(Table2[[#This Row],[Target age]]=0,0,LOG(Table2[[#This Row],[Target age]]))</f>
        <v>1</v>
      </c>
      <c r="G412" s="59">
        <v>2.3199999999999998</v>
      </c>
      <c r="H412" s="59">
        <f t="shared" si="37"/>
        <v>0.36548798489089962</v>
      </c>
      <c r="I412" s="60">
        <f>IF(Table2[[#This Row],[Culture]]=0,0,LOG(Table2[[#This Row],[Culture]]))</f>
        <v>2.12057393120585</v>
      </c>
      <c r="J412" s="60">
        <f>LOG(1+Table2[[#This Row],[S&amp;P]])</f>
        <v>0.22788670461367352</v>
      </c>
      <c r="K412" s="50">
        <v>1.3222192947339193</v>
      </c>
      <c r="L412" s="50">
        <v>94.1</v>
      </c>
      <c r="M412" s="50">
        <f t="shared" si="38"/>
        <v>1.973589623427257</v>
      </c>
      <c r="N412" s="62">
        <v>32.200000000000003</v>
      </c>
      <c r="O412" s="62">
        <f t="shared" si="39"/>
        <v>1.507855871695831</v>
      </c>
      <c r="P412" s="63">
        <v>43.9397801796012</v>
      </c>
      <c r="Q412" s="63">
        <f t="shared" si="40"/>
        <v>1.6428578799166489</v>
      </c>
      <c r="R412" s="50">
        <f>LOG(Table2[[#This Row],[generalist]])</f>
        <v>3.3265688034989269</v>
      </c>
      <c r="S412" s="50">
        <f>LOG(Table2[[#This Row],[country divers.]])</f>
        <v>3.64990043303693</v>
      </c>
      <c r="T412" s="50">
        <f>LOG(Table2[[#This Row],[Firm Size]])</f>
        <v>8.3010299956639813</v>
      </c>
      <c r="U412">
        <v>5</v>
      </c>
      <c r="V412" s="137">
        <f t="shared" si="41"/>
        <v>1</v>
      </c>
    </row>
    <row r="413" spans="1:22" x14ac:dyDescent="0.35">
      <c r="A413" s="67" t="s">
        <v>59</v>
      </c>
      <c r="B413" s="52">
        <v>-1</v>
      </c>
      <c r="C413" s="52">
        <v>3.7095890410958905</v>
      </c>
      <c r="D413" s="50">
        <f t="shared" si="36"/>
        <v>0.56932579989265086</v>
      </c>
      <c r="E413" s="52">
        <f>IF(Table2[[#This Row],[Geo Distance]]=0,0,LOG(Table2[[#This Row],[Geo Distance]]))</f>
        <v>3.7707018228379927</v>
      </c>
      <c r="F413" s="52">
        <f>IF(Table2[[#This Row],[Target age]]=0,0,LOG(Table2[[#This Row],[Target age]]))</f>
        <v>0.47712125471966244</v>
      </c>
      <c r="G413" s="65">
        <v>2.3199999999999998</v>
      </c>
      <c r="H413" s="59">
        <f t="shared" si="37"/>
        <v>0.36548798489089962</v>
      </c>
      <c r="I413" s="53">
        <f>IF(Table2[[#This Row],[Culture]]=0,0,LOG(Table2[[#This Row],[Culture]]))</f>
        <v>2.12057393120585</v>
      </c>
      <c r="J413" s="53">
        <f>LOG(1+Table2[[#This Row],[S&amp;P]])</f>
        <v>-1.322826573375516E-2</v>
      </c>
      <c r="K413" s="52">
        <v>1.1760912590556813</v>
      </c>
      <c r="L413" s="52">
        <v>91.2</v>
      </c>
      <c r="M413" s="50">
        <f t="shared" si="38"/>
        <v>1.9599948383284163</v>
      </c>
      <c r="N413" s="55">
        <v>33</v>
      </c>
      <c r="O413" s="62">
        <f t="shared" si="39"/>
        <v>1.5185139398778875</v>
      </c>
      <c r="P413" s="56">
        <v>40.902544500539101</v>
      </c>
      <c r="Q413" s="63">
        <f t="shared" si="40"/>
        <v>1.6117503258110162</v>
      </c>
      <c r="R413" s="52">
        <f>LOG(Table2[[#This Row],[generalist]])</f>
        <v>3.3265688034989269</v>
      </c>
      <c r="S413" s="52">
        <f>LOG(Table2[[#This Row],[country divers.]])</f>
        <v>3.64990043303693</v>
      </c>
      <c r="T413" s="52">
        <f>LOG(Table2[[#This Row],[Firm Size]])</f>
        <v>8.4574276929464851</v>
      </c>
      <c r="U413">
        <v>5</v>
      </c>
      <c r="V413" s="137">
        <f t="shared" si="41"/>
        <v>1</v>
      </c>
    </row>
    <row r="414" spans="1:22" x14ac:dyDescent="0.35">
      <c r="A414" s="49" t="s">
        <v>59</v>
      </c>
      <c r="B414" s="50">
        <v>0.51766733770540363</v>
      </c>
      <c r="C414" s="50">
        <v>1.8958904109589041</v>
      </c>
      <c r="D414" s="50">
        <f t="shared" si="36"/>
        <v>0.27781323000028307</v>
      </c>
      <c r="E414" s="50">
        <f>IF(Table2[[#This Row],[Geo Distance]]=0,0,LOG(Table2[[#This Row],[Geo Distance]]))</f>
        <v>3.7707018228379927</v>
      </c>
      <c r="F414" s="50">
        <f>IF(Table2[[#This Row],[Target age]]=0,0,LOG(Table2[[#This Row],[Target age]]))</f>
        <v>1.5440680443502757</v>
      </c>
      <c r="G414" s="59">
        <v>2.3199999999999998</v>
      </c>
      <c r="H414" s="59">
        <f t="shared" si="37"/>
        <v>0.36548798489089962</v>
      </c>
      <c r="I414" s="60">
        <f>IF(Table2[[#This Row],[Culture]]=0,0,LOG(Table2[[#This Row],[Culture]]))</f>
        <v>2.12057393120585</v>
      </c>
      <c r="J414" s="60">
        <f>LOG(1+Table2[[#This Row],[S&amp;P]])</f>
        <v>0.12057393120584989</v>
      </c>
      <c r="K414" s="50">
        <v>1.5440680443502757</v>
      </c>
      <c r="L414" s="50">
        <v>94.1</v>
      </c>
      <c r="M414" s="50">
        <f t="shared" si="38"/>
        <v>1.973589623427257</v>
      </c>
      <c r="N414" s="62">
        <v>32.200000000000003</v>
      </c>
      <c r="O414" s="62">
        <f t="shared" si="39"/>
        <v>1.507855871695831</v>
      </c>
      <c r="P414" s="63">
        <v>43.9397801796012</v>
      </c>
      <c r="Q414" s="63">
        <f t="shared" si="40"/>
        <v>1.6428578799166489</v>
      </c>
      <c r="R414" s="50">
        <f>LOG(Table2[[#This Row],[generalist]])</f>
        <v>3.3075667315086759</v>
      </c>
      <c r="S414" s="50">
        <f>LOG(Table2[[#This Row],[country divers.]])</f>
        <v>3.8308810053047755</v>
      </c>
      <c r="T414" s="50">
        <f>LOG(Table2[[#This Row],[Firm Size]])</f>
        <v>8.653212513775344</v>
      </c>
      <c r="U414">
        <v>7</v>
      </c>
      <c r="V414" s="137">
        <f t="shared" si="41"/>
        <v>1</v>
      </c>
    </row>
    <row r="415" spans="1:22" x14ac:dyDescent="0.35">
      <c r="A415" s="67" t="s">
        <v>59</v>
      </c>
      <c r="B415" s="52">
        <v>0.25440374209725269</v>
      </c>
      <c r="C415" s="52">
        <v>8.706849315068494</v>
      </c>
      <c r="D415" s="50">
        <f t="shared" si="36"/>
        <v>0.93986102841488606</v>
      </c>
      <c r="E415" s="52">
        <f>IF(Table2[[#This Row],[Geo Distance]]=0,0,LOG(Table2[[#This Row],[Geo Distance]]))</f>
        <v>3.7707018228379927</v>
      </c>
      <c r="F415" s="52">
        <f>IF(Table2[[#This Row],[Target age]]=0,0,LOG(Table2[[#This Row],[Target age]]))</f>
        <v>0</v>
      </c>
      <c r="G415" s="65">
        <v>2.3199999999999998</v>
      </c>
      <c r="H415" s="59">
        <f t="shared" si="37"/>
        <v>0.36548798489089962</v>
      </c>
      <c r="I415" s="53">
        <f>IF(Table2[[#This Row],[Culture]]=0,0,LOG(Table2[[#This Row],[Culture]]))</f>
        <v>2.12057393120585</v>
      </c>
      <c r="J415" s="53">
        <f>LOG(1+Table2[[#This Row],[S&amp;P]])</f>
        <v>0.41161970596323016</v>
      </c>
      <c r="K415" s="52">
        <v>1.4771212547196624</v>
      </c>
      <c r="L415" s="52">
        <v>90.8</v>
      </c>
      <c r="M415" s="50">
        <f t="shared" si="38"/>
        <v>1.958085848521085</v>
      </c>
      <c r="N415" s="55">
        <v>32.299999999999997</v>
      </c>
      <c r="O415" s="62">
        <f t="shared" si="39"/>
        <v>1.5092025223311027</v>
      </c>
      <c r="P415" s="56">
        <v>44.4007960521485</v>
      </c>
      <c r="Q415" s="63">
        <f t="shared" si="40"/>
        <v>1.6473907565550749</v>
      </c>
      <c r="R415" s="52">
        <f>LOG(Table2[[#This Row],[generalist]])</f>
        <v>3.3075667315086759</v>
      </c>
      <c r="S415" s="52">
        <f>LOG(Table2[[#This Row],[country divers.]])</f>
        <v>3.8308810053047755</v>
      </c>
      <c r="T415" s="52">
        <f>LOG(Table2[[#This Row],[Firm Size]])</f>
        <v>8.6201360549737576</v>
      </c>
      <c r="U415">
        <v>5</v>
      </c>
      <c r="V415" s="137">
        <f t="shared" si="41"/>
        <v>1</v>
      </c>
    </row>
    <row r="416" spans="1:22" x14ac:dyDescent="0.35">
      <c r="A416" s="49" t="s">
        <v>59</v>
      </c>
      <c r="B416" s="50">
        <v>0.4798189007546495</v>
      </c>
      <c r="C416" s="50">
        <v>4.9397260273972599</v>
      </c>
      <c r="D416" s="50">
        <f t="shared" si="36"/>
        <v>0.69370286226592726</v>
      </c>
      <c r="E416" s="50">
        <f>IF(Table2[[#This Row],[Geo Distance]]=0,0,LOG(Table2[[#This Row],[Geo Distance]]))</f>
        <v>3.7707018228379927</v>
      </c>
      <c r="F416" s="50">
        <f>IF(Table2[[#This Row],[Target age]]=0,0,LOG(Table2[[#This Row],[Target age]]))</f>
        <v>1.6434526764861874</v>
      </c>
      <c r="G416" s="59">
        <v>2.3199999999999998</v>
      </c>
      <c r="H416" s="59">
        <f t="shared" si="37"/>
        <v>0.36548798489089962</v>
      </c>
      <c r="I416" s="60">
        <f>IF(Table2[[#This Row],[Culture]]=0,0,LOG(Table2[[#This Row],[Culture]]))</f>
        <v>2.12057393120585</v>
      </c>
      <c r="J416" s="60">
        <f>LOG(1+Table2[[#This Row],[S&amp;P]])</f>
        <v>0.24797326636180664</v>
      </c>
      <c r="K416" s="50">
        <v>1.3802112417116059</v>
      </c>
      <c r="L416" s="50">
        <v>85</v>
      </c>
      <c r="M416" s="50">
        <f t="shared" si="38"/>
        <v>1.9294189257142926</v>
      </c>
      <c r="N416" s="62">
        <v>31.5</v>
      </c>
      <c r="O416" s="62">
        <f t="shared" si="39"/>
        <v>1.4983105537896004</v>
      </c>
      <c r="P416" s="63">
        <v>37.589394702761602</v>
      </c>
      <c r="Q416" s="63">
        <f t="shared" si="40"/>
        <v>1.575065332381355</v>
      </c>
      <c r="R416" s="50">
        <f>LOG(Table2[[#This Row],[generalist]])</f>
        <v>3.3075667315086759</v>
      </c>
      <c r="S416" s="50">
        <f>LOG(Table2[[#This Row],[country divers.]])</f>
        <v>3.8308810053047755</v>
      </c>
      <c r="T416" s="50">
        <f>LOG(Table2[[#This Row],[Firm Size]])</f>
        <v>8.7503926704250539</v>
      </c>
      <c r="U416">
        <v>7</v>
      </c>
      <c r="V416" s="137">
        <f t="shared" si="41"/>
        <v>1</v>
      </c>
    </row>
    <row r="417" spans="1:22" x14ac:dyDescent="0.35">
      <c r="A417" s="67" t="s">
        <v>59</v>
      </c>
      <c r="B417" s="52">
        <v>0.43805723188001999</v>
      </c>
      <c r="C417" s="52">
        <v>2.0301369863013701</v>
      </c>
      <c r="D417" s="50">
        <f t="shared" si="36"/>
        <v>0.30752534352285349</v>
      </c>
      <c r="E417" s="52">
        <f>IF(Table2[[#This Row],[Geo Distance]]=0,0,LOG(Table2[[#This Row],[Geo Distance]]))</f>
        <v>3.7707018228379927</v>
      </c>
      <c r="F417" s="52">
        <f>IF(Table2[[#This Row],[Target age]]=0,0,LOG(Table2[[#This Row],[Target age]]))</f>
        <v>1.3010299956639813</v>
      </c>
      <c r="G417" s="65">
        <v>2.3199999999999998</v>
      </c>
      <c r="H417" s="59">
        <f t="shared" si="37"/>
        <v>0.36548798489089962</v>
      </c>
      <c r="I417" s="53">
        <f>IF(Table2[[#This Row],[Culture]]=0,0,LOG(Table2[[#This Row],[Culture]]))</f>
        <v>2.12057393120585</v>
      </c>
      <c r="J417" s="53">
        <f>LOG(1+Table2[[#This Row],[S&amp;P]])</f>
        <v>4.3213737826425782E-3</v>
      </c>
      <c r="K417" s="52">
        <v>0.84509804001425681</v>
      </c>
      <c r="L417" s="52">
        <v>91.5</v>
      </c>
      <c r="M417" s="50">
        <f t="shared" si="38"/>
        <v>1.9614210940664483</v>
      </c>
      <c r="N417" s="55">
        <v>32.9</v>
      </c>
      <c r="O417" s="62">
        <f t="shared" si="39"/>
        <v>1.5171958979499742</v>
      </c>
      <c r="P417" s="56">
        <v>40.767390998852598</v>
      </c>
      <c r="Q417" s="63">
        <f t="shared" si="40"/>
        <v>1.6103129186864549</v>
      </c>
      <c r="R417" s="52">
        <f>LOG(Table2[[#This Row],[generalist]])</f>
        <v>3.754643753838935</v>
      </c>
      <c r="S417" s="52">
        <f>LOG(Table2[[#This Row],[country divers.]])</f>
        <v>3.8024607474309908</v>
      </c>
      <c r="T417" s="52">
        <f>LOG(Table2[[#This Row],[Firm Size]])</f>
        <v>7.7923916894982534</v>
      </c>
      <c r="U417">
        <v>9</v>
      </c>
      <c r="V417" s="137">
        <f t="shared" si="41"/>
        <v>1</v>
      </c>
    </row>
    <row r="418" spans="1:22" x14ac:dyDescent="0.35">
      <c r="A418" s="49" t="s">
        <v>59</v>
      </c>
      <c r="B418" s="50">
        <v>0.61729995788469927</v>
      </c>
      <c r="C418" s="50">
        <v>6.0739726027397261</v>
      </c>
      <c r="D418" s="50">
        <f t="shared" si="36"/>
        <v>0.78347282865801349</v>
      </c>
      <c r="E418" s="50">
        <f>IF(Table2[[#This Row],[Geo Distance]]=0,0,LOG(Table2[[#This Row],[Geo Distance]]))</f>
        <v>3.7707018228379927</v>
      </c>
      <c r="F418" s="50">
        <f>IF(Table2[[#This Row],[Target age]]=0,0,LOG(Table2[[#This Row],[Target age]]))</f>
        <v>0.84509804001425681</v>
      </c>
      <c r="G418" s="59">
        <v>2.3199999999999998</v>
      </c>
      <c r="H418" s="59">
        <f t="shared" si="37"/>
        <v>0.36548798489089962</v>
      </c>
      <c r="I418" s="60">
        <f>IF(Table2[[#This Row],[Culture]]=0,0,LOG(Table2[[#This Row],[Culture]]))</f>
        <v>2.12057393120585</v>
      </c>
      <c r="J418" s="60">
        <f>LOG(1+Table2[[#This Row],[S&amp;P]])</f>
        <v>8.6001717619175692E-3</v>
      </c>
      <c r="K418" s="50">
        <v>1.3802112417116059</v>
      </c>
      <c r="L418" s="50">
        <v>85</v>
      </c>
      <c r="M418" s="50">
        <f t="shared" si="38"/>
        <v>1.9294189257142926</v>
      </c>
      <c r="N418" s="62">
        <v>32.299999999999997</v>
      </c>
      <c r="O418" s="62">
        <f t="shared" si="39"/>
        <v>1.5092025223311027</v>
      </c>
      <c r="P418" s="63">
        <v>40.040400531970803</v>
      </c>
      <c r="Q418" s="63">
        <f t="shared" si="40"/>
        <v>1.6024984131617945</v>
      </c>
      <c r="R418" s="50">
        <f>LOG(Table2[[#This Row],[generalist]])</f>
        <v>3.3348710074773962</v>
      </c>
      <c r="S418" s="50">
        <f>LOG(Table2[[#This Row],[country divers.]])</f>
        <v>3.5008426709709495</v>
      </c>
      <c r="T418" s="50">
        <f>LOG(Table2[[#This Row],[Firm Size]])</f>
        <v>7.5862496388660423</v>
      </c>
      <c r="U418">
        <v>9</v>
      </c>
      <c r="V418" s="137">
        <f t="shared" si="41"/>
        <v>1</v>
      </c>
    </row>
    <row r="419" spans="1:22" x14ac:dyDescent="0.35">
      <c r="A419" s="67" t="s">
        <v>59</v>
      </c>
      <c r="B419" s="52">
        <v>0.56544893688616582</v>
      </c>
      <c r="C419" s="52">
        <v>4.6630136986301371</v>
      </c>
      <c r="D419" s="50">
        <f t="shared" si="36"/>
        <v>0.66866669129209433</v>
      </c>
      <c r="E419" s="52">
        <f>IF(Table2[[#This Row],[Geo Distance]]=0,0,LOG(Table2[[#This Row],[Geo Distance]]))</f>
        <v>3.7707018228379927</v>
      </c>
      <c r="F419" s="52">
        <f>IF(Table2[[#This Row],[Target age]]=0,0,LOG(Table2[[#This Row],[Target age]]))</f>
        <v>0.95424250943932487</v>
      </c>
      <c r="G419" s="65">
        <v>2.3199999999999998</v>
      </c>
      <c r="H419" s="59">
        <f t="shared" si="37"/>
        <v>0.36548798489089962</v>
      </c>
      <c r="I419" s="53">
        <f>IF(Table2[[#This Row],[Culture]]=0,0,LOG(Table2[[#This Row],[Culture]]))</f>
        <v>2.12057393120585</v>
      </c>
      <c r="J419" s="53">
        <f>LOG(1+Table2[[#This Row],[S&amp;P]])</f>
        <v>0.26245108973042947</v>
      </c>
      <c r="K419" s="52">
        <v>1.3617278360175928</v>
      </c>
      <c r="L419" s="52">
        <v>85</v>
      </c>
      <c r="M419" s="50">
        <f t="shared" si="38"/>
        <v>1.9294189257142926</v>
      </c>
      <c r="N419" s="55">
        <v>31.3</v>
      </c>
      <c r="O419" s="62">
        <f t="shared" si="39"/>
        <v>1.4955443375464486</v>
      </c>
      <c r="P419" s="56">
        <v>38.7850112673514</v>
      </c>
      <c r="Q419" s="63">
        <f t="shared" si="40"/>
        <v>1.5886639219461918</v>
      </c>
      <c r="R419" s="52">
        <f>LOG(Table2[[#This Row],[generalist]])</f>
        <v>3.3348710074773962</v>
      </c>
      <c r="S419" s="52">
        <f>LOG(Table2[[#This Row],[country divers.]])</f>
        <v>3.5008426709709495</v>
      </c>
      <c r="T419" s="52">
        <f>LOG(Table2[[#This Row],[Firm Size]])</f>
        <v>7.8692317197309762</v>
      </c>
      <c r="U419">
        <v>9</v>
      </c>
      <c r="V419" s="137">
        <f t="shared" si="41"/>
        <v>1</v>
      </c>
    </row>
    <row r="420" spans="1:22" x14ac:dyDescent="0.35">
      <c r="A420" s="49" t="s">
        <v>59</v>
      </c>
      <c r="B420" s="50">
        <v>-0.33175447161478105</v>
      </c>
      <c r="C420" s="50">
        <v>8.0273972602739718</v>
      </c>
      <c r="D420" s="50">
        <f t="shared" si="36"/>
        <v>0.9045747558976347</v>
      </c>
      <c r="E420" s="50">
        <f>IF(Table2[[#This Row],[Geo Distance]]=0,0,LOG(Table2[[#This Row],[Geo Distance]]))</f>
        <v>3.7707018228379927</v>
      </c>
      <c r="F420" s="50">
        <f>IF(Table2[[#This Row],[Target age]]=0,0,LOG(Table2[[#This Row],[Target age]]))</f>
        <v>0</v>
      </c>
      <c r="G420" s="59">
        <v>2.3199999999999998</v>
      </c>
      <c r="H420" s="59">
        <f t="shared" si="37"/>
        <v>0.36548798489089962</v>
      </c>
      <c r="I420" s="60">
        <f>IF(Table2[[#This Row],[Culture]]=0,0,LOG(Table2[[#This Row],[Culture]]))</f>
        <v>2.12057393120585</v>
      </c>
      <c r="J420" s="60">
        <f>LOG(1+Table2[[#This Row],[S&amp;P]])</f>
        <v>0.18752072083646307</v>
      </c>
      <c r="K420" s="50">
        <v>0.69897000433601886</v>
      </c>
      <c r="L420" s="50">
        <v>91.5</v>
      </c>
      <c r="M420" s="50">
        <f t="shared" si="38"/>
        <v>1.9614210940664483</v>
      </c>
      <c r="N420" s="62">
        <v>32.9</v>
      </c>
      <c r="O420" s="62">
        <f t="shared" si="39"/>
        <v>1.5171958979499742</v>
      </c>
      <c r="P420" s="63">
        <v>40.767390998852598</v>
      </c>
      <c r="Q420" s="63">
        <f t="shared" si="40"/>
        <v>1.6103129186864549</v>
      </c>
      <c r="R420" s="50">
        <f>LOG(Table2[[#This Row],[generalist]])</f>
        <v>3.3130759152940494</v>
      </c>
      <c r="S420" s="50">
        <f>LOG(Table2[[#This Row],[country divers.]])</f>
        <v>3.7917344972186413</v>
      </c>
      <c r="T420" s="50">
        <f>LOG(Table2[[#This Row],[Firm Size]])</f>
        <v>8.7566361082458481</v>
      </c>
      <c r="U420">
        <v>5</v>
      </c>
      <c r="V420" s="137">
        <f t="shared" si="41"/>
        <v>1</v>
      </c>
    </row>
    <row r="421" spans="1:22" x14ac:dyDescent="0.35">
      <c r="A421" s="67" t="s">
        <v>59</v>
      </c>
      <c r="B421" s="52">
        <v>0.33686842089268865</v>
      </c>
      <c r="C421" s="52">
        <v>0.9452054794520548</v>
      </c>
      <c r="D421" s="50">
        <f t="shared" si="36"/>
        <v>-2.4473769383200585E-2</v>
      </c>
      <c r="E421" s="52">
        <f>IF(Table2[[#This Row],[Geo Distance]]=0,0,LOG(Table2[[#This Row],[Geo Distance]]))</f>
        <v>3.7707018228379927</v>
      </c>
      <c r="F421" s="52">
        <f>IF(Table2[[#This Row],[Target age]]=0,0,LOG(Table2[[#This Row],[Target age]]))</f>
        <v>2.0791812460476247</v>
      </c>
      <c r="G421" s="65">
        <v>2.3199999999999998</v>
      </c>
      <c r="H421" s="59">
        <f t="shared" si="37"/>
        <v>0.36548798489089962</v>
      </c>
      <c r="I421" s="53">
        <f>IF(Table2[[#This Row],[Culture]]=0,0,LOG(Table2[[#This Row],[Culture]]))</f>
        <v>2.12057393120585</v>
      </c>
      <c r="J421" s="53">
        <f>LOG(1+Table2[[#This Row],[S&amp;P]])</f>
        <v>2.1189299069938092E-2</v>
      </c>
      <c r="K421" s="52">
        <v>0.47712125471966244</v>
      </c>
      <c r="L421" s="52">
        <v>85</v>
      </c>
      <c r="M421" s="50">
        <f t="shared" si="38"/>
        <v>1.9294189257142926</v>
      </c>
      <c r="N421" s="55">
        <v>32.299999999999997</v>
      </c>
      <c r="O421" s="62">
        <f t="shared" si="39"/>
        <v>1.5092025223311027</v>
      </c>
      <c r="P421" s="56">
        <v>40.040400531970803</v>
      </c>
      <c r="Q421" s="63">
        <f t="shared" si="40"/>
        <v>1.6024984131617945</v>
      </c>
      <c r="R421" s="52">
        <f>LOG(Table2[[#This Row],[generalist]])</f>
        <v>3.3130759152940494</v>
      </c>
      <c r="S421" s="52">
        <f>LOG(Table2[[#This Row],[country divers.]])</f>
        <v>3.7917344972186413</v>
      </c>
      <c r="T421" s="52">
        <f>LOG(Table2[[#This Row],[Firm Size]])</f>
        <v>7.9684829485539348</v>
      </c>
      <c r="U421">
        <v>5</v>
      </c>
      <c r="V421" s="137">
        <f t="shared" si="41"/>
        <v>1</v>
      </c>
    </row>
    <row r="422" spans="1:22" x14ac:dyDescent="0.35">
      <c r="A422" s="49" t="s">
        <v>59</v>
      </c>
      <c r="B422" s="50">
        <v>0.24667233334138849</v>
      </c>
      <c r="C422" s="50">
        <v>4.3506849315068497</v>
      </c>
      <c r="D422" s="50">
        <f t="shared" si="36"/>
        <v>0.63855763363460283</v>
      </c>
      <c r="E422" s="50">
        <f>IF(Table2[[#This Row],[Geo Distance]]=0,0,LOG(Table2[[#This Row],[Geo Distance]]))</f>
        <v>3.7707018228379927</v>
      </c>
      <c r="F422" s="50">
        <f>IF(Table2[[#This Row],[Target age]]=0,0,LOG(Table2[[#This Row],[Target age]]))</f>
        <v>1.3424226808222062</v>
      </c>
      <c r="G422" s="59">
        <v>2.3199999999999998</v>
      </c>
      <c r="H422" s="59">
        <f t="shared" si="37"/>
        <v>0.36548798489089962</v>
      </c>
      <c r="I422" s="60">
        <f>IF(Table2[[#This Row],[Culture]]=0,0,LOG(Table2[[#This Row],[Culture]]))</f>
        <v>2.12057393120585</v>
      </c>
      <c r="J422" s="60">
        <f>LOG(1+Table2[[#This Row],[S&amp;P]])</f>
        <v>4.1392685158225077E-2</v>
      </c>
      <c r="K422" s="50">
        <v>1.1760912590556813</v>
      </c>
      <c r="L422" s="50">
        <v>90.8</v>
      </c>
      <c r="M422" s="50">
        <f t="shared" si="38"/>
        <v>1.958085848521085</v>
      </c>
      <c r="N422" s="62">
        <v>32.299999999999997</v>
      </c>
      <c r="O422" s="62">
        <f t="shared" si="39"/>
        <v>1.5092025223311027</v>
      </c>
      <c r="P422" s="63">
        <v>44.4007960521485</v>
      </c>
      <c r="Q422" s="63">
        <f t="shared" si="40"/>
        <v>1.6473907565550749</v>
      </c>
      <c r="R422" s="50">
        <f>LOG(Table2[[#This Row],[generalist]])</f>
        <v>3.5314789170422549</v>
      </c>
      <c r="S422" s="50">
        <f>LOG(Table2[[#This Row],[country divers.]])</f>
        <v>3.9474994335880176</v>
      </c>
      <c r="T422" s="50">
        <f>LOG(Table2[[#This Row],[Firm Size]])</f>
        <v>8.2304489213782741</v>
      </c>
      <c r="U422">
        <v>9</v>
      </c>
      <c r="V422" s="137">
        <f t="shared" si="41"/>
        <v>1</v>
      </c>
    </row>
    <row r="423" spans="1:22" x14ac:dyDescent="0.35">
      <c r="A423" s="67" t="s">
        <v>59</v>
      </c>
      <c r="B423" s="52">
        <v>0.17197168911921767</v>
      </c>
      <c r="C423" s="52">
        <v>3.7095890410958905</v>
      </c>
      <c r="D423" s="50">
        <f t="shared" si="36"/>
        <v>0.56932579989265086</v>
      </c>
      <c r="E423" s="52">
        <f>IF(Table2[[#This Row],[Geo Distance]]=0,0,LOG(Table2[[#This Row],[Geo Distance]]))</f>
        <v>0</v>
      </c>
      <c r="F423" s="52">
        <f>IF(Table2[[#This Row],[Target age]]=0,0,LOG(Table2[[#This Row],[Target age]]))</f>
        <v>1.1139433523068367</v>
      </c>
      <c r="G423" s="65">
        <v>3.29</v>
      </c>
      <c r="H423" s="59">
        <f t="shared" si="37"/>
        <v>0.51719589794997434</v>
      </c>
      <c r="I423" s="53">
        <f>IF(Table2[[#This Row],[Culture]]=0,0,LOG(Table2[[#This Row],[Culture]]))</f>
        <v>0</v>
      </c>
      <c r="J423" s="53">
        <f>LOG(1+Table2[[#This Row],[S&amp;P]])</f>
        <v>0.22788670461367352</v>
      </c>
      <c r="K423" s="52">
        <v>1.4771212547196624</v>
      </c>
      <c r="L423" s="52">
        <v>94.6</v>
      </c>
      <c r="M423" s="50">
        <f t="shared" si="38"/>
        <v>1.9758911364017928</v>
      </c>
      <c r="N423" s="55">
        <v>33.200000000000003</v>
      </c>
      <c r="O423" s="62">
        <f t="shared" si="39"/>
        <v>1.5211380837040362</v>
      </c>
      <c r="P423" s="56">
        <v>45.921427555082097</v>
      </c>
      <c r="Q423" s="63">
        <f t="shared" si="40"/>
        <v>1.6620153804713207</v>
      </c>
      <c r="R423" s="52">
        <f>LOG(Table2[[#This Row],[generalist]])</f>
        <v>3.2224645332922388</v>
      </c>
      <c r="S423" s="52">
        <f>LOG(Table2[[#This Row],[country divers.]])</f>
        <v>3.707126713924402</v>
      </c>
      <c r="T423" s="52">
        <f>LOG(Table2[[#This Row],[Firm Size]])</f>
        <v>8.6618126855372619</v>
      </c>
      <c r="U423">
        <v>5</v>
      </c>
      <c r="V423" s="137">
        <f t="shared" si="41"/>
        <v>0</v>
      </c>
    </row>
    <row r="424" spans="1:22" x14ac:dyDescent="0.35">
      <c r="A424" s="49" t="s">
        <v>59</v>
      </c>
      <c r="B424" s="50">
        <v>-0.46757593681343196</v>
      </c>
      <c r="C424" s="50">
        <v>6.1013698630136988</v>
      </c>
      <c r="D424" s="50">
        <f t="shared" si="36"/>
        <v>0.78542735257756346</v>
      </c>
      <c r="E424" s="50">
        <f>IF(Table2[[#This Row],[Geo Distance]]=0,0,LOG(Table2[[#This Row],[Geo Distance]]))</f>
        <v>0</v>
      </c>
      <c r="F424" s="50">
        <f>IF(Table2[[#This Row],[Target age]]=0,0,LOG(Table2[[#This Row],[Target age]]))</f>
        <v>0</v>
      </c>
      <c r="G424" s="59">
        <v>3.29</v>
      </c>
      <c r="H424" s="59">
        <f t="shared" si="37"/>
        <v>0.51719589794997434</v>
      </c>
      <c r="I424" s="60">
        <f>IF(Table2[[#This Row],[Culture]]=0,0,LOG(Table2[[#This Row],[Culture]]))</f>
        <v>0</v>
      </c>
      <c r="J424" s="60">
        <f>LOG(1+Table2[[#This Row],[S&amp;P]])</f>
        <v>-4.3648054024500883E-3</v>
      </c>
      <c r="K424" s="50">
        <v>1.2304489213782739</v>
      </c>
      <c r="L424" s="50">
        <v>85</v>
      </c>
      <c r="M424" s="50">
        <f t="shared" si="38"/>
        <v>1.9294189257142926</v>
      </c>
      <c r="N424" s="62">
        <v>31.5</v>
      </c>
      <c r="O424" s="62">
        <f t="shared" si="39"/>
        <v>1.4983105537896004</v>
      </c>
      <c r="P424" s="63">
        <v>35.516899069648296</v>
      </c>
      <c r="Q424" s="63">
        <f t="shared" si="40"/>
        <v>1.5504350411232082</v>
      </c>
      <c r="R424" s="50">
        <f>LOG(Table2[[#This Row],[generalist]])</f>
        <v>3.2224645332922388</v>
      </c>
      <c r="S424" s="50">
        <f>LOG(Table2[[#This Row],[country divers.]])</f>
        <v>3.707126713924402</v>
      </c>
      <c r="T424" s="50">
        <f>LOG(Table2[[#This Row],[Firm Size]])</f>
        <v>8.1303337684950066</v>
      </c>
      <c r="U424">
        <v>1</v>
      </c>
      <c r="V424" s="137">
        <f t="shared" si="41"/>
        <v>0</v>
      </c>
    </row>
    <row r="425" spans="1:22" x14ac:dyDescent="0.35">
      <c r="A425" s="67" t="s">
        <v>59</v>
      </c>
      <c r="B425" s="52">
        <v>-0.3953586931471641</v>
      </c>
      <c r="C425" s="52">
        <v>4.9616438356164387</v>
      </c>
      <c r="D425" s="50">
        <f t="shared" si="36"/>
        <v>0.69562558585758372</v>
      </c>
      <c r="E425" s="52">
        <f>IF(Table2[[#This Row],[Geo Distance]]=0,0,LOG(Table2[[#This Row],[Geo Distance]]))</f>
        <v>0</v>
      </c>
      <c r="F425" s="52">
        <f>IF(Table2[[#This Row],[Target age]]=0,0,LOG(Table2[[#This Row],[Target age]]))</f>
        <v>0</v>
      </c>
      <c r="G425" s="65">
        <v>3.29</v>
      </c>
      <c r="H425" s="59">
        <f t="shared" si="37"/>
        <v>0.51719589794997434</v>
      </c>
      <c r="I425" s="53">
        <f>IF(Table2[[#This Row],[Culture]]=0,0,LOG(Table2[[#This Row],[Culture]]))</f>
        <v>0</v>
      </c>
      <c r="J425" s="53">
        <f>LOG(1+Table2[[#This Row],[S&amp;P]])</f>
        <v>-2.6872146400301365E-2</v>
      </c>
      <c r="K425" s="52">
        <v>1.2041199826559248</v>
      </c>
      <c r="L425" s="52">
        <v>85</v>
      </c>
      <c r="M425" s="50">
        <f t="shared" si="38"/>
        <v>1.9294189257142926</v>
      </c>
      <c r="N425" s="55">
        <v>30</v>
      </c>
      <c r="O425" s="62">
        <f t="shared" si="39"/>
        <v>1.4771212547196624</v>
      </c>
      <c r="P425" s="56">
        <v>35.807885111275297</v>
      </c>
      <c r="Q425" s="63">
        <f t="shared" si="40"/>
        <v>1.5539786714272548</v>
      </c>
      <c r="R425" s="52">
        <f>LOG(Table2[[#This Row],[generalist]])</f>
        <v>3.2224645332922388</v>
      </c>
      <c r="S425" s="52">
        <f>LOG(Table2[[#This Row],[country divers.]])</f>
        <v>3.707126713924402</v>
      </c>
      <c r="T425" s="52">
        <f>LOG(Table2[[#This Row],[Firm Size]])</f>
        <v>8.082887654361798</v>
      </c>
      <c r="U425">
        <v>6</v>
      </c>
      <c r="V425" s="137">
        <f t="shared" si="41"/>
        <v>0</v>
      </c>
    </row>
    <row r="426" spans="1:22" x14ac:dyDescent="0.35">
      <c r="A426" s="49" t="s">
        <v>59</v>
      </c>
      <c r="B426" s="50">
        <v>-0.74686876610010333</v>
      </c>
      <c r="C426" s="50">
        <v>13.641095890410959</v>
      </c>
      <c r="D426" s="50">
        <f t="shared" si="36"/>
        <v>1.1348492618189847</v>
      </c>
      <c r="E426" s="50">
        <f>IF(Table2[[#This Row],[Geo Distance]]=0,0,LOG(Table2[[#This Row],[Geo Distance]]))</f>
        <v>0</v>
      </c>
      <c r="F426" s="50">
        <f>IF(Table2[[#This Row],[Target age]]=0,0,LOG(Table2[[#This Row],[Target age]]))</f>
        <v>0.95424250943932487</v>
      </c>
      <c r="G426" s="59">
        <v>3.29</v>
      </c>
      <c r="H426" s="59">
        <f t="shared" si="37"/>
        <v>0.51719589794997434</v>
      </c>
      <c r="I426" s="60">
        <f>IF(Table2[[#This Row],[Culture]]=0,0,LOG(Table2[[#This Row],[Culture]]))</f>
        <v>0</v>
      </c>
      <c r="J426" s="60">
        <f>LOG(1+Table2[[#This Row],[S&amp;P]])</f>
        <v>3.342375548694973E-2</v>
      </c>
      <c r="K426" s="50">
        <v>1.255272505103306</v>
      </c>
      <c r="L426" s="50">
        <v>85</v>
      </c>
      <c r="M426" s="50">
        <f t="shared" si="38"/>
        <v>1.9294189257142926</v>
      </c>
      <c r="N426" s="62">
        <v>32.200000000000003</v>
      </c>
      <c r="O426" s="62">
        <f t="shared" si="39"/>
        <v>1.507855871695831</v>
      </c>
      <c r="P426" s="63">
        <v>35.326012114535303</v>
      </c>
      <c r="Q426" s="63">
        <f t="shared" si="40"/>
        <v>1.548094613534351</v>
      </c>
      <c r="R426" s="50">
        <f>LOG(Table2[[#This Row],[generalist]])</f>
        <v>3.2224645332922388</v>
      </c>
      <c r="S426" s="50">
        <f>LOG(Table2[[#This Row],[country divers.]])</f>
        <v>3.707126713924402</v>
      </c>
      <c r="T426" s="50">
        <f>LOG(Table2[[#This Row],[Firm Size]])</f>
        <v>8.1033442200910457</v>
      </c>
      <c r="U426">
        <v>5</v>
      </c>
      <c r="V426" s="137">
        <f t="shared" si="41"/>
        <v>0</v>
      </c>
    </row>
    <row r="427" spans="1:22" x14ac:dyDescent="0.35">
      <c r="A427" s="67" t="s">
        <v>59</v>
      </c>
      <c r="B427" s="52">
        <v>0.36159750417725695</v>
      </c>
      <c r="C427" s="52">
        <v>5.6383561643835618</v>
      </c>
      <c r="D427" s="50">
        <f t="shared" si="36"/>
        <v>0.75115250596993943</v>
      </c>
      <c r="E427" s="52">
        <f>IF(Table2[[#This Row],[Geo Distance]]=0,0,LOG(Table2[[#This Row],[Geo Distance]]))</f>
        <v>0</v>
      </c>
      <c r="F427" s="52">
        <f>IF(Table2[[#This Row],[Target age]]=0,0,LOG(Table2[[#This Row],[Target age]]))</f>
        <v>2.1398790864012365</v>
      </c>
      <c r="G427" s="65">
        <v>3.29</v>
      </c>
      <c r="H427" s="59">
        <f t="shared" si="37"/>
        <v>0.51719589794997434</v>
      </c>
      <c r="I427" s="53">
        <f>IF(Table2[[#This Row],[Culture]]=0,0,LOG(Table2[[#This Row],[Culture]]))</f>
        <v>0</v>
      </c>
      <c r="J427" s="53">
        <f>LOG(1+Table2[[#This Row],[S&amp;P]])</f>
        <v>-2.6872146400301365E-2</v>
      </c>
      <c r="K427" s="52">
        <v>1.255272505103306</v>
      </c>
      <c r="L427" s="52">
        <v>85</v>
      </c>
      <c r="M427" s="50">
        <f t="shared" si="38"/>
        <v>1.9294189257142926</v>
      </c>
      <c r="N427" s="55">
        <v>32.299999999999997</v>
      </c>
      <c r="O427" s="62">
        <f t="shared" si="39"/>
        <v>1.5092025223311027</v>
      </c>
      <c r="P427" s="56">
        <v>40.040400531970803</v>
      </c>
      <c r="Q427" s="63">
        <f t="shared" si="40"/>
        <v>1.6024984131617945</v>
      </c>
      <c r="R427" s="52">
        <f>LOG(Table2[[#This Row],[generalist]])</f>
        <v>3.2188268626467691</v>
      </c>
      <c r="S427" s="52">
        <f>LOG(Table2[[#This Row],[country divers.]])</f>
        <v>3.7570580283396975</v>
      </c>
      <c r="T427" s="52">
        <f>LOG(Table2[[#This Row],[Firm Size]])</f>
        <v>8.8211858826088463</v>
      </c>
      <c r="U427">
        <v>1</v>
      </c>
      <c r="V427" s="137">
        <f t="shared" si="41"/>
        <v>0</v>
      </c>
    </row>
    <row r="428" spans="1:22" x14ac:dyDescent="0.35">
      <c r="A428" s="49" t="s">
        <v>59</v>
      </c>
      <c r="B428" s="50">
        <v>0.22847932851536945</v>
      </c>
      <c r="C428" s="50">
        <v>5.6958904109589037</v>
      </c>
      <c r="D428" s="50">
        <f t="shared" si="36"/>
        <v>0.75556162487499445</v>
      </c>
      <c r="E428" s="50">
        <f>IF(Table2[[#This Row],[Geo Distance]]=0,0,LOG(Table2[[#This Row],[Geo Distance]]))</f>
        <v>0</v>
      </c>
      <c r="F428" s="50">
        <f>IF(Table2[[#This Row],[Target age]]=0,0,LOG(Table2[[#This Row],[Target age]]))</f>
        <v>0.84509804001425681</v>
      </c>
      <c r="G428" s="59">
        <v>3.29</v>
      </c>
      <c r="H428" s="59">
        <f t="shared" si="37"/>
        <v>0.51719589794997434</v>
      </c>
      <c r="I428" s="60">
        <f>IF(Table2[[#This Row],[Culture]]=0,0,LOG(Table2[[#This Row],[Culture]]))</f>
        <v>0</v>
      </c>
      <c r="J428" s="60">
        <f>LOG(1+Table2[[#This Row],[S&amp;P]])</f>
        <v>-7.0581074285707285E-2</v>
      </c>
      <c r="K428" s="50">
        <v>1.146128035678238</v>
      </c>
      <c r="L428" s="50">
        <v>85</v>
      </c>
      <c r="M428" s="50">
        <f t="shared" si="38"/>
        <v>1.9294189257142926</v>
      </c>
      <c r="N428" s="62">
        <v>32.9</v>
      </c>
      <c r="O428" s="62">
        <f t="shared" si="39"/>
        <v>1.5171958979499742</v>
      </c>
      <c r="P428" s="63">
        <v>35.433808146393098</v>
      </c>
      <c r="Q428" s="63">
        <f t="shared" si="40"/>
        <v>1.5494178293890581</v>
      </c>
      <c r="R428" s="50">
        <f>LOG(Table2[[#This Row],[generalist]])</f>
        <v>3.2188268626467691</v>
      </c>
      <c r="S428" s="50">
        <f>LOG(Table2[[#This Row],[country divers.]])</f>
        <v>3.7570580283396975</v>
      </c>
      <c r="T428" s="50">
        <f>LOG(Table2[[#This Row],[Firm Size]])</f>
        <v>9.1139433523068369</v>
      </c>
      <c r="U428">
        <v>2</v>
      </c>
      <c r="V428" s="137">
        <f t="shared" si="41"/>
        <v>0</v>
      </c>
    </row>
    <row r="429" spans="1:22" x14ac:dyDescent="0.35">
      <c r="A429" s="67" t="s">
        <v>59</v>
      </c>
      <c r="B429" s="52">
        <v>0.27847943003314923</v>
      </c>
      <c r="C429" s="52">
        <v>4.8356164383561646</v>
      </c>
      <c r="D429" s="50">
        <f t="shared" si="36"/>
        <v>0.68445184526736669</v>
      </c>
      <c r="E429" s="52">
        <f>IF(Table2[[#This Row],[Geo Distance]]=0,0,LOG(Table2[[#This Row],[Geo Distance]]))</f>
        <v>0</v>
      </c>
      <c r="F429" s="52">
        <f>IF(Table2[[#This Row],[Target age]]=0,0,LOG(Table2[[#This Row],[Target age]]))</f>
        <v>1.3617278360175928</v>
      </c>
      <c r="G429" s="65">
        <v>3.29</v>
      </c>
      <c r="H429" s="59">
        <f t="shared" si="37"/>
        <v>0.51719589794997434</v>
      </c>
      <c r="I429" s="53">
        <f>IF(Table2[[#This Row],[Culture]]=0,0,LOG(Table2[[#This Row],[Culture]]))</f>
        <v>0</v>
      </c>
      <c r="J429" s="53">
        <f>LOG(1+Table2[[#This Row],[S&amp;P]])</f>
        <v>-7.0581074285707285E-2</v>
      </c>
      <c r="K429" s="52">
        <v>1.0791812460476249</v>
      </c>
      <c r="L429" s="52">
        <v>85</v>
      </c>
      <c r="M429" s="50">
        <f t="shared" si="38"/>
        <v>1.9294189257142926</v>
      </c>
      <c r="N429" s="55">
        <v>31.5</v>
      </c>
      <c r="O429" s="62">
        <f t="shared" si="39"/>
        <v>1.4983105537896004</v>
      </c>
      <c r="P429" s="56">
        <v>35.516899069648296</v>
      </c>
      <c r="Q429" s="63">
        <f t="shared" si="40"/>
        <v>1.5504350411232082</v>
      </c>
      <c r="R429" s="52">
        <f>LOG(Table2[[#This Row],[generalist]])</f>
        <v>3.2188268626467691</v>
      </c>
      <c r="S429" s="52">
        <f>LOG(Table2[[#This Row],[country divers.]])</f>
        <v>3.7570580283396975</v>
      </c>
      <c r="T429" s="52">
        <f>LOG(Table2[[#This Row],[Firm Size]])</f>
        <v>8.6454222693490923</v>
      </c>
      <c r="U429">
        <v>4</v>
      </c>
      <c r="V429" s="137">
        <f t="shared" si="41"/>
        <v>0</v>
      </c>
    </row>
    <row r="430" spans="1:22" x14ac:dyDescent="0.35">
      <c r="A430" s="49" t="s">
        <v>59</v>
      </c>
      <c r="B430" s="50">
        <v>0.68777185185419265</v>
      </c>
      <c r="C430" s="50">
        <v>3.484931506849315</v>
      </c>
      <c r="D430" s="50">
        <f t="shared" si="36"/>
        <v>0.54219424685592033</v>
      </c>
      <c r="E430" s="50">
        <f>IF(Table2[[#This Row],[Geo Distance]]=0,0,LOG(Table2[[#This Row],[Geo Distance]]))</f>
        <v>0</v>
      </c>
      <c r="F430" s="50">
        <f>IF(Table2[[#This Row],[Target age]]=0,0,LOG(Table2[[#This Row],[Target age]]))</f>
        <v>1.3222192947339193</v>
      </c>
      <c r="G430" s="59">
        <v>3.29</v>
      </c>
      <c r="H430" s="59">
        <f t="shared" si="37"/>
        <v>0.51719589794997434</v>
      </c>
      <c r="I430" s="60">
        <f>IF(Table2[[#This Row],[Culture]]=0,0,LOG(Table2[[#This Row],[Culture]]))</f>
        <v>0</v>
      </c>
      <c r="J430" s="60">
        <f>LOG(1+Table2[[#This Row],[S&amp;P]])</f>
        <v>0.21218760440395779</v>
      </c>
      <c r="K430" s="50">
        <v>1.3802112417116059</v>
      </c>
      <c r="L430" s="50">
        <v>89.8</v>
      </c>
      <c r="M430" s="50">
        <f t="shared" si="38"/>
        <v>1.9532763366673043</v>
      </c>
      <c r="N430" s="62">
        <v>31.2</v>
      </c>
      <c r="O430" s="62">
        <f t="shared" si="39"/>
        <v>1.4941545940184429</v>
      </c>
      <c r="P430" s="63">
        <v>47.307367293927399</v>
      </c>
      <c r="Q430" s="63">
        <f t="shared" si="40"/>
        <v>1.6749287797641836</v>
      </c>
      <c r="R430" s="50">
        <f>LOG(Table2[[#This Row],[generalist]])</f>
        <v>3.2699236952309465</v>
      </c>
      <c r="S430" s="50">
        <f>LOG(Table2[[#This Row],[country divers.]])</f>
        <v>3.6984415808994222</v>
      </c>
      <c r="T430" s="50">
        <f>LOG(Table2[[#This Row],[Firm Size]])</f>
        <v>9.0111981524818265</v>
      </c>
      <c r="U430">
        <v>9</v>
      </c>
      <c r="V430" s="137">
        <f t="shared" si="41"/>
        <v>0</v>
      </c>
    </row>
    <row r="431" spans="1:22" x14ac:dyDescent="0.35">
      <c r="A431" s="67" t="s">
        <v>59</v>
      </c>
      <c r="B431" s="52">
        <v>-0.61867209278975244</v>
      </c>
      <c r="C431" s="52">
        <v>8.6219178082191785</v>
      </c>
      <c r="D431" s="50">
        <f t="shared" si="36"/>
        <v>0.93560387845674564</v>
      </c>
      <c r="E431" s="52">
        <f>IF(Table2[[#This Row],[Geo Distance]]=0,0,LOG(Table2[[#This Row],[Geo Distance]]))</f>
        <v>0</v>
      </c>
      <c r="F431" s="52">
        <f>IF(Table2[[#This Row],[Target age]]=0,0,LOG(Table2[[#This Row],[Target age]]))</f>
        <v>1.6812412373755872</v>
      </c>
      <c r="G431" s="65">
        <v>3.29</v>
      </c>
      <c r="H431" s="59">
        <f t="shared" si="37"/>
        <v>0.51719589794997434</v>
      </c>
      <c r="I431" s="53">
        <f>IF(Table2[[#This Row],[Culture]]=0,0,LOG(Table2[[#This Row],[Culture]]))</f>
        <v>0</v>
      </c>
      <c r="J431" s="53">
        <f>LOG(1+Table2[[#This Row],[S&amp;P]])</f>
        <v>0.15836249209524964</v>
      </c>
      <c r="K431" s="52">
        <v>1.3424226808222062</v>
      </c>
      <c r="L431" s="52">
        <v>91.2</v>
      </c>
      <c r="M431" s="50">
        <f t="shared" si="38"/>
        <v>1.9599948383284163</v>
      </c>
      <c r="N431" s="55">
        <v>33</v>
      </c>
      <c r="O431" s="62">
        <f t="shared" si="39"/>
        <v>1.5185139398778875</v>
      </c>
      <c r="P431" s="56">
        <v>40.902544500539101</v>
      </c>
      <c r="Q431" s="63">
        <f t="shared" si="40"/>
        <v>1.6117503258110162</v>
      </c>
      <c r="R431" s="52">
        <f>LOG(Table2[[#This Row],[generalist]])</f>
        <v>3.2699236952309465</v>
      </c>
      <c r="S431" s="52">
        <f>LOG(Table2[[#This Row],[country divers.]])</f>
        <v>3.6984415808994222</v>
      </c>
      <c r="T431" s="52">
        <f>LOG(Table2[[#This Row],[Firm Size]])</f>
        <v>9.7888751157754168</v>
      </c>
      <c r="U431">
        <v>6</v>
      </c>
      <c r="V431" s="137">
        <f t="shared" si="41"/>
        <v>0</v>
      </c>
    </row>
    <row r="432" spans="1:22" x14ac:dyDescent="0.35">
      <c r="A432" s="49" t="s">
        <v>59</v>
      </c>
      <c r="B432" s="50">
        <v>0.21994454276156311</v>
      </c>
      <c r="C432" s="50">
        <v>8.5123287671232877</v>
      </c>
      <c r="D432" s="50">
        <f t="shared" si="36"/>
        <v>0.93004838879849971</v>
      </c>
      <c r="E432" s="50">
        <f>IF(Table2[[#This Row],[Geo Distance]]=0,0,LOG(Table2[[#This Row],[Geo Distance]]))</f>
        <v>0</v>
      </c>
      <c r="F432" s="50">
        <f>IF(Table2[[#This Row],[Target age]]=0,0,LOG(Table2[[#This Row],[Target age]]))</f>
        <v>1</v>
      </c>
      <c r="G432" s="59">
        <v>3.29</v>
      </c>
      <c r="H432" s="59">
        <f t="shared" si="37"/>
        <v>0.51719589794997434</v>
      </c>
      <c r="I432" s="60">
        <f>IF(Table2[[#This Row],[Culture]]=0,0,LOG(Table2[[#This Row],[Culture]]))</f>
        <v>0</v>
      </c>
      <c r="J432" s="60">
        <f>LOG(1+Table2[[#This Row],[S&amp;P]])</f>
        <v>0.18184358794477254</v>
      </c>
      <c r="K432" s="50">
        <v>1.3222192947339193</v>
      </c>
      <c r="L432" s="50">
        <v>91.5</v>
      </c>
      <c r="M432" s="50">
        <f t="shared" si="38"/>
        <v>1.9614210940664483</v>
      </c>
      <c r="N432" s="62">
        <v>32.9</v>
      </c>
      <c r="O432" s="62">
        <f t="shared" si="39"/>
        <v>1.5171958979499742</v>
      </c>
      <c r="P432" s="63">
        <v>40.767390998852598</v>
      </c>
      <c r="Q432" s="63">
        <f t="shared" si="40"/>
        <v>1.6103129186864549</v>
      </c>
      <c r="R432" s="50">
        <f>LOG(Table2[[#This Row],[generalist]])</f>
        <v>3.2699236952309465</v>
      </c>
      <c r="S432" s="50">
        <f>LOG(Table2[[#This Row],[country divers.]])</f>
        <v>3.6984415808994222</v>
      </c>
      <c r="T432" s="50">
        <f>LOG(Table2[[#This Row],[Firm Size]])</f>
        <v>8.5051499783199063</v>
      </c>
      <c r="U432">
        <v>4</v>
      </c>
      <c r="V432" s="137">
        <f t="shared" si="41"/>
        <v>0</v>
      </c>
    </row>
    <row r="433" spans="1:22" x14ac:dyDescent="0.35">
      <c r="A433" s="67" t="s">
        <v>59</v>
      </c>
      <c r="B433" s="52">
        <v>-0.1290816677404292</v>
      </c>
      <c r="C433" s="52">
        <v>11.789041095890411</v>
      </c>
      <c r="D433" s="50">
        <f t="shared" si="36"/>
        <v>1.0714784816260807</v>
      </c>
      <c r="E433" s="52">
        <f>IF(Table2[[#This Row],[Geo Distance]]=0,0,LOG(Table2[[#This Row],[Geo Distance]]))</f>
        <v>0</v>
      </c>
      <c r="F433" s="52">
        <f>IF(Table2[[#This Row],[Target age]]=0,0,LOG(Table2[[#This Row],[Target age]]))</f>
        <v>1.9956351945975499</v>
      </c>
      <c r="G433" s="65">
        <v>3.29</v>
      </c>
      <c r="H433" s="59">
        <f t="shared" si="37"/>
        <v>0.51719589794997434</v>
      </c>
      <c r="I433" s="53">
        <f>IF(Table2[[#This Row],[Culture]]=0,0,LOG(Table2[[#This Row],[Culture]]))</f>
        <v>0</v>
      </c>
      <c r="J433" s="53">
        <f>LOG(1+Table2[[#This Row],[S&amp;P]])</f>
        <v>0.27875360095282892</v>
      </c>
      <c r="K433" s="52">
        <v>1.2787536009528289</v>
      </c>
      <c r="L433" s="52">
        <v>85</v>
      </c>
      <c r="M433" s="50">
        <f t="shared" si="38"/>
        <v>1.9294189257142926</v>
      </c>
      <c r="N433" s="55">
        <v>32.299999999999997</v>
      </c>
      <c r="O433" s="62">
        <f t="shared" si="39"/>
        <v>1.5092025223311027</v>
      </c>
      <c r="P433" s="56">
        <v>40.040400531970803</v>
      </c>
      <c r="Q433" s="63">
        <f t="shared" si="40"/>
        <v>1.6024984131617945</v>
      </c>
      <c r="R433" s="52">
        <f>LOG(Table2[[#This Row],[generalist]])</f>
        <v>3.2699236952309465</v>
      </c>
      <c r="S433" s="52">
        <f>LOG(Table2[[#This Row],[country divers.]])</f>
        <v>3.6984415808994222</v>
      </c>
      <c r="T433" s="52">
        <f>LOG(Table2[[#This Row],[Firm Size]])</f>
        <v>9.2430380486862944</v>
      </c>
      <c r="U433">
        <v>5</v>
      </c>
      <c r="V433" s="137">
        <f t="shared" si="41"/>
        <v>0</v>
      </c>
    </row>
    <row r="434" spans="1:22" x14ac:dyDescent="0.35">
      <c r="A434" s="49" t="s">
        <v>59</v>
      </c>
      <c r="B434" s="50">
        <v>0.40849338580357664</v>
      </c>
      <c r="C434" s="50">
        <v>11.224657534246575</v>
      </c>
      <c r="D434" s="50">
        <f t="shared" si="36"/>
        <v>1.0501730994966676</v>
      </c>
      <c r="E434" s="50">
        <f>IF(Table2[[#This Row],[Geo Distance]]=0,0,LOG(Table2[[#This Row],[Geo Distance]]))</f>
        <v>0</v>
      </c>
      <c r="F434" s="50">
        <f>IF(Table2[[#This Row],[Target age]]=0,0,LOG(Table2[[#This Row],[Target age]]))</f>
        <v>1.5440680443502757</v>
      </c>
      <c r="G434" s="59">
        <v>3.29</v>
      </c>
      <c r="H434" s="59">
        <f t="shared" si="37"/>
        <v>0.51719589794997434</v>
      </c>
      <c r="I434" s="60">
        <f>IF(Table2[[#This Row],[Culture]]=0,0,LOG(Table2[[#This Row],[Culture]]))</f>
        <v>0</v>
      </c>
      <c r="J434" s="60">
        <f>LOG(1+Table2[[#This Row],[S&amp;P]])</f>
        <v>0.26481782300953643</v>
      </c>
      <c r="K434" s="50">
        <v>1.2787536009528289</v>
      </c>
      <c r="L434" s="50">
        <v>85</v>
      </c>
      <c r="M434" s="50">
        <f t="shared" si="38"/>
        <v>1.9294189257142926</v>
      </c>
      <c r="N434" s="62">
        <v>32.299999999999997</v>
      </c>
      <c r="O434" s="62">
        <f t="shared" si="39"/>
        <v>1.5092025223311027</v>
      </c>
      <c r="P434" s="63">
        <v>40.040400531970803</v>
      </c>
      <c r="Q434" s="63">
        <f t="shared" si="40"/>
        <v>1.6024984131617945</v>
      </c>
      <c r="R434" s="50">
        <f>LOG(Table2[[#This Row],[generalist]])</f>
        <v>3.2699236952309465</v>
      </c>
      <c r="S434" s="50">
        <f>LOG(Table2[[#This Row],[country divers.]])</f>
        <v>3.6984415808994222</v>
      </c>
      <c r="T434" s="50">
        <f>LOG(Table2[[#This Row],[Firm Size]])</f>
        <v>8.8198728219505469</v>
      </c>
      <c r="U434">
        <v>5</v>
      </c>
      <c r="V434" s="137">
        <f t="shared" si="41"/>
        <v>0</v>
      </c>
    </row>
    <row r="435" spans="1:22" x14ac:dyDescent="0.35">
      <c r="A435" s="67" t="s">
        <v>59</v>
      </c>
      <c r="B435" s="52">
        <v>-0.58532309592373821</v>
      </c>
      <c r="C435" s="52">
        <v>2.0739726027397261</v>
      </c>
      <c r="D435" s="50">
        <f t="shared" si="36"/>
        <v>0.31680301504359804</v>
      </c>
      <c r="E435" s="52">
        <f>IF(Table2[[#This Row],[Geo Distance]]=0,0,LOG(Table2[[#This Row],[Geo Distance]]))</f>
        <v>0</v>
      </c>
      <c r="F435" s="52">
        <f>IF(Table2[[#This Row],[Target age]]=0,0,LOG(Table2[[#This Row],[Target age]]))</f>
        <v>1.3802112417116059</v>
      </c>
      <c r="G435" s="65">
        <v>3.29</v>
      </c>
      <c r="H435" s="59">
        <f t="shared" si="37"/>
        <v>0.51719589794997434</v>
      </c>
      <c r="I435" s="53">
        <f>IF(Table2[[#This Row],[Culture]]=0,0,LOG(Table2[[#This Row],[Culture]]))</f>
        <v>0</v>
      </c>
      <c r="J435" s="53">
        <f>LOG(1+Table2[[#This Row],[S&amp;P]])</f>
        <v>7.554696139253074E-2</v>
      </c>
      <c r="K435" s="52">
        <v>1.255272505103306</v>
      </c>
      <c r="L435" s="52">
        <v>85</v>
      </c>
      <c r="M435" s="50">
        <f t="shared" si="38"/>
        <v>1.9294189257142926</v>
      </c>
      <c r="N435" s="55">
        <v>31.3</v>
      </c>
      <c r="O435" s="62">
        <f t="shared" si="39"/>
        <v>1.4955443375464486</v>
      </c>
      <c r="P435" s="56">
        <v>38.7850112673514</v>
      </c>
      <c r="Q435" s="63">
        <f t="shared" si="40"/>
        <v>1.5886639219461918</v>
      </c>
      <c r="R435" s="52">
        <f>LOG(Table2[[#This Row],[generalist]])</f>
        <v>3.2699236952309465</v>
      </c>
      <c r="S435" s="52">
        <f>LOG(Table2[[#This Row],[country divers.]])</f>
        <v>3.6984415808994222</v>
      </c>
      <c r="T435" s="52">
        <f>LOG(Table2[[#This Row],[Firm Size]])</f>
        <v>8.9895254566347216</v>
      </c>
      <c r="U435">
        <v>4</v>
      </c>
      <c r="V435" s="137">
        <f t="shared" si="41"/>
        <v>0</v>
      </c>
    </row>
    <row r="436" spans="1:22" x14ac:dyDescent="0.35">
      <c r="A436" s="49" t="s">
        <v>59</v>
      </c>
      <c r="B436" s="50">
        <v>-2.3176220805831468E-2</v>
      </c>
      <c r="C436" s="50">
        <v>3.5890410958904111</v>
      </c>
      <c r="D436" s="50">
        <f t="shared" si="36"/>
        <v>0.55497843119928958</v>
      </c>
      <c r="E436" s="50">
        <f>IF(Table2[[#This Row],[Geo Distance]]=0,0,LOG(Table2[[#This Row],[Geo Distance]]))</f>
        <v>0</v>
      </c>
      <c r="F436" s="50">
        <f>IF(Table2[[#This Row],[Target age]]=0,0,LOG(Table2[[#This Row],[Target age]]))</f>
        <v>1.6532125137753437</v>
      </c>
      <c r="G436" s="59">
        <v>3.29</v>
      </c>
      <c r="H436" s="59">
        <f t="shared" si="37"/>
        <v>0.51719589794997434</v>
      </c>
      <c r="I436" s="60">
        <f>IF(Table2[[#This Row],[Culture]]=0,0,LOG(Table2[[#This Row],[Culture]]))</f>
        <v>0</v>
      </c>
      <c r="J436" s="60">
        <f>LOG(1+Table2[[#This Row],[S&amp;P]])</f>
        <v>0.18469143081759881</v>
      </c>
      <c r="K436" s="50">
        <v>1.255272505103306</v>
      </c>
      <c r="L436" s="50">
        <v>85</v>
      </c>
      <c r="M436" s="50">
        <f t="shared" si="38"/>
        <v>1.9294189257142926</v>
      </c>
      <c r="N436" s="62">
        <v>31.3</v>
      </c>
      <c r="O436" s="62">
        <f t="shared" si="39"/>
        <v>1.4955443375464486</v>
      </c>
      <c r="P436" s="63">
        <v>38.7850112673514</v>
      </c>
      <c r="Q436" s="63">
        <f t="shared" si="40"/>
        <v>1.5886639219461918</v>
      </c>
      <c r="R436" s="50">
        <f>LOG(Table2[[#This Row],[generalist]])</f>
        <v>3.2699236952309465</v>
      </c>
      <c r="S436" s="50">
        <f>LOG(Table2[[#This Row],[country divers.]])</f>
        <v>3.6984415808994222</v>
      </c>
      <c r="T436" s="50">
        <f>LOG(Table2[[#This Row],[Firm Size]])</f>
        <v>8.852479993636857</v>
      </c>
      <c r="U436">
        <v>5</v>
      </c>
      <c r="V436" s="137">
        <f t="shared" si="41"/>
        <v>0</v>
      </c>
    </row>
    <row r="437" spans="1:22" x14ac:dyDescent="0.35">
      <c r="A437" s="67" t="s">
        <v>59</v>
      </c>
      <c r="B437" s="52">
        <v>-7.0049015686584892E-3</v>
      </c>
      <c r="C437" s="52">
        <v>1.9945205479452055</v>
      </c>
      <c r="D437" s="50">
        <f t="shared" si="36"/>
        <v>0.29983851485656249</v>
      </c>
      <c r="E437" s="52">
        <f>IF(Table2[[#This Row],[Geo Distance]]=0,0,LOG(Table2[[#This Row],[Geo Distance]]))</f>
        <v>0</v>
      </c>
      <c r="F437" s="52">
        <f>IF(Table2[[#This Row],[Target age]]=0,0,LOG(Table2[[#This Row],[Target age]]))</f>
        <v>1.3222192947339193</v>
      </c>
      <c r="G437" s="65">
        <v>3.29</v>
      </c>
      <c r="H437" s="59">
        <f t="shared" si="37"/>
        <v>0.51719589794997434</v>
      </c>
      <c r="I437" s="53">
        <f>IF(Table2[[#This Row],[Culture]]=0,0,LOG(Table2[[#This Row],[Culture]]))</f>
        <v>0</v>
      </c>
      <c r="J437" s="53">
        <f>LOG(1+Table2[[#This Row],[S&amp;P]])</f>
        <v>-0.16115090926274472</v>
      </c>
      <c r="K437" s="52">
        <v>1.1760912590556813</v>
      </c>
      <c r="L437" s="52">
        <v>85</v>
      </c>
      <c r="M437" s="50">
        <f t="shared" si="38"/>
        <v>1.9294189257142926</v>
      </c>
      <c r="N437" s="55">
        <v>32.9</v>
      </c>
      <c r="O437" s="62">
        <f t="shared" si="39"/>
        <v>1.5171958979499742</v>
      </c>
      <c r="P437" s="56">
        <v>35.433808146393098</v>
      </c>
      <c r="Q437" s="63">
        <f t="shared" si="40"/>
        <v>1.5494178293890581</v>
      </c>
      <c r="R437" s="52">
        <f>LOG(Table2[[#This Row],[generalist]])</f>
        <v>3.2699236952309465</v>
      </c>
      <c r="S437" s="52">
        <f>LOG(Table2[[#This Row],[country divers.]])</f>
        <v>3.6984415808994222</v>
      </c>
      <c r="T437" s="52">
        <f>LOG(Table2[[#This Row],[Firm Size]])</f>
        <v>8.8750612633917001</v>
      </c>
      <c r="U437">
        <v>5</v>
      </c>
      <c r="V437" s="137">
        <f t="shared" si="41"/>
        <v>0</v>
      </c>
    </row>
    <row r="438" spans="1:22" x14ac:dyDescent="0.35">
      <c r="A438" s="49" t="s">
        <v>59</v>
      </c>
      <c r="B438" s="50">
        <v>-0.1768649920603165</v>
      </c>
      <c r="C438" s="50">
        <v>4.7178082191780826</v>
      </c>
      <c r="D438" s="50">
        <f t="shared" si="36"/>
        <v>0.67374028266116126</v>
      </c>
      <c r="E438" s="50">
        <f>IF(Table2[[#This Row],[Geo Distance]]=0,0,LOG(Table2[[#This Row],[Geo Distance]]))</f>
        <v>0</v>
      </c>
      <c r="F438" s="50">
        <f>IF(Table2[[#This Row],[Target age]]=0,0,LOG(Table2[[#This Row],[Target age]]))</f>
        <v>0</v>
      </c>
      <c r="G438" s="59">
        <v>3.29</v>
      </c>
      <c r="H438" s="59">
        <f t="shared" si="37"/>
        <v>0.51719589794997434</v>
      </c>
      <c r="I438" s="60">
        <f>IF(Table2[[#This Row],[Culture]]=0,0,LOG(Table2[[#This Row],[Culture]]))</f>
        <v>0</v>
      </c>
      <c r="J438" s="60">
        <f>LOG(1+Table2[[#This Row],[S&amp;P]])</f>
        <v>-5.0609993355087209E-2</v>
      </c>
      <c r="K438" s="50">
        <v>1.1760912590556813</v>
      </c>
      <c r="L438" s="50">
        <v>85</v>
      </c>
      <c r="M438" s="50">
        <f t="shared" si="38"/>
        <v>1.9294189257142926</v>
      </c>
      <c r="N438" s="62">
        <v>32.9</v>
      </c>
      <c r="O438" s="62">
        <f t="shared" si="39"/>
        <v>1.5171958979499742</v>
      </c>
      <c r="P438" s="63">
        <v>35.433808146393098</v>
      </c>
      <c r="Q438" s="63">
        <f t="shared" si="40"/>
        <v>1.5494178293890581</v>
      </c>
      <c r="R438" s="50">
        <f>LOG(Table2[[#This Row],[generalist]])</f>
        <v>3.2699236952309465</v>
      </c>
      <c r="S438" s="50">
        <f>LOG(Table2[[#This Row],[country divers.]])</f>
        <v>3.6984415808994222</v>
      </c>
      <c r="T438" s="50">
        <f>LOG(Table2[[#This Row],[Firm Size]])</f>
        <v>9.4149733479708182</v>
      </c>
      <c r="U438">
        <v>9</v>
      </c>
      <c r="V438" s="137">
        <f t="shared" si="41"/>
        <v>0</v>
      </c>
    </row>
    <row r="439" spans="1:22" x14ac:dyDescent="0.35">
      <c r="A439" s="67" t="s">
        <v>59</v>
      </c>
      <c r="B439" s="52">
        <v>-0.36974580803344115</v>
      </c>
      <c r="C439" s="52">
        <v>8.8876712328767127</v>
      </c>
      <c r="D439" s="50">
        <f t="shared" si="36"/>
        <v>0.94878798108264373</v>
      </c>
      <c r="E439" s="52">
        <f>IF(Table2[[#This Row],[Geo Distance]]=0,0,LOG(Table2[[#This Row],[Geo Distance]]))</f>
        <v>0</v>
      </c>
      <c r="F439" s="52">
        <f>IF(Table2[[#This Row],[Target age]]=0,0,LOG(Table2[[#This Row],[Target age]]))</f>
        <v>0</v>
      </c>
      <c r="G439" s="65">
        <v>3.29</v>
      </c>
      <c r="H439" s="59">
        <f t="shared" si="37"/>
        <v>0.51719589794997434</v>
      </c>
      <c r="I439" s="53">
        <f>IF(Table2[[#This Row],[Culture]]=0,0,LOG(Table2[[#This Row],[Culture]]))</f>
        <v>0</v>
      </c>
      <c r="J439" s="53">
        <f>LOG(1+Table2[[#This Row],[S&amp;P]])</f>
        <v>0.11394335230683679</v>
      </c>
      <c r="K439" s="52">
        <v>1.1139433523068367</v>
      </c>
      <c r="L439" s="52">
        <v>85</v>
      </c>
      <c r="M439" s="50">
        <f t="shared" si="38"/>
        <v>1.9294189257142926</v>
      </c>
      <c r="N439" s="55">
        <v>31.5</v>
      </c>
      <c r="O439" s="62">
        <f t="shared" si="39"/>
        <v>1.4983105537896004</v>
      </c>
      <c r="P439" s="56">
        <v>35.516899069648296</v>
      </c>
      <c r="Q439" s="63">
        <f t="shared" si="40"/>
        <v>1.5504350411232082</v>
      </c>
      <c r="R439" s="52">
        <f>LOG(Table2[[#This Row],[generalist]])</f>
        <v>3.2699236952309465</v>
      </c>
      <c r="S439" s="52">
        <f>LOG(Table2[[#This Row],[country divers.]])</f>
        <v>3.6984415808994222</v>
      </c>
      <c r="T439" s="52">
        <f>LOG(Table2[[#This Row],[Firm Size]])</f>
        <v>7.9138138523837167</v>
      </c>
      <c r="U439">
        <v>5</v>
      </c>
      <c r="V439" s="137">
        <f t="shared" si="41"/>
        <v>0</v>
      </c>
    </row>
    <row r="440" spans="1:22" x14ac:dyDescent="0.35">
      <c r="A440" s="49" t="s">
        <v>59</v>
      </c>
      <c r="B440" s="50">
        <v>0.65451474708058821</v>
      </c>
      <c r="C440" s="50">
        <v>3.8684931506849316</v>
      </c>
      <c r="D440" s="50">
        <f t="shared" si="36"/>
        <v>0.58754183225931023</v>
      </c>
      <c r="E440" s="50">
        <f>IF(Table2[[#This Row],[Geo Distance]]=0,0,LOG(Table2[[#This Row],[Geo Distance]]))</f>
        <v>0</v>
      </c>
      <c r="F440" s="50">
        <f>IF(Table2[[#This Row],[Target age]]=0,0,LOG(Table2[[#This Row],[Target age]]))</f>
        <v>1.7993405494535817</v>
      </c>
      <c r="G440" s="59">
        <v>3.29</v>
      </c>
      <c r="H440" s="59">
        <f t="shared" si="37"/>
        <v>0.51719589794997434</v>
      </c>
      <c r="I440" s="60">
        <f>IF(Table2[[#This Row],[Culture]]=0,0,LOG(Table2[[#This Row],[Culture]]))</f>
        <v>0</v>
      </c>
      <c r="J440" s="60">
        <f>LOG(1+Table2[[#This Row],[S&amp;P]])</f>
        <v>0.17026171539495738</v>
      </c>
      <c r="K440" s="50">
        <v>1.4623979978989561</v>
      </c>
      <c r="L440" s="50">
        <v>94.1</v>
      </c>
      <c r="M440" s="50">
        <f t="shared" si="38"/>
        <v>1.973589623427257</v>
      </c>
      <c r="N440" s="62">
        <v>32.200000000000003</v>
      </c>
      <c r="O440" s="62">
        <f t="shared" si="39"/>
        <v>1.507855871695831</v>
      </c>
      <c r="P440" s="63">
        <v>43.9397801796012</v>
      </c>
      <c r="Q440" s="63">
        <f t="shared" si="40"/>
        <v>1.6428578799166489</v>
      </c>
      <c r="R440" s="50">
        <f>LOG(Table2[[#This Row],[generalist]])</f>
        <v>3.2555397552391718</v>
      </c>
      <c r="S440" s="50">
        <f>LOG(Table2[[#This Row],[country divers.]])</f>
        <v>3.9251377713585649</v>
      </c>
      <c r="T440" s="50">
        <f>LOG(Table2[[#This Row],[Firm Size]])</f>
        <v>8.3402656009723302</v>
      </c>
      <c r="U440">
        <v>2</v>
      </c>
      <c r="V440" s="137">
        <f t="shared" si="41"/>
        <v>0</v>
      </c>
    </row>
    <row r="441" spans="1:22" x14ac:dyDescent="0.35">
      <c r="A441" s="67" t="s">
        <v>59</v>
      </c>
      <c r="B441" s="52">
        <v>0.60090341412802017</v>
      </c>
      <c r="C441" s="52">
        <v>6.5424657534246577</v>
      </c>
      <c r="D441" s="50">
        <f t="shared" si="36"/>
        <v>0.81574145800085673</v>
      </c>
      <c r="E441" s="52">
        <f>IF(Table2[[#This Row],[Geo Distance]]=0,0,LOG(Table2[[#This Row],[Geo Distance]]))</f>
        <v>0</v>
      </c>
      <c r="F441" s="52">
        <f>IF(Table2[[#This Row],[Target age]]=0,0,LOG(Table2[[#This Row],[Target age]]))</f>
        <v>0</v>
      </c>
      <c r="G441" s="65">
        <v>3.29</v>
      </c>
      <c r="H441" s="59">
        <f t="shared" si="37"/>
        <v>0.51719589794997434</v>
      </c>
      <c r="I441" s="53">
        <f>IF(Table2[[#This Row],[Culture]]=0,0,LOG(Table2[[#This Row],[Culture]]))</f>
        <v>0</v>
      </c>
      <c r="J441" s="53">
        <f>LOG(1+Table2[[#This Row],[S&amp;P]])</f>
        <v>0.12710479836480765</v>
      </c>
      <c r="K441" s="52">
        <v>0</v>
      </c>
      <c r="L441" s="52">
        <v>91.2</v>
      </c>
      <c r="M441" s="50">
        <f t="shared" si="38"/>
        <v>1.9599948383284163</v>
      </c>
      <c r="N441" s="55">
        <v>33</v>
      </c>
      <c r="O441" s="62">
        <f t="shared" si="39"/>
        <v>1.5185139398778875</v>
      </c>
      <c r="P441" s="56">
        <v>40.902544500539101</v>
      </c>
      <c r="Q441" s="63">
        <f t="shared" si="40"/>
        <v>1.6117503258110162</v>
      </c>
      <c r="R441" s="52">
        <f>LOG(Table2[[#This Row],[generalist]])</f>
        <v>3.2555397552391718</v>
      </c>
      <c r="S441" s="52">
        <f>LOG(Table2[[#This Row],[country divers.]])</f>
        <v>3.9251377713585649</v>
      </c>
      <c r="T441" s="52">
        <f>LOG(Table2[[#This Row],[Firm Size]])</f>
        <v>7.2741578492636796</v>
      </c>
      <c r="U441">
        <v>5</v>
      </c>
      <c r="V441" s="137">
        <f t="shared" si="41"/>
        <v>0</v>
      </c>
    </row>
    <row r="442" spans="1:22" x14ac:dyDescent="0.35">
      <c r="A442" s="49" t="s">
        <v>59</v>
      </c>
      <c r="B442" s="50">
        <v>0.17955968750028012</v>
      </c>
      <c r="C442" s="50">
        <v>10.468493150684932</v>
      </c>
      <c r="D442" s="50">
        <f t="shared" si="36"/>
        <v>1.0198841732319341</v>
      </c>
      <c r="E442" s="50">
        <f>IF(Table2[[#This Row],[Geo Distance]]=0,0,LOG(Table2[[#This Row],[Geo Distance]]))</f>
        <v>0</v>
      </c>
      <c r="F442" s="50">
        <f>IF(Table2[[#This Row],[Target age]]=0,0,LOG(Table2[[#This Row],[Target age]]))</f>
        <v>1.8808135922807914</v>
      </c>
      <c r="G442" s="59">
        <v>3.29</v>
      </c>
      <c r="H442" s="59">
        <f t="shared" si="37"/>
        <v>0.51719589794997434</v>
      </c>
      <c r="I442" s="60">
        <f>IF(Table2[[#This Row],[Culture]]=0,0,LOG(Table2[[#This Row],[Culture]]))</f>
        <v>0</v>
      </c>
      <c r="J442" s="60">
        <f>LOG(1+Table2[[#This Row],[S&amp;P]])</f>
        <v>0.23044892137827391</v>
      </c>
      <c r="K442" s="50">
        <v>1.3617278360175928</v>
      </c>
      <c r="L442" s="50">
        <v>91.2</v>
      </c>
      <c r="M442" s="50">
        <f t="shared" si="38"/>
        <v>1.9599948383284163</v>
      </c>
      <c r="N442" s="62">
        <v>33</v>
      </c>
      <c r="O442" s="62">
        <f t="shared" si="39"/>
        <v>1.5185139398778875</v>
      </c>
      <c r="P442" s="63">
        <v>40.902544500539101</v>
      </c>
      <c r="Q442" s="63">
        <f t="shared" si="40"/>
        <v>1.6117503258110162</v>
      </c>
      <c r="R442" s="50">
        <f>LOG(Table2[[#This Row],[generalist]])</f>
        <v>3.2555397552391718</v>
      </c>
      <c r="S442" s="50">
        <f>LOG(Table2[[#This Row],[country divers.]])</f>
        <v>3.9251377713585649</v>
      </c>
      <c r="T442" s="50">
        <f>LOG(Table2[[#This Row],[Firm Size]])</f>
        <v>8.1628629933219266</v>
      </c>
      <c r="U442">
        <v>5</v>
      </c>
      <c r="V442" s="137">
        <f t="shared" si="41"/>
        <v>0</v>
      </c>
    </row>
    <row r="443" spans="1:22" x14ac:dyDescent="0.35">
      <c r="A443" s="67" t="s">
        <v>59</v>
      </c>
      <c r="B443" s="52">
        <v>0.35878060088391328</v>
      </c>
      <c r="C443" s="52">
        <v>2.4712328767123286</v>
      </c>
      <c r="D443" s="50">
        <f t="shared" si="36"/>
        <v>0.39291367308546699</v>
      </c>
      <c r="E443" s="52">
        <f>IF(Table2[[#This Row],[Geo Distance]]=0,0,LOG(Table2[[#This Row],[Geo Distance]]))</f>
        <v>0</v>
      </c>
      <c r="F443" s="52">
        <f>IF(Table2[[#This Row],[Target age]]=0,0,LOG(Table2[[#This Row],[Target age]]))</f>
        <v>1.6812412373755872</v>
      </c>
      <c r="G443" s="65">
        <v>3.29</v>
      </c>
      <c r="H443" s="59">
        <f t="shared" si="37"/>
        <v>0.51719589794997434</v>
      </c>
      <c r="I443" s="53">
        <f>IF(Table2[[#This Row],[Culture]]=0,0,LOG(Table2[[#This Row],[Culture]]))</f>
        <v>0</v>
      </c>
      <c r="J443" s="53">
        <f>LOG(1+Table2[[#This Row],[S&amp;P]])</f>
        <v>3.7426497940623665E-2</v>
      </c>
      <c r="K443" s="52">
        <v>1.3222192947339193</v>
      </c>
      <c r="L443" s="52">
        <v>85</v>
      </c>
      <c r="M443" s="50">
        <f t="shared" si="38"/>
        <v>1.9294189257142926</v>
      </c>
      <c r="N443" s="55">
        <v>32.700000000000003</v>
      </c>
      <c r="O443" s="62">
        <f t="shared" si="39"/>
        <v>1.5145477526602862</v>
      </c>
      <c r="P443" s="56">
        <v>41.286751495766303</v>
      </c>
      <c r="Q443" s="63">
        <f t="shared" si="40"/>
        <v>1.6158107132703448</v>
      </c>
      <c r="R443" s="52">
        <f>LOG(Table2[[#This Row],[generalist]])</f>
        <v>3.2555397552391718</v>
      </c>
      <c r="S443" s="52">
        <f>LOG(Table2[[#This Row],[country divers.]])</f>
        <v>3.9251377713585649</v>
      </c>
      <c r="T443" s="52">
        <f>LOG(Table2[[#This Row],[Firm Size]])</f>
        <v>8.3521825181113627</v>
      </c>
      <c r="U443">
        <v>1</v>
      </c>
      <c r="V443" s="137">
        <f t="shared" si="41"/>
        <v>0</v>
      </c>
    </row>
    <row r="444" spans="1:22" x14ac:dyDescent="0.35">
      <c r="A444" s="49" t="s">
        <v>59</v>
      </c>
      <c r="B444" s="50">
        <v>0.25661085587556831</v>
      </c>
      <c r="C444" s="50">
        <v>12.295890410958904</v>
      </c>
      <c r="D444" s="50">
        <f t="shared" si="36"/>
        <v>1.0897599837916303</v>
      </c>
      <c r="E444" s="50">
        <f>IF(Table2[[#This Row],[Geo Distance]]=0,0,LOG(Table2[[#This Row],[Geo Distance]]))</f>
        <v>0</v>
      </c>
      <c r="F444" s="50">
        <f>IF(Table2[[#This Row],[Target age]]=0,0,LOG(Table2[[#This Row],[Target age]]))</f>
        <v>0</v>
      </c>
      <c r="G444" s="59">
        <v>3.29</v>
      </c>
      <c r="H444" s="59">
        <f t="shared" si="37"/>
        <v>0.51719589794997434</v>
      </c>
      <c r="I444" s="60">
        <f>IF(Table2[[#This Row],[Culture]]=0,0,LOG(Table2[[#This Row],[Culture]]))</f>
        <v>0</v>
      </c>
      <c r="J444" s="60">
        <f>LOG(1+Table2[[#This Row],[S&amp;P]])</f>
        <v>0.31597034545691782</v>
      </c>
      <c r="K444" s="50">
        <v>1.3010299956639813</v>
      </c>
      <c r="L444" s="50">
        <v>85</v>
      </c>
      <c r="M444" s="50">
        <f t="shared" si="38"/>
        <v>1.9294189257142926</v>
      </c>
      <c r="N444" s="62">
        <v>32.299999999999997</v>
      </c>
      <c r="O444" s="62">
        <f t="shared" si="39"/>
        <v>1.5092025223311027</v>
      </c>
      <c r="P444" s="63">
        <v>40.040400531970803</v>
      </c>
      <c r="Q444" s="63">
        <f t="shared" si="40"/>
        <v>1.6024984131617945</v>
      </c>
      <c r="R444" s="50">
        <f>LOG(Table2[[#This Row],[generalist]])</f>
        <v>3.2555397552391718</v>
      </c>
      <c r="S444" s="50">
        <f>LOG(Table2[[#This Row],[country divers.]])</f>
        <v>3.9251377713585649</v>
      </c>
      <c r="T444" s="50">
        <f>LOG(Table2[[#This Row],[Firm Size]])</f>
        <v>7.8573324964312681</v>
      </c>
      <c r="U444">
        <v>6</v>
      </c>
      <c r="V444" s="137">
        <f t="shared" si="41"/>
        <v>0</v>
      </c>
    </row>
    <row r="445" spans="1:22" x14ac:dyDescent="0.35">
      <c r="A445" s="67" t="s">
        <v>59</v>
      </c>
      <c r="B445" s="52">
        <v>-4.6324331383241914E-2</v>
      </c>
      <c r="C445" s="52">
        <v>5.536986301369863</v>
      </c>
      <c r="D445" s="50">
        <f t="shared" si="36"/>
        <v>0.74327344905882931</v>
      </c>
      <c r="E445" s="52">
        <f>IF(Table2[[#This Row],[Geo Distance]]=0,0,LOG(Table2[[#This Row],[Geo Distance]]))</f>
        <v>0</v>
      </c>
      <c r="F445" s="52">
        <f>IF(Table2[[#This Row],[Target age]]=0,0,LOG(Table2[[#This Row],[Target age]]))</f>
        <v>1.1139433523068367</v>
      </c>
      <c r="G445" s="65">
        <v>3.29</v>
      </c>
      <c r="H445" s="59">
        <f t="shared" si="37"/>
        <v>0.51719589794997434</v>
      </c>
      <c r="I445" s="53">
        <f>IF(Table2[[#This Row],[Culture]]=0,0,LOG(Table2[[#This Row],[Culture]]))</f>
        <v>0</v>
      </c>
      <c r="J445" s="53">
        <f>LOG(1+Table2[[#This Row],[S&amp;P]])</f>
        <v>-1.322826573375516E-2</v>
      </c>
      <c r="K445" s="52">
        <v>1.3010299956639813</v>
      </c>
      <c r="L445" s="52">
        <v>85</v>
      </c>
      <c r="M445" s="50">
        <f t="shared" si="38"/>
        <v>1.9294189257142926</v>
      </c>
      <c r="N445" s="55">
        <v>32.299999999999997</v>
      </c>
      <c r="O445" s="62">
        <f t="shared" si="39"/>
        <v>1.5092025223311027</v>
      </c>
      <c r="P445" s="56">
        <v>40.040400531970803</v>
      </c>
      <c r="Q445" s="63">
        <f t="shared" si="40"/>
        <v>1.6024984131617945</v>
      </c>
      <c r="R445" s="52">
        <f>LOG(Table2[[#This Row],[generalist]])</f>
        <v>3.2555397552391718</v>
      </c>
      <c r="S445" s="52">
        <f>LOG(Table2[[#This Row],[country divers.]])</f>
        <v>3.9251377713585649</v>
      </c>
      <c r="T445" s="52">
        <f>LOG(Table2[[#This Row],[Firm Size]])</f>
        <v>8.3617278360175931</v>
      </c>
      <c r="U445">
        <v>5</v>
      </c>
      <c r="V445" s="137">
        <f t="shared" si="41"/>
        <v>0</v>
      </c>
    </row>
    <row r="446" spans="1:22" x14ac:dyDescent="0.35">
      <c r="A446" s="49" t="s">
        <v>59</v>
      </c>
      <c r="B446" s="50">
        <v>0.20411998265592479</v>
      </c>
      <c r="C446" s="50">
        <v>2.3835616438356166</v>
      </c>
      <c r="D446" s="50">
        <f t="shared" si="36"/>
        <v>0.37722638816214388</v>
      </c>
      <c r="E446" s="50">
        <f>IF(Table2[[#This Row],[Geo Distance]]=0,0,LOG(Table2[[#This Row],[Geo Distance]]))</f>
        <v>0</v>
      </c>
      <c r="F446" s="50">
        <f>IF(Table2[[#This Row],[Target age]]=0,0,LOG(Table2[[#This Row],[Target age]]))</f>
        <v>0</v>
      </c>
      <c r="G446" s="59">
        <v>3.29</v>
      </c>
      <c r="H446" s="59">
        <f t="shared" si="37"/>
        <v>0.51719589794997434</v>
      </c>
      <c r="I446" s="60">
        <f>IF(Table2[[#This Row],[Culture]]=0,0,LOG(Table2[[#This Row],[Culture]]))</f>
        <v>0</v>
      </c>
      <c r="J446" s="60">
        <f>LOG(1+Table2[[#This Row],[S&amp;P]])</f>
        <v>9.3421685162235063E-2</v>
      </c>
      <c r="K446" s="50">
        <v>1.2787536009528289</v>
      </c>
      <c r="L446" s="50">
        <v>85</v>
      </c>
      <c r="M446" s="50">
        <f t="shared" si="38"/>
        <v>1.9294189257142926</v>
      </c>
      <c r="N446" s="62">
        <v>31.3</v>
      </c>
      <c r="O446" s="62">
        <f t="shared" si="39"/>
        <v>1.4955443375464486</v>
      </c>
      <c r="P446" s="63">
        <v>38.7850112673514</v>
      </c>
      <c r="Q446" s="63">
        <f t="shared" si="40"/>
        <v>1.5886639219461918</v>
      </c>
      <c r="R446" s="50">
        <f>LOG(Table2[[#This Row],[generalist]])</f>
        <v>3.2555397552391718</v>
      </c>
      <c r="S446" s="50">
        <f>LOG(Table2[[#This Row],[country divers.]])</f>
        <v>3.9251377713585649</v>
      </c>
      <c r="T446" s="50">
        <f>LOG(Table2[[#This Row],[Firm Size]])</f>
        <v>7.6989700043360187</v>
      </c>
      <c r="U446">
        <v>5</v>
      </c>
      <c r="V446" s="137">
        <f t="shared" si="41"/>
        <v>0</v>
      </c>
    </row>
    <row r="447" spans="1:22" x14ac:dyDescent="0.35">
      <c r="A447" s="67" t="s">
        <v>59</v>
      </c>
      <c r="B447" s="52">
        <v>0.79928626603598674</v>
      </c>
      <c r="C447" s="52">
        <v>2.5671232876712327</v>
      </c>
      <c r="D447" s="50">
        <f t="shared" si="36"/>
        <v>0.40944672643130353</v>
      </c>
      <c r="E447" s="52">
        <f>IF(Table2[[#This Row],[Geo Distance]]=0,0,LOG(Table2[[#This Row],[Geo Distance]]))</f>
        <v>0</v>
      </c>
      <c r="F447" s="52">
        <f>IF(Table2[[#This Row],[Target age]]=0,0,LOG(Table2[[#This Row],[Target age]]))</f>
        <v>1.1760912590556813</v>
      </c>
      <c r="G447" s="65">
        <v>3.29</v>
      </c>
      <c r="H447" s="59">
        <f t="shared" si="37"/>
        <v>0.51719589794997434</v>
      </c>
      <c r="I447" s="53">
        <f>IF(Table2[[#This Row],[Culture]]=0,0,LOG(Table2[[#This Row],[Culture]]))</f>
        <v>0</v>
      </c>
      <c r="J447" s="53">
        <f>LOG(1+Table2[[#This Row],[S&amp;P]])</f>
        <v>0.11394335230683679</v>
      </c>
      <c r="K447" s="52">
        <v>1.2787536009528289</v>
      </c>
      <c r="L447" s="52">
        <v>85</v>
      </c>
      <c r="M447" s="50">
        <f t="shared" si="38"/>
        <v>1.9294189257142926</v>
      </c>
      <c r="N447" s="55">
        <v>31.3</v>
      </c>
      <c r="O447" s="62">
        <f t="shared" si="39"/>
        <v>1.4955443375464486</v>
      </c>
      <c r="P447" s="56">
        <v>38.7850112673514</v>
      </c>
      <c r="Q447" s="63">
        <f t="shared" si="40"/>
        <v>1.5886639219461918</v>
      </c>
      <c r="R447" s="52">
        <f>LOG(Table2[[#This Row],[generalist]])</f>
        <v>3.2555397552391718</v>
      </c>
      <c r="S447" s="52">
        <f>LOG(Table2[[#This Row],[country divers.]])</f>
        <v>3.9251377713585649</v>
      </c>
      <c r="T447" s="52">
        <f>LOG(Table2[[#This Row],[Firm Size]])</f>
        <v>7.7058637122839189</v>
      </c>
      <c r="U447">
        <v>5</v>
      </c>
      <c r="V447" s="137">
        <f t="shared" si="41"/>
        <v>0</v>
      </c>
    </row>
    <row r="448" spans="1:22" x14ac:dyDescent="0.35">
      <c r="A448" s="49" t="s">
        <v>59</v>
      </c>
      <c r="B448" s="50">
        <v>0.36712606125781805</v>
      </c>
      <c r="C448" s="50">
        <v>1.8849315068493151</v>
      </c>
      <c r="D448" s="50">
        <f t="shared" si="36"/>
        <v>0.27529557377903663</v>
      </c>
      <c r="E448" s="50">
        <f>IF(Table2[[#This Row],[Geo Distance]]=0,0,LOG(Table2[[#This Row],[Geo Distance]]))</f>
        <v>0</v>
      </c>
      <c r="F448" s="50">
        <f>IF(Table2[[#This Row],[Target age]]=0,0,LOG(Table2[[#This Row],[Target age]]))</f>
        <v>1.4771212547196624</v>
      </c>
      <c r="G448" s="59">
        <v>3.29</v>
      </c>
      <c r="H448" s="59">
        <f t="shared" si="37"/>
        <v>0.51719589794997434</v>
      </c>
      <c r="I448" s="60">
        <f>IF(Table2[[#This Row],[Culture]]=0,0,LOG(Table2[[#This Row],[Culture]]))</f>
        <v>0</v>
      </c>
      <c r="J448" s="60">
        <f>LOG(1+Table2[[#This Row],[S&amp;P]])</f>
        <v>8.9905111439397931E-2</v>
      </c>
      <c r="K448" s="50">
        <v>1.2787536009528289</v>
      </c>
      <c r="L448" s="50">
        <v>85</v>
      </c>
      <c r="M448" s="50">
        <f t="shared" si="38"/>
        <v>1.9294189257142926</v>
      </c>
      <c r="N448" s="62">
        <v>31.3</v>
      </c>
      <c r="O448" s="62">
        <f t="shared" si="39"/>
        <v>1.4955443375464486</v>
      </c>
      <c r="P448" s="63">
        <v>38.7850112673514</v>
      </c>
      <c r="Q448" s="63">
        <f t="shared" si="40"/>
        <v>1.5886639219461918</v>
      </c>
      <c r="R448" s="50">
        <f>LOG(Table2[[#This Row],[generalist]])</f>
        <v>3.2555397552391718</v>
      </c>
      <c r="S448" s="50">
        <f>LOG(Table2[[#This Row],[country divers.]])</f>
        <v>3.9251377713585649</v>
      </c>
      <c r="T448" s="50">
        <f>LOG(Table2[[#This Row],[Firm Size]])</f>
        <v>7.8633228601204559</v>
      </c>
      <c r="U448">
        <v>7</v>
      </c>
      <c r="V448" s="137">
        <f t="shared" si="41"/>
        <v>0</v>
      </c>
    </row>
    <row r="449" spans="1:22" x14ac:dyDescent="0.35">
      <c r="A449" s="67" t="s">
        <v>59</v>
      </c>
      <c r="B449" s="52">
        <v>-0.34515172353039719</v>
      </c>
      <c r="C449" s="52">
        <v>1.8520547945205479</v>
      </c>
      <c r="D449" s="50">
        <f t="shared" si="36"/>
        <v>0.2676538314851612</v>
      </c>
      <c r="E449" s="52">
        <f>IF(Table2[[#This Row],[Geo Distance]]=0,0,LOG(Table2[[#This Row],[Geo Distance]]))</f>
        <v>0</v>
      </c>
      <c r="F449" s="52">
        <f>IF(Table2[[#This Row],[Target age]]=0,0,LOG(Table2[[#This Row],[Target age]]))</f>
        <v>1.3424226808222062</v>
      </c>
      <c r="G449" s="65">
        <v>3.29</v>
      </c>
      <c r="H449" s="59">
        <f t="shared" si="37"/>
        <v>0.51719589794997434</v>
      </c>
      <c r="I449" s="53">
        <f>IF(Table2[[#This Row],[Culture]]=0,0,LOG(Table2[[#This Row],[Culture]]))</f>
        <v>0</v>
      </c>
      <c r="J449" s="53">
        <f>LOG(1+Table2[[#This Row],[S&amp;P]])</f>
        <v>0.12057393120584989</v>
      </c>
      <c r="K449" s="52">
        <v>1.255272505103306</v>
      </c>
      <c r="L449" s="52">
        <v>85</v>
      </c>
      <c r="M449" s="50">
        <f t="shared" si="38"/>
        <v>1.9294189257142926</v>
      </c>
      <c r="N449" s="55">
        <v>31.5</v>
      </c>
      <c r="O449" s="62">
        <f t="shared" si="39"/>
        <v>1.4983105537896004</v>
      </c>
      <c r="P449" s="56">
        <v>37.589394702761602</v>
      </c>
      <c r="Q449" s="63">
        <f t="shared" si="40"/>
        <v>1.575065332381355</v>
      </c>
      <c r="R449" s="52">
        <f>LOG(Table2[[#This Row],[generalist]])</f>
        <v>3.2555397552391718</v>
      </c>
      <c r="S449" s="52">
        <f>LOG(Table2[[#This Row],[country divers.]])</f>
        <v>3.9251377713585649</v>
      </c>
      <c r="T449" s="52">
        <f>LOG(Table2[[#This Row],[Firm Size]])</f>
        <v>7.7242758696007892</v>
      </c>
      <c r="U449">
        <v>7</v>
      </c>
      <c r="V449" s="137">
        <f t="shared" si="41"/>
        <v>0</v>
      </c>
    </row>
    <row r="450" spans="1:22" x14ac:dyDescent="0.35">
      <c r="A450" s="49" t="s">
        <v>59</v>
      </c>
      <c r="B450" s="50">
        <v>7.9155415173775334E-2</v>
      </c>
      <c r="C450" s="50">
        <v>3.5178082191780824</v>
      </c>
      <c r="D450" s="50">
        <f t="shared" si="36"/>
        <v>0.54627215927635975</v>
      </c>
      <c r="E450" s="50">
        <f>IF(Table2[[#This Row],[Geo Distance]]=0,0,LOG(Table2[[#This Row],[Geo Distance]]))</f>
        <v>0</v>
      </c>
      <c r="F450" s="50">
        <f>IF(Table2[[#This Row],[Target age]]=0,0,LOG(Table2[[#This Row],[Target age]]))</f>
        <v>0.6020599913279624</v>
      </c>
      <c r="G450" s="59">
        <v>3.29</v>
      </c>
      <c r="H450" s="59">
        <f t="shared" si="37"/>
        <v>0.51719589794997434</v>
      </c>
      <c r="I450" s="60">
        <f>IF(Table2[[#This Row],[Culture]]=0,0,LOG(Table2[[#This Row],[Culture]]))</f>
        <v>0</v>
      </c>
      <c r="J450" s="60">
        <f>LOG(1+Table2[[#This Row],[S&amp;P]])</f>
        <v>1.703333929878037E-2</v>
      </c>
      <c r="K450" s="50">
        <v>1.255272505103306</v>
      </c>
      <c r="L450" s="50">
        <v>85</v>
      </c>
      <c r="M450" s="50">
        <f t="shared" si="38"/>
        <v>1.9294189257142926</v>
      </c>
      <c r="N450" s="62">
        <v>31.5</v>
      </c>
      <c r="O450" s="62">
        <f t="shared" si="39"/>
        <v>1.4983105537896004</v>
      </c>
      <c r="P450" s="63">
        <v>37.589394702761602</v>
      </c>
      <c r="Q450" s="63">
        <f t="shared" si="40"/>
        <v>1.575065332381355</v>
      </c>
      <c r="R450" s="50">
        <f>LOG(Table2[[#This Row],[generalist]])</f>
        <v>3.2555397552391718</v>
      </c>
      <c r="S450" s="50">
        <f>LOG(Table2[[#This Row],[country divers.]])</f>
        <v>3.9251377713585649</v>
      </c>
      <c r="T450" s="50">
        <f>LOG(Table2[[#This Row],[Firm Size]])</f>
        <v>8.0495668691646518</v>
      </c>
      <c r="U450">
        <v>5</v>
      </c>
      <c r="V450" s="137">
        <f t="shared" si="41"/>
        <v>0</v>
      </c>
    </row>
    <row r="451" spans="1:22" x14ac:dyDescent="0.35">
      <c r="A451" s="67" t="s">
        <v>59</v>
      </c>
      <c r="B451" s="52">
        <v>0.84921460620908895</v>
      </c>
      <c r="C451" s="52">
        <v>4.0273972602739727</v>
      </c>
      <c r="D451" s="50">
        <f t="shared" ref="D451:D457" si="42">LOG(C451)</f>
        <v>0.60502447029170137</v>
      </c>
      <c r="E451" s="52">
        <f>IF(Table2[[#This Row],[Geo Distance]]=0,0,LOG(Table2[[#This Row],[Geo Distance]]))</f>
        <v>0</v>
      </c>
      <c r="F451" s="52">
        <f>IF(Table2[[#This Row],[Target age]]=0,0,LOG(Table2[[#This Row],[Target age]]))</f>
        <v>0.77815125038364363</v>
      </c>
      <c r="G451" s="65">
        <v>3.29</v>
      </c>
      <c r="H451" s="59">
        <f t="shared" ref="H451:H457" si="43">LOG(G451)</f>
        <v>0.51719589794997434</v>
      </c>
      <c r="I451" s="53">
        <f>IF(Table2[[#This Row],[Culture]]=0,0,LOG(Table2[[#This Row],[Culture]]))</f>
        <v>0</v>
      </c>
      <c r="J451" s="53">
        <f>LOG(1+Table2[[#This Row],[S&amp;P]])</f>
        <v>5.3078443483419682E-2</v>
      </c>
      <c r="K451" s="52">
        <v>1.255272505103306</v>
      </c>
      <c r="L451" s="52">
        <v>85</v>
      </c>
      <c r="M451" s="50">
        <f t="shared" ref="M451:M457" si="44">LOG(L451)</f>
        <v>1.9294189257142926</v>
      </c>
      <c r="N451" s="55">
        <v>31.5</v>
      </c>
      <c r="O451" s="62">
        <f t="shared" ref="O451:O457" si="45">LOG(N451)</f>
        <v>1.4983105537896004</v>
      </c>
      <c r="P451" s="56">
        <v>37.589394702761602</v>
      </c>
      <c r="Q451" s="63">
        <f t="shared" ref="Q451:Q457" si="46">LOG(P451)</f>
        <v>1.575065332381355</v>
      </c>
      <c r="R451" s="52">
        <f>LOG(Table2[[#This Row],[generalist]])</f>
        <v>3.2555397552391718</v>
      </c>
      <c r="S451" s="52">
        <f>LOG(Table2[[#This Row],[country divers.]])</f>
        <v>3.9251377713585649</v>
      </c>
      <c r="T451" s="52">
        <f>LOG(Table2[[#This Row],[Firm Size]])</f>
        <v>7.1760912590556813</v>
      </c>
      <c r="U451">
        <v>6</v>
      </c>
      <c r="V451" s="137">
        <f t="shared" ref="V451:V457" si="47">IF(E451=0,0,1)</f>
        <v>0</v>
      </c>
    </row>
    <row r="452" spans="1:22" x14ac:dyDescent="0.35">
      <c r="A452" s="49" t="s">
        <v>59</v>
      </c>
      <c r="B452" s="50">
        <v>0.73282827159698616</v>
      </c>
      <c r="C452" s="50">
        <v>6.7945205479452051</v>
      </c>
      <c r="D452" s="50">
        <f t="shared" si="42"/>
        <v>0.83215881636974154</v>
      </c>
      <c r="E452" s="50">
        <f>IF(Table2[[#This Row],[Geo Distance]]=0,0,LOG(Table2[[#This Row],[Geo Distance]]))</f>
        <v>0</v>
      </c>
      <c r="F452" s="50">
        <f>IF(Table2[[#This Row],[Target age]]=0,0,LOG(Table2[[#This Row],[Target age]]))</f>
        <v>1.0791812460476249</v>
      </c>
      <c r="G452" s="59">
        <v>3.29</v>
      </c>
      <c r="H452" s="59">
        <f t="shared" si="43"/>
        <v>0.51719589794997434</v>
      </c>
      <c r="I452" s="60">
        <f>IF(Table2[[#This Row],[Culture]]=0,0,LOG(Table2[[#This Row],[Culture]]))</f>
        <v>0</v>
      </c>
      <c r="J452" s="60">
        <f>LOG(1+Table2[[#This Row],[S&amp;P]])</f>
        <v>4.1392685158225077E-2</v>
      </c>
      <c r="K452" s="50">
        <v>1.2304489213782739</v>
      </c>
      <c r="L452" s="50">
        <v>85</v>
      </c>
      <c r="M452" s="50">
        <f t="shared" si="44"/>
        <v>1.9294189257142926</v>
      </c>
      <c r="N452" s="62">
        <v>32.6</v>
      </c>
      <c r="O452" s="62">
        <f t="shared" si="45"/>
        <v>1.5132176000679389</v>
      </c>
      <c r="P452" s="63">
        <v>36.544739309553499</v>
      </c>
      <c r="Q452" s="63">
        <f t="shared" si="46"/>
        <v>1.5628248682086028</v>
      </c>
      <c r="R452" s="50">
        <f>LOG(Table2[[#This Row],[generalist]])</f>
        <v>3.2555397552391718</v>
      </c>
      <c r="S452" s="50">
        <f>LOG(Table2[[#This Row],[country divers.]])</f>
        <v>3.9251377713585649</v>
      </c>
      <c r="T452" s="50">
        <f>LOG(Table2[[#This Row],[Firm Size]])</f>
        <v>8.0453229787866576</v>
      </c>
      <c r="U452">
        <v>2</v>
      </c>
      <c r="V452" s="137">
        <f t="shared" si="47"/>
        <v>0</v>
      </c>
    </row>
    <row r="453" spans="1:22" x14ac:dyDescent="0.35">
      <c r="A453" s="67" t="s">
        <v>59</v>
      </c>
      <c r="B453" s="52">
        <v>-1</v>
      </c>
      <c r="C453" s="52">
        <v>5.3589041095890408</v>
      </c>
      <c r="D453" s="50">
        <f t="shared" si="42"/>
        <v>0.72907598599510792</v>
      </c>
      <c r="E453" s="52">
        <f>IF(Table2[[#This Row],[Geo Distance]]=0,0,LOG(Table2[[#This Row],[Geo Distance]]))</f>
        <v>0</v>
      </c>
      <c r="F453" s="52">
        <f>IF(Table2[[#This Row],[Target age]]=0,0,LOG(Table2[[#This Row],[Target age]]))</f>
        <v>1.6020599913279623</v>
      </c>
      <c r="G453" s="65">
        <v>3.29</v>
      </c>
      <c r="H453" s="59">
        <f t="shared" si="43"/>
        <v>0.51719589794997434</v>
      </c>
      <c r="I453" s="53">
        <f>IF(Table2[[#This Row],[Culture]]=0,0,LOG(Table2[[#This Row],[Culture]]))</f>
        <v>0</v>
      </c>
      <c r="J453" s="53">
        <f>LOG(1+Table2[[#This Row],[S&amp;P]])</f>
        <v>4.3213737826425782E-3</v>
      </c>
      <c r="K453" s="52">
        <v>1.3010299956639813</v>
      </c>
      <c r="L453" s="52">
        <v>85</v>
      </c>
      <c r="M453" s="50">
        <f t="shared" si="44"/>
        <v>1.9294189257142926</v>
      </c>
      <c r="N453" s="55">
        <v>32.299999999999997</v>
      </c>
      <c r="O453" s="62">
        <f t="shared" si="45"/>
        <v>1.5092025223311027</v>
      </c>
      <c r="P453" s="56">
        <v>40.040400531970803</v>
      </c>
      <c r="Q453" s="63">
        <f t="shared" si="46"/>
        <v>1.6024984131617945</v>
      </c>
      <c r="R453" s="52">
        <f>LOG(Table2[[#This Row],[generalist]])</f>
        <v>3.2555397552391718</v>
      </c>
      <c r="S453" s="52">
        <f>LOG(Table2[[#This Row],[country divers.]])</f>
        <v>3.9251377713585649</v>
      </c>
      <c r="T453" s="52">
        <f>LOG(Table2[[#This Row],[Firm Size]])</f>
        <v>7.8061799739838875</v>
      </c>
      <c r="U453">
        <v>5</v>
      </c>
      <c r="V453" s="137">
        <f t="shared" si="47"/>
        <v>0</v>
      </c>
    </row>
    <row r="454" spans="1:22" x14ac:dyDescent="0.35">
      <c r="A454" s="49" t="s">
        <v>59</v>
      </c>
      <c r="B454" s="50">
        <v>0.37675070960209955</v>
      </c>
      <c r="C454" s="50">
        <v>1.263013698630137</v>
      </c>
      <c r="D454" s="50">
        <f t="shared" si="42"/>
        <v>0.10140806093317345</v>
      </c>
      <c r="E454" s="50">
        <f>IF(Table2[[#This Row],[Geo Distance]]=0,0,LOG(Table2[[#This Row],[Geo Distance]]))</f>
        <v>3.7707018228379927</v>
      </c>
      <c r="F454" s="50">
        <f>IF(Table2[[#This Row],[Target age]]=0,0,LOG(Table2[[#This Row],[Target age]]))</f>
        <v>1.255272505103306</v>
      </c>
      <c r="G454" s="59">
        <v>2.3199999999999998</v>
      </c>
      <c r="H454" s="59">
        <f t="shared" si="43"/>
        <v>0.36548798489089962</v>
      </c>
      <c r="I454" s="60">
        <f>IF(Table2[[#This Row],[Culture]]=0,0,LOG(Table2[[#This Row],[Culture]]))</f>
        <v>2.12057393120585</v>
      </c>
      <c r="J454" s="60">
        <f>LOG(1+Table2[[#This Row],[S&amp;P]])</f>
        <v>5.6904851336472641E-2</v>
      </c>
      <c r="K454" s="50">
        <v>1.5797835966168101</v>
      </c>
      <c r="L454" s="50">
        <v>91.5</v>
      </c>
      <c r="M454" s="50">
        <f t="shared" si="44"/>
        <v>1.9614210940664483</v>
      </c>
      <c r="N454" s="62">
        <v>32.9</v>
      </c>
      <c r="O454" s="62">
        <f t="shared" si="45"/>
        <v>1.5171958979499742</v>
      </c>
      <c r="P454" s="63">
        <v>40.767390998852598</v>
      </c>
      <c r="Q454" s="63">
        <f t="shared" si="46"/>
        <v>1.6103129186864549</v>
      </c>
      <c r="R454" s="50">
        <f>LOG(Table2[[#This Row],[generalist]])</f>
        <v>3.3885364494891754</v>
      </c>
      <c r="S454" s="50">
        <f>LOG(Table2[[#This Row],[country divers.]])</f>
        <v>3.818148300254375</v>
      </c>
      <c r="T454" s="50">
        <f>LOG(Table2[[#This Row],[Firm Size]])</f>
        <v>7.924279286061882</v>
      </c>
      <c r="U454">
        <v>9</v>
      </c>
      <c r="V454" s="137">
        <f t="shared" si="47"/>
        <v>1</v>
      </c>
    </row>
    <row r="455" spans="1:22" x14ac:dyDescent="0.35">
      <c r="A455" s="67" t="s">
        <v>59</v>
      </c>
      <c r="B455" s="52">
        <v>0.43439130751080973</v>
      </c>
      <c r="C455" s="52">
        <v>3.0712328767123287</v>
      </c>
      <c r="D455" s="50">
        <f t="shared" si="42"/>
        <v>0.48731274813849845</v>
      </c>
      <c r="E455" s="52">
        <f>IF(Table2[[#This Row],[Geo Distance]]=0,0,LOG(Table2[[#This Row],[Geo Distance]]))</f>
        <v>3.7707018228379927</v>
      </c>
      <c r="F455" s="52">
        <f>IF(Table2[[#This Row],[Target age]]=0,0,LOG(Table2[[#This Row],[Target age]]))</f>
        <v>1.0791812460476249</v>
      </c>
      <c r="G455" s="65">
        <v>2.3199999999999998</v>
      </c>
      <c r="H455" s="59">
        <f t="shared" si="43"/>
        <v>0.36548798489089962</v>
      </c>
      <c r="I455" s="53">
        <f>IF(Table2[[#This Row],[Culture]]=0,0,LOG(Table2[[#This Row],[Culture]]))</f>
        <v>2.12057393120585</v>
      </c>
      <c r="J455" s="53">
        <f>LOG(1+Table2[[#This Row],[S&amp;P]])</f>
        <v>0.10720996964786837</v>
      </c>
      <c r="K455" s="52">
        <v>1.5563025007672873</v>
      </c>
      <c r="L455" s="52">
        <v>85</v>
      </c>
      <c r="M455" s="50">
        <f t="shared" si="44"/>
        <v>1.9294189257142926</v>
      </c>
      <c r="N455" s="55">
        <v>32.299999999999997</v>
      </c>
      <c r="O455" s="62">
        <f t="shared" si="45"/>
        <v>1.5092025223311027</v>
      </c>
      <c r="P455" s="56">
        <v>40.040400531970803</v>
      </c>
      <c r="Q455" s="63">
        <f t="shared" si="46"/>
        <v>1.6024984131617945</v>
      </c>
      <c r="R455" s="52">
        <f>LOG(Table2[[#This Row],[generalist]])</f>
        <v>3.3885364494891754</v>
      </c>
      <c r="S455" s="52">
        <f>LOG(Table2[[#This Row],[country divers.]])</f>
        <v>3.818148300254375</v>
      </c>
      <c r="T455" s="52">
        <f>LOG(Table2[[#This Row],[Firm Size]])</f>
        <v>7.9637878273455556</v>
      </c>
      <c r="U455">
        <v>5</v>
      </c>
      <c r="V455" s="137">
        <f t="shared" si="47"/>
        <v>1</v>
      </c>
    </row>
    <row r="456" spans="1:22" x14ac:dyDescent="0.35">
      <c r="A456" s="49" t="s">
        <v>59</v>
      </c>
      <c r="B456" s="50">
        <v>0.41630541559290174</v>
      </c>
      <c r="C456" s="50">
        <v>7.441095890410959</v>
      </c>
      <c r="D456" s="50">
        <f t="shared" si="42"/>
        <v>0.87163690115198933</v>
      </c>
      <c r="E456" s="50">
        <f>IF(Table2[[#This Row],[Geo Distance]]=0,0,LOG(Table2[[#This Row],[Geo Distance]]))</f>
        <v>3.7707018228379927</v>
      </c>
      <c r="F456" s="50">
        <f>IF(Table2[[#This Row],[Target age]]=0,0,LOG(Table2[[#This Row],[Target age]]))</f>
        <v>0.47712125471966244</v>
      </c>
      <c r="G456" s="59">
        <v>2.3199999999999998</v>
      </c>
      <c r="H456" s="59">
        <f t="shared" si="43"/>
        <v>0.36548798489089962</v>
      </c>
      <c r="I456" s="60">
        <f>IF(Table2[[#This Row],[Culture]]=0,0,LOG(Table2[[#This Row],[Culture]]))</f>
        <v>2.12057393120585</v>
      </c>
      <c r="J456" s="60">
        <f>LOG(1+Table2[[#This Row],[S&amp;P]])</f>
        <v>9.691001300805642E-2</v>
      </c>
      <c r="K456" s="50">
        <v>1.5440680443502757</v>
      </c>
      <c r="L456" s="50">
        <v>85</v>
      </c>
      <c r="M456" s="50">
        <f t="shared" si="44"/>
        <v>1.9294189257142926</v>
      </c>
      <c r="N456" s="62">
        <v>31.3</v>
      </c>
      <c r="O456" s="62">
        <f t="shared" si="45"/>
        <v>1.4955443375464486</v>
      </c>
      <c r="P456" s="63">
        <v>38.7850112673514</v>
      </c>
      <c r="Q456" s="63">
        <f t="shared" si="46"/>
        <v>1.5886639219461918</v>
      </c>
      <c r="R456" s="50">
        <f>LOG(Table2[[#This Row],[generalist]])</f>
        <v>3.3885364494891754</v>
      </c>
      <c r="S456" s="50">
        <f>LOG(Table2[[#This Row],[country divers.]])</f>
        <v>3.818148300254375</v>
      </c>
      <c r="T456" s="50">
        <f>LOG(Table2[[#This Row],[Firm Size]])</f>
        <v>7.690904554054967</v>
      </c>
      <c r="U456">
        <v>6</v>
      </c>
      <c r="V456" s="137">
        <f t="shared" si="47"/>
        <v>1</v>
      </c>
    </row>
    <row r="457" spans="1:22" x14ac:dyDescent="0.35">
      <c r="A457" s="67" t="s">
        <v>59</v>
      </c>
      <c r="B457" s="52">
        <v>0.26717172840301384</v>
      </c>
      <c r="C457" s="52">
        <v>6.0712328767123287</v>
      </c>
      <c r="D457" s="50">
        <f t="shared" si="42"/>
        <v>0.78327689159991742</v>
      </c>
      <c r="E457" s="52">
        <f>IF(Table2[[#This Row],[Geo Distance]]=0,0,LOG(Table2[[#This Row],[Geo Distance]]))</f>
        <v>3.0621644096256042</v>
      </c>
      <c r="F457" s="52">
        <f>IF(Table2[[#This Row],[Target age]]=0,0,LOG(Table2[[#This Row],[Target age]]))</f>
        <v>0.69897000433601886</v>
      </c>
      <c r="G457" s="65">
        <v>2.69</v>
      </c>
      <c r="H457" s="59">
        <f t="shared" si="43"/>
        <v>0.42975228000240795</v>
      </c>
      <c r="I457" s="53">
        <f>IF(Table2[[#This Row],[Culture]]=0,0,LOG(Table2[[#This Row],[Culture]]))</f>
        <v>2.9317984599400462</v>
      </c>
      <c r="J457" s="53">
        <f>LOG(1+Table2[[#This Row],[S&amp;P]])</f>
        <v>6.8185861746161619E-2</v>
      </c>
      <c r="K457" s="52">
        <v>1.0413926851582251</v>
      </c>
      <c r="L457" s="52">
        <v>91.2</v>
      </c>
      <c r="M457" s="50">
        <f t="shared" si="44"/>
        <v>1.9599948383284163</v>
      </c>
      <c r="N457" s="55">
        <v>33</v>
      </c>
      <c r="O457" s="62">
        <f t="shared" si="45"/>
        <v>1.5185139398778875</v>
      </c>
      <c r="P457" s="56">
        <v>40.902544500539101</v>
      </c>
      <c r="Q457" s="63">
        <f t="shared" si="46"/>
        <v>1.6117503258110162</v>
      </c>
      <c r="R457" s="52">
        <f>LOG(Table2[[#This Row],[generalist]])</f>
        <v>3.4006741243771632</v>
      </c>
      <c r="S457" s="52">
        <f>LOG(Table2[[#This Row],[country divers.]])</f>
        <v>3.8325618860191688</v>
      </c>
      <c r="T457" s="52">
        <f>LOG(Table2[[#This Row],[Firm Size]])</f>
        <v>7.6020599913279625</v>
      </c>
      <c r="U457">
        <v>2</v>
      </c>
      <c r="V457" s="137">
        <f t="shared" si="47"/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5"/>
  <sheetViews>
    <sheetView workbookViewId="0">
      <pane ySplit="1" topLeftCell="A191" activePane="bottomLeft" state="frozen"/>
      <selection pane="bottomLeft" activeCell="Q2" sqref="Q2"/>
    </sheetView>
  </sheetViews>
  <sheetFormatPr defaultRowHeight="14.5" x14ac:dyDescent="0.35"/>
  <cols>
    <col min="1" max="1" width="12.7265625" bestFit="1" customWidth="1"/>
    <col min="2" max="2" width="14.26953125" bestFit="1" customWidth="1"/>
    <col min="3" max="3" width="14.26953125" style="137" customWidth="1"/>
    <col min="4" max="5" width="12" bestFit="1" customWidth="1"/>
    <col min="6" max="6" width="5.453125" bestFit="1" customWidth="1"/>
    <col min="7" max="7" width="5.453125" style="137" customWidth="1"/>
    <col min="8" max="8" width="12" bestFit="1" customWidth="1"/>
    <col min="9" max="9" width="12.7265625" bestFit="1" customWidth="1"/>
    <col min="10" max="10" width="12.453125" bestFit="1" customWidth="1"/>
    <col min="11" max="11" width="17" bestFit="1" customWidth="1"/>
    <col min="12" max="12" width="17" style="137" customWidth="1"/>
    <col min="13" max="13" width="15.26953125" bestFit="1" customWidth="1"/>
    <col min="14" max="14" width="15.26953125" style="137" customWidth="1"/>
    <col min="15" max="15" width="18.26953125" bestFit="1" customWidth="1"/>
    <col min="16" max="16" width="18.26953125" style="137" customWidth="1"/>
    <col min="17" max="17" width="12" bestFit="1" customWidth="1"/>
    <col min="18" max="18" width="14.81640625" bestFit="1" customWidth="1"/>
    <col min="19" max="19" width="12" bestFit="1" customWidth="1"/>
  </cols>
  <sheetData>
    <row r="1" spans="1:21" x14ac:dyDescent="0.35">
      <c r="A1" t="s">
        <v>1330</v>
      </c>
      <c r="B1" s="6" t="s">
        <v>23</v>
      </c>
      <c r="C1" s="6" t="s">
        <v>1382</v>
      </c>
      <c r="D1" t="s">
        <v>1359</v>
      </c>
      <c r="E1" t="s">
        <v>1361</v>
      </c>
      <c r="F1" t="s">
        <v>1314</v>
      </c>
      <c r="G1" s="137" t="s">
        <v>1383</v>
      </c>
      <c r="H1" t="s">
        <v>1362</v>
      </c>
      <c r="I1" t="s">
        <v>1354</v>
      </c>
      <c r="J1" t="s">
        <v>1363</v>
      </c>
      <c r="K1" t="s">
        <v>35</v>
      </c>
      <c r="L1" s="137" t="s">
        <v>1384</v>
      </c>
      <c r="M1" t="s">
        <v>36</v>
      </c>
      <c r="N1" s="137" t="s">
        <v>1385</v>
      </c>
      <c r="O1" t="s">
        <v>37</v>
      </c>
      <c r="P1" s="137" t="s">
        <v>1387</v>
      </c>
      <c r="Q1" t="s">
        <v>1397</v>
      </c>
      <c r="R1" t="s">
        <v>1365</v>
      </c>
      <c r="S1" t="s">
        <v>1366</v>
      </c>
      <c r="T1" t="s">
        <v>1322</v>
      </c>
      <c r="U1" t="s">
        <v>1373</v>
      </c>
    </row>
    <row r="2" spans="1:21" x14ac:dyDescent="0.35">
      <c r="A2">
        <v>-0.69897000433601886</v>
      </c>
      <c r="B2" s="50">
        <v>2.2219178082191782</v>
      </c>
      <c r="C2" s="185">
        <f>LOG(B2)</f>
        <v>0.34672798975468133</v>
      </c>
      <c r="D2">
        <v>0</v>
      </c>
      <c r="E2">
        <v>2.0334237554869499</v>
      </c>
      <c r="F2">
        <v>2.95</v>
      </c>
      <c r="G2" s="137">
        <f>LOG(F2)</f>
        <v>0.46982201597816303</v>
      </c>
      <c r="H2">
        <v>0</v>
      </c>
      <c r="I2">
        <v>0.23044892137827391</v>
      </c>
      <c r="J2">
        <v>0.95424250943932487</v>
      </c>
      <c r="K2">
        <v>85</v>
      </c>
      <c r="L2" s="137">
        <f>LOG(K2)</f>
        <v>1.9294189257142926</v>
      </c>
      <c r="M2">
        <v>26.2</v>
      </c>
      <c r="N2" s="137">
        <f>LOG(M2)</f>
        <v>1.4183012913197455</v>
      </c>
      <c r="O2">
        <v>37.8446121410093</v>
      </c>
      <c r="P2" s="137">
        <f>LOG(O2)</f>
        <v>1.5780040586317157</v>
      </c>
      <c r="Q2">
        <v>3.3647319918335836</v>
      </c>
      <c r="R2">
        <v>3.568659604598353</v>
      </c>
      <c r="S2">
        <v>9.0413926851582254</v>
      </c>
      <c r="T2">
        <v>5</v>
      </c>
      <c r="U2">
        <f>IF(D2=0,0,1)</f>
        <v>0</v>
      </c>
    </row>
    <row r="3" spans="1:21" x14ac:dyDescent="0.35">
      <c r="A3">
        <v>1.182622126214639</v>
      </c>
      <c r="B3" s="52">
        <v>6.2547945205479456</v>
      </c>
      <c r="C3" s="185">
        <f t="shared" ref="C3:C66" si="0">LOG(B3)</f>
        <v>0.79621304703376061</v>
      </c>
      <c r="D3">
        <v>0</v>
      </c>
      <c r="E3">
        <v>1.4623979978989561</v>
      </c>
      <c r="F3">
        <v>2.95</v>
      </c>
      <c r="G3" s="137">
        <f t="shared" ref="G3:G66" si="1">LOG(F3)</f>
        <v>0.46982201597816303</v>
      </c>
      <c r="H3">
        <v>0</v>
      </c>
      <c r="I3">
        <v>8.6359830674748214E-2</v>
      </c>
      <c r="J3">
        <v>0</v>
      </c>
      <c r="K3">
        <v>85</v>
      </c>
      <c r="L3" s="137">
        <f t="shared" ref="L3:L66" si="2">LOG(K3)</f>
        <v>1.9294189257142926</v>
      </c>
      <c r="M3">
        <v>27</v>
      </c>
      <c r="N3" s="137">
        <f t="shared" ref="N3:N66" si="3">LOG(M3)</f>
        <v>1.4313637641589874</v>
      </c>
      <c r="O3">
        <v>37.123527923893597</v>
      </c>
      <c r="P3" s="137">
        <f t="shared" ref="P3:P66" si="4">LOG(O3)</f>
        <v>1.5696492413904459</v>
      </c>
      <c r="Q3">
        <v>3.3487219865577531</v>
      </c>
      <c r="R3">
        <v>3.7520876635386311</v>
      </c>
      <c r="S3">
        <v>7.7403626894942441</v>
      </c>
      <c r="T3">
        <v>8</v>
      </c>
      <c r="U3" s="137">
        <f t="shared" ref="U3:U66" si="5">IF(D3=0,0,1)</f>
        <v>0</v>
      </c>
    </row>
    <row r="4" spans="1:21" x14ac:dyDescent="0.35">
      <c r="A4">
        <v>0.42919770240247967</v>
      </c>
      <c r="B4" s="50">
        <v>0.34246575342465752</v>
      </c>
      <c r="C4" s="185">
        <f t="shared" si="0"/>
        <v>-0.46538285144841829</v>
      </c>
      <c r="D4">
        <v>0</v>
      </c>
      <c r="E4">
        <v>1.5440680443502757</v>
      </c>
      <c r="F4">
        <v>2.95</v>
      </c>
      <c r="G4" s="137">
        <f t="shared" si="1"/>
        <v>0.46982201597816303</v>
      </c>
      <c r="H4">
        <v>0</v>
      </c>
      <c r="I4">
        <v>-0.11918640771920865</v>
      </c>
      <c r="J4">
        <v>1.2041199826559248</v>
      </c>
      <c r="K4">
        <v>85</v>
      </c>
      <c r="L4" s="137">
        <f t="shared" si="2"/>
        <v>1.9294189257142926</v>
      </c>
      <c r="M4">
        <v>24.9</v>
      </c>
      <c r="N4" s="137">
        <f t="shared" si="3"/>
        <v>1.3961993470957363</v>
      </c>
      <c r="O4">
        <v>36.710134890601303</v>
      </c>
      <c r="P4" s="137">
        <f t="shared" si="4"/>
        <v>1.564785980312654</v>
      </c>
      <c r="Q4">
        <v>3.3704715474841587</v>
      </c>
      <c r="R4">
        <v>3.6359758652606611</v>
      </c>
      <c r="S4">
        <v>8.9229848157088831</v>
      </c>
      <c r="T4">
        <v>8</v>
      </c>
      <c r="U4" s="137">
        <f t="shared" si="5"/>
        <v>0</v>
      </c>
    </row>
    <row r="5" spans="1:21" x14ac:dyDescent="0.35">
      <c r="A5">
        <v>0.25024412117582162</v>
      </c>
      <c r="B5" s="52">
        <v>11.731506849315069</v>
      </c>
      <c r="C5" s="185">
        <f t="shared" si="0"/>
        <v>1.0693537985019448</v>
      </c>
      <c r="D5">
        <v>0</v>
      </c>
      <c r="E5">
        <v>1.3010299956639813</v>
      </c>
      <c r="F5">
        <v>2.95</v>
      </c>
      <c r="G5" s="137">
        <f t="shared" si="1"/>
        <v>0.46982201597816303</v>
      </c>
      <c r="H5">
        <v>0</v>
      </c>
      <c r="I5">
        <v>-8.7739243075051505E-3</v>
      </c>
      <c r="J5">
        <v>1.3010299956639813</v>
      </c>
      <c r="K5">
        <v>85</v>
      </c>
      <c r="L5" s="137">
        <f t="shared" si="2"/>
        <v>1.9294189257142926</v>
      </c>
      <c r="M5">
        <v>27.8</v>
      </c>
      <c r="N5" s="137">
        <f t="shared" si="3"/>
        <v>1.4440447959180762</v>
      </c>
      <c r="O5">
        <v>34.656907836978597</v>
      </c>
      <c r="P5" s="137">
        <f t="shared" si="4"/>
        <v>1.5397898114291337</v>
      </c>
      <c r="Q5">
        <v>3.3879249110011078</v>
      </c>
      <c r="R5">
        <v>3.9424034595709814</v>
      </c>
      <c r="S5">
        <v>8.8876173003357355</v>
      </c>
      <c r="T5">
        <v>2</v>
      </c>
      <c r="U5" s="137">
        <f t="shared" si="5"/>
        <v>0</v>
      </c>
    </row>
    <row r="6" spans="1:21" x14ac:dyDescent="0.35">
      <c r="A6">
        <v>0.17484778054114877</v>
      </c>
      <c r="B6" s="50">
        <v>2.1041095890410957</v>
      </c>
      <c r="C6" s="185">
        <f t="shared" si="0"/>
        <v>0.32306835557503727</v>
      </c>
      <c r="D6">
        <v>0</v>
      </c>
      <c r="E6">
        <v>2.0827853703164503</v>
      </c>
      <c r="F6">
        <v>2.95</v>
      </c>
      <c r="G6" s="137">
        <f t="shared" si="1"/>
        <v>0.46982201597816303</v>
      </c>
      <c r="H6">
        <v>0</v>
      </c>
      <c r="I6">
        <v>0.14921911265537988</v>
      </c>
      <c r="J6">
        <v>1.5314789170422551</v>
      </c>
      <c r="K6">
        <v>85</v>
      </c>
      <c r="L6" s="137">
        <f t="shared" si="2"/>
        <v>1.9294189257142926</v>
      </c>
      <c r="M6">
        <v>24.9</v>
      </c>
      <c r="N6" s="137">
        <f t="shared" si="3"/>
        <v>1.3961993470957363</v>
      </c>
      <c r="O6">
        <v>36.710134890601303</v>
      </c>
      <c r="P6" s="137">
        <f t="shared" si="4"/>
        <v>1.564785980312654</v>
      </c>
      <c r="Q6">
        <v>3.388536521693045</v>
      </c>
      <c r="R6">
        <v>3.8181482680887449</v>
      </c>
      <c r="S6">
        <v>8.5440680443502757</v>
      </c>
      <c r="T6">
        <v>5</v>
      </c>
      <c r="U6" s="137">
        <f t="shared" si="5"/>
        <v>0</v>
      </c>
    </row>
    <row r="7" spans="1:21" x14ac:dyDescent="0.35">
      <c r="A7">
        <v>-0.13136590451088112</v>
      </c>
      <c r="B7" s="52">
        <v>1.8410958904109589</v>
      </c>
      <c r="C7" s="185">
        <f t="shared" si="0"/>
        <v>0.26507640859735054</v>
      </c>
      <c r="D7">
        <v>0</v>
      </c>
      <c r="E7">
        <v>1.1139433523068367</v>
      </c>
      <c r="F7">
        <v>2.95</v>
      </c>
      <c r="G7" s="137">
        <f t="shared" si="1"/>
        <v>0.46982201597816303</v>
      </c>
      <c r="H7">
        <v>0</v>
      </c>
      <c r="I7">
        <v>8.6359830674748214E-2</v>
      </c>
      <c r="J7">
        <v>1.3222192947339193</v>
      </c>
      <c r="K7">
        <v>85</v>
      </c>
      <c r="L7" s="137">
        <f t="shared" si="2"/>
        <v>1.9294189257142926</v>
      </c>
      <c r="M7">
        <v>25.9</v>
      </c>
      <c r="N7" s="137">
        <f t="shared" si="3"/>
        <v>1.4132997640812519</v>
      </c>
      <c r="O7">
        <v>36.959146749272797</v>
      </c>
      <c r="P7" s="137">
        <f t="shared" si="4"/>
        <v>1.5677219364019672</v>
      </c>
      <c r="Q7">
        <v>3.6224784109972026</v>
      </c>
      <c r="R7">
        <v>3.7852505485064163</v>
      </c>
      <c r="S7">
        <v>8.6201985388932822</v>
      </c>
      <c r="T7">
        <v>1</v>
      </c>
      <c r="U7" s="137">
        <f t="shared" si="5"/>
        <v>0</v>
      </c>
    </row>
    <row r="8" spans="1:21" x14ac:dyDescent="0.35">
      <c r="A8">
        <v>-0.17571503351222853</v>
      </c>
      <c r="B8" s="50">
        <v>8.1095890410958908</v>
      </c>
      <c r="C8" s="185">
        <f t="shared" si="0"/>
        <v>0.90899884660246388</v>
      </c>
      <c r="D8">
        <v>0</v>
      </c>
      <c r="E8">
        <v>1.5910646070264991</v>
      </c>
      <c r="F8">
        <v>2.95</v>
      </c>
      <c r="G8" s="137">
        <f t="shared" si="1"/>
        <v>0.46982201597816303</v>
      </c>
      <c r="H8">
        <v>0</v>
      </c>
      <c r="I8">
        <v>0.18752072083646307</v>
      </c>
      <c r="J8">
        <v>1.2041199826559248</v>
      </c>
      <c r="K8">
        <v>93.2</v>
      </c>
      <c r="L8" s="137">
        <f t="shared" si="2"/>
        <v>1.9694159123539814</v>
      </c>
      <c r="M8">
        <v>26.7</v>
      </c>
      <c r="N8" s="137">
        <f t="shared" si="3"/>
        <v>1.4265112613645752</v>
      </c>
      <c r="O8">
        <v>36.669158714517401</v>
      </c>
      <c r="P8" s="137">
        <f t="shared" si="4"/>
        <v>1.5643009462345601</v>
      </c>
      <c r="Q8">
        <v>3.1814248062191788</v>
      </c>
      <c r="R8">
        <v>3.7294207535322617</v>
      </c>
      <c r="S8">
        <v>9.3521825181113627</v>
      </c>
      <c r="T8">
        <v>8</v>
      </c>
      <c r="U8" s="137">
        <f t="shared" si="5"/>
        <v>0</v>
      </c>
    </row>
    <row r="9" spans="1:21" x14ac:dyDescent="0.35">
      <c r="A9">
        <v>8.6833662594784505E-2</v>
      </c>
      <c r="B9" s="52">
        <v>6.2520547945205482</v>
      </c>
      <c r="C9" s="185">
        <f t="shared" si="0"/>
        <v>0.7960227756257211</v>
      </c>
      <c r="D9">
        <v>0</v>
      </c>
      <c r="E9">
        <v>1.146128035678238</v>
      </c>
      <c r="F9">
        <v>2.95</v>
      </c>
      <c r="G9" s="137">
        <f t="shared" si="1"/>
        <v>0.46982201597816303</v>
      </c>
      <c r="H9">
        <v>0</v>
      </c>
      <c r="I9">
        <v>2.9383777685209667E-2</v>
      </c>
      <c r="J9">
        <v>1.2787536009528289</v>
      </c>
      <c r="K9">
        <v>93.2</v>
      </c>
      <c r="L9" s="137">
        <f t="shared" si="2"/>
        <v>1.9694159123539814</v>
      </c>
      <c r="M9">
        <v>26.7</v>
      </c>
      <c r="N9" s="137">
        <f t="shared" si="3"/>
        <v>1.4265112613645752</v>
      </c>
      <c r="O9">
        <v>36.669158714517401</v>
      </c>
      <c r="P9" s="137">
        <f t="shared" si="4"/>
        <v>1.5643009462345601</v>
      </c>
      <c r="Q9">
        <v>3.0958500844125241</v>
      </c>
      <c r="R9">
        <v>3.5078178355445662</v>
      </c>
      <c r="S9">
        <v>9.1042787912049477</v>
      </c>
      <c r="T9">
        <v>9</v>
      </c>
      <c r="U9" s="137">
        <f t="shared" si="5"/>
        <v>0</v>
      </c>
    </row>
    <row r="10" spans="1:21" x14ac:dyDescent="0.35">
      <c r="A10">
        <v>0.10955414024032455</v>
      </c>
      <c r="B10" s="50">
        <v>6.9452054794520546</v>
      </c>
      <c r="C10" s="185">
        <f t="shared" si="0"/>
        <v>0.84168509921288004</v>
      </c>
      <c r="D10">
        <v>0</v>
      </c>
      <c r="E10">
        <v>1.568201724066995</v>
      </c>
      <c r="F10">
        <v>2.95</v>
      </c>
      <c r="G10" s="137">
        <f t="shared" si="1"/>
        <v>0.46982201597816303</v>
      </c>
      <c r="H10">
        <v>0</v>
      </c>
      <c r="I10">
        <v>8.2785370316450071E-2</v>
      </c>
      <c r="J10">
        <v>1.146128035678238</v>
      </c>
      <c r="K10">
        <v>93.2</v>
      </c>
      <c r="L10" s="137">
        <f t="shared" si="2"/>
        <v>1.9694159123539814</v>
      </c>
      <c r="M10">
        <v>26.7</v>
      </c>
      <c r="N10" s="137">
        <f t="shared" si="3"/>
        <v>1.4265112613645752</v>
      </c>
      <c r="O10">
        <v>36.669158714517401</v>
      </c>
      <c r="P10" s="137">
        <f t="shared" si="4"/>
        <v>1.5643009462345601</v>
      </c>
      <c r="Q10">
        <v>3.172065461283164</v>
      </c>
      <c r="R10">
        <v>3.9004119035914964</v>
      </c>
      <c r="S10">
        <v>9.2148650326276833</v>
      </c>
      <c r="T10">
        <v>5</v>
      </c>
      <c r="U10" s="137">
        <f t="shared" si="5"/>
        <v>0</v>
      </c>
    </row>
    <row r="11" spans="1:21" x14ac:dyDescent="0.35">
      <c r="A11">
        <v>0.30595961138295119</v>
      </c>
      <c r="B11" s="52">
        <v>5.2986301369863016</v>
      </c>
      <c r="C11" s="185">
        <f t="shared" si="0"/>
        <v>0.72416360529050816</v>
      </c>
      <c r="D11">
        <v>0</v>
      </c>
      <c r="E11">
        <v>0.84509804001425681</v>
      </c>
      <c r="F11">
        <v>2.95</v>
      </c>
      <c r="G11" s="137">
        <f t="shared" si="1"/>
        <v>0.46982201597816303</v>
      </c>
      <c r="H11">
        <v>0</v>
      </c>
      <c r="I11">
        <v>-4.5757490560675115E-2</v>
      </c>
      <c r="J11">
        <v>1.255272505103306</v>
      </c>
      <c r="K11">
        <v>91.4</v>
      </c>
      <c r="L11" s="137">
        <f t="shared" si="2"/>
        <v>1.9609461957338314</v>
      </c>
      <c r="M11">
        <v>26.7</v>
      </c>
      <c r="N11" s="137">
        <f t="shared" si="3"/>
        <v>1.4265112613645752</v>
      </c>
      <c r="O11">
        <v>37.425715444240403</v>
      </c>
      <c r="P11" s="137">
        <f t="shared" si="4"/>
        <v>1.5731701112332821</v>
      </c>
      <c r="Q11">
        <v>3.4237087385413827</v>
      </c>
      <c r="R11">
        <v>3.6955278601067114</v>
      </c>
      <c r="S11">
        <v>8.151063253353751</v>
      </c>
      <c r="T11">
        <v>4</v>
      </c>
      <c r="U11" s="137">
        <f t="shared" si="5"/>
        <v>0</v>
      </c>
    </row>
    <row r="12" spans="1:21" x14ac:dyDescent="0.35">
      <c r="A12">
        <v>-1</v>
      </c>
      <c r="B12" s="50">
        <v>3.1232876712328768</v>
      </c>
      <c r="C12" s="185">
        <f t="shared" si="0"/>
        <v>0.49461198687999791</v>
      </c>
      <c r="D12">
        <v>0</v>
      </c>
      <c r="E12">
        <v>1.255272505103306</v>
      </c>
      <c r="F12">
        <v>2.95</v>
      </c>
      <c r="G12" s="137">
        <f t="shared" si="1"/>
        <v>0.46982201597816303</v>
      </c>
      <c r="H12">
        <v>0</v>
      </c>
      <c r="I12">
        <v>-9.6910013008056392E-2</v>
      </c>
      <c r="J12">
        <v>1.6627578316815741</v>
      </c>
      <c r="K12">
        <v>91.4</v>
      </c>
      <c r="L12" s="137">
        <f t="shared" si="2"/>
        <v>1.9609461957338314</v>
      </c>
      <c r="M12">
        <v>26.7</v>
      </c>
      <c r="N12" s="137">
        <f t="shared" si="3"/>
        <v>1.4265112613645752</v>
      </c>
      <c r="O12">
        <v>37.425715444240403</v>
      </c>
      <c r="P12" s="137">
        <f t="shared" si="4"/>
        <v>1.5731701112332821</v>
      </c>
      <c r="Q12">
        <v>3.2209862534849001</v>
      </c>
      <c r="R12">
        <v>3.979162163489756</v>
      </c>
      <c r="S12">
        <v>8.6117233080073419</v>
      </c>
      <c r="T12">
        <v>5</v>
      </c>
      <c r="U12" s="137">
        <f t="shared" si="5"/>
        <v>0</v>
      </c>
    </row>
    <row r="13" spans="1:21" x14ac:dyDescent="0.35">
      <c r="A13">
        <v>0.13917923677347679</v>
      </c>
      <c r="B13" s="52">
        <v>3.4684931506849317</v>
      </c>
      <c r="C13" s="185">
        <f t="shared" si="0"/>
        <v>0.54014084122486161</v>
      </c>
      <c r="D13">
        <v>0</v>
      </c>
      <c r="E13">
        <v>1.414973347970818</v>
      </c>
      <c r="F13">
        <v>2.95</v>
      </c>
      <c r="G13" s="137">
        <f t="shared" si="1"/>
        <v>0.46982201597816303</v>
      </c>
      <c r="H13">
        <v>0</v>
      </c>
      <c r="I13">
        <v>-8.092190762392612E-2</v>
      </c>
      <c r="J13">
        <v>1.3617278360175928</v>
      </c>
      <c r="K13">
        <v>91.4</v>
      </c>
      <c r="L13" s="137">
        <f t="shared" si="2"/>
        <v>1.9609461957338314</v>
      </c>
      <c r="M13">
        <v>26.7</v>
      </c>
      <c r="N13" s="137">
        <f t="shared" si="3"/>
        <v>1.4265112613645752</v>
      </c>
      <c r="O13">
        <v>37.425715444240403</v>
      </c>
      <c r="P13" s="137">
        <f t="shared" si="4"/>
        <v>1.5731701112332821</v>
      </c>
      <c r="Q13">
        <v>3.4471580313422194</v>
      </c>
      <c r="R13">
        <v>3.8325089127062362</v>
      </c>
      <c r="S13">
        <v>7.9916690073799481</v>
      </c>
      <c r="T13">
        <v>6</v>
      </c>
      <c r="U13" s="137">
        <f t="shared" si="5"/>
        <v>0</v>
      </c>
    </row>
    <row r="14" spans="1:21" x14ac:dyDescent="0.35">
      <c r="A14">
        <v>0.31024250810031523</v>
      </c>
      <c r="B14" s="50">
        <v>5.0356164383561648</v>
      </c>
      <c r="C14" s="185">
        <f t="shared" si="0"/>
        <v>0.70205264259361777</v>
      </c>
      <c r="D14">
        <v>0</v>
      </c>
      <c r="E14">
        <v>1.505149978319906</v>
      </c>
      <c r="F14">
        <v>2.95</v>
      </c>
      <c r="G14" s="137">
        <f t="shared" si="1"/>
        <v>0.46982201597816303</v>
      </c>
      <c r="H14">
        <v>0</v>
      </c>
      <c r="I14">
        <v>-2.6872146400301365E-2</v>
      </c>
      <c r="J14">
        <v>1.3617278360175928</v>
      </c>
      <c r="K14">
        <v>91.4</v>
      </c>
      <c r="L14" s="137">
        <f t="shared" si="2"/>
        <v>1.9609461957338314</v>
      </c>
      <c r="M14">
        <v>26.7</v>
      </c>
      <c r="N14" s="137">
        <f t="shared" si="3"/>
        <v>1.4265112613645752</v>
      </c>
      <c r="O14">
        <v>37.425715444240403</v>
      </c>
      <c r="P14" s="137">
        <f t="shared" si="4"/>
        <v>1.5731701112332821</v>
      </c>
      <c r="Q14">
        <v>3.3240201037352737</v>
      </c>
      <c r="R14">
        <v>3.7683162170970865</v>
      </c>
      <c r="S14">
        <v>9.4162476342971413</v>
      </c>
      <c r="T14">
        <v>5</v>
      </c>
      <c r="U14" s="137">
        <f t="shared" si="5"/>
        <v>0</v>
      </c>
    </row>
    <row r="15" spans="1:21" x14ac:dyDescent="0.35">
      <c r="A15">
        <v>0.26611727911537691</v>
      </c>
      <c r="B15" s="52">
        <v>3.7041095890410958</v>
      </c>
      <c r="C15" s="185">
        <f t="shared" si="0"/>
        <v>0.56868382714914245</v>
      </c>
      <c r="D15">
        <v>0</v>
      </c>
      <c r="E15">
        <v>1.0791812460476249</v>
      </c>
      <c r="F15">
        <v>2.95</v>
      </c>
      <c r="G15" s="137">
        <f t="shared" si="1"/>
        <v>0.46982201597816303</v>
      </c>
      <c r="H15">
        <v>0</v>
      </c>
      <c r="I15">
        <v>0.2253092817258629</v>
      </c>
      <c r="J15">
        <v>1.414973347970818</v>
      </c>
      <c r="K15">
        <v>91.3</v>
      </c>
      <c r="L15" s="137">
        <f t="shared" si="2"/>
        <v>1.9604707775342989</v>
      </c>
      <c r="M15">
        <v>23.5</v>
      </c>
      <c r="N15" s="137">
        <f t="shared" si="3"/>
        <v>1.3710678622717363</v>
      </c>
      <c r="O15">
        <v>43.1672842383418</v>
      </c>
      <c r="P15" s="137">
        <f t="shared" si="4"/>
        <v>1.6351547269652249</v>
      </c>
      <c r="Q15">
        <v>3.3240201037352737</v>
      </c>
      <c r="R15">
        <v>3.7683162170970865</v>
      </c>
      <c r="S15">
        <v>8.7302491709849903</v>
      </c>
      <c r="T15">
        <v>9</v>
      </c>
      <c r="U15" s="137">
        <f t="shared" si="5"/>
        <v>0</v>
      </c>
    </row>
    <row r="16" spans="1:21" x14ac:dyDescent="0.35">
      <c r="A16">
        <v>0.3350995927302664</v>
      </c>
      <c r="B16" s="50">
        <v>6.6109589041095891</v>
      </c>
      <c r="C16" s="185">
        <f t="shared" si="0"/>
        <v>0.82026445745231114</v>
      </c>
      <c r="D16">
        <v>0</v>
      </c>
      <c r="E16">
        <v>1.1760912590556813</v>
      </c>
      <c r="F16">
        <v>2.95</v>
      </c>
      <c r="G16" s="137">
        <f t="shared" si="1"/>
        <v>0.46982201597816303</v>
      </c>
      <c r="H16">
        <v>0</v>
      </c>
      <c r="I16">
        <v>0.31175386105575426</v>
      </c>
      <c r="J16">
        <v>1.255272505103306</v>
      </c>
      <c r="K16">
        <v>91.3</v>
      </c>
      <c r="L16" s="137">
        <f t="shared" si="2"/>
        <v>1.9604707775342989</v>
      </c>
      <c r="M16">
        <v>23.5</v>
      </c>
      <c r="N16" s="137">
        <f t="shared" si="3"/>
        <v>1.3710678622717363</v>
      </c>
      <c r="O16">
        <v>43.1672842383418</v>
      </c>
      <c r="P16" s="137">
        <f t="shared" si="4"/>
        <v>1.6351547269652249</v>
      </c>
      <c r="Q16">
        <v>3.3445660262306984</v>
      </c>
      <c r="R16">
        <v>3.9793274106660923</v>
      </c>
      <c r="S16">
        <v>8.713969095303522</v>
      </c>
      <c r="T16">
        <v>4</v>
      </c>
      <c r="U16" s="137">
        <f t="shared" si="5"/>
        <v>0</v>
      </c>
    </row>
    <row r="17" spans="1:21" x14ac:dyDescent="0.35">
      <c r="A17">
        <v>0.29180933979339019</v>
      </c>
      <c r="B17" s="52">
        <v>3.463013698630137</v>
      </c>
      <c r="C17" s="185">
        <f t="shared" si="0"/>
        <v>0.53945420948989153</v>
      </c>
      <c r="D17">
        <v>0</v>
      </c>
      <c r="E17">
        <v>1.1760912590556813</v>
      </c>
      <c r="F17">
        <v>2.95</v>
      </c>
      <c r="G17" s="137">
        <f t="shared" si="1"/>
        <v>0.46982201597816303</v>
      </c>
      <c r="H17">
        <v>0</v>
      </c>
      <c r="I17">
        <v>0.2253092817258629</v>
      </c>
      <c r="J17">
        <v>1.3222192947339193</v>
      </c>
      <c r="K17">
        <v>91</v>
      </c>
      <c r="L17" s="137">
        <f t="shared" si="2"/>
        <v>1.9590413923210936</v>
      </c>
      <c r="M17">
        <v>23.9</v>
      </c>
      <c r="N17" s="137">
        <f t="shared" si="3"/>
        <v>1.3783979009481377</v>
      </c>
      <c r="O17">
        <v>42.048698215007001</v>
      </c>
      <c r="P17" s="137">
        <f t="shared" si="4"/>
        <v>1.6237525550259535</v>
      </c>
      <c r="Q17">
        <v>3.1438417908875378</v>
      </c>
      <c r="R17">
        <v>3.5593338228462725</v>
      </c>
      <c r="S17">
        <v>8.9744840591234034</v>
      </c>
      <c r="T17">
        <v>9</v>
      </c>
      <c r="U17" s="137">
        <f t="shared" si="5"/>
        <v>0</v>
      </c>
    </row>
    <row r="18" spans="1:21" x14ac:dyDescent="0.35">
      <c r="A18">
        <v>0.48528152291299725</v>
      </c>
      <c r="B18" s="50">
        <v>4.3397260273972602</v>
      </c>
      <c r="C18" s="185">
        <f t="shared" si="0"/>
        <v>0.63746231279699994</v>
      </c>
      <c r="D18">
        <v>0</v>
      </c>
      <c r="E18">
        <v>1.4623979978989561</v>
      </c>
      <c r="F18">
        <v>2.95</v>
      </c>
      <c r="G18" s="137">
        <f t="shared" si="1"/>
        <v>0.46982201597816303</v>
      </c>
      <c r="H18">
        <v>0</v>
      </c>
      <c r="I18">
        <v>0.20411998265592479</v>
      </c>
      <c r="J18">
        <v>0.6020599913279624</v>
      </c>
      <c r="K18">
        <v>91.1</v>
      </c>
      <c r="L18" s="137">
        <f t="shared" si="2"/>
        <v>1.9595183769729982</v>
      </c>
      <c r="M18">
        <v>24.1</v>
      </c>
      <c r="N18" s="137">
        <f t="shared" si="3"/>
        <v>1.3820170425748683</v>
      </c>
      <c r="O18">
        <v>40.229046020662899</v>
      </c>
      <c r="P18" s="137">
        <f t="shared" si="4"/>
        <v>1.6045397339663818</v>
      </c>
      <c r="Q18">
        <v>3.698064657996265</v>
      </c>
      <c r="R18">
        <v>3.9549654300921482</v>
      </c>
      <c r="S18">
        <v>9.0122042960307436</v>
      </c>
      <c r="T18">
        <v>9</v>
      </c>
      <c r="U18" s="137">
        <f t="shared" si="5"/>
        <v>0</v>
      </c>
    </row>
    <row r="19" spans="1:21" x14ac:dyDescent="0.35">
      <c r="A19">
        <v>0.24426582929210239</v>
      </c>
      <c r="B19" s="52">
        <v>3.5863013698630137</v>
      </c>
      <c r="C19" s="185">
        <f t="shared" si="0"/>
        <v>0.55464678209428109</v>
      </c>
      <c r="D19">
        <v>0</v>
      </c>
      <c r="E19">
        <v>1.4623979978989561</v>
      </c>
      <c r="F19">
        <v>2.95</v>
      </c>
      <c r="G19" s="137">
        <f t="shared" si="1"/>
        <v>0.46982201597816303</v>
      </c>
      <c r="H19">
        <v>0</v>
      </c>
      <c r="I19">
        <v>0.1553360374650618</v>
      </c>
      <c r="J19">
        <v>1.4313637641589874</v>
      </c>
      <c r="K19">
        <v>91.1</v>
      </c>
      <c r="L19" s="137">
        <f t="shared" si="2"/>
        <v>1.9595183769729982</v>
      </c>
      <c r="M19">
        <v>24.1</v>
      </c>
      <c r="N19" s="137">
        <f t="shared" si="3"/>
        <v>1.3820170425748683</v>
      </c>
      <c r="O19">
        <v>40.229046020662899</v>
      </c>
      <c r="P19" s="137">
        <f t="shared" si="4"/>
        <v>1.6045397339663818</v>
      </c>
      <c r="Q19">
        <v>3.2699236952309465</v>
      </c>
      <c r="R19">
        <v>3.6984415808994222</v>
      </c>
      <c r="S19">
        <v>9.1589351418299181</v>
      </c>
      <c r="T19">
        <v>9</v>
      </c>
      <c r="U19" s="137">
        <f t="shared" si="5"/>
        <v>0</v>
      </c>
    </row>
    <row r="20" spans="1:21" x14ac:dyDescent="0.35">
      <c r="A20">
        <v>0.42427127397820036</v>
      </c>
      <c r="B20" s="50">
        <v>5.1342465753424653</v>
      </c>
      <c r="C20" s="185">
        <f t="shared" si="0"/>
        <v>0.71047672209528467</v>
      </c>
      <c r="D20">
        <v>0</v>
      </c>
      <c r="E20">
        <v>1.9030899869919435</v>
      </c>
      <c r="F20">
        <v>2.95</v>
      </c>
      <c r="G20" s="137">
        <f t="shared" si="1"/>
        <v>0.46982201597816303</v>
      </c>
      <c r="H20">
        <v>0</v>
      </c>
      <c r="I20">
        <v>0.29003461136251801</v>
      </c>
      <c r="J20">
        <v>1.3979400086720377</v>
      </c>
      <c r="K20">
        <v>91.1</v>
      </c>
      <c r="L20" s="137">
        <f t="shared" si="2"/>
        <v>1.9595183769729982</v>
      </c>
      <c r="M20">
        <v>24.1</v>
      </c>
      <c r="N20" s="137">
        <f t="shared" si="3"/>
        <v>1.3820170425748683</v>
      </c>
      <c r="O20">
        <v>40.229046020662899</v>
      </c>
      <c r="P20" s="137">
        <f t="shared" si="4"/>
        <v>1.6045397339663818</v>
      </c>
      <c r="Q20">
        <v>4</v>
      </c>
      <c r="R20">
        <v>4</v>
      </c>
      <c r="S20">
        <v>8.7985263462493961</v>
      </c>
      <c r="T20">
        <v>6</v>
      </c>
      <c r="U20" s="137">
        <f t="shared" si="5"/>
        <v>0</v>
      </c>
    </row>
    <row r="21" spans="1:21" x14ac:dyDescent="0.35">
      <c r="A21">
        <v>0.46026114027253617</v>
      </c>
      <c r="B21" s="52">
        <v>2.419178082191781</v>
      </c>
      <c r="C21" s="185">
        <f t="shared" si="0"/>
        <v>0.38366783912109392</v>
      </c>
      <c r="D21">
        <v>0</v>
      </c>
      <c r="E21">
        <v>1</v>
      </c>
      <c r="F21">
        <v>2.95</v>
      </c>
      <c r="G21" s="137">
        <f t="shared" si="1"/>
        <v>0.46982201597816303</v>
      </c>
      <c r="H21">
        <v>0</v>
      </c>
      <c r="I21">
        <v>0.11058971029924898</v>
      </c>
      <c r="J21">
        <v>1.2041199826559248</v>
      </c>
      <c r="K21">
        <v>84.7</v>
      </c>
      <c r="L21" s="137">
        <f t="shared" si="2"/>
        <v>1.927883410330707</v>
      </c>
      <c r="M21">
        <v>25.9</v>
      </c>
      <c r="N21" s="137">
        <f t="shared" si="3"/>
        <v>1.4132997640812519</v>
      </c>
      <c r="O21">
        <v>38.207924771594499</v>
      </c>
      <c r="P21" s="137">
        <f t="shared" si="4"/>
        <v>1.5821534500223446</v>
      </c>
      <c r="Q21">
        <v>3.8138923126200468</v>
      </c>
      <c r="R21">
        <v>3.9458684738355512</v>
      </c>
      <c r="S21">
        <v>9.1912441583133759</v>
      </c>
      <c r="T21">
        <v>4</v>
      </c>
      <c r="U21" s="137">
        <f t="shared" si="5"/>
        <v>0</v>
      </c>
    </row>
    <row r="22" spans="1:21" x14ac:dyDescent="0.35">
      <c r="A22">
        <v>0.24610747106817404</v>
      </c>
      <c r="B22" s="50">
        <v>5.2164383561643834</v>
      </c>
      <c r="C22" s="185">
        <f t="shared" si="0"/>
        <v>0.71737407959198085</v>
      </c>
      <c r="D22">
        <v>0</v>
      </c>
      <c r="E22">
        <v>1.6334684555795864</v>
      </c>
      <c r="F22">
        <v>2.95</v>
      </c>
      <c r="G22" s="137">
        <f t="shared" si="1"/>
        <v>0.46982201597816303</v>
      </c>
      <c r="H22">
        <v>0</v>
      </c>
      <c r="I22">
        <v>0.3010299956639812</v>
      </c>
      <c r="J22">
        <v>1.5185139398778875</v>
      </c>
      <c r="K22">
        <v>91.9</v>
      </c>
      <c r="L22" s="137">
        <f t="shared" si="2"/>
        <v>1.9633155113861114</v>
      </c>
      <c r="M22">
        <v>23</v>
      </c>
      <c r="N22" s="137">
        <f t="shared" si="3"/>
        <v>1.3617278360175928</v>
      </c>
      <c r="O22">
        <v>43.262530407091703</v>
      </c>
      <c r="P22" s="137">
        <f t="shared" si="4"/>
        <v>1.636111917546391</v>
      </c>
      <c r="Q22">
        <v>3.0687415514991745</v>
      </c>
      <c r="R22">
        <v>3.5297005493117593</v>
      </c>
      <c r="S22">
        <v>9.2174839442139067</v>
      </c>
      <c r="T22">
        <v>1</v>
      </c>
      <c r="U22" s="137">
        <f t="shared" si="5"/>
        <v>0</v>
      </c>
    </row>
    <row r="23" spans="1:21" x14ac:dyDescent="0.35">
      <c r="A23">
        <v>-1</v>
      </c>
      <c r="B23" s="52">
        <v>12.517808219178082</v>
      </c>
      <c r="C23" s="185">
        <f t="shared" si="0"/>
        <v>1.0975282935992303</v>
      </c>
      <c r="D23">
        <v>0</v>
      </c>
      <c r="E23">
        <v>1.6812412373755872</v>
      </c>
      <c r="F23">
        <v>2.95</v>
      </c>
      <c r="G23" s="137">
        <f t="shared" si="1"/>
        <v>0.46982201597816303</v>
      </c>
      <c r="H23">
        <v>0</v>
      </c>
      <c r="I23">
        <v>0.32428245529769273</v>
      </c>
      <c r="J23">
        <v>1.4623979978989561</v>
      </c>
      <c r="K23">
        <v>85</v>
      </c>
      <c r="L23" s="137">
        <f t="shared" si="2"/>
        <v>1.9294189257142926</v>
      </c>
      <c r="M23">
        <v>25.9</v>
      </c>
      <c r="N23" s="137">
        <f t="shared" si="3"/>
        <v>1.4132997640812519</v>
      </c>
      <c r="O23">
        <v>36.959146749272797</v>
      </c>
      <c r="P23" s="137">
        <f t="shared" si="4"/>
        <v>1.5677219364019672</v>
      </c>
      <c r="Q23">
        <v>3.0687415514991745</v>
      </c>
      <c r="R23">
        <v>3.5297005493117593</v>
      </c>
      <c r="S23">
        <v>9.8776241307459784</v>
      </c>
      <c r="T23">
        <v>5</v>
      </c>
      <c r="U23" s="137">
        <f t="shared" si="5"/>
        <v>0</v>
      </c>
    </row>
    <row r="24" spans="1:21" x14ac:dyDescent="0.35">
      <c r="A24">
        <v>-7.083282051960034E-2</v>
      </c>
      <c r="B24" s="50">
        <v>10.704109589041096</v>
      </c>
      <c r="C24" s="185">
        <f t="shared" si="0"/>
        <v>1.0295505467683097</v>
      </c>
      <c r="D24">
        <v>0</v>
      </c>
      <c r="E24">
        <v>1.568201724066995</v>
      </c>
      <c r="F24">
        <v>2.95</v>
      </c>
      <c r="G24" s="137">
        <f t="shared" si="1"/>
        <v>0.46982201597816303</v>
      </c>
      <c r="H24">
        <v>0</v>
      </c>
      <c r="I24">
        <v>0.24551266781414982</v>
      </c>
      <c r="J24">
        <v>1.4623979978989561</v>
      </c>
      <c r="K24">
        <v>85</v>
      </c>
      <c r="L24" s="137">
        <f t="shared" si="2"/>
        <v>1.9294189257142926</v>
      </c>
      <c r="M24">
        <v>25.9</v>
      </c>
      <c r="N24" s="137">
        <f t="shared" si="3"/>
        <v>1.4132997640812519</v>
      </c>
      <c r="O24">
        <v>36.959146749272797</v>
      </c>
      <c r="P24" s="137">
        <f t="shared" si="4"/>
        <v>1.5677219364019672</v>
      </c>
      <c r="Q24">
        <v>3.0687415514991745</v>
      </c>
      <c r="R24">
        <v>3.5297005493117593</v>
      </c>
      <c r="S24">
        <v>10.024958290630849</v>
      </c>
      <c r="T24">
        <v>9</v>
      </c>
      <c r="U24" s="137">
        <f t="shared" si="5"/>
        <v>0</v>
      </c>
    </row>
    <row r="25" spans="1:21" x14ac:dyDescent="0.35">
      <c r="A25">
        <v>0.13775272040897549</v>
      </c>
      <c r="B25" s="52">
        <v>9.8849315068493144</v>
      </c>
      <c r="C25" s="185">
        <f t="shared" si="0"/>
        <v>0.99497366441342938</v>
      </c>
      <c r="D25">
        <v>0</v>
      </c>
      <c r="E25">
        <v>1.1139433523068367</v>
      </c>
      <c r="F25">
        <v>2.95</v>
      </c>
      <c r="G25" s="137">
        <f t="shared" si="1"/>
        <v>0.46982201597816303</v>
      </c>
      <c r="H25">
        <v>0</v>
      </c>
      <c r="I25">
        <v>0.22271647114758325</v>
      </c>
      <c r="J25">
        <v>1.4623979978989561</v>
      </c>
      <c r="K25">
        <v>85</v>
      </c>
      <c r="L25" s="137">
        <f t="shared" si="2"/>
        <v>1.9294189257142926</v>
      </c>
      <c r="M25">
        <v>25.9</v>
      </c>
      <c r="N25" s="137">
        <f t="shared" si="3"/>
        <v>1.4132997640812519</v>
      </c>
      <c r="O25">
        <v>36.959146749272797</v>
      </c>
      <c r="P25" s="137">
        <f t="shared" si="4"/>
        <v>1.5677219364019672</v>
      </c>
      <c r="Q25">
        <v>3.0687415514991745</v>
      </c>
      <c r="R25">
        <v>3.5297005493117593</v>
      </c>
      <c r="S25">
        <v>9.1038037209559572</v>
      </c>
      <c r="T25">
        <v>7</v>
      </c>
      <c r="U25" s="137">
        <f t="shared" si="5"/>
        <v>0</v>
      </c>
    </row>
    <row r="26" spans="1:21" x14ac:dyDescent="0.35">
      <c r="A26">
        <v>0.7113368373392579</v>
      </c>
      <c r="B26" s="50">
        <v>13.038356164383561</v>
      </c>
      <c r="C26" s="185">
        <f t="shared" si="0"/>
        <v>1.1152228403422828</v>
      </c>
      <c r="D26">
        <v>0</v>
      </c>
      <c r="E26">
        <v>0.69897000433601886</v>
      </c>
      <c r="F26">
        <v>2.95</v>
      </c>
      <c r="G26" s="137">
        <f t="shared" si="1"/>
        <v>0.46982201597816303</v>
      </c>
      <c r="H26">
        <v>0</v>
      </c>
      <c r="I26">
        <v>0.2576785748691845</v>
      </c>
      <c r="J26">
        <v>1.0791812460476249</v>
      </c>
      <c r="K26">
        <v>85</v>
      </c>
      <c r="L26" s="137">
        <f t="shared" si="2"/>
        <v>1.9294189257142926</v>
      </c>
      <c r="M26">
        <v>24.9</v>
      </c>
      <c r="N26" s="137">
        <f t="shared" si="3"/>
        <v>1.3961993470957363</v>
      </c>
      <c r="O26">
        <v>36.710134890601303</v>
      </c>
      <c r="P26" s="137">
        <f t="shared" si="4"/>
        <v>1.564785980312654</v>
      </c>
      <c r="Q26">
        <v>3.1814248062191788</v>
      </c>
      <c r="R26">
        <v>3.7294207535322617</v>
      </c>
      <c r="S26">
        <v>8.8714736902527402</v>
      </c>
      <c r="T26">
        <v>5</v>
      </c>
      <c r="U26" s="137">
        <f t="shared" si="5"/>
        <v>0</v>
      </c>
    </row>
    <row r="27" spans="1:21" x14ac:dyDescent="0.35">
      <c r="A27">
        <v>0.76943519833464757</v>
      </c>
      <c r="B27" s="52">
        <v>2.2082191780821918</v>
      </c>
      <c r="C27" s="185">
        <f t="shared" si="0"/>
        <v>0.34404217734861592</v>
      </c>
      <c r="D27">
        <v>0</v>
      </c>
      <c r="E27">
        <v>1.4771212547196624</v>
      </c>
      <c r="F27">
        <v>2.95</v>
      </c>
      <c r="G27" s="137">
        <f t="shared" si="1"/>
        <v>0.46982201597816303</v>
      </c>
      <c r="H27">
        <v>0</v>
      </c>
      <c r="I27">
        <v>7.1882007306125359E-2</v>
      </c>
      <c r="J27">
        <v>1.2787536009528289</v>
      </c>
      <c r="K27">
        <v>91.9</v>
      </c>
      <c r="L27" s="137">
        <f t="shared" si="2"/>
        <v>1.9633155113861114</v>
      </c>
      <c r="M27">
        <v>23</v>
      </c>
      <c r="N27" s="137">
        <f t="shared" si="3"/>
        <v>1.3617278360175928</v>
      </c>
      <c r="O27">
        <v>43.262530407091703</v>
      </c>
      <c r="P27" s="137">
        <f t="shared" si="4"/>
        <v>1.636111917546391</v>
      </c>
      <c r="Q27">
        <v>3.1814248062191788</v>
      </c>
      <c r="R27">
        <v>3.7294207535322617</v>
      </c>
      <c r="S27">
        <v>8.6707837480360155</v>
      </c>
      <c r="T27">
        <v>3</v>
      </c>
      <c r="U27" s="137">
        <f t="shared" si="5"/>
        <v>0</v>
      </c>
    </row>
    <row r="28" spans="1:21" x14ac:dyDescent="0.35">
      <c r="A28">
        <v>0.12665852846071504</v>
      </c>
      <c r="B28" s="50">
        <v>5.7260273972602738</v>
      </c>
      <c r="C28" s="185">
        <f t="shared" si="0"/>
        <v>0.75785342165457925</v>
      </c>
      <c r="D28">
        <v>0</v>
      </c>
      <c r="E28">
        <v>2.1335389083702174</v>
      </c>
      <c r="F28">
        <v>2.95</v>
      </c>
      <c r="G28" s="137">
        <f t="shared" si="1"/>
        <v>0.46982201597816303</v>
      </c>
      <c r="H28">
        <v>0</v>
      </c>
      <c r="I28">
        <v>-2.2276394711152253E-2</v>
      </c>
      <c r="J28">
        <v>1.2304489213782739</v>
      </c>
      <c r="K28">
        <v>91.4</v>
      </c>
      <c r="L28" s="137">
        <f t="shared" si="2"/>
        <v>1.9609461957338314</v>
      </c>
      <c r="M28">
        <v>26.7</v>
      </c>
      <c r="N28" s="137">
        <f t="shared" si="3"/>
        <v>1.4265112613645752</v>
      </c>
      <c r="O28">
        <v>37.425715444240403</v>
      </c>
      <c r="P28" s="137">
        <f t="shared" si="4"/>
        <v>1.5731701112332821</v>
      </c>
      <c r="Q28">
        <v>3.1814248062191788</v>
      </c>
      <c r="R28">
        <v>3.7294207535322617</v>
      </c>
      <c r="S28">
        <v>8.9115251380808047</v>
      </c>
      <c r="T28">
        <v>5</v>
      </c>
      <c r="U28" s="137">
        <f t="shared" si="5"/>
        <v>0</v>
      </c>
    </row>
    <row r="29" spans="1:21" x14ac:dyDescent="0.35">
      <c r="A29">
        <v>-1</v>
      </c>
      <c r="B29" s="52">
        <v>3.9643835616438357</v>
      </c>
      <c r="C29" s="185">
        <f t="shared" si="0"/>
        <v>0.59817566666256272</v>
      </c>
      <c r="D29">
        <v>0</v>
      </c>
      <c r="E29">
        <v>1.6334684555795864</v>
      </c>
      <c r="F29">
        <v>2.95</v>
      </c>
      <c r="G29" s="137">
        <f t="shared" si="1"/>
        <v>0.46982201597816303</v>
      </c>
      <c r="H29">
        <v>0</v>
      </c>
      <c r="I29">
        <v>7.1882007306125359E-2</v>
      </c>
      <c r="J29">
        <v>0.84509804001425681</v>
      </c>
      <c r="K29">
        <v>85</v>
      </c>
      <c r="L29" s="137">
        <f t="shared" si="2"/>
        <v>1.9294189257142926</v>
      </c>
      <c r="M29">
        <v>27.4</v>
      </c>
      <c r="N29" s="137">
        <f t="shared" si="3"/>
        <v>1.4377505628203879</v>
      </c>
      <c r="O29">
        <v>35.968444143503902</v>
      </c>
      <c r="P29" s="137">
        <f t="shared" si="4"/>
        <v>1.5559216523165715</v>
      </c>
      <c r="Q29">
        <v>3.1814248062191788</v>
      </c>
      <c r="R29">
        <v>3.7294207535322617</v>
      </c>
      <c r="S29">
        <v>8.2825994573845971</v>
      </c>
      <c r="T29">
        <v>4</v>
      </c>
      <c r="U29" s="137">
        <f t="shared" si="5"/>
        <v>0</v>
      </c>
    </row>
    <row r="30" spans="1:21" x14ac:dyDescent="0.35">
      <c r="A30">
        <v>0.15209098265191479</v>
      </c>
      <c r="B30" s="50">
        <v>3.4493150684931506</v>
      </c>
      <c r="C30" s="185">
        <f t="shared" si="0"/>
        <v>0.53773286565138789</v>
      </c>
      <c r="D30">
        <v>3.7707018228379927</v>
      </c>
      <c r="E30">
        <v>1.4771212547196624</v>
      </c>
      <c r="F30">
        <v>2.3199999999999998</v>
      </c>
      <c r="G30" s="137">
        <f t="shared" si="1"/>
        <v>0.36548798489089962</v>
      </c>
      <c r="H30">
        <v>2.12057393120585</v>
      </c>
      <c r="I30">
        <v>0.2253092817258629</v>
      </c>
      <c r="J30">
        <v>1.3802112417116059</v>
      </c>
      <c r="K30">
        <v>91.3</v>
      </c>
      <c r="L30" s="137">
        <f t="shared" si="2"/>
        <v>1.9604707775342989</v>
      </c>
      <c r="M30">
        <v>23.5</v>
      </c>
      <c r="N30" s="137">
        <f t="shared" si="3"/>
        <v>1.3710678622717363</v>
      </c>
      <c r="O30">
        <v>43.1672842383418</v>
      </c>
      <c r="P30" s="137">
        <f t="shared" si="4"/>
        <v>1.6351547269652249</v>
      </c>
      <c r="Q30">
        <v>3.5168755371419098</v>
      </c>
      <c r="R30">
        <v>3.8089017822076054</v>
      </c>
      <c r="S30">
        <v>9.4913616938342731</v>
      </c>
      <c r="T30">
        <v>7</v>
      </c>
      <c r="U30" s="137">
        <f t="shared" si="5"/>
        <v>1</v>
      </c>
    </row>
    <row r="31" spans="1:21" x14ac:dyDescent="0.35">
      <c r="A31">
        <v>0.34541095739585298</v>
      </c>
      <c r="B31" s="52">
        <v>6.5123287671232877</v>
      </c>
      <c r="C31" s="185">
        <f t="shared" si="0"/>
        <v>0.81373631727170559</v>
      </c>
      <c r="D31">
        <v>0</v>
      </c>
      <c r="E31">
        <v>1.8920946026904804</v>
      </c>
      <c r="F31">
        <v>2.95</v>
      </c>
      <c r="G31" s="137">
        <f t="shared" si="1"/>
        <v>0.46982201597816303</v>
      </c>
      <c r="H31">
        <v>0</v>
      </c>
      <c r="I31">
        <v>6.8185861746161619E-2</v>
      </c>
      <c r="J31">
        <v>1.3010299956639813</v>
      </c>
      <c r="K31">
        <v>91.4</v>
      </c>
      <c r="L31" s="137">
        <f t="shared" si="2"/>
        <v>1.9609461957338314</v>
      </c>
      <c r="M31">
        <v>26.7</v>
      </c>
      <c r="N31" s="137">
        <f t="shared" si="3"/>
        <v>1.4265112613645752</v>
      </c>
      <c r="O31">
        <v>37.425715444240403</v>
      </c>
      <c r="P31" s="137">
        <f t="shared" si="4"/>
        <v>1.5731701112332821</v>
      </c>
      <c r="Q31">
        <v>3.0958500844125241</v>
      </c>
      <c r="R31">
        <v>3.5078178355445662</v>
      </c>
      <c r="S31">
        <v>8.8007170782823856</v>
      </c>
      <c r="T31">
        <v>4</v>
      </c>
      <c r="U31" s="137">
        <f t="shared" si="5"/>
        <v>0</v>
      </c>
    </row>
    <row r="32" spans="1:21" x14ac:dyDescent="0.35">
      <c r="A32">
        <v>-0.94200805302231305</v>
      </c>
      <c r="B32" s="50">
        <v>2.8438356164383563</v>
      </c>
      <c r="C32" s="185">
        <f t="shared" si="0"/>
        <v>0.45390448905596437</v>
      </c>
      <c r="D32">
        <v>0</v>
      </c>
      <c r="E32">
        <v>2.1643528557844371</v>
      </c>
      <c r="F32">
        <v>2.95</v>
      </c>
      <c r="G32" s="137">
        <f t="shared" si="1"/>
        <v>0.46982201597816303</v>
      </c>
      <c r="H32">
        <v>0</v>
      </c>
      <c r="I32">
        <v>0.17026171539495738</v>
      </c>
      <c r="J32">
        <v>1.3979400086720377</v>
      </c>
      <c r="K32">
        <v>91.1</v>
      </c>
      <c r="L32" s="137">
        <f t="shared" si="2"/>
        <v>1.9595183769729982</v>
      </c>
      <c r="M32">
        <v>24.1</v>
      </c>
      <c r="N32" s="137">
        <f t="shared" si="3"/>
        <v>1.3820170425748683</v>
      </c>
      <c r="O32">
        <v>40.229046020662899</v>
      </c>
      <c r="P32" s="137">
        <f t="shared" si="4"/>
        <v>1.6045397339663818</v>
      </c>
      <c r="Q32">
        <v>3.0958500844125241</v>
      </c>
      <c r="R32">
        <v>3.5078178355445662</v>
      </c>
      <c r="S32">
        <v>9.6901960800285138</v>
      </c>
      <c r="T32">
        <v>8</v>
      </c>
      <c r="U32" s="137">
        <f t="shared" si="5"/>
        <v>0</v>
      </c>
    </row>
    <row r="33" spans="1:21" x14ac:dyDescent="0.35">
      <c r="A33">
        <v>-4.1392685158225057E-2</v>
      </c>
      <c r="B33" s="52">
        <v>5.6520547945205477</v>
      </c>
      <c r="C33" s="185">
        <f t="shared" si="0"/>
        <v>0.7522063635166768</v>
      </c>
      <c r="D33">
        <v>0</v>
      </c>
      <c r="E33">
        <v>1.2304489213782739</v>
      </c>
      <c r="F33">
        <v>2.95</v>
      </c>
      <c r="G33" s="137">
        <f t="shared" si="1"/>
        <v>0.46982201597816303</v>
      </c>
      <c r="H33">
        <v>0</v>
      </c>
      <c r="I33">
        <v>0.26951294421791627</v>
      </c>
      <c r="J33">
        <v>1.3979400086720377</v>
      </c>
      <c r="K33">
        <v>91.1</v>
      </c>
      <c r="L33" s="137">
        <f t="shared" si="2"/>
        <v>1.9595183769729982</v>
      </c>
      <c r="M33">
        <v>24.1</v>
      </c>
      <c r="N33" s="137">
        <f t="shared" si="3"/>
        <v>1.3820170425748683</v>
      </c>
      <c r="O33">
        <v>40.229046020662899</v>
      </c>
      <c r="P33" s="137">
        <f t="shared" si="4"/>
        <v>1.6045397339663818</v>
      </c>
      <c r="Q33">
        <v>3.0958500844125241</v>
      </c>
      <c r="R33">
        <v>3.5078178355445662</v>
      </c>
      <c r="S33">
        <v>9.518513939877888</v>
      </c>
      <c r="T33">
        <v>4</v>
      </c>
      <c r="U33" s="137">
        <f t="shared" si="5"/>
        <v>0</v>
      </c>
    </row>
    <row r="34" spans="1:21" x14ac:dyDescent="0.35">
      <c r="A34">
        <v>0.46982201597816303</v>
      </c>
      <c r="B34" s="50">
        <v>11.03013698630137</v>
      </c>
      <c r="C34" s="185">
        <f t="shared" si="0"/>
        <v>1.0425809060961611</v>
      </c>
      <c r="D34">
        <v>0</v>
      </c>
      <c r="E34">
        <v>0</v>
      </c>
      <c r="F34">
        <v>2.95</v>
      </c>
      <c r="G34" s="137">
        <f t="shared" si="1"/>
        <v>0.46982201597816303</v>
      </c>
      <c r="H34">
        <v>0</v>
      </c>
      <c r="I34">
        <v>0.2355284469075489</v>
      </c>
      <c r="J34">
        <v>1.2304489213782739</v>
      </c>
      <c r="K34">
        <v>85</v>
      </c>
      <c r="L34" s="137">
        <f t="shared" si="2"/>
        <v>1.9294189257142926</v>
      </c>
      <c r="M34">
        <v>24.6</v>
      </c>
      <c r="N34" s="137">
        <f t="shared" si="3"/>
        <v>1.3909351071033791</v>
      </c>
      <c r="O34">
        <v>36.876470987978301</v>
      </c>
      <c r="P34" s="137">
        <f t="shared" si="4"/>
        <v>1.5667493531684615</v>
      </c>
      <c r="Q34">
        <v>3.0958500844125241</v>
      </c>
      <c r="R34">
        <v>3.5078178355445662</v>
      </c>
      <c r="S34">
        <v>8.8450980400142569</v>
      </c>
      <c r="T34">
        <v>1</v>
      </c>
      <c r="U34" s="137">
        <f t="shared" si="5"/>
        <v>0</v>
      </c>
    </row>
    <row r="35" spans="1:21" x14ac:dyDescent="0.35">
      <c r="A35">
        <v>0.49136169383427269</v>
      </c>
      <c r="B35" s="52">
        <v>4.5452054794520551</v>
      </c>
      <c r="C35" s="185">
        <f t="shared" si="0"/>
        <v>0.65755352156788605</v>
      </c>
      <c r="D35">
        <v>0</v>
      </c>
      <c r="E35">
        <v>1.414973347970818</v>
      </c>
      <c r="F35">
        <v>2.95</v>
      </c>
      <c r="G35" s="137">
        <f t="shared" si="1"/>
        <v>0.46982201597816303</v>
      </c>
      <c r="H35">
        <v>0</v>
      </c>
      <c r="I35">
        <v>-7.0581074285707285E-2</v>
      </c>
      <c r="J35">
        <v>1.2787536009528289</v>
      </c>
      <c r="K35">
        <v>93.2</v>
      </c>
      <c r="L35" s="137">
        <f t="shared" si="2"/>
        <v>1.9694159123539814</v>
      </c>
      <c r="M35">
        <v>26.7</v>
      </c>
      <c r="N35" s="137">
        <f t="shared" si="3"/>
        <v>1.4265112613645752</v>
      </c>
      <c r="O35">
        <v>36.669158714517401</v>
      </c>
      <c r="P35" s="137">
        <f t="shared" si="4"/>
        <v>1.5643009462345601</v>
      </c>
      <c r="Q35">
        <v>3.0958500844125241</v>
      </c>
      <c r="R35">
        <v>3.5078178355445662</v>
      </c>
      <c r="S35">
        <v>9</v>
      </c>
      <c r="T35">
        <v>7</v>
      </c>
      <c r="U35" s="137">
        <f t="shared" si="5"/>
        <v>0</v>
      </c>
    </row>
    <row r="36" spans="1:21" x14ac:dyDescent="0.35">
      <c r="A36">
        <v>-0.67669360962486658</v>
      </c>
      <c r="B36" s="50">
        <v>5.8191780821917805</v>
      </c>
      <c r="C36" s="185">
        <f t="shared" si="0"/>
        <v>0.76486164795295675</v>
      </c>
      <c r="D36">
        <v>0</v>
      </c>
      <c r="E36">
        <v>1.0413926851582251</v>
      </c>
      <c r="F36">
        <v>2.95</v>
      </c>
      <c r="G36" s="137">
        <f t="shared" si="1"/>
        <v>0.46982201597816303</v>
      </c>
      <c r="H36">
        <v>0</v>
      </c>
      <c r="I36">
        <v>-8.7739243075051505E-3</v>
      </c>
      <c r="J36">
        <v>1.3010299956639813</v>
      </c>
      <c r="K36">
        <v>91.4</v>
      </c>
      <c r="L36" s="137">
        <f t="shared" si="2"/>
        <v>1.9609461957338314</v>
      </c>
      <c r="M36">
        <v>26.7</v>
      </c>
      <c r="N36" s="137">
        <f t="shared" si="3"/>
        <v>1.4265112613645752</v>
      </c>
      <c r="O36">
        <v>37.425715444240403</v>
      </c>
      <c r="P36" s="137">
        <f t="shared" si="4"/>
        <v>1.5731701112332821</v>
      </c>
      <c r="Q36">
        <v>3.0958500844125241</v>
      </c>
      <c r="R36">
        <v>3.5078178355445662</v>
      </c>
      <c r="S36">
        <v>8.6766936096248664</v>
      </c>
      <c r="T36">
        <v>7</v>
      </c>
      <c r="U36" s="137">
        <f t="shared" si="5"/>
        <v>0</v>
      </c>
    </row>
    <row r="37" spans="1:21" x14ac:dyDescent="0.35">
      <c r="A37">
        <v>0.38021124171160603</v>
      </c>
      <c r="B37" s="52">
        <v>6.934246575342466</v>
      </c>
      <c r="C37" s="185">
        <f t="shared" si="0"/>
        <v>0.84099928070177954</v>
      </c>
      <c r="D37">
        <v>0</v>
      </c>
      <c r="E37">
        <v>1.7075701760979363</v>
      </c>
      <c r="F37">
        <v>2.95</v>
      </c>
      <c r="G37" s="137">
        <f t="shared" si="1"/>
        <v>0.46982201597816303</v>
      </c>
      <c r="H37">
        <v>0</v>
      </c>
      <c r="I37">
        <v>0.21484384804769791</v>
      </c>
      <c r="J37">
        <v>1.3617278360175928</v>
      </c>
      <c r="K37">
        <v>92.6</v>
      </c>
      <c r="L37" s="137">
        <f t="shared" si="2"/>
        <v>1.9666109866819343</v>
      </c>
      <c r="M37">
        <v>25.7</v>
      </c>
      <c r="N37" s="137">
        <f t="shared" si="3"/>
        <v>1.4099331233312946</v>
      </c>
      <c r="O37">
        <v>39.823361151429197</v>
      </c>
      <c r="P37" s="137">
        <f t="shared" si="4"/>
        <v>1.6001379123442065</v>
      </c>
      <c r="Q37">
        <v>3.3647319918335836</v>
      </c>
      <c r="R37">
        <v>3.568659604598353</v>
      </c>
      <c r="S37">
        <v>8.8450980400142569</v>
      </c>
      <c r="T37">
        <v>7</v>
      </c>
      <c r="U37" s="137">
        <f t="shared" si="5"/>
        <v>0</v>
      </c>
    </row>
    <row r="38" spans="1:21" x14ac:dyDescent="0.35">
      <c r="A38">
        <v>0.60065948076032849</v>
      </c>
      <c r="B38" s="50">
        <v>2.956164383561644</v>
      </c>
      <c r="C38" s="185">
        <f t="shared" si="0"/>
        <v>0.47072858022643599</v>
      </c>
      <c r="D38">
        <v>0</v>
      </c>
      <c r="E38">
        <v>0.95424250943932487</v>
      </c>
      <c r="F38">
        <v>2.95</v>
      </c>
      <c r="G38" s="137">
        <f t="shared" si="1"/>
        <v>0.46982201597816303</v>
      </c>
      <c r="H38">
        <v>0</v>
      </c>
      <c r="I38">
        <v>0.12057393120584989</v>
      </c>
      <c r="J38">
        <v>1.2787536009528289</v>
      </c>
      <c r="K38">
        <v>85</v>
      </c>
      <c r="L38" s="137">
        <f t="shared" si="2"/>
        <v>1.9294189257142926</v>
      </c>
      <c r="M38">
        <v>24.6</v>
      </c>
      <c r="N38" s="137">
        <f t="shared" si="3"/>
        <v>1.3909351071033791</v>
      </c>
      <c r="O38">
        <v>36.876470987978301</v>
      </c>
      <c r="P38" s="137">
        <f t="shared" si="4"/>
        <v>1.5667493531684615</v>
      </c>
      <c r="Q38">
        <v>3.3647319918335836</v>
      </c>
      <c r="R38">
        <v>3.568659604598353</v>
      </c>
      <c r="S38">
        <v>9.493315818920113</v>
      </c>
      <c r="T38">
        <v>5</v>
      </c>
      <c r="U38" s="137">
        <f t="shared" si="5"/>
        <v>0</v>
      </c>
    </row>
    <row r="39" spans="1:21" x14ac:dyDescent="0.35">
      <c r="A39">
        <v>0.29589035601157015</v>
      </c>
      <c r="B39" s="52">
        <v>4.3890410958904109</v>
      </c>
      <c r="C39" s="185">
        <f t="shared" si="0"/>
        <v>0.64236964729174417</v>
      </c>
      <c r="D39">
        <v>0</v>
      </c>
      <c r="E39">
        <v>1.919078092376074</v>
      </c>
      <c r="F39">
        <v>2.95</v>
      </c>
      <c r="G39" s="137">
        <f t="shared" si="1"/>
        <v>0.46982201597816303</v>
      </c>
      <c r="H39">
        <v>0</v>
      </c>
      <c r="I39">
        <v>0.17897694729316943</v>
      </c>
      <c r="J39">
        <v>1.2304489213782739</v>
      </c>
      <c r="K39">
        <v>85</v>
      </c>
      <c r="L39" s="137">
        <f t="shared" si="2"/>
        <v>1.9294189257142926</v>
      </c>
      <c r="M39">
        <v>24.9</v>
      </c>
      <c r="N39" s="137">
        <f t="shared" si="3"/>
        <v>1.3961993470957363</v>
      </c>
      <c r="O39">
        <v>36.710134890601303</v>
      </c>
      <c r="P39" s="137">
        <f t="shared" si="4"/>
        <v>1.564785980312654</v>
      </c>
      <c r="Q39">
        <v>3.3647319918335836</v>
      </c>
      <c r="R39">
        <v>3.568659604598353</v>
      </c>
      <c r="S39">
        <v>9.2304489213782741</v>
      </c>
      <c r="T39">
        <v>4</v>
      </c>
      <c r="U39" s="137">
        <f t="shared" si="5"/>
        <v>0</v>
      </c>
    </row>
    <row r="40" spans="1:21" x14ac:dyDescent="0.35">
      <c r="A40">
        <v>-0.78233669104106385</v>
      </c>
      <c r="B40" s="50">
        <v>6.5616438356164384</v>
      </c>
      <c r="C40" s="185">
        <f t="shared" si="0"/>
        <v>0.81701265329410733</v>
      </c>
      <c r="D40">
        <v>3.7707018228379927</v>
      </c>
      <c r="E40">
        <v>1.9294189257142926</v>
      </c>
      <c r="F40">
        <v>2.3199999999999998</v>
      </c>
      <c r="G40" s="137">
        <f t="shared" si="1"/>
        <v>0.36548798489089962</v>
      </c>
      <c r="H40">
        <v>2.12057393120585</v>
      </c>
      <c r="I40">
        <v>2.5305865264770262E-2</v>
      </c>
      <c r="J40">
        <v>1.2304489213782739</v>
      </c>
      <c r="K40">
        <v>85</v>
      </c>
      <c r="L40" s="137">
        <f t="shared" si="2"/>
        <v>1.9294189257142926</v>
      </c>
      <c r="M40">
        <v>27.8</v>
      </c>
      <c r="N40" s="137">
        <f t="shared" si="3"/>
        <v>1.4440447959180762</v>
      </c>
      <c r="O40">
        <v>35.119429201759203</v>
      </c>
      <c r="P40" s="137">
        <f t="shared" si="4"/>
        <v>1.5455474486765259</v>
      </c>
      <c r="Q40">
        <v>3.2224645332922388</v>
      </c>
      <c r="R40">
        <v>3.707126713924402</v>
      </c>
      <c r="S40">
        <v>9.0253747397273578</v>
      </c>
      <c r="T40">
        <v>5</v>
      </c>
      <c r="U40" s="137">
        <f t="shared" si="5"/>
        <v>1</v>
      </c>
    </row>
    <row r="41" spans="1:21" x14ac:dyDescent="0.35">
      <c r="A41">
        <v>1.1704873815376828</v>
      </c>
      <c r="B41" s="52">
        <v>6.0027397260273974</v>
      </c>
      <c r="C41" s="185">
        <f t="shared" si="0"/>
        <v>0.77834951310423062</v>
      </c>
      <c r="D41">
        <v>0</v>
      </c>
      <c r="E41">
        <v>0</v>
      </c>
      <c r="F41">
        <v>2.95</v>
      </c>
      <c r="G41" s="137">
        <f t="shared" si="1"/>
        <v>0.46982201597816303</v>
      </c>
      <c r="H41">
        <v>0</v>
      </c>
      <c r="I41">
        <v>1.703333929878037E-2</v>
      </c>
      <c r="J41">
        <v>1.2041199826559248</v>
      </c>
      <c r="K41">
        <v>85</v>
      </c>
      <c r="L41" s="137">
        <f t="shared" si="2"/>
        <v>1.9294189257142926</v>
      </c>
      <c r="M41">
        <v>24.6</v>
      </c>
      <c r="N41" s="137">
        <f t="shared" si="3"/>
        <v>1.3909351071033791</v>
      </c>
      <c r="O41">
        <v>36.876470987978301</v>
      </c>
      <c r="P41" s="137">
        <f t="shared" si="4"/>
        <v>1.5667493531684615</v>
      </c>
      <c r="Q41">
        <v>3.9186507422978978</v>
      </c>
      <c r="R41">
        <v>3.9937960064170404</v>
      </c>
      <c r="S41">
        <v>8.1139433523068369</v>
      </c>
      <c r="T41">
        <v>3</v>
      </c>
      <c r="U41" s="137">
        <f t="shared" si="5"/>
        <v>0</v>
      </c>
    </row>
    <row r="42" spans="1:21" x14ac:dyDescent="0.35">
      <c r="A42">
        <v>0.84198480459011393</v>
      </c>
      <c r="B42" s="50">
        <v>1.7205479452054795</v>
      </c>
      <c r="C42" s="185">
        <f t="shared" si="0"/>
        <v>0.23566677928072144</v>
      </c>
      <c r="D42">
        <v>0</v>
      </c>
      <c r="E42">
        <v>2.1303337684950061</v>
      </c>
      <c r="F42">
        <v>2.95</v>
      </c>
      <c r="G42" s="137">
        <f t="shared" si="1"/>
        <v>0.46982201597816303</v>
      </c>
      <c r="H42">
        <v>0</v>
      </c>
      <c r="I42">
        <v>5.6904851336472641E-2</v>
      </c>
      <c r="J42">
        <v>1.1760912590556813</v>
      </c>
      <c r="K42">
        <v>85</v>
      </c>
      <c r="L42" s="137">
        <f t="shared" si="2"/>
        <v>1.9294189257142926</v>
      </c>
      <c r="M42">
        <v>24.4</v>
      </c>
      <c r="N42" s="137">
        <f t="shared" si="3"/>
        <v>1.3873898263387294</v>
      </c>
      <c r="O42">
        <v>37.256914365427299</v>
      </c>
      <c r="P42" s="137">
        <f t="shared" si="4"/>
        <v>1.5712068835833228</v>
      </c>
      <c r="Q42">
        <v>3.9186507422978978</v>
      </c>
      <c r="R42">
        <v>3.9937960064170404</v>
      </c>
      <c r="S42">
        <v>8.0791812460476251</v>
      </c>
      <c r="T42">
        <v>3</v>
      </c>
      <c r="U42" s="137">
        <f t="shared" si="5"/>
        <v>0</v>
      </c>
    </row>
    <row r="43" spans="1:21" x14ac:dyDescent="0.35">
      <c r="A43">
        <v>4.5322978786657475E-2</v>
      </c>
      <c r="B43" s="52">
        <v>2.6273972602739728</v>
      </c>
      <c r="C43" s="185">
        <f t="shared" si="0"/>
        <v>0.41952574271418891</v>
      </c>
      <c r="D43">
        <v>0</v>
      </c>
      <c r="E43">
        <v>0.47712125471966244</v>
      </c>
      <c r="F43">
        <v>2.95</v>
      </c>
      <c r="G43" s="137">
        <f t="shared" si="1"/>
        <v>0.46982201597816303</v>
      </c>
      <c r="H43">
        <v>0</v>
      </c>
      <c r="I43">
        <v>4.3213737826425782E-3</v>
      </c>
      <c r="J43">
        <v>1.1139433523068367</v>
      </c>
      <c r="K43">
        <v>85</v>
      </c>
      <c r="L43" s="137">
        <f t="shared" si="2"/>
        <v>1.9294189257142926</v>
      </c>
      <c r="M43">
        <v>27.2</v>
      </c>
      <c r="N43" s="137">
        <f t="shared" si="3"/>
        <v>1.4345689040341987</v>
      </c>
      <c r="O43">
        <v>35.608384832026097</v>
      </c>
      <c r="P43" s="137">
        <f t="shared" si="4"/>
        <v>1.5515522748692276</v>
      </c>
      <c r="Q43">
        <v>3.9186507422978978</v>
      </c>
      <c r="R43">
        <v>3.9937960064170404</v>
      </c>
      <c r="S43">
        <v>8.0413926851582254</v>
      </c>
      <c r="T43">
        <v>3</v>
      </c>
      <c r="U43" s="137">
        <f t="shared" si="5"/>
        <v>0</v>
      </c>
    </row>
    <row r="44" spans="1:21" x14ac:dyDescent="0.35">
      <c r="A44">
        <v>1.3756670641516049</v>
      </c>
      <c r="B44" s="50">
        <v>17.416438356164385</v>
      </c>
      <c r="C44" s="185">
        <f t="shared" si="0"/>
        <v>1.2409593469739824</v>
      </c>
      <c r="D44">
        <v>0</v>
      </c>
      <c r="E44">
        <v>1.6989700043360187</v>
      </c>
      <c r="F44">
        <v>2.95</v>
      </c>
      <c r="G44" s="137">
        <f t="shared" si="1"/>
        <v>0.46982201597816303</v>
      </c>
      <c r="H44">
        <v>0</v>
      </c>
      <c r="I44">
        <v>0.52608069180202999</v>
      </c>
      <c r="J44">
        <v>0.69897000433601886</v>
      </c>
      <c r="K44">
        <v>85</v>
      </c>
      <c r="L44" s="137">
        <f t="shared" si="2"/>
        <v>1.9294189257142926</v>
      </c>
      <c r="M44">
        <v>25.9</v>
      </c>
      <c r="N44" s="137">
        <f t="shared" si="3"/>
        <v>1.4132997640812519</v>
      </c>
      <c r="O44">
        <v>40.815825693332798</v>
      </c>
      <c r="P44" s="137">
        <f t="shared" si="4"/>
        <v>1.6108285865865359</v>
      </c>
      <c r="Q44">
        <v>3.0687415514991745</v>
      </c>
      <c r="R44">
        <v>3.5297005493117593</v>
      </c>
      <c r="S44">
        <v>8.7242758696007883</v>
      </c>
      <c r="T44">
        <v>7</v>
      </c>
      <c r="U44" s="137">
        <f t="shared" si="5"/>
        <v>0</v>
      </c>
    </row>
    <row r="45" spans="1:21" x14ac:dyDescent="0.35">
      <c r="A45">
        <v>1.2964977164367635E-2</v>
      </c>
      <c r="B45" s="52">
        <v>11.863013698630137</v>
      </c>
      <c r="C45" s="185">
        <f t="shared" si="0"/>
        <v>1.0741950318968907</v>
      </c>
      <c r="D45">
        <v>0</v>
      </c>
      <c r="E45">
        <v>1.7708520116421442</v>
      </c>
      <c r="F45">
        <v>2.95</v>
      </c>
      <c r="G45" s="137">
        <f t="shared" si="1"/>
        <v>0.46982201597816303</v>
      </c>
      <c r="H45">
        <v>0</v>
      </c>
      <c r="I45">
        <v>0.36642295722597273</v>
      </c>
      <c r="J45">
        <v>0.69897000433601886</v>
      </c>
      <c r="K45">
        <v>85</v>
      </c>
      <c r="L45" s="137">
        <f t="shared" si="2"/>
        <v>1.9294189257142926</v>
      </c>
      <c r="M45">
        <v>25.9</v>
      </c>
      <c r="N45" s="137">
        <f t="shared" si="3"/>
        <v>1.4132997640812519</v>
      </c>
      <c r="O45">
        <v>40.815825693332798</v>
      </c>
      <c r="P45" s="137">
        <f t="shared" si="4"/>
        <v>1.6108285865865359</v>
      </c>
      <c r="Q45">
        <v>3.0687415514991745</v>
      </c>
      <c r="R45">
        <v>3.5297005493117593</v>
      </c>
      <c r="S45">
        <v>8.518513939877888</v>
      </c>
      <c r="T45">
        <v>1</v>
      </c>
      <c r="U45" s="137">
        <f t="shared" si="5"/>
        <v>0</v>
      </c>
    </row>
    <row r="46" spans="1:21" x14ac:dyDescent="0.35">
      <c r="A46">
        <v>0.31840409173340389</v>
      </c>
      <c r="B46" s="50">
        <v>2.5534246575342467</v>
      </c>
      <c r="C46" s="185">
        <f t="shared" si="0"/>
        <v>0.4071230478975067</v>
      </c>
      <c r="D46">
        <v>0</v>
      </c>
      <c r="E46">
        <v>1.7993405494535817</v>
      </c>
      <c r="F46">
        <v>2.95</v>
      </c>
      <c r="G46" s="137">
        <f t="shared" si="1"/>
        <v>0.46982201597816303</v>
      </c>
      <c r="H46">
        <v>0</v>
      </c>
      <c r="I46">
        <v>0.20112389720737955</v>
      </c>
      <c r="J46">
        <v>0.77815125038364363</v>
      </c>
      <c r="K46">
        <v>85</v>
      </c>
      <c r="L46" s="137">
        <f t="shared" si="2"/>
        <v>1.9294189257142926</v>
      </c>
      <c r="M46">
        <v>26</v>
      </c>
      <c r="N46" s="137">
        <f t="shared" si="3"/>
        <v>1.414973347970818</v>
      </c>
      <c r="O46">
        <v>40.815825693332798</v>
      </c>
      <c r="P46" s="137">
        <f t="shared" si="4"/>
        <v>1.6108285865865359</v>
      </c>
      <c r="Q46">
        <v>3.0687415514991745</v>
      </c>
      <c r="R46">
        <v>3.5297005493117593</v>
      </c>
      <c r="S46">
        <v>8.3891660843645326</v>
      </c>
      <c r="T46">
        <v>4</v>
      </c>
      <c r="U46" s="137">
        <f t="shared" si="5"/>
        <v>0</v>
      </c>
    </row>
    <row r="47" spans="1:21" x14ac:dyDescent="0.35">
      <c r="A47">
        <v>0.17764508712430291</v>
      </c>
      <c r="B47" s="52">
        <v>2.1232876712328768</v>
      </c>
      <c r="C47" s="185">
        <f t="shared" si="0"/>
        <v>0.3270088380498356</v>
      </c>
      <c r="D47">
        <v>0</v>
      </c>
      <c r="E47">
        <v>2.2479732663618068</v>
      </c>
      <c r="F47">
        <v>2.95</v>
      </c>
      <c r="G47" s="137">
        <f t="shared" si="1"/>
        <v>0.46982201597816303</v>
      </c>
      <c r="H47">
        <v>0</v>
      </c>
      <c r="I47">
        <v>0.15075643986030904</v>
      </c>
      <c r="J47">
        <v>0.90308998699194354</v>
      </c>
      <c r="K47">
        <v>85</v>
      </c>
      <c r="L47" s="137">
        <f t="shared" si="2"/>
        <v>1.9294189257142926</v>
      </c>
      <c r="M47">
        <v>24.1</v>
      </c>
      <c r="N47" s="137">
        <f t="shared" si="3"/>
        <v>1.3820170425748683</v>
      </c>
      <c r="O47">
        <v>36.728532427451597</v>
      </c>
      <c r="P47" s="137">
        <f t="shared" si="4"/>
        <v>1.5650035754622837</v>
      </c>
      <c r="Q47">
        <v>3.0687415514991745</v>
      </c>
      <c r="R47">
        <v>3.5297005493117593</v>
      </c>
      <c r="S47">
        <v>8.6674529528899544</v>
      </c>
      <c r="T47">
        <v>5</v>
      </c>
      <c r="U47" s="137">
        <f t="shared" si="5"/>
        <v>0</v>
      </c>
    </row>
    <row r="48" spans="1:21" x14ac:dyDescent="0.35">
      <c r="A48">
        <v>4.0829641239383103E-2</v>
      </c>
      <c r="B48" s="50">
        <v>1.8821917808219177</v>
      </c>
      <c r="C48" s="185">
        <f t="shared" si="0"/>
        <v>0.27466387260307573</v>
      </c>
      <c r="D48">
        <v>0</v>
      </c>
      <c r="E48">
        <v>1.7708520116421442</v>
      </c>
      <c r="F48">
        <v>2.95</v>
      </c>
      <c r="G48" s="137">
        <f t="shared" si="1"/>
        <v>0.46982201597816303</v>
      </c>
      <c r="H48">
        <v>0</v>
      </c>
      <c r="I48">
        <v>0.15075643986030904</v>
      </c>
      <c r="J48">
        <v>0.90308998699194354</v>
      </c>
      <c r="K48">
        <v>85</v>
      </c>
      <c r="L48" s="137">
        <f t="shared" si="2"/>
        <v>1.9294189257142926</v>
      </c>
      <c r="M48">
        <v>24.1</v>
      </c>
      <c r="N48" s="137">
        <f t="shared" si="3"/>
        <v>1.3820170425748683</v>
      </c>
      <c r="O48">
        <v>36.728532427451597</v>
      </c>
      <c r="P48" s="137">
        <f t="shared" si="4"/>
        <v>1.5650035754622837</v>
      </c>
      <c r="Q48">
        <v>3.0687415514991745</v>
      </c>
      <c r="R48">
        <v>3.5297005493117593</v>
      </c>
      <c r="S48">
        <v>9.0051805125037809</v>
      </c>
      <c r="T48">
        <v>5</v>
      </c>
      <c r="U48" s="137">
        <f t="shared" si="5"/>
        <v>0</v>
      </c>
    </row>
    <row r="49" spans="1:21" x14ac:dyDescent="0.35">
      <c r="A49">
        <v>1.4723256820706378E-2</v>
      </c>
      <c r="B49" s="52">
        <v>3.1698630136986301</v>
      </c>
      <c r="C49" s="185">
        <f t="shared" si="0"/>
        <v>0.50104049449527488</v>
      </c>
      <c r="D49">
        <v>0</v>
      </c>
      <c r="E49">
        <v>1.8864907251724818</v>
      </c>
      <c r="F49">
        <v>2.95</v>
      </c>
      <c r="G49" s="137">
        <f t="shared" si="1"/>
        <v>0.46982201597816303</v>
      </c>
      <c r="H49">
        <v>0</v>
      </c>
      <c r="I49">
        <v>0.18808437371493819</v>
      </c>
      <c r="J49">
        <v>0.90308998699194354</v>
      </c>
      <c r="K49">
        <v>85</v>
      </c>
      <c r="L49" s="137">
        <f t="shared" si="2"/>
        <v>1.9294189257142926</v>
      </c>
      <c r="M49">
        <v>24.1</v>
      </c>
      <c r="N49" s="137">
        <f t="shared" si="3"/>
        <v>1.3820170425748683</v>
      </c>
      <c r="O49">
        <v>36.728532427451597</v>
      </c>
      <c r="P49" s="137">
        <f t="shared" si="4"/>
        <v>1.5650035754622837</v>
      </c>
      <c r="Q49">
        <v>3.0687415514991745</v>
      </c>
      <c r="R49">
        <v>3.5297005493117593</v>
      </c>
      <c r="S49">
        <v>8.7634279935629369</v>
      </c>
      <c r="T49">
        <v>7</v>
      </c>
      <c r="U49" s="137">
        <f t="shared" si="5"/>
        <v>0</v>
      </c>
    </row>
    <row r="50" spans="1:21" x14ac:dyDescent="0.35">
      <c r="A50">
        <v>-0.34468749021747885</v>
      </c>
      <c r="B50" s="50">
        <v>8.3698630136986303</v>
      </c>
      <c r="C50" s="185">
        <f t="shared" si="0"/>
        <v>0.92271835012209835</v>
      </c>
      <c r="D50">
        <v>0</v>
      </c>
      <c r="E50">
        <v>0.69897000433601886</v>
      </c>
      <c r="F50">
        <v>2.95</v>
      </c>
      <c r="G50" s="137">
        <f t="shared" si="1"/>
        <v>0.46982201597816303</v>
      </c>
      <c r="H50">
        <v>0</v>
      </c>
      <c r="I50">
        <v>0.32469391386177465</v>
      </c>
      <c r="J50">
        <v>0.90308998699194354</v>
      </c>
      <c r="K50">
        <v>85</v>
      </c>
      <c r="L50" s="137">
        <f t="shared" si="2"/>
        <v>1.9294189257142926</v>
      </c>
      <c r="M50">
        <v>24.1</v>
      </c>
      <c r="N50" s="137">
        <f t="shared" si="3"/>
        <v>1.3820170425748683</v>
      </c>
      <c r="O50">
        <v>36.728532427451597</v>
      </c>
      <c r="P50" s="137">
        <f t="shared" si="4"/>
        <v>1.5650035754622837</v>
      </c>
      <c r="Q50">
        <v>3.0687415514991745</v>
      </c>
      <c r="R50">
        <v>3.5297005493117593</v>
      </c>
      <c r="S50">
        <v>8.7752462597402356</v>
      </c>
      <c r="T50">
        <v>5</v>
      </c>
      <c r="U50" s="137">
        <f t="shared" si="5"/>
        <v>0</v>
      </c>
    </row>
    <row r="51" spans="1:21" x14ac:dyDescent="0.35">
      <c r="A51">
        <v>-0.83366857823347484</v>
      </c>
      <c r="B51" s="52">
        <v>5.0027397260273974</v>
      </c>
      <c r="C51" s="185">
        <f t="shared" si="0"/>
        <v>0.6992079087418055</v>
      </c>
      <c r="D51">
        <v>0</v>
      </c>
      <c r="E51">
        <v>1.7558748556724915</v>
      </c>
      <c r="F51">
        <v>2.95</v>
      </c>
      <c r="G51" s="137">
        <f t="shared" si="1"/>
        <v>0.46982201597816303</v>
      </c>
      <c r="H51">
        <v>0</v>
      </c>
      <c r="I51">
        <v>0.29797924415936239</v>
      </c>
      <c r="J51">
        <v>1</v>
      </c>
      <c r="K51">
        <v>85</v>
      </c>
      <c r="L51" s="137">
        <f t="shared" si="2"/>
        <v>1.9294189257142926</v>
      </c>
      <c r="M51">
        <v>24.6</v>
      </c>
      <c r="N51" s="137">
        <f t="shared" si="3"/>
        <v>1.3909351071033791</v>
      </c>
      <c r="O51">
        <v>37.767307016657</v>
      </c>
      <c r="P51" s="137">
        <f t="shared" si="4"/>
        <v>1.5771160187300453</v>
      </c>
      <c r="Q51">
        <v>3.0687415514991745</v>
      </c>
      <c r="R51">
        <v>3.5297005493117593</v>
      </c>
      <c r="S51">
        <v>9.5563025007672877</v>
      </c>
      <c r="T51">
        <v>8</v>
      </c>
      <c r="U51" s="137">
        <f t="shared" si="5"/>
        <v>0</v>
      </c>
    </row>
    <row r="52" spans="1:21" x14ac:dyDescent="0.35">
      <c r="A52">
        <v>1.5928223783612254</v>
      </c>
      <c r="B52" s="50">
        <v>6.7068493150684931</v>
      </c>
      <c r="C52" s="185">
        <f t="shared" si="0"/>
        <v>0.82651854901704891</v>
      </c>
      <c r="D52">
        <v>0</v>
      </c>
      <c r="E52">
        <v>2.2013971243204513</v>
      </c>
      <c r="F52">
        <v>2.95</v>
      </c>
      <c r="G52" s="137">
        <f t="shared" si="1"/>
        <v>0.46982201597816303</v>
      </c>
      <c r="H52">
        <v>0</v>
      </c>
      <c r="I52">
        <v>0.49136169383427269</v>
      </c>
      <c r="J52">
        <v>1.2304489213782739</v>
      </c>
      <c r="K52">
        <v>85</v>
      </c>
      <c r="L52" s="137">
        <f t="shared" si="2"/>
        <v>1.9294189257142926</v>
      </c>
      <c r="M52">
        <v>25.9</v>
      </c>
      <c r="N52" s="137">
        <f t="shared" si="3"/>
        <v>1.4132997640812519</v>
      </c>
      <c r="O52">
        <v>38.808513566771097</v>
      </c>
      <c r="P52" s="137">
        <f t="shared" si="4"/>
        <v>1.5889270088283503</v>
      </c>
      <c r="Q52">
        <v>3.0687415514991745</v>
      </c>
      <c r="R52">
        <v>3.5297005493117593</v>
      </c>
      <c r="S52">
        <v>7.8391007827071535</v>
      </c>
      <c r="T52">
        <v>5</v>
      </c>
      <c r="U52" s="137">
        <f t="shared" si="5"/>
        <v>0</v>
      </c>
    </row>
    <row r="53" spans="1:21" x14ac:dyDescent="0.35">
      <c r="A53">
        <v>0.20801431373935986</v>
      </c>
      <c r="B53" s="52">
        <v>3.2301369863013698</v>
      </c>
      <c r="C53" s="185">
        <f t="shared" si="0"/>
        <v>0.50922094063861445</v>
      </c>
      <c r="D53">
        <v>0</v>
      </c>
      <c r="E53">
        <v>1</v>
      </c>
      <c r="F53">
        <v>2.95</v>
      </c>
      <c r="G53" s="137">
        <f t="shared" si="1"/>
        <v>0.46982201597816303</v>
      </c>
      <c r="H53">
        <v>0</v>
      </c>
      <c r="I53">
        <v>0.31175386105575426</v>
      </c>
      <c r="J53">
        <v>1.2787536009528289</v>
      </c>
      <c r="K53">
        <v>85</v>
      </c>
      <c r="L53" s="137">
        <f t="shared" si="2"/>
        <v>1.9294189257142926</v>
      </c>
      <c r="M53">
        <v>26.5</v>
      </c>
      <c r="N53" s="137">
        <f t="shared" si="3"/>
        <v>1.4232458739368079</v>
      </c>
      <c r="O53">
        <v>37.808596853116498</v>
      </c>
      <c r="P53" s="137">
        <f t="shared" si="4"/>
        <v>1.577590560190987</v>
      </c>
      <c r="Q53">
        <v>3.0687415514991745</v>
      </c>
      <c r="R53">
        <v>3.5297005493117593</v>
      </c>
      <c r="S53">
        <v>8.5314789170422554</v>
      </c>
      <c r="T53">
        <v>5</v>
      </c>
      <c r="U53" s="137">
        <f t="shared" si="5"/>
        <v>0</v>
      </c>
    </row>
    <row r="54" spans="1:21" x14ac:dyDescent="0.35">
      <c r="A54">
        <v>0.5979434085885782</v>
      </c>
      <c r="B54" s="50">
        <v>3.3397260273972602</v>
      </c>
      <c r="C54" s="185">
        <f t="shared" si="0"/>
        <v>0.52371084116190725</v>
      </c>
      <c r="D54">
        <v>0</v>
      </c>
      <c r="E54">
        <v>0.90308998699194354</v>
      </c>
      <c r="F54">
        <v>2.95</v>
      </c>
      <c r="G54" s="137">
        <f t="shared" si="1"/>
        <v>0.46982201597816303</v>
      </c>
      <c r="H54">
        <v>0</v>
      </c>
      <c r="I54">
        <v>0.33645973384852951</v>
      </c>
      <c r="J54">
        <v>1.2787536009528289</v>
      </c>
      <c r="K54">
        <v>85</v>
      </c>
      <c r="L54" s="137">
        <f t="shared" si="2"/>
        <v>1.9294189257142926</v>
      </c>
      <c r="M54">
        <v>26.5</v>
      </c>
      <c r="N54" s="137">
        <f t="shared" si="3"/>
        <v>1.4232458739368079</v>
      </c>
      <c r="O54">
        <v>37.808596853116498</v>
      </c>
      <c r="P54" s="137">
        <f t="shared" si="4"/>
        <v>1.577590560190987</v>
      </c>
      <c r="Q54">
        <v>3.0687415514991745</v>
      </c>
      <c r="R54">
        <v>3.5297005493117593</v>
      </c>
      <c r="S54">
        <v>8.6989700043360187</v>
      </c>
      <c r="T54">
        <v>9</v>
      </c>
      <c r="U54" s="137">
        <f t="shared" si="5"/>
        <v>0</v>
      </c>
    </row>
    <row r="55" spans="1:21" x14ac:dyDescent="0.35">
      <c r="A55">
        <v>-0.24305045692280344</v>
      </c>
      <c r="B55" s="52">
        <v>9.7452054794520553</v>
      </c>
      <c r="C55" s="185">
        <f t="shared" si="0"/>
        <v>0.9887910007293057</v>
      </c>
      <c r="D55">
        <v>0</v>
      </c>
      <c r="E55">
        <v>2.1398790864012365</v>
      </c>
      <c r="F55">
        <v>2.95</v>
      </c>
      <c r="G55" s="137">
        <f t="shared" si="1"/>
        <v>0.46982201597816303</v>
      </c>
      <c r="H55">
        <v>0</v>
      </c>
      <c r="I55">
        <v>0.38021124171160603</v>
      </c>
      <c r="J55">
        <v>1.2787536009528289</v>
      </c>
      <c r="K55">
        <v>85</v>
      </c>
      <c r="L55" s="137">
        <f t="shared" si="2"/>
        <v>1.9294189257142926</v>
      </c>
      <c r="M55">
        <v>26.5</v>
      </c>
      <c r="N55" s="137">
        <f t="shared" si="3"/>
        <v>1.4232458739368079</v>
      </c>
      <c r="O55">
        <v>37.808596853116498</v>
      </c>
      <c r="P55" s="137">
        <f t="shared" si="4"/>
        <v>1.577590560190987</v>
      </c>
      <c r="Q55">
        <v>3.0687415514991745</v>
      </c>
      <c r="R55">
        <v>3.5297005493117593</v>
      </c>
      <c r="S55">
        <v>9.3222317029704289</v>
      </c>
      <c r="T55">
        <v>7</v>
      </c>
      <c r="U55" s="137">
        <f t="shared" si="5"/>
        <v>0</v>
      </c>
    </row>
    <row r="56" spans="1:21" x14ac:dyDescent="0.35">
      <c r="A56">
        <v>-1</v>
      </c>
      <c r="B56" s="50">
        <v>2.463013698630137</v>
      </c>
      <c r="C56" s="185">
        <f t="shared" si="0"/>
        <v>0.39146682727675408</v>
      </c>
      <c r="D56">
        <v>0</v>
      </c>
      <c r="E56">
        <v>1.7993405494535817</v>
      </c>
      <c r="F56">
        <v>2.95</v>
      </c>
      <c r="G56" s="137">
        <f t="shared" si="1"/>
        <v>0.46982201597816303</v>
      </c>
      <c r="H56">
        <v>0</v>
      </c>
      <c r="I56">
        <v>0.2528530309798932</v>
      </c>
      <c r="J56">
        <v>1.2787536009528289</v>
      </c>
      <c r="K56">
        <v>85</v>
      </c>
      <c r="L56" s="137">
        <f t="shared" si="2"/>
        <v>1.9294189257142926</v>
      </c>
      <c r="M56">
        <v>26.5</v>
      </c>
      <c r="N56" s="137">
        <f t="shared" si="3"/>
        <v>1.4232458739368079</v>
      </c>
      <c r="O56">
        <v>37.808596853116498</v>
      </c>
      <c r="P56" s="137">
        <f t="shared" si="4"/>
        <v>1.577590560190987</v>
      </c>
      <c r="Q56">
        <v>3.0687415514991745</v>
      </c>
      <c r="R56">
        <v>3.5297005493117593</v>
      </c>
      <c r="S56">
        <v>9.0606978403536118</v>
      </c>
      <c r="T56">
        <v>7</v>
      </c>
      <c r="U56" s="137">
        <f t="shared" si="5"/>
        <v>0</v>
      </c>
    </row>
    <row r="57" spans="1:21" x14ac:dyDescent="0.35">
      <c r="A57">
        <v>0.14085386038334191</v>
      </c>
      <c r="B57" s="52">
        <v>7.3123287671232875</v>
      </c>
      <c r="C57" s="185">
        <f t="shared" si="0"/>
        <v>0.86405570933103293</v>
      </c>
      <c r="D57">
        <v>0</v>
      </c>
      <c r="E57">
        <v>1.8129133566428555</v>
      </c>
      <c r="F57">
        <v>2.95</v>
      </c>
      <c r="G57" s="137">
        <f t="shared" si="1"/>
        <v>0.46982201597816303</v>
      </c>
      <c r="H57">
        <v>0</v>
      </c>
      <c r="I57">
        <v>0.12385164096708581</v>
      </c>
      <c r="J57">
        <v>1.3222192947339193</v>
      </c>
      <c r="K57">
        <v>85</v>
      </c>
      <c r="L57" s="137">
        <f t="shared" si="2"/>
        <v>1.9294189257142926</v>
      </c>
      <c r="M57">
        <v>27.4</v>
      </c>
      <c r="N57" s="137">
        <f t="shared" si="3"/>
        <v>1.4377505628203879</v>
      </c>
      <c r="O57">
        <v>35.968444143503902</v>
      </c>
      <c r="P57" s="137">
        <f t="shared" si="4"/>
        <v>1.5559216523165715</v>
      </c>
      <c r="Q57">
        <v>3.0687415514991745</v>
      </c>
      <c r="R57">
        <v>3.5297005493117593</v>
      </c>
      <c r="S57">
        <v>9.079803289113908</v>
      </c>
      <c r="T57">
        <v>1</v>
      </c>
      <c r="U57" s="137">
        <f t="shared" si="5"/>
        <v>0</v>
      </c>
    </row>
    <row r="58" spans="1:21" x14ac:dyDescent="0.35">
      <c r="A58">
        <v>-1</v>
      </c>
      <c r="B58" s="50">
        <v>7.7315068493150685</v>
      </c>
      <c r="C58" s="185">
        <f t="shared" si="0"/>
        <v>0.88826414496185435</v>
      </c>
      <c r="D58">
        <v>0</v>
      </c>
      <c r="E58">
        <v>1.0413926851582251</v>
      </c>
      <c r="F58">
        <v>2.95</v>
      </c>
      <c r="G58" s="137">
        <f t="shared" si="1"/>
        <v>0.46982201597816303</v>
      </c>
      <c r="H58">
        <v>0</v>
      </c>
      <c r="I58">
        <v>0.15228834438305647</v>
      </c>
      <c r="J58">
        <v>1.3222192947339193</v>
      </c>
      <c r="K58">
        <v>85</v>
      </c>
      <c r="L58" s="137">
        <f t="shared" si="2"/>
        <v>1.9294189257142926</v>
      </c>
      <c r="M58">
        <v>27.4</v>
      </c>
      <c r="N58" s="137">
        <f t="shared" si="3"/>
        <v>1.4377505628203879</v>
      </c>
      <c r="O58">
        <v>35.968444143503902</v>
      </c>
      <c r="P58" s="137">
        <f t="shared" si="4"/>
        <v>1.5559216523165715</v>
      </c>
      <c r="Q58">
        <v>3.0687415514991745</v>
      </c>
      <c r="R58">
        <v>3.5297005493117593</v>
      </c>
      <c r="S58">
        <v>8.8195439355418692</v>
      </c>
      <c r="T58">
        <v>5</v>
      </c>
      <c r="U58" s="137">
        <f t="shared" si="5"/>
        <v>0</v>
      </c>
    </row>
    <row r="59" spans="1:21" x14ac:dyDescent="0.35">
      <c r="A59">
        <v>-1</v>
      </c>
      <c r="B59" s="52">
        <v>5.1589041095890407</v>
      </c>
      <c r="C59" s="185">
        <f t="shared" si="0"/>
        <v>0.71255745556019012</v>
      </c>
      <c r="D59">
        <v>0</v>
      </c>
      <c r="E59">
        <v>0.84509804001425681</v>
      </c>
      <c r="F59">
        <v>2.95</v>
      </c>
      <c r="G59" s="137">
        <f t="shared" si="1"/>
        <v>0.46982201597816303</v>
      </c>
      <c r="H59">
        <v>0</v>
      </c>
      <c r="I59">
        <v>-6.5501548756432285E-2</v>
      </c>
      <c r="J59">
        <v>1.3424226808222062</v>
      </c>
      <c r="K59">
        <v>85</v>
      </c>
      <c r="L59" s="137">
        <f t="shared" si="2"/>
        <v>1.9294189257142926</v>
      </c>
      <c r="M59">
        <v>27.8</v>
      </c>
      <c r="N59" s="137">
        <f t="shared" si="3"/>
        <v>1.4440447959180762</v>
      </c>
      <c r="O59">
        <v>35.119429201759203</v>
      </c>
      <c r="P59" s="137">
        <f t="shared" si="4"/>
        <v>1.5455474486765259</v>
      </c>
      <c r="Q59">
        <v>3.0687415514991745</v>
      </c>
      <c r="R59">
        <v>3.5297005493117593</v>
      </c>
      <c r="S59">
        <v>8.7730546933642621</v>
      </c>
      <c r="T59">
        <v>5</v>
      </c>
      <c r="U59" s="137">
        <f t="shared" si="5"/>
        <v>0</v>
      </c>
    </row>
    <row r="60" spans="1:21" x14ac:dyDescent="0.35">
      <c r="A60">
        <v>-0.40958099049118918</v>
      </c>
      <c r="B60" s="50">
        <v>8.1808219178082187</v>
      </c>
      <c r="C60" s="185">
        <f t="shared" si="0"/>
        <v>0.91279693893253189</v>
      </c>
      <c r="D60">
        <v>0</v>
      </c>
      <c r="E60">
        <v>1.2041199826559248</v>
      </c>
      <c r="F60">
        <v>2.95</v>
      </c>
      <c r="G60" s="137">
        <f t="shared" si="1"/>
        <v>0.46982201597816303</v>
      </c>
      <c r="H60">
        <v>0</v>
      </c>
      <c r="I60">
        <v>6.8185861746161619E-2</v>
      </c>
      <c r="J60">
        <v>1.3617278360175928</v>
      </c>
      <c r="K60">
        <v>85</v>
      </c>
      <c r="L60" s="137">
        <f t="shared" si="2"/>
        <v>1.9294189257142926</v>
      </c>
      <c r="M60">
        <v>27.8</v>
      </c>
      <c r="N60" s="137">
        <f t="shared" si="3"/>
        <v>1.4440447959180762</v>
      </c>
      <c r="O60">
        <v>34.656907836978597</v>
      </c>
      <c r="P60" s="137">
        <f t="shared" si="4"/>
        <v>1.5397898114291337</v>
      </c>
      <c r="Q60">
        <v>3.0687415514991745</v>
      </c>
      <c r="R60">
        <v>3.5297005493117593</v>
      </c>
      <c r="S60">
        <v>8.9253224071605537</v>
      </c>
      <c r="T60">
        <v>2</v>
      </c>
      <c r="U60" s="137">
        <f t="shared" si="5"/>
        <v>0</v>
      </c>
    </row>
    <row r="61" spans="1:21" x14ac:dyDescent="0.35">
      <c r="A61">
        <v>-1</v>
      </c>
      <c r="B61" s="52">
        <v>4.8712328767123285</v>
      </c>
      <c r="C61" s="185">
        <f t="shared" si="0"/>
        <v>0.68763889217772012</v>
      </c>
      <c r="D61">
        <v>0</v>
      </c>
      <c r="E61">
        <v>1.1139433523068367</v>
      </c>
      <c r="F61">
        <v>2.95</v>
      </c>
      <c r="G61" s="137">
        <f t="shared" si="1"/>
        <v>0.46982201597816303</v>
      </c>
      <c r="H61">
        <v>0</v>
      </c>
      <c r="I61">
        <v>-4.5757490560675115E-2</v>
      </c>
      <c r="J61">
        <v>1.3802112417116059</v>
      </c>
      <c r="K61">
        <v>85</v>
      </c>
      <c r="L61" s="137">
        <f t="shared" si="2"/>
        <v>1.9294189257142926</v>
      </c>
      <c r="M61">
        <v>28.2</v>
      </c>
      <c r="N61" s="137">
        <f t="shared" si="3"/>
        <v>1.4502491083193612</v>
      </c>
      <c r="O61">
        <v>34.298950279384798</v>
      </c>
      <c r="P61" s="137">
        <f t="shared" si="4"/>
        <v>1.5352808286478177</v>
      </c>
      <c r="Q61">
        <v>3.0687415514991745</v>
      </c>
      <c r="R61">
        <v>3.5297005493117593</v>
      </c>
      <c r="S61">
        <v>8.3010299956639813</v>
      </c>
      <c r="T61">
        <v>4</v>
      </c>
      <c r="U61" s="137">
        <f t="shared" si="5"/>
        <v>0</v>
      </c>
    </row>
    <row r="62" spans="1:21" x14ac:dyDescent="0.35">
      <c r="A62">
        <v>-1</v>
      </c>
      <c r="B62" s="50">
        <v>1.3095890410958904</v>
      </c>
      <c r="C62" s="185">
        <f t="shared" si="0"/>
        <v>0.11713503215564416</v>
      </c>
      <c r="D62">
        <v>0</v>
      </c>
      <c r="E62">
        <v>0.47712125471966244</v>
      </c>
      <c r="F62">
        <v>2.95</v>
      </c>
      <c r="G62" s="137">
        <f t="shared" si="1"/>
        <v>0.46982201597816303</v>
      </c>
      <c r="H62">
        <v>0</v>
      </c>
      <c r="I62">
        <v>-0.12493873660829995</v>
      </c>
      <c r="J62">
        <v>1.3802112417116059</v>
      </c>
      <c r="K62">
        <v>85</v>
      </c>
      <c r="L62" s="137">
        <f t="shared" si="2"/>
        <v>1.9294189257142926</v>
      </c>
      <c r="M62">
        <v>28.2</v>
      </c>
      <c r="N62" s="137">
        <f t="shared" si="3"/>
        <v>1.4502491083193612</v>
      </c>
      <c r="O62">
        <v>34.298950279384798</v>
      </c>
      <c r="P62" s="137">
        <f t="shared" si="4"/>
        <v>1.5352808286478177</v>
      </c>
      <c r="Q62">
        <v>3.0687415514991745</v>
      </c>
      <c r="R62">
        <v>3.5297005493117593</v>
      </c>
      <c r="S62">
        <v>7.7708520116421438</v>
      </c>
      <c r="T62">
        <v>4</v>
      </c>
      <c r="U62" s="137">
        <f t="shared" si="5"/>
        <v>0</v>
      </c>
    </row>
    <row r="63" spans="1:21" x14ac:dyDescent="0.35">
      <c r="A63">
        <v>0.22322747701074128</v>
      </c>
      <c r="B63" s="52">
        <v>11.717808219178082</v>
      </c>
      <c r="C63" s="185">
        <f t="shared" si="0"/>
        <v>1.0688463858003363</v>
      </c>
      <c r="D63">
        <v>0</v>
      </c>
      <c r="E63">
        <v>1.9493900066449128</v>
      </c>
      <c r="F63">
        <v>2.95</v>
      </c>
      <c r="G63" s="137">
        <f t="shared" si="1"/>
        <v>0.46982201597816303</v>
      </c>
      <c r="H63">
        <v>0</v>
      </c>
      <c r="I63">
        <v>-6.5501548756432285E-2</v>
      </c>
      <c r="J63">
        <v>1.3802112417116059</v>
      </c>
      <c r="K63">
        <v>85</v>
      </c>
      <c r="L63" s="137">
        <f t="shared" si="2"/>
        <v>1.9294189257142926</v>
      </c>
      <c r="M63">
        <v>28.2</v>
      </c>
      <c r="N63" s="137">
        <f t="shared" si="3"/>
        <v>1.4502491083193612</v>
      </c>
      <c r="O63">
        <v>34.298950279384798</v>
      </c>
      <c r="P63" s="137">
        <f t="shared" si="4"/>
        <v>1.5352808286478177</v>
      </c>
      <c r="Q63">
        <v>3.0687415514991745</v>
      </c>
      <c r="R63">
        <v>3.5297005493117593</v>
      </c>
      <c r="S63">
        <v>8.7421042670361224</v>
      </c>
      <c r="T63">
        <v>10</v>
      </c>
      <c r="U63" s="137">
        <f t="shared" si="5"/>
        <v>0</v>
      </c>
    </row>
    <row r="64" spans="1:21" x14ac:dyDescent="0.35">
      <c r="A64">
        <v>-0.21775197043058564</v>
      </c>
      <c r="B64" s="50">
        <v>9.7835616438356166</v>
      </c>
      <c r="C64" s="185">
        <f t="shared" si="0"/>
        <v>0.99049698573630729</v>
      </c>
      <c r="D64">
        <v>0</v>
      </c>
      <c r="E64">
        <v>1.3979400086720377</v>
      </c>
      <c r="F64">
        <v>2.95</v>
      </c>
      <c r="G64" s="137">
        <f t="shared" si="1"/>
        <v>0.46982201597816303</v>
      </c>
      <c r="H64">
        <v>0</v>
      </c>
      <c r="I64">
        <v>0.22271647114758325</v>
      </c>
      <c r="J64">
        <v>1.4913616938342726</v>
      </c>
      <c r="K64">
        <v>91.4</v>
      </c>
      <c r="L64" s="137">
        <f t="shared" si="2"/>
        <v>1.9609461957338314</v>
      </c>
      <c r="M64">
        <v>26.7</v>
      </c>
      <c r="N64" s="137">
        <f t="shared" si="3"/>
        <v>1.4265112613645752</v>
      </c>
      <c r="O64">
        <v>37.425715444240403</v>
      </c>
      <c r="P64" s="137">
        <f t="shared" si="4"/>
        <v>1.5731701112332821</v>
      </c>
      <c r="Q64">
        <v>3.0687415514991745</v>
      </c>
      <c r="R64">
        <v>3.5297005493117593</v>
      </c>
      <c r="S64">
        <v>10.684891570272443</v>
      </c>
      <c r="T64">
        <v>10</v>
      </c>
      <c r="U64" s="137">
        <f t="shared" si="5"/>
        <v>0</v>
      </c>
    </row>
    <row r="65" spans="1:21" x14ac:dyDescent="0.35">
      <c r="A65">
        <v>3.6224066631355668E-2</v>
      </c>
      <c r="B65" s="52">
        <v>4.6657534246575345</v>
      </c>
      <c r="C65" s="185">
        <f t="shared" si="0"/>
        <v>0.6689217835061263</v>
      </c>
      <c r="D65">
        <v>0</v>
      </c>
      <c r="E65">
        <v>1.8325089127062364</v>
      </c>
      <c r="F65">
        <v>2.95</v>
      </c>
      <c r="G65" s="137">
        <f t="shared" si="1"/>
        <v>0.46982201597816303</v>
      </c>
      <c r="H65">
        <v>0</v>
      </c>
      <c r="I65">
        <v>-2.6872146400301365E-2</v>
      </c>
      <c r="J65">
        <v>1.4913616938342726</v>
      </c>
      <c r="K65">
        <v>91.4</v>
      </c>
      <c r="L65" s="137">
        <f t="shared" si="2"/>
        <v>1.9609461957338314</v>
      </c>
      <c r="M65">
        <v>26.7</v>
      </c>
      <c r="N65" s="137">
        <f t="shared" si="3"/>
        <v>1.4265112613645752</v>
      </c>
      <c r="O65">
        <v>37.425715444240403</v>
      </c>
      <c r="P65" s="137">
        <f t="shared" si="4"/>
        <v>1.5731701112332821</v>
      </c>
      <c r="Q65">
        <v>3.0687415514991745</v>
      </c>
      <c r="R65">
        <v>3.5297005493117593</v>
      </c>
      <c r="S65">
        <v>9.8645721865020803</v>
      </c>
      <c r="T65">
        <v>7</v>
      </c>
      <c r="U65" s="137">
        <f t="shared" si="5"/>
        <v>0</v>
      </c>
    </row>
    <row r="66" spans="1:21" x14ac:dyDescent="0.35">
      <c r="A66">
        <v>7.1721552940151076E-2</v>
      </c>
      <c r="B66" s="50">
        <v>7.7479452054794518</v>
      </c>
      <c r="C66" s="185">
        <f t="shared" si="0"/>
        <v>0.88918654066838709</v>
      </c>
      <c r="D66">
        <v>0</v>
      </c>
      <c r="E66">
        <v>1.4771212547196624</v>
      </c>
      <c r="F66">
        <v>2.95</v>
      </c>
      <c r="G66" s="137">
        <f t="shared" si="1"/>
        <v>0.46982201597816303</v>
      </c>
      <c r="H66">
        <v>0</v>
      </c>
      <c r="I66">
        <v>0.13987908640123647</v>
      </c>
      <c r="J66">
        <v>1.4913616938342726</v>
      </c>
      <c r="K66">
        <v>91.4</v>
      </c>
      <c r="L66" s="137">
        <f t="shared" si="2"/>
        <v>1.9609461957338314</v>
      </c>
      <c r="M66">
        <v>26.7</v>
      </c>
      <c r="N66" s="137">
        <f t="shared" si="3"/>
        <v>1.4265112613645752</v>
      </c>
      <c r="O66">
        <v>37.425715444240403</v>
      </c>
      <c r="P66" s="137">
        <f t="shared" si="4"/>
        <v>1.5731701112332821</v>
      </c>
      <c r="Q66">
        <v>3.0687415514991745</v>
      </c>
      <c r="R66">
        <v>3.5297005493117593</v>
      </c>
      <c r="S66">
        <v>10.057930707138228</v>
      </c>
      <c r="T66">
        <v>2</v>
      </c>
      <c r="U66" s="137">
        <f t="shared" si="5"/>
        <v>0</v>
      </c>
    </row>
    <row r="67" spans="1:21" x14ac:dyDescent="0.35">
      <c r="A67">
        <v>-1</v>
      </c>
      <c r="B67" s="52">
        <v>2.3232876712328765</v>
      </c>
      <c r="C67" s="185">
        <f t="shared" ref="C67:C130" si="6">LOG(B67)</f>
        <v>0.36610298780023909</v>
      </c>
      <c r="D67">
        <v>0</v>
      </c>
      <c r="E67">
        <v>2.0827853703164503</v>
      </c>
      <c r="F67">
        <v>2.95</v>
      </c>
      <c r="G67" s="137">
        <f t="shared" ref="G67:G130" si="7">LOG(F67)</f>
        <v>0.46982201597816303</v>
      </c>
      <c r="H67">
        <v>0</v>
      </c>
      <c r="I67">
        <v>9.3421685162235063E-2</v>
      </c>
      <c r="J67">
        <v>1.5185139398778875</v>
      </c>
      <c r="K67">
        <v>91.9</v>
      </c>
      <c r="L67" s="137">
        <f t="shared" ref="L67:L130" si="8">LOG(K67)</f>
        <v>1.9633155113861114</v>
      </c>
      <c r="M67">
        <v>23</v>
      </c>
      <c r="N67" s="137">
        <f t="shared" ref="N67:N130" si="9">LOG(M67)</f>
        <v>1.3617278360175928</v>
      </c>
      <c r="O67">
        <v>43.262530407091703</v>
      </c>
      <c r="P67" s="137">
        <f t="shared" ref="P67:P130" si="10">LOG(O67)</f>
        <v>1.636111917546391</v>
      </c>
      <c r="Q67">
        <v>3.0687415514991745</v>
      </c>
      <c r="R67">
        <v>3.5297005493117593</v>
      </c>
      <c r="S67">
        <v>8.6020599913279625</v>
      </c>
      <c r="T67">
        <v>1</v>
      </c>
      <c r="U67" s="137">
        <f t="shared" ref="U67:U130" si="11">IF(D67=0,0,1)</f>
        <v>0</v>
      </c>
    </row>
    <row r="68" spans="1:21" x14ac:dyDescent="0.35">
      <c r="A68">
        <v>0.38021124171160603</v>
      </c>
      <c r="B68" s="50">
        <v>1.3479452054794521</v>
      </c>
      <c r="C68" s="185">
        <f t="shared" si="6"/>
        <v>0.12967223831088562</v>
      </c>
      <c r="D68">
        <v>0</v>
      </c>
      <c r="E68">
        <v>0</v>
      </c>
      <c r="F68">
        <v>2.95</v>
      </c>
      <c r="G68" s="137">
        <f t="shared" si="7"/>
        <v>0.46982201597816303</v>
      </c>
      <c r="H68">
        <v>0</v>
      </c>
      <c r="I68">
        <v>3.7426497940623665E-2</v>
      </c>
      <c r="J68">
        <v>1.5314789170422551</v>
      </c>
      <c r="K68">
        <v>91.3</v>
      </c>
      <c r="L68" s="137">
        <f t="shared" si="8"/>
        <v>1.9604707775342989</v>
      </c>
      <c r="M68">
        <v>23.5</v>
      </c>
      <c r="N68" s="137">
        <f t="shared" si="9"/>
        <v>1.3710678622717363</v>
      </c>
      <c r="O68">
        <v>43.1672842383418</v>
      </c>
      <c r="P68" s="137">
        <f t="shared" si="10"/>
        <v>1.6351547269652249</v>
      </c>
      <c r="Q68">
        <v>3.0687415514991745</v>
      </c>
      <c r="R68">
        <v>3.5297005493117593</v>
      </c>
      <c r="S68">
        <v>8.0969100130080562</v>
      </c>
      <c r="T68">
        <v>1</v>
      </c>
      <c r="U68" s="137">
        <f t="shared" si="11"/>
        <v>0</v>
      </c>
    </row>
    <row r="69" spans="1:21" x14ac:dyDescent="0.35">
      <c r="A69">
        <v>0.1800049041558846</v>
      </c>
      <c r="B69" s="52">
        <v>3.5534246575342467</v>
      </c>
      <c r="C69" s="185">
        <f t="shared" si="6"/>
        <v>0.55064711162760538</v>
      </c>
      <c r="D69">
        <v>0</v>
      </c>
      <c r="E69">
        <v>2.0569048513364727</v>
      </c>
      <c r="F69">
        <v>2.95</v>
      </c>
      <c r="G69" s="137">
        <f t="shared" si="7"/>
        <v>0.46982201597816303</v>
      </c>
      <c r="H69">
        <v>0</v>
      </c>
      <c r="I69">
        <v>0.2528530309798932</v>
      </c>
      <c r="J69">
        <v>1.5440680443502757</v>
      </c>
      <c r="K69">
        <v>91</v>
      </c>
      <c r="L69" s="137">
        <f t="shared" si="8"/>
        <v>1.9590413923210936</v>
      </c>
      <c r="M69">
        <v>23.9</v>
      </c>
      <c r="N69" s="137">
        <f t="shared" si="9"/>
        <v>1.3783979009481377</v>
      </c>
      <c r="O69">
        <v>42.048698215007001</v>
      </c>
      <c r="P69" s="137">
        <f t="shared" si="10"/>
        <v>1.6237525550259535</v>
      </c>
      <c r="Q69">
        <v>3.0687415514991745</v>
      </c>
      <c r="R69">
        <v>3.5297005493117593</v>
      </c>
      <c r="S69">
        <v>9.7074517934293993</v>
      </c>
      <c r="T69">
        <v>7</v>
      </c>
      <c r="U69" s="137">
        <f t="shared" si="11"/>
        <v>0</v>
      </c>
    </row>
    <row r="70" spans="1:21" x14ac:dyDescent="0.35">
      <c r="A70">
        <v>0.348721986001856</v>
      </c>
      <c r="B70" s="50">
        <v>3.1315068493150684</v>
      </c>
      <c r="C70" s="185">
        <f t="shared" si="6"/>
        <v>0.49575336593880703</v>
      </c>
      <c r="D70">
        <v>0</v>
      </c>
      <c r="E70">
        <v>1.146128035678238</v>
      </c>
      <c r="F70">
        <v>2.95</v>
      </c>
      <c r="G70" s="137">
        <f t="shared" si="7"/>
        <v>0.46982201597816303</v>
      </c>
      <c r="H70">
        <v>0</v>
      </c>
      <c r="I70">
        <v>0.19589965240923368</v>
      </c>
      <c r="J70">
        <v>1.5563025007672873</v>
      </c>
      <c r="K70">
        <v>91.1</v>
      </c>
      <c r="L70" s="137">
        <f t="shared" si="8"/>
        <v>1.9595183769729982</v>
      </c>
      <c r="M70">
        <v>24.1</v>
      </c>
      <c r="N70" s="137">
        <f t="shared" si="9"/>
        <v>1.3820170425748683</v>
      </c>
      <c r="O70">
        <v>40.229046020662899</v>
      </c>
      <c r="P70" s="137">
        <f t="shared" si="10"/>
        <v>1.6045397339663818</v>
      </c>
      <c r="Q70">
        <v>3.0687415514991745</v>
      </c>
      <c r="R70">
        <v>3.5297005493117593</v>
      </c>
      <c r="S70">
        <v>9.0492180226701819</v>
      </c>
      <c r="T70">
        <v>9</v>
      </c>
      <c r="U70" s="137">
        <f t="shared" si="11"/>
        <v>0</v>
      </c>
    </row>
    <row r="71" spans="1:21" x14ac:dyDescent="0.35">
      <c r="A71">
        <v>0.4259687322722811</v>
      </c>
      <c r="B71" s="52">
        <v>2.6027397260273974</v>
      </c>
      <c r="C71" s="185">
        <f t="shared" si="6"/>
        <v>0.41543074083237308</v>
      </c>
      <c r="D71">
        <v>0</v>
      </c>
      <c r="E71">
        <v>0.90308998699194354</v>
      </c>
      <c r="F71">
        <v>2.95</v>
      </c>
      <c r="G71" s="137">
        <f t="shared" si="7"/>
        <v>0.46982201597816303</v>
      </c>
      <c r="H71">
        <v>0</v>
      </c>
      <c r="I71">
        <v>0.17609125905568124</v>
      </c>
      <c r="J71">
        <v>1.5563025007672873</v>
      </c>
      <c r="K71">
        <v>91.1</v>
      </c>
      <c r="L71" s="137">
        <f t="shared" si="8"/>
        <v>1.9595183769729982</v>
      </c>
      <c r="M71">
        <v>24.1</v>
      </c>
      <c r="N71" s="137">
        <f t="shared" si="9"/>
        <v>1.3820170425748683</v>
      </c>
      <c r="O71">
        <v>40.229046020662899</v>
      </c>
      <c r="P71" s="137">
        <f t="shared" si="10"/>
        <v>1.6045397339663818</v>
      </c>
      <c r="Q71">
        <v>3.0687415514991745</v>
      </c>
      <c r="R71">
        <v>3.5297005493117593</v>
      </c>
      <c r="S71">
        <v>8.1760912590556813</v>
      </c>
      <c r="T71">
        <v>4</v>
      </c>
      <c r="U71" s="137">
        <f t="shared" si="11"/>
        <v>0</v>
      </c>
    </row>
    <row r="72" spans="1:21" x14ac:dyDescent="0.35">
      <c r="A72">
        <v>-0.16633142176652502</v>
      </c>
      <c r="B72" s="50">
        <v>10.846575342465753</v>
      </c>
      <c r="C72" s="185">
        <f t="shared" si="6"/>
        <v>1.0352926372957298</v>
      </c>
      <c r="D72">
        <v>0</v>
      </c>
      <c r="E72">
        <v>2.0293837776852097</v>
      </c>
      <c r="F72">
        <v>2.95</v>
      </c>
      <c r="G72" s="137">
        <f t="shared" si="7"/>
        <v>0.46982201597816303</v>
      </c>
      <c r="H72">
        <v>0</v>
      </c>
      <c r="I72">
        <v>0.26007138798507473</v>
      </c>
      <c r="J72">
        <v>1.4471580313422192</v>
      </c>
      <c r="K72">
        <v>85</v>
      </c>
      <c r="L72" s="137">
        <f t="shared" si="8"/>
        <v>1.9294189257142926</v>
      </c>
      <c r="M72">
        <v>24.6</v>
      </c>
      <c r="N72" s="137">
        <f t="shared" si="9"/>
        <v>1.3909351071033791</v>
      </c>
      <c r="O72">
        <v>36.876470987978301</v>
      </c>
      <c r="P72" s="137">
        <f t="shared" si="10"/>
        <v>1.5667493531684615</v>
      </c>
      <c r="Q72">
        <v>3.0687415514991745</v>
      </c>
      <c r="R72">
        <v>3.5297005493117593</v>
      </c>
      <c r="S72">
        <v>9.3424226808222066</v>
      </c>
      <c r="T72">
        <v>5</v>
      </c>
      <c r="U72" s="137">
        <f t="shared" si="11"/>
        <v>0</v>
      </c>
    </row>
    <row r="73" spans="1:21" x14ac:dyDescent="0.35">
      <c r="A73">
        <v>-1</v>
      </c>
      <c r="B73" s="52">
        <v>3.5945205479452054</v>
      </c>
      <c r="C73" s="185">
        <f t="shared" si="6"/>
        <v>0.55564097058316675</v>
      </c>
      <c r="D73">
        <v>0</v>
      </c>
      <c r="E73">
        <v>0.90308998699194354</v>
      </c>
      <c r="F73">
        <v>2.95</v>
      </c>
      <c r="G73" s="137">
        <f t="shared" si="7"/>
        <v>0.46982201597816303</v>
      </c>
      <c r="H73">
        <v>0</v>
      </c>
      <c r="I73">
        <v>-8.092190762392612E-2</v>
      </c>
      <c r="J73">
        <v>1.4771212547196624</v>
      </c>
      <c r="K73">
        <v>93.2</v>
      </c>
      <c r="L73" s="137">
        <f t="shared" si="8"/>
        <v>1.9694159123539814</v>
      </c>
      <c r="M73">
        <v>26.7</v>
      </c>
      <c r="N73" s="137">
        <f t="shared" si="9"/>
        <v>1.4265112613645752</v>
      </c>
      <c r="O73">
        <v>36.669158714517401</v>
      </c>
      <c r="P73" s="137">
        <f t="shared" si="10"/>
        <v>1.5643009462345601</v>
      </c>
      <c r="Q73">
        <v>3.0687415514991745</v>
      </c>
      <c r="R73">
        <v>3.5297005493117593</v>
      </c>
      <c r="S73">
        <v>9.9444826721501691</v>
      </c>
      <c r="T73">
        <v>5</v>
      </c>
      <c r="U73" s="137">
        <f t="shared" si="11"/>
        <v>0</v>
      </c>
    </row>
    <row r="74" spans="1:21" x14ac:dyDescent="0.35">
      <c r="A74">
        <v>0.68459514823913259</v>
      </c>
      <c r="B74" s="50">
        <v>8.2109589041095887</v>
      </c>
      <c r="C74" s="185">
        <f t="shared" si="6"/>
        <v>0.91439387848916998</v>
      </c>
      <c r="D74">
        <v>0</v>
      </c>
      <c r="E74">
        <v>0.77815125038364363</v>
      </c>
      <c r="F74">
        <v>2.95</v>
      </c>
      <c r="G74" s="137">
        <f t="shared" si="7"/>
        <v>0.46982201597816303</v>
      </c>
      <c r="H74">
        <v>0</v>
      </c>
      <c r="I74">
        <v>0.38738982633872943</v>
      </c>
      <c r="J74">
        <v>1.3010299956639813</v>
      </c>
      <c r="K74">
        <v>91.3</v>
      </c>
      <c r="L74" s="137">
        <f t="shared" si="8"/>
        <v>1.9604707775342989</v>
      </c>
      <c r="M74">
        <v>23.5</v>
      </c>
      <c r="N74" s="137">
        <f t="shared" si="9"/>
        <v>1.3710678622717363</v>
      </c>
      <c r="O74">
        <v>43.1672842383418</v>
      </c>
      <c r="P74" s="137">
        <f t="shared" si="10"/>
        <v>1.6351547269652249</v>
      </c>
      <c r="Q74">
        <v>3.1814248062191788</v>
      </c>
      <c r="R74">
        <v>3.7294207535322617</v>
      </c>
      <c r="S74">
        <v>8.6610531891945843</v>
      </c>
      <c r="T74">
        <v>8</v>
      </c>
      <c r="U74" s="137">
        <f t="shared" si="11"/>
        <v>0</v>
      </c>
    </row>
    <row r="75" spans="1:21" x14ac:dyDescent="0.35">
      <c r="A75">
        <v>0.55842619439714281</v>
      </c>
      <c r="B75" s="52">
        <v>7.5698630136986305</v>
      </c>
      <c r="C75" s="185">
        <f t="shared" si="6"/>
        <v>0.87908802046003665</v>
      </c>
      <c r="D75">
        <v>0</v>
      </c>
      <c r="E75">
        <v>0</v>
      </c>
      <c r="F75">
        <v>2.95</v>
      </c>
      <c r="G75" s="137">
        <f t="shared" si="7"/>
        <v>0.46982201597816303</v>
      </c>
      <c r="H75">
        <v>0</v>
      </c>
      <c r="I75">
        <v>0.13672056715640679</v>
      </c>
      <c r="J75">
        <v>1.2304489213782739</v>
      </c>
      <c r="K75">
        <v>91.4</v>
      </c>
      <c r="L75" s="137">
        <f t="shared" si="8"/>
        <v>1.9609461957338314</v>
      </c>
      <c r="M75">
        <v>26.7</v>
      </c>
      <c r="N75" s="137">
        <f t="shared" si="9"/>
        <v>1.4265112613645752</v>
      </c>
      <c r="O75">
        <v>37.425715444240403</v>
      </c>
      <c r="P75" s="137">
        <f t="shared" si="10"/>
        <v>1.5731701112332821</v>
      </c>
      <c r="Q75">
        <v>3.1814248062191788</v>
      </c>
      <c r="R75">
        <v>3.7294207535322617</v>
      </c>
      <c r="S75">
        <v>8.9294189257142929</v>
      </c>
      <c r="T75">
        <v>5</v>
      </c>
      <c r="U75" s="137">
        <f t="shared" si="11"/>
        <v>0</v>
      </c>
    </row>
    <row r="76" spans="1:21" x14ac:dyDescent="0.35">
      <c r="A76">
        <v>0.57782868947185695</v>
      </c>
      <c r="B76" s="50">
        <v>7.6794520547945204</v>
      </c>
      <c r="C76" s="185">
        <f t="shared" si="6"/>
        <v>0.88533023330381144</v>
      </c>
      <c r="D76">
        <v>0</v>
      </c>
      <c r="E76">
        <v>1.9242792860618816</v>
      </c>
      <c r="F76">
        <v>2.95</v>
      </c>
      <c r="G76" s="137">
        <f t="shared" si="7"/>
        <v>0.46982201597816303</v>
      </c>
      <c r="H76">
        <v>0</v>
      </c>
      <c r="I76">
        <v>6.445798922691845E-2</v>
      </c>
      <c r="J76">
        <v>1.146128035678238</v>
      </c>
      <c r="K76">
        <v>85</v>
      </c>
      <c r="L76" s="137">
        <f t="shared" si="8"/>
        <v>1.9294189257142926</v>
      </c>
      <c r="M76">
        <v>24.6</v>
      </c>
      <c r="N76" s="137">
        <f t="shared" si="9"/>
        <v>1.3909351071033791</v>
      </c>
      <c r="O76">
        <v>36.876470987978301</v>
      </c>
      <c r="P76" s="137">
        <f t="shared" si="10"/>
        <v>1.5667493531684615</v>
      </c>
      <c r="Q76">
        <v>3.1814248062191788</v>
      </c>
      <c r="R76">
        <v>3.7294207535322617</v>
      </c>
      <c r="S76">
        <v>9.0570305499678359</v>
      </c>
      <c r="T76">
        <v>5</v>
      </c>
      <c r="U76" s="137">
        <f t="shared" si="11"/>
        <v>0</v>
      </c>
    </row>
    <row r="77" spans="1:21" x14ac:dyDescent="0.35">
      <c r="A77">
        <v>-0.5920757704213615</v>
      </c>
      <c r="B77" s="52">
        <v>3.8465753424657536</v>
      </c>
      <c r="C77" s="185">
        <f t="shared" si="6"/>
        <v>0.58507424333731184</v>
      </c>
      <c r="D77">
        <v>0</v>
      </c>
      <c r="E77">
        <v>1.8325089127062364</v>
      </c>
      <c r="F77">
        <v>2.95</v>
      </c>
      <c r="G77" s="137">
        <f t="shared" si="7"/>
        <v>0.46982201597816303</v>
      </c>
      <c r="H77">
        <v>0</v>
      </c>
      <c r="I77">
        <v>0.16731733474817609</v>
      </c>
      <c r="J77">
        <v>1.1139433523068367</v>
      </c>
      <c r="K77">
        <v>85</v>
      </c>
      <c r="L77" s="137">
        <f t="shared" si="8"/>
        <v>1.9294189257142926</v>
      </c>
      <c r="M77">
        <v>24.4</v>
      </c>
      <c r="N77" s="137">
        <f t="shared" si="9"/>
        <v>1.3873898263387294</v>
      </c>
      <c r="O77">
        <v>37.256914365427299</v>
      </c>
      <c r="P77" s="137">
        <f t="shared" si="10"/>
        <v>1.5712068835833228</v>
      </c>
      <c r="Q77">
        <v>3.1814248062191788</v>
      </c>
      <c r="R77">
        <v>3.7294207535322617</v>
      </c>
      <c r="S77">
        <v>8.8095597146352684</v>
      </c>
      <c r="T77">
        <v>5</v>
      </c>
      <c r="U77" s="137">
        <f t="shared" si="11"/>
        <v>0</v>
      </c>
    </row>
    <row r="78" spans="1:21" x14ac:dyDescent="0.35">
      <c r="A78">
        <v>0.17865726050515801</v>
      </c>
      <c r="B78" s="50">
        <v>9.2739726027397253</v>
      </c>
      <c r="C78" s="185">
        <f t="shared" si="6"/>
        <v>0.96726580856468836</v>
      </c>
      <c r="D78">
        <v>0</v>
      </c>
      <c r="E78">
        <v>0.3010299956639812</v>
      </c>
      <c r="F78">
        <v>2.95</v>
      </c>
      <c r="G78" s="137">
        <f t="shared" si="7"/>
        <v>0.46982201597816303</v>
      </c>
      <c r="H78">
        <v>0</v>
      </c>
      <c r="I78">
        <v>-0.11350927482751812</v>
      </c>
      <c r="J78">
        <v>0.95424250943932487</v>
      </c>
      <c r="K78">
        <v>85</v>
      </c>
      <c r="L78" s="137">
        <f t="shared" si="8"/>
        <v>1.9294189257142926</v>
      </c>
      <c r="M78">
        <v>27.8</v>
      </c>
      <c r="N78" s="137">
        <f t="shared" si="9"/>
        <v>1.4440447959180762</v>
      </c>
      <c r="O78">
        <v>34.656907836978597</v>
      </c>
      <c r="P78" s="137">
        <f t="shared" si="10"/>
        <v>1.5397898114291337</v>
      </c>
      <c r="Q78">
        <v>3.1814248062191788</v>
      </c>
      <c r="R78">
        <v>3.7294207535322617</v>
      </c>
      <c r="S78">
        <v>8.653212513775344</v>
      </c>
      <c r="T78">
        <v>1</v>
      </c>
      <c r="U78" s="137">
        <f t="shared" si="11"/>
        <v>0</v>
      </c>
    </row>
    <row r="79" spans="1:21" x14ac:dyDescent="0.35">
      <c r="A79">
        <v>0.64366523363213513</v>
      </c>
      <c r="B79" s="52">
        <v>1.1342465753424658</v>
      </c>
      <c r="C79" s="185">
        <f t="shared" si="6"/>
        <v>5.4707476664424243E-2</v>
      </c>
      <c r="D79">
        <v>0</v>
      </c>
      <c r="E79">
        <v>1.146128035678238</v>
      </c>
      <c r="F79">
        <v>2.95</v>
      </c>
      <c r="G79" s="137">
        <f t="shared" si="7"/>
        <v>0.46982201597816303</v>
      </c>
      <c r="H79">
        <v>0</v>
      </c>
      <c r="I79">
        <v>0.12710479836480765</v>
      </c>
      <c r="J79">
        <v>0.84509804001425681</v>
      </c>
      <c r="K79">
        <v>85</v>
      </c>
      <c r="L79" s="137">
        <f t="shared" si="8"/>
        <v>1.9294189257142926</v>
      </c>
      <c r="M79">
        <v>27.4</v>
      </c>
      <c r="N79" s="137">
        <f t="shared" si="9"/>
        <v>1.4377505628203879</v>
      </c>
      <c r="O79">
        <v>35.968444143503902</v>
      </c>
      <c r="P79" s="137">
        <f t="shared" si="10"/>
        <v>1.5559216523165715</v>
      </c>
      <c r="Q79">
        <v>3.1814248062191788</v>
      </c>
      <c r="R79">
        <v>3.7294207535322617</v>
      </c>
      <c r="S79">
        <v>8.4116197059632309</v>
      </c>
      <c r="T79">
        <v>2</v>
      </c>
      <c r="U79" s="137">
        <f t="shared" si="11"/>
        <v>0</v>
      </c>
    </row>
    <row r="80" spans="1:21" x14ac:dyDescent="0.35">
      <c r="A80">
        <v>0.84683175282325729</v>
      </c>
      <c r="B80" s="50">
        <v>4.3589041095890408</v>
      </c>
      <c r="C80" s="185">
        <f t="shared" si="6"/>
        <v>0.63937731519010677</v>
      </c>
      <c r="D80">
        <v>0</v>
      </c>
      <c r="E80">
        <v>0</v>
      </c>
      <c r="F80">
        <v>2.95</v>
      </c>
      <c r="G80" s="137">
        <f t="shared" si="7"/>
        <v>0.46982201597816303</v>
      </c>
      <c r="H80">
        <v>0</v>
      </c>
      <c r="I80">
        <v>6.069784035361165E-2</v>
      </c>
      <c r="J80">
        <v>0.84509804001425681</v>
      </c>
      <c r="K80">
        <v>85</v>
      </c>
      <c r="L80" s="137">
        <f t="shared" si="8"/>
        <v>1.9294189257142926</v>
      </c>
      <c r="M80">
        <v>27.4</v>
      </c>
      <c r="N80" s="137">
        <f t="shared" si="9"/>
        <v>1.4377505628203879</v>
      </c>
      <c r="O80">
        <v>35.968444143503902</v>
      </c>
      <c r="P80" s="137">
        <f t="shared" si="10"/>
        <v>1.5559216523165715</v>
      </c>
      <c r="Q80">
        <v>3.1814248062191788</v>
      </c>
      <c r="R80">
        <v>3.7294207535322617</v>
      </c>
      <c r="S80">
        <v>7.8750612633917001</v>
      </c>
      <c r="T80">
        <v>6</v>
      </c>
      <c r="U80" s="137">
        <f t="shared" si="11"/>
        <v>0</v>
      </c>
    </row>
    <row r="81" spans="1:21" x14ac:dyDescent="0.35">
      <c r="A81">
        <v>0.58357658563394932</v>
      </c>
      <c r="B81" s="52">
        <v>0.72602739726027399</v>
      </c>
      <c r="C81" s="185">
        <f t="shared" si="6"/>
        <v>-0.13904699051966685</v>
      </c>
      <c r="D81">
        <v>3.7707018228379927</v>
      </c>
      <c r="E81">
        <v>1.7323937598229686</v>
      </c>
      <c r="F81">
        <v>2.3199999999999998</v>
      </c>
      <c r="G81" s="137">
        <f t="shared" si="7"/>
        <v>0.36548798489089962</v>
      </c>
      <c r="H81">
        <v>2.12057393120585</v>
      </c>
      <c r="I81">
        <v>-5.0609993355087209E-2</v>
      </c>
      <c r="J81">
        <v>1.7481880270062005</v>
      </c>
      <c r="K81">
        <v>85</v>
      </c>
      <c r="L81" s="137">
        <f t="shared" si="8"/>
        <v>1.9294189257142926</v>
      </c>
      <c r="M81">
        <v>27.2</v>
      </c>
      <c r="N81" s="137">
        <f t="shared" si="9"/>
        <v>1.4345689040341987</v>
      </c>
      <c r="O81">
        <v>35.608384832026097</v>
      </c>
      <c r="P81" s="137">
        <f t="shared" si="10"/>
        <v>1.5515522748692276</v>
      </c>
      <c r="Q81">
        <v>3.1990557401914899</v>
      </c>
      <c r="R81">
        <v>3.7784953647769717</v>
      </c>
      <c r="S81">
        <v>7.0791812460476251</v>
      </c>
      <c r="T81">
        <v>9</v>
      </c>
      <c r="U81" s="137">
        <f t="shared" si="11"/>
        <v>1</v>
      </c>
    </row>
    <row r="82" spans="1:21" x14ac:dyDescent="0.35">
      <c r="A82">
        <v>0.13951136413231044</v>
      </c>
      <c r="B82" s="50">
        <v>4.3890410958904109</v>
      </c>
      <c r="C82" s="185">
        <f t="shared" si="6"/>
        <v>0.64236964729174417</v>
      </c>
      <c r="D82">
        <v>3.7707018228379927</v>
      </c>
      <c r="E82">
        <v>1.3424226808222062</v>
      </c>
      <c r="F82">
        <v>2.3199999999999998</v>
      </c>
      <c r="G82" s="137">
        <f t="shared" si="7"/>
        <v>0.36548798489089962</v>
      </c>
      <c r="H82">
        <v>2.12057393120585</v>
      </c>
      <c r="I82">
        <v>0.18184358794477254</v>
      </c>
      <c r="J82">
        <v>1.568201724066995</v>
      </c>
      <c r="K82">
        <v>89.2</v>
      </c>
      <c r="L82" s="137">
        <f t="shared" si="8"/>
        <v>1.9503648543761232</v>
      </c>
      <c r="M82">
        <v>26</v>
      </c>
      <c r="N82" s="137">
        <f t="shared" si="9"/>
        <v>1.414973347970818</v>
      </c>
      <c r="O82">
        <v>38.344872802923099</v>
      </c>
      <c r="P82" s="137">
        <f t="shared" si="10"/>
        <v>1.5837073014724459</v>
      </c>
      <c r="Q82">
        <v>3.0962405795987471</v>
      </c>
      <c r="R82">
        <v>3.4010931514437841</v>
      </c>
      <c r="S82">
        <v>8.8226211051659256</v>
      </c>
      <c r="T82">
        <v>2</v>
      </c>
      <c r="U82" s="137">
        <f t="shared" si="11"/>
        <v>1</v>
      </c>
    </row>
    <row r="83" spans="1:21" x14ac:dyDescent="0.35">
      <c r="A83">
        <v>0.13382641228938827</v>
      </c>
      <c r="B83" s="52">
        <v>7.8547945205479452</v>
      </c>
      <c r="C83" s="185">
        <f t="shared" si="6"/>
        <v>0.8951348284900098</v>
      </c>
      <c r="D83">
        <v>3.7707018228379927</v>
      </c>
      <c r="E83">
        <v>1.8633228601204559</v>
      </c>
      <c r="F83">
        <v>2.3199999999999998</v>
      </c>
      <c r="G83" s="137">
        <f t="shared" si="7"/>
        <v>0.36548798489089962</v>
      </c>
      <c r="H83">
        <v>2.12057393120585</v>
      </c>
      <c r="I83">
        <v>4.5322978786657475E-2</v>
      </c>
      <c r="J83">
        <v>1.3424226808222062</v>
      </c>
      <c r="K83">
        <v>85</v>
      </c>
      <c r="L83" s="137">
        <f t="shared" si="8"/>
        <v>1.9294189257142926</v>
      </c>
      <c r="M83">
        <v>27.8</v>
      </c>
      <c r="N83" s="137">
        <f t="shared" si="9"/>
        <v>1.4440447959180762</v>
      </c>
      <c r="O83">
        <v>34.656907836978597</v>
      </c>
      <c r="P83" s="137">
        <f t="shared" si="10"/>
        <v>1.5397898114291337</v>
      </c>
      <c r="Q83">
        <v>3.0962405795987471</v>
      </c>
      <c r="R83">
        <v>3.4010931514437841</v>
      </c>
      <c r="S83">
        <v>8.5078558716958312</v>
      </c>
      <c r="T83">
        <v>8</v>
      </c>
      <c r="U83" s="137">
        <f t="shared" si="11"/>
        <v>1</v>
      </c>
    </row>
    <row r="84" spans="1:21" x14ac:dyDescent="0.35">
      <c r="A84">
        <v>0.30686665541695157</v>
      </c>
      <c r="B84" s="50">
        <v>4.602739726027397</v>
      </c>
      <c r="C84" s="185">
        <f t="shared" si="6"/>
        <v>0.66301641726938809</v>
      </c>
      <c r="D84">
        <v>3.7707018228379927</v>
      </c>
      <c r="E84">
        <v>0.95424250943932487</v>
      </c>
      <c r="F84">
        <v>2.3199999999999998</v>
      </c>
      <c r="G84" s="137">
        <f t="shared" si="7"/>
        <v>0.36548798489089962</v>
      </c>
      <c r="H84">
        <v>2.12057393120585</v>
      </c>
      <c r="I84">
        <v>-6.5501548756432285E-2</v>
      </c>
      <c r="J84">
        <v>1.4313637641589874</v>
      </c>
      <c r="K84">
        <v>91.4</v>
      </c>
      <c r="L84" s="137">
        <f t="shared" si="8"/>
        <v>1.9609461957338314</v>
      </c>
      <c r="M84">
        <v>26.7</v>
      </c>
      <c r="N84" s="137">
        <f t="shared" si="9"/>
        <v>1.4265112613645752</v>
      </c>
      <c r="O84">
        <v>37.425715444240403</v>
      </c>
      <c r="P84" s="137">
        <f t="shared" si="10"/>
        <v>1.5731701112332821</v>
      </c>
      <c r="Q84">
        <v>3.2327651641054547</v>
      </c>
      <c r="R84">
        <v>3.9527244147731087</v>
      </c>
      <c r="S84">
        <v>8.6180480967120925</v>
      </c>
      <c r="T84">
        <v>9</v>
      </c>
      <c r="U84" s="137">
        <f t="shared" si="11"/>
        <v>1</v>
      </c>
    </row>
    <row r="85" spans="1:21" x14ac:dyDescent="0.35">
      <c r="A85">
        <v>0.30526090847065979</v>
      </c>
      <c r="B85" s="52">
        <v>2.6191780821917807</v>
      </c>
      <c r="C85" s="185">
        <f t="shared" si="6"/>
        <v>0.41816502781962533</v>
      </c>
      <c r="D85">
        <v>3.7707018228379927</v>
      </c>
      <c r="E85">
        <v>1.255272505103306</v>
      </c>
      <c r="F85">
        <v>2.3199999999999998</v>
      </c>
      <c r="G85" s="137">
        <f t="shared" si="7"/>
        <v>0.36548798489089962</v>
      </c>
      <c r="H85">
        <v>2.12057393120585</v>
      </c>
      <c r="I85">
        <v>0.11394335230683679</v>
      </c>
      <c r="J85">
        <v>1.3802112417116059</v>
      </c>
      <c r="K85">
        <v>85</v>
      </c>
      <c r="L85" s="137">
        <f t="shared" si="8"/>
        <v>1.9294189257142926</v>
      </c>
      <c r="M85">
        <v>24.6</v>
      </c>
      <c r="N85" s="137">
        <f t="shared" si="9"/>
        <v>1.3909351071033791</v>
      </c>
      <c r="O85">
        <v>36.876470987978301</v>
      </c>
      <c r="P85" s="137">
        <f t="shared" si="10"/>
        <v>1.5667493531684615</v>
      </c>
      <c r="Q85">
        <v>3.2327651641054547</v>
      </c>
      <c r="R85">
        <v>3.9527244147731087</v>
      </c>
      <c r="S85">
        <v>8.9734926924821696</v>
      </c>
      <c r="T85">
        <v>3</v>
      </c>
      <c r="U85" s="137">
        <f t="shared" si="11"/>
        <v>1</v>
      </c>
    </row>
    <row r="86" spans="1:21" x14ac:dyDescent="0.35">
      <c r="A86">
        <v>9.691001300805642E-2</v>
      </c>
      <c r="B86" s="50">
        <v>7.1342465753424653</v>
      </c>
      <c r="C86" s="185">
        <f t="shared" si="6"/>
        <v>0.85334811543967959</v>
      </c>
      <c r="D86">
        <v>3.8407507815091204</v>
      </c>
      <c r="E86">
        <v>0.47712125471966244</v>
      </c>
      <c r="F86">
        <v>2.92</v>
      </c>
      <c r="G86" s="137">
        <f t="shared" si="7"/>
        <v>0.46538285144841829</v>
      </c>
      <c r="H86">
        <v>2.6305973558006008</v>
      </c>
      <c r="I86">
        <v>8.6359830674748214E-2</v>
      </c>
      <c r="J86">
        <v>1.146128035678238</v>
      </c>
      <c r="K86">
        <v>85</v>
      </c>
      <c r="L86" s="137">
        <f t="shared" si="8"/>
        <v>1.9294189257142926</v>
      </c>
      <c r="M86">
        <v>24.4</v>
      </c>
      <c r="N86" s="137">
        <f t="shared" si="9"/>
        <v>1.3873898263387294</v>
      </c>
      <c r="O86">
        <v>37.256914365427299</v>
      </c>
      <c r="P86" s="137">
        <f t="shared" si="10"/>
        <v>1.5712068835833228</v>
      </c>
      <c r="Q86">
        <v>3.277819633965128</v>
      </c>
      <c r="R86">
        <v>3.9304083853612104</v>
      </c>
      <c r="S86">
        <v>6.9030899869919438</v>
      </c>
      <c r="T86">
        <v>1</v>
      </c>
      <c r="U86" s="137">
        <f t="shared" si="11"/>
        <v>1</v>
      </c>
    </row>
    <row r="87" spans="1:21" x14ac:dyDescent="0.35">
      <c r="A87">
        <v>4.5757490560675143E-2</v>
      </c>
      <c r="B87" s="52">
        <v>1.1698630136986301</v>
      </c>
      <c r="C87" s="185">
        <f t="shared" si="6"/>
        <v>6.8135010568549148E-2</v>
      </c>
      <c r="D87">
        <v>3.7899049019490061</v>
      </c>
      <c r="E87">
        <v>1.3802112417116059</v>
      </c>
      <c r="F87">
        <v>3.18</v>
      </c>
      <c r="G87" s="137">
        <f t="shared" si="7"/>
        <v>0.50242711998443268</v>
      </c>
      <c r="H87">
        <v>2.7662888869340487</v>
      </c>
      <c r="I87">
        <v>2.9383777685209667E-2</v>
      </c>
      <c r="J87">
        <v>1.2041199826559248</v>
      </c>
      <c r="K87">
        <v>89.2</v>
      </c>
      <c r="L87" s="137">
        <f t="shared" si="8"/>
        <v>1.9503648543761232</v>
      </c>
      <c r="M87">
        <v>26</v>
      </c>
      <c r="N87" s="137">
        <f t="shared" si="9"/>
        <v>1.414973347970818</v>
      </c>
      <c r="O87">
        <v>38.344872802923099</v>
      </c>
      <c r="P87" s="137">
        <f t="shared" si="10"/>
        <v>1.5837073014724459</v>
      </c>
      <c r="Q87">
        <v>3.2258683317817765</v>
      </c>
      <c r="R87">
        <v>3.9615291224236637</v>
      </c>
      <c r="S87">
        <v>8.9542425094393252</v>
      </c>
      <c r="T87">
        <v>1</v>
      </c>
      <c r="U87" s="137">
        <f t="shared" si="11"/>
        <v>1</v>
      </c>
    </row>
    <row r="88" spans="1:21" x14ac:dyDescent="0.35">
      <c r="A88">
        <v>-1</v>
      </c>
      <c r="B88" s="50">
        <v>2.1315068493150684</v>
      </c>
      <c r="C88" s="185">
        <f t="shared" si="6"/>
        <v>0.32868673253321423</v>
      </c>
      <c r="D88">
        <v>3.7707018228379927</v>
      </c>
      <c r="E88">
        <v>1.255272505103306</v>
      </c>
      <c r="F88">
        <v>2.3199999999999998</v>
      </c>
      <c r="G88" s="137">
        <f t="shared" si="7"/>
        <v>0.36548798489089962</v>
      </c>
      <c r="H88">
        <v>2.12057393120585</v>
      </c>
      <c r="I88">
        <v>-0.18708664335714442</v>
      </c>
      <c r="J88">
        <v>1.2787536009528289</v>
      </c>
      <c r="K88">
        <v>85</v>
      </c>
      <c r="L88" s="137">
        <f t="shared" si="8"/>
        <v>1.9294189257142926</v>
      </c>
      <c r="M88">
        <v>28.2</v>
      </c>
      <c r="N88" s="137">
        <f t="shared" si="9"/>
        <v>1.4502491083193612</v>
      </c>
      <c r="O88">
        <v>34.298950279384798</v>
      </c>
      <c r="P88" s="137">
        <f t="shared" si="10"/>
        <v>1.5352808286478177</v>
      </c>
      <c r="Q88">
        <v>3.22246453795844</v>
      </c>
      <c r="R88">
        <v>3.7071267407396937</v>
      </c>
      <c r="S88">
        <v>7.4771212547196626</v>
      </c>
      <c r="T88">
        <v>4</v>
      </c>
      <c r="U88" s="137">
        <f t="shared" si="11"/>
        <v>1</v>
      </c>
    </row>
    <row r="89" spans="1:21" x14ac:dyDescent="0.35">
      <c r="A89">
        <v>0.16351496911281746</v>
      </c>
      <c r="B89" s="52">
        <v>3.0849315068493151</v>
      </c>
      <c r="C89" s="185">
        <f t="shared" si="6"/>
        <v>0.48924552605885274</v>
      </c>
      <c r="D89">
        <v>3.7707018228379927</v>
      </c>
      <c r="E89">
        <v>0.95424250943932487</v>
      </c>
      <c r="F89">
        <v>2.3199999999999998</v>
      </c>
      <c r="G89" s="137">
        <f t="shared" si="7"/>
        <v>0.36548798489089962</v>
      </c>
      <c r="H89">
        <v>2.12057393120585</v>
      </c>
      <c r="I89">
        <v>0.16435285578443709</v>
      </c>
      <c r="J89">
        <v>1.414973347970818</v>
      </c>
      <c r="K89">
        <v>91.1</v>
      </c>
      <c r="L89" s="137">
        <f t="shared" si="8"/>
        <v>1.9595183769729982</v>
      </c>
      <c r="M89">
        <v>24.1</v>
      </c>
      <c r="N89" s="137">
        <f t="shared" si="9"/>
        <v>1.3820170425748683</v>
      </c>
      <c r="O89">
        <v>40.229046020662899</v>
      </c>
      <c r="P89" s="137">
        <f t="shared" si="10"/>
        <v>1.6045397339663818</v>
      </c>
      <c r="Q89">
        <v>3.2188271541979425</v>
      </c>
      <c r="R89">
        <v>3.7570584504768405</v>
      </c>
      <c r="S89">
        <v>9.8182258936139561</v>
      </c>
      <c r="T89">
        <v>4</v>
      </c>
      <c r="U89" s="137">
        <f t="shared" si="11"/>
        <v>1</v>
      </c>
    </row>
    <row r="90" spans="1:21" x14ac:dyDescent="0.35">
      <c r="A90">
        <v>-6.3357022441473329E-2</v>
      </c>
      <c r="B90" s="50">
        <v>4.375342465753425</v>
      </c>
      <c r="C90" s="185">
        <f t="shared" si="6"/>
        <v>0.64101205168200825</v>
      </c>
      <c r="D90">
        <v>3.7707018228379927</v>
      </c>
      <c r="E90">
        <v>1.3617278360175928</v>
      </c>
      <c r="F90">
        <v>2.3199999999999998</v>
      </c>
      <c r="G90" s="137">
        <f t="shared" si="7"/>
        <v>0.36548798489089962</v>
      </c>
      <c r="H90">
        <v>2.12057393120585</v>
      </c>
      <c r="I90">
        <v>0.2966651902615311</v>
      </c>
      <c r="J90">
        <v>1.3617278360175928</v>
      </c>
      <c r="K90">
        <v>91.9</v>
      </c>
      <c r="L90" s="137">
        <f t="shared" si="8"/>
        <v>1.9633155113861114</v>
      </c>
      <c r="M90">
        <v>23</v>
      </c>
      <c r="N90" s="137">
        <f t="shared" si="9"/>
        <v>1.3617278360175928</v>
      </c>
      <c r="O90">
        <v>43.262530407091703</v>
      </c>
      <c r="P90" s="137">
        <f t="shared" si="10"/>
        <v>1.636111917546391</v>
      </c>
      <c r="Q90">
        <v>3.2188271541979425</v>
      </c>
      <c r="R90">
        <v>3.7570584504768405</v>
      </c>
      <c r="S90">
        <v>8.5440680443502757</v>
      </c>
      <c r="T90">
        <v>5</v>
      </c>
      <c r="U90" s="137">
        <f t="shared" si="11"/>
        <v>1</v>
      </c>
    </row>
    <row r="91" spans="1:21" x14ac:dyDescent="0.35">
      <c r="A91">
        <v>0.47712125471966244</v>
      </c>
      <c r="B91" s="52">
        <v>4.0849315068493155</v>
      </c>
      <c r="C91" s="185">
        <f t="shared" si="6"/>
        <v>0.61118477899651991</v>
      </c>
      <c r="D91">
        <v>3.7707018228379927</v>
      </c>
      <c r="E91">
        <v>1.0413926851582251</v>
      </c>
      <c r="F91">
        <v>2.3199999999999998</v>
      </c>
      <c r="G91" s="137">
        <f t="shared" si="7"/>
        <v>0.36548798489089962</v>
      </c>
      <c r="H91">
        <v>2.12057393120585</v>
      </c>
      <c r="I91">
        <v>0.19865708695442263</v>
      </c>
      <c r="J91">
        <v>1.4313637641589874</v>
      </c>
      <c r="K91">
        <v>91.1</v>
      </c>
      <c r="L91" s="137">
        <f t="shared" si="8"/>
        <v>1.9595183769729982</v>
      </c>
      <c r="M91">
        <v>24.1</v>
      </c>
      <c r="N91" s="137">
        <f t="shared" si="9"/>
        <v>1.3820170425748683</v>
      </c>
      <c r="O91">
        <v>40.229046020662899</v>
      </c>
      <c r="P91" s="137">
        <f t="shared" si="10"/>
        <v>1.6045397339663818</v>
      </c>
      <c r="Q91">
        <v>3.2699236952309461</v>
      </c>
      <c r="R91">
        <v>3.6984415808994222</v>
      </c>
      <c r="S91">
        <v>8.6989700043360187</v>
      </c>
      <c r="T91">
        <v>1</v>
      </c>
      <c r="U91" s="137">
        <f t="shared" si="11"/>
        <v>1</v>
      </c>
    </row>
    <row r="92" spans="1:21" x14ac:dyDescent="0.35">
      <c r="A92">
        <v>-0.22184874961635639</v>
      </c>
      <c r="B92" s="50">
        <v>4.4712328767123291</v>
      </c>
      <c r="C92" s="185">
        <f t="shared" si="6"/>
        <v>0.65042728996136767</v>
      </c>
      <c r="D92">
        <v>3.7707018228379927</v>
      </c>
      <c r="E92">
        <v>1.3424226808222062</v>
      </c>
      <c r="F92">
        <v>2.3199999999999998</v>
      </c>
      <c r="G92" s="137">
        <f t="shared" si="7"/>
        <v>0.36548798489089962</v>
      </c>
      <c r="H92">
        <v>2.12057393120585</v>
      </c>
      <c r="I92">
        <v>0.21484384804769791</v>
      </c>
      <c r="J92">
        <v>1.4313637641589874</v>
      </c>
      <c r="K92">
        <v>91.1</v>
      </c>
      <c r="L92" s="137">
        <f t="shared" si="8"/>
        <v>1.9595183769729982</v>
      </c>
      <c r="M92">
        <v>24.1</v>
      </c>
      <c r="N92" s="137">
        <f t="shared" si="9"/>
        <v>1.3820170425748683</v>
      </c>
      <c r="O92">
        <v>40.229046020662899</v>
      </c>
      <c r="P92" s="137">
        <f t="shared" si="10"/>
        <v>1.6045397339663818</v>
      </c>
      <c r="Q92">
        <v>3.2699236952309461</v>
      </c>
      <c r="R92">
        <v>3.6984415808994222</v>
      </c>
      <c r="S92">
        <v>9.1760912590556813</v>
      </c>
      <c r="T92">
        <v>9</v>
      </c>
      <c r="U92" s="137">
        <f t="shared" si="11"/>
        <v>1</v>
      </c>
    </row>
    <row r="93" spans="1:21" x14ac:dyDescent="0.35">
      <c r="A93">
        <v>0.35303028293240818</v>
      </c>
      <c r="B93" s="52">
        <v>2.473972602739726</v>
      </c>
      <c r="C93" s="185">
        <f t="shared" si="6"/>
        <v>0.39339488585703108</v>
      </c>
      <c r="D93">
        <v>3.7707018228379927</v>
      </c>
      <c r="E93">
        <v>1.4313637641589874</v>
      </c>
      <c r="F93">
        <v>2.3199999999999998</v>
      </c>
      <c r="G93" s="137">
        <f t="shared" si="7"/>
        <v>0.36548798489089962</v>
      </c>
      <c r="H93">
        <v>2.12057393120585</v>
      </c>
      <c r="I93">
        <v>0.17897694729316943</v>
      </c>
      <c r="J93">
        <v>1.414973347970818</v>
      </c>
      <c r="K93">
        <v>91</v>
      </c>
      <c r="L93" s="137">
        <f t="shared" si="8"/>
        <v>1.9590413923210936</v>
      </c>
      <c r="M93">
        <v>23.9</v>
      </c>
      <c r="N93" s="137">
        <f t="shared" si="9"/>
        <v>1.3783979009481377</v>
      </c>
      <c r="O93">
        <v>42.048698215007001</v>
      </c>
      <c r="P93" s="137">
        <f t="shared" si="10"/>
        <v>1.6237525550259535</v>
      </c>
      <c r="Q93">
        <v>3.2699236952309461</v>
      </c>
      <c r="R93">
        <v>3.6984415808994222</v>
      </c>
      <c r="S93">
        <v>8.1797240960600899</v>
      </c>
      <c r="T93">
        <v>9</v>
      </c>
      <c r="U93" s="137">
        <f t="shared" si="11"/>
        <v>1</v>
      </c>
    </row>
    <row r="94" spans="1:21" x14ac:dyDescent="0.35">
      <c r="A94">
        <v>7.1432280163832143E-2</v>
      </c>
      <c r="B94" s="50">
        <v>4.4739726027397264</v>
      </c>
      <c r="C94" s="185">
        <f t="shared" si="6"/>
        <v>0.65069332028019344</v>
      </c>
      <c r="D94">
        <v>3.7707018228379927</v>
      </c>
      <c r="E94">
        <v>0.3010299956639812</v>
      </c>
      <c r="F94">
        <v>2.3199999999999998</v>
      </c>
      <c r="G94" s="137">
        <f t="shared" si="7"/>
        <v>0.36548798489089962</v>
      </c>
      <c r="H94">
        <v>2.12057393120585</v>
      </c>
      <c r="I94">
        <v>-2.6872146400301365E-2</v>
      </c>
      <c r="J94">
        <v>1.3222192947339193</v>
      </c>
      <c r="K94">
        <v>93.2</v>
      </c>
      <c r="L94" s="137">
        <f t="shared" si="8"/>
        <v>1.9694159123539814</v>
      </c>
      <c r="M94">
        <v>26.7</v>
      </c>
      <c r="N94" s="137">
        <f t="shared" si="9"/>
        <v>1.4265112613645752</v>
      </c>
      <c r="O94">
        <v>36.669158714517401</v>
      </c>
      <c r="P94" s="137">
        <f t="shared" si="10"/>
        <v>1.5643009462345601</v>
      </c>
      <c r="Q94">
        <v>3.2699236952309461</v>
      </c>
      <c r="R94">
        <v>3.6984415808994222</v>
      </c>
      <c r="S94">
        <v>10.108176894140763</v>
      </c>
      <c r="T94">
        <v>9</v>
      </c>
      <c r="U94" s="137">
        <f t="shared" si="11"/>
        <v>1</v>
      </c>
    </row>
    <row r="95" spans="1:21" x14ac:dyDescent="0.35">
      <c r="A95">
        <v>0.19551981089400722</v>
      </c>
      <c r="B95" s="52">
        <v>2.0054794520547947</v>
      </c>
      <c r="C95" s="185">
        <f t="shared" si="6"/>
        <v>0.30221821660191722</v>
      </c>
      <c r="D95">
        <v>3.7707018228379927</v>
      </c>
      <c r="E95">
        <v>1.2041199826559248</v>
      </c>
      <c r="F95">
        <v>2.3199999999999998</v>
      </c>
      <c r="G95" s="137">
        <f t="shared" si="7"/>
        <v>0.36548798489089962</v>
      </c>
      <c r="H95">
        <v>2.12057393120585</v>
      </c>
      <c r="I95">
        <v>2.5305865264770262E-2</v>
      </c>
      <c r="J95">
        <v>1.3222192947339193</v>
      </c>
      <c r="K95">
        <v>93.2</v>
      </c>
      <c r="L95" s="137">
        <f t="shared" si="8"/>
        <v>1.9694159123539814</v>
      </c>
      <c r="M95">
        <v>26.7</v>
      </c>
      <c r="N95" s="137">
        <f t="shared" si="9"/>
        <v>1.4265112613645752</v>
      </c>
      <c r="O95">
        <v>36.669158714517401</v>
      </c>
      <c r="P95" s="137">
        <f t="shared" si="10"/>
        <v>1.5643009462345601</v>
      </c>
      <c r="Q95">
        <v>3.2699236952309461</v>
      </c>
      <c r="R95">
        <v>3.6984415808994222</v>
      </c>
      <c r="S95">
        <v>8.8836614351536181</v>
      </c>
      <c r="T95">
        <v>2</v>
      </c>
      <c r="U95" s="137">
        <f t="shared" si="11"/>
        <v>1</v>
      </c>
    </row>
    <row r="96" spans="1:21" x14ac:dyDescent="0.35">
      <c r="A96">
        <v>1.6901758266215719E-3</v>
      </c>
      <c r="B96" s="50">
        <v>5.6301369863013697</v>
      </c>
      <c r="C96" s="185">
        <f t="shared" si="6"/>
        <v>0.75051896175561328</v>
      </c>
      <c r="D96">
        <v>3.7707018228379927</v>
      </c>
      <c r="E96">
        <v>1.414973347970818</v>
      </c>
      <c r="F96">
        <v>2.3199999999999998</v>
      </c>
      <c r="G96" s="137">
        <f t="shared" si="7"/>
        <v>0.36548798489089962</v>
      </c>
      <c r="H96">
        <v>2.12057393120585</v>
      </c>
      <c r="I96">
        <v>2.5305865264770262E-2</v>
      </c>
      <c r="J96">
        <v>1.3222192947339193</v>
      </c>
      <c r="K96">
        <v>85</v>
      </c>
      <c r="L96" s="137">
        <f t="shared" si="8"/>
        <v>1.9294189257142926</v>
      </c>
      <c r="M96">
        <v>25.9</v>
      </c>
      <c r="N96" s="137">
        <f t="shared" si="9"/>
        <v>1.4132997640812519</v>
      </c>
      <c r="O96">
        <v>36.959146749272797</v>
      </c>
      <c r="P96" s="137">
        <f t="shared" si="10"/>
        <v>1.5677219364019672</v>
      </c>
      <c r="Q96">
        <v>3.25553976325445</v>
      </c>
      <c r="R96">
        <v>3.9251377454872847</v>
      </c>
      <c r="S96">
        <v>8.9760334294622268</v>
      </c>
      <c r="T96">
        <v>5</v>
      </c>
      <c r="U96" s="137">
        <f t="shared" si="11"/>
        <v>1</v>
      </c>
    </row>
    <row r="97" spans="1:21" x14ac:dyDescent="0.35">
      <c r="A97">
        <v>0.63883035767085583</v>
      </c>
      <c r="B97" s="52">
        <v>2.9917808219178084</v>
      </c>
      <c r="C97" s="185">
        <f t="shared" si="6"/>
        <v>0.47592977391224373</v>
      </c>
      <c r="D97">
        <v>0</v>
      </c>
      <c r="E97">
        <v>1.5314789170422551</v>
      </c>
      <c r="F97">
        <v>2.95</v>
      </c>
      <c r="G97" s="137">
        <f t="shared" si="7"/>
        <v>0.46982201597816303</v>
      </c>
      <c r="H97">
        <v>0</v>
      </c>
      <c r="I97">
        <v>0.11394335230683679</v>
      </c>
      <c r="J97">
        <v>1.3010299956639813</v>
      </c>
      <c r="K97">
        <v>91.1</v>
      </c>
      <c r="L97" s="137">
        <f t="shared" si="8"/>
        <v>1.9595183769729982</v>
      </c>
      <c r="M97">
        <v>24.1</v>
      </c>
      <c r="N97" s="137">
        <f t="shared" si="9"/>
        <v>1.3820170425748683</v>
      </c>
      <c r="O97">
        <v>40.229046020662899</v>
      </c>
      <c r="P97" s="137">
        <f t="shared" si="10"/>
        <v>1.6045397339663818</v>
      </c>
      <c r="Q97">
        <v>3.1628767233771686</v>
      </c>
      <c r="R97">
        <v>3.6087947637270492</v>
      </c>
      <c r="S97">
        <v>9.1443250784004881</v>
      </c>
      <c r="T97">
        <v>2</v>
      </c>
      <c r="U97" s="137">
        <f t="shared" si="11"/>
        <v>0</v>
      </c>
    </row>
    <row r="98" spans="1:21" x14ac:dyDescent="0.35">
      <c r="A98">
        <v>-0.39013890701945303</v>
      </c>
      <c r="B98" s="50">
        <v>1.7945205479452055</v>
      </c>
      <c r="C98" s="185">
        <f t="shared" si="6"/>
        <v>0.25394843553530838</v>
      </c>
      <c r="D98">
        <v>0</v>
      </c>
      <c r="E98">
        <v>1.7481880270062005</v>
      </c>
      <c r="F98">
        <v>2.95</v>
      </c>
      <c r="G98" s="137">
        <f t="shared" si="7"/>
        <v>0.46982201597816303</v>
      </c>
      <c r="H98">
        <v>0</v>
      </c>
      <c r="I98">
        <v>4.5322978786657475E-2</v>
      </c>
      <c r="J98">
        <v>1</v>
      </c>
      <c r="K98">
        <v>88.8</v>
      </c>
      <c r="L98" s="137">
        <f t="shared" si="8"/>
        <v>1.9484129657786009</v>
      </c>
      <c r="M98">
        <v>26.2</v>
      </c>
      <c r="N98" s="137">
        <f t="shared" si="9"/>
        <v>1.4183012913197455</v>
      </c>
      <c r="O98">
        <v>37.927180176051799</v>
      </c>
      <c r="P98" s="137">
        <f t="shared" si="10"/>
        <v>1.578950554817099</v>
      </c>
      <c r="Q98">
        <v>3.21397828825565</v>
      </c>
      <c r="R98">
        <v>3.7003857985219217</v>
      </c>
      <c r="S98">
        <v>8.6020599913279625</v>
      </c>
      <c r="T98">
        <v>5</v>
      </c>
      <c r="U98" s="137">
        <f t="shared" si="11"/>
        <v>0</v>
      </c>
    </row>
    <row r="99" spans="1:21" x14ac:dyDescent="0.35">
      <c r="A99">
        <v>0.37787002589670354</v>
      </c>
      <c r="B99" s="52">
        <v>4.2</v>
      </c>
      <c r="C99" s="185">
        <f t="shared" si="6"/>
        <v>0.62324929039790045</v>
      </c>
      <c r="D99">
        <v>0</v>
      </c>
      <c r="E99">
        <v>1.2041199826559248</v>
      </c>
      <c r="F99">
        <v>2.95</v>
      </c>
      <c r="G99" s="137">
        <f t="shared" si="7"/>
        <v>0.46982201597816303</v>
      </c>
      <c r="H99">
        <v>0</v>
      </c>
      <c r="I99">
        <v>0.17026171539495738</v>
      </c>
      <c r="J99">
        <v>1.1760912590556813</v>
      </c>
      <c r="K99">
        <v>89.2</v>
      </c>
      <c r="L99" s="137">
        <f t="shared" si="8"/>
        <v>1.9503648543761232</v>
      </c>
      <c r="M99">
        <v>26</v>
      </c>
      <c r="N99" s="137">
        <f t="shared" si="9"/>
        <v>1.414973347970818</v>
      </c>
      <c r="O99">
        <v>38.344872802923099</v>
      </c>
      <c r="P99" s="137">
        <f t="shared" si="10"/>
        <v>1.5837073014724459</v>
      </c>
      <c r="Q99">
        <v>3.5168755324519045</v>
      </c>
      <c r="R99">
        <v>3.8089018284940463</v>
      </c>
      <c r="S99">
        <v>8.4913616938342731</v>
      </c>
      <c r="T99">
        <v>9</v>
      </c>
      <c r="U99" s="137">
        <f t="shared" si="11"/>
        <v>0</v>
      </c>
    </row>
    <row r="100" spans="1:21" x14ac:dyDescent="0.35">
      <c r="A100">
        <v>0.77815125038364363</v>
      </c>
      <c r="B100" s="50">
        <v>2.1479452054794521</v>
      </c>
      <c r="C100" s="185">
        <f t="shared" si="6"/>
        <v>0.33202319822796372</v>
      </c>
      <c r="D100">
        <v>0</v>
      </c>
      <c r="E100">
        <v>1.5314789170422551</v>
      </c>
      <c r="F100">
        <v>2.95</v>
      </c>
      <c r="G100" s="137">
        <f t="shared" si="7"/>
        <v>0.46982201597816303</v>
      </c>
      <c r="H100">
        <v>0</v>
      </c>
      <c r="I100">
        <v>4.5322978786657475E-2</v>
      </c>
      <c r="J100">
        <v>0.84509804001425681</v>
      </c>
      <c r="K100">
        <v>89.2</v>
      </c>
      <c r="L100" s="137">
        <f t="shared" si="8"/>
        <v>1.9503648543761232</v>
      </c>
      <c r="M100">
        <v>26</v>
      </c>
      <c r="N100" s="137">
        <f t="shared" si="9"/>
        <v>1.414973347970818</v>
      </c>
      <c r="O100">
        <v>38.344872802923099</v>
      </c>
      <c r="P100" s="137">
        <f t="shared" si="10"/>
        <v>1.5837073014724459</v>
      </c>
      <c r="Q100">
        <v>3.447158031342219</v>
      </c>
      <c r="R100">
        <v>3.9259642328190694</v>
      </c>
      <c r="S100">
        <v>7.9542425094393252</v>
      </c>
      <c r="T100">
        <v>9</v>
      </c>
      <c r="U100" s="137">
        <f t="shared" si="11"/>
        <v>0</v>
      </c>
    </row>
    <row r="101" spans="1:21" x14ac:dyDescent="0.35">
      <c r="A101">
        <v>0.47172622283295623</v>
      </c>
      <c r="B101" s="52">
        <v>4.5232876712328771</v>
      </c>
      <c r="C101" s="185">
        <f t="shared" si="6"/>
        <v>0.65545420880631899</v>
      </c>
      <c r="D101">
        <v>0</v>
      </c>
      <c r="E101">
        <v>1.6532125137753437</v>
      </c>
      <c r="F101">
        <v>2.95</v>
      </c>
      <c r="G101" s="137">
        <f t="shared" si="7"/>
        <v>0.46982201597816303</v>
      </c>
      <c r="H101">
        <v>0</v>
      </c>
      <c r="I101">
        <v>0.23299611039215382</v>
      </c>
      <c r="J101">
        <v>1.505149978319906</v>
      </c>
      <c r="K101">
        <v>91.1</v>
      </c>
      <c r="L101" s="137">
        <f t="shared" si="8"/>
        <v>1.9595183769729982</v>
      </c>
      <c r="M101">
        <v>24.1</v>
      </c>
      <c r="N101" s="137">
        <f t="shared" si="9"/>
        <v>1.3820170425748683</v>
      </c>
      <c r="O101">
        <v>40.229046020662899</v>
      </c>
      <c r="P101" s="137">
        <f t="shared" si="10"/>
        <v>1.6045397339663818</v>
      </c>
      <c r="Q101">
        <v>3.1606353037386858</v>
      </c>
      <c r="R101">
        <v>3.9767438733352263</v>
      </c>
      <c r="S101">
        <v>8.8293037728310253</v>
      </c>
      <c r="T101">
        <v>9</v>
      </c>
      <c r="U101" s="137">
        <f t="shared" si="11"/>
        <v>0</v>
      </c>
    </row>
    <row r="102" spans="1:21" x14ac:dyDescent="0.35">
      <c r="A102">
        <v>0.43112242240123261</v>
      </c>
      <c r="B102" s="50">
        <v>2.441095890410959</v>
      </c>
      <c r="C102" s="185">
        <f t="shared" si="6"/>
        <v>0.38758483958040008</v>
      </c>
      <c r="D102">
        <v>0</v>
      </c>
      <c r="E102">
        <v>0</v>
      </c>
      <c r="F102">
        <v>2.95</v>
      </c>
      <c r="G102" s="137">
        <f t="shared" si="7"/>
        <v>0.46982201597816303</v>
      </c>
      <c r="H102">
        <v>0</v>
      </c>
      <c r="I102">
        <v>5.3078443483419682E-2</v>
      </c>
      <c r="J102">
        <v>1.5185139398778875</v>
      </c>
      <c r="K102">
        <v>90.5</v>
      </c>
      <c r="L102" s="137">
        <f t="shared" si="8"/>
        <v>1.9566485792052033</v>
      </c>
      <c r="M102">
        <v>25.7</v>
      </c>
      <c r="N102" s="137">
        <f t="shared" si="9"/>
        <v>1.4099331233312946</v>
      </c>
      <c r="O102">
        <v>39.010023979360902</v>
      </c>
      <c r="P102" s="137">
        <f t="shared" si="10"/>
        <v>1.5911762172715689</v>
      </c>
      <c r="Q102">
        <v>3.1606353037386858</v>
      </c>
      <c r="R102">
        <v>3.9767438733352263</v>
      </c>
      <c r="S102">
        <v>8.3010299956639813</v>
      </c>
      <c r="T102">
        <v>2</v>
      </c>
      <c r="U102" s="137">
        <f t="shared" si="11"/>
        <v>0</v>
      </c>
    </row>
    <row r="103" spans="1:21" x14ac:dyDescent="0.35">
      <c r="A103">
        <v>0.65985344905086718</v>
      </c>
      <c r="B103" s="52">
        <v>3.8301369863013699</v>
      </c>
      <c r="C103" s="185">
        <f t="shared" si="6"/>
        <v>0.58321430695318788</v>
      </c>
      <c r="D103">
        <v>0</v>
      </c>
      <c r="E103">
        <v>1.6020599913279623</v>
      </c>
      <c r="F103">
        <v>2.95</v>
      </c>
      <c r="G103" s="137">
        <f t="shared" si="7"/>
        <v>0.46982201597816303</v>
      </c>
      <c r="H103">
        <v>0</v>
      </c>
      <c r="I103">
        <v>0.17897694729316943</v>
      </c>
      <c r="J103">
        <v>1.3802112417116059</v>
      </c>
      <c r="K103">
        <v>91.1</v>
      </c>
      <c r="L103" s="137">
        <f t="shared" si="8"/>
        <v>1.9595183769729982</v>
      </c>
      <c r="M103">
        <v>24.1</v>
      </c>
      <c r="N103" s="137">
        <f t="shared" si="9"/>
        <v>1.3820170425748683</v>
      </c>
      <c r="O103">
        <v>40.229046020662899</v>
      </c>
      <c r="P103" s="137">
        <f t="shared" si="10"/>
        <v>1.6045397339663818</v>
      </c>
      <c r="Q103">
        <v>3.1532162502154288</v>
      </c>
      <c r="R103">
        <v>3.5175748361336181</v>
      </c>
      <c r="S103">
        <v>8.5746677663162263</v>
      </c>
      <c r="T103">
        <v>9</v>
      </c>
      <c r="U103" s="137">
        <f t="shared" si="11"/>
        <v>0</v>
      </c>
    </row>
    <row r="104" spans="1:21" x14ac:dyDescent="0.35">
      <c r="A104">
        <v>0.27667064980453648</v>
      </c>
      <c r="B104" s="50">
        <v>3.1616438356164385</v>
      </c>
      <c r="C104" s="185">
        <f t="shared" si="6"/>
        <v>0.49991294436323791</v>
      </c>
      <c r="D104">
        <v>0</v>
      </c>
      <c r="E104">
        <v>0.69897000433601886</v>
      </c>
      <c r="F104">
        <v>2.95</v>
      </c>
      <c r="G104" s="137">
        <f t="shared" si="7"/>
        <v>0.46982201597816303</v>
      </c>
      <c r="H104">
        <v>0</v>
      </c>
      <c r="I104">
        <v>0.11394335230683679</v>
      </c>
      <c r="J104">
        <v>1.3979400086720377</v>
      </c>
      <c r="K104">
        <v>90.5</v>
      </c>
      <c r="L104" s="137">
        <f t="shared" si="8"/>
        <v>1.9566485792052033</v>
      </c>
      <c r="M104">
        <v>25.7</v>
      </c>
      <c r="N104" s="137">
        <f t="shared" si="9"/>
        <v>1.4099331233312946</v>
      </c>
      <c r="O104">
        <v>39.010023979360902</v>
      </c>
      <c r="P104" s="137">
        <f t="shared" si="10"/>
        <v>1.5911762172715689</v>
      </c>
      <c r="Q104">
        <v>3.1532162502154288</v>
      </c>
      <c r="R104">
        <v>3.5175748361336181</v>
      </c>
      <c r="S104">
        <v>8.6154239528859442</v>
      </c>
      <c r="T104">
        <v>6</v>
      </c>
      <c r="U104" s="137">
        <f t="shared" si="11"/>
        <v>0</v>
      </c>
    </row>
    <row r="105" spans="1:21" x14ac:dyDescent="0.35">
      <c r="A105">
        <v>0.33645973384852951</v>
      </c>
      <c r="B105" s="52">
        <v>1.9205479452054794</v>
      </c>
      <c r="C105" s="185">
        <f t="shared" si="6"/>
        <v>0.28342515351018394</v>
      </c>
      <c r="D105">
        <v>3.8229111072821804</v>
      </c>
      <c r="E105">
        <v>0.77815125038364363</v>
      </c>
      <c r="F105">
        <v>3.03</v>
      </c>
      <c r="G105" s="137">
        <f t="shared" si="7"/>
        <v>0.48144262850230496</v>
      </c>
      <c r="H105">
        <v>2.7105404479332971</v>
      </c>
      <c r="I105">
        <v>0.10037054511756291</v>
      </c>
      <c r="J105">
        <v>1.3010299956639813</v>
      </c>
      <c r="K105">
        <v>84.7</v>
      </c>
      <c r="L105" s="137">
        <f t="shared" si="8"/>
        <v>1.927883410330707</v>
      </c>
      <c r="M105">
        <v>25.9</v>
      </c>
      <c r="N105" s="137">
        <f t="shared" si="9"/>
        <v>1.4132997640812519</v>
      </c>
      <c r="O105">
        <v>38.207924771594499</v>
      </c>
      <c r="P105" s="137">
        <f t="shared" si="10"/>
        <v>1.5821534500223446</v>
      </c>
      <c r="Q105">
        <v>3.1532162502154288</v>
      </c>
      <c r="R105">
        <v>3.5175748361336181</v>
      </c>
      <c r="S105">
        <v>8</v>
      </c>
      <c r="T105">
        <v>3</v>
      </c>
      <c r="U105" s="137">
        <f t="shared" si="11"/>
        <v>1</v>
      </c>
    </row>
    <row r="106" spans="1:21" x14ac:dyDescent="0.35">
      <c r="A106">
        <v>0.15829010364906099</v>
      </c>
      <c r="B106" s="50">
        <v>3.5123287671232877</v>
      </c>
      <c r="C106" s="185">
        <f t="shared" si="6"/>
        <v>0.54559516072632386</v>
      </c>
      <c r="D106">
        <v>3.8229111072821804</v>
      </c>
      <c r="E106">
        <v>1.6020599913279623</v>
      </c>
      <c r="F106">
        <v>3.03</v>
      </c>
      <c r="G106" s="137">
        <f t="shared" si="7"/>
        <v>0.48144262850230496</v>
      </c>
      <c r="H106">
        <v>2.7105404479332971</v>
      </c>
      <c r="I106">
        <v>0.14301480025409513</v>
      </c>
      <c r="J106">
        <v>1.255272505103306</v>
      </c>
      <c r="K106">
        <v>89.2</v>
      </c>
      <c r="L106" s="137">
        <f t="shared" si="8"/>
        <v>1.9503648543761232</v>
      </c>
      <c r="M106">
        <v>26</v>
      </c>
      <c r="N106" s="137">
        <f t="shared" si="9"/>
        <v>1.414973347970818</v>
      </c>
      <c r="O106">
        <v>38.344872802923099</v>
      </c>
      <c r="P106" s="137">
        <f t="shared" si="10"/>
        <v>1.5837073014724459</v>
      </c>
      <c r="Q106">
        <v>3.1532162502154288</v>
      </c>
      <c r="R106">
        <v>3.5175748361336181</v>
      </c>
      <c r="S106">
        <v>9.1760912590556813</v>
      </c>
      <c r="T106">
        <v>5</v>
      </c>
      <c r="U106" s="137">
        <f t="shared" si="11"/>
        <v>1</v>
      </c>
    </row>
    <row r="107" spans="1:21" x14ac:dyDescent="0.35">
      <c r="A107">
        <v>0.32900742703280411</v>
      </c>
      <c r="B107" s="52">
        <v>2.0986301369863014</v>
      </c>
      <c r="C107" s="185">
        <f t="shared" si="6"/>
        <v>0.32193590517612924</v>
      </c>
      <c r="D107">
        <v>3.8229111072821804</v>
      </c>
      <c r="E107">
        <v>1.5314789170422551</v>
      </c>
      <c r="F107">
        <v>3.03</v>
      </c>
      <c r="G107" s="137">
        <f t="shared" si="7"/>
        <v>0.48144262850230496</v>
      </c>
      <c r="H107">
        <v>2.7105404479332971</v>
      </c>
      <c r="I107">
        <v>4.1392685158225077E-2</v>
      </c>
      <c r="J107">
        <v>1.255272505103306</v>
      </c>
      <c r="K107">
        <v>89.2</v>
      </c>
      <c r="L107" s="137">
        <f t="shared" si="8"/>
        <v>1.9503648543761232</v>
      </c>
      <c r="M107">
        <v>26</v>
      </c>
      <c r="N107" s="137">
        <f t="shared" si="9"/>
        <v>1.414973347970818</v>
      </c>
      <c r="O107">
        <v>38.344872802923099</v>
      </c>
      <c r="P107" s="137">
        <f t="shared" si="10"/>
        <v>1.5837073014724459</v>
      </c>
      <c r="Q107">
        <v>3.1532162502154288</v>
      </c>
      <c r="R107">
        <v>3.5175748361336181</v>
      </c>
      <c r="S107">
        <v>9.5039513722356226</v>
      </c>
      <c r="T107">
        <v>2</v>
      </c>
      <c r="U107" s="137">
        <f t="shared" si="11"/>
        <v>1</v>
      </c>
    </row>
    <row r="108" spans="1:21" x14ac:dyDescent="0.35">
      <c r="A108">
        <v>-1</v>
      </c>
      <c r="B108" s="50">
        <v>1.0082191780821919</v>
      </c>
      <c r="C108" s="185">
        <f t="shared" si="6"/>
        <v>3.5549542170429872E-3</v>
      </c>
      <c r="D108">
        <v>3.8229111072821804</v>
      </c>
      <c r="E108">
        <v>0.3010299956639812</v>
      </c>
      <c r="F108">
        <v>3.03</v>
      </c>
      <c r="G108" s="137">
        <f t="shared" si="7"/>
        <v>0.48144262850230496</v>
      </c>
      <c r="H108">
        <v>2.7105404479332971</v>
      </c>
      <c r="I108">
        <v>-7.5720713938118356E-2</v>
      </c>
      <c r="J108">
        <v>0.69897000433601886</v>
      </c>
      <c r="K108">
        <v>85</v>
      </c>
      <c r="L108" s="137">
        <f t="shared" si="8"/>
        <v>1.9294189257142926</v>
      </c>
      <c r="M108">
        <v>27.2</v>
      </c>
      <c r="N108" s="137">
        <f t="shared" si="9"/>
        <v>1.4345689040341987</v>
      </c>
      <c r="O108">
        <v>35.608384832026097</v>
      </c>
      <c r="P108" s="137">
        <f t="shared" si="10"/>
        <v>1.5515522748692276</v>
      </c>
      <c r="Q108">
        <v>3.1532162502154288</v>
      </c>
      <c r="R108">
        <v>3.5175748361336181</v>
      </c>
      <c r="S108">
        <v>7.6020599913279625</v>
      </c>
      <c r="T108">
        <v>5</v>
      </c>
      <c r="U108" s="137">
        <f t="shared" si="11"/>
        <v>1</v>
      </c>
    </row>
    <row r="109" spans="1:21" x14ac:dyDescent="0.35">
      <c r="A109">
        <v>0.22834296728139425</v>
      </c>
      <c r="B109" s="52">
        <v>4.0849315068493155</v>
      </c>
      <c r="C109" s="185">
        <f t="shared" si="6"/>
        <v>0.61118477899651991</v>
      </c>
      <c r="D109">
        <v>3.735736989773935</v>
      </c>
      <c r="E109">
        <v>1.7075701760979363</v>
      </c>
      <c r="F109">
        <v>2.81</v>
      </c>
      <c r="G109" s="137">
        <f t="shared" si="7"/>
        <v>0.44870631990507992</v>
      </c>
      <c r="H109">
        <v>2.0997957012455433</v>
      </c>
      <c r="I109">
        <v>0.17609125905568124</v>
      </c>
      <c r="J109">
        <v>1</v>
      </c>
      <c r="K109">
        <v>90.5</v>
      </c>
      <c r="L109" s="137">
        <f t="shared" si="8"/>
        <v>1.9566485792052033</v>
      </c>
      <c r="M109">
        <v>25.7</v>
      </c>
      <c r="N109" s="137">
        <f t="shared" si="9"/>
        <v>1.4099331233312946</v>
      </c>
      <c r="O109">
        <v>39.010023979360902</v>
      </c>
      <c r="P109" s="137">
        <f t="shared" si="10"/>
        <v>1.5911762172715689</v>
      </c>
      <c r="Q109">
        <v>3.3884049978579722</v>
      </c>
      <c r="R109">
        <v>3.8579486949156889</v>
      </c>
      <c r="S109">
        <v>8.7143792229021759</v>
      </c>
      <c r="T109">
        <v>7</v>
      </c>
      <c r="U109" s="137">
        <f t="shared" si="11"/>
        <v>1</v>
      </c>
    </row>
    <row r="110" spans="1:21" x14ac:dyDescent="0.35">
      <c r="A110">
        <v>0.93175331002877337</v>
      </c>
      <c r="B110" s="50">
        <v>7.8876712328767127</v>
      </c>
      <c r="C110" s="185">
        <f t="shared" si="6"/>
        <v>0.8969488004216073</v>
      </c>
      <c r="D110">
        <v>3.735736989773935</v>
      </c>
      <c r="E110">
        <v>0</v>
      </c>
      <c r="F110">
        <v>2.81</v>
      </c>
      <c r="G110" s="137">
        <f t="shared" si="7"/>
        <v>0.44870631990507992</v>
      </c>
      <c r="H110">
        <v>2.0997957012455433</v>
      </c>
      <c r="I110">
        <v>0.42813479402878879</v>
      </c>
      <c r="J110">
        <v>0.84509804001425681</v>
      </c>
      <c r="K110">
        <v>91.3</v>
      </c>
      <c r="L110" s="137">
        <f t="shared" si="8"/>
        <v>1.9604707775342989</v>
      </c>
      <c r="M110">
        <v>23.5</v>
      </c>
      <c r="N110" s="137">
        <f t="shared" si="9"/>
        <v>1.3710678622717363</v>
      </c>
      <c r="O110">
        <v>43.1672842383418</v>
      </c>
      <c r="P110" s="137">
        <f t="shared" si="10"/>
        <v>1.6351547269652249</v>
      </c>
      <c r="Q110">
        <v>3.3884049978579722</v>
      </c>
      <c r="R110">
        <v>3.8579486949156889</v>
      </c>
      <c r="S110">
        <v>7.7861833455676335</v>
      </c>
      <c r="T110">
        <v>6</v>
      </c>
      <c r="U110" s="137">
        <f t="shared" si="11"/>
        <v>1</v>
      </c>
    </row>
    <row r="111" spans="1:21" x14ac:dyDescent="0.35">
      <c r="A111">
        <v>-1</v>
      </c>
      <c r="B111" s="52">
        <v>4.1753424657534248</v>
      </c>
      <c r="C111" s="185">
        <f t="shared" si="6"/>
        <v>0.62069210254710705</v>
      </c>
      <c r="D111">
        <v>3.735736989773935</v>
      </c>
      <c r="E111">
        <v>1.7075701760979363</v>
      </c>
      <c r="F111">
        <v>2.81</v>
      </c>
      <c r="G111" s="137">
        <f t="shared" si="7"/>
        <v>0.44870631990507992</v>
      </c>
      <c r="H111">
        <v>2.0997957012455433</v>
      </c>
      <c r="I111">
        <v>-3.1517051446064911E-2</v>
      </c>
      <c r="J111">
        <v>0.6020599913279624</v>
      </c>
      <c r="K111">
        <v>91.4</v>
      </c>
      <c r="L111" s="137">
        <f t="shared" si="8"/>
        <v>1.9609461957338314</v>
      </c>
      <c r="M111">
        <v>26.7</v>
      </c>
      <c r="N111" s="137">
        <f t="shared" si="9"/>
        <v>1.4265112613645752</v>
      </c>
      <c r="O111">
        <v>37.425715444240403</v>
      </c>
      <c r="P111" s="137">
        <f t="shared" si="10"/>
        <v>1.5731701112332821</v>
      </c>
      <c r="Q111">
        <v>3.3884049978579722</v>
      </c>
      <c r="R111">
        <v>3.8579486949156889</v>
      </c>
      <c r="S111">
        <v>8.653212513775344</v>
      </c>
      <c r="T111">
        <v>5</v>
      </c>
      <c r="U111" s="137">
        <f t="shared" si="11"/>
        <v>1</v>
      </c>
    </row>
    <row r="112" spans="1:21" x14ac:dyDescent="0.35">
      <c r="A112">
        <v>5.1338078733862841E-2</v>
      </c>
      <c r="B112" s="50">
        <v>7.0301369863013701</v>
      </c>
      <c r="C112" s="185">
        <f t="shared" si="6"/>
        <v>0.84696378758243496</v>
      </c>
      <c r="D112">
        <v>0</v>
      </c>
      <c r="E112">
        <v>0</v>
      </c>
      <c r="F112">
        <v>2.81</v>
      </c>
      <c r="G112" s="137">
        <f t="shared" si="7"/>
        <v>0.44870631990507992</v>
      </c>
      <c r="H112">
        <v>2.0997957012455433</v>
      </c>
      <c r="I112">
        <v>5.6904851336472641E-2</v>
      </c>
      <c r="J112">
        <v>0.3010299956639812</v>
      </c>
      <c r="K112">
        <v>85</v>
      </c>
      <c r="L112" s="137">
        <f t="shared" si="8"/>
        <v>1.9294189257142926</v>
      </c>
      <c r="M112">
        <v>25.9</v>
      </c>
      <c r="N112" s="137">
        <f t="shared" si="9"/>
        <v>1.4132997640812519</v>
      </c>
      <c r="O112">
        <v>36.959146749272797</v>
      </c>
      <c r="P112" s="137">
        <f t="shared" si="10"/>
        <v>1.5677219364019672</v>
      </c>
      <c r="Q112">
        <v>3.3884049978579722</v>
      </c>
      <c r="R112">
        <v>3.8579486949156889</v>
      </c>
      <c r="S112">
        <v>8.7160033436347994</v>
      </c>
      <c r="T112">
        <v>4</v>
      </c>
      <c r="U112" s="137">
        <f t="shared" si="11"/>
        <v>0</v>
      </c>
    </row>
    <row r="113" spans="1:21" x14ac:dyDescent="0.35">
      <c r="A113">
        <v>0.73298480231841523</v>
      </c>
      <c r="B113" s="52">
        <v>4.0465753424657533</v>
      </c>
      <c r="C113" s="185">
        <f t="shared" si="6"/>
        <v>0.60708763085547479</v>
      </c>
      <c r="D113">
        <v>3.735736989773935</v>
      </c>
      <c r="E113">
        <v>1.2787536009528289</v>
      </c>
      <c r="F113">
        <v>2.81</v>
      </c>
      <c r="G113" s="137">
        <f t="shared" si="7"/>
        <v>0.44870631990507992</v>
      </c>
      <c r="H113">
        <v>2.0997957012455433</v>
      </c>
      <c r="I113">
        <v>6.445798922691845E-2</v>
      </c>
      <c r="J113">
        <v>0</v>
      </c>
      <c r="K113">
        <v>85</v>
      </c>
      <c r="L113" s="137">
        <f t="shared" si="8"/>
        <v>1.9294189257142926</v>
      </c>
      <c r="M113">
        <v>24.9</v>
      </c>
      <c r="N113" s="137">
        <f t="shared" si="9"/>
        <v>1.3961993470957363</v>
      </c>
      <c r="O113">
        <v>36.710134890601303</v>
      </c>
      <c r="P113" s="137">
        <f t="shared" si="10"/>
        <v>1.564785980312654</v>
      </c>
      <c r="Q113">
        <v>3.3884049978579722</v>
      </c>
      <c r="R113">
        <v>3.8579486949156889</v>
      </c>
      <c r="S113">
        <v>7.7809650296083168</v>
      </c>
      <c r="T113">
        <v>5</v>
      </c>
      <c r="U113" s="137">
        <f t="shared" si="11"/>
        <v>1</v>
      </c>
    </row>
    <row r="114" spans="1:21" x14ac:dyDescent="0.35">
      <c r="A114">
        <v>0.12746371163880357</v>
      </c>
      <c r="B114" s="50">
        <v>3.2630136986301368</v>
      </c>
      <c r="C114" s="185">
        <f t="shared" si="6"/>
        <v>0.51361889702630281</v>
      </c>
      <c r="D114">
        <v>3.735736989773935</v>
      </c>
      <c r="E114">
        <v>0</v>
      </c>
      <c r="F114">
        <v>2.81</v>
      </c>
      <c r="G114" s="137">
        <f t="shared" si="7"/>
        <v>0.44870631990507992</v>
      </c>
      <c r="H114">
        <v>2.0997957012455433</v>
      </c>
      <c r="I114">
        <v>-4.5757490560675115E-2</v>
      </c>
      <c r="J114">
        <v>0</v>
      </c>
      <c r="K114">
        <v>85</v>
      </c>
      <c r="L114" s="137">
        <f t="shared" si="8"/>
        <v>1.9294189257142926</v>
      </c>
      <c r="M114">
        <v>27.2</v>
      </c>
      <c r="N114" s="137">
        <f t="shared" si="9"/>
        <v>1.4345689040341987</v>
      </c>
      <c r="O114">
        <v>35.608384832026097</v>
      </c>
      <c r="P114" s="137">
        <f t="shared" si="10"/>
        <v>1.5515522748692276</v>
      </c>
      <c r="Q114">
        <v>3.3884049978579722</v>
      </c>
      <c r="R114">
        <v>3.8579486949156889</v>
      </c>
      <c r="S114">
        <v>9.1373541113707333</v>
      </c>
      <c r="T114">
        <v>8</v>
      </c>
      <c r="U114" s="137">
        <f t="shared" si="11"/>
        <v>1</v>
      </c>
    </row>
    <row r="115" spans="1:21" x14ac:dyDescent="0.35">
      <c r="A115">
        <v>0.38394695043285532</v>
      </c>
      <c r="B115" s="52">
        <v>3.2630136986301368</v>
      </c>
      <c r="C115" s="185">
        <f t="shared" si="6"/>
        <v>0.51361889702630281</v>
      </c>
      <c r="D115">
        <v>3.735736989773935</v>
      </c>
      <c r="E115">
        <v>2.0334237554869499</v>
      </c>
      <c r="F115">
        <v>2.81</v>
      </c>
      <c r="G115" s="137">
        <f t="shared" si="7"/>
        <v>0.44870631990507992</v>
      </c>
      <c r="H115">
        <v>2.0997957012455433</v>
      </c>
      <c r="I115">
        <v>-6.5501548756432285E-2</v>
      </c>
      <c r="J115">
        <v>0</v>
      </c>
      <c r="K115">
        <v>85</v>
      </c>
      <c r="L115" s="137">
        <f t="shared" si="8"/>
        <v>1.9294189257142926</v>
      </c>
      <c r="M115">
        <v>28.2</v>
      </c>
      <c r="N115" s="137">
        <f t="shared" si="9"/>
        <v>1.4502491083193612</v>
      </c>
      <c r="O115">
        <v>34.298950279384798</v>
      </c>
      <c r="P115" s="137">
        <f t="shared" si="10"/>
        <v>1.5352808286478177</v>
      </c>
      <c r="Q115">
        <v>3.3884049978579722</v>
      </c>
      <c r="R115">
        <v>3.8579486949156889</v>
      </c>
      <c r="S115">
        <v>8.1760912590556813</v>
      </c>
      <c r="T115" t="s">
        <v>1323</v>
      </c>
      <c r="U115" s="137">
        <f t="shared" si="11"/>
        <v>1</v>
      </c>
    </row>
    <row r="116" spans="1:21" x14ac:dyDescent="0.35">
      <c r="A116">
        <v>0.42241377805523822</v>
      </c>
      <c r="B116" s="50">
        <v>3.871232876712329</v>
      </c>
      <c r="C116" s="185">
        <f t="shared" si="6"/>
        <v>0.58784929739208391</v>
      </c>
      <c r="D116">
        <v>3.7707018228379927</v>
      </c>
      <c r="E116">
        <v>1.4913616938342726</v>
      </c>
      <c r="F116">
        <v>2.3199999999999998</v>
      </c>
      <c r="G116" s="137">
        <f t="shared" si="7"/>
        <v>0.36548798489089962</v>
      </c>
      <c r="H116">
        <v>2.12057393120585</v>
      </c>
      <c r="I116">
        <v>0.18184358794477254</v>
      </c>
      <c r="J116">
        <v>1.4913616938342726</v>
      </c>
      <c r="K116">
        <v>90.5</v>
      </c>
      <c r="L116" s="137">
        <f t="shared" si="8"/>
        <v>1.9566485792052033</v>
      </c>
      <c r="M116">
        <v>25.7</v>
      </c>
      <c r="N116" s="137">
        <f t="shared" si="9"/>
        <v>1.4099331233312946</v>
      </c>
      <c r="O116">
        <v>39.010023979360902</v>
      </c>
      <c r="P116" s="137">
        <f t="shared" si="10"/>
        <v>1.5911762172715689</v>
      </c>
      <c r="Q116">
        <v>3.4436974992327127</v>
      </c>
      <c r="R116">
        <v>3.8586708472035309</v>
      </c>
      <c r="S116">
        <v>8.1398790864012369</v>
      </c>
      <c r="T116">
        <v>6</v>
      </c>
      <c r="U116" s="137">
        <f t="shared" si="11"/>
        <v>1</v>
      </c>
    </row>
    <row r="117" spans="1:21" x14ac:dyDescent="0.35">
      <c r="A117">
        <v>0.54960935693524038</v>
      </c>
      <c r="B117" s="52">
        <v>3.1917808219178081</v>
      </c>
      <c r="C117" s="185">
        <f t="shared" si="6"/>
        <v>0.5040330609055631</v>
      </c>
      <c r="D117">
        <v>3.7707018228379927</v>
      </c>
      <c r="E117">
        <v>0.90308998699194354</v>
      </c>
      <c r="F117">
        <v>2.3199999999999998</v>
      </c>
      <c r="G117" s="137">
        <f t="shared" si="7"/>
        <v>0.36548798489089962</v>
      </c>
      <c r="H117">
        <v>2.12057393120585</v>
      </c>
      <c r="I117">
        <v>-4.5757490560675115E-2</v>
      </c>
      <c r="J117">
        <v>1.3617278360175928</v>
      </c>
      <c r="K117">
        <v>85</v>
      </c>
      <c r="L117" s="137">
        <f t="shared" si="8"/>
        <v>1.9294189257142926</v>
      </c>
      <c r="M117">
        <v>25.9</v>
      </c>
      <c r="N117" s="137">
        <f t="shared" si="9"/>
        <v>1.4132997640812519</v>
      </c>
      <c r="O117">
        <v>36.959146749272797</v>
      </c>
      <c r="P117" s="137">
        <f t="shared" si="10"/>
        <v>1.5677219364019672</v>
      </c>
      <c r="Q117">
        <v>3.4436974992327127</v>
      </c>
      <c r="R117">
        <v>3.8586708472035309</v>
      </c>
      <c r="S117">
        <v>7.2504200023088936</v>
      </c>
      <c r="T117">
        <v>5</v>
      </c>
      <c r="U117" s="137">
        <f t="shared" si="11"/>
        <v>1</v>
      </c>
    </row>
    <row r="118" spans="1:21" x14ac:dyDescent="0.35">
      <c r="A118">
        <v>4.1392685158225077E-2</v>
      </c>
      <c r="B118" s="50">
        <v>5.8493150684931505</v>
      </c>
      <c r="C118" s="185">
        <f t="shared" si="6"/>
        <v>0.76710501490456795</v>
      </c>
      <c r="D118">
        <v>3.7707018228379927</v>
      </c>
      <c r="E118">
        <v>1.0413926851582251</v>
      </c>
      <c r="F118">
        <v>2.3199999999999998</v>
      </c>
      <c r="G118" s="137">
        <f t="shared" si="7"/>
        <v>0.36548798489089962</v>
      </c>
      <c r="H118">
        <v>2.12057393120585</v>
      </c>
      <c r="I118">
        <v>0.24797326636180664</v>
      </c>
      <c r="J118">
        <v>0.77815125038364363</v>
      </c>
      <c r="K118">
        <v>91.3</v>
      </c>
      <c r="L118" s="137">
        <f t="shared" si="8"/>
        <v>1.9604707775342989</v>
      </c>
      <c r="M118">
        <v>23.5</v>
      </c>
      <c r="N118" s="137">
        <f t="shared" si="9"/>
        <v>1.3710678622717363</v>
      </c>
      <c r="O118">
        <v>43.1672842383418</v>
      </c>
      <c r="P118" s="137">
        <f t="shared" si="10"/>
        <v>1.6351547269652249</v>
      </c>
      <c r="Q118">
        <v>3.1185638922971846</v>
      </c>
      <c r="R118">
        <v>3.4832528165335011</v>
      </c>
      <c r="S118">
        <v>8.3979400086720375</v>
      </c>
      <c r="T118">
        <v>9</v>
      </c>
      <c r="U118" s="137">
        <f t="shared" si="11"/>
        <v>1</v>
      </c>
    </row>
    <row r="119" spans="1:21" x14ac:dyDescent="0.35">
      <c r="A119">
        <v>-5.7845990168414053E-2</v>
      </c>
      <c r="B119" s="52">
        <v>4.2712328767123289</v>
      </c>
      <c r="C119" s="185">
        <f t="shared" si="6"/>
        <v>0.63055325073236701</v>
      </c>
      <c r="D119">
        <v>0</v>
      </c>
      <c r="E119">
        <v>0</v>
      </c>
      <c r="F119">
        <v>2.95</v>
      </c>
      <c r="G119" s="137">
        <f t="shared" si="7"/>
        <v>0.46982201597816303</v>
      </c>
      <c r="H119">
        <v>0</v>
      </c>
      <c r="I119">
        <v>-8.7739243075051505E-3</v>
      </c>
      <c r="J119">
        <v>0.47712125471966244</v>
      </c>
      <c r="K119">
        <v>92.6</v>
      </c>
      <c r="L119" s="137">
        <f t="shared" si="8"/>
        <v>1.9666109866819343</v>
      </c>
      <c r="M119">
        <v>25.7</v>
      </c>
      <c r="N119" s="137">
        <f t="shared" si="9"/>
        <v>1.4099331233312946</v>
      </c>
      <c r="O119">
        <v>39.823361151429197</v>
      </c>
      <c r="P119" s="137">
        <f t="shared" si="10"/>
        <v>1.6001379123442065</v>
      </c>
      <c r="Q119">
        <v>3.3481258369969185</v>
      </c>
      <c r="R119">
        <v>3.8736689739586678</v>
      </c>
      <c r="S119">
        <v>8.6283889300503116</v>
      </c>
      <c r="T119">
        <v>2</v>
      </c>
      <c r="U119" s="137">
        <f t="shared" si="11"/>
        <v>0</v>
      </c>
    </row>
    <row r="120" spans="1:21" x14ac:dyDescent="0.35">
      <c r="A120">
        <v>0.22184874961635639</v>
      </c>
      <c r="B120" s="50">
        <v>4.8082191780821919</v>
      </c>
      <c r="C120" s="185">
        <f t="shared" si="6"/>
        <v>0.68198425634536819</v>
      </c>
      <c r="D120">
        <v>0</v>
      </c>
      <c r="E120">
        <v>1.7781512503836436</v>
      </c>
      <c r="F120">
        <v>2.95</v>
      </c>
      <c r="G120" s="137">
        <f t="shared" si="7"/>
        <v>0.46982201597816303</v>
      </c>
      <c r="H120">
        <v>0</v>
      </c>
      <c r="I120">
        <v>-4.0958607678906384E-2</v>
      </c>
      <c r="J120">
        <v>0.3010299956639812</v>
      </c>
      <c r="K120">
        <v>91.4</v>
      </c>
      <c r="L120" s="137">
        <f t="shared" si="8"/>
        <v>1.9609461957338314</v>
      </c>
      <c r="M120">
        <v>26.7</v>
      </c>
      <c r="N120" s="137">
        <f t="shared" si="9"/>
        <v>1.4265112613645752</v>
      </c>
      <c r="O120">
        <v>37.425715444240403</v>
      </c>
      <c r="P120" s="137">
        <f t="shared" si="10"/>
        <v>1.5731701112332821</v>
      </c>
      <c r="Q120">
        <v>3.3481258369969185</v>
      </c>
      <c r="R120">
        <v>3.8736689739586678</v>
      </c>
      <c r="S120">
        <v>8.3222192947339195</v>
      </c>
      <c r="T120">
        <v>2</v>
      </c>
      <c r="U120" s="137">
        <f t="shared" si="11"/>
        <v>0</v>
      </c>
    </row>
    <row r="121" spans="1:21" x14ac:dyDescent="0.35">
      <c r="A121">
        <v>0.56820172406699498</v>
      </c>
      <c r="B121" s="52">
        <v>2.6136986301369864</v>
      </c>
      <c r="C121" s="185">
        <f t="shared" si="6"/>
        <v>0.41725551024762042</v>
      </c>
      <c r="D121">
        <v>0</v>
      </c>
      <c r="E121">
        <v>0.47712125471966244</v>
      </c>
      <c r="F121">
        <v>2.95</v>
      </c>
      <c r="G121" s="137">
        <f t="shared" si="7"/>
        <v>0.46982201597816303</v>
      </c>
      <c r="H121">
        <v>0</v>
      </c>
      <c r="I121">
        <v>-0.17392519729917361</v>
      </c>
      <c r="J121">
        <v>0</v>
      </c>
      <c r="K121">
        <v>93.2</v>
      </c>
      <c r="L121" s="137">
        <f t="shared" si="8"/>
        <v>1.9694159123539814</v>
      </c>
      <c r="M121">
        <v>26.7</v>
      </c>
      <c r="N121" s="137">
        <f t="shared" si="9"/>
        <v>1.4265112613645752</v>
      </c>
      <c r="O121">
        <v>36.669158714517401</v>
      </c>
      <c r="P121" s="137">
        <f t="shared" si="10"/>
        <v>1.5643009462345601</v>
      </c>
      <c r="Q121">
        <v>3.3481258369969185</v>
      </c>
      <c r="R121">
        <v>3.8736689739586678</v>
      </c>
      <c r="S121">
        <v>7.6989700043360187</v>
      </c>
      <c r="T121">
        <v>1</v>
      </c>
      <c r="U121" s="137">
        <f t="shared" si="11"/>
        <v>0</v>
      </c>
    </row>
    <row r="122" spans="1:21" x14ac:dyDescent="0.35">
      <c r="A122">
        <v>0.52636707312615894</v>
      </c>
      <c r="B122" s="50">
        <v>3.3150684931506849</v>
      </c>
      <c r="C122" s="185">
        <f t="shared" si="6"/>
        <v>0.52049250585997542</v>
      </c>
      <c r="D122">
        <v>3.791612763704681</v>
      </c>
      <c r="E122">
        <v>0.90308998699194354</v>
      </c>
      <c r="F122">
        <v>2.72</v>
      </c>
      <c r="G122" s="137">
        <f t="shared" si="7"/>
        <v>0.43456890403419873</v>
      </c>
      <c r="H122">
        <v>3.0351614735017871</v>
      </c>
      <c r="I122">
        <v>0.11394335230683679</v>
      </c>
      <c r="J122">
        <v>0.95424250943932487</v>
      </c>
      <c r="K122">
        <v>89.2</v>
      </c>
      <c r="L122" s="137">
        <f t="shared" si="8"/>
        <v>1.9503648543761232</v>
      </c>
      <c r="M122">
        <v>26</v>
      </c>
      <c r="N122" s="137">
        <f t="shared" si="9"/>
        <v>1.414973347970818</v>
      </c>
      <c r="O122">
        <v>38.344872802923099</v>
      </c>
      <c r="P122" s="137">
        <f t="shared" si="10"/>
        <v>1.5837073014724459</v>
      </c>
      <c r="Q122">
        <v>3.8659974508347341</v>
      </c>
      <c r="R122">
        <v>3.8302925433451809</v>
      </c>
      <c r="S122">
        <v>7.5705429398818973</v>
      </c>
      <c r="T122">
        <v>2</v>
      </c>
      <c r="U122" s="137">
        <f t="shared" si="11"/>
        <v>1</v>
      </c>
    </row>
    <row r="123" spans="1:21" x14ac:dyDescent="0.35">
      <c r="A123">
        <v>1.2652875845284624</v>
      </c>
      <c r="B123" s="52">
        <v>2.8986301369863012</v>
      </c>
      <c r="C123" s="185">
        <f t="shared" si="6"/>
        <v>0.46219280324269224</v>
      </c>
      <c r="D123">
        <v>3.7707018228379927</v>
      </c>
      <c r="E123">
        <v>0.90308998699194354</v>
      </c>
      <c r="F123">
        <v>2.3199999999999998</v>
      </c>
      <c r="G123" s="137">
        <f t="shared" si="7"/>
        <v>0.36548798489089962</v>
      </c>
      <c r="H123">
        <v>2.12057393120585</v>
      </c>
      <c r="I123">
        <v>0.14612803567823801</v>
      </c>
      <c r="J123">
        <v>1.146128035678238</v>
      </c>
      <c r="K123">
        <v>91</v>
      </c>
      <c r="L123" s="137">
        <f t="shared" si="8"/>
        <v>1.9590413923210936</v>
      </c>
      <c r="M123">
        <v>23.9</v>
      </c>
      <c r="N123" s="137">
        <f t="shared" si="9"/>
        <v>1.3783979009481377</v>
      </c>
      <c r="O123">
        <v>42.048698215007001</v>
      </c>
      <c r="P123" s="137">
        <f t="shared" si="10"/>
        <v>1.6237525550259535</v>
      </c>
      <c r="Q123">
        <v>3.6410631547392063</v>
      </c>
      <c r="R123">
        <v>3.7013464506591722</v>
      </c>
      <c r="S123">
        <v>7.1417632302757879</v>
      </c>
      <c r="T123">
        <v>9</v>
      </c>
      <c r="U123" s="137">
        <f t="shared" si="11"/>
        <v>1</v>
      </c>
    </row>
    <row r="124" spans="1:21" x14ac:dyDescent="0.35">
      <c r="A124">
        <v>1.3135294062027159</v>
      </c>
      <c r="B124" s="50">
        <v>7.7890410958904113</v>
      </c>
      <c r="C124" s="185">
        <f t="shared" si="6"/>
        <v>0.89148399523396749</v>
      </c>
      <c r="D124">
        <v>3.7707018228379927</v>
      </c>
      <c r="E124">
        <v>0.90308998699194354</v>
      </c>
      <c r="F124">
        <v>2.3199999999999998</v>
      </c>
      <c r="G124" s="137">
        <f t="shared" si="7"/>
        <v>0.36548798489089962</v>
      </c>
      <c r="H124">
        <v>2.12057393120585</v>
      </c>
      <c r="I124">
        <v>0.33845649360460478</v>
      </c>
      <c r="J124">
        <v>1.0413926851582251</v>
      </c>
      <c r="K124">
        <v>92.6</v>
      </c>
      <c r="L124" s="137">
        <f t="shared" si="8"/>
        <v>1.9666109866819343</v>
      </c>
      <c r="M124">
        <v>25.7</v>
      </c>
      <c r="N124" s="137">
        <f t="shared" si="9"/>
        <v>1.4099331233312946</v>
      </c>
      <c r="O124">
        <v>39.823361151429197</v>
      </c>
      <c r="P124" s="137">
        <f t="shared" si="10"/>
        <v>1.6001379123442065</v>
      </c>
      <c r="Q124">
        <v>3.6410631547392063</v>
      </c>
      <c r="R124">
        <v>3.7013464506591722</v>
      </c>
      <c r="S124">
        <v>6.7418603940652639</v>
      </c>
      <c r="T124">
        <v>9</v>
      </c>
      <c r="U124" s="137">
        <f t="shared" si="11"/>
        <v>1</v>
      </c>
    </row>
    <row r="125" spans="1:21" x14ac:dyDescent="0.35">
      <c r="A125">
        <v>0.4607308385314931</v>
      </c>
      <c r="B125" s="52">
        <v>2.3808219178082193</v>
      </c>
      <c r="C125" s="185">
        <f t="shared" si="6"/>
        <v>0.37672691199219177</v>
      </c>
      <c r="D125">
        <v>3.7707018228379927</v>
      </c>
      <c r="E125">
        <v>0.3010299956639812</v>
      </c>
      <c r="F125">
        <v>2.3199999999999998</v>
      </c>
      <c r="G125" s="137">
        <f t="shared" si="7"/>
        <v>0.36548798489089962</v>
      </c>
      <c r="H125">
        <v>2.12057393120585</v>
      </c>
      <c r="I125">
        <v>8.9905111439397931E-2</v>
      </c>
      <c r="J125">
        <v>0.77815125038364363</v>
      </c>
      <c r="K125">
        <v>85</v>
      </c>
      <c r="L125" s="137">
        <f t="shared" si="8"/>
        <v>1.9294189257142926</v>
      </c>
      <c r="M125">
        <v>24.4</v>
      </c>
      <c r="N125" s="137">
        <f t="shared" si="9"/>
        <v>1.3873898263387294</v>
      </c>
      <c r="O125">
        <v>37.256914365427299</v>
      </c>
      <c r="P125" s="137">
        <f t="shared" si="10"/>
        <v>1.5712068835833228</v>
      </c>
      <c r="Q125">
        <v>3.6410631547392063</v>
      </c>
      <c r="R125">
        <v>3.7013464506591722</v>
      </c>
      <c r="S125">
        <v>7.1303337684950066</v>
      </c>
      <c r="T125">
        <v>9</v>
      </c>
      <c r="U125" s="137">
        <f t="shared" si="11"/>
        <v>1</v>
      </c>
    </row>
    <row r="126" spans="1:21" x14ac:dyDescent="0.35">
      <c r="A126">
        <v>-1</v>
      </c>
      <c r="B126" s="50">
        <v>4.161643835616438</v>
      </c>
      <c r="C126" s="185">
        <f t="shared" si="6"/>
        <v>0.61926490940631163</v>
      </c>
      <c r="D126">
        <v>0</v>
      </c>
      <c r="E126">
        <v>1.6627578316815741</v>
      </c>
      <c r="F126">
        <v>2.95</v>
      </c>
      <c r="G126" s="137">
        <f t="shared" si="7"/>
        <v>0.46982201597816303</v>
      </c>
      <c r="H126">
        <v>0</v>
      </c>
      <c r="I126">
        <v>-4.5757490560675115E-2</v>
      </c>
      <c r="J126">
        <v>0</v>
      </c>
      <c r="K126">
        <v>93.2</v>
      </c>
      <c r="L126" s="137">
        <f t="shared" si="8"/>
        <v>1.9694159123539814</v>
      </c>
      <c r="M126">
        <v>26.7</v>
      </c>
      <c r="N126" s="137">
        <f t="shared" si="9"/>
        <v>1.4265112613645752</v>
      </c>
      <c r="O126">
        <v>36.669158714517401</v>
      </c>
      <c r="P126" s="137">
        <f t="shared" si="10"/>
        <v>1.5643009462345601</v>
      </c>
      <c r="Q126">
        <v>3.3481258369969185</v>
      </c>
      <c r="R126">
        <v>3.8736689739586678</v>
      </c>
      <c r="S126">
        <v>8.1139433523068369</v>
      </c>
      <c r="T126">
        <v>4</v>
      </c>
      <c r="U126" s="137">
        <f t="shared" si="11"/>
        <v>0</v>
      </c>
    </row>
    <row r="127" spans="1:21" x14ac:dyDescent="0.35">
      <c r="A127">
        <v>0.13120336988464582</v>
      </c>
      <c r="B127" s="52">
        <v>9.6465753424657539</v>
      </c>
      <c r="C127" s="185">
        <f t="shared" si="6"/>
        <v>0.9843731606137095</v>
      </c>
      <c r="D127">
        <v>0</v>
      </c>
      <c r="E127">
        <v>2.1846914308175989</v>
      </c>
      <c r="F127">
        <v>2.95</v>
      </c>
      <c r="G127" s="137">
        <f t="shared" si="7"/>
        <v>0.46982201597816303</v>
      </c>
      <c r="H127">
        <v>0</v>
      </c>
      <c r="I127">
        <v>0.16136800223497488</v>
      </c>
      <c r="J127">
        <v>1.2304489213782739</v>
      </c>
      <c r="K127">
        <v>85</v>
      </c>
      <c r="L127" s="137">
        <f t="shared" si="8"/>
        <v>1.9294189257142926</v>
      </c>
      <c r="M127">
        <v>24.9</v>
      </c>
      <c r="N127" s="137">
        <f t="shared" si="9"/>
        <v>1.3961993470957363</v>
      </c>
      <c r="O127">
        <v>36.710134890601303</v>
      </c>
      <c r="P127" s="137">
        <f t="shared" si="10"/>
        <v>1.564785980312654</v>
      </c>
      <c r="Q127">
        <v>3.4636820971642801</v>
      </c>
      <c r="R127">
        <v>3.6703795027080157</v>
      </c>
      <c r="S127">
        <v>9.052066473798158</v>
      </c>
      <c r="T127">
        <v>2</v>
      </c>
      <c r="U127" s="137">
        <f t="shared" si="11"/>
        <v>0</v>
      </c>
    </row>
    <row r="128" spans="1:21" x14ac:dyDescent="0.35">
      <c r="A128">
        <v>0.19634405574552369</v>
      </c>
      <c r="B128" s="50">
        <v>4.5342465753424657</v>
      </c>
      <c r="C128" s="185">
        <f t="shared" si="6"/>
        <v>0.65650513365526286</v>
      </c>
      <c r="D128">
        <v>0</v>
      </c>
      <c r="E128">
        <v>1.7323937598229686</v>
      </c>
      <c r="F128">
        <v>2.95</v>
      </c>
      <c r="G128" s="137">
        <f t="shared" si="7"/>
        <v>0.46982201597816303</v>
      </c>
      <c r="H128">
        <v>0</v>
      </c>
      <c r="I128">
        <v>-7.0581074285707285E-2</v>
      </c>
      <c r="J128">
        <v>0.77815125038364363</v>
      </c>
      <c r="K128">
        <v>91.4</v>
      </c>
      <c r="L128" s="137">
        <f t="shared" si="8"/>
        <v>1.9609461957338314</v>
      </c>
      <c r="M128">
        <v>26.7</v>
      </c>
      <c r="N128" s="137">
        <f t="shared" si="9"/>
        <v>1.4265112613645752</v>
      </c>
      <c r="O128">
        <v>37.425715444240403</v>
      </c>
      <c r="P128" s="137">
        <f t="shared" si="10"/>
        <v>1.5731701112332821</v>
      </c>
      <c r="Q128">
        <v>3.792430514795639</v>
      </c>
      <c r="R128">
        <v>3.5446460310848829</v>
      </c>
      <c r="S128">
        <v>7.7476448193282481</v>
      </c>
      <c r="T128">
        <v>6</v>
      </c>
      <c r="U128" s="137">
        <f t="shared" si="11"/>
        <v>0</v>
      </c>
    </row>
    <row r="129" spans="1:21" x14ac:dyDescent="0.35">
      <c r="A129">
        <v>-1</v>
      </c>
      <c r="B129" s="52">
        <v>3.8136986301369862</v>
      </c>
      <c r="C129" s="185">
        <f t="shared" si="6"/>
        <v>0.58134637081806861</v>
      </c>
      <c r="D129">
        <v>0</v>
      </c>
      <c r="E129">
        <v>0.77815125038364363</v>
      </c>
      <c r="F129">
        <v>2.95</v>
      </c>
      <c r="G129" s="137">
        <f t="shared" si="7"/>
        <v>0.46982201597816303</v>
      </c>
      <c r="H129">
        <v>0</v>
      </c>
      <c r="I129">
        <v>-0.11918640771920865</v>
      </c>
      <c r="J129">
        <v>0</v>
      </c>
      <c r="K129">
        <v>91.4</v>
      </c>
      <c r="L129" s="137">
        <f t="shared" si="8"/>
        <v>1.9609461957338314</v>
      </c>
      <c r="M129">
        <v>26.7</v>
      </c>
      <c r="N129" s="137">
        <f t="shared" si="9"/>
        <v>1.4265112613645752</v>
      </c>
      <c r="O129">
        <v>37.425715444240403</v>
      </c>
      <c r="P129" s="137">
        <f t="shared" si="10"/>
        <v>1.5731701112332821</v>
      </c>
      <c r="Q129">
        <v>3.3647319780710983</v>
      </c>
      <c r="R129">
        <v>3.5686596122879011</v>
      </c>
      <c r="S129">
        <v>7.8388490907372557</v>
      </c>
      <c r="T129">
        <v>2</v>
      </c>
      <c r="U129" s="137">
        <f t="shared" si="11"/>
        <v>0</v>
      </c>
    </row>
    <row r="130" spans="1:21" x14ac:dyDescent="0.35">
      <c r="A130">
        <v>-8.7739243075051505E-3</v>
      </c>
      <c r="B130" s="50">
        <v>2.1150684931506851</v>
      </c>
      <c r="C130" s="185">
        <f t="shared" si="6"/>
        <v>0.32532443587926146</v>
      </c>
      <c r="D130">
        <v>0</v>
      </c>
      <c r="E130" t="e">
        <v>#NUM!</v>
      </c>
      <c r="F130">
        <v>2.95</v>
      </c>
      <c r="G130" s="137">
        <f t="shared" si="7"/>
        <v>0.46982201597816303</v>
      </c>
      <c r="H130">
        <v>0</v>
      </c>
      <c r="I130">
        <v>5.6904851336472641E-2</v>
      </c>
      <c r="J130">
        <v>0.69897000433601886</v>
      </c>
      <c r="K130">
        <v>85</v>
      </c>
      <c r="L130" s="137">
        <f t="shared" si="8"/>
        <v>1.9294189257142926</v>
      </c>
      <c r="M130">
        <v>25.7</v>
      </c>
      <c r="N130" s="137">
        <f t="shared" si="9"/>
        <v>1.4099331233312946</v>
      </c>
      <c r="O130">
        <v>39.367752568237798</v>
      </c>
      <c r="P130" s="137">
        <f t="shared" si="10"/>
        <v>1.5951406224338005</v>
      </c>
      <c r="Q130">
        <v>3.0958500844125241</v>
      </c>
      <c r="R130">
        <v>3.5078178355445662</v>
      </c>
      <c r="S130">
        <v>8</v>
      </c>
      <c r="T130">
        <v>9</v>
      </c>
      <c r="U130" s="137">
        <f t="shared" si="11"/>
        <v>0</v>
      </c>
    </row>
    <row r="131" spans="1:21" x14ac:dyDescent="0.35">
      <c r="A131">
        <v>-0.2896005338831994</v>
      </c>
      <c r="B131" s="52">
        <v>3.1095890410958904</v>
      </c>
      <c r="C131" s="185">
        <f t="shared" ref="C131:C194" si="12">LOG(B131)</f>
        <v>0.49270299707266679</v>
      </c>
      <c r="D131">
        <v>0</v>
      </c>
      <c r="E131">
        <v>0</v>
      </c>
      <c r="F131">
        <v>2.95</v>
      </c>
      <c r="G131" s="137">
        <f t="shared" ref="G131:G194" si="13">LOG(F131)</f>
        <v>0.46982201597816303</v>
      </c>
      <c r="H131">
        <v>0</v>
      </c>
      <c r="I131">
        <v>0.30535136944662378</v>
      </c>
      <c r="J131">
        <v>0.90308998699194354</v>
      </c>
      <c r="K131">
        <v>85</v>
      </c>
      <c r="L131" s="137">
        <f t="shared" ref="L131:L194" si="14">LOG(K131)</f>
        <v>1.9294189257142926</v>
      </c>
      <c r="M131">
        <v>26.5</v>
      </c>
      <c r="N131" s="137">
        <f t="shared" ref="N131:N194" si="15">LOG(M131)</f>
        <v>1.4232458739368079</v>
      </c>
      <c r="O131">
        <v>37.808596853116498</v>
      </c>
      <c r="P131" s="137">
        <f t="shared" ref="P131:P194" si="16">LOG(O131)</f>
        <v>1.577590560190987</v>
      </c>
      <c r="Q131">
        <v>3.0958500844125241</v>
      </c>
      <c r="R131">
        <v>3.5078178355445662</v>
      </c>
      <c r="S131">
        <v>8.8750612633917001</v>
      </c>
      <c r="T131">
        <v>1</v>
      </c>
      <c r="U131" s="137">
        <f t="shared" ref="U131:U194" si="17">IF(D131=0,0,1)</f>
        <v>0</v>
      </c>
    </row>
    <row r="132" spans="1:21" x14ac:dyDescent="0.35">
      <c r="A132">
        <v>0.63682209758717434</v>
      </c>
      <c r="B132" s="50">
        <v>8.912328767123288</v>
      </c>
      <c r="C132" s="185">
        <f t="shared" si="12"/>
        <v>0.94999119882537886</v>
      </c>
      <c r="D132">
        <v>0</v>
      </c>
      <c r="E132">
        <v>2.0211892990699383</v>
      </c>
      <c r="F132">
        <v>2.95</v>
      </c>
      <c r="G132" s="137">
        <f t="shared" si="13"/>
        <v>0.46982201597816303</v>
      </c>
      <c r="H132">
        <v>0</v>
      </c>
      <c r="I132">
        <v>-4.3648054024500883E-3</v>
      </c>
      <c r="J132">
        <v>1.0791812460476249</v>
      </c>
      <c r="K132">
        <v>85</v>
      </c>
      <c r="L132" s="137">
        <f t="shared" si="14"/>
        <v>1.9294189257142926</v>
      </c>
      <c r="M132">
        <v>27.8</v>
      </c>
      <c r="N132" s="137">
        <f t="shared" si="15"/>
        <v>1.4440447959180762</v>
      </c>
      <c r="O132">
        <v>34.656907836978597</v>
      </c>
      <c r="P132" s="137">
        <f t="shared" si="16"/>
        <v>1.5397898114291337</v>
      </c>
      <c r="Q132">
        <v>3.0958500844125241</v>
      </c>
      <c r="R132">
        <v>3.5078178355445662</v>
      </c>
      <c r="S132">
        <v>8.0791812460476251</v>
      </c>
      <c r="T132">
        <v>1</v>
      </c>
      <c r="U132" s="137">
        <f t="shared" si="17"/>
        <v>0</v>
      </c>
    </row>
    <row r="133" spans="1:21" x14ac:dyDescent="0.35">
      <c r="A133">
        <v>0.1075961808622074</v>
      </c>
      <c r="B133" s="52">
        <v>3.3178082191780822</v>
      </c>
      <c r="C133" s="185">
        <f t="shared" si="12"/>
        <v>0.52085127868657755</v>
      </c>
      <c r="D133">
        <v>0</v>
      </c>
      <c r="E133">
        <v>1.568201724066995</v>
      </c>
      <c r="F133">
        <v>2.95</v>
      </c>
      <c r="G133" s="137">
        <f t="shared" si="13"/>
        <v>0.46982201597816303</v>
      </c>
      <c r="H133">
        <v>0</v>
      </c>
      <c r="I133">
        <v>-0.20065945054641829</v>
      </c>
      <c r="J133">
        <v>1.0791812460476249</v>
      </c>
      <c r="K133">
        <v>85</v>
      </c>
      <c r="L133" s="137">
        <f t="shared" si="14"/>
        <v>1.9294189257142926</v>
      </c>
      <c r="M133">
        <v>27.8</v>
      </c>
      <c r="N133" s="137">
        <f t="shared" si="15"/>
        <v>1.4440447959180762</v>
      </c>
      <c r="O133">
        <v>34.656907836978597</v>
      </c>
      <c r="P133" s="137">
        <f t="shared" si="16"/>
        <v>1.5397898114291337</v>
      </c>
      <c r="Q133">
        <v>3.0958500844125241</v>
      </c>
      <c r="R133">
        <v>3.5078178355445662</v>
      </c>
      <c r="S133">
        <v>8.4487063199050798</v>
      </c>
      <c r="T133">
        <v>4</v>
      </c>
      <c r="U133" s="137">
        <f t="shared" si="17"/>
        <v>0</v>
      </c>
    </row>
    <row r="134" spans="1:21" x14ac:dyDescent="0.35">
      <c r="A134">
        <v>0.3010299956639812</v>
      </c>
      <c r="B134" s="50">
        <v>2.9972602739726026</v>
      </c>
      <c r="C134" s="185">
        <f t="shared" si="12"/>
        <v>0.47672445754093723</v>
      </c>
      <c r="D134">
        <v>0</v>
      </c>
      <c r="E134">
        <v>0.95424250943932487</v>
      </c>
      <c r="F134">
        <v>2.95</v>
      </c>
      <c r="G134" s="137">
        <f t="shared" si="13"/>
        <v>0.46982201597816303</v>
      </c>
      <c r="H134">
        <v>0</v>
      </c>
      <c r="I134">
        <v>-0.14874165128092473</v>
      </c>
      <c r="J134">
        <v>1.0791812460476249</v>
      </c>
      <c r="K134">
        <v>85</v>
      </c>
      <c r="L134" s="137">
        <f t="shared" si="14"/>
        <v>1.9294189257142926</v>
      </c>
      <c r="M134">
        <v>27.8</v>
      </c>
      <c r="N134" s="137">
        <f t="shared" si="15"/>
        <v>1.4440447959180762</v>
      </c>
      <c r="O134">
        <v>34.656907836978597</v>
      </c>
      <c r="P134" s="137">
        <f t="shared" si="16"/>
        <v>1.5397898114291337</v>
      </c>
      <c r="Q134">
        <v>3.0958500844125241</v>
      </c>
      <c r="R134">
        <v>3.5078178355445662</v>
      </c>
      <c r="S134">
        <v>8.3979400086720375</v>
      </c>
      <c r="T134">
        <v>1</v>
      </c>
      <c r="U134" s="137">
        <f t="shared" si="17"/>
        <v>0</v>
      </c>
    </row>
    <row r="135" spans="1:21" x14ac:dyDescent="0.35">
      <c r="A135">
        <v>0.51452289435065757</v>
      </c>
      <c r="B135" s="52">
        <v>5.0986301369863014</v>
      </c>
      <c r="C135" s="185">
        <f t="shared" si="12"/>
        <v>0.70745350867429235</v>
      </c>
      <c r="D135">
        <v>0</v>
      </c>
      <c r="E135">
        <v>1.7160033436347992</v>
      </c>
      <c r="F135">
        <v>2.95</v>
      </c>
      <c r="G135" s="137">
        <f t="shared" si="13"/>
        <v>0.46982201597816303</v>
      </c>
      <c r="H135">
        <v>0</v>
      </c>
      <c r="I135">
        <v>-7.0581074285707285E-2</v>
      </c>
      <c r="J135">
        <v>1.0791812460476249</v>
      </c>
      <c r="K135">
        <v>85</v>
      </c>
      <c r="L135" s="137">
        <f t="shared" si="14"/>
        <v>1.9294189257142926</v>
      </c>
      <c r="M135">
        <v>27.8</v>
      </c>
      <c r="N135" s="137">
        <f t="shared" si="15"/>
        <v>1.4440447959180762</v>
      </c>
      <c r="O135">
        <v>34.656907836978597</v>
      </c>
      <c r="P135" s="137">
        <f t="shared" si="16"/>
        <v>1.5397898114291337</v>
      </c>
      <c r="Q135">
        <v>3.0958500844125241</v>
      </c>
      <c r="R135">
        <v>3.5078178355445662</v>
      </c>
      <c r="S135">
        <v>8.2092200230649937</v>
      </c>
      <c r="T135">
        <v>2</v>
      </c>
      <c r="U135" s="137">
        <f t="shared" si="17"/>
        <v>0</v>
      </c>
    </row>
    <row r="136" spans="1:21" x14ac:dyDescent="0.35">
      <c r="A136">
        <v>-9.7924009457260819E-2</v>
      </c>
      <c r="B136" s="50">
        <v>5.7643835616438359</v>
      </c>
      <c r="C136" s="185">
        <f t="shared" si="12"/>
        <v>0.76075287102522682</v>
      </c>
      <c r="D136">
        <v>0</v>
      </c>
      <c r="E136">
        <v>1.3424226808222062</v>
      </c>
      <c r="F136">
        <v>2.95</v>
      </c>
      <c r="G136" s="137">
        <f t="shared" si="13"/>
        <v>0.46982201597816303</v>
      </c>
      <c r="H136">
        <v>0</v>
      </c>
      <c r="I136">
        <v>-8.092190762392612E-2</v>
      </c>
      <c r="J136">
        <v>1.0791812460476249</v>
      </c>
      <c r="K136">
        <v>85</v>
      </c>
      <c r="L136" s="137">
        <f t="shared" si="14"/>
        <v>1.9294189257142926</v>
      </c>
      <c r="M136">
        <v>27.8</v>
      </c>
      <c r="N136" s="137">
        <f t="shared" si="15"/>
        <v>1.4440447959180762</v>
      </c>
      <c r="O136">
        <v>34.656907836978597</v>
      </c>
      <c r="P136" s="137">
        <f t="shared" si="16"/>
        <v>1.5397898114291337</v>
      </c>
      <c r="Q136">
        <v>3.0958500844125241</v>
      </c>
      <c r="R136">
        <v>3.5078178355445662</v>
      </c>
      <c r="S136">
        <v>8.6042260530844707</v>
      </c>
      <c r="T136">
        <v>5</v>
      </c>
      <c r="U136" s="137">
        <f t="shared" si="17"/>
        <v>0</v>
      </c>
    </row>
    <row r="137" spans="1:21" x14ac:dyDescent="0.35">
      <c r="A137">
        <v>0.13448405451453033</v>
      </c>
      <c r="B137" s="52">
        <v>6.6739726027397257</v>
      </c>
      <c r="C137" s="185">
        <f t="shared" si="12"/>
        <v>0.82438441950436303</v>
      </c>
      <c r="D137">
        <v>0</v>
      </c>
      <c r="E137">
        <v>1.0413926851582251</v>
      </c>
      <c r="F137">
        <v>2.95</v>
      </c>
      <c r="G137" s="137">
        <f t="shared" si="13"/>
        <v>0.46982201597816303</v>
      </c>
      <c r="H137">
        <v>0</v>
      </c>
      <c r="I137">
        <v>3.7426497940623665E-2</v>
      </c>
      <c r="J137">
        <v>1.1139433523068367</v>
      </c>
      <c r="K137">
        <v>85</v>
      </c>
      <c r="L137" s="137">
        <f t="shared" si="14"/>
        <v>1.9294189257142926</v>
      </c>
      <c r="M137">
        <v>28.2</v>
      </c>
      <c r="N137" s="137">
        <f t="shared" si="15"/>
        <v>1.4502491083193612</v>
      </c>
      <c r="O137">
        <v>34.298950279384798</v>
      </c>
      <c r="P137" s="137">
        <f t="shared" si="16"/>
        <v>1.5352808286478177</v>
      </c>
      <c r="Q137">
        <v>3.0958500844125241</v>
      </c>
      <c r="R137">
        <v>3.5078178355445662</v>
      </c>
      <c r="S137">
        <v>7.8293037728310253</v>
      </c>
      <c r="T137">
        <v>5</v>
      </c>
      <c r="U137" s="137">
        <f t="shared" si="17"/>
        <v>0</v>
      </c>
    </row>
    <row r="138" spans="1:21" x14ac:dyDescent="0.35">
      <c r="A138">
        <v>0.28940640628560588</v>
      </c>
      <c r="B138" s="50">
        <v>5.8931506849315065</v>
      </c>
      <c r="C138" s="185">
        <f t="shared" si="12"/>
        <v>0.77034754593098786</v>
      </c>
      <c r="D138">
        <v>0</v>
      </c>
      <c r="E138">
        <v>0</v>
      </c>
      <c r="F138">
        <v>2.95</v>
      </c>
      <c r="G138" s="137">
        <f t="shared" si="13"/>
        <v>0.46982201597816303</v>
      </c>
      <c r="H138">
        <v>0</v>
      </c>
      <c r="I138">
        <v>0.14921911265537988</v>
      </c>
      <c r="J138">
        <v>1.146128035678238</v>
      </c>
      <c r="K138">
        <v>85</v>
      </c>
      <c r="L138" s="137">
        <f t="shared" si="14"/>
        <v>1.9294189257142926</v>
      </c>
      <c r="M138">
        <v>27.2</v>
      </c>
      <c r="N138" s="137">
        <f t="shared" si="15"/>
        <v>1.4345689040341987</v>
      </c>
      <c r="O138">
        <v>35.608384832026097</v>
      </c>
      <c r="P138" s="137">
        <f t="shared" si="16"/>
        <v>1.5515522748692276</v>
      </c>
      <c r="Q138">
        <v>3.0958500844125241</v>
      </c>
      <c r="R138">
        <v>3.5078178355445662</v>
      </c>
      <c r="S138">
        <v>8.6106601630898805</v>
      </c>
      <c r="T138">
        <v>2</v>
      </c>
      <c r="U138" s="137">
        <f t="shared" si="17"/>
        <v>0</v>
      </c>
    </row>
    <row r="139" spans="1:21" x14ac:dyDescent="0.35">
      <c r="A139">
        <v>-1</v>
      </c>
      <c r="B139" s="52">
        <v>7.6219178082191785</v>
      </c>
      <c r="C139" s="185">
        <f t="shared" si="12"/>
        <v>0.88206426119955295</v>
      </c>
      <c r="D139">
        <v>0</v>
      </c>
      <c r="E139">
        <v>1.1760912590556813</v>
      </c>
      <c r="F139">
        <v>2.95</v>
      </c>
      <c r="G139" s="137">
        <f t="shared" si="13"/>
        <v>0.46982201597816303</v>
      </c>
      <c r="H139">
        <v>0</v>
      </c>
      <c r="I139">
        <v>-0.16115090926274472</v>
      </c>
      <c r="J139">
        <v>1.146128035678238</v>
      </c>
      <c r="K139">
        <v>85</v>
      </c>
      <c r="L139" s="137">
        <f t="shared" si="14"/>
        <v>1.9294189257142926</v>
      </c>
      <c r="M139">
        <v>27.2</v>
      </c>
      <c r="N139" s="137">
        <f t="shared" si="15"/>
        <v>1.4345689040341987</v>
      </c>
      <c r="O139">
        <v>35.608384832026097</v>
      </c>
      <c r="P139" s="137">
        <f t="shared" si="16"/>
        <v>1.5515522748692276</v>
      </c>
      <c r="Q139">
        <v>3.0958500844125241</v>
      </c>
      <c r="R139">
        <v>3.5078178355445662</v>
      </c>
      <c r="S139">
        <v>8.2787536009528289</v>
      </c>
      <c r="T139">
        <v>5</v>
      </c>
      <c r="U139" s="137">
        <f t="shared" si="17"/>
        <v>0</v>
      </c>
    </row>
    <row r="140" spans="1:21" x14ac:dyDescent="0.35">
      <c r="A140">
        <v>-1</v>
      </c>
      <c r="B140" s="50">
        <v>4.956164383561644</v>
      </c>
      <c r="C140" s="185">
        <f t="shared" si="12"/>
        <v>0.69514570240333906</v>
      </c>
      <c r="D140">
        <v>0</v>
      </c>
      <c r="E140">
        <v>0.47712125471966244</v>
      </c>
      <c r="F140">
        <v>2.95</v>
      </c>
      <c r="G140" s="137">
        <f t="shared" si="13"/>
        <v>0.46982201597816303</v>
      </c>
      <c r="H140">
        <v>0</v>
      </c>
      <c r="I140">
        <v>1.703333929878037E-2</v>
      </c>
      <c r="J140">
        <v>1.146128035678238</v>
      </c>
      <c r="K140">
        <v>85</v>
      </c>
      <c r="L140" s="137">
        <f t="shared" si="14"/>
        <v>1.9294189257142926</v>
      </c>
      <c r="M140">
        <v>27.2</v>
      </c>
      <c r="N140" s="137">
        <f t="shared" si="15"/>
        <v>1.4345689040341987</v>
      </c>
      <c r="O140">
        <v>35.608384832026097</v>
      </c>
      <c r="P140" s="137">
        <f t="shared" si="16"/>
        <v>1.5515522748692276</v>
      </c>
      <c r="Q140">
        <v>3.0958500844125241</v>
      </c>
      <c r="R140">
        <v>3.5078178355445662</v>
      </c>
      <c r="S140">
        <v>7.3010299956639813</v>
      </c>
      <c r="T140">
        <v>9</v>
      </c>
      <c r="U140" s="137">
        <f t="shared" si="17"/>
        <v>0</v>
      </c>
    </row>
    <row r="141" spans="1:21" x14ac:dyDescent="0.35">
      <c r="A141">
        <v>0.30023115302562903</v>
      </c>
      <c r="B141" s="52">
        <v>3.8493150684931505</v>
      </c>
      <c r="C141" s="185">
        <f t="shared" si="12"/>
        <v>0.58538345978462403</v>
      </c>
      <c r="D141">
        <v>0</v>
      </c>
      <c r="E141">
        <v>0</v>
      </c>
      <c r="F141">
        <v>2.95</v>
      </c>
      <c r="G141" s="137">
        <f t="shared" si="13"/>
        <v>0.46982201597816303</v>
      </c>
      <c r="H141">
        <v>0</v>
      </c>
      <c r="I141">
        <v>0.1553360374650618</v>
      </c>
      <c r="J141">
        <v>1.1760912590556813</v>
      </c>
      <c r="K141">
        <v>85</v>
      </c>
      <c r="L141" s="137">
        <f t="shared" si="14"/>
        <v>1.9294189257142926</v>
      </c>
      <c r="M141">
        <v>24.9</v>
      </c>
      <c r="N141" s="137">
        <f t="shared" si="15"/>
        <v>1.3961993470957363</v>
      </c>
      <c r="O141">
        <v>36.710134890601303</v>
      </c>
      <c r="P141" s="137">
        <f t="shared" si="16"/>
        <v>1.564785980312654</v>
      </c>
      <c r="Q141">
        <v>3.0958500844125241</v>
      </c>
      <c r="R141">
        <v>3.5078178355445662</v>
      </c>
      <c r="S141">
        <v>8.9610317157668646</v>
      </c>
      <c r="T141">
        <v>1</v>
      </c>
      <c r="U141" s="137">
        <f t="shared" si="17"/>
        <v>0</v>
      </c>
    </row>
    <row r="142" spans="1:21" x14ac:dyDescent="0.35">
      <c r="A142">
        <v>0.69897000433601886</v>
      </c>
      <c r="B142" s="50">
        <v>4.978082191780822</v>
      </c>
      <c r="C142" s="185">
        <f t="shared" si="12"/>
        <v>0.69706206285155958</v>
      </c>
      <c r="D142">
        <v>0</v>
      </c>
      <c r="E142">
        <v>0</v>
      </c>
      <c r="F142">
        <v>2.95</v>
      </c>
      <c r="G142" s="137">
        <f t="shared" si="13"/>
        <v>0.46982201597816303</v>
      </c>
      <c r="H142">
        <v>0</v>
      </c>
      <c r="I142">
        <v>0.11058971029924898</v>
      </c>
      <c r="J142">
        <v>1.1760912590556813</v>
      </c>
      <c r="K142">
        <v>85</v>
      </c>
      <c r="L142" s="137">
        <f t="shared" si="14"/>
        <v>1.9294189257142926</v>
      </c>
      <c r="M142">
        <v>24.9</v>
      </c>
      <c r="N142" s="137">
        <f t="shared" si="15"/>
        <v>1.3961993470957363</v>
      </c>
      <c r="O142">
        <v>36.710134890601303</v>
      </c>
      <c r="P142" s="137">
        <f t="shared" si="16"/>
        <v>1.564785980312654</v>
      </c>
      <c r="Q142">
        <v>3.0958500844125241</v>
      </c>
      <c r="R142">
        <v>3.5078178355445662</v>
      </c>
      <c r="S142">
        <v>7.7160033436347994</v>
      </c>
      <c r="T142">
        <v>9</v>
      </c>
      <c r="U142" s="137">
        <f t="shared" si="17"/>
        <v>0</v>
      </c>
    </row>
    <row r="143" spans="1:21" x14ac:dyDescent="0.35">
      <c r="A143">
        <v>0.33579210192319309</v>
      </c>
      <c r="B143" s="52">
        <v>1.3616438356164384</v>
      </c>
      <c r="C143" s="185">
        <f t="shared" si="12"/>
        <v>0.13406352427685744</v>
      </c>
      <c r="D143">
        <v>0</v>
      </c>
      <c r="E143">
        <v>1.6720978579357175</v>
      </c>
      <c r="F143">
        <v>2.95</v>
      </c>
      <c r="G143" s="137">
        <f t="shared" si="13"/>
        <v>0.46982201597816303</v>
      </c>
      <c r="H143">
        <v>0</v>
      </c>
      <c r="I143">
        <v>0.12057393120584989</v>
      </c>
      <c r="J143">
        <v>1.2041199826559248</v>
      </c>
      <c r="K143">
        <v>85</v>
      </c>
      <c r="L143" s="137">
        <f t="shared" si="14"/>
        <v>1.9294189257142926</v>
      </c>
      <c r="M143">
        <v>24.4</v>
      </c>
      <c r="N143" s="137">
        <f t="shared" si="15"/>
        <v>1.3873898263387294</v>
      </c>
      <c r="O143">
        <v>37.256914365427299</v>
      </c>
      <c r="P143" s="137">
        <f t="shared" si="16"/>
        <v>1.5712068835833228</v>
      </c>
      <c r="Q143">
        <v>3.0958500844125241</v>
      </c>
      <c r="R143">
        <v>3.5078178355445662</v>
      </c>
      <c r="S143">
        <v>8.4771212547196626</v>
      </c>
      <c r="T143">
        <v>1</v>
      </c>
      <c r="U143" s="137">
        <f t="shared" si="17"/>
        <v>0</v>
      </c>
    </row>
    <row r="144" spans="1:21" x14ac:dyDescent="0.35">
      <c r="A144">
        <v>8.8136088700551299E-2</v>
      </c>
      <c r="B144" s="50">
        <v>7.7808219178082192</v>
      </c>
      <c r="C144" s="185">
        <f t="shared" si="12"/>
        <v>0.891025475590563</v>
      </c>
      <c r="D144">
        <v>0</v>
      </c>
      <c r="E144">
        <v>1.6532125137753437</v>
      </c>
      <c r="F144">
        <v>2.95</v>
      </c>
      <c r="G144" s="137">
        <f t="shared" si="13"/>
        <v>0.46982201597816303</v>
      </c>
      <c r="H144">
        <v>0</v>
      </c>
      <c r="I144">
        <v>0.12385164096708581</v>
      </c>
      <c r="J144">
        <v>1.2041199826559248</v>
      </c>
      <c r="K144">
        <v>85</v>
      </c>
      <c r="L144" s="137">
        <f t="shared" si="14"/>
        <v>1.9294189257142926</v>
      </c>
      <c r="M144">
        <v>24.4</v>
      </c>
      <c r="N144" s="137">
        <f t="shared" si="15"/>
        <v>1.3873898263387294</v>
      </c>
      <c r="O144">
        <v>37.256914365427299</v>
      </c>
      <c r="P144" s="137">
        <f t="shared" si="16"/>
        <v>1.5712068835833228</v>
      </c>
      <c r="Q144">
        <v>3.0958500844125241</v>
      </c>
      <c r="R144">
        <v>3.5078178355445662</v>
      </c>
      <c r="S144">
        <v>8.9030899869919438</v>
      </c>
      <c r="T144">
        <v>5</v>
      </c>
      <c r="U144" s="137">
        <f t="shared" si="17"/>
        <v>0</v>
      </c>
    </row>
    <row r="145" spans="1:21" x14ac:dyDescent="0.35">
      <c r="A145">
        <v>-1</v>
      </c>
      <c r="B145" s="52">
        <v>3.6356164383561644</v>
      </c>
      <c r="C145" s="185">
        <f t="shared" si="12"/>
        <v>0.56057805840796082</v>
      </c>
      <c r="D145">
        <v>0</v>
      </c>
      <c r="E145">
        <v>2.0863598306747484</v>
      </c>
      <c r="F145">
        <v>2.95</v>
      </c>
      <c r="G145" s="137">
        <f t="shared" si="13"/>
        <v>0.46982201597816303</v>
      </c>
      <c r="H145">
        <v>0</v>
      </c>
      <c r="I145">
        <v>-0.15490195998574319</v>
      </c>
      <c r="J145">
        <v>1.255272505103306</v>
      </c>
      <c r="K145">
        <v>85</v>
      </c>
      <c r="L145" s="137">
        <f t="shared" si="14"/>
        <v>1.9294189257142926</v>
      </c>
      <c r="M145">
        <v>25.9</v>
      </c>
      <c r="N145" s="137">
        <f t="shared" si="15"/>
        <v>1.4132997640812519</v>
      </c>
      <c r="O145">
        <v>36.959146749272797</v>
      </c>
      <c r="P145" s="137">
        <f t="shared" si="16"/>
        <v>1.5677219364019672</v>
      </c>
      <c r="Q145">
        <v>3.0958500844125241</v>
      </c>
      <c r="R145">
        <v>3.5078178355445662</v>
      </c>
      <c r="S145">
        <v>9.2174839442139067</v>
      </c>
      <c r="T145">
        <v>4</v>
      </c>
      <c r="U145" s="137">
        <f t="shared" si="17"/>
        <v>0</v>
      </c>
    </row>
    <row r="146" spans="1:21" x14ac:dyDescent="0.35">
      <c r="A146">
        <v>-1</v>
      </c>
      <c r="B146" s="50">
        <v>3.7643835616438355</v>
      </c>
      <c r="C146" s="185">
        <f t="shared" si="12"/>
        <v>0.57569386826705693</v>
      </c>
      <c r="D146">
        <v>0</v>
      </c>
      <c r="E146">
        <v>0</v>
      </c>
      <c r="F146">
        <v>2.95</v>
      </c>
      <c r="G146" s="137">
        <f t="shared" si="13"/>
        <v>0.46982201597816303</v>
      </c>
      <c r="H146">
        <v>0</v>
      </c>
      <c r="I146">
        <v>-0.14266750356873156</v>
      </c>
      <c r="J146">
        <v>1.5910646070264991</v>
      </c>
      <c r="K146">
        <v>85</v>
      </c>
      <c r="L146" s="137">
        <f t="shared" si="14"/>
        <v>1.9294189257142926</v>
      </c>
      <c r="M146">
        <v>25.9</v>
      </c>
      <c r="N146" s="137">
        <f t="shared" si="15"/>
        <v>1.4132997640812519</v>
      </c>
      <c r="O146">
        <v>36.959146749272797</v>
      </c>
      <c r="P146" s="137">
        <f t="shared" si="16"/>
        <v>1.5677219364019672</v>
      </c>
      <c r="Q146">
        <v>3.1527645837352773</v>
      </c>
      <c r="R146">
        <v>3.5411223705253856</v>
      </c>
      <c r="S146">
        <v>8.5563025007672877</v>
      </c>
      <c r="T146">
        <v>2</v>
      </c>
      <c r="U146" s="137">
        <f t="shared" si="17"/>
        <v>0</v>
      </c>
    </row>
    <row r="147" spans="1:21" x14ac:dyDescent="0.35">
      <c r="A147">
        <v>-1</v>
      </c>
      <c r="B147" s="52">
        <v>3.7643835616438355</v>
      </c>
      <c r="C147" s="185">
        <f t="shared" si="12"/>
        <v>0.57569386826705693</v>
      </c>
      <c r="D147">
        <v>0</v>
      </c>
      <c r="E147">
        <v>1.1760912590556813</v>
      </c>
      <c r="F147">
        <v>2.95</v>
      </c>
      <c r="G147" s="137">
        <f t="shared" si="13"/>
        <v>0.46982201597816303</v>
      </c>
      <c r="H147">
        <v>0</v>
      </c>
      <c r="I147">
        <v>-0.14266750356873156</v>
      </c>
      <c r="J147">
        <v>1.5910646070264991</v>
      </c>
      <c r="K147">
        <v>85</v>
      </c>
      <c r="L147" s="137">
        <f t="shared" si="14"/>
        <v>1.9294189257142926</v>
      </c>
      <c r="M147">
        <v>25.9</v>
      </c>
      <c r="N147" s="137">
        <f t="shared" si="15"/>
        <v>1.4132997640812519</v>
      </c>
      <c r="O147">
        <v>36.959146749272797</v>
      </c>
      <c r="P147" s="137">
        <f t="shared" si="16"/>
        <v>1.5677219364019672</v>
      </c>
      <c r="Q147">
        <v>3.1527645837352773</v>
      </c>
      <c r="R147">
        <v>3.5411223705253856</v>
      </c>
      <c r="S147">
        <v>8.4313637641589878</v>
      </c>
      <c r="T147">
        <v>2</v>
      </c>
      <c r="U147" s="137">
        <f t="shared" si="17"/>
        <v>0</v>
      </c>
    </row>
    <row r="148" spans="1:21" x14ac:dyDescent="0.35">
      <c r="A148">
        <v>-1</v>
      </c>
      <c r="B148" s="50">
        <v>1.1123287671232878</v>
      </c>
      <c r="C148" s="185">
        <f t="shared" si="12"/>
        <v>4.6233169120719446E-2</v>
      </c>
      <c r="D148">
        <v>0</v>
      </c>
      <c r="E148">
        <v>0</v>
      </c>
      <c r="F148">
        <v>2.95</v>
      </c>
      <c r="G148" s="137">
        <f t="shared" si="13"/>
        <v>0.46982201597816303</v>
      </c>
      <c r="H148">
        <v>0</v>
      </c>
      <c r="I148">
        <v>-8.6186147616283279E-2</v>
      </c>
      <c r="J148">
        <v>1.5314789170422551</v>
      </c>
      <c r="K148">
        <v>85</v>
      </c>
      <c r="L148" s="137">
        <f t="shared" si="14"/>
        <v>1.9294189257142926</v>
      </c>
      <c r="M148">
        <v>28.2</v>
      </c>
      <c r="N148" s="137">
        <f t="shared" si="15"/>
        <v>1.4502491083193612</v>
      </c>
      <c r="O148">
        <v>34.298950279384798</v>
      </c>
      <c r="P148" s="137">
        <f t="shared" si="16"/>
        <v>1.5352808286478177</v>
      </c>
      <c r="Q148">
        <v>3.1527645837352773</v>
      </c>
      <c r="R148">
        <v>3.5411223705253856</v>
      </c>
      <c r="S148">
        <v>7.3979400086720375</v>
      </c>
      <c r="T148">
        <v>2</v>
      </c>
      <c r="U148" s="137">
        <f t="shared" si="17"/>
        <v>0</v>
      </c>
    </row>
    <row r="149" spans="1:21" x14ac:dyDescent="0.35">
      <c r="A149">
        <v>0.76042248342321206</v>
      </c>
      <c r="B149" s="52">
        <v>11.517808219178082</v>
      </c>
      <c r="C149" s="185">
        <f t="shared" si="12"/>
        <v>1.06136984289973</v>
      </c>
      <c r="D149">
        <v>0</v>
      </c>
      <c r="E149">
        <v>1.4471580313422192</v>
      </c>
      <c r="F149">
        <v>2.95</v>
      </c>
      <c r="G149" s="137">
        <f t="shared" si="13"/>
        <v>0.46982201597816303</v>
      </c>
      <c r="H149">
        <v>0</v>
      </c>
      <c r="I149">
        <v>0.26717172840301384</v>
      </c>
      <c r="J149">
        <v>1.0791812460476249</v>
      </c>
      <c r="K149">
        <v>85</v>
      </c>
      <c r="L149" s="137">
        <f t="shared" si="14"/>
        <v>1.9294189257142926</v>
      </c>
      <c r="M149">
        <v>24.6</v>
      </c>
      <c r="N149" s="137">
        <f t="shared" si="15"/>
        <v>1.3909351071033791</v>
      </c>
      <c r="O149">
        <v>36.876470987978301</v>
      </c>
      <c r="P149" s="137">
        <f t="shared" si="16"/>
        <v>1.5667493531684615</v>
      </c>
      <c r="Q149">
        <v>3.1628765880980758</v>
      </c>
      <c r="R149">
        <v>3.6087947386421786</v>
      </c>
      <c r="S149">
        <v>8.0211892990699383</v>
      </c>
      <c r="T149">
        <v>2</v>
      </c>
      <c r="U149" s="137">
        <f t="shared" si="17"/>
        <v>0</v>
      </c>
    </row>
    <row r="150" spans="1:21" x14ac:dyDescent="0.35">
      <c r="A150">
        <v>0.26890642937415743</v>
      </c>
      <c r="B150" s="50">
        <v>2.1424657534246574</v>
      </c>
      <c r="C150" s="185">
        <f t="shared" si="12"/>
        <v>0.33091388860337329</v>
      </c>
      <c r="D150">
        <v>0</v>
      </c>
      <c r="E150">
        <v>0</v>
      </c>
      <c r="F150">
        <v>2.95</v>
      </c>
      <c r="G150" s="137">
        <f t="shared" si="13"/>
        <v>0.46982201597816303</v>
      </c>
      <c r="H150">
        <v>0</v>
      </c>
      <c r="I150">
        <v>0.22010808804005513</v>
      </c>
      <c r="J150">
        <v>1.0791812460476249</v>
      </c>
      <c r="K150">
        <v>85</v>
      </c>
      <c r="L150" s="137">
        <f t="shared" si="14"/>
        <v>1.9294189257142926</v>
      </c>
      <c r="M150">
        <v>27.4</v>
      </c>
      <c r="N150" s="137">
        <f t="shared" si="15"/>
        <v>1.4377505628203879</v>
      </c>
      <c r="O150">
        <v>35.968444143503902</v>
      </c>
      <c r="P150" s="137">
        <f t="shared" si="16"/>
        <v>1.5559216523165715</v>
      </c>
      <c r="Q150">
        <v>3.3647319918335836</v>
      </c>
      <c r="R150">
        <v>3.568659604598353</v>
      </c>
      <c r="S150">
        <v>8.8549190878308881</v>
      </c>
      <c r="T150">
        <v>4</v>
      </c>
      <c r="U150" s="137">
        <f t="shared" si="17"/>
        <v>0</v>
      </c>
    </row>
    <row r="151" spans="1:21" x14ac:dyDescent="0.35">
      <c r="A151">
        <v>0.14727191996175543</v>
      </c>
      <c r="B151" s="52">
        <v>6.1780821917808222</v>
      </c>
      <c r="C151" s="185">
        <f t="shared" si="12"/>
        <v>0.7908536817575047</v>
      </c>
      <c r="D151">
        <v>0</v>
      </c>
      <c r="E151">
        <v>0.47712125471966244</v>
      </c>
      <c r="F151">
        <v>2.95</v>
      </c>
      <c r="G151" s="137">
        <f t="shared" si="13"/>
        <v>0.46982201597816303</v>
      </c>
      <c r="H151">
        <v>0</v>
      </c>
      <c r="I151">
        <v>4.9218022670181653E-2</v>
      </c>
      <c r="J151">
        <v>1.0791812460476249</v>
      </c>
      <c r="K151">
        <v>85</v>
      </c>
      <c r="L151" s="137">
        <f t="shared" si="14"/>
        <v>1.9294189257142926</v>
      </c>
      <c r="M151">
        <v>27.4</v>
      </c>
      <c r="N151" s="137">
        <f t="shared" si="15"/>
        <v>1.4377505628203879</v>
      </c>
      <c r="O151">
        <v>35.968444143503902</v>
      </c>
      <c r="P151" s="137">
        <f t="shared" si="16"/>
        <v>1.5559216523165715</v>
      </c>
      <c r="Q151">
        <v>3.3647319918335836</v>
      </c>
      <c r="R151">
        <v>3.568659604598353</v>
      </c>
      <c r="S151">
        <v>8.8129133566428557</v>
      </c>
      <c r="T151">
        <v>5</v>
      </c>
      <c r="U151" s="137">
        <f t="shared" si="17"/>
        <v>0</v>
      </c>
    </row>
    <row r="152" spans="1:21" x14ac:dyDescent="0.35">
      <c r="A152">
        <v>-0.21588482779645182</v>
      </c>
      <c r="B152" s="50">
        <v>10.435616438356165</v>
      </c>
      <c r="C152" s="185">
        <f t="shared" si="12"/>
        <v>1.0185181082044716</v>
      </c>
      <c r="D152">
        <v>0</v>
      </c>
      <c r="E152">
        <v>1.9956351945975499</v>
      </c>
      <c r="F152">
        <v>2.95</v>
      </c>
      <c r="G152" s="137">
        <f t="shared" si="13"/>
        <v>0.46982201597816303</v>
      </c>
      <c r="H152">
        <v>0</v>
      </c>
      <c r="I152">
        <v>0.30749603791321295</v>
      </c>
      <c r="J152">
        <v>1.255272505103306</v>
      </c>
      <c r="K152">
        <v>85</v>
      </c>
      <c r="L152" s="137">
        <f t="shared" si="14"/>
        <v>1.9294189257142926</v>
      </c>
      <c r="M152">
        <v>24.4</v>
      </c>
      <c r="N152" s="137">
        <f t="shared" si="15"/>
        <v>1.3873898263387294</v>
      </c>
      <c r="O152">
        <v>37.256914365427299</v>
      </c>
      <c r="P152" s="137">
        <f t="shared" si="16"/>
        <v>1.5712068835833228</v>
      </c>
      <c r="Q152">
        <v>3.3647319918335836</v>
      </c>
      <c r="R152">
        <v>3.568659604598353</v>
      </c>
      <c r="S152">
        <v>9.6744018128452822</v>
      </c>
      <c r="T152">
        <v>5</v>
      </c>
      <c r="U152" s="137">
        <f t="shared" si="17"/>
        <v>0</v>
      </c>
    </row>
    <row r="153" spans="1:21" x14ac:dyDescent="0.35">
      <c r="A153">
        <v>0.369313416884544</v>
      </c>
      <c r="B153" s="52">
        <v>9.0273972602739718</v>
      </c>
      <c r="C153" s="185">
        <f t="shared" si="12"/>
        <v>0.95556255447355387</v>
      </c>
      <c r="D153">
        <v>0</v>
      </c>
      <c r="E153">
        <v>0.84509804001425681</v>
      </c>
      <c r="F153">
        <v>2.95</v>
      </c>
      <c r="G153" s="137">
        <f t="shared" si="13"/>
        <v>0.46982201597816303</v>
      </c>
      <c r="H153">
        <v>0</v>
      </c>
      <c r="I153">
        <v>0.18469143081759881</v>
      </c>
      <c r="J153">
        <v>1.2787536009528289</v>
      </c>
      <c r="K153">
        <v>85</v>
      </c>
      <c r="L153" s="137">
        <f t="shared" si="14"/>
        <v>1.9294189257142926</v>
      </c>
      <c r="M153">
        <v>24.6</v>
      </c>
      <c r="N153" s="137">
        <f t="shared" si="15"/>
        <v>1.3909351071033791</v>
      </c>
      <c r="O153">
        <v>36.876470987978301</v>
      </c>
      <c r="P153" s="137">
        <f t="shared" si="16"/>
        <v>1.5667493531684615</v>
      </c>
      <c r="Q153">
        <v>3.3647319918335836</v>
      </c>
      <c r="R153">
        <v>3.568659604598353</v>
      </c>
      <c r="S153">
        <v>9.2430380486862944</v>
      </c>
      <c r="T153">
        <v>2</v>
      </c>
      <c r="U153" s="137">
        <f t="shared" si="17"/>
        <v>0</v>
      </c>
    </row>
    <row r="154" spans="1:21" x14ac:dyDescent="0.35">
      <c r="A154">
        <v>-1</v>
      </c>
      <c r="B154" s="50">
        <v>5.8876712328767127</v>
      </c>
      <c r="C154" s="185">
        <f t="shared" si="12"/>
        <v>0.76994355103496859</v>
      </c>
      <c r="D154">
        <v>0</v>
      </c>
      <c r="E154">
        <v>1.7242758696007889</v>
      </c>
      <c r="F154">
        <v>2.95</v>
      </c>
      <c r="G154" s="137">
        <f t="shared" si="13"/>
        <v>0.46982201597816303</v>
      </c>
      <c r="H154">
        <v>0</v>
      </c>
      <c r="I154">
        <v>-2.2276394711152253E-2</v>
      </c>
      <c r="J154">
        <v>1.255272505103306</v>
      </c>
      <c r="K154">
        <v>85</v>
      </c>
      <c r="L154" s="137">
        <f t="shared" si="14"/>
        <v>1.9294189257142926</v>
      </c>
      <c r="M154">
        <v>24.4</v>
      </c>
      <c r="N154" s="137">
        <f t="shared" si="15"/>
        <v>1.3873898263387294</v>
      </c>
      <c r="O154">
        <v>37.256914365427299</v>
      </c>
      <c r="P154" s="137">
        <f t="shared" si="16"/>
        <v>1.5712068835833228</v>
      </c>
      <c r="Q154">
        <v>3.3647319918335836</v>
      </c>
      <c r="R154">
        <v>3.568659604598353</v>
      </c>
      <c r="S154">
        <v>9.1766439089168497</v>
      </c>
      <c r="T154">
        <v>4</v>
      </c>
      <c r="U154" s="137">
        <f t="shared" si="17"/>
        <v>0</v>
      </c>
    </row>
    <row r="155" spans="1:21" x14ac:dyDescent="0.35">
      <c r="A155">
        <v>0.82390874094431876</v>
      </c>
      <c r="B155" s="52">
        <v>2.2246575342465755</v>
      </c>
      <c r="C155" s="185">
        <f t="shared" si="12"/>
        <v>0.34726316478470065</v>
      </c>
      <c r="D155">
        <v>3.8335123778512705</v>
      </c>
      <c r="E155">
        <v>0.95424250943932487</v>
      </c>
      <c r="F155">
        <v>2.85</v>
      </c>
      <c r="G155" s="137">
        <f t="shared" si="13"/>
        <v>0.45484486000851021</v>
      </c>
      <c r="H155">
        <v>2.9132839017604186</v>
      </c>
      <c r="I155">
        <v>0.250420002308894</v>
      </c>
      <c r="J155">
        <v>1.1139433523068367</v>
      </c>
      <c r="K155">
        <v>91.9</v>
      </c>
      <c r="L155" s="137">
        <f t="shared" si="14"/>
        <v>1.9633155113861114</v>
      </c>
      <c r="M155">
        <v>23</v>
      </c>
      <c r="N155" s="137">
        <f t="shared" si="15"/>
        <v>1.3617278360175928</v>
      </c>
      <c r="O155">
        <v>43.262530407091703</v>
      </c>
      <c r="P155" s="137">
        <f t="shared" si="16"/>
        <v>1.636111917546391</v>
      </c>
      <c r="Q155">
        <v>3.4006741243771632</v>
      </c>
      <c r="R155">
        <v>3.8325618860191688</v>
      </c>
      <c r="S155">
        <v>6.7781512503836439</v>
      </c>
      <c r="T155">
        <v>9</v>
      </c>
      <c r="U155" s="137">
        <f t="shared" si="17"/>
        <v>1</v>
      </c>
    </row>
    <row r="156" spans="1:21" x14ac:dyDescent="0.35">
      <c r="A156">
        <v>-1</v>
      </c>
      <c r="B156" s="50">
        <v>5.5671232876712331</v>
      </c>
      <c r="C156" s="185">
        <f t="shared" si="12"/>
        <v>0.74563083915540695</v>
      </c>
      <c r="D156">
        <v>0</v>
      </c>
      <c r="E156">
        <v>1.9084850188786497</v>
      </c>
      <c r="F156">
        <v>2.95</v>
      </c>
      <c r="G156" s="137">
        <f t="shared" si="13"/>
        <v>0.46982201597816303</v>
      </c>
      <c r="H156">
        <v>0</v>
      </c>
      <c r="I156">
        <v>4.3213737826425782E-3</v>
      </c>
      <c r="J156">
        <v>1.1139433523068367</v>
      </c>
      <c r="K156">
        <v>85</v>
      </c>
      <c r="L156" s="137">
        <f t="shared" si="14"/>
        <v>1.9294189257142926</v>
      </c>
      <c r="M156">
        <v>25.9</v>
      </c>
      <c r="N156" s="137">
        <f t="shared" si="15"/>
        <v>1.4132997640812519</v>
      </c>
      <c r="O156">
        <v>36.959146749272797</v>
      </c>
      <c r="P156" s="137">
        <f t="shared" si="16"/>
        <v>1.5677219364019672</v>
      </c>
      <c r="Q156">
        <v>3.1628767233771686</v>
      </c>
      <c r="R156">
        <v>3.6087947637270492</v>
      </c>
      <c r="S156">
        <v>9.6823319362888824</v>
      </c>
      <c r="T156">
        <v>4</v>
      </c>
      <c r="U156" s="137">
        <f t="shared" si="17"/>
        <v>0</v>
      </c>
    </row>
    <row r="157" spans="1:21" x14ac:dyDescent="0.35">
      <c r="A157">
        <v>-1</v>
      </c>
      <c r="B157" s="52">
        <v>2.0821917808219177</v>
      </c>
      <c r="C157" s="185">
        <f t="shared" si="12"/>
        <v>0.31852072782431662</v>
      </c>
      <c r="D157">
        <v>0</v>
      </c>
      <c r="E157">
        <v>0</v>
      </c>
      <c r="F157">
        <v>2.95</v>
      </c>
      <c r="G157" s="137">
        <f t="shared" si="13"/>
        <v>0.46982201597816303</v>
      </c>
      <c r="H157">
        <v>0</v>
      </c>
      <c r="I157">
        <v>-0.19382002601611281</v>
      </c>
      <c r="J157">
        <v>0.90308998699194354</v>
      </c>
      <c r="K157">
        <v>85</v>
      </c>
      <c r="L157" s="137">
        <f t="shared" si="14"/>
        <v>1.9294189257142926</v>
      </c>
      <c r="M157">
        <v>28.2</v>
      </c>
      <c r="N157" s="137">
        <f t="shared" si="15"/>
        <v>1.4502491083193612</v>
      </c>
      <c r="O157">
        <v>34.298950279384798</v>
      </c>
      <c r="P157" s="137">
        <f t="shared" si="16"/>
        <v>1.5352808286478177</v>
      </c>
      <c r="Q157">
        <v>3.1628767233771686</v>
      </c>
      <c r="R157">
        <v>3.6087947637270492</v>
      </c>
      <c r="S157">
        <v>7.5563025007672868</v>
      </c>
      <c r="T157">
        <v>9</v>
      </c>
      <c r="U157" s="137">
        <f t="shared" si="17"/>
        <v>0</v>
      </c>
    </row>
    <row r="158" spans="1:21" x14ac:dyDescent="0.35">
      <c r="A158">
        <v>-1</v>
      </c>
      <c r="B158" s="50">
        <v>3.9808219178082194</v>
      </c>
      <c r="C158" s="185">
        <f t="shared" si="12"/>
        <v>0.5999727498415468</v>
      </c>
      <c r="D158">
        <v>0</v>
      </c>
      <c r="E158">
        <v>1.1139433523068367</v>
      </c>
      <c r="F158">
        <v>2.95</v>
      </c>
      <c r="G158" s="137">
        <f t="shared" si="13"/>
        <v>0.46982201597816303</v>
      </c>
      <c r="H158">
        <v>0</v>
      </c>
      <c r="I158">
        <v>3.7426497940623665E-2</v>
      </c>
      <c r="J158">
        <v>0.69897000433601886</v>
      </c>
      <c r="K158">
        <v>85</v>
      </c>
      <c r="L158" s="137">
        <f t="shared" si="14"/>
        <v>1.9294189257142926</v>
      </c>
      <c r="M158">
        <v>27.4</v>
      </c>
      <c r="N158" s="137">
        <f t="shared" si="15"/>
        <v>1.4377505628203879</v>
      </c>
      <c r="O158">
        <v>35.968444143503902</v>
      </c>
      <c r="P158" s="137">
        <f t="shared" si="16"/>
        <v>1.5559216523165715</v>
      </c>
      <c r="Q158">
        <v>3.1628767233771686</v>
      </c>
      <c r="R158">
        <v>3.6087947637270492</v>
      </c>
      <c r="S158">
        <v>9.1255137959041157</v>
      </c>
      <c r="T158">
        <v>2</v>
      </c>
      <c r="U158" s="137">
        <f t="shared" si="17"/>
        <v>0</v>
      </c>
    </row>
    <row r="159" spans="1:21" x14ac:dyDescent="0.35">
      <c r="A159">
        <v>-1</v>
      </c>
      <c r="B159" s="52">
        <v>1.0630136986301371</v>
      </c>
      <c r="C159" s="185">
        <f t="shared" si="12"/>
        <v>2.6538861137732565E-2</v>
      </c>
      <c r="D159">
        <v>0</v>
      </c>
      <c r="E159">
        <v>0.47712125471966244</v>
      </c>
      <c r="F159">
        <v>2.95</v>
      </c>
      <c r="G159" s="137">
        <f t="shared" si="13"/>
        <v>0.46982201597816303</v>
      </c>
      <c r="H159">
        <v>0</v>
      </c>
      <c r="I159">
        <v>-8.6186147616283279E-2</v>
      </c>
      <c r="J159">
        <v>0.90308998699194354</v>
      </c>
      <c r="K159">
        <v>85</v>
      </c>
      <c r="L159" s="137">
        <f t="shared" si="14"/>
        <v>1.9294189257142926</v>
      </c>
      <c r="M159">
        <v>28.2</v>
      </c>
      <c r="N159" s="137">
        <f t="shared" si="15"/>
        <v>1.4502491083193612</v>
      </c>
      <c r="O159">
        <v>34.298950279384798</v>
      </c>
      <c r="P159" s="137">
        <f t="shared" si="16"/>
        <v>1.5352808286478177</v>
      </c>
      <c r="Q159">
        <v>3.1628767233771686</v>
      </c>
      <c r="R159">
        <v>3.6087947637270492</v>
      </c>
      <c r="S159">
        <v>8.2430380486862944</v>
      </c>
      <c r="T159">
        <v>4</v>
      </c>
      <c r="U159" s="137">
        <f t="shared" si="17"/>
        <v>0</v>
      </c>
    </row>
    <row r="160" spans="1:21" x14ac:dyDescent="0.35">
      <c r="A160">
        <v>-1</v>
      </c>
      <c r="B160" s="50">
        <v>2.1506849315068495</v>
      </c>
      <c r="C160" s="185">
        <f t="shared" si="12"/>
        <v>0.33257679228877784</v>
      </c>
      <c r="D160">
        <v>0</v>
      </c>
      <c r="E160">
        <v>0.3010299956639812</v>
      </c>
      <c r="F160">
        <v>2.95</v>
      </c>
      <c r="G160" s="137">
        <f t="shared" si="13"/>
        <v>0.46982201597816303</v>
      </c>
      <c r="H160">
        <v>0</v>
      </c>
      <c r="I160">
        <v>-0.22914798835785574</v>
      </c>
      <c r="J160">
        <v>1.146128035678238</v>
      </c>
      <c r="K160">
        <v>93.2</v>
      </c>
      <c r="L160" s="137">
        <f t="shared" si="14"/>
        <v>1.9694159123539814</v>
      </c>
      <c r="M160">
        <v>26.7</v>
      </c>
      <c r="N160" s="137">
        <f t="shared" si="15"/>
        <v>1.4265112613645752</v>
      </c>
      <c r="O160">
        <v>36.669158714517401</v>
      </c>
      <c r="P160" s="137">
        <f t="shared" si="16"/>
        <v>1.5643009462345601</v>
      </c>
      <c r="Q160">
        <v>3.1628767233771686</v>
      </c>
      <c r="R160">
        <v>3.6087947637270492</v>
      </c>
      <c r="S160">
        <v>9.3620336227143426</v>
      </c>
      <c r="T160">
        <v>8</v>
      </c>
      <c r="U160" s="137">
        <f t="shared" si="17"/>
        <v>0</v>
      </c>
    </row>
    <row r="161" spans="1:21" x14ac:dyDescent="0.35">
      <c r="A161">
        <v>-1</v>
      </c>
      <c r="B161" s="52">
        <v>0.44931506849315067</v>
      </c>
      <c r="C161" s="185">
        <f t="shared" si="12"/>
        <v>-0.34744901640877685</v>
      </c>
      <c r="D161">
        <v>0</v>
      </c>
      <c r="E161">
        <v>2.0755469613925306</v>
      </c>
      <c r="F161">
        <v>2.95</v>
      </c>
      <c r="G161" s="137">
        <f t="shared" si="13"/>
        <v>0.46982201597816303</v>
      </c>
      <c r="H161">
        <v>0</v>
      </c>
      <c r="I161">
        <v>-4.0958607678906384E-2</v>
      </c>
      <c r="J161">
        <v>1.2041199826559248</v>
      </c>
      <c r="K161">
        <v>92.6</v>
      </c>
      <c r="L161" s="137">
        <f t="shared" si="14"/>
        <v>1.9666109866819343</v>
      </c>
      <c r="M161">
        <v>25.7</v>
      </c>
      <c r="N161" s="137">
        <f t="shared" si="15"/>
        <v>1.4099331233312946</v>
      </c>
      <c r="O161">
        <v>39.823361151429197</v>
      </c>
      <c r="P161" s="137">
        <f t="shared" si="16"/>
        <v>1.6001379123442065</v>
      </c>
      <c r="Q161">
        <v>3.1628767233771686</v>
      </c>
      <c r="R161">
        <v>3.6087947637270492</v>
      </c>
      <c r="S161">
        <v>9.8475726591421129</v>
      </c>
      <c r="T161">
        <v>6</v>
      </c>
      <c r="U161" s="137">
        <f t="shared" si="17"/>
        <v>0</v>
      </c>
    </row>
    <row r="162" spans="1:21" x14ac:dyDescent="0.35">
      <c r="A162">
        <v>-0.64132766938232411</v>
      </c>
      <c r="B162" s="50">
        <v>7.4027397260273968</v>
      </c>
      <c r="C162" s="185">
        <f t="shared" si="12"/>
        <v>0.86939248022953708</v>
      </c>
      <c r="D162">
        <v>0</v>
      </c>
      <c r="E162">
        <v>1.9956351945975499</v>
      </c>
      <c r="F162">
        <v>2.95</v>
      </c>
      <c r="G162" s="137">
        <f t="shared" si="13"/>
        <v>0.46982201597816303</v>
      </c>
      <c r="H162">
        <v>0</v>
      </c>
      <c r="I162">
        <v>0.16731733474817609</v>
      </c>
      <c r="J162">
        <v>0.69897000433601886</v>
      </c>
      <c r="K162">
        <v>85</v>
      </c>
      <c r="L162" s="137">
        <f t="shared" si="14"/>
        <v>1.9294189257142926</v>
      </c>
      <c r="M162">
        <v>27.4</v>
      </c>
      <c r="N162" s="137">
        <f t="shared" si="15"/>
        <v>1.4377505628203879</v>
      </c>
      <c r="O162">
        <v>35.968444143503902</v>
      </c>
      <c r="P162" s="137">
        <f t="shared" si="16"/>
        <v>1.5559216523165715</v>
      </c>
      <c r="Q162">
        <v>3.1628767233771686</v>
      </c>
      <c r="R162">
        <v>3.6087947637270492</v>
      </c>
      <c r="S162">
        <v>8.9030899869919438</v>
      </c>
      <c r="T162">
        <v>7</v>
      </c>
      <c r="U162" s="137">
        <f t="shared" si="17"/>
        <v>0</v>
      </c>
    </row>
    <row r="163" spans="1:21" x14ac:dyDescent="0.35">
      <c r="A163">
        <v>0.48071413948644659</v>
      </c>
      <c r="B163" s="52">
        <v>6.2191780821917808</v>
      </c>
      <c r="C163" s="185">
        <f t="shared" si="12"/>
        <v>0.79373299273664799</v>
      </c>
      <c r="D163">
        <v>0</v>
      </c>
      <c r="E163">
        <v>1.146128035678238</v>
      </c>
      <c r="F163">
        <v>2.95</v>
      </c>
      <c r="G163" s="137">
        <f t="shared" si="13"/>
        <v>0.46982201597816303</v>
      </c>
      <c r="H163">
        <v>0</v>
      </c>
      <c r="I163">
        <v>-8.7739243075051505E-3</v>
      </c>
      <c r="J163">
        <v>0.77815125038364363</v>
      </c>
      <c r="K163">
        <v>85</v>
      </c>
      <c r="L163" s="137">
        <f t="shared" si="14"/>
        <v>1.9294189257142926</v>
      </c>
      <c r="M163">
        <v>27.8</v>
      </c>
      <c r="N163" s="137">
        <f t="shared" si="15"/>
        <v>1.4440447959180762</v>
      </c>
      <c r="O163">
        <v>35.119429201759203</v>
      </c>
      <c r="P163" s="137">
        <f t="shared" si="16"/>
        <v>1.5455474486765259</v>
      </c>
      <c r="Q163">
        <v>3.1628767233771686</v>
      </c>
      <c r="R163">
        <v>3.6087947637270492</v>
      </c>
      <c r="S163">
        <v>8.5440680443502757</v>
      </c>
      <c r="T163">
        <v>2</v>
      </c>
      <c r="U163" s="137">
        <f t="shared" si="17"/>
        <v>0</v>
      </c>
    </row>
    <row r="164" spans="1:21" x14ac:dyDescent="0.35">
      <c r="A164">
        <v>2.1660617565076304E-3</v>
      </c>
      <c r="B164" s="50">
        <v>4.9260273972602739</v>
      </c>
      <c r="C164" s="185">
        <f t="shared" si="12"/>
        <v>0.69249682294073522</v>
      </c>
      <c r="D164">
        <v>0</v>
      </c>
      <c r="E164">
        <v>1.6812412373755872</v>
      </c>
      <c r="F164">
        <v>2.95</v>
      </c>
      <c r="G164" s="137">
        <f t="shared" si="13"/>
        <v>0.46982201597816303</v>
      </c>
      <c r="H164">
        <v>0</v>
      </c>
      <c r="I164">
        <v>-8.6186147616283279E-2</v>
      </c>
      <c r="J164">
        <v>0.84509804001425681</v>
      </c>
      <c r="K164">
        <v>85</v>
      </c>
      <c r="L164" s="137">
        <f t="shared" si="14"/>
        <v>1.9294189257142926</v>
      </c>
      <c r="M164">
        <v>27.8</v>
      </c>
      <c r="N164" s="137">
        <f t="shared" si="15"/>
        <v>1.4440447959180762</v>
      </c>
      <c r="O164">
        <v>34.656907836978597</v>
      </c>
      <c r="P164" s="137">
        <f t="shared" si="16"/>
        <v>1.5397898114291337</v>
      </c>
      <c r="Q164">
        <v>3.1628767233771686</v>
      </c>
      <c r="R164">
        <v>3.6087947637270492</v>
      </c>
      <c r="S164">
        <v>8.1461280356782382</v>
      </c>
      <c r="T164">
        <v>3</v>
      </c>
      <c r="U164" s="137">
        <f t="shared" si="17"/>
        <v>0</v>
      </c>
    </row>
    <row r="165" spans="1:21" x14ac:dyDescent="0.35">
      <c r="A165">
        <v>-0.27363068616204833</v>
      </c>
      <c r="B165" s="52">
        <v>4.0547945205479454</v>
      </c>
      <c r="C165" s="185">
        <f t="shared" si="12"/>
        <v>0.60796885093848274</v>
      </c>
      <c r="D165">
        <v>0</v>
      </c>
      <c r="E165">
        <v>1.5440680443502757</v>
      </c>
      <c r="F165">
        <v>2.95</v>
      </c>
      <c r="G165" s="137">
        <f t="shared" si="13"/>
        <v>0.46982201597816303</v>
      </c>
      <c r="H165">
        <v>0</v>
      </c>
      <c r="I165">
        <v>-0.11350927482751812</v>
      </c>
      <c r="J165">
        <v>0.90308998699194354</v>
      </c>
      <c r="K165">
        <v>85</v>
      </c>
      <c r="L165" s="137">
        <f t="shared" si="14"/>
        <v>1.9294189257142926</v>
      </c>
      <c r="M165">
        <v>28.2</v>
      </c>
      <c r="N165" s="137">
        <f t="shared" si="15"/>
        <v>1.4502491083193612</v>
      </c>
      <c r="O165">
        <v>34.298950279384798</v>
      </c>
      <c r="P165" s="137">
        <f t="shared" si="16"/>
        <v>1.5352808286478177</v>
      </c>
      <c r="Q165">
        <v>3.1628767233771686</v>
      </c>
      <c r="R165">
        <v>3.6087947637270492</v>
      </c>
      <c r="S165">
        <v>8.727809558365383</v>
      </c>
      <c r="T165">
        <v>5</v>
      </c>
      <c r="U165" s="137">
        <f t="shared" si="17"/>
        <v>0</v>
      </c>
    </row>
    <row r="166" spans="1:21" x14ac:dyDescent="0.35">
      <c r="A166">
        <v>0.11904132913278011</v>
      </c>
      <c r="B166" s="50">
        <v>6.6739726027397257</v>
      </c>
      <c r="C166" s="185">
        <f t="shared" si="12"/>
        <v>0.82438441950436303</v>
      </c>
      <c r="D166">
        <v>0</v>
      </c>
      <c r="E166">
        <v>1.3222192947339193</v>
      </c>
      <c r="F166">
        <v>2.95</v>
      </c>
      <c r="G166" s="137">
        <f t="shared" si="13"/>
        <v>0.46982201597816303</v>
      </c>
      <c r="H166">
        <v>0</v>
      </c>
      <c r="I166">
        <v>6.069784035361165E-2</v>
      </c>
      <c r="J166">
        <v>0.90308998699194354</v>
      </c>
      <c r="K166">
        <v>85</v>
      </c>
      <c r="L166" s="137">
        <f t="shared" si="14"/>
        <v>1.9294189257142926</v>
      </c>
      <c r="M166">
        <v>28.2</v>
      </c>
      <c r="N166" s="137">
        <f t="shared" si="15"/>
        <v>1.4502491083193612</v>
      </c>
      <c r="O166">
        <v>34.298950279384798</v>
      </c>
      <c r="P166" s="137">
        <f t="shared" si="16"/>
        <v>1.5352808286478177</v>
      </c>
      <c r="Q166">
        <v>3.1628767233771686</v>
      </c>
      <c r="R166">
        <v>3.6087947637270492</v>
      </c>
      <c r="S166">
        <v>9.3010299956639813</v>
      </c>
      <c r="T166">
        <v>9</v>
      </c>
      <c r="U166" s="137">
        <f t="shared" si="17"/>
        <v>0</v>
      </c>
    </row>
    <row r="167" spans="1:21" x14ac:dyDescent="0.35">
      <c r="A167">
        <v>-0.49106647394996722</v>
      </c>
      <c r="B167" s="52">
        <v>7</v>
      </c>
      <c r="C167" s="185">
        <f t="shared" si="12"/>
        <v>0.84509804001425681</v>
      </c>
      <c r="D167">
        <v>0</v>
      </c>
      <c r="E167">
        <v>0</v>
      </c>
      <c r="F167">
        <v>2.95</v>
      </c>
      <c r="G167" s="137">
        <f t="shared" si="13"/>
        <v>0.46982201597816303</v>
      </c>
      <c r="H167">
        <v>0</v>
      </c>
      <c r="I167">
        <v>-8.7739243075051505E-3</v>
      </c>
      <c r="J167">
        <v>0.90308998699194354</v>
      </c>
      <c r="K167">
        <v>85</v>
      </c>
      <c r="L167" s="137">
        <f t="shared" si="14"/>
        <v>1.9294189257142926</v>
      </c>
      <c r="M167">
        <v>28.2</v>
      </c>
      <c r="N167" s="137">
        <f t="shared" si="15"/>
        <v>1.4502491083193612</v>
      </c>
      <c r="O167">
        <v>34.298950279384798</v>
      </c>
      <c r="P167" s="137">
        <f t="shared" si="16"/>
        <v>1.5352808286478177</v>
      </c>
      <c r="Q167">
        <v>3.1628767233771686</v>
      </c>
      <c r="R167">
        <v>3.6087947637270492</v>
      </c>
      <c r="S167">
        <v>8.5740312677277188</v>
      </c>
      <c r="T167">
        <v>9</v>
      </c>
      <c r="U167" s="137">
        <f t="shared" si="17"/>
        <v>0</v>
      </c>
    </row>
    <row r="168" spans="1:21" x14ac:dyDescent="0.35">
      <c r="A168">
        <v>0.71911574387644306</v>
      </c>
      <c r="B168" s="50">
        <v>7.3726027397260276</v>
      </c>
      <c r="C168" s="185">
        <f t="shared" si="12"/>
        <v>0.86762083330727979</v>
      </c>
      <c r="D168">
        <v>0</v>
      </c>
      <c r="E168">
        <v>1.2041199826559248</v>
      </c>
      <c r="F168">
        <v>2.95</v>
      </c>
      <c r="G168" s="137">
        <f t="shared" si="13"/>
        <v>0.46982201597816303</v>
      </c>
      <c r="H168">
        <v>0</v>
      </c>
      <c r="I168">
        <v>2.9383777685209667E-2</v>
      </c>
      <c r="J168">
        <v>1.0791812460476249</v>
      </c>
      <c r="K168">
        <v>85</v>
      </c>
      <c r="L168" s="137">
        <f t="shared" si="14"/>
        <v>1.9294189257142926</v>
      </c>
      <c r="M168">
        <v>24.6</v>
      </c>
      <c r="N168" s="137">
        <f t="shared" si="15"/>
        <v>1.3909351071033791</v>
      </c>
      <c r="O168">
        <v>36.876470987978301</v>
      </c>
      <c r="P168" s="137">
        <f t="shared" si="16"/>
        <v>1.5667493531684615</v>
      </c>
      <c r="Q168">
        <v>3.1628767233771686</v>
      </c>
      <c r="R168">
        <v>3.6087947637270492</v>
      </c>
      <c r="S168">
        <v>8</v>
      </c>
      <c r="T168">
        <v>9</v>
      </c>
      <c r="U168" s="137">
        <f t="shared" si="17"/>
        <v>0</v>
      </c>
    </row>
    <row r="169" spans="1:21" x14ac:dyDescent="0.35">
      <c r="A169">
        <v>-5.9314001215981953E-2</v>
      </c>
      <c r="B169" s="52">
        <v>3.2958904109589042</v>
      </c>
      <c r="C169" s="185">
        <f t="shared" si="12"/>
        <v>0.51797276288337002</v>
      </c>
      <c r="D169">
        <v>0</v>
      </c>
      <c r="E169">
        <v>1.255272505103306</v>
      </c>
      <c r="F169">
        <v>2.95</v>
      </c>
      <c r="G169" s="137">
        <f t="shared" si="13"/>
        <v>0.46982201597816303</v>
      </c>
      <c r="H169">
        <v>0</v>
      </c>
      <c r="I169">
        <v>0.13672056715640679</v>
      </c>
      <c r="J169">
        <v>1.0791812460476249</v>
      </c>
      <c r="K169">
        <v>85</v>
      </c>
      <c r="L169" s="137">
        <f t="shared" si="14"/>
        <v>1.9294189257142926</v>
      </c>
      <c r="M169">
        <v>24.6</v>
      </c>
      <c r="N169" s="137">
        <f t="shared" si="15"/>
        <v>1.3909351071033791</v>
      </c>
      <c r="O169">
        <v>36.876470987978301</v>
      </c>
      <c r="P169" s="137">
        <f t="shared" si="16"/>
        <v>1.5667493531684615</v>
      </c>
      <c r="Q169">
        <v>3.1628767233771686</v>
      </c>
      <c r="R169">
        <v>3.6087947637270492</v>
      </c>
      <c r="S169">
        <v>8.3710678622717367</v>
      </c>
      <c r="T169">
        <v>9</v>
      </c>
      <c r="U169" s="137">
        <f t="shared" si="17"/>
        <v>0</v>
      </c>
    </row>
    <row r="170" spans="1:21" x14ac:dyDescent="0.35">
      <c r="A170">
        <v>8.3964755176847955E-2</v>
      </c>
      <c r="B170" s="50">
        <v>8.0547945205479454</v>
      </c>
      <c r="C170" s="185">
        <f t="shared" si="12"/>
        <v>0.90605446595568262</v>
      </c>
      <c r="D170">
        <v>0</v>
      </c>
      <c r="E170">
        <v>1.9912260756924949</v>
      </c>
      <c r="F170">
        <v>2.95</v>
      </c>
      <c r="G170" s="137">
        <f t="shared" si="13"/>
        <v>0.46982201597816303</v>
      </c>
      <c r="H170">
        <v>0</v>
      </c>
      <c r="I170">
        <v>0.16731733474817609</v>
      </c>
      <c r="J170">
        <v>1.1139433523068367</v>
      </c>
      <c r="K170">
        <v>85</v>
      </c>
      <c r="L170" s="137">
        <f t="shared" si="14"/>
        <v>1.9294189257142926</v>
      </c>
      <c r="M170">
        <v>25.9</v>
      </c>
      <c r="N170" s="137">
        <f t="shared" si="15"/>
        <v>1.4132997640812519</v>
      </c>
      <c r="O170">
        <v>36.959146749272797</v>
      </c>
      <c r="P170" s="137">
        <f t="shared" si="16"/>
        <v>1.5677219364019672</v>
      </c>
      <c r="Q170">
        <v>3.1628767233771686</v>
      </c>
      <c r="R170">
        <v>3.6087947637270492</v>
      </c>
      <c r="S170">
        <v>9.7028043513244029</v>
      </c>
      <c r="T170">
        <v>5</v>
      </c>
      <c r="U170" s="137">
        <f t="shared" si="17"/>
        <v>0</v>
      </c>
    </row>
    <row r="171" spans="1:21" x14ac:dyDescent="0.35">
      <c r="A171">
        <v>0.21227820169161493</v>
      </c>
      <c r="B171" s="52">
        <v>1.1369863013698631</v>
      </c>
      <c r="C171" s="185">
        <f t="shared" si="12"/>
        <v>5.5755232255618042E-2</v>
      </c>
      <c r="D171">
        <v>0</v>
      </c>
      <c r="E171">
        <v>0.47712125471966244</v>
      </c>
      <c r="F171">
        <v>2.95</v>
      </c>
      <c r="G171" s="137">
        <f t="shared" si="13"/>
        <v>0.46982201597816303</v>
      </c>
      <c r="H171">
        <v>0</v>
      </c>
      <c r="I171">
        <v>2.5305865264770262E-2</v>
      </c>
      <c r="J171">
        <v>1.0791812460476249</v>
      </c>
      <c r="K171">
        <v>85</v>
      </c>
      <c r="L171" s="137">
        <f t="shared" si="14"/>
        <v>1.9294189257142926</v>
      </c>
      <c r="M171">
        <v>24.6</v>
      </c>
      <c r="N171" s="137">
        <f t="shared" si="15"/>
        <v>1.3909351071033791</v>
      </c>
      <c r="O171">
        <v>36.876470987978301</v>
      </c>
      <c r="P171" s="137">
        <f t="shared" si="16"/>
        <v>1.5667493531684615</v>
      </c>
      <c r="Q171">
        <v>3.1628767233771686</v>
      </c>
      <c r="R171">
        <v>3.6087947637270492</v>
      </c>
      <c r="S171">
        <v>9.5565557653534068</v>
      </c>
      <c r="T171">
        <v>10</v>
      </c>
      <c r="U171" s="137">
        <f t="shared" si="17"/>
        <v>0</v>
      </c>
    </row>
    <row r="172" spans="1:21" x14ac:dyDescent="0.35">
      <c r="A172">
        <v>-0.21775197043058564</v>
      </c>
      <c r="B172" s="50">
        <v>9.8657534246575338</v>
      </c>
      <c r="C172" s="185">
        <f t="shared" si="12"/>
        <v>0.99413025691481061</v>
      </c>
      <c r="D172">
        <v>0</v>
      </c>
      <c r="E172">
        <v>1.9777236052888478</v>
      </c>
      <c r="F172">
        <v>2.95</v>
      </c>
      <c r="G172" s="137">
        <f t="shared" si="13"/>
        <v>0.46982201597816303</v>
      </c>
      <c r="H172">
        <v>0</v>
      </c>
      <c r="I172">
        <v>0.19312459835446161</v>
      </c>
      <c r="J172">
        <v>1.1760912590556813</v>
      </c>
      <c r="K172">
        <v>91.4</v>
      </c>
      <c r="L172" s="137">
        <f t="shared" si="14"/>
        <v>1.9609461957338314</v>
      </c>
      <c r="M172">
        <v>26.7</v>
      </c>
      <c r="N172" s="137">
        <f t="shared" si="15"/>
        <v>1.4265112613645752</v>
      </c>
      <c r="O172">
        <v>37.425715444240403</v>
      </c>
      <c r="P172" s="137">
        <f t="shared" si="16"/>
        <v>1.5731701112332821</v>
      </c>
      <c r="Q172">
        <v>3.1628767233771686</v>
      </c>
      <c r="R172">
        <v>3.6087947637270492</v>
      </c>
      <c r="S172">
        <v>10.684891570272443</v>
      </c>
      <c r="T172">
        <v>10</v>
      </c>
      <c r="U172" s="137">
        <f t="shared" si="17"/>
        <v>0</v>
      </c>
    </row>
    <row r="173" spans="1:21" x14ac:dyDescent="0.35">
      <c r="A173">
        <v>0.44327023362816431</v>
      </c>
      <c r="B173" s="52">
        <v>9.2958904109589042</v>
      </c>
      <c r="C173" s="185">
        <f t="shared" si="12"/>
        <v>0.96829099518864303</v>
      </c>
      <c r="D173">
        <v>0</v>
      </c>
      <c r="E173">
        <v>1.6127838567197355</v>
      </c>
      <c r="F173">
        <v>2.95</v>
      </c>
      <c r="G173" s="137">
        <f t="shared" si="13"/>
        <v>0.46982201597816303</v>
      </c>
      <c r="H173">
        <v>0</v>
      </c>
      <c r="I173">
        <v>0.12710479836480765</v>
      </c>
      <c r="J173">
        <v>1.146128035678238</v>
      </c>
      <c r="K173">
        <v>93.2</v>
      </c>
      <c r="L173" s="137">
        <f t="shared" si="14"/>
        <v>1.9694159123539814</v>
      </c>
      <c r="M173">
        <v>26.7</v>
      </c>
      <c r="N173" s="137">
        <f t="shared" si="15"/>
        <v>1.4265112613645752</v>
      </c>
      <c r="O173">
        <v>36.669158714517401</v>
      </c>
      <c r="P173" s="137">
        <f t="shared" si="16"/>
        <v>1.5643009462345601</v>
      </c>
      <c r="Q173">
        <v>3.1628767233771686</v>
      </c>
      <c r="R173">
        <v>3.6087947637270492</v>
      </c>
      <c r="S173">
        <v>9.253749808139812</v>
      </c>
      <c r="T173">
        <v>5</v>
      </c>
      <c r="U173" s="137">
        <f t="shared" si="17"/>
        <v>0</v>
      </c>
    </row>
    <row r="174" spans="1:21" x14ac:dyDescent="0.35">
      <c r="A174">
        <v>0.2066534187280564</v>
      </c>
      <c r="B174" s="50">
        <v>3.9123287671232876</v>
      </c>
      <c r="C174" s="185">
        <f t="shared" si="12"/>
        <v>0.59243534298368083</v>
      </c>
      <c r="D174">
        <v>0</v>
      </c>
      <c r="E174">
        <v>1.568201724066995</v>
      </c>
      <c r="F174">
        <v>2.95</v>
      </c>
      <c r="G174" s="137">
        <f t="shared" si="13"/>
        <v>0.46982201597816303</v>
      </c>
      <c r="H174">
        <v>0</v>
      </c>
      <c r="I174">
        <v>-7.0581074285707285E-2</v>
      </c>
      <c r="J174">
        <v>1.146128035678238</v>
      </c>
      <c r="K174">
        <v>93.2</v>
      </c>
      <c r="L174" s="137">
        <f t="shared" si="14"/>
        <v>1.9694159123539814</v>
      </c>
      <c r="M174">
        <v>26.7</v>
      </c>
      <c r="N174" s="137">
        <f t="shared" si="15"/>
        <v>1.4265112613645752</v>
      </c>
      <c r="O174">
        <v>36.669158714517401</v>
      </c>
      <c r="P174" s="137">
        <f t="shared" si="16"/>
        <v>1.5643009462345601</v>
      </c>
      <c r="Q174">
        <v>3.1628767233771686</v>
      </c>
      <c r="R174">
        <v>3.6087947637270492</v>
      </c>
      <c r="S174">
        <v>9.030547101553049</v>
      </c>
      <c r="T174">
        <v>9</v>
      </c>
      <c r="U174" s="137">
        <f t="shared" si="17"/>
        <v>0</v>
      </c>
    </row>
    <row r="175" spans="1:21" x14ac:dyDescent="0.35">
      <c r="A175">
        <v>0.16633142176652496</v>
      </c>
      <c r="B175" s="52">
        <v>5.7013698630136984</v>
      </c>
      <c r="C175" s="185">
        <f t="shared" si="12"/>
        <v>0.75597921575515226</v>
      </c>
      <c r="D175">
        <v>0</v>
      </c>
      <c r="E175">
        <v>1.7558748556724915</v>
      </c>
      <c r="F175">
        <v>2.95</v>
      </c>
      <c r="G175" s="137">
        <f t="shared" si="13"/>
        <v>0.46982201597816303</v>
      </c>
      <c r="H175">
        <v>0</v>
      </c>
      <c r="I175">
        <v>-4.3648054024500883E-3</v>
      </c>
      <c r="J175">
        <v>1.1760912590556813</v>
      </c>
      <c r="K175">
        <v>91.4</v>
      </c>
      <c r="L175" s="137">
        <f t="shared" si="14"/>
        <v>1.9609461957338314</v>
      </c>
      <c r="M175">
        <v>26.7</v>
      </c>
      <c r="N175" s="137">
        <f t="shared" si="15"/>
        <v>1.4265112613645752</v>
      </c>
      <c r="O175">
        <v>37.425715444240403</v>
      </c>
      <c r="P175" s="137">
        <f t="shared" si="16"/>
        <v>1.5731701112332821</v>
      </c>
      <c r="Q175">
        <v>3.1628767233771686</v>
      </c>
      <c r="R175">
        <v>3.6087947637270492</v>
      </c>
      <c r="S175">
        <v>8.8750612633917001</v>
      </c>
      <c r="T175">
        <v>5</v>
      </c>
      <c r="U175" s="137">
        <f t="shared" si="17"/>
        <v>0</v>
      </c>
    </row>
    <row r="176" spans="1:21" x14ac:dyDescent="0.35">
      <c r="A176">
        <v>5.0953966985786116E-2</v>
      </c>
      <c r="B176" s="50">
        <v>1.1424657534246576</v>
      </c>
      <c r="C176" s="185">
        <f t="shared" si="12"/>
        <v>5.7843190517282844E-2</v>
      </c>
      <c r="D176">
        <v>0</v>
      </c>
      <c r="E176">
        <v>1.6720978579357175</v>
      </c>
      <c r="F176">
        <v>2.95</v>
      </c>
      <c r="G176" s="137">
        <f t="shared" si="13"/>
        <v>0.46982201597816303</v>
      </c>
      <c r="H176">
        <v>0</v>
      </c>
      <c r="I176">
        <v>-0.20760831050174613</v>
      </c>
      <c r="J176">
        <v>1.1760912590556813</v>
      </c>
      <c r="K176">
        <v>91.4</v>
      </c>
      <c r="L176" s="137">
        <f t="shared" si="14"/>
        <v>1.9609461957338314</v>
      </c>
      <c r="M176">
        <v>26.7</v>
      </c>
      <c r="N176" s="137">
        <f t="shared" si="15"/>
        <v>1.4265112613645752</v>
      </c>
      <c r="O176">
        <v>37.425715444240403</v>
      </c>
      <c r="P176" s="137">
        <f t="shared" si="16"/>
        <v>1.5731701112332821</v>
      </c>
      <c r="Q176">
        <v>3.1628767233771686</v>
      </c>
      <c r="R176">
        <v>3.6087947637270492</v>
      </c>
      <c r="S176">
        <v>10.433753837516758</v>
      </c>
      <c r="T176">
        <v>4</v>
      </c>
      <c r="U176" s="137">
        <f t="shared" si="17"/>
        <v>0</v>
      </c>
    </row>
    <row r="177" spans="1:21" x14ac:dyDescent="0.35">
      <c r="A177">
        <v>7.1721552940151076E-2</v>
      </c>
      <c r="B177" s="52">
        <v>7.7479452054794518</v>
      </c>
      <c r="C177" s="185">
        <f t="shared" si="12"/>
        <v>0.88918654066838709</v>
      </c>
      <c r="D177">
        <v>0</v>
      </c>
      <c r="E177">
        <v>1.4771212547196624</v>
      </c>
      <c r="F177">
        <v>2.95</v>
      </c>
      <c r="G177" s="137">
        <f t="shared" si="13"/>
        <v>0.46982201597816303</v>
      </c>
      <c r="H177">
        <v>0</v>
      </c>
      <c r="I177">
        <v>0.13987908640123647</v>
      </c>
      <c r="J177">
        <v>1.1760912590556813</v>
      </c>
      <c r="K177">
        <v>91.4</v>
      </c>
      <c r="L177" s="137">
        <f t="shared" si="14"/>
        <v>1.9609461957338314</v>
      </c>
      <c r="M177">
        <v>26.7</v>
      </c>
      <c r="N177" s="137">
        <f t="shared" si="15"/>
        <v>1.4265112613645752</v>
      </c>
      <c r="O177">
        <v>37.425715444240403</v>
      </c>
      <c r="P177" s="137">
        <f t="shared" si="16"/>
        <v>1.5731701112332821</v>
      </c>
      <c r="Q177">
        <v>3.1628767233771686</v>
      </c>
      <c r="R177">
        <v>3.6087947637270492</v>
      </c>
      <c r="S177">
        <v>10.057930707138228</v>
      </c>
      <c r="T177">
        <v>2</v>
      </c>
      <c r="U177" s="137">
        <f t="shared" si="17"/>
        <v>0</v>
      </c>
    </row>
    <row r="178" spans="1:21" x14ac:dyDescent="0.35">
      <c r="A178">
        <v>-1.153854187474864</v>
      </c>
      <c r="B178" s="50">
        <v>1.4958904109589042</v>
      </c>
      <c r="C178" s="185">
        <f t="shared" si="12"/>
        <v>0.17489977824826256</v>
      </c>
      <c r="D178">
        <v>0</v>
      </c>
      <c r="E178">
        <v>1.0791812460476249</v>
      </c>
      <c r="F178">
        <v>2.95</v>
      </c>
      <c r="G178" s="137">
        <f t="shared" si="13"/>
        <v>0.46982201597816303</v>
      </c>
      <c r="H178">
        <v>0</v>
      </c>
      <c r="I178">
        <v>-0.14874165128092473</v>
      </c>
      <c r="J178">
        <v>1.2041199826559248</v>
      </c>
      <c r="K178">
        <v>92.6</v>
      </c>
      <c r="L178" s="137">
        <f t="shared" si="14"/>
        <v>1.9666109866819343</v>
      </c>
      <c r="M178">
        <v>25.7</v>
      </c>
      <c r="N178" s="137">
        <f t="shared" si="15"/>
        <v>1.4099331233312946</v>
      </c>
      <c r="O178">
        <v>39.823361151429197</v>
      </c>
      <c r="P178" s="137">
        <f t="shared" si="16"/>
        <v>1.6001379123442065</v>
      </c>
      <c r="Q178">
        <v>3.1628767233771686</v>
      </c>
      <c r="R178">
        <v>3.6087947637270492</v>
      </c>
      <c r="S178">
        <v>8.6452158813091362</v>
      </c>
      <c r="T178">
        <v>5</v>
      </c>
      <c r="U178" s="137">
        <f t="shared" si="17"/>
        <v>0</v>
      </c>
    </row>
    <row r="179" spans="1:21" x14ac:dyDescent="0.35">
      <c r="A179">
        <v>0.35091704737672691</v>
      </c>
      <c r="B179" s="52">
        <v>5.9424657534246572</v>
      </c>
      <c r="C179" s="185">
        <f t="shared" si="12"/>
        <v>0.77396668755771858</v>
      </c>
      <c r="D179">
        <v>0</v>
      </c>
      <c r="E179">
        <v>1.2304489213782739</v>
      </c>
      <c r="F179">
        <v>2.95</v>
      </c>
      <c r="G179" s="137">
        <f t="shared" si="13"/>
        <v>0.46982201597816303</v>
      </c>
      <c r="H179">
        <v>0</v>
      </c>
      <c r="I179">
        <v>0.10037054511756291</v>
      </c>
      <c r="J179">
        <v>1.2041199826559248</v>
      </c>
      <c r="K179">
        <v>92.6</v>
      </c>
      <c r="L179" s="137">
        <f t="shared" si="14"/>
        <v>1.9666109866819343</v>
      </c>
      <c r="M179">
        <v>25.7</v>
      </c>
      <c r="N179" s="137">
        <f t="shared" si="15"/>
        <v>1.4099331233312946</v>
      </c>
      <c r="O179">
        <v>39.823361151429197</v>
      </c>
      <c r="P179" s="137">
        <f t="shared" si="16"/>
        <v>1.6001379123442065</v>
      </c>
      <c r="Q179">
        <v>3.1628767233771686</v>
      </c>
      <c r="R179">
        <v>3.6087947637270492</v>
      </c>
      <c r="S179">
        <v>8.9928494264636107</v>
      </c>
      <c r="T179">
        <v>2</v>
      </c>
      <c r="U179" s="137">
        <f t="shared" si="17"/>
        <v>0</v>
      </c>
    </row>
    <row r="180" spans="1:21" x14ac:dyDescent="0.35">
      <c r="A180">
        <v>9.691001300805642E-2</v>
      </c>
      <c r="B180" s="50">
        <v>6.624657534246575</v>
      </c>
      <c r="C180" s="185">
        <f t="shared" si="12"/>
        <v>0.82116343206827835</v>
      </c>
      <c r="D180">
        <v>0</v>
      </c>
      <c r="E180">
        <v>1</v>
      </c>
      <c r="F180">
        <v>2.95</v>
      </c>
      <c r="G180" s="137">
        <f t="shared" si="13"/>
        <v>0.46982201597816303</v>
      </c>
      <c r="H180">
        <v>0</v>
      </c>
      <c r="I180">
        <v>0.24303804868629444</v>
      </c>
      <c r="J180">
        <v>1.2041199826559248</v>
      </c>
      <c r="K180">
        <v>92.6</v>
      </c>
      <c r="L180" s="137">
        <f t="shared" si="14"/>
        <v>1.9666109866819343</v>
      </c>
      <c r="M180">
        <v>25.7</v>
      </c>
      <c r="N180" s="137">
        <f t="shared" si="15"/>
        <v>1.4099331233312946</v>
      </c>
      <c r="O180">
        <v>39.823361151429197</v>
      </c>
      <c r="P180" s="137">
        <f t="shared" si="16"/>
        <v>1.6001379123442065</v>
      </c>
      <c r="Q180">
        <v>3.1628767233771686</v>
      </c>
      <c r="R180">
        <v>3.6087947637270492</v>
      </c>
      <c r="S180">
        <v>8.6812412373755876</v>
      </c>
      <c r="T180">
        <v>4</v>
      </c>
      <c r="U180" s="137">
        <f t="shared" si="17"/>
        <v>0</v>
      </c>
    </row>
    <row r="181" spans="1:21" x14ac:dyDescent="0.35">
      <c r="A181">
        <v>4.9437961738986146E-2</v>
      </c>
      <c r="B181" s="52">
        <v>11.66027397260274</v>
      </c>
      <c r="C181" s="185">
        <f t="shared" si="12"/>
        <v>1.066708754830517</v>
      </c>
      <c r="D181">
        <v>0</v>
      </c>
      <c r="E181">
        <v>1.6720978579357175</v>
      </c>
      <c r="F181">
        <v>2.95</v>
      </c>
      <c r="G181" s="137">
        <f t="shared" si="13"/>
        <v>0.46982201597816303</v>
      </c>
      <c r="H181">
        <v>0</v>
      </c>
      <c r="I181">
        <v>0.27415784926367981</v>
      </c>
      <c r="J181">
        <v>1.1760912590556813</v>
      </c>
      <c r="K181">
        <v>91.4</v>
      </c>
      <c r="L181" s="137">
        <f t="shared" si="14"/>
        <v>1.9609461957338314</v>
      </c>
      <c r="M181">
        <v>26.7</v>
      </c>
      <c r="N181" s="137">
        <f t="shared" si="15"/>
        <v>1.4265112613645752</v>
      </c>
      <c r="O181">
        <v>37.425715444240403</v>
      </c>
      <c r="P181" s="137">
        <f t="shared" si="16"/>
        <v>1.5731701112332821</v>
      </c>
      <c r="Q181">
        <v>3.1628767233771686</v>
      </c>
      <c r="R181">
        <v>3.6087947637270492</v>
      </c>
      <c r="S181">
        <v>9.6987649689484012</v>
      </c>
      <c r="T181">
        <v>9</v>
      </c>
      <c r="U181" s="137">
        <f t="shared" si="17"/>
        <v>0</v>
      </c>
    </row>
    <row r="182" spans="1:21" x14ac:dyDescent="0.35">
      <c r="A182">
        <v>0.2852357284807493</v>
      </c>
      <c r="B182" s="50">
        <v>5.9260273972602739</v>
      </c>
      <c r="C182" s="185">
        <f t="shared" si="12"/>
        <v>0.77276365498261679</v>
      </c>
      <c r="D182">
        <v>0</v>
      </c>
      <c r="E182">
        <v>1.6127838567197355</v>
      </c>
      <c r="F182">
        <v>2.95</v>
      </c>
      <c r="G182" s="137">
        <f t="shared" si="13"/>
        <v>0.46982201597816303</v>
      </c>
      <c r="H182">
        <v>0</v>
      </c>
      <c r="I182">
        <v>0.28103336724772759</v>
      </c>
      <c r="J182">
        <v>1.255272505103306</v>
      </c>
      <c r="K182">
        <v>91.3</v>
      </c>
      <c r="L182" s="137">
        <f t="shared" si="14"/>
        <v>1.9604707775342989</v>
      </c>
      <c r="M182">
        <v>23.5</v>
      </c>
      <c r="N182" s="137">
        <f t="shared" si="15"/>
        <v>1.3710678622717363</v>
      </c>
      <c r="O182">
        <v>43.1672842383418</v>
      </c>
      <c r="P182" s="137">
        <f t="shared" si="16"/>
        <v>1.6351547269652249</v>
      </c>
      <c r="Q182">
        <v>3.1628767233771686</v>
      </c>
      <c r="R182">
        <v>3.6087947637270492</v>
      </c>
      <c r="S182">
        <v>9.1461280356782382</v>
      </c>
      <c r="T182">
        <v>9</v>
      </c>
      <c r="U182" s="137">
        <f t="shared" si="17"/>
        <v>0</v>
      </c>
    </row>
    <row r="183" spans="1:21" x14ac:dyDescent="0.35">
      <c r="A183">
        <v>-0.20972030619471799</v>
      </c>
      <c r="B183" s="52">
        <v>1.263013698630137</v>
      </c>
      <c r="C183" s="185">
        <f t="shared" si="12"/>
        <v>0.10140806093317345</v>
      </c>
      <c r="D183">
        <v>0</v>
      </c>
      <c r="E183">
        <v>1.4771212547196624</v>
      </c>
      <c r="F183">
        <v>2.95</v>
      </c>
      <c r="G183" s="137">
        <f t="shared" si="13"/>
        <v>0.46982201597816303</v>
      </c>
      <c r="H183">
        <v>0</v>
      </c>
      <c r="I183">
        <v>7.9181246047624818E-2</v>
      </c>
      <c r="J183">
        <v>1.3222192947339193</v>
      </c>
      <c r="K183">
        <v>90.5</v>
      </c>
      <c r="L183" s="137">
        <f t="shared" si="14"/>
        <v>1.9566485792052033</v>
      </c>
      <c r="M183">
        <v>25.7</v>
      </c>
      <c r="N183" s="137">
        <f t="shared" si="15"/>
        <v>1.4099331233312946</v>
      </c>
      <c r="O183">
        <v>39.010023979360902</v>
      </c>
      <c r="P183" s="137">
        <f t="shared" si="16"/>
        <v>1.5911762172715689</v>
      </c>
      <c r="Q183">
        <v>3.1628767233771686</v>
      </c>
      <c r="R183">
        <v>3.6087947637270492</v>
      </c>
      <c r="S183">
        <v>8.2797581728024738</v>
      </c>
      <c r="T183">
        <v>9</v>
      </c>
      <c r="U183" s="137">
        <f t="shared" si="17"/>
        <v>0</v>
      </c>
    </row>
    <row r="184" spans="1:21" x14ac:dyDescent="0.35">
      <c r="A184">
        <v>0.22169411325389282</v>
      </c>
      <c r="B184" s="50">
        <v>3.8328767123287673</v>
      </c>
      <c r="C184" s="185">
        <f t="shared" si="12"/>
        <v>0.58352485003535293</v>
      </c>
      <c r="D184">
        <v>0</v>
      </c>
      <c r="E184">
        <v>1.6989700043360187</v>
      </c>
      <c r="F184">
        <v>2.95</v>
      </c>
      <c r="G184" s="137">
        <f t="shared" si="13"/>
        <v>0.46982201597816303</v>
      </c>
      <c r="H184">
        <v>0</v>
      </c>
      <c r="I184">
        <v>0.14921911265537988</v>
      </c>
      <c r="J184">
        <v>1.3424226808222062</v>
      </c>
      <c r="K184">
        <v>89.2</v>
      </c>
      <c r="L184" s="137">
        <f t="shared" si="14"/>
        <v>1.9503648543761232</v>
      </c>
      <c r="M184">
        <v>26</v>
      </c>
      <c r="N184" s="137">
        <f t="shared" si="15"/>
        <v>1.414973347970818</v>
      </c>
      <c r="O184">
        <v>38.344872802923099</v>
      </c>
      <c r="P184" s="137">
        <f t="shared" si="16"/>
        <v>1.5837073014724459</v>
      </c>
      <c r="Q184">
        <v>3.1628767233771686</v>
      </c>
      <c r="R184">
        <v>3.6087947637270492</v>
      </c>
      <c r="S184">
        <v>9.1760912590556813</v>
      </c>
      <c r="T184">
        <v>6</v>
      </c>
      <c r="U184" s="137">
        <f t="shared" si="17"/>
        <v>0</v>
      </c>
    </row>
    <row r="185" spans="1:21" x14ac:dyDescent="0.35">
      <c r="A185">
        <v>0.6388325049806618</v>
      </c>
      <c r="B185" s="52">
        <v>2.9095890410958902</v>
      </c>
      <c r="C185" s="185">
        <f t="shared" si="12"/>
        <v>0.46383165228897555</v>
      </c>
      <c r="D185">
        <v>0</v>
      </c>
      <c r="E185">
        <v>1.5314789170422551</v>
      </c>
      <c r="F185">
        <v>2.95</v>
      </c>
      <c r="G185" s="137">
        <f t="shared" si="13"/>
        <v>0.46982201597816303</v>
      </c>
      <c r="H185">
        <v>0</v>
      </c>
      <c r="I185">
        <v>0.13987908640123647</v>
      </c>
      <c r="J185">
        <v>1.3010299956639813</v>
      </c>
      <c r="K185">
        <v>91.1</v>
      </c>
      <c r="L185" s="137">
        <f t="shared" si="14"/>
        <v>1.9595183769729982</v>
      </c>
      <c r="M185">
        <v>24.1</v>
      </c>
      <c r="N185" s="137">
        <f t="shared" si="15"/>
        <v>1.3820170425748683</v>
      </c>
      <c r="O185">
        <v>40.229046020662899</v>
      </c>
      <c r="P185" s="137">
        <f t="shared" si="16"/>
        <v>1.6045397339663818</v>
      </c>
      <c r="Q185">
        <v>3.1628767233771686</v>
      </c>
      <c r="R185">
        <v>3.6087947637270492</v>
      </c>
      <c r="S185">
        <v>9.2865013789535684</v>
      </c>
      <c r="T185">
        <v>2</v>
      </c>
      <c r="U185" s="137">
        <f t="shared" si="17"/>
        <v>0</v>
      </c>
    </row>
    <row r="186" spans="1:21" x14ac:dyDescent="0.35">
      <c r="A186">
        <v>-5.9058784041745138</v>
      </c>
      <c r="B186" s="50">
        <v>0.52054794520547942</v>
      </c>
      <c r="C186" s="185">
        <f t="shared" si="12"/>
        <v>-0.28353926350364578</v>
      </c>
      <c r="D186">
        <v>0</v>
      </c>
      <c r="E186">
        <v>0</v>
      </c>
      <c r="F186">
        <v>2.95</v>
      </c>
      <c r="G186" s="137">
        <f t="shared" si="13"/>
        <v>0.46982201597816303</v>
      </c>
      <c r="H186">
        <v>0</v>
      </c>
      <c r="I186">
        <v>2.9383777685209667E-2</v>
      </c>
      <c r="J186">
        <v>1.414973347970818</v>
      </c>
      <c r="K186">
        <v>82.7</v>
      </c>
      <c r="L186" s="137">
        <f t="shared" si="14"/>
        <v>1.9175055095525466</v>
      </c>
      <c r="M186">
        <v>34.200000000000003</v>
      </c>
      <c r="N186" s="137">
        <f t="shared" si="15"/>
        <v>1.5340261060561351</v>
      </c>
      <c r="O186">
        <v>37.950861553017603</v>
      </c>
      <c r="P186" s="137">
        <f t="shared" si="16"/>
        <v>1.5792216396115846</v>
      </c>
      <c r="Q186">
        <v>3.1628767233771686</v>
      </c>
      <c r="R186">
        <v>3.6087947637270492</v>
      </c>
      <c r="S186">
        <v>8.4771212547196626</v>
      </c>
      <c r="T186">
        <v>2</v>
      </c>
      <c r="U186" s="137">
        <f t="shared" si="17"/>
        <v>0</v>
      </c>
    </row>
    <row r="187" spans="1:21" x14ac:dyDescent="0.35">
      <c r="A187">
        <v>-1</v>
      </c>
      <c r="B187" s="52">
        <v>2.1506849315068495</v>
      </c>
      <c r="C187" s="185">
        <f t="shared" si="12"/>
        <v>0.33257679228877784</v>
      </c>
      <c r="D187">
        <v>0</v>
      </c>
      <c r="E187">
        <v>0.3010299956639812</v>
      </c>
      <c r="F187">
        <v>2.95</v>
      </c>
      <c r="G187" s="137">
        <f t="shared" si="13"/>
        <v>0.46982201597816303</v>
      </c>
      <c r="H187">
        <v>0</v>
      </c>
      <c r="I187">
        <v>-0.22914798835785574</v>
      </c>
      <c r="J187">
        <v>1.146128035678238</v>
      </c>
      <c r="K187">
        <v>93.2</v>
      </c>
      <c r="L187" s="137">
        <f t="shared" si="14"/>
        <v>1.9694159123539814</v>
      </c>
      <c r="M187">
        <v>26.7</v>
      </c>
      <c r="N187" s="137">
        <f t="shared" si="15"/>
        <v>1.4265112613645752</v>
      </c>
      <c r="O187">
        <v>36.669158714517401</v>
      </c>
      <c r="P187" s="137">
        <f t="shared" si="16"/>
        <v>1.5643009462345601</v>
      </c>
      <c r="Q187">
        <v>3.1628767233771686</v>
      </c>
      <c r="R187">
        <v>3.6087947637270492</v>
      </c>
      <c r="S187">
        <v>9.3620336227143426</v>
      </c>
      <c r="T187">
        <v>8</v>
      </c>
      <c r="U187" s="137">
        <f t="shared" si="17"/>
        <v>0</v>
      </c>
    </row>
    <row r="188" spans="1:21" x14ac:dyDescent="0.35">
      <c r="A188">
        <v>-9.2616714924626583E-3</v>
      </c>
      <c r="B188" s="50">
        <v>2.1150684931506851</v>
      </c>
      <c r="C188" s="185">
        <f t="shared" si="12"/>
        <v>0.32532443587926146</v>
      </c>
      <c r="D188">
        <v>0</v>
      </c>
      <c r="E188">
        <v>1.568201724066995</v>
      </c>
      <c r="F188">
        <v>2.95</v>
      </c>
      <c r="G188" s="137">
        <f t="shared" si="13"/>
        <v>0.46982201597816303</v>
      </c>
      <c r="H188">
        <v>0</v>
      </c>
      <c r="I188">
        <v>5.6904851336472641E-2</v>
      </c>
      <c r="J188">
        <v>0.69897000433601886</v>
      </c>
      <c r="K188">
        <v>85</v>
      </c>
      <c r="L188" s="137">
        <f t="shared" si="14"/>
        <v>1.9294189257142926</v>
      </c>
      <c r="M188">
        <v>25.7</v>
      </c>
      <c r="N188" s="137">
        <f t="shared" si="15"/>
        <v>1.4099331233312946</v>
      </c>
      <c r="O188">
        <v>39.367752568237798</v>
      </c>
      <c r="P188" s="137">
        <f t="shared" si="16"/>
        <v>1.5951406224338005</v>
      </c>
      <c r="Q188">
        <v>3.0958500844125241</v>
      </c>
      <c r="R188">
        <v>3.5078178355445662</v>
      </c>
      <c r="S188">
        <v>8</v>
      </c>
      <c r="T188">
        <v>9</v>
      </c>
      <c r="U188" s="137">
        <f t="shared" si="17"/>
        <v>0</v>
      </c>
    </row>
    <row r="189" spans="1:21" x14ac:dyDescent="0.35">
      <c r="A189">
        <v>-0.2896005338831994</v>
      </c>
      <c r="B189" s="52">
        <v>3.1095890410958904</v>
      </c>
      <c r="C189" s="185">
        <f t="shared" si="12"/>
        <v>0.49270299707266679</v>
      </c>
      <c r="D189">
        <v>0</v>
      </c>
      <c r="E189">
        <v>0</v>
      </c>
      <c r="F189">
        <v>2.95</v>
      </c>
      <c r="G189" s="137">
        <f t="shared" si="13"/>
        <v>0.46982201597816303</v>
      </c>
      <c r="H189">
        <v>0</v>
      </c>
      <c r="I189">
        <v>0.30535136944662378</v>
      </c>
      <c r="J189">
        <v>0.90308998699194354</v>
      </c>
      <c r="K189">
        <v>85</v>
      </c>
      <c r="L189" s="137">
        <f t="shared" si="14"/>
        <v>1.9294189257142926</v>
      </c>
      <c r="M189">
        <v>26.5</v>
      </c>
      <c r="N189" s="137">
        <f t="shared" si="15"/>
        <v>1.4232458739368079</v>
      </c>
      <c r="O189">
        <v>37.808596853116498</v>
      </c>
      <c r="P189" s="137">
        <f t="shared" si="16"/>
        <v>1.577590560190987</v>
      </c>
      <c r="Q189">
        <v>3.0958500844125241</v>
      </c>
      <c r="R189">
        <v>3.5078178355445662</v>
      </c>
      <c r="S189">
        <v>8.8750612633917001</v>
      </c>
      <c r="T189">
        <v>1</v>
      </c>
      <c r="U189" s="137">
        <f t="shared" si="17"/>
        <v>0</v>
      </c>
    </row>
    <row r="190" spans="1:21" x14ac:dyDescent="0.35">
      <c r="A190">
        <v>0.3010299956639812</v>
      </c>
      <c r="B190" s="50">
        <v>2.9972602739726026</v>
      </c>
      <c r="C190" s="185">
        <f t="shared" si="12"/>
        <v>0.47672445754093723</v>
      </c>
      <c r="D190">
        <v>0</v>
      </c>
      <c r="E190">
        <v>1.8325089127062364</v>
      </c>
      <c r="F190">
        <v>2.95</v>
      </c>
      <c r="G190" s="137">
        <f t="shared" si="13"/>
        <v>0.46982201597816303</v>
      </c>
      <c r="H190">
        <v>0</v>
      </c>
      <c r="I190">
        <v>-0.14874165128092473</v>
      </c>
      <c r="J190">
        <v>1.0791812460476249</v>
      </c>
      <c r="K190">
        <v>85</v>
      </c>
      <c r="L190" s="137">
        <f t="shared" si="14"/>
        <v>1.9294189257142926</v>
      </c>
      <c r="M190">
        <v>27.8</v>
      </c>
      <c r="N190" s="137">
        <f t="shared" si="15"/>
        <v>1.4440447959180762</v>
      </c>
      <c r="O190">
        <v>34.656907836978597</v>
      </c>
      <c r="P190" s="137">
        <f t="shared" si="16"/>
        <v>1.5397898114291337</v>
      </c>
      <c r="Q190">
        <v>3.0958500844125241</v>
      </c>
      <c r="R190">
        <v>3.5078178355445662</v>
      </c>
      <c r="S190">
        <v>8.3979400086720375</v>
      </c>
      <c r="T190">
        <v>1</v>
      </c>
      <c r="U190" s="137">
        <f t="shared" si="17"/>
        <v>0</v>
      </c>
    </row>
    <row r="191" spans="1:21" x14ac:dyDescent="0.35">
      <c r="A191">
        <v>0.51452289435065757</v>
      </c>
      <c r="B191" s="52">
        <v>5.0986301369863014</v>
      </c>
      <c r="C191" s="185">
        <f t="shared" si="12"/>
        <v>0.70745350867429235</v>
      </c>
      <c r="D191">
        <v>0</v>
      </c>
      <c r="E191">
        <v>1.3424226808222062</v>
      </c>
      <c r="F191">
        <v>2.95</v>
      </c>
      <c r="G191" s="137">
        <f t="shared" si="13"/>
        <v>0.46982201597816303</v>
      </c>
      <c r="H191">
        <v>0</v>
      </c>
      <c r="I191">
        <v>-7.0581074285707285E-2</v>
      </c>
      <c r="J191">
        <v>1.0791812460476249</v>
      </c>
      <c r="K191">
        <v>85</v>
      </c>
      <c r="L191" s="137">
        <f t="shared" si="14"/>
        <v>1.9294189257142926</v>
      </c>
      <c r="M191">
        <v>27.8</v>
      </c>
      <c r="N191" s="137">
        <f t="shared" si="15"/>
        <v>1.4440447959180762</v>
      </c>
      <c r="O191">
        <v>34.656907836978597</v>
      </c>
      <c r="P191" s="137">
        <f t="shared" si="16"/>
        <v>1.5397898114291337</v>
      </c>
      <c r="Q191">
        <v>3.0958500844125241</v>
      </c>
      <c r="R191">
        <v>3.5078178355445662</v>
      </c>
      <c r="S191">
        <v>8.2092200230649937</v>
      </c>
      <c r="T191">
        <v>2</v>
      </c>
      <c r="U191" s="137">
        <f t="shared" si="17"/>
        <v>0</v>
      </c>
    </row>
    <row r="192" spans="1:21" x14ac:dyDescent="0.35">
      <c r="A192">
        <v>-6.6406958011195921E-2</v>
      </c>
      <c r="B192" s="50">
        <v>5.7643835616438359</v>
      </c>
      <c r="C192" s="185">
        <f t="shared" si="12"/>
        <v>0.76075287102522682</v>
      </c>
      <c r="D192">
        <v>0</v>
      </c>
      <c r="E192">
        <v>0.3010299956639812</v>
      </c>
      <c r="F192">
        <v>2.95</v>
      </c>
      <c r="G192" s="137">
        <f t="shared" si="13"/>
        <v>0.46982201597816303</v>
      </c>
      <c r="H192">
        <v>0</v>
      </c>
      <c r="I192">
        <v>-8.092190762392612E-2</v>
      </c>
      <c r="J192">
        <v>1.0791812460476249</v>
      </c>
      <c r="K192">
        <v>85</v>
      </c>
      <c r="L192" s="137">
        <f t="shared" si="14"/>
        <v>1.9294189257142926</v>
      </c>
      <c r="M192">
        <v>27.8</v>
      </c>
      <c r="N192" s="137">
        <f t="shared" si="15"/>
        <v>1.4440447959180762</v>
      </c>
      <c r="O192">
        <v>34.656907836978597</v>
      </c>
      <c r="P192" s="137">
        <f t="shared" si="16"/>
        <v>1.5397898114291337</v>
      </c>
      <c r="Q192">
        <v>3.0958500844125241</v>
      </c>
      <c r="R192">
        <v>3.5078178355445662</v>
      </c>
      <c r="S192">
        <v>8.6042260530844707</v>
      </c>
      <c r="T192">
        <v>5</v>
      </c>
      <c r="U192" s="137">
        <f t="shared" si="17"/>
        <v>0</v>
      </c>
    </row>
    <row r="193" spans="1:21" x14ac:dyDescent="0.35">
      <c r="A193">
        <v>0.13448405451453033</v>
      </c>
      <c r="B193" s="52">
        <v>6.6739726027397257</v>
      </c>
      <c r="C193" s="185">
        <f t="shared" si="12"/>
        <v>0.82438441950436303</v>
      </c>
      <c r="D193">
        <v>0</v>
      </c>
      <c r="E193">
        <v>1.0413926851582251</v>
      </c>
      <c r="F193">
        <v>2.95</v>
      </c>
      <c r="G193" s="137">
        <f t="shared" si="13"/>
        <v>0.46982201597816303</v>
      </c>
      <c r="H193">
        <v>0</v>
      </c>
      <c r="I193">
        <v>3.7426497940623665E-2</v>
      </c>
      <c r="J193">
        <v>1.1139433523068367</v>
      </c>
      <c r="K193">
        <v>85</v>
      </c>
      <c r="L193" s="137">
        <f t="shared" si="14"/>
        <v>1.9294189257142926</v>
      </c>
      <c r="M193">
        <v>28.2</v>
      </c>
      <c r="N193" s="137">
        <f t="shared" si="15"/>
        <v>1.4502491083193612</v>
      </c>
      <c r="O193">
        <v>34.298950279384798</v>
      </c>
      <c r="P193" s="137">
        <f t="shared" si="16"/>
        <v>1.5352808286478177</v>
      </c>
      <c r="Q193">
        <v>3.0958500844125241</v>
      </c>
      <c r="R193">
        <v>3.5078178355445662</v>
      </c>
      <c r="S193">
        <v>7.8293037728310253</v>
      </c>
      <c r="T193">
        <v>5</v>
      </c>
      <c r="U193" s="137">
        <f t="shared" si="17"/>
        <v>0</v>
      </c>
    </row>
    <row r="194" spans="1:21" x14ac:dyDescent="0.35">
      <c r="A194">
        <v>0.28940640628560588</v>
      </c>
      <c r="B194" s="50">
        <v>5.8931506849315065</v>
      </c>
      <c r="C194" s="185">
        <f t="shared" si="12"/>
        <v>0.77034754593098786</v>
      </c>
      <c r="D194">
        <v>0</v>
      </c>
      <c r="E194">
        <v>0</v>
      </c>
      <c r="F194">
        <v>2.95</v>
      </c>
      <c r="G194" s="137">
        <f t="shared" si="13"/>
        <v>0.46982201597816303</v>
      </c>
      <c r="H194">
        <v>0</v>
      </c>
      <c r="I194">
        <v>0.14921911265537988</v>
      </c>
      <c r="J194">
        <v>1.146128035678238</v>
      </c>
      <c r="K194">
        <v>85</v>
      </c>
      <c r="L194" s="137">
        <f t="shared" si="14"/>
        <v>1.9294189257142926</v>
      </c>
      <c r="M194">
        <v>27.2</v>
      </c>
      <c r="N194" s="137">
        <f t="shared" si="15"/>
        <v>1.4345689040341987</v>
      </c>
      <c r="O194">
        <v>35.608384832026097</v>
      </c>
      <c r="P194" s="137">
        <f t="shared" si="16"/>
        <v>1.5515522748692276</v>
      </c>
      <c r="Q194">
        <v>3.0958500844125241</v>
      </c>
      <c r="R194">
        <v>3.5078178355445662</v>
      </c>
      <c r="S194">
        <v>8.6106601630898805</v>
      </c>
      <c r="T194">
        <v>2</v>
      </c>
      <c r="U194" s="137">
        <f t="shared" si="17"/>
        <v>0</v>
      </c>
    </row>
    <row r="195" spans="1:21" x14ac:dyDescent="0.35">
      <c r="A195">
        <v>-1</v>
      </c>
      <c r="B195" s="52">
        <v>7.6219178082191785</v>
      </c>
      <c r="C195" s="185">
        <f t="shared" ref="C195:C245" si="18">LOG(B195)</f>
        <v>0.88206426119955295</v>
      </c>
      <c r="D195">
        <v>0</v>
      </c>
      <c r="E195">
        <v>1.1760912590556813</v>
      </c>
      <c r="F195">
        <v>2.95</v>
      </c>
      <c r="G195" s="137">
        <f t="shared" ref="G195:G245" si="19">LOG(F195)</f>
        <v>0.46982201597816303</v>
      </c>
      <c r="H195">
        <v>0</v>
      </c>
      <c r="I195">
        <v>-0.16115090926274472</v>
      </c>
      <c r="J195">
        <v>1.146128035678238</v>
      </c>
      <c r="K195">
        <v>85</v>
      </c>
      <c r="L195" s="137">
        <f t="shared" ref="L195:L245" si="20">LOG(K195)</f>
        <v>1.9294189257142926</v>
      </c>
      <c r="M195">
        <v>27.2</v>
      </c>
      <c r="N195" s="137">
        <f t="shared" ref="N195:N245" si="21">LOG(M195)</f>
        <v>1.4345689040341987</v>
      </c>
      <c r="O195">
        <v>35.608384832026097</v>
      </c>
      <c r="P195" s="137">
        <f t="shared" ref="P195:P245" si="22">LOG(O195)</f>
        <v>1.5515522748692276</v>
      </c>
      <c r="Q195">
        <v>3.0958500844125241</v>
      </c>
      <c r="R195">
        <v>3.5078178355445662</v>
      </c>
      <c r="S195">
        <v>8.2787536009528289</v>
      </c>
      <c r="T195">
        <v>5</v>
      </c>
      <c r="U195" s="137">
        <f t="shared" ref="U195:U245" si="23">IF(D195=0,0,1)</f>
        <v>0</v>
      </c>
    </row>
    <row r="196" spans="1:21" x14ac:dyDescent="0.35">
      <c r="A196">
        <v>-1</v>
      </c>
      <c r="B196" s="50">
        <v>4.956164383561644</v>
      </c>
      <c r="C196" s="185">
        <f t="shared" si="18"/>
        <v>0.69514570240333906</v>
      </c>
      <c r="D196">
        <v>0</v>
      </c>
      <c r="E196">
        <v>0.47712125471966244</v>
      </c>
      <c r="F196">
        <v>2.95</v>
      </c>
      <c r="G196" s="137">
        <f t="shared" si="19"/>
        <v>0.46982201597816303</v>
      </c>
      <c r="H196">
        <v>0</v>
      </c>
      <c r="I196">
        <v>1.703333929878037E-2</v>
      </c>
      <c r="J196">
        <v>1.146128035678238</v>
      </c>
      <c r="K196">
        <v>85</v>
      </c>
      <c r="L196" s="137">
        <f t="shared" si="20"/>
        <v>1.9294189257142926</v>
      </c>
      <c r="M196">
        <v>27.2</v>
      </c>
      <c r="N196" s="137">
        <f t="shared" si="21"/>
        <v>1.4345689040341987</v>
      </c>
      <c r="O196">
        <v>35.608384832026097</v>
      </c>
      <c r="P196" s="137">
        <f t="shared" si="22"/>
        <v>1.5515522748692276</v>
      </c>
      <c r="Q196">
        <v>3.0958500844125241</v>
      </c>
      <c r="R196">
        <v>3.5078178355445662</v>
      </c>
      <c r="S196">
        <v>7.3010299956639813</v>
      </c>
      <c r="T196">
        <v>9</v>
      </c>
      <c r="U196" s="137">
        <f t="shared" si="23"/>
        <v>0</v>
      </c>
    </row>
    <row r="197" spans="1:21" x14ac:dyDescent="0.35">
      <c r="A197">
        <v>-1</v>
      </c>
      <c r="B197" s="52">
        <v>2.117808219178082</v>
      </c>
      <c r="C197" s="185">
        <f t="shared" si="18"/>
        <v>0.32588662946185015</v>
      </c>
      <c r="D197">
        <v>0</v>
      </c>
      <c r="E197">
        <v>1.7853298350107671</v>
      </c>
      <c r="F197">
        <v>2.95</v>
      </c>
      <c r="G197" s="137">
        <f t="shared" si="19"/>
        <v>0.46982201597816303</v>
      </c>
      <c r="H197">
        <v>0</v>
      </c>
      <c r="I197">
        <v>0.12385164096708581</v>
      </c>
      <c r="J197">
        <v>1.1760912590556813</v>
      </c>
      <c r="K197">
        <v>85</v>
      </c>
      <c r="L197" s="137">
        <f t="shared" si="20"/>
        <v>1.9294189257142926</v>
      </c>
      <c r="M197">
        <v>24.9</v>
      </c>
      <c r="N197" s="137">
        <f t="shared" si="21"/>
        <v>1.3961993470957363</v>
      </c>
      <c r="O197">
        <v>36.710134890601303</v>
      </c>
      <c r="P197" s="137">
        <f t="shared" si="22"/>
        <v>1.564785980312654</v>
      </c>
      <c r="Q197">
        <v>3.0958500844125241</v>
      </c>
      <c r="R197">
        <v>3.5078178355445662</v>
      </c>
      <c r="S197">
        <v>7.1760912590556813</v>
      </c>
      <c r="T197">
        <v>1</v>
      </c>
      <c r="U197" s="137">
        <f t="shared" si="23"/>
        <v>0</v>
      </c>
    </row>
    <row r="198" spans="1:21" x14ac:dyDescent="0.35">
      <c r="A198">
        <v>0.49277276362124844</v>
      </c>
      <c r="B198" s="50">
        <v>3.8493150684931505</v>
      </c>
      <c r="C198" s="185">
        <f t="shared" si="18"/>
        <v>0.58538345978462403</v>
      </c>
      <c r="D198">
        <v>0</v>
      </c>
      <c r="E198">
        <v>0</v>
      </c>
      <c r="F198">
        <v>2.95</v>
      </c>
      <c r="G198" s="137">
        <f t="shared" si="19"/>
        <v>0.46982201597816303</v>
      </c>
      <c r="H198">
        <v>0</v>
      </c>
      <c r="I198">
        <v>0.1553360374650618</v>
      </c>
      <c r="J198">
        <v>1.1760912590556813</v>
      </c>
      <c r="K198">
        <v>85</v>
      </c>
      <c r="L198" s="137">
        <f t="shared" si="20"/>
        <v>1.9294189257142926</v>
      </c>
      <c r="M198">
        <v>24.9</v>
      </c>
      <c r="N198" s="137">
        <f t="shared" si="21"/>
        <v>1.3961993470957363</v>
      </c>
      <c r="O198">
        <v>36.710134890601303</v>
      </c>
      <c r="P198" s="137">
        <f t="shared" si="22"/>
        <v>1.564785980312654</v>
      </c>
      <c r="Q198">
        <v>3.0958500844125241</v>
      </c>
      <c r="R198">
        <v>3.5078178355445662</v>
      </c>
      <c r="S198">
        <v>8.7684901051712458</v>
      </c>
      <c r="T198">
        <v>1</v>
      </c>
      <c r="U198" s="137">
        <f t="shared" si="23"/>
        <v>0</v>
      </c>
    </row>
    <row r="199" spans="1:21" x14ac:dyDescent="0.35">
      <c r="A199">
        <v>0.33579210192319309</v>
      </c>
      <c r="B199" s="52">
        <v>1.3616438356164384</v>
      </c>
      <c r="C199" s="185">
        <f t="shared" si="18"/>
        <v>0.13406352427685744</v>
      </c>
      <c r="D199">
        <v>0</v>
      </c>
      <c r="E199">
        <v>1.6720978579357175</v>
      </c>
      <c r="F199">
        <v>2.95</v>
      </c>
      <c r="G199" s="137">
        <f t="shared" si="19"/>
        <v>0.46982201597816303</v>
      </c>
      <c r="H199">
        <v>0</v>
      </c>
      <c r="I199">
        <v>0.12057393120584989</v>
      </c>
      <c r="J199">
        <v>1.2041199826559248</v>
      </c>
      <c r="K199">
        <v>85</v>
      </c>
      <c r="L199" s="137">
        <f t="shared" si="20"/>
        <v>1.9294189257142926</v>
      </c>
      <c r="M199">
        <v>24.4</v>
      </c>
      <c r="N199" s="137">
        <f t="shared" si="21"/>
        <v>1.3873898263387294</v>
      </c>
      <c r="O199">
        <v>37.256914365427299</v>
      </c>
      <c r="P199" s="137">
        <f t="shared" si="22"/>
        <v>1.5712068835833228</v>
      </c>
      <c r="Q199">
        <v>3.0958500844125241</v>
      </c>
      <c r="R199">
        <v>3.5078178355445662</v>
      </c>
      <c r="S199">
        <v>8.4771212547196626</v>
      </c>
      <c r="T199">
        <v>1</v>
      </c>
      <c r="U199" s="137">
        <f t="shared" si="23"/>
        <v>0</v>
      </c>
    </row>
    <row r="200" spans="1:21" x14ac:dyDescent="0.35">
      <c r="A200">
        <v>8.8136088700551299E-2</v>
      </c>
      <c r="B200" s="50">
        <v>7.7808219178082192</v>
      </c>
      <c r="C200" s="185">
        <f t="shared" si="18"/>
        <v>0.891025475590563</v>
      </c>
      <c r="D200">
        <v>0</v>
      </c>
      <c r="E200">
        <v>1.6532125137753437</v>
      </c>
      <c r="F200">
        <v>2.95</v>
      </c>
      <c r="G200" s="137">
        <f t="shared" si="19"/>
        <v>0.46982201597816303</v>
      </c>
      <c r="H200">
        <v>0</v>
      </c>
      <c r="I200">
        <v>0.12385164096708581</v>
      </c>
      <c r="J200">
        <v>1.2041199826559248</v>
      </c>
      <c r="K200">
        <v>85</v>
      </c>
      <c r="L200" s="137">
        <f t="shared" si="20"/>
        <v>1.9294189257142926</v>
      </c>
      <c r="M200">
        <v>24.4</v>
      </c>
      <c r="N200" s="137">
        <f t="shared" si="21"/>
        <v>1.3873898263387294</v>
      </c>
      <c r="O200">
        <v>37.256914365427299</v>
      </c>
      <c r="P200" s="137">
        <f t="shared" si="22"/>
        <v>1.5712068835833228</v>
      </c>
      <c r="Q200">
        <v>3.0958500844125241</v>
      </c>
      <c r="R200">
        <v>3.5078178355445662</v>
      </c>
      <c r="S200">
        <v>8.9030899869919438</v>
      </c>
      <c r="T200">
        <v>5</v>
      </c>
      <c r="U200" s="137">
        <f t="shared" si="23"/>
        <v>0</v>
      </c>
    </row>
    <row r="201" spans="1:21" x14ac:dyDescent="0.35">
      <c r="A201">
        <v>-5.7991946977686754E-2</v>
      </c>
      <c r="B201" s="52">
        <v>4.6684931506849319</v>
      </c>
      <c r="C201" s="185">
        <f t="shared" si="18"/>
        <v>0.66917672597420663</v>
      </c>
      <c r="D201">
        <v>0</v>
      </c>
      <c r="E201">
        <v>1.4623979978989561</v>
      </c>
      <c r="F201">
        <v>2.95</v>
      </c>
      <c r="G201" s="137">
        <f t="shared" si="19"/>
        <v>0.46982201597816303</v>
      </c>
      <c r="H201">
        <v>0</v>
      </c>
      <c r="I201">
        <v>1.2837224705172217E-2</v>
      </c>
      <c r="J201">
        <v>1.3222192947339193</v>
      </c>
      <c r="K201">
        <v>93.2</v>
      </c>
      <c r="L201" s="137">
        <f t="shared" si="20"/>
        <v>1.9694159123539814</v>
      </c>
      <c r="M201">
        <v>26.7</v>
      </c>
      <c r="N201" s="137">
        <f t="shared" si="21"/>
        <v>1.4265112613645752</v>
      </c>
      <c r="O201">
        <v>36.669158714517401</v>
      </c>
      <c r="P201" s="137">
        <f t="shared" si="22"/>
        <v>1.5643009462345601</v>
      </c>
      <c r="Q201">
        <v>3.3647319918335836</v>
      </c>
      <c r="R201">
        <v>3.568659604598353</v>
      </c>
      <c r="S201">
        <v>8.6020599913279625</v>
      </c>
      <c r="T201">
        <v>5</v>
      </c>
      <c r="U201" s="137">
        <f t="shared" si="23"/>
        <v>0</v>
      </c>
    </row>
    <row r="202" spans="1:21" x14ac:dyDescent="0.35">
      <c r="A202">
        <v>6.1815356523527966E-2</v>
      </c>
      <c r="B202" s="50">
        <v>8.0164383561643842</v>
      </c>
      <c r="C202" s="185">
        <f t="shared" si="18"/>
        <v>0.90398145733281732</v>
      </c>
      <c r="D202">
        <v>0</v>
      </c>
      <c r="E202">
        <v>0.95424250943932487</v>
      </c>
      <c r="F202">
        <v>2.95</v>
      </c>
      <c r="G202" s="137">
        <f t="shared" si="19"/>
        <v>0.46982201597816303</v>
      </c>
      <c r="H202">
        <v>0</v>
      </c>
      <c r="I202">
        <v>0.1553360374650618</v>
      </c>
      <c r="J202">
        <v>1.3424226808222062</v>
      </c>
      <c r="K202">
        <v>91.4</v>
      </c>
      <c r="L202" s="137">
        <f t="shared" si="20"/>
        <v>1.9609461957338314</v>
      </c>
      <c r="M202">
        <v>26.7</v>
      </c>
      <c r="N202" s="137">
        <f t="shared" si="21"/>
        <v>1.4265112613645752</v>
      </c>
      <c r="O202">
        <v>37.425715444240403</v>
      </c>
      <c r="P202" s="137">
        <f t="shared" si="22"/>
        <v>1.5731701112332821</v>
      </c>
      <c r="Q202">
        <v>3.3647319918335836</v>
      </c>
      <c r="R202">
        <v>3.568659604598353</v>
      </c>
      <c r="S202">
        <v>9.3344537511509316</v>
      </c>
      <c r="T202">
        <v>7</v>
      </c>
      <c r="U202" s="137">
        <f t="shared" si="23"/>
        <v>0</v>
      </c>
    </row>
    <row r="203" spans="1:21" x14ac:dyDescent="0.35">
      <c r="A203">
        <v>6.857641436412143E-2</v>
      </c>
      <c r="B203" s="52">
        <v>7.7479452054794518</v>
      </c>
      <c r="C203" s="185">
        <f t="shared" si="18"/>
        <v>0.88918654066838709</v>
      </c>
      <c r="D203">
        <v>0</v>
      </c>
      <c r="E203">
        <v>1.4771212547196624</v>
      </c>
      <c r="F203">
        <v>2.95</v>
      </c>
      <c r="G203" s="137">
        <f t="shared" si="19"/>
        <v>0.46982201597816303</v>
      </c>
      <c r="H203">
        <v>0</v>
      </c>
      <c r="I203">
        <v>0.13987908640123647</v>
      </c>
      <c r="J203">
        <v>1.3424226808222062</v>
      </c>
      <c r="K203">
        <v>91.4</v>
      </c>
      <c r="L203" s="137">
        <f t="shared" si="20"/>
        <v>1.9609461957338314</v>
      </c>
      <c r="M203">
        <v>26.7</v>
      </c>
      <c r="N203" s="137">
        <f t="shared" si="21"/>
        <v>1.4265112613645752</v>
      </c>
      <c r="O203">
        <v>37.425715444240403</v>
      </c>
      <c r="P203" s="137">
        <f t="shared" si="22"/>
        <v>1.5731701112332821</v>
      </c>
      <c r="Q203">
        <v>3.3647319918335836</v>
      </c>
      <c r="R203">
        <v>3.568659604598353</v>
      </c>
      <c r="S203">
        <v>10.056904851336473</v>
      </c>
      <c r="T203">
        <v>2</v>
      </c>
      <c r="U203" s="137">
        <f t="shared" si="23"/>
        <v>0</v>
      </c>
    </row>
    <row r="204" spans="1:21" x14ac:dyDescent="0.35">
      <c r="A204">
        <v>0.38021124171160603</v>
      </c>
      <c r="B204" s="50">
        <v>7.3589041095890408</v>
      </c>
      <c r="C204" s="185">
        <f t="shared" si="18"/>
        <v>0.86681314387622188</v>
      </c>
      <c r="D204">
        <v>0</v>
      </c>
      <c r="E204">
        <v>1.7075701760979363</v>
      </c>
      <c r="F204">
        <v>2.95</v>
      </c>
      <c r="G204" s="137">
        <f t="shared" si="19"/>
        <v>0.46982201597816303</v>
      </c>
      <c r="H204">
        <v>0</v>
      </c>
      <c r="I204">
        <v>0.21748394421390627</v>
      </c>
      <c r="J204">
        <v>1.3617278360175928</v>
      </c>
      <c r="K204">
        <v>92.6</v>
      </c>
      <c r="L204" s="137">
        <f t="shared" si="20"/>
        <v>1.9666109866819343</v>
      </c>
      <c r="M204">
        <v>25.7</v>
      </c>
      <c r="N204" s="137">
        <f t="shared" si="21"/>
        <v>1.4099331233312946</v>
      </c>
      <c r="O204">
        <v>39.823361151429197</v>
      </c>
      <c r="P204" s="137">
        <f t="shared" si="22"/>
        <v>1.6001379123442065</v>
      </c>
      <c r="Q204">
        <v>3.3647319918335836</v>
      </c>
      <c r="R204">
        <v>3.568659604598353</v>
      </c>
      <c r="S204">
        <v>8.8450980400142569</v>
      </c>
      <c r="T204">
        <v>5</v>
      </c>
      <c r="U204" s="137">
        <f t="shared" si="23"/>
        <v>0</v>
      </c>
    </row>
    <row r="205" spans="1:21" x14ac:dyDescent="0.35">
      <c r="A205">
        <v>-1.0669467896306131</v>
      </c>
      <c r="B205" s="52">
        <v>9.5287671232876718</v>
      </c>
      <c r="C205" s="185">
        <f t="shared" si="18"/>
        <v>0.97903671321021901</v>
      </c>
      <c r="D205">
        <v>0</v>
      </c>
      <c r="E205">
        <v>1.414973347970818</v>
      </c>
      <c r="F205">
        <v>2.95</v>
      </c>
      <c r="G205" s="137">
        <f t="shared" si="19"/>
        <v>0.46982201597816303</v>
      </c>
      <c r="H205">
        <v>0</v>
      </c>
      <c r="I205">
        <v>0.32428245529769273</v>
      </c>
      <c r="J205">
        <v>1.3617278360175928</v>
      </c>
      <c r="K205">
        <v>92.6</v>
      </c>
      <c r="L205" s="137">
        <f t="shared" si="20"/>
        <v>1.9666109866819343</v>
      </c>
      <c r="M205">
        <v>25.7</v>
      </c>
      <c r="N205" s="137">
        <f t="shared" si="21"/>
        <v>1.4099331233312946</v>
      </c>
      <c r="O205">
        <v>39.823361151429197</v>
      </c>
      <c r="P205" s="137">
        <f t="shared" si="22"/>
        <v>1.6001379123442065</v>
      </c>
      <c r="Q205">
        <v>3.3647319918335836</v>
      </c>
      <c r="R205">
        <v>3.568659604598353</v>
      </c>
      <c r="S205">
        <v>9.5440680443502757</v>
      </c>
      <c r="T205">
        <v>4</v>
      </c>
      <c r="U205" s="137">
        <f t="shared" si="23"/>
        <v>0</v>
      </c>
    </row>
    <row r="206" spans="1:21" x14ac:dyDescent="0.35">
      <c r="A206">
        <v>0.87312014584424469</v>
      </c>
      <c r="B206" s="50">
        <v>4.6684931506849319</v>
      </c>
      <c r="C206" s="185">
        <f t="shared" si="18"/>
        <v>0.66917672597420663</v>
      </c>
      <c r="D206">
        <v>0</v>
      </c>
      <c r="E206">
        <v>1.2787536009528289</v>
      </c>
      <c r="F206">
        <v>2.95</v>
      </c>
      <c r="G206" s="137">
        <f t="shared" si="19"/>
        <v>0.46982201597816303</v>
      </c>
      <c r="H206">
        <v>0</v>
      </c>
      <c r="I206">
        <v>0.17609125905568124</v>
      </c>
      <c r="J206">
        <v>1.414973347970818</v>
      </c>
      <c r="K206">
        <v>91</v>
      </c>
      <c r="L206" s="137">
        <f t="shared" si="20"/>
        <v>1.9590413923210936</v>
      </c>
      <c r="M206">
        <v>23.9</v>
      </c>
      <c r="N206" s="137">
        <f t="shared" si="21"/>
        <v>1.3783979009481377</v>
      </c>
      <c r="O206">
        <v>42.048698215007001</v>
      </c>
      <c r="P206" s="137">
        <f t="shared" si="22"/>
        <v>1.6237525550259535</v>
      </c>
      <c r="Q206">
        <v>3.3647319918335836</v>
      </c>
      <c r="R206">
        <v>3.568659604598353</v>
      </c>
      <c r="S206">
        <v>8.7809434545825091</v>
      </c>
      <c r="T206">
        <v>8</v>
      </c>
      <c r="U206" s="137">
        <f t="shared" si="23"/>
        <v>0</v>
      </c>
    </row>
    <row r="207" spans="1:21" x14ac:dyDescent="0.35">
      <c r="A207">
        <v>0.77011529478710161</v>
      </c>
      <c r="B207" s="52">
        <v>2.2876712328767121</v>
      </c>
      <c r="C207" s="185">
        <f t="shared" si="18"/>
        <v>0.35939361102712736</v>
      </c>
      <c r="D207">
        <v>0</v>
      </c>
      <c r="E207">
        <v>0.47712125471966244</v>
      </c>
      <c r="F207">
        <v>2.95</v>
      </c>
      <c r="G207" s="137">
        <f t="shared" si="19"/>
        <v>0.46982201597816303</v>
      </c>
      <c r="H207">
        <v>0</v>
      </c>
      <c r="I207">
        <v>0.10720996964786837</v>
      </c>
      <c r="J207">
        <v>1.3010299956639813</v>
      </c>
      <c r="K207">
        <v>85</v>
      </c>
      <c r="L207" s="137">
        <f t="shared" si="20"/>
        <v>1.9294189257142926</v>
      </c>
      <c r="M207">
        <v>25.9</v>
      </c>
      <c r="N207" s="137">
        <f t="shared" si="21"/>
        <v>1.4132997640812519</v>
      </c>
      <c r="O207">
        <v>36.959146749272797</v>
      </c>
      <c r="P207" s="137">
        <f t="shared" si="22"/>
        <v>1.5677219364019672</v>
      </c>
      <c r="Q207">
        <v>3.3647319918335836</v>
      </c>
      <c r="R207">
        <v>3.568659604598353</v>
      </c>
      <c r="S207">
        <v>8.3521825181113627</v>
      </c>
      <c r="T207">
        <v>1</v>
      </c>
      <c r="U207" s="137">
        <f t="shared" si="23"/>
        <v>0</v>
      </c>
    </row>
    <row r="208" spans="1:21" x14ac:dyDescent="0.35">
      <c r="A208">
        <v>-1.0016671593674633</v>
      </c>
      <c r="B208" s="50">
        <v>12.164383561643836</v>
      </c>
      <c r="C208" s="185">
        <f t="shared" si="18"/>
        <v>1.0850901056581452</v>
      </c>
      <c r="D208">
        <v>0</v>
      </c>
      <c r="E208">
        <v>2.1613680022349748</v>
      </c>
      <c r="F208">
        <v>2.95</v>
      </c>
      <c r="G208" s="137">
        <f t="shared" si="19"/>
        <v>0.46982201597816303</v>
      </c>
      <c r="H208">
        <v>0</v>
      </c>
      <c r="I208">
        <v>0.658964842664435</v>
      </c>
      <c r="J208">
        <v>0.47712125471966244</v>
      </c>
      <c r="K208">
        <v>85</v>
      </c>
      <c r="L208" s="137">
        <f t="shared" si="20"/>
        <v>1.9294189257142926</v>
      </c>
      <c r="M208">
        <v>25.4</v>
      </c>
      <c r="N208" s="137">
        <f t="shared" si="21"/>
        <v>1.4048337166199381</v>
      </c>
      <c r="O208">
        <v>36.691491429861301</v>
      </c>
      <c r="P208" s="137">
        <f t="shared" si="22"/>
        <v>1.5645653652472133</v>
      </c>
      <c r="Q208">
        <v>3.3647319918335836</v>
      </c>
      <c r="R208">
        <v>3.568659604598353</v>
      </c>
      <c r="S208">
        <v>9.4166405073382808</v>
      </c>
      <c r="T208">
        <v>5</v>
      </c>
      <c r="U208" s="137">
        <f t="shared" si="23"/>
        <v>0</v>
      </c>
    </row>
    <row r="209" spans="1:21" x14ac:dyDescent="0.35">
      <c r="A209">
        <v>0.63424467469936363</v>
      </c>
      <c r="B209" s="52">
        <v>1.5534246575342465</v>
      </c>
      <c r="C209" s="185">
        <f t="shared" si="18"/>
        <v>0.19129019443643186</v>
      </c>
      <c r="D209">
        <v>0</v>
      </c>
      <c r="E209">
        <v>0.69897000433601886</v>
      </c>
      <c r="F209">
        <v>2.95</v>
      </c>
      <c r="G209" s="137">
        <f t="shared" si="19"/>
        <v>0.46982201597816303</v>
      </c>
      <c r="H209">
        <v>0</v>
      </c>
      <c r="I209">
        <v>0.14301480025409513</v>
      </c>
      <c r="J209">
        <v>0.95424250943932487</v>
      </c>
      <c r="K209">
        <v>85</v>
      </c>
      <c r="L209" s="137">
        <f t="shared" si="20"/>
        <v>1.9294189257142926</v>
      </c>
      <c r="M209">
        <v>26.2</v>
      </c>
      <c r="N209" s="137">
        <f t="shared" si="21"/>
        <v>1.4183012913197455</v>
      </c>
      <c r="O209">
        <v>37.8446121410093</v>
      </c>
      <c r="P209" s="137">
        <f t="shared" si="22"/>
        <v>1.5780040586317157</v>
      </c>
      <c r="Q209">
        <v>3.3647319918335836</v>
      </c>
      <c r="R209">
        <v>3.568659604598353</v>
      </c>
      <c r="S209">
        <v>7.4149733479708182</v>
      </c>
      <c r="T209">
        <v>4</v>
      </c>
      <c r="U209" s="137">
        <f t="shared" si="23"/>
        <v>0</v>
      </c>
    </row>
    <row r="210" spans="1:21" x14ac:dyDescent="0.35">
      <c r="A210">
        <v>-1</v>
      </c>
      <c r="B210" s="50">
        <v>5.0383561643835613</v>
      </c>
      <c r="C210" s="185">
        <f t="shared" si="18"/>
        <v>0.70228886478160268</v>
      </c>
      <c r="D210">
        <v>0</v>
      </c>
      <c r="E210">
        <v>2.1986570869544226</v>
      </c>
      <c r="F210">
        <v>2.95</v>
      </c>
      <c r="G210" s="137">
        <f t="shared" si="19"/>
        <v>0.46982201597816303</v>
      </c>
      <c r="H210">
        <v>0</v>
      </c>
      <c r="I210">
        <v>0.24551266781414982</v>
      </c>
      <c r="J210">
        <v>1.0413926851582251</v>
      </c>
      <c r="K210">
        <v>85</v>
      </c>
      <c r="L210" s="137">
        <f t="shared" si="20"/>
        <v>1.9294189257142926</v>
      </c>
      <c r="M210">
        <v>27</v>
      </c>
      <c r="N210" s="137">
        <f t="shared" si="21"/>
        <v>1.4313637641589874</v>
      </c>
      <c r="O210">
        <v>37.123527923893597</v>
      </c>
      <c r="P210" s="137">
        <f t="shared" si="22"/>
        <v>1.5696492413904459</v>
      </c>
      <c r="Q210">
        <v>3.3647319918335836</v>
      </c>
      <c r="R210">
        <v>3.568659604598353</v>
      </c>
      <c r="S210">
        <v>7.4771212547196626</v>
      </c>
      <c r="T210">
        <v>8</v>
      </c>
      <c r="U210" s="137">
        <f t="shared" si="23"/>
        <v>0</v>
      </c>
    </row>
    <row r="211" spans="1:21" x14ac:dyDescent="0.35">
      <c r="A211">
        <v>-1</v>
      </c>
      <c r="B211" s="52">
        <v>4.3068493150684928</v>
      </c>
      <c r="C211" s="185">
        <f t="shared" si="18"/>
        <v>0.63415967724691436</v>
      </c>
      <c r="D211">
        <v>0</v>
      </c>
      <c r="E211">
        <v>0.69897000433601886</v>
      </c>
      <c r="F211">
        <v>2.95</v>
      </c>
      <c r="G211" s="137">
        <f t="shared" si="19"/>
        <v>0.46982201597816303</v>
      </c>
      <c r="H211">
        <v>0</v>
      </c>
      <c r="I211">
        <v>0.30319605742048883</v>
      </c>
      <c r="J211">
        <v>1.0413926851582251</v>
      </c>
      <c r="K211">
        <v>85</v>
      </c>
      <c r="L211" s="137">
        <f t="shared" si="20"/>
        <v>1.9294189257142926</v>
      </c>
      <c r="M211">
        <v>27</v>
      </c>
      <c r="N211" s="137">
        <f t="shared" si="21"/>
        <v>1.4313637641589874</v>
      </c>
      <c r="O211">
        <v>37.123527923893597</v>
      </c>
      <c r="P211" s="137">
        <f t="shared" si="22"/>
        <v>1.5696492413904459</v>
      </c>
      <c r="Q211">
        <v>3.3647319918335836</v>
      </c>
      <c r="R211">
        <v>3.568659604598353</v>
      </c>
      <c r="S211">
        <v>8.5051499783199063</v>
      </c>
      <c r="T211">
        <v>5</v>
      </c>
      <c r="U211" s="137">
        <f t="shared" si="23"/>
        <v>0</v>
      </c>
    </row>
    <row r="212" spans="1:21" x14ac:dyDescent="0.35">
      <c r="A212">
        <v>-0.12577962653459859</v>
      </c>
      <c r="B212" s="50">
        <v>5.8273972602739725</v>
      </c>
      <c r="C212" s="185">
        <f t="shared" si="18"/>
        <v>0.76547462544625422</v>
      </c>
      <c r="D212">
        <v>0</v>
      </c>
      <c r="E212">
        <v>1.5440680443502757</v>
      </c>
      <c r="F212">
        <v>2.95</v>
      </c>
      <c r="G212" s="137">
        <f t="shared" si="19"/>
        <v>0.46982201597816303</v>
      </c>
      <c r="H212">
        <v>0</v>
      </c>
      <c r="I212">
        <v>0.2253092817258629</v>
      </c>
      <c r="J212">
        <v>1.3802112417116059</v>
      </c>
      <c r="K212">
        <v>91</v>
      </c>
      <c r="L212" s="137">
        <f t="shared" si="20"/>
        <v>1.9590413923210936</v>
      </c>
      <c r="M212">
        <v>23.9</v>
      </c>
      <c r="N212" s="137">
        <f t="shared" si="21"/>
        <v>1.3783979009481377</v>
      </c>
      <c r="O212">
        <v>42.048698215007001</v>
      </c>
      <c r="P212" s="137">
        <f t="shared" si="22"/>
        <v>1.6237525550259535</v>
      </c>
      <c r="Q212">
        <v>3.0958500844125241</v>
      </c>
      <c r="R212">
        <v>3.5078178355445662</v>
      </c>
      <c r="S212">
        <v>9.5783870397109983</v>
      </c>
      <c r="T212">
        <v>9</v>
      </c>
      <c r="U212" s="137">
        <f t="shared" si="23"/>
        <v>0</v>
      </c>
    </row>
    <row r="213" spans="1:21" x14ac:dyDescent="0.35">
      <c r="A213">
        <v>-1.3237260629056007</v>
      </c>
      <c r="B213" s="52">
        <v>4.3452054794520549</v>
      </c>
      <c r="C213" s="185">
        <f t="shared" si="18"/>
        <v>0.63801031852511025</v>
      </c>
      <c r="D213">
        <v>0</v>
      </c>
      <c r="E213">
        <v>1.2787536009528289</v>
      </c>
      <c r="F213">
        <v>2.95</v>
      </c>
      <c r="G213" s="137">
        <f t="shared" si="19"/>
        <v>0.46982201597816303</v>
      </c>
      <c r="H213">
        <v>0</v>
      </c>
      <c r="I213">
        <v>-3.1517051446064911E-2</v>
      </c>
      <c r="J213">
        <v>1.255272505103306</v>
      </c>
      <c r="K213">
        <v>85</v>
      </c>
      <c r="L213" s="137">
        <f t="shared" si="20"/>
        <v>1.9294189257142926</v>
      </c>
      <c r="M213">
        <v>25.9</v>
      </c>
      <c r="N213" s="137">
        <f t="shared" si="21"/>
        <v>1.4132997640812519</v>
      </c>
      <c r="O213">
        <v>36.959146749272797</v>
      </c>
      <c r="P213" s="137">
        <f t="shared" si="22"/>
        <v>1.5677219364019672</v>
      </c>
      <c r="Q213">
        <v>3.0958500844125241</v>
      </c>
      <c r="R213">
        <v>3.5078178355445662</v>
      </c>
      <c r="S213">
        <v>8.9033830368740166</v>
      </c>
      <c r="T213">
        <v>9</v>
      </c>
      <c r="U213" s="137">
        <f t="shared" si="23"/>
        <v>0</v>
      </c>
    </row>
    <row r="214" spans="1:21" x14ac:dyDescent="0.35">
      <c r="A214">
        <v>-0.23914300480277026</v>
      </c>
      <c r="B214" s="50">
        <v>7.8109589041095893</v>
      </c>
      <c r="C214" s="185">
        <f t="shared" si="18"/>
        <v>0.89270435285298533</v>
      </c>
      <c r="D214">
        <v>0</v>
      </c>
      <c r="E214">
        <v>1.0791812460476249</v>
      </c>
      <c r="F214">
        <v>2.95</v>
      </c>
      <c r="G214" s="137">
        <f t="shared" si="19"/>
        <v>0.46982201597816303</v>
      </c>
      <c r="H214">
        <v>0</v>
      </c>
      <c r="I214">
        <v>0.12385164096708581</v>
      </c>
      <c r="J214">
        <v>1.255272505103306</v>
      </c>
      <c r="K214">
        <v>85</v>
      </c>
      <c r="L214" s="137">
        <f t="shared" si="20"/>
        <v>1.9294189257142926</v>
      </c>
      <c r="M214">
        <v>25.9</v>
      </c>
      <c r="N214" s="137">
        <f t="shared" si="21"/>
        <v>1.4132997640812519</v>
      </c>
      <c r="O214">
        <v>36.959146749272797</v>
      </c>
      <c r="P214" s="137">
        <f t="shared" si="22"/>
        <v>1.5677219364019672</v>
      </c>
      <c r="Q214">
        <v>3.0958500844125241</v>
      </c>
      <c r="R214">
        <v>3.5078178355445662</v>
      </c>
      <c r="S214">
        <v>8.7442929831226763</v>
      </c>
      <c r="T214">
        <v>2</v>
      </c>
      <c r="U214" s="137">
        <f t="shared" si="23"/>
        <v>0</v>
      </c>
    </row>
    <row r="215" spans="1:21" x14ac:dyDescent="0.35">
      <c r="A215">
        <v>-1</v>
      </c>
      <c r="B215" s="52">
        <v>4.0712328767123287</v>
      </c>
      <c r="C215" s="185">
        <f t="shared" si="18"/>
        <v>0.60972594496808175</v>
      </c>
      <c r="D215">
        <v>0</v>
      </c>
      <c r="E215">
        <v>1.8692317197309762</v>
      </c>
      <c r="F215">
        <v>2.95</v>
      </c>
      <c r="G215" s="137">
        <f t="shared" si="19"/>
        <v>0.46982201597816303</v>
      </c>
      <c r="H215">
        <v>0</v>
      </c>
      <c r="I215">
        <v>-8.092190762392612E-2</v>
      </c>
      <c r="J215">
        <v>1.2787536009528289</v>
      </c>
      <c r="K215">
        <v>93.2</v>
      </c>
      <c r="L215" s="137">
        <f t="shared" si="20"/>
        <v>1.9694159123539814</v>
      </c>
      <c r="M215">
        <v>26.7</v>
      </c>
      <c r="N215" s="137">
        <f t="shared" si="21"/>
        <v>1.4265112613645752</v>
      </c>
      <c r="O215">
        <v>36.669158714517401</v>
      </c>
      <c r="P215" s="137">
        <f t="shared" si="22"/>
        <v>1.5643009462345601</v>
      </c>
      <c r="Q215">
        <v>3.0958500844125241</v>
      </c>
      <c r="R215">
        <v>3.5078178355445662</v>
      </c>
      <c r="S215">
        <v>9.0413926851582254</v>
      </c>
      <c r="T215">
        <v>5</v>
      </c>
      <c r="U215" s="137">
        <f t="shared" si="23"/>
        <v>0</v>
      </c>
    </row>
    <row r="216" spans="1:21" x14ac:dyDescent="0.35">
      <c r="A216">
        <v>-9.7812748955715761E-2</v>
      </c>
      <c r="B216" s="50">
        <v>5.978082191780822</v>
      </c>
      <c r="C216" s="185">
        <f t="shared" si="18"/>
        <v>0.7765618817958484</v>
      </c>
      <c r="D216">
        <v>0</v>
      </c>
      <c r="E216">
        <v>1.1760912590556813</v>
      </c>
      <c r="F216">
        <v>2.95</v>
      </c>
      <c r="G216" s="137">
        <f t="shared" si="19"/>
        <v>0.46982201597816303</v>
      </c>
      <c r="H216">
        <v>0</v>
      </c>
      <c r="I216">
        <v>8.6001717619175692E-3</v>
      </c>
      <c r="J216">
        <v>1.3010299956639813</v>
      </c>
      <c r="K216">
        <v>91.4</v>
      </c>
      <c r="L216" s="137">
        <f t="shared" si="20"/>
        <v>1.9609461957338314</v>
      </c>
      <c r="M216">
        <v>26.7</v>
      </c>
      <c r="N216" s="137">
        <f t="shared" si="21"/>
        <v>1.4265112613645752</v>
      </c>
      <c r="O216">
        <v>37.425715444240403</v>
      </c>
      <c r="P216" s="137">
        <f t="shared" si="22"/>
        <v>1.5731701112332821</v>
      </c>
      <c r="Q216">
        <v>3.0958500844125241</v>
      </c>
      <c r="R216">
        <v>3.5078178355445662</v>
      </c>
      <c r="S216">
        <v>9.1042787912049477</v>
      </c>
      <c r="T216">
        <v>9</v>
      </c>
      <c r="U216" s="137">
        <f t="shared" si="23"/>
        <v>0</v>
      </c>
    </row>
    <row r="217" spans="1:21" x14ac:dyDescent="0.35">
      <c r="A217">
        <v>-2.2663984635943761E-2</v>
      </c>
      <c r="B217" s="52">
        <v>7.5041095890410956</v>
      </c>
      <c r="C217" s="185">
        <f t="shared" si="18"/>
        <v>0.87529916779748662</v>
      </c>
      <c r="D217">
        <v>0</v>
      </c>
      <c r="E217">
        <v>2.0374264979406238</v>
      </c>
      <c r="F217">
        <v>2.95</v>
      </c>
      <c r="G217" s="137">
        <f t="shared" si="19"/>
        <v>0.46982201597816303</v>
      </c>
      <c r="H217">
        <v>0</v>
      </c>
      <c r="I217">
        <v>0.13353890837021748</v>
      </c>
      <c r="J217">
        <v>1.3010299956639813</v>
      </c>
      <c r="K217">
        <v>91.4</v>
      </c>
      <c r="L217" s="137">
        <f t="shared" si="20"/>
        <v>1.9609461957338314</v>
      </c>
      <c r="M217">
        <v>26.7</v>
      </c>
      <c r="N217" s="137">
        <f t="shared" si="21"/>
        <v>1.4265112613645752</v>
      </c>
      <c r="O217">
        <v>37.425715444240403</v>
      </c>
      <c r="P217" s="137">
        <f t="shared" si="22"/>
        <v>1.5731701112332821</v>
      </c>
      <c r="Q217">
        <v>3.0958500844125241</v>
      </c>
      <c r="R217">
        <v>3.5078178355445662</v>
      </c>
      <c r="S217">
        <v>9.1687920203141822</v>
      </c>
      <c r="T217">
        <v>1</v>
      </c>
      <c r="U217" s="137">
        <f t="shared" si="23"/>
        <v>0</v>
      </c>
    </row>
    <row r="218" spans="1:21" x14ac:dyDescent="0.35">
      <c r="A218">
        <v>-5.8858617968247297E-2</v>
      </c>
      <c r="B218" s="50">
        <v>7.0794520547945208</v>
      </c>
      <c r="C218" s="185">
        <f t="shared" si="18"/>
        <v>0.84999964486657176</v>
      </c>
      <c r="D218">
        <v>0</v>
      </c>
      <c r="E218">
        <v>1.9637878273455553</v>
      </c>
      <c r="F218">
        <v>2.95</v>
      </c>
      <c r="G218" s="137">
        <f t="shared" si="19"/>
        <v>0.46982201597816303</v>
      </c>
      <c r="H218">
        <v>0</v>
      </c>
      <c r="I218">
        <v>0.13033376849500614</v>
      </c>
      <c r="J218">
        <v>1.3010299956639813</v>
      </c>
      <c r="K218">
        <v>91.4</v>
      </c>
      <c r="L218" s="137">
        <f t="shared" si="20"/>
        <v>1.9609461957338314</v>
      </c>
      <c r="M218">
        <v>26.7</v>
      </c>
      <c r="N218" s="137">
        <f t="shared" si="21"/>
        <v>1.4265112613645752</v>
      </c>
      <c r="O218">
        <v>37.425715444240403</v>
      </c>
      <c r="P218" s="137">
        <f t="shared" si="22"/>
        <v>1.5731701112332821</v>
      </c>
      <c r="Q218">
        <v>3.0958500844125241</v>
      </c>
      <c r="R218">
        <v>3.5078178355445662</v>
      </c>
      <c r="S218">
        <v>9.746244871720199</v>
      </c>
      <c r="T218">
        <v>1</v>
      </c>
      <c r="U218" s="137">
        <f t="shared" si="23"/>
        <v>0</v>
      </c>
    </row>
    <row r="219" spans="1:21" x14ac:dyDescent="0.35">
      <c r="A219">
        <v>-0.73091068103884038</v>
      </c>
      <c r="B219" s="52">
        <v>2.2986301369863016</v>
      </c>
      <c r="C219" s="185">
        <f t="shared" si="18"/>
        <v>0.36146909637222563</v>
      </c>
      <c r="D219">
        <v>0</v>
      </c>
      <c r="E219">
        <v>1.6334684555795864</v>
      </c>
      <c r="F219">
        <v>2.95</v>
      </c>
      <c r="G219" s="137">
        <f t="shared" si="19"/>
        <v>0.46982201597816303</v>
      </c>
      <c r="H219">
        <v>0</v>
      </c>
      <c r="I219">
        <v>-6.0480747381381476E-2</v>
      </c>
      <c r="J219">
        <v>1.6232492903979006</v>
      </c>
      <c r="K219">
        <v>92.6</v>
      </c>
      <c r="L219" s="137">
        <f t="shared" si="20"/>
        <v>1.9666109866819343</v>
      </c>
      <c r="M219">
        <v>25.7</v>
      </c>
      <c r="N219" s="137">
        <f t="shared" si="21"/>
        <v>1.4099331233312946</v>
      </c>
      <c r="O219">
        <v>39.823361151429197</v>
      </c>
      <c r="P219" s="137">
        <f t="shared" si="22"/>
        <v>1.6001379123442065</v>
      </c>
      <c r="Q219">
        <v>3.1527645837352773</v>
      </c>
      <c r="R219">
        <v>3.5411223705253856</v>
      </c>
      <c r="S219">
        <v>8.305265362023448</v>
      </c>
      <c r="T219">
        <v>2</v>
      </c>
      <c r="U219" s="137">
        <f t="shared" si="23"/>
        <v>0</v>
      </c>
    </row>
    <row r="220" spans="1:21" x14ac:dyDescent="0.35">
      <c r="A220">
        <v>0.6220999927396933</v>
      </c>
      <c r="B220" s="50">
        <v>2.3945205479452056</v>
      </c>
      <c r="C220" s="185">
        <f t="shared" si="18"/>
        <v>0.37921856817792837</v>
      </c>
      <c r="D220">
        <v>0</v>
      </c>
      <c r="E220">
        <v>0.69897000433601886</v>
      </c>
      <c r="F220">
        <v>2.95</v>
      </c>
      <c r="G220" s="137">
        <f t="shared" si="19"/>
        <v>0.46982201597816303</v>
      </c>
      <c r="H220">
        <v>0</v>
      </c>
      <c r="I220">
        <v>8.2785370316450071E-2</v>
      </c>
      <c r="J220">
        <v>1.414973347970818</v>
      </c>
      <c r="K220">
        <v>85</v>
      </c>
      <c r="L220" s="137">
        <f t="shared" si="20"/>
        <v>1.9294189257142926</v>
      </c>
      <c r="M220">
        <v>25.7</v>
      </c>
      <c r="N220" s="137">
        <f t="shared" si="21"/>
        <v>1.4099331233312946</v>
      </c>
      <c r="O220">
        <v>39.367752568237798</v>
      </c>
      <c r="P220" s="137">
        <f t="shared" si="22"/>
        <v>1.5951406224338005</v>
      </c>
      <c r="Q220">
        <v>3.1527645837352773</v>
      </c>
      <c r="R220">
        <v>3.5411223705253856</v>
      </c>
      <c r="S220">
        <v>7</v>
      </c>
      <c r="T220">
        <v>9</v>
      </c>
      <c r="U220" s="137">
        <f t="shared" si="23"/>
        <v>0</v>
      </c>
    </row>
    <row r="221" spans="1:21" x14ac:dyDescent="0.35">
      <c r="A221">
        <v>-1</v>
      </c>
      <c r="B221" s="52">
        <v>3.6986301369863015</v>
      </c>
      <c r="C221" s="185">
        <f t="shared" si="18"/>
        <v>0.56804090403853147</v>
      </c>
      <c r="D221">
        <v>0</v>
      </c>
      <c r="E221">
        <v>1.7403626894942439</v>
      </c>
      <c r="F221">
        <v>2.95</v>
      </c>
      <c r="G221" s="137">
        <f t="shared" si="19"/>
        <v>0.46982201597816303</v>
      </c>
      <c r="H221">
        <v>0</v>
      </c>
      <c r="I221">
        <v>0.19589965240923368</v>
      </c>
      <c r="J221">
        <v>1.414973347970818</v>
      </c>
      <c r="K221">
        <v>85</v>
      </c>
      <c r="L221" s="137">
        <f t="shared" si="20"/>
        <v>1.9294189257142926</v>
      </c>
      <c r="M221">
        <v>25.7</v>
      </c>
      <c r="N221" s="137">
        <f t="shared" si="21"/>
        <v>1.4099331233312946</v>
      </c>
      <c r="O221">
        <v>39.367752568237798</v>
      </c>
      <c r="P221" s="137">
        <f t="shared" si="22"/>
        <v>1.5951406224338005</v>
      </c>
      <c r="Q221">
        <v>3.1527645837352773</v>
      </c>
      <c r="R221">
        <v>3.5411223705253856</v>
      </c>
      <c r="S221">
        <v>7.204119982655925</v>
      </c>
      <c r="T221">
        <v>1</v>
      </c>
      <c r="U221" s="137">
        <f t="shared" si="23"/>
        <v>0</v>
      </c>
    </row>
    <row r="222" spans="1:21" x14ac:dyDescent="0.35">
      <c r="A222">
        <v>-1</v>
      </c>
      <c r="B222" s="50">
        <v>2.095890410958904</v>
      </c>
      <c r="C222" s="185">
        <f t="shared" si="18"/>
        <v>0.32136857069714286</v>
      </c>
      <c r="D222">
        <v>0</v>
      </c>
      <c r="E222">
        <v>1.7993405494535817</v>
      </c>
      <c r="F222">
        <v>2.95</v>
      </c>
      <c r="G222" s="137">
        <f t="shared" si="19"/>
        <v>0.46982201597816303</v>
      </c>
      <c r="H222">
        <v>0</v>
      </c>
      <c r="I222">
        <v>0.10720996964786837</v>
      </c>
      <c r="J222">
        <v>1.6532125137753437</v>
      </c>
      <c r="K222">
        <v>91</v>
      </c>
      <c r="L222" s="137">
        <f t="shared" si="20"/>
        <v>1.9590413923210936</v>
      </c>
      <c r="M222">
        <v>23.9</v>
      </c>
      <c r="N222" s="137">
        <f t="shared" si="21"/>
        <v>1.3783979009481377</v>
      </c>
      <c r="O222">
        <v>42.048698215007001</v>
      </c>
      <c r="P222" s="137">
        <f t="shared" si="22"/>
        <v>1.6237525550259535</v>
      </c>
      <c r="Q222">
        <v>3.1527645837352773</v>
      </c>
      <c r="R222">
        <v>3.5411223705253856</v>
      </c>
      <c r="S222">
        <v>8.8302934790795664</v>
      </c>
      <c r="T222">
        <v>2</v>
      </c>
      <c r="U222" s="137">
        <f t="shared" si="23"/>
        <v>0</v>
      </c>
    </row>
    <row r="223" spans="1:21" x14ac:dyDescent="0.35">
      <c r="A223">
        <v>-1</v>
      </c>
      <c r="B223" s="52">
        <v>5.4684931506849317</v>
      </c>
      <c r="C223" s="185">
        <f t="shared" si="18"/>
        <v>0.73786767249487761</v>
      </c>
      <c r="D223">
        <v>0</v>
      </c>
      <c r="E223">
        <v>1.0791812460476249</v>
      </c>
      <c r="F223">
        <v>2.95</v>
      </c>
      <c r="G223" s="137">
        <f t="shared" si="19"/>
        <v>0.46982201597816303</v>
      </c>
      <c r="H223">
        <v>0</v>
      </c>
      <c r="I223">
        <v>-4.3648054024500883E-3</v>
      </c>
      <c r="J223">
        <v>1.5797835966168101</v>
      </c>
      <c r="K223">
        <v>85</v>
      </c>
      <c r="L223" s="137">
        <f t="shared" si="20"/>
        <v>1.9294189257142926</v>
      </c>
      <c r="M223">
        <v>24.6</v>
      </c>
      <c r="N223" s="137">
        <f t="shared" si="21"/>
        <v>1.3909351071033791</v>
      </c>
      <c r="O223">
        <v>36.876470987978301</v>
      </c>
      <c r="P223" s="137">
        <f t="shared" si="22"/>
        <v>1.5667493531684615</v>
      </c>
      <c r="Q223">
        <v>3.1527645837352773</v>
      </c>
      <c r="R223">
        <v>3.5411223705253856</v>
      </c>
      <c r="S223">
        <v>7.7075701760979367</v>
      </c>
      <c r="T223">
        <v>2</v>
      </c>
      <c r="U223" s="137">
        <f t="shared" si="23"/>
        <v>0</v>
      </c>
    </row>
    <row r="224" spans="1:21" x14ac:dyDescent="0.35">
      <c r="A224">
        <v>-1</v>
      </c>
      <c r="B224" s="50">
        <v>2.515068493150685</v>
      </c>
      <c r="C224" s="185">
        <f t="shared" si="18"/>
        <v>0.40054981674476775</v>
      </c>
      <c r="D224">
        <v>0</v>
      </c>
      <c r="E224">
        <v>1.0413926851582251</v>
      </c>
      <c r="F224">
        <v>2.95</v>
      </c>
      <c r="G224" s="137">
        <f t="shared" si="19"/>
        <v>0.46982201597816303</v>
      </c>
      <c r="H224">
        <v>0</v>
      </c>
      <c r="I224">
        <v>-0.21467016498923297</v>
      </c>
      <c r="J224">
        <v>1.5314789170422551</v>
      </c>
      <c r="K224">
        <v>85</v>
      </c>
      <c r="L224" s="137">
        <f t="shared" si="20"/>
        <v>1.9294189257142926</v>
      </c>
      <c r="M224">
        <v>28.2</v>
      </c>
      <c r="N224" s="137">
        <f t="shared" si="21"/>
        <v>1.4502491083193612</v>
      </c>
      <c r="O224">
        <v>34.298950279384798</v>
      </c>
      <c r="P224" s="137">
        <f t="shared" si="22"/>
        <v>1.5352808286478177</v>
      </c>
      <c r="Q224">
        <v>3.1527645837352773</v>
      </c>
      <c r="R224">
        <v>3.5411223705253856</v>
      </c>
      <c r="S224">
        <v>7.8167714123333463</v>
      </c>
      <c r="T224">
        <v>5</v>
      </c>
      <c r="U224" s="137">
        <f t="shared" si="23"/>
        <v>0</v>
      </c>
    </row>
    <row r="225" spans="1:21" x14ac:dyDescent="0.35">
      <c r="A225">
        <v>0.84056111826942603</v>
      </c>
      <c r="B225" s="52">
        <v>2.1753424657534248</v>
      </c>
      <c r="C225" s="185">
        <f t="shared" si="18"/>
        <v>0.33752763797062157</v>
      </c>
      <c r="D225">
        <v>0</v>
      </c>
      <c r="E225">
        <v>1.3222192947339193</v>
      </c>
      <c r="F225">
        <v>2.95</v>
      </c>
      <c r="G225" s="137">
        <f t="shared" si="19"/>
        <v>0.46982201597816303</v>
      </c>
      <c r="H225">
        <v>0</v>
      </c>
      <c r="I225">
        <v>8.6359830674748214E-2</v>
      </c>
      <c r="J225">
        <v>1.255272505103306</v>
      </c>
      <c r="K225">
        <v>91.3</v>
      </c>
      <c r="L225" s="137">
        <f t="shared" si="20"/>
        <v>1.9604707775342989</v>
      </c>
      <c r="M225">
        <v>23.5</v>
      </c>
      <c r="N225" s="137">
        <f t="shared" si="21"/>
        <v>1.3710678622717363</v>
      </c>
      <c r="O225">
        <v>43.1672842383418</v>
      </c>
      <c r="P225" s="137">
        <f t="shared" si="22"/>
        <v>1.6351547269652249</v>
      </c>
      <c r="Q225">
        <v>3.1628767233771686</v>
      </c>
      <c r="R225">
        <v>3.6087947637270492</v>
      </c>
      <c r="S225">
        <v>7.6884198220027109</v>
      </c>
      <c r="T225">
        <v>2</v>
      </c>
      <c r="U225" s="137">
        <f t="shared" si="23"/>
        <v>0</v>
      </c>
    </row>
    <row r="226" spans="1:21" x14ac:dyDescent="0.35">
      <c r="A226">
        <v>0.16136800223497488</v>
      </c>
      <c r="B226" s="50">
        <v>5.4821917808219176</v>
      </c>
      <c r="C226" s="185">
        <f t="shared" si="18"/>
        <v>0.73895422417973666</v>
      </c>
      <c r="D226">
        <v>0</v>
      </c>
      <c r="E226">
        <v>1.255272505103306</v>
      </c>
      <c r="F226">
        <v>2.95</v>
      </c>
      <c r="G226" s="137">
        <f t="shared" si="19"/>
        <v>0.46982201597816303</v>
      </c>
      <c r="H226">
        <v>0</v>
      </c>
      <c r="I226">
        <v>0.26951294421791627</v>
      </c>
      <c r="J226">
        <v>1.3222192947339193</v>
      </c>
      <c r="K226">
        <v>90.5</v>
      </c>
      <c r="L226" s="137">
        <f t="shared" si="20"/>
        <v>1.9566485792052033</v>
      </c>
      <c r="M226">
        <v>25.7</v>
      </c>
      <c r="N226" s="137">
        <f t="shared" si="21"/>
        <v>1.4099331233312946</v>
      </c>
      <c r="O226">
        <v>39.010023979360902</v>
      </c>
      <c r="P226" s="137">
        <f t="shared" si="22"/>
        <v>1.5911762172715689</v>
      </c>
      <c r="Q226">
        <v>3.1628767233771686</v>
      </c>
      <c r="R226">
        <v>3.6087947637270492</v>
      </c>
      <c r="S226">
        <v>9</v>
      </c>
      <c r="T226">
        <v>9</v>
      </c>
      <c r="U226" s="137">
        <f t="shared" si="23"/>
        <v>0</v>
      </c>
    </row>
    <row r="227" spans="1:21" x14ac:dyDescent="0.35">
      <c r="A227">
        <v>-1</v>
      </c>
      <c r="B227" s="52">
        <v>5.7424657534246579</v>
      </c>
      <c r="C227" s="185">
        <f t="shared" si="18"/>
        <v>0.75909841385521437</v>
      </c>
      <c r="D227">
        <v>0</v>
      </c>
      <c r="E227">
        <v>0.6020599913279624</v>
      </c>
      <c r="F227">
        <v>2.95</v>
      </c>
      <c r="G227" s="137">
        <f t="shared" si="19"/>
        <v>0.46982201597816303</v>
      </c>
      <c r="H227">
        <v>0</v>
      </c>
      <c r="I227">
        <v>-4.0958607678906384E-2</v>
      </c>
      <c r="J227">
        <v>1.1139433523068367</v>
      </c>
      <c r="K227">
        <v>85</v>
      </c>
      <c r="L227" s="137">
        <f t="shared" si="20"/>
        <v>1.9294189257142926</v>
      </c>
      <c r="M227">
        <v>28.2</v>
      </c>
      <c r="N227" s="137">
        <f t="shared" si="21"/>
        <v>1.4502491083193612</v>
      </c>
      <c r="O227">
        <v>34.298950279384798</v>
      </c>
      <c r="P227" s="137">
        <f t="shared" si="22"/>
        <v>1.5352808286478177</v>
      </c>
      <c r="Q227">
        <v>3.0958500844125241</v>
      </c>
      <c r="R227">
        <v>3.5078178355445662</v>
      </c>
      <c r="S227">
        <v>7.6020599913279625</v>
      </c>
      <c r="T227">
        <v>9</v>
      </c>
      <c r="U227" s="137">
        <f t="shared" si="23"/>
        <v>0</v>
      </c>
    </row>
    <row r="228" spans="1:21" x14ac:dyDescent="0.35">
      <c r="A228">
        <v>-1</v>
      </c>
      <c r="B228" s="50">
        <v>4.3178082191780822</v>
      </c>
      <c r="C228" s="185">
        <f t="shared" si="18"/>
        <v>0.6352633486970618</v>
      </c>
      <c r="D228">
        <v>0</v>
      </c>
      <c r="E228">
        <v>0.3010299956639812</v>
      </c>
      <c r="F228">
        <v>2.95</v>
      </c>
      <c r="G228" s="137">
        <f t="shared" si="19"/>
        <v>0.46982201597816303</v>
      </c>
      <c r="H228">
        <v>0</v>
      </c>
      <c r="I228">
        <v>2.9383777685209667E-2</v>
      </c>
      <c r="J228">
        <v>1.146128035678238</v>
      </c>
      <c r="K228">
        <v>85</v>
      </c>
      <c r="L228" s="137">
        <f t="shared" si="20"/>
        <v>1.9294189257142926</v>
      </c>
      <c r="M228">
        <v>27.2</v>
      </c>
      <c r="N228" s="137">
        <f t="shared" si="21"/>
        <v>1.4345689040341987</v>
      </c>
      <c r="O228">
        <v>35.608384832026097</v>
      </c>
      <c r="P228" s="137">
        <f t="shared" si="22"/>
        <v>1.5515522748692276</v>
      </c>
      <c r="Q228">
        <v>3.0958500844125241</v>
      </c>
      <c r="R228">
        <v>3.5078178355445662</v>
      </c>
      <c r="S228">
        <v>8.4393326938302629</v>
      </c>
      <c r="T228">
        <v>4</v>
      </c>
      <c r="U228" s="137">
        <f t="shared" si="23"/>
        <v>0</v>
      </c>
    </row>
    <row r="229" spans="1:21" x14ac:dyDescent="0.35">
      <c r="A229">
        <v>0.72989379285377709</v>
      </c>
      <c r="B229" s="52">
        <v>3.3041095890410959</v>
      </c>
      <c r="C229" s="185">
        <f t="shared" si="18"/>
        <v>0.51905444334765782</v>
      </c>
      <c r="D229">
        <v>0</v>
      </c>
      <c r="E229">
        <v>0.47712125471966244</v>
      </c>
      <c r="F229">
        <v>2.95</v>
      </c>
      <c r="G229" s="137">
        <f t="shared" si="19"/>
        <v>0.46982201597816303</v>
      </c>
      <c r="H229">
        <v>0</v>
      </c>
      <c r="I229">
        <v>1.2837224705172217E-2</v>
      </c>
      <c r="J229">
        <v>1.1760912590556813</v>
      </c>
      <c r="K229">
        <v>85</v>
      </c>
      <c r="L229" s="137">
        <f t="shared" si="20"/>
        <v>1.9294189257142926</v>
      </c>
      <c r="M229">
        <v>24.9</v>
      </c>
      <c r="N229" s="137">
        <f t="shared" si="21"/>
        <v>1.3961993470957363</v>
      </c>
      <c r="O229">
        <v>36.710134890601303</v>
      </c>
      <c r="P229" s="137">
        <f t="shared" si="22"/>
        <v>1.564785980312654</v>
      </c>
      <c r="Q229">
        <v>3.0958500844125241</v>
      </c>
      <c r="R229">
        <v>3.5078178355445662</v>
      </c>
      <c r="S229">
        <v>7.6190933306267423</v>
      </c>
      <c r="T229">
        <v>1</v>
      </c>
      <c r="U229" s="137">
        <f t="shared" si="23"/>
        <v>0</v>
      </c>
    </row>
    <row r="230" spans="1:21" x14ac:dyDescent="0.35">
      <c r="A230">
        <v>0.3406889680132057</v>
      </c>
      <c r="B230" s="50">
        <v>4.3068493150684928</v>
      </c>
      <c r="C230" s="185">
        <f t="shared" si="18"/>
        <v>0.63415967724691436</v>
      </c>
      <c r="D230">
        <v>0</v>
      </c>
      <c r="E230">
        <v>1.6434526764861874</v>
      </c>
      <c r="F230">
        <v>2.95</v>
      </c>
      <c r="G230" s="137">
        <f t="shared" si="19"/>
        <v>0.46982201597816303</v>
      </c>
      <c r="H230">
        <v>0</v>
      </c>
      <c r="I230">
        <v>4.9218022670181653E-2</v>
      </c>
      <c r="J230">
        <v>1.2304489213782739</v>
      </c>
      <c r="K230">
        <v>85</v>
      </c>
      <c r="L230" s="137">
        <f t="shared" si="20"/>
        <v>1.9294189257142926</v>
      </c>
      <c r="M230">
        <v>24.6</v>
      </c>
      <c r="N230" s="137">
        <f t="shared" si="21"/>
        <v>1.3909351071033791</v>
      </c>
      <c r="O230">
        <v>36.876470987978301</v>
      </c>
      <c r="P230" s="137">
        <f t="shared" si="22"/>
        <v>1.5667493531684615</v>
      </c>
      <c r="Q230">
        <v>3.0958500844125241</v>
      </c>
      <c r="R230">
        <v>3.5078178355445662</v>
      </c>
      <c r="S230">
        <v>8.0986437258170572</v>
      </c>
      <c r="T230">
        <v>5</v>
      </c>
      <c r="U230" s="137">
        <f t="shared" si="23"/>
        <v>0</v>
      </c>
    </row>
    <row r="231" spans="1:21" x14ac:dyDescent="0.35">
      <c r="A231">
        <v>-1</v>
      </c>
      <c r="B231" s="52">
        <v>4.2767123287671236</v>
      </c>
      <c r="C231" s="185">
        <f t="shared" si="18"/>
        <v>0.63111003860594284</v>
      </c>
      <c r="D231">
        <v>0</v>
      </c>
      <c r="E231">
        <v>0.6020599913279624</v>
      </c>
      <c r="F231">
        <v>2.95</v>
      </c>
      <c r="G231" s="137">
        <f t="shared" si="19"/>
        <v>0.46982201597816303</v>
      </c>
      <c r="H231">
        <v>0</v>
      </c>
      <c r="I231">
        <v>4.5322978786657475E-2</v>
      </c>
      <c r="J231">
        <v>1.2304489213782739</v>
      </c>
      <c r="K231">
        <v>85</v>
      </c>
      <c r="L231" s="137">
        <f t="shared" si="20"/>
        <v>1.9294189257142926</v>
      </c>
      <c r="M231">
        <v>24.6</v>
      </c>
      <c r="N231" s="137">
        <f t="shared" si="21"/>
        <v>1.3909351071033791</v>
      </c>
      <c r="O231">
        <v>36.876470987978301</v>
      </c>
      <c r="P231" s="137">
        <f t="shared" si="22"/>
        <v>1.5667493531684615</v>
      </c>
      <c r="Q231">
        <v>3.0958500844125241</v>
      </c>
      <c r="R231">
        <v>3.5078178355445662</v>
      </c>
      <c r="S231">
        <v>6.9030899869919438</v>
      </c>
      <c r="T231">
        <v>9</v>
      </c>
      <c r="U231" s="137">
        <f t="shared" si="23"/>
        <v>0</v>
      </c>
    </row>
    <row r="232" spans="1:21" x14ac:dyDescent="0.35">
      <c r="A232">
        <v>0.36172783601759284</v>
      </c>
      <c r="B232" s="50">
        <v>5.4164383561643836</v>
      </c>
      <c r="C232" s="185">
        <f t="shared" si="18"/>
        <v>0.73371380485719762</v>
      </c>
      <c r="D232">
        <v>0</v>
      </c>
      <c r="E232">
        <v>1.5185139398778875</v>
      </c>
      <c r="F232">
        <v>2.95</v>
      </c>
      <c r="G232" s="137">
        <f t="shared" si="19"/>
        <v>0.46982201597816303</v>
      </c>
      <c r="H232">
        <v>0</v>
      </c>
      <c r="I232">
        <v>-3.6212172654444715E-2</v>
      </c>
      <c r="J232">
        <v>1.255272505103306</v>
      </c>
      <c r="K232">
        <v>85</v>
      </c>
      <c r="L232" s="137">
        <f t="shared" si="20"/>
        <v>1.9294189257142926</v>
      </c>
      <c r="M232">
        <v>25.9</v>
      </c>
      <c r="N232" s="137">
        <f t="shared" si="21"/>
        <v>1.4132997640812519</v>
      </c>
      <c r="O232">
        <v>36.959146749272797</v>
      </c>
      <c r="P232" s="137">
        <f t="shared" si="22"/>
        <v>1.5677219364019672</v>
      </c>
      <c r="Q232">
        <v>3.0958500844125241</v>
      </c>
      <c r="R232">
        <v>3.5078178355445662</v>
      </c>
      <c r="S232">
        <v>7.6020599913279625</v>
      </c>
      <c r="T232">
        <v>5</v>
      </c>
      <c r="U232" s="137">
        <f t="shared" si="23"/>
        <v>0</v>
      </c>
    </row>
    <row r="233" spans="1:21" x14ac:dyDescent="0.35">
      <c r="A233">
        <v>-1</v>
      </c>
      <c r="B233" s="52">
        <v>3.473972602739726</v>
      </c>
      <c r="C233" s="185">
        <f t="shared" si="18"/>
        <v>0.54082638908923919</v>
      </c>
      <c r="D233">
        <v>0</v>
      </c>
      <c r="E233">
        <v>0.6020599913279624</v>
      </c>
      <c r="F233">
        <v>2.95</v>
      </c>
      <c r="G233" s="137">
        <f t="shared" si="19"/>
        <v>0.46982201597816303</v>
      </c>
      <c r="H233">
        <v>0</v>
      </c>
      <c r="I233">
        <v>3.342375548694973E-2</v>
      </c>
      <c r="J233">
        <v>1.255272505103306</v>
      </c>
      <c r="K233">
        <v>85</v>
      </c>
      <c r="L233" s="137">
        <f t="shared" si="20"/>
        <v>1.9294189257142926</v>
      </c>
      <c r="M233">
        <v>25.9</v>
      </c>
      <c r="N233" s="137">
        <f t="shared" si="21"/>
        <v>1.4132997640812519</v>
      </c>
      <c r="O233">
        <v>36.959146749272797</v>
      </c>
      <c r="P233" s="137">
        <f t="shared" si="22"/>
        <v>1.5677219364019672</v>
      </c>
      <c r="Q233">
        <v>3.0958500844125241</v>
      </c>
      <c r="R233">
        <v>3.5078178355445662</v>
      </c>
      <c r="S233">
        <v>7.8750612633917001</v>
      </c>
      <c r="T233">
        <v>3</v>
      </c>
      <c r="U233" s="137">
        <f t="shared" si="23"/>
        <v>0</v>
      </c>
    </row>
    <row r="234" spans="1:21" x14ac:dyDescent="0.35">
      <c r="A234">
        <v>7.4923097647764739E-2</v>
      </c>
      <c r="B234" s="50">
        <v>6.2876712328767121</v>
      </c>
      <c r="C234" s="185">
        <f t="shared" si="18"/>
        <v>0.79848982541680535</v>
      </c>
      <c r="D234">
        <v>0</v>
      </c>
      <c r="E234">
        <v>0.47712125471966244</v>
      </c>
      <c r="F234">
        <v>2.95</v>
      </c>
      <c r="G234" s="137">
        <f t="shared" si="19"/>
        <v>0.46982201597816303</v>
      </c>
      <c r="H234">
        <v>0</v>
      </c>
      <c r="I234">
        <v>2.1189299069938092E-2</v>
      </c>
      <c r="J234">
        <v>0</v>
      </c>
      <c r="K234">
        <v>85</v>
      </c>
      <c r="L234" s="137">
        <f t="shared" si="20"/>
        <v>1.9294189257142926</v>
      </c>
      <c r="M234">
        <v>24.4</v>
      </c>
      <c r="N234" s="137">
        <f t="shared" si="21"/>
        <v>1.3873898263387294</v>
      </c>
      <c r="O234">
        <v>37.256914365427299</v>
      </c>
      <c r="P234" s="137">
        <f t="shared" si="22"/>
        <v>1.5712068835833228</v>
      </c>
      <c r="Q234">
        <v>3.0958500844125241</v>
      </c>
      <c r="R234">
        <v>3.5078178355445662</v>
      </c>
      <c r="S234">
        <v>9.0342272607705514</v>
      </c>
      <c r="T234">
        <v>3</v>
      </c>
      <c r="U234" s="137">
        <f t="shared" si="23"/>
        <v>0</v>
      </c>
    </row>
    <row r="235" spans="1:21" x14ac:dyDescent="0.35">
      <c r="A235">
        <v>0.12677710745562698</v>
      </c>
      <c r="B235" s="52">
        <v>1.1095890410958904</v>
      </c>
      <c r="C235" s="185">
        <f t="shared" si="18"/>
        <v>4.5162158758193849E-2</v>
      </c>
      <c r="D235">
        <v>0</v>
      </c>
      <c r="E235">
        <v>1.3222192947339193</v>
      </c>
      <c r="F235">
        <v>2.95</v>
      </c>
      <c r="G235" s="137">
        <f t="shared" si="19"/>
        <v>0.46982201597816303</v>
      </c>
      <c r="H235">
        <v>0</v>
      </c>
      <c r="I235">
        <v>1.2837224705172217E-2</v>
      </c>
      <c r="J235">
        <v>0</v>
      </c>
      <c r="K235">
        <v>85</v>
      </c>
      <c r="L235" s="137">
        <f t="shared" si="20"/>
        <v>1.9294189257142926</v>
      </c>
      <c r="M235">
        <v>24.6</v>
      </c>
      <c r="N235" s="137">
        <f t="shared" si="21"/>
        <v>1.3909351071033791</v>
      </c>
      <c r="O235">
        <v>36.876470987978301</v>
      </c>
      <c r="P235" s="137">
        <f t="shared" si="22"/>
        <v>1.5667493531684615</v>
      </c>
      <c r="Q235">
        <v>3.0958500844125241</v>
      </c>
      <c r="R235">
        <v>3.5078178355445662</v>
      </c>
      <c r="S235">
        <v>8.4331295175804861</v>
      </c>
      <c r="T235">
        <v>3</v>
      </c>
      <c r="U235" s="137">
        <f t="shared" si="23"/>
        <v>0</v>
      </c>
    </row>
    <row r="236" spans="1:21" x14ac:dyDescent="0.35">
      <c r="A236">
        <v>0.12288312309161945</v>
      </c>
      <c r="B236" s="50">
        <v>3.8054794520547945</v>
      </c>
      <c r="C236" s="185">
        <f t="shared" si="18"/>
        <v>0.58040938128114083</v>
      </c>
      <c r="D236">
        <v>0</v>
      </c>
      <c r="E236">
        <v>1.146128035678238</v>
      </c>
      <c r="F236">
        <v>2.95</v>
      </c>
      <c r="G236" s="137">
        <f t="shared" si="19"/>
        <v>0.46982201597816303</v>
      </c>
      <c r="H236">
        <v>0</v>
      </c>
      <c r="I236">
        <v>0.13987908640123647</v>
      </c>
      <c r="J236">
        <v>1.1139433523068367</v>
      </c>
      <c r="K236">
        <v>90.5</v>
      </c>
      <c r="L236" s="137">
        <f t="shared" si="20"/>
        <v>1.9566485792052033</v>
      </c>
      <c r="M236">
        <v>25.7</v>
      </c>
      <c r="N236" s="137">
        <f t="shared" si="21"/>
        <v>1.4099331233312946</v>
      </c>
      <c r="O236">
        <v>39.010023979360902</v>
      </c>
      <c r="P236" s="137">
        <f t="shared" si="22"/>
        <v>1.5911762172715689</v>
      </c>
      <c r="Q236">
        <v>3.8138923126200468</v>
      </c>
      <c r="R236">
        <v>3.9458684738355512</v>
      </c>
      <c r="S236">
        <v>8.9032256828161707</v>
      </c>
      <c r="T236">
        <v>4</v>
      </c>
      <c r="U236" s="137">
        <f t="shared" si="23"/>
        <v>0</v>
      </c>
    </row>
    <row r="237" spans="1:21" x14ac:dyDescent="0.35">
      <c r="A237">
        <v>0.15737156123460164</v>
      </c>
      <c r="B237" s="52">
        <v>1.9232876712328768</v>
      </c>
      <c r="C237" s="185">
        <f t="shared" si="18"/>
        <v>0.28404424767333059</v>
      </c>
      <c r="D237">
        <v>0</v>
      </c>
      <c r="E237">
        <v>1.2787536009528289</v>
      </c>
      <c r="F237">
        <v>2.95</v>
      </c>
      <c r="G237" s="137">
        <f t="shared" si="19"/>
        <v>0.46982201597816303</v>
      </c>
      <c r="H237">
        <v>0</v>
      </c>
      <c r="I237">
        <v>0.11727129565576427</v>
      </c>
      <c r="J237">
        <v>1.1139433523068367</v>
      </c>
      <c r="K237">
        <v>90.5</v>
      </c>
      <c r="L237" s="137">
        <f t="shared" si="20"/>
        <v>1.9566485792052033</v>
      </c>
      <c r="M237">
        <v>25.7</v>
      </c>
      <c r="N237" s="137">
        <f t="shared" si="21"/>
        <v>1.4099331233312946</v>
      </c>
      <c r="O237">
        <v>39.010023979360902</v>
      </c>
      <c r="P237" s="137">
        <f t="shared" si="22"/>
        <v>1.5911762172715689</v>
      </c>
      <c r="Q237">
        <v>3.8138923126200468</v>
      </c>
      <c r="R237">
        <v>3.9458684738355512</v>
      </c>
      <c r="S237">
        <v>8.948975032822915</v>
      </c>
      <c r="T237">
        <v>9</v>
      </c>
      <c r="U237" s="137">
        <f t="shared" si="23"/>
        <v>0</v>
      </c>
    </row>
    <row r="238" spans="1:21" x14ac:dyDescent="0.35">
      <c r="A238">
        <v>0.56926189756940981</v>
      </c>
      <c r="B238" s="50">
        <v>4.8712328767123285</v>
      </c>
      <c r="C238" s="185">
        <f t="shared" si="18"/>
        <v>0.68763889217772012</v>
      </c>
      <c r="D238">
        <v>0</v>
      </c>
      <c r="E238">
        <v>1.4471580313422192</v>
      </c>
      <c r="F238">
        <v>2.95</v>
      </c>
      <c r="G238" s="137">
        <f t="shared" si="19"/>
        <v>0.46982201597816303</v>
      </c>
      <c r="H238">
        <v>0</v>
      </c>
      <c r="I238">
        <v>-4.5757490560675115E-2</v>
      </c>
      <c r="J238">
        <v>0.84509804001425681</v>
      </c>
      <c r="K238">
        <v>91.4</v>
      </c>
      <c r="L238" s="137">
        <f t="shared" si="20"/>
        <v>1.9609461957338314</v>
      </c>
      <c r="M238">
        <v>26.7</v>
      </c>
      <c r="N238" s="137">
        <f t="shared" si="21"/>
        <v>1.4265112613645752</v>
      </c>
      <c r="O238">
        <v>37.425715444240403</v>
      </c>
      <c r="P238" s="137">
        <f t="shared" si="22"/>
        <v>1.5731701112332821</v>
      </c>
      <c r="Q238">
        <v>3.8138923126200468</v>
      </c>
      <c r="R238">
        <v>3.9458684738355512</v>
      </c>
      <c r="S238">
        <v>8.5814945422908995</v>
      </c>
      <c r="T238">
        <v>9</v>
      </c>
      <c r="U238" s="137">
        <f t="shared" si="23"/>
        <v>0</v>
      </c>
    </row>
    <row r="239" spans="1:21" x14ac:dyDescent="0.35">
      <c r="A239">
        <v>0.90611158241035739</v>
      </c>
      <c r="B239" s="52">
        <v>2.7342465753424658</v>
      </c>
      <c r="C239" s="185">
        <f t="shared" si="18"/>
        <v>0.43683767683089642</v>
      </c>
      <c r="D239">
        <v>0</v>
      </c>
      <c r="E239">
        <v>2.4857214264815801</v>
      </c>
      <c r="F239">
        <v>2.95</v>
      </c>
      <c r="G239" s="137">
        <f t="shared" si="19"/>
        <v>0.46982201597816303</v>
      </c>
      <c r="H239">
        <v>0</v>
      </c>
      <c r="I239">
        <v>2.9383777685209667E-2</v>
      </c>
      <c r="J239">
        <v>0.47712125471966244</v>
      </c>
      <c r="K239">
        <v>85</v>
      </c>
      <c r="L239" s="137">
        <f t="shared" si="20"/>
        <v>1.9294189257142926</v>
      </c>
      <c r="M239">
        <v>24.9</v>
      </c>
      <c r="N239" s="137">
        <f t="shared" si="21"/>
        <v>1.3961993470957363</v>
      </c>
      <c r="O239">
        <v>36.710134890601303</v>
      </c>
      <c r="P239" s="137">
        <f t="shared" si="22"/>
        <v>1.564785980312654</v>
      </c>
      <c r="Q239">
        <v>3.4988083133366845</v>
      </c>
      <c r="R239">
        <v>3.6287469025639267</v>
      </c>
      <c r="S239">
        <v>8.4235243886187163</v>
      </c>
      <c r="T239">
        <v>5</v>
      </c>
      <c r="U239" s="137">
        <f t="shared" si="23"/>
        <v>0</v>
      </c>
    </row>
    <row r="240" spans="1:21" x14ac:dyDescent="0.35">
      <c r="A240">
        <v>0.23942674605560585</v>
      </c>
      <c r="B240" s="50">
        <v>5.3780821917808215</v>
      </c>
      <c r="C240" s="185">
        <f t="shared" si="18"/>
        <v>0.73062743514353146</v>
      </c>
      <c r="D240">
        <v>0</v>
      </c>
      <c r="E240">
        <v>1.6232492903979006</v>
      </c>
      <c r="F240">
        <v>2.95</v>
      </c>
      <c r="G240" s="137">
        <f t="shared" si="19"/>
        <v>0.46982201597816303</v>
      </c>
      <c r="H240">
        <v>0</v>
      </c>
      <c r="I240">
        <v>0.26481782300953643</v>
      </c>
      <c r="J240">
        <v>1.0413926851582251</v>
      </c>
      <c r="K240">
        <v>91.3</v>
      </c>
      <c r="L240" s="137">
        <f t="shared" si="20"/>
        <v>1.9604707775342989</v>
      </c>
      <c r="M240">
        <v>23.5</v>
      </c>
      <c r="N240" s="137">
        <f t="shared" si="21"/>
        <v>1.3710678622717363</v>
      </c>
      <c r="O240">
        <v>43.1672842383418</v>
      </c>
      <c r="P240" s="137">
        <f t="shared" si="22"/>
        <v>1.6351547269652249</v>
      </c>
      <c r="Q240">
        <v>3.5168755324519045</v>
      </c>
      <c r="R240">
        <v>3.8089018284940463</v>
      </c>
      <c r="S240">
        <v>9.4765765975791929</v>
      </c>
      <c r="T240">
        <v>9</v>
      </c>
      <c r="U240" s="137">
        <f t="shared" si="23"/>
        <v>0</v>
      </c>
    </row>
    <row r="241" spans="1:21" x14ac:dyDescent="0.35">
      <c r="A241">
        <v>0</v>
      </c>
      <c r="B241" s="52">
        <v>7.536986301369863</v>
      </c>
      <c r="C241" s="185">
        <f t="shared" si="18"/>
        <v>0.87719772593320877</v>
      </c>
      <c r="D241">
        <v>0</v>
      </c>
      <c r="E241">
        <v>0.95424250943932487</v>
      </c>
      <c r="F241">
        <v>2.95</v>
      </c>
      <c r="G241" s="137">
        <f t="shared" si="19"/>
        <v>0.46982201597816303</v>
      </c>
      <c r="H241">
        <v>0</v>
      </c>
      <c r="I241">
        <v>0.14301480025409513</v>
      </c>
      <c r="J241">
        <v>0.90308998699194354</v>
      </c>
      <c r="K241">
        <v>91.4</v>
      </c>
      <c r="L241" s="137">
        <f t="shared" si="20"/>
        <v>1.9609461957338314</v>
      </c>
      <c r="M241">
        <v>26.7</v>
      </c>
      <c r="N241" s="137">
        <f t="shared" si="21"/>
        <v>1.4265112613645752</v>
      </c>
      <c r="O241">
        <v>37.425715444240403</v>
      </c>
      <c r="P241" s="137">
        <f t="shared" si="22"/>
        <v>1.5731701112332821</v>
      </c>
      <c r="Q241">
        <v>3.5168755324519045</v>
      </c>
      <c r="R241">
        <v>3.8089018284940463</v>
      </c>
      <c r="S241">
        <v>8.3010299956639813</v>
      </c>
      <c r="T241">
        <v>4</v>
      </c>
      <c r="U241" s="137">
        <f t="shared" si="23"/>
        <v>0</v>
      </c>
    </row>
    <row r="242" spans="1:21" x14ac:dyDescent="0.35">
      <c r="A242">
        <v>-5.9271633089329853E-2</v>
      </c>
      <c r="B242" s="50">
        <v>3.2958904109589042</v>
      </c>
      <c r="C242" s="185">
        <f t="shared" si="18"/>
        <v>0.51797276288337002</v>
      </c>
      <c r="D242">
        <v>0</v>
      </c>
      <c r="E242">
        <v>1.3010299956639813</v>
      </c>
      <c r="F242">
        <v>2.95</v>
      </c>
      <c r="G242" s="137">
        <f t="shared" si="19"/>
        <v>0.46982201597816303</v>
      </c>
      <c r="H242">
        <v>0</v>
      </c>
      <c r="I242">
        <v>0.11058971029924898</v>
      </c>
      <c r="J242">
        <v>0.69897000433601886</v>
      </c>
      <c r="K242">
        <v>85</v>
      </c>
      <c r="L242" s="137">
        <f t="shared" si="20"/>
        <v>1.9294189257142926</v>
      </c>
      <c r="M242">
        <v>24.6</v>
      </c>
      <c r="N242" s="137">
        <f t="shared" si="21"/>
        <v>1.3909351071033791</v>
      </c>
      <c r="O242">
        <v>36.876470987978301</v>
      </c>
      <c r="P242" s="137">
        <f t="shared" si="22"/>
        <v>1.5667493531684615</v>
      </c>
      <c r="Q242">
        <v>3.5168755324519045</v>
      </c>
      <c r="R242">
        <v>3.8089018284940463</v>
      </c>
      <c r="S242">
        <v>8.3710678622717367</v>
      </c>
      <c r="T242">
        <v>9</v>
      </c>
      <c r="U242" s="137">
        <f t="shared" si="23"/>
        <v>0</v>
      </c>
    </row>
    <row r="243" spans="1:21" x14ac:dyDescent="0.35">
      <c r="A243">
        <v>-0.11852057700766193</v>
      </c>
      <c r="B243" s="52">
        <v>7.9972602739726026</v>
      </c>
      <c r="C243" s="185">
        <f t="shared" si="18"/>
        <v>0.90294123053153963</v>
      </c>
      <c r="D243">
        <v>0</v>
      </c>
      <c r="E243">
        <v>1.414973347970818</v>
      </c>
      <c r="F243">
        <v>2.95</v>
      </c>
      <c r="G243" s="137">
        <f t="shared" si="19"/>
        <v>0.46982201597816303</v>
      </c>
      <c r="H243">
        <v>0</v>
      </c>
      <c r="I243">
        <v>0.18469143081759881</v>
      </c>
      <c r="J243">
        <v>0.84509804001425681</v>
      </c>
      <c r="K243">
        <v>93.2</v>
      </c>
      <c r="L243" s="137">
        <f t="shared" si="20"/>
        <v>1.9694159123539814</v>
      </c>
      <c r="M243">
        <v>26.7</v>
      </c>
      <c r="N243" s="137">
        <f t="shared" si="21"/>
        <v>1.4265112613645752</v>
      </c>
      <c r="O243">
        <v>36.669158714517401</v>
      </c>
      <c r="P243" s="137">
        <f t="shared" si="22"/>
        <v>1.5643009462345601</v>
      </c>
      <c r="Q243">
        <v>3.5168755324519045</v>
      </c>
      <c r="R243">
        <v>3.8089018284940463</v>
      </c>
      <c r="S243">
        <v>9.0382822901072792</v>
      </c>
      <c r="T243">
        <v>9</v>
      </c>
      <c r="U243" s="137">
        <f t="shared" si="23"/>
        <v>0</v>
      </c>
    </row>
    <row r="244" spans="1:21" x14ac:dyDescent="0.35">
      <c r="A244">
        <v>0.41472449916334447</v>
      </c>
      <c r="B244" s="50">
        <v>10.846575342465753</v>
      </c>
      <c r="C244" s="185">
        <f t="shared" si="18"/>
        <v>1.0352926372957298</v>
      </c>
      <c r="D244">
        <v>0</v>
      </c>
      <c r="E244">
        <v>1.3010299956639813</v>
      </c>
      <c r="F244">
        <v>2.95</v>
      </c>
      <c r="G244" s="137">
        <f t="shared" si="19"/>
        <v>0.46982201597816303</v>
      </c>
      <c r="H244">
        <v>0</v>
      </c>
      <c r="I244">
        <v>-0.11918640771920865</v>
      </c>
      <c r="J244">
        <v>1.3010299956639813</v>
      </c>
      <c r="K244">
        <v>85</v>
      </c>
      <c r="L244" s="137">
        <f t="shared" si="20"/>
        <v>1.9294189257142926</v>
      </c>
      <c r="M244">
        <v>27.8</v>
      </c>
      <c r="N244" s="137">
        <f t="shared" si="21"/>
        <v>1.4440447959180762</v>
      </c>
      <c r="O244">
        <v>34.656907836978597</v>
      </c>
      <c r="P244" s="137">
        <f t="shared" si="22"/>
        <v>1.5397898114291337</v>
      </c>
      <c r="Q244">
        <v>3.3879249110011078</v>
      </c>
      <c r="R244">
        <v>3.9424034595709814</v>
      </c>
      <c r="S244">
        <v>9.4235735197327362</v>
      </c>
      <c r="T244">
        <v>4</v>
      </c>
      <c r="U244" s="137">
        <f t="shared" si="23"/>
        <v>0</v>
      </c>
    </row>
    <row r="245" spans="1:21" x14ac:dyDescent="0.35">
      <c r="A245">
        <v>0.34233982334284546</v>
      </c>
      <c r="B245" s="52">
        <v>5.7753424657534245</v>
      </c>
      <c r="C245" s="185">
        <f t="shared" si="18"/>
        <v>0.76157774208403428</v>
      </c>
      <c r="D245">
        <v>0</v>
      </c>
      <c r="E245">
        <v>2.1875207208364631</v>
      </c>
      <c r="F245">
        <v>2.95</v>
      </c>
      <c r="G245" s="137">
        <f t="shared" si="19"/>
        <v>0.46982201597816303</v>
      </c>
      <c r="H245">
        <v>0</v>
      </c>
      <c r="I245">
        <v>2.9383777685209667E-2</v>
      </c>
      <c r="J245">
        <v>1.4471580313422192</v>
      </c>
      <c r="K245">
        <v>91.4</v>
      </c>
      <c r="L245" s="137">
        <f t="shared" si="20"/>
        <v>1.9609461957338314</v>
      </c>
      <c r="M245">
        <v>26.7</v>
      </c>
      <c r="N245" s="137">
        <f t="shared" si="21"/>
        <v>1.4265112613645752</v>
      </c>
      <c r="O245">
        <v>37.425715444240403</v>
      </c>
      <c r="P245" s="137">
        <f t="shared" si="22"/>
        <v>1.5731701112332821</v>
      </c>
      <c r="Q245">
        <v>3.3879249110011078</v>
      </c>
      <c r="R245">
        <v>3.9424034595709814</v>
      </c>
      <c r="S245">
        <v>9.5971794292757728</v>
      </c>
      <c r="T245">
        <v>2</v>
      </c>
      <c r="U245" s="137">
        <f t="shared" si="23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1"/>
  <sheetViews>
    <sheetView workbookViewId="0">
      <selection activeCell="A703" sqref="A703"/>
    </sheetView>
  </sheetViews>
  <sheetFormatPr defaultRowHeight="14.5" x14ac:dyDescent="0.35"/>
  <cols>
    <col min="8" max="8" width="10.54296875" customWidth="1"/>
  </cols>
  <sheetData>
    <row r="1" spans="1:9" x14ac:dyDescent="0.35">
      <c r="A1" t="s">
        <v>1333</v>
      </c>
      <c r="C1" t="s">
        <v>1311</v>
      </c>
      <c r="D1" t="s">
        <v>24</v>
      </c>
      <c r="E1" t="s">
        <v>1315</v>
      </c>
      <c r="F1" t="s">
        <v>1317</v>
      </c>
      <c r="G1" t="s">
        <v>1314</v>
      </c>
      <c r="H1" t="s">
        <v>1370</v>
      </c>
      <c r="I1" t="s">
        <v>1316</v>
      </c>
    </row>
    <row r="2" spans="1:9" x14ac:dyDescent="0.35">
      <c r="A2">
        <v>0</v>
      </c>
      <c r="C2">
        <v>-0.69897000433601886</v>
      </c>
      <c r="D2">
        <v>0</v>
      </c>
      <c r="E2">
        <v>0</v>
      </c>
      <c r="F2" s="2">
        <v>1100000000</v>
      </c>
      <c r="G2" s="45">
        <v>2.95</v>
      </c>
      <c r="H2">
        <v>3.3647319918335836</v>
      </c>
      <c r="I2">
        <v>0.23044892137827391</v>
      </c>
    </row>
    <row r="3" spans="1:9" x14ac:dyDescent="0.35">
      <c r="A3">
        <v>0</v>
      </c>
      <c r="C3">
        <v>1.182622126214639</v>
      </c>
      <c r="D3">
        <v>0</v>
      </c>
      <c r="E3">
        <v>0</v>
      </c>
      <c r="F3" s="2">
        <v>55000000</v>
      </c>
      <c r="G3" s="45">
        <v>2.95</v>
      </c>
      <c r="H3">
        <v>3.3487219865577531</v>
      </c>
      <c r="I3">
        <v>8.6359830674748214E-2</v>
      </c>
    </row>
    <row r="4" spans="1:9" x14ac:dyDescent="0.35">
      <c r="A4">
        <v>0</v>
      </c>
      <c r="C4">
        <v>0.42919770240247967</v>
      </c>
      <c r="D4">
        <v>0</v>
      </c>
      <c r="E4">
        <v>0</v>
      </c>
      <c r="F4" s="2">
        <v>837500000</v>
      </c>
      <c r="G4" s="45">
        <v>2.95</v>
      </c>
      <c r="H4">
        <v>3.3704715474841587</v>
      </c>
      <c r="I4">
        <v>-0.11918640771920865</v>
      </c>
    </row>
    <row r="5" spans="1:9" x14ac:dyDescent="0.35">
      <c r="A5">
        <v>0</v>
      </c>
      <c r="C5">
        <v>-0.43880684783884277</v>
      </c>
      <c r="D5">
        <v>0</v>
      </c>
      <c r="E5">
        <v>0</v>
      </c>
      <c r="F5" s="2">
        <v>52000000</v>
      </c>
      <c r="G5" s="45">
        <v>3.29</v>
      </c>
      <c r="H5">
        <v>3.2860283894181141</v>
      </c>
      <c r="I5">
        <v>0.17897694729316943</v>
      </c>
    </row>
    <row r="6" spans="1:9" x14ac:dyDescent="0.35">
      <c r="A6">
        <v>0</v>
      </c>
      <c r="C6">
        <v>-3.3241325847105839E-2</v>
      </c>
      <c r="D6">
        <v>3.1566248585544785</v>
      </c>
      <c r="E6">
        <v>2.8438554226231609</v>
      </c>
      <c r="F6" s="2">
        <v>125670000</v>
      </c>
      <c r="G6" s="45">
        <v>3.03</v>
      </c>
      <c r="H6">
        <v>3.277819633965128</v>
      </c>
      <c r="I6">
        <v>-1.322826573375516E-2</v>
      </c>
    </row>
    <row r="7" spans="1:9" x14ac:dyDescent="0.35">
      <c r="A7">
        <v>0</v>
      </c>
      <c r="C7">
        <v>-0.22590584449276507</v>
      </c>
      <c r="D7">
        <v>0</v>
      </c>
      <c r="E7">
        <v>0</v>
      </c>
      <c r="F7" s="2">
        <v>825000000</v>
      </c>
      <c r="G7" s="45">
        <v>3.29</v>
      </c>
      <c r="H7">
        <v>3.1817251205543564</v>
      </c>
      <c r="I7">
        <v>-0.10790539730951958</v>
      </c>
    </row>
    <row r="8" spans="1:9" x14ac:dyDescent="0.35">
      <c r="A8">
        <v>0</v>
      </c>
      <c r="C8">
        <v>1.0009790954705312E-2</v>
      </c>
      <c r="D8">
        <v>0</v>
      </c>
      <c r="E8">
        <v>0</v>
      </c>
      <c r="F8" s="2">
        <v>772000000</v>
      </c>
      <c r="G8" s="45">
        <v>2.95</v>
      </c>
      <c r="H8">
        <v>3.3879249110011078</v>
      </c>
      <c r="I8">
        <v>-8.7739243075051505E-3</v>
      </c>
    </row>
    <row r="9" spans="1:9" x14ac:dyDescent="0.35">
      <c r="A9">
        <v>0</v>
      </c>
      <c r="C9">
        <v>-0.14804489260047846</v>
      </c>
      <c r="D9">
        <v>0</v>
      </c>
      <c r="E9">
        <v>0</v>
      </c>
      <c r="F9" s="2">
        <v>19000000</v>
      </c>
      <c r="G9" s="45">
        <v>3.29</v>
      </c>
      <c r="H9">
        <v>3.3345874007848226</v>
      </c>
      <c r="I9">
        <v>-7.0581074285707285E-2</v>
      </c>
    </row>
    <row r="10" spans="1:9" x14ac:dyDescent="0.35">
      <c r="A10">
        <v>0</v>
      </c>
      <c r="C10">
        <v>0.63468209599159786</v>
      </c>
      <c r="D10">
        <v>0</v>
      </c>
      <c r="E10">
        <v>0</v>
      </c>
      <c r="F10" s="2">
        <v>10000000</v>
      </c>
      <c r="G10" s="45">
        <v>3.29</v>
      </c>
      <c r="H10">
        <v>3.421015158567184</v>
      </c>
      <c r="I10">
        <v>-6.5501548756432285E-2</v>
      </c>
    </row>
    <row r="11" spans="1:9" x14ac:dyDescent="0.35">
      <c r="A11">
        <v>0</v>
      </c>
      <c r="C11">
        <v>-5.8286466278308156E-2</v>
      </c>
      <c r="D11">
        <v>2.9629325585580042</v>
      </c>
      <c r="E11">
        <v>2.9323046139517812</v>
      </c>
      <c r="F11" s="2">
        <v>240650000</v>
      </c>
      <c r="G11" s="45">
        <v>2.62</v>
      </c>
      <c r="H11">
        <v>3.2699236952309465</v>
      </c>
      <c r="I11">
        <v>-4.3648054024500883E-3</v>
      </c>
    </row>
    <row r="12" spans="1:9" x14ac:dyDescent="0.35">
      <c r="A12">
        <v>0</v>
      </c>
      <c r="C12">
        <v>0.10790099091053558</v>
      </c>
      <c r="D12">
        <v>0</v>
      </c>
      <c r="E12">
        <v>0</v>
      </c>
      <c r="F12" s="2">
        <v>350000000</v>
      </c>
      <c r="G12" s="45">
        <v>2.95</v>
      </c>
      <c r="H12">
        <v>3.388536521693045</v>
      </c>
      <c r="I12">
        <v>0.14921911265537988</v>
      </c>
    </row>
    <row r="13" spans="1:9" x14ac:dyDescent="0.35">
      <c r="A13">
        <v>0</v>
      </c>
      <c r="C13">
        <v>-0.20333242963631826</v>
      </c>
      <c r="D13">
        <v>0</v>
      </c>
      <c r="E13">
        <v>0</v>
      </c>
      <c r="F13" s="2">
        <v>49000000</v>
      </c>
      <c r="G13" s="45">
        <v>3.29</v>
      </c>
      <c r="H13">
        <v>3.4636187843160156</v>
      </c>
      <c r="I13">
        <v>6.8185861746161619E-2</v>
      </c>
    </row>
    <row r="14" spans="1:9" x14ac:dyDescent="0.35">
      <c r="A14">
        <v>0</v>
      </c>
      <c r="C14">
        <v>-0.12160259330391791</v>
      </c>
      <c r="D14">
        <v>0</v>
      </c>
      <c r="E14">
        <v>0</v>
      </c>
      <c r="F14" s="2">
        <v>274920000</v>
      </c>
      <c r="G14" s="45">
        <v>3.59</v>
      </c>
      <c r="H14">
        <v>3.212261842580872</v>
      </c>
      <c r="I14">
        <v>6.069784035361165E-2</v>
      </c>
    </row>
    <row r="15" spans="1:9" x14ac:dyDescent="0.35">
      <c r="A15">
        <v>0</v>
      </c>
      <c r="C15">
        <v>1.3528413607722642</v>
      </c>
      <c r="D15">
        <v>0</v>
      </c>
      <c r="E15">
        <v>0</v>
      </c>
      <c r="F15" s="2">
        <v>43180000</v>
      </c>
      <c r="G15" s="45">
        <v>3.42</v>
      </c>
      <c r="H15">
        <v>3.3222069919483515</v>
      </c>
      <c r="I15">
        <v>0.11727129565576427</v>
      </c>
    </row>
    <row r="16" spans="1:9" x14ac:dyDescent="0.35">
      <c r="A16">
        <v>0</v>
      </c>
      <c r="C16">
        <v>-0.13136590451088112</v>
      </c>
      <c r="D16">
        <v>0</v>
      </c>
      <c r="E16">
        <v>0</v>
      </c>
      <c r="F16" s="2">
        <v>417060000</v>
      </c>
      <c r="G16" s="45">
        <v>2.95</v>
      </c>
      <c r="H16">
        <v>3.6224784109972026</v>
      </c>
      <c r="I16">
        <v>8.6359830674748214E-2</v>
      </c>
    </row>
    <row r="17" spans="1:9" x14ac:dyDescent="0.35">
      <c r="A17">
        <v>0</v>
      </c>
      <c r="C17">
        <v>-0.17571503351222853</v>
      </c>
      <c r="D17">
        <v>0</v>
      </c>
      <c r="E17">
        <v>0</v>
      </c>
      <c r="F17" s="2">
        <v>2250000000</v>
      </c>
      <c r="G17" s="45">
        <v>2.95</v>
      </c>
      <c r="H17">
        <v>3.1814248062191788</v>
      </c>
      <c r="I17">
        <v>0.18752072083646307</v>
      </c>
    </row>
    <row r="18" spans="1:9" x14ac:dyDescent="0.35">
      <c r="A18">
        <v>0</v>
      </c>
      <c r="C18">
        <v>-9.7812748955715761E-2</v>
      </c>
      <c r="D18">
        <v>0</v>
      </c>
      <c r="E18">
        <v>0</v>
      </c>
      <c r="F18" s="2">
        <v>1271390000</v>
      </c>
      <c r="G18" s="45">
        <v>2.95</v>
      </c>
      <c r="H18">
        <v>3.0958500844125241</v>
      </c>
      <c r="I18">
        <v>2.9383777685209667E-2</v>
      </c>
    </row>
    <row r="19" spans="1:9" x14ac:dyDescent="0.35">
      <c r="A19">
        <v>0</v>
      </c>
      <c r="C19">
        <v>4.0407472475622833E-2</v>
      </c>
      <c r="D19">
        <v>0</v>
      </c>
      <c r="E19">
        <v>0</v>
      </c>
      <c r="F19" s="2">
        <v>1640080000</v>
      </c>
      <c r="G19" s="45">
        <v>2.95</v>
      </c>
      <c r="H19">
        <v>3.172065461283164</v>
      </c>
      <c r="I19">
        <v>8.2785370316450071E-2</v>
      </c>
    </row>
    <row r="20" spans="1:9" x14ac:dyDescent="0.35">
      <c r="A20">
        <v>0</v>
      </c>
      <c r="C20">
        <v>0.19431047720533817</v>
      </c>
      <c r="D20">
        <v>0</v>
      </c>
      <c r="E20">
        <v>0</v>
      </c>
      <c r="F20" s="2">
        <v>141600000</v>
      </c>
      <c r="G20" s="45">
        <v>2.95</v>
      </c>
      <c r="H20">
        <v>3.4237087385413827</v>
      </c>
      <c r="I20">
        <v>-4.5757490560675115E-2</v>
      </c>
    </row>
    <row r="21" spans="1:9" x14ac:dyDescent="0.35">
      <c r="A21">
        <v>1</v>
      </c>
      <c r="C21">
        <v>-2</v>
      </c>
      <c r="D21">
        <v>0</v>
      </c>
      <c r="E21">
        <v>0</v>
      </c>
      <c r="F21" s="2">
        <v>409000000</v>
      </c>
      <c r="G21" s="45">
        <v>2.95</v>
      </c>
      <c r="H21">
        <v>3.2209862534849001</v>
      </c>
      <c r="I21">
        <v>-9.6910013008056392E-2</v>
      </c>
    </row>
    <row r="22" spans="1:9" x14ac:dyDescent="0.35">
      <c r="A22">
        <v>0</v>
      </c>
      <c r="C22">
        <v>0.13917923677347679</v>
      </c>
      <c r="D22">
        <v>0</v>
      </c>
      <c r="E22">
        <v>0</v>
      </c>
      <c r="F22" s="2">
        <v>98100000</v>
      </c>
      <c r="G22" s="45">
        <v>2.95</v>
      </c>
      <c r="H22">
        <v>3.4471580313422194</v>
      </c>
      <c r="I22">
        <v>-8.092190762392612E-2</v>
      </c>
    </row>
    <row r="23" spans="1:9" x14ac:dyDescent="0.35">
      <c r="A23">
        <v>0</v>
      </c>
      <c r="C23">
        <v>0.15195408976985428</v>
      </c>
      <c r="D23">
        <v>0</v>
      </c>
      <c r="E23">
        <v>0</v>
      </c>
      <c r="F23" s="2">
        <v>2607640000</v>
      </c>
      <c r="G23" s="45">
        <v>2.95</v>
      </c>
      <c r="H23">
        <v>3.3240201037352737</v>
      </c>
      <c r="I23">
        <v>-2.6872146400301365E-2</v>
      </c>
    </row>
    <row r="24" spans="1:9" x14ac:dyDescent="0.35">
      <c r="A24">
        <v>0</v>
      </c>
      <c r="C24">
        <v>0.48930931693725965</v>
      </c>
      <c r="D24">
        <v>2.9629325585580042</v>
      </c>
      <c r="E24">
        <v>2.9323046139517812</v>
      </c>
      <c r="F24" s="2">
        <v>1490900000</v>
      </c>
      <c r="G24" s="45">
        <v>2.62</v>
      </c>
      <c r="H24">
        <v>3.3070943565685456</v>
      </c>
      <c r="I24">
        <v>0.2576785748691845</v>
      </c>
    </row>
    <row r="25" spans="1:9" x14ac:dyDescent="0.35">
      <c r="A25">
        <v>1</v>
      </c>
      <c r="C25">
        <v>-2</v>
      </c>
      <c r="D25">
        <v>0</v>
      </c>
      <c r="E25">
        <v>0</v>
      </c>
      <c r="F25" s="2">
        <v>1570750000</v>
      </c>
      <c r="G25" s="45">
        <v>3.29</v>
      </c>
      <c r="H25">
        <v>3.1944263938906516</v>
      </c>
      <c r="I25">
        <v>2.5305865264770262E-2</v>
      </c>
    </row>
    <row r="26" spans="1:9" x14ac:dyDescent="0.35">
      <c r="A26">
        <v>0</v>
      </c>
      <c r="C26">
        <v>0.33674583275077291</v>
      </c>
      <c r="D26">
        <v>0</v>
      </c>
      <c r="E26">
        <v>0</v>
      </c>
      <c r="F26" s="2">
        <v>222300000</v>
      </c>
      <c r="G26" s="45">
        <v>3.29</v>
      </c>
      <c r="H26">
        <v>3.2699236952309465</v>
      </c>
      <c r="I26">
        <v>0.40483371661993806</v>
      </c>
    </row>
    <row r="27" spans="1:9" x14ac:dyDescent="0.35">
      <c r="A27">
        <v>0</v>
      </c>
      <c r="C27">
        <v>0.38247249775835224</v>
      </c>
      <c r="D27">
        <v>0</v>
      </c>
      <c r="E27">
        <v>0</v>
      </c>
      <c r="F27" s="2">
        <v>185000000</v>
      </c>
      <c r="G27" s="45">
        <v>3.29</v>
      </c>
      <c r="H27">
        <v>3.1872550351599198</v>
      </c>
      <c r="I27">
        <v>0.15836249209524964</v>
      </c>
    </row>
    <row r="28" spans="1:9" x14ac:dyDescent="0.35">
      <c r="A28">
        <v>0</v>
      </c>
      <c r="C28">
        <v>0.31114351417323516</v>
      </c>
      <c r="D28">
        <v>0</v>
      </c>
      <c r="E28">
        <v>0</v>
      </c>
      <c r="F28" s="2">
        <v>537340000</v>
      </c>
      <c r="G28" s="45">
        <v>2.95</v>
      </c>
      <c r="H28">
        <v>3.3240201037352737</v>
      </c>
      <c r="I28">
        <v>0.2253092817258629</v>
      </c>
    </row>
    <row r="29" spans="1:9" x14ac:dyDescent="0.35">
      <c r="A29">
        <v>0</v>
      </c>
      <c r="C29">
        <v>0.18912089168842117</v>
      </c>
      <c r="D29">
        <v>0</v>
      </c>
      <c r="E29">
        <v>0</v>
      </c>
      <c r="F29" s="2">
        <v>517570000</v>
      </c>
      <c r="G29" s="45">
        <v>2.95</v>
      </c>
      <c r="H29">
        <v>3.3445660262306984</v>
      </c>
      <c r="I29">
        <v>0.31175386105575426</v>
      </c>
    </row>
    <row r="30" spans="1:9" x14ac:dyDescent="0.35">
      <c r="A30">
        <v>0</v>
      </c>
      <c r="C30">
        <v>0.40572718258820278</v>
      </c>
      <c r="D30">
        <v>0</v>
      </c>
      <c r="E30">
        <v>0</v>
      </c>
      <c r="F30" s="2">
        <v>942940000</v>
      </c>
      <c r="G30" s="45">
        <v>2.95</v>
      </c>
      <c r="H30">
        <v>3.1438417908875378</v>
      </c>
      <c r="I30">
        <v>0.2253092817258629</v>
      </c>
    </row>
    <row r="31" spans="1:9" x14ac:dyDescent="0.35">
      <c r="A31">
        <v>0</v>
      </c>
      <c r="C31">
        <v>0.43495373531147641</v>
      </c>
      <c r="D31">
        <v>0</v>
      </c>
      <c r="E31">
        <v>0</v>
      </c>
      <c r="F31" s="2">
        <v>1028500000</v>
      </c>
      <c r="G31" s="45">
        <v>2.95</v>
      </c>
      <c r="H31">
        <v>3.698064657996265</v>
      </c>
      <c r="I31">
        <v>0.20411998265592479</v>
      </c>
    </row>
    <row r="32" spans="1:9" x14ac:dyDescent="0.35">
      <c r="A32">
        <v>0</v>
      </c>
      <c r="C32">
        <v>0.25603820614089967</v>
      </c>
      <c r="D32">
        <v>0</v>
      </c>
      <c r="E32">
        <v>0</v>
      </c>
      <c r="F32" s="2">
        <v>1441900000</v>
      </c>
      <c r="G32" s="45">
        <v>2.95</v>
      </c>
      <c r="H32">
        <v>3.2699236952309465</v>
      </c>
      <c r="I32">
        <v>0.1553360374650618</v>
      </c>
    </row>
    <row r="33" spans="1:9" x14ac:dyDescent="0.35">
      <c r="A33">
        <v>0</v>
      </c>
      <c r="C33">
        <v>0.44451170243689808</v>
      </c>
      <c r="D33">
        <v>0</v>
      </c>
      <c r="E33">
        <v>0</v>
      </c>
      <c r="F33" s="2">
        <v>628820000</v>
      </c>
      <c r="G33" s="45">
        <v>2.95</v>
      </c>
      <c r="H33">
        <v>4</v>
      </c>
      <c r="I33">
        <v>0.29003461136251801</v>
      </c>
    </row>
    <row r="34" spans="1:9" x14ac:dyDescent="0.35">
      <c r="A34">
        <v>0</v>
      </c>
      <c r="C34">
        <v>0.48544945131148998</v>
      </c>
      <c r="D34">
        <v>0</v>
      </c>
      <c r="E34">
        <v>0</v>
      </c>
      <c r="F34" s="2">
        <v>1553260000</v>
      </c>
      <c r="G34" s="45">
        <v>2.95</v>
      </c>
      <c r="H34">
        <v>3.8138923126200468</v>
      </c>
      <c r="I34">
        <v>0.11058971029924898</v>
      </c>
    </row>
    <row r="35" spans="1:9" x14ac:dyDescent="0.35">
      <c r="A35">
        <v>0</v>
      </c>
      <c r="C35">
        <v>0.50696632713727663</v>
      </c>
      <c r="D35">
        <v>2.9629325585580042</v>
      </c>
      <c r="E35">
        <v>2.9323046139517812</v>
      </c>
      <c r="F35">
        <v>992590000</v>
      </c>
      <c r="G35" s="45">
        <v>2.62</v>
      </c>
      <c r="H35">
        <v>3.2224645332922388</v>
      </c>
      <c r="I35">
        <v>0.16435285578443709</v>
      </c>
    </row>
    <row r="36" spans="1:9" x14ac:dyDescent="0.35">
      <c r="A36">
        <v>0</v>
      </c>
      <c r="C36">
        <v>0.47037020438358634</v>
      </c>
      <c r="D36">
        <v>2.9808892467722719</v>
      </c>
      <c r="E36">
        <v>2.7343997425205671</v>
      </c>
      <c r="F36">
        <v>847560000</v>
      </c>
      <c r="G36" s="45">
        <v>3.13</v>
      </c>
      <c r="H36">
        <v>3.2224645332922388</v>
      </c>
      <c r="I36">
        <v>0.18469143081759881</v>
      </c>
    </row>
    <row r="37" spans="1:9" x14ac:dyDescent="0.35">
      <c r="A37">
        <v>0</v>
      </c>
      <c r="C37">
        <v>7.789513949433749E-2</v>
      </c>
      <c r="D37">
        <v>2.6903467274930635</v>
      </c>
      <c r="E37">
        <v>2.7508939203821252</v>
      </c>
      <c r="F37">
        <v>3100000000</v>
      </c>
      <c r="G37" s="45">
        <v>2.59</v>
      </c>
      <c r="H37">
        <v>3.2224645332922388</v>
      </c>
      <c r="I37">
        <v>0.20682587603184968</v>
      </c>
    </row>
    <row r="38" spans="1:9" x14ac:dyDescent="0.35">
      <c r="A38">
        <v>0</v>
      </c>
      <c r="C38">
        <v>0.25661085587556831</v>
      </c>
      <c r="D38">
        <v>0</v>
      </c>
      <c r="E38">
        <v>0</v>
      </c>
      <c r="F38">
        <v>72000000</v>
      </c>
      <c r="G38" s="45">
        <v>3.29</v>
      </c>
      <c r="H38">
        <v>3.2555397552391718</v>
      </c>
      <c r="I38">
        <v>0.27875360095282892</v>
      </c>
    </row>
    <row r="39" spans="1:9" x14ac:dyDescent="0.35">
      <c r="A39">
        <v>0</v>
      </c>
      <c r="C39">
        <v>0.23615101977723243</v>
      </c>
      <c r="D39">
        <v>2.5362300726332561</v>
      </c>
      <c r="E39">
        <v>2.756001823801419</v>
      </c>
      <c r="F39">
        <v>464450000</v>
      </c>
      <c r="G39" s="45">
        <v>2.3199999999999998</v>
      </c>
      <c r="H39">
        <v>3.2555397552391718</v>
      </c>
      <c r="I39">
        <v>-4.0958607678906384E-2</v>
      </c>
    </row>
    <row r="40" spans="1:9" x14ac:dyDescent="0.35">
      <c r="A40">
        <v>0</v>
      </c>
      <c r="C40">
        <v>0.35654732351381263</v>
      </c>
      <c r="D40">
        <v>2.5362300726332561</v>
      </c>
      <c r="E40">
        <v>2.756001823801419</v>
      </c>
      <c r="F40">
        <v>330000000</v>
      </c>
      <c r="G40" s="45">
        <v>2.3199999999999998</v>
      </c>
      <c r="H40">
        <v>3.2555397552391718</v>
      </c>
      <c r="I40">
        <v>9.691001300805642E-2</v>
      </c>
    </row>
    <row r="41" spans="1:9" x14ac:dyDescent="0.35">
      <c r="A41">
        <v>0</v>
      </c>
      <c r="C41">
        <v>0.61827553556615344</v>
      </c>
      <c r="D41">
        <v>0</v>
      </c>
      <c r="E41">
        <v>0</v>
      </c>
      <c r="F41">
        <v>230000000</v>
      </c>
      <c r="G41" s="45">
        <v>3.29</v>
      </c>
      <c r="H41">
        <v>3.2555397552391718</v>
      </c>
      <c r="I41">
        <v>-4.3648054024500883E-3</v>
      </c>
    </row>
    <row r="42" spans="1:9" x14ac:dyDescent="0.35">
      <c r="A42">
        <v>0</v>
      </c>
      <c r="C42">
        <v>0.35878060088391328</v>
      </c>
      <c r="D42">
        <v>0</v>
      </c>
      <c r="E42">
        <v>0</v>
      </c>
      <c r="F42">
        <v>225000000</v>
      </c>
      <c r="G42" s="45">
        <v>3.29</v>
      </c>
      <c r="H42">
        <v>3.2555397552391718</v>
      </c>
      <c r="I42">
        <v>6.8185861746161619E-2</v>
      </c>
    </row>
    <row r="43" spans="1:9" x14ac:dyDescent="0.35">
      <c r="A43">
        <v>0</v>
      </c>
      <c r="C43">
        <v>0.24610747106817404</v>
      </c>
      <c r="D43">
        <v>0</v>
      </c>
      <c r="E43">
        <v>0</v>
      </c>
      <c r="F43">
        <v>1650000000</v>
      </c>
      <c r="G43" s="45">
        <v>2.95</v>
      </c>
      <c r="H43">
        <v>3.0687415514991745</v>
      </c>
      <c r="I43">
        <v>0.3010299956639812</v>
      </c>
    </row>
    <row r="44" spans="1:9" x14ac:dyDescent="0.35">
      <c r="A44">
        <v>1</v>
      </c>
      <c r="C44">
        <v>-2</v>
      </c>
      <c r="D44">
        <v>0</v>
      </c>
      <c r="E44">
        <v>0</v>
      </c>
      <c r="F44">
        <v>7544390000</v>
      </c>
      <c r="G44" s="45">
        <v>2.95</v>
      </c>
      <c r="H44">
        <v>3.0687415514991745</v>
      </c>
      <c r="I44">
        <v>0.32428245529769273</v>
      </c>
    </row>
    <row r="45" spans="1:9" x14ac:dyDescent="0.35">
      <c r="A45">
        <v>0</v>
      </c>
      <c r="C45">
        <v>-6.5916898309755723E-2</v>
      </c>
      <c r="D45">
        <v>0</v>
      </c>
      <c r="E45">
        <v>0</v>
      </c>
      <c r="F45">
        <v>10591520000</v>
      </c>
      <c r="G45" s="45">
        <v>2.95</v>
      </c>
      <c r="H45">
        <v>3.0687415514991745</v>
      </c>
      <c r="I45">
        <v>0.24551266781414982</v>
      </c>
    </row>
    <row r="46" spans="1:9" x14ac:dyDescent="0.35">
      <c r="A46">
        <v>0</v>
      </c>
      <c r="C46">
        <v>0.13775272040897549</v>
      </c>
      <c r="D46">
        <v>0</v>
      </c>
      <c r="E46">
        <v>0</v>
      </c>
      <c r="F46">
        <v>1270000000</v>
      </c>
      <c r="G46" s="45">
        <v>2.95</v>
      </c>
      <c r="H46">
        <v>3.0687415514991745</v>
      </c>
      <c r="I46">
        <v>0.22271647114758325</v>
      </c>
    </row>
    <row r="47" spans="1:9" x14ac:dyDescent="0.35">
      <c r="A47">
        <v>0</v>
      </c>
      <c r="C47">
        <v>0.25886007824226553</v>
      </c>
      <c r="D47">
        <v>0</v>
      </c>
      <c r="E47">
        <v>0</v>
      </c>
      <c r="F47">
        <v>743830000</v>
      </c>
      <c r="G47" s="45">
        <v>2.95</v>
      </c>
      <c r="H47">
        <v>3.1814248062191788</v>
      </c>
      <c r="I47">
        <v>0.2576785748691845</v>
      </c>
    </row>
    <row r="48" spans="1:9" x14ac:dyDescent="0.35">
      <c r="A48">
        <v>0</v>
      </c>
      <c r="C48">
        <v>0.21655218236315188</v>
      </c>
      <c r="D48">
        <v>0</v>
      </c>
      <c r="E48">
        <v>0</v>
      </c>
      <c r="F48">
        <v>468580000</v>
      </c>
      <c r="G48" s="45">
        <v>2.95</v>
      </c>
      <c r="H48">
        <v>3.1814248062191788</v>
      </c>
      <c r="I48">
        <v>7.1882007306125359E-2</v>
      </c>
    </row>
    <row r="49" spans="1:9" x14ac:dyDescent="0.35">
      <c r="A49">
        <v>0</v>
      </c>
      <c r="C49">
        <v>7.7479477617732218E-2</v>
      </c>
      <c r="D49">
        <v>0</v>
      </c>
      <c r="E49">
        <v>0</v>
      </c>
      <c r="F49">
        <v>815690000</v>
      </c>
      <c r="G49" s="45">
        <v>2.95</v>
      </c>
      <c r="H49">
        <v>3.1814248062191788</v>
      </c>
      <c r="I49">
        <v>-2.2276394711152253E-2</v>
      </c>
    </row>
    <row r="50" spans="1:9" x14ac:dyDescent="0.35">
      <c r="A50">
        <v>0</v>
      </c>
      <c r="C50">
        <v>1.1455353366441925</v>
      </c>
      <c r="D50">
        <v>0</v>
      </c>
      <c r="E50">
        <v>0</v>
      </c>
      <c r="F50">
        <v>191690000</v>
      </c>
      <c r="G50" s="45">
        <v>2.95</v>
      </c>
      <c r="H50">
        <v>3.1814248062191788</v>
      </c>
      <c r="I50">
        <v>7.1882007306125359E-2</v>
      </c>
    </row>
    <row r="51" spans="1:9" x14ac:dyDescent="0.35">
      <c r="A51">
        <v>0</v>
      </c>
      <c r="C51">
        <v>7.8682491717007891E-2</v>
      </c>
      <c r="D51">
        <v>3.7707754512906644</v>
      </c>
      <c r="E51">
        <v>2.1238516409670858</v>
      </c>
      <c r="F51" s="4">
        <v>12081450000</v>
      </c>
      <c r="G51" s="47">
        <v>2.3199999999999998</v>
      </c>
      <c r="H51">
        <v>3.0687415514991745</v>
      </c>
      <c r="I51">
        <v>0.15228834438305647</v>
      </c>
    </row>
    <row r="52" spans="1:9" x14ac:dyDescent="0.35">
      <c r="A52">
        <v>0</v>
      </c>
      <c r="C52">
        <v>0.40926303876942843</v>
      </c>
      <c r="D52">
        <v>0</v>
      </c>
      <c r="E52">
        <v>0</v>
      </c>
      <c r="F52">
        <v>662500000</v>
      </c>
      <c r="G52" s="45">
        <v>3.29</v>
      </c>
      <c r="H52">
        <v>3.2188268626467691</v>
      </c>
      <c r="I52">
        <v>-8.7739243075051505E-3</v>
      </c>
    </row>
    <row r="53" spans="1:9" x14ac:dyDescent="0.35">
      <c r="A53">
        <v>0</v>
      </c>
      <c r="C53">
        <v>0.15209098265191479</v>
      </c>
      <c r="D53">
        <v>3.7707754512906644</v>
      </c>
      <c r="E53">
        <v>2.1238516409670858</v>
      </c>
      <c r="F53">
        <v>3100000000</v>
      </c>
      <c r="G53" s="45">
        <v>2.3199999999999998</v>
      </c>
      <c r="H53">
        <v>3.5168755371419098</v>
      </c>
      <c r="I53">
        <v>0.2253092817258629</v>
      </c>
    </row>
    <row r="54" spans="1:9" x14ac:dyDescent="0.35">
      <c r="A54">
        <v>0</v>
      </c>
      <c r="C54">
        <v>0.7861201800549189</v>
      </c>
      <c r="D54">
        <v>3.8335760926148099</v>
      </c>
      <c r="E54">
        <v>2.9138138523837167</v>
      </c>
      <c r="F54">
        <v>180000000</v>
      </c>
      <c r="G54" s="45">
        <v>2.85</v>
      </c>
      <c r="H54">
        <v>3.0958500844125241</v>
      </c>
      <c r="I54">
        <v>0.21218760440395779</v>
      </c>
    </row>
    <row r="55" spans="1:9" x14ac:dyDescent="0.35">
      <c r="A55">
        <v>0</v>
      </c>
      <c r="C55">
        <v>0.34541095739585298</v>
      </c>
      <c r="D55">
        <v>0</v>
      </c>
      <c r="E55">
        <v>0</v>
      </c>
      <c r="F55">
        <v>632000000</v>
      </c>
      <c r="G55" s="45">
        <v>2.95</v>
      </c>
      <c r="H55">
        <v>3.0958500844125241</v>
      </c>
      <c r="I55">
        <v>6.8185861746161619E-2</v>
      </c>
    </row>
    <row r="56" spans="1:9" x14ac:dyDescent="0.35">
      <c r="A56">
        <v>0</v>
      </c>
      <c r="C56">
        <v>-0.94200805302231305</v>
      </c>
      <c r="D56">
        <v>0</v>
      </c>
      <c r="E56">
        <v>0</v>
      </c>
      <c r="F56">
        <v>4900000000</v>
      </c>
      <c r="G56" s="45">
        <v>2.95</v>
      </c>
      <c r="H56">
        <v>3.0958500844125241</v>
      </c>
      <c r="I56">
        <v>0.17026171539495738</v>
      </c>
    </row>
    <row r="57" spans="1:9" x14ac:dyDescent="0.35">
      <c r="A57">
        <v>0</v>
      </c>
      <c r="C57">
        <v>0.63202321470540557</v>
      </c>
      <c r="D57">
        <v>3.7916829312790057</v>
      </c>
      <c r="E57">
        <v>3.0355631414974997</v>
      </c>
      <c r="F57">
        <v>665000000</v>
      </c>
      <c r="G57" s="45">
        <v>2.72</v>
      </c>
      <c r="H57">
        <v>3.0958500844125241</v>
      </c>
      <c r="I57">
        <v>0.14301480025409513</v>
      </c>
    </row>
    <row r="58" spans="1:9" x14ac:dyDescent="0.35">
      <c r="A58">
        <v>0</v>
      </c>
      <c r="C58">
        <v>-4.1392685158225057E-2</v>
      </c>
      <c r="D58">
        <v>0</v>
      </c>
      <c r="E58">
        <v>0</v>
      </c>
      <c r="F58">
        <v>3300000000</v>
      </c>
      <c r="G58" s="45">
        <v>2.95</v>
      </c>
      <c r="H58">
        <v>3.0958500844125241</v>
      </c>
      <c r="I58">
        <v>0.26951294421791627</v>
      </c>
    </row>
    <row r="59" spans="1:9" x14ac:dyDescent="0.35">
      <c r="A59">
        <v>0</v>
      </c>
      <c r="C59">
        <v>0.21188535268817776</v>
      </c>
      <c r="D59">
        <v>3.7899753459779522</v>
      </c>
      <c r="E59">
        <v>2.7670321178317625</v>
      </c>
      <c r="F59">
        <v>485000000</v>
      </c>
      <c r="G59" s="45">
        <v>3.18</v>
      </c>
      <c r="H59">
        <v>3.0958500844125241</v>
      </c>
      <c r="I59">
        <v>0.26717172840301384</v>
      </c>
    </row>
    <row r="60" spans="1:9" x14ac:dyDescent="0.35">
      <c r="A60">
        <v>0</v>
      </c>
      <c r="C60">
        <v>0.37337794474981029</v>
      </c>
      <c r="D60">
        <v>3.8335760926148099</v>
      </c>
      <c r="E60">
        <v>2.9138138523837167</v>
      </c>
      <c r="F60">
        <v>300000000</v>
      </c>
      <c r="G60" s="45">
        <v>2.85</v>
      </c>
      <c r="H60">
        <v>3.0958500844125241</v>
      </c>
      <c r="I60">
        <v>7.9181246047624818E-2</v>
      </c>
    </row>
    <row r="61" spans="1:9" x14ac:dyDescent="0.35">
      <c r="A61">
        <v>0</v>
      </c>
      <c r="C61">
        <v>0.46982201597816303</v>
      </c>
      <c r="D61">
        <v>0</v>
      </c>
      <c r="E61">
        <v>0</v>
      </c>
      <c r="F61">
        <v>700000000</v>
      </c>
      <c r="G61" s="45">
        <v>2.95</v>
      </c>
      <c r="H61">
        <v>3.0958500844125241</v>
      </c>
      <c r="I61">
        <v>0.2355284469075489</v>
      </c>
    </row>
    <row r="62" spans="1:9" x14ac:dyDescent="0.35">
      <c r="A62">
        <v>0</v>
      </c>
      <c r="C62">
        <v>0.49136169383427269</v>
      </c>
      <c r="D62">
        <v>0</v>
      </c>
      <c r="E62">
        <v>0</v>
      </c>
      <c r="F62">
        <v>1000000000</v>
      </c>
      <c r="G62" s="45">
        <v>2.95</v>
      </c>
      <c r="H62">
        <v>3.0958500844125241</v>
      </c>
      <c r="I62">
        <v>-7.0581074285707285E-2</v>
      </c>
    </row>
    <row r="63" spans="1:9" x14ac:dyDescent="0.35">
      <c r="A63">
        <v>0</v>
      </c>
      <c r="C63">
        <v>-0.67669360962486658</v>
      </c>
      <c r="D63">
        <v>0</v>
      </c>
      <c r="E63">
        <v>0</v>
      </c>
      <c r="F63">
        <v>475000000</v>
      </c>
      <c r="G63" s="45">
        <v>2.95</v>
      </c>
      <c r="H63">
        <v>3.0958500844125241</v>
      </c>
      <c r="I63">
        <v>-8.7739243075051505E-3</v>
      </c>
    </row>
    <row r="64" spans="1:9" x14ac:dyDescent="0.35">
      <c r="A64">
        <v>0</v>
      </c>
      <c r="C64">
        <v>0.35331240742242576</v>
      </c>
      <c r="D64">
        <v>3.7899753459779522</v>
      </c>
      <c r="E64">
        <v>2.7670321178317625</v>
      </c>
      <c r="F64">
        <v>381229100</v>
      </c>
      <c r="G64" s="45">
        <v>3.18</v>
      </c>
      <c r="H64">
        <v>3.0958500844125241</v>
      </c>
      <c r="I64">
        <v>0.1553360374650618</v>
      </c>
    </row>
    <row r="65" spans="1:9" x14ac:dyDescent="0.35">
      <c r="A65">
        <v>0</v>
      </c>
      <c r="C65">
        <v>0.38021124171160603</v>
      </c>
      <c r="D65">
        <v>0</v>
      </c>
      <c r="E65">
        <v>0</v>
      </c>
      <c r="F65">
        <v>700000000</v>
      </c>
      <c r="G65" s="45">
        <v>2.95</v>
      </c>
      <c r="H65">
        <v>3.3647319918335836</v>
      </c>
      <c r="I65">
        <v>0.21484384804769791</v>
      </c>
    </row>
    <row r="66" spans="1:9" x14ac:dyDescent="0.35">
      <c r="A66">
        <v>0</v>
      </c>
      <c r="C66">
        <v>0.40977416807183031</v>
      </c>
      <c r="D66">
        <v>0</v>
      </c>
      <c r="E66">
        <v>0</v>
      </c>
      <c r="F66">
        <v>3113980000</v>
      </c>
      <c r="G66" s="45">
        <v>2.95</v>
      </c>
      <c r="H66">
        <v>3.3647319918335836</v>
      </c>
      <c r="I66">
        <v>0.12057393120584989</v>
      </c>
    </row>
    <row r="67" spans="1:9" x14ac:dyDescent="0.35">
      <c r="A67">
        <v>0</v>
      </c>
      <c r="C67">
        <v>0.29589035601157015</v>
      </c>
      <c r="D67">
        <v>0</v>
      </c>
      <c r="E67">
        <v>0</v>
      </c>
      <c r="F67">
        <v>1700000000</v>
      </c>
      <c r="G67" s="45">
        <v>2.95</v>
      </c>
      <c r="H67">
        <v>3.3647319918335836</v>
      </c>
      <c r="I67">
        <v>0.17897694729316943</v>
      </c>
    </row>
    <row r="68" spans="1:9" x14ac:dyDescent="0.35">
      <c r="A68">
        <v>0</v>
      </c>
      <c r="C68">
        <v>-0.74978649618430626</v>
      </c>
      <c r="D68">
        <v>3.8335760926148099</v>
      </c>
      <c r="E68">
        <v>2.9138138523837167</v>
      </c>
      <c r="F68">
        <v>1300000000</v>
      </c>
      <c r="G68" s="45">
        <v>2.85</v>
      </c>
      <c r="H68">
        <v>3.3647319918335836</v>
      </c>
      <c r="I68">
        <v>-4.3648054024500883E-3</v>
      </c>
    </row>
    <row r="69" spans="1:9" x14ac:dyDescent="0.35">
      <c r="A69">
        <v>0</v>
      </c>
      <c r="C69">
        <v>0.46239799789895608</v>
      </c>
      <c r="D69">
        <v>3.8335760926148099</v>
      </c>
      <c r="E69">
        <v>2.9138138523837167</v>
      </c>
      <c r="F69">
        <v>500000000</v>
      </c>
      <c r="G69" s="45">
        <v>2.85</v>
      </c>
      <c r="H69">
        <v>3.3647319918335836</v>
      </c>
      <c r="I69">
        <v>0.17897694729316943</v>
      </c>
    </row>
    <row r="70" spans="1:9" x14ac:dyDescent="0.35">
      <c r="A70">
        <v>0</v>
      </c>
      <c r="C70">
        <v>0.21695206338669118</v>
      </c>
      <c r="D70">
        <v>3.7707754512906644</v>
      </c>
      <c r="E70">
        <v>2.1238516409670858</v>
      </c>
      <c r="F70">
        <v>1864800000</v>
      </c>
      <c r="G70" s="45">
        <v>2.3199999999999998</v>
      </c>
      <c r="H70">
        <v>3.3647319918335836</v>
      </c>
      <c r="I70">
        <v>0.13033376849500614</v>
      </c>
    </row>
    <row r="71" spans="1:9" x14ac:dyDescent="0.35">
      <c r="A71">
        <v>0</v>
      </c>
      <c r="C71">
        <v>0.37291200297010657</v>
      </c>
      <c r="D71">
        <v>2.5075455505094206</v>
      </c>
      <c r="E71">
        <v>2.6517624473801109</v>
      </c>
      <c r="F71">
        <v>250000000</v>
      </c>
      <c r="G71" s="45">
        <v>2.91</v>
      </c>
      <c r="H71">
        <v>3.2224645332922388</v>
      </c>
      <c r="I71">
        <v>0.13987908640123647</v>
      </c>
    </row>
    <row r="72" spans="1:9" x14ac:dyDescent="0.35">
      <c r="A72">
        <v>0</v>
      </c>
      <c r="C72">
        <v>0.40991495239420256</v>
      </c>
      <c r="D72">
        <v>2.6903467274930635</v>
      </c>
      <c r="E72">
        <v>2.7508939203821252</v>
      </c>
      <c r="F72" s="13">
        <v>930000000</v>
      </c>
      <c r="G72" s="45">
        <v>2.59</v>
      </c>
      <c r="H72">
        <v>3.2224645332922388</v>
      </c>
      <c r="I72">
        <v>0.19589965240923368</v>
      </c>
    </row>
    <row r="73" spans="1:9" x14ac:dyDescent="0.35">
      <c r="A73">
        <v>0</v>
      </c>
      <c r="C73">
        <v>-0.34678748622465638</v>
      </c>
      <c r="D73">
        <v>2.5542346870234227</v>
      </c>
      <c r="E73">
        <v>2.9876662649262746</v>
      </c>
      <c r="F73">
        <v>400000000</v>
      </c>
      <c r="G73" s="45">
        <v>3.16</v>
      </c>
      <c r="H73">
        <v>3.2224645332922388</v>
      </c>
      <c r="I73">
        <v>0.24054924828259971</v>
      </c>
    </row>
    <row r="74" spans="1:9" x14ac:dyDescent="0.35">
      <c r="A74">
        <v>0</v>
      </c>
      <c r="C74">
        <v>0.12493873660829993</v>
      </c>
      <c r="D74">
        <v>2.5362300726332561</v>
      </c>
      <c r="E74">
        <v>2.756001823801419</v>
      </c>
      <c r="F74">
        <v>300000000</v>
      </c>
      <c r="G74" s="45">
        <v>2.3199999999999998</v>
      </c>
      <c r="H74">
        <v>3.2224645332922388</v>
      </c>
      <c r="I74">
        <v>4.5322978786657475E-2</v>
      </c>
    </row>
    <row r="75" spans="1:9" x14ac:dyDescent="0.35">
      <c r="A75">
        <v>0</v>
      </c>
      <c r="C75">
        <v>2.8298992127170717E-2</v>
      </c>
      <c r="D75">
        <v>0</v>
      </c>
      <c r="E75">
        <v>0</v>
      </c>
      <c r="F75">
        <v>2510000000</v>
      </c>
      <c r="G75" s="45">
        <v>3.29</v>
      </c>
      <c r="H75">
        <v>3.2224645332922388</v>
      </c>
      <c r="I75">
        <v>0.21218760440395779</v>
      </c>
    </row>
    <row r="76" spans="1:9" x14ac:dyDescent="0.35">
      <c r="A76">
        <v>0</v>
      </c>
      <c r="C76">
        <v>0.38064575348562374</v>
      </c>
      <c r="D76">
        <v>0</v>
      </c>
      <c r="E76">
        <v>0</v>
      </c>
      <c r="F76">
        <v>333000000</v>
      </c>
      <c r="G76" s="45">
        <v>3.29</v>
      </c>
      <c r="H76">
        <v>3.2224645332922388</v>
      </c>
      <c r="I76">
        <v>0.11394335230683679</v>
      </c>
    </row>
    <row r="77" spans="1:9" x14ac:dyDescent="0.35">
      <c r="A77">
        <v>0</v>
      </c>
      <c r="C77">
        <v>-0.78233669104106385</v>
      </c>
      <c r="D77">
        <v>3.7707754512906644</v>
      </c>
      <c r="E77">
        <v>2.1238516409670858</v>
      </c>
      <c r="F77">
        <v>1060168118</v>
      </c>
      <c r="G77" s="45">
        <v>2.3199999999999998</v>
      </c>
      <c r="H77">
        <v>3.2224645332922388</v>
      </c>
      <c r="I77">
        <v>2.5305865264770262E-2</v>
      </c>
    </row>
    <row r="78" spans="1:9" x14ac:dyDescent="0.35">
      <c r="A78">
        <v>0</v>
      </c>
      <c r="C78">
        <v>0.22606403032051303</v>
      </c>
      <c r="D78">
        <v>2.6208956659919629</v>
      </c>
      <c r="E78">
        <v>2.3401134757058348</v>
      </c>
      <c r="F78">
        <v>261450000</v>
      </c>
      <c r="G78" s="45">
        <v>3.65</v>
      </c>
      <c r="H78">
        <v>3.1616209089088487</v>
      </c>
      <c r="I78">
        <v>0.2944662261615929</v>
      </c>
    </row>
    <row r="79" spans="1:9" x14ac:dyDescent="0.35">
      <c r="A79">
        <v>0</v>
      </c>
      <c r="C79">
        <v>0.41216609703415352</v>
      </c>
      <c r="D79">
        <v>0</v>
      </c>
      <c r="E79">
        <v>0</v>
      </c>
      <c r="F79">
        <v>915710000</v>
      </c>
      <c r="G79" s="45">
        <v>3.59</v>
      </c>
      <c r="H79">
        <v>3.1616209089088487</v>
      </c>
      <c r="I79">
        <v>-4.3648054024500883E-3</v>
      </c>
    </row>
    <row r="80" spans="1:9" x14ac:dyDescent="0.35">
      <c r="A80">
        <v>0</v>
      </c>
      <c r="C80">
        <v>-1.8149438169419448E-2</v>
      </c>
      <c r="D80">
        <v>0</v>
      </c>
      <c r="E80">
        <v>0</v>
      </c>
      <c r="F80">
        <v>4191360000</v>
      </c>
      <c r="G80" s="45">
        <v>3.59</v>
      </c>
      <c r="H80">
        <v>3.1616209089088487</v>
      </c>
      <c r="I80">
        <v>0.12057393120584989</v>
      </c>
    </row>
    <row r="81" spans="1:9" x14ac:dyDescent="0.35">
      <c r="A81">
        <v>0</v>
      </c>
      <c r="C81">
        <v>0.66076339551899865</v>
      </c>
      <c r="D81">
        <v>0</v>
      </c>
      <c r="E81">
        <v>0</v>
      </c>
      <c r="F81">
        <v>235637477</v>
      </c>
      <c r="G81" s="45">
        <v>3.59</v>
      </c>
      <c r="H81">
        <v>3.1616209089088487</v>
      </c>
      <c r="I81">
        <v>0.13672056715640679</v>
      </c>
    </row>
    <row r="82" spans="1:9" x14ac:dyDescent="0.35">
      <c r="A82">
        <v>0</v>
      </c>
      <c r="C82">
        <v>0.40690165901075054</v>
      </c>
      <c r="D82">
        <v>0</v>
      </c>
      <c r="E82">
        <v>0</v>
      </c>
      <c r="F82">
        <v>433280000</v>
      </c>
      <c r="G82" s="45">
        <v>3.59</v>
      </c>
      <c r="H82">
        <v>3.1616209089088487</v>
      </c>
      <c r="I82">
        <v>-3.1517051446064911E-2</v>
      </c>
    </row>
    <row r="83" spans="1:9" x14ac:dyDescent="0.35">
      <c r="A83">
        <v>0</v>
      </c>
      <c r="C83">
        <v>-3.7788560889399803E-2</v>
      </c>
      <c r="D83">
        <v>0</v>
      </c>
      <c r="E83">
        <v>0</v>
      </c>
      <c r="F83">
        <v>600000000</v>
      </c>
      <c r="G83" s="45">
        <v>3.59</v>
      </c>
      <c r="H83">
        <v>3.1616209089088487</v>
      </c>
      <c r="I83">
        <v>4.5322978786657475E-2</v>
      </c>
    </row>
    <row r="84" spans="1:9" x14ac:dyDescent="0.35">
      <c r="A84">
        <v>0</v>
      </c>
      <c r="C84">
        <v>0.33137510772884793</v>
      </c>
      <c r="D84">
        <v>0</v>
      </c>
      <c r="E84">
        <v>0</v>
      </c>
      <c r="F84">
        <v>216809269</v>
      </c>
      <c r="G84" s="45">
        <v>3.59</v>
      </c>
      <c r="H84">
        <v>3.1616209089088487</v>
      </c>
      <c r="I84">
        <v>-4.5757490560675115E-2</v>
      </c>
    </row>
    <row r="85" spans="1:9" x14ac:dyDescent="0.35">
      <c r="A85">
        <v>0</v>
      </c>
      <c r="C85">
        <v>0.96589849818814433</v>
      </c>
      <c r="D85">
        <v>0</v>
      </c>
      <c r="E85">
        <v>0</v>
      </c>
      <c r="F85">
        <v>45647180</v>
      </c>
      <c r="G85" s="45">
        <v>3.59</v>
      </c>
      <c r="H85">
        <v>3.1616209089088487</v>
      </c>
      <c r="I85">
        <v>-4.0958607678906384E-2</v>
      </c>
    </row>
    <row r="86" spans="1:9" x14ac:dyDescent="0.35">
      <c r="A86">
        <v>0</v>
      </c>
      <c r="C86">
        <v>0.18247805771708187</v>
      </c>
      <c r="D86">
        <v>3.1189984043805832</v>
      </c>
      <c r="E86">
        <v>3.0711452904510828</v>
      </c>
      <c r="F86">
        <v>1800000000</v>
      </c>
      <c r="G86" s="45">
        <v>3.13</v>
      </c>
      <c r="H86">
        <v>3.1616209089088487</v>
      </c>
      <c r="I86">
        <v>0.22271647114758325</v>
      </c>
    </row>
    <row r="87" spans="1:9" x14ac:dyDescent="0.35">
      <c r="A87">
        <v>0</v>
      </c>
      <c r="C87">
        <v>0.16071639748872701</v>
      </c>
      <c r="D87">
        <v>3.1189984043805832</v>
      </c>
      <c r="E87">
        <v>3.0711452904510828</v>
      </c>
      <c r="F87">
        <v>2300000000</v>
      </c>
      <c r="G87" s="45">
        <v>3.13</v>
      </c>
      <c r="H87">
        <v>3.1616209089088487</v>
      </c>
      <c r="I87">
        <v>0.17897694729316943</v>
      </c>
    </row>
    <row r="88" spans="1:9" x14ac:dyDescent="0.35">
      <c r="A88">
        <v>0</v>
      </c>
      <c r="C88">
        <v>0.27056849090355672</v>
      </c>
      <c r="D88">
        <v>3.1189984043805832</v>
      </c>
      <c r="E88">
        <v>3.0711452904510828</v>
      </c>
      <c r="F88">
        <v>455879890</v>
      </c>
      <c r="G88" s="45">
        <v>3.13</v>
      </c>
      <c r="H88">
        <v>3.1616209089088487</v>
      </c>
      <c r="I88">
        <v>0.26717172840301384</v>
      </c>
    </row>
    <row r="89" spans="1:9" x14ac:dyDescent="0.35">
      <c r="A89">
        <v>0</v>
      </c>
      <c r="C89">
        <v>0.385743730311567</v>
      </c>
      <c r="D89">
        <v>3.1189984043805832</v>
      </c>
      <c r="E89">
        <v>3.0711452904510828</v>
      </c>
      <c r="F89">
        <v>1300000000</v>
      </c>
      <c r="G89" s="45">
        <v>3.13</v>
      </c>
      <c r="H89">
        <v>3.1616209089088487</v>
      </c>
      <c r="I89">
        <v>-4.3648054024500883E-3</v>
      </c>
    </row>
    <row r="90" spans="1:9" x14ac:dyDescent="0.35">
      <c r="A90">
        <v>0</v>
      </c>
      <c r="C90">
        <v>0.28243350717232268</v>
      </c>
      <c r="D90">
        <v>3.1189984043805832</v>
      </c>
      <c r="E90">
        <v>3.0711452904510828</v>
      </c>
      <c r="F90">
        <v>417500000</v>
      </c>
      <c r="G90" s="45">
        <v>3.13</v>
      </c>
      <c r="H90">
        <v>3.1616209089088487</v>
      </c>
      <c r="I90">
        <v>-0.23657200643706267</v>
      </c>
    </row>
    <row r="91" spans="1:9" x14ac:dyDescent="0.35">
      <c r="A91">
        <v>0</v>
      </c>
      <c r="C91">
        <v>0.24667233334138849</v>
      </c>
      <c r="D91">
        <v>3.1566248585544785</v>
      </c>
      <c r="E91">
        <v>2.8438554226231609</v>
      </c>
      <c r="F91">
        <v>850000000</v>
      </c>
      <c r="G91" s="45">
        <v>3.43</v>
      </c>
      <c r="H91">
        <v>3.1616209089088487</v>
      </c>
      <c r="I91">
        <v>0.13033376849500614</v>
      </c>
    </row>
    <row r="92" spans="1:9" x14ac:dyDescent="0.35">
      <c r="A92">
        <v>0</v>
      </c>
      <c r="C92">
        <v>-0.13768510304979162</v>
      </c>
      <c r="D92">
        <v>2.2426159575692655</v>
      </c>
      <c r="E92">
        <v>2.4705574852172743</v>
      </c>
      <c r="F92">
        <v>130000000</v>
      </c>
      <c r="G92" s="45">
        <v>3.18</v>
      </c>
      <c r="H92">
        <v>3.3740570806117947</v>
      </c>
      <c r="I92">
        <v>9.3421685162235063E-2</v>
      </c>
    </row>
    <row r="93" spans="1:9" x14ac:dyDescent="0.35">
      <c r="A93">
        <v>0</v>
      </c>
      <c r="C93">
        <v>0.37473423390735744</v>
      </c>
      <c r="D93">
        <v>0</v>
      </c>
      <c r="E93">
        <v>0</v>
      </c>
      <c r="F93">
        <v>40929600</v>
      </c>
      <c r="G93" s="45">
        <v>3.28</v>
      </c>
      <c r="H93">
        <v>3.3740570806117947</v>
      </c>
      <c r="I93">
        <v>0.30319605742048883</v>
      </c>
    </row>
    <row r="94" spans="1:9" x14ac:dyDescent="0.35">
      <c r="A94">
        <v>0</v>
      </c>
      <c r="C94">
        <v>-1.6922705116064297E-2</v>
      </c>
      <c r="D94">
        <v>0</v>
      </c>
      <c r="E94">
        <v>0</v>
      </c>
      <c r="F94">
        <v>157000000</v>
      </c>
      <c r="G94" s="45">
        <v>3.28</v>
      </c>
      <c r="H94">
        <v>3.3740570806117947</v>
      </c>
      <c r="I94">
        <v>-7.0581074285707285E-2</v>
      </c>
    </row>
    <row r="95" spans="1:9" x14ac:dyDescent="0.35">
      <c r="A95">
        <v>0</v>
      </c>
      <c r="C95">
        <v>0.63106976869808307</v>
      </c>
      <c r="D95">
        <v>0</v>
      </c>
      <c r="E95">
        <v>0</v>
      </c>
      <c r="F95">
        <v>152000000</v>
      </c>
      <c r="G95" s="45">
        <v>3.28</v>
      </c>
      <c r="H95">
        <v>3.3740570806117947</v>
      </c>
      <c r="I95">
        <v>0.10720996964786837</v>
      </c>
    </row>
    <row r="96" spans="1:9" x14ac:dyDescent="0.35">
      <c r="A96">
        <v>0</v>
      </c>
      <c r="C96">
        <v>1.1704873815376828</v>
      </c>
      <c r="D96">
        <v>0</v>
      </c>
      <c r="E96">
        <v>0</v>
      </c>
      <c r="F96">
        <v>130000000</v>
      </c>
      <c r="G96" s="45">
        <v>2.95</v>
      </c>
      <c r="H96">
        <v>3.9186507422978978</v>
      </c>
      <c r="I96">
        <v>1.703333929878037E-2</v>
      </c>
    </row>
    <row r="97" spans="1:9" x14ac:dyDescent="0.35">
      <c r="A97">
        <v>0</v>
      </c>
      <c r="C97">
        <v>0.84198480459011393</v>
      </c>
      <c r="D97">
        <v>0</v>
      </c>
      <c r="E97">
        <v>0</v>
      </c>
      <c r="F97">
        <v>120000000</v>
      </c>
      <c r="G97" s="45">
        <v>2.95</v>
      </c>
      <c r="H97">
        <v>3.9186507422978978</v>
      </c>
      <c r="I97">
        <v>5.6904851336472641E-2</v>
      </c>
    </row>
    <row r="98" spans="1:9" x14ac:dyDescent="0.35">
      <c r="A98">
        <v>0</v>
      </c>
      <c r="C98">
        <v>4.5322978786657475E-2</v>
      </c>
      <c r="D98">
        <v>0</v>
      </c>
      <c r="E98">
        <v>0</v>
      </c>
      <c r="F98">
        <v>110000000</v>
      </c>
      <c r="G98" s="45">
        <v>2.95</v>
      </c>
      <c r="H98">
        <v>3.9186507422978978</v>
      </c>
      <c r="I98">
        <v>4.3213737826425782E-3</v>
      </c>
    </row>
    <row r="99" spans="1:9" x14ac:dyDescent="0.35">
      <c r="A99">
        <v>0</v>
      </c>
      <c r="C99">
        <v>1.3756670641516049</v>
      </c>
      <c r="D99">
        <v>0</v>
      </c>
      <c r="E99">
        <v>0</v>
      </c>
      <c r="F99">
        <v>530000000</v>
      </c>
      <c r="G99" s="45">
        <v>2.95</v>
      </c>
      <c r="H99">
        <v>3.0687415514991745</v>
      </c>
      <c r="I99">
        <v>0.52608069180202999</v>
      </c>
    </row>
    <row r="100" spans="1:9" x14ac:dyDescent="0.35">
      <c r="A100">
        <v>0</v>
      </c>
      <c r="C100">
        <v>1.2964977164367635E-2</v>
      </c>
      <c r="D100">
        <v>0</v>
      </c>
      <c r="E100">
        <v>0</v>
      </c>
      <c r="F100">
        <v>330000000</v>
      </c>
      <c r="G100" s="45">
        <v>2.95</v>
      </c>
      <c r="H100">
        <v>3.0687415514991745</v>
      </c>
      <c r="I100">
        <v>0.36642295722597273</v>
      </c>
    </row>
    <row r="101" spans="1:9" x14ac:dyDescent="0.35">
      <c r="A101">
        <v>0</v>
      </c>
      <c r="C101">
        <v>0.31840409173340389</v>
      </c>
      <c r="D101">
        <v>0</v>
      </c>
      <c r="E101">
        <v>0</v>
      </c>
      <c r="F101">
        <v>245000000</v>
      </c>
      <c r="G101" s="45">
        <v>2.95</v>
      </c>
      <c r="H101">
        <v>3.0687415514991745</v>
      </c>
      <c r="I101">
        <v>0.20112389720737955</v>
      </c>
    </row>
    <row r="102" spans="1:9" x14ac:dyDescent="0.35">
      <c r="A102">
        <v>0</v>
      </c>
      <c r="C102">
        <v>0.17764508712430291</v>
      </c>
      <c r="D102">
        <v>0</v>
      </c>
      <c r="E102">
        <v>0</v>
      </c>
      <c r="F102">
        <v>465000000</v>
      </c>
      <c r="G102" s="45">
        <v>2.95</v>
      </c>
      <c r="H102">
        <v>3.0687415514991745</v>
      </c>
      <c r="I102">
        <v>0.15075643986030904</v>
      </c>
    </row>
    <row r="103" spans="1:9" x14ac:dyDescent="0.35">
      <c r="A103">
        <v>0</v>
      </c>
      <c r="C103">
        <v>-3.9038779764747678E-2</v>
      </c>
      <c r="D103">
        <v>0</v>
      </c>
      <c r="E103">
        <v>0</v>
      </c>
      <c r="F103">
        <v>1012000000</v>
      </c>
      <c r="G103" s="45">
        <v>2.95</v>
      </c>
      <c r="H103">
        <v>3.0687415514991745</v>
      </c>
      <c r="I103">
        <v>0.15075643986030904</v>
      </c>
    </row>
    <row r="104" spans="1:9" x14ac:dyDescent="0.35">
      <c r="A104">
        <v>0</v>
      </c>
      <c r="C104">
        <v>1.4723256820706378E-2</v>
      </c>
      <c r="D104">
        <v>0</v>
      </c>
      <c r="E104">
        <v>0</v>
      </c>
      <c r="F104">
        <v>580000000</v>
      </c>
      <c r="G104" s="45">
        <v>2.95</v>
      </c>
      <c r="H104">
        <v>3.0687415514991745</v>
      </c>
      <c r="I104">
        <v>0.18808437371493819</v>
      </c>
    </row>
    <row r="105" spans="1:9" x14ac:dyDescent="0.35">
      <c r="A105">
        <v>0</v>
      </c>
      <c r="C105">
        <v>-0.34468749021747885</v>
      </c>
      <c r="D105">
        <v>0</v>
      </c>
      <c r="E105">
        <v>0</v>
      </c>
      <c r="F105">
        <v>596000000</v>
      </c>
      <c r="G105" s="45">
        <v>2.95</v>
      </c>
      <c r="H105">
        <v>3.0687415514991745</v>
      </c>
      <c r="I105">
        <v>0.32469391386177465</v>
      </c>
    </row>
    <row r="106" spans="1:9" x14ac:dyDescent="0.35">
      <c r="A106">
        <v>0</v>
      </c>
      <c r="C106">
        <v>-0.83366857823347484</v>
      </c>
      <c r="D106">
        <v>0</v>
      </c>
      <c r="E106">
        <v>0</v>
      </c>
      <c r="F106">
        <v>3600000000</v>
      </c>
      <c r="G106" s="45">
        <v>2.95</v>
      </c>
      <c r="H106">
        <v>3.0687415514991745</v>
      </c>
      <c r="I106">
        <v>0.29797924415936239</v>
      </c>
    </row>
    <row r="107" spans="1:9" x14ac:dyDescent="0.35">
      <c r="A107">
        <v>0</v>
      </c>
      <c r="C107">
        <v>1.5928223783612254</v>
      </c>
      <c r="D107">
        <v>0</v>
      </c>
      <c r="E107">
        <v>0</v>
      </c>
      <c r="F107">
        <v>69040000</v>
      </c>
      <c r="G107" s="45">
        <v>2.95</v>
      </c>
      <c r="H107">
        <v>3.0687415514991745</v>
      </c>
      <c r="I107">
        <v>0.49136169383427269</v>
      </c>
    </row>
    <row r="108" spans="1:9" x14ac:dyDescent="0.35">
      <c r="A108">
        <v>0</v>
      </c>
      <c r="C108">
        <v>0.20801431373935986</v>
      </c>
      <c r="D108">
        <v>0</v>
      </c>
      <c r="E108">
        <v>0</v>
      </c>
      <c r="F108">
        <v>340000000</v>
      </c>
      <c r="G108" s="45">
        <v>2.95</v>
      </c>
      <c r="H108">
        <v>3.0687415514991745</v>
      </c>
      <c r="I108">
        <v>0.31175386105575426</v>
      </c>
    </row>
    <row r="109" spans="1:9" x14ac:dyDescent="0.35">
      <c r="A109">
        <v>0</v>
      </c>
      <c r="C109">
        <v>0.5979434085885782</v>
      </c>
      <c r="D109">
        <v>0</v>
      </c>
      <c r="E109">
        <v>0</v>
      </c>
      <c r="F109">
        <v>500000000</v>
      </c>
      <c r="G109" s="45">
        <v>2.95</v>
      </c>
      <c r="H109">
        <v>3.0687415514991745</v>
      </c>
      <c r="I109">
        <v>0.33645973384852951</v>
      </c>
    </row>
    <row r="110" spans="1:9" x14ac:dyDescent="0.35">
      <c r="A110">
        <v>0</v>
      </c>
      <c r="C110">
        <v>-0.24305045692280344</v>
      </c>
      <c r="D110">
        <v>0</v>
      </c>
      <c r="E110">
        <v>0</v>
      </c>
      <c r="F110">
        <v>2100060000</v>
      </c>
      <c r="G110" s="45">
        <v>2.95</v>
      </c>
      <c r="H110">
        <v>3.0687415514991745</v>
      </c>
      <c r="I110">
        <v>0.38021124171160603</v>
      </c>
    </row>
    <row r="111" spans="1:9" x14ac:dyDescent="0.35">
      <c r="A111">
        <v>1</v>
      </c>
      <c r="C111">
        <v>-2</v>
      </c>
      <c r="D111">
        <v>0</v>
      </c>
      <c r="E111">
        <v>0</v>
      </c>
      <c r="F111">
        <v>1150000000</v>
      </c>
      <c r="G111" s="45">
        <v>2.95</v>
      </c>
      <c r="H111">
        <v>3.0687415514991745</v>
      </c>
      <c r="I111">
        <v>0.2528530309798932</v>
      </c>
    </row>
    <row r="112" spans="1:9" x14ac:dyDescent="0.35">
      <c r="A112">
        <v>0</v>
      </c>
      <c r="C112">
        <v>0.69179141970889546</v>
      </c>
      <c r="D112">
        <v>3.7707754512906644</v>
      </c>
      <c r="E112">
        <v>2.1238516409670858</v>
      </c>
      <c r="F112">
        <v>305000000</v>
      </c>
      <c r="G112" s="45">
        <v>2.3199999999999998</v>
      </c>
      <c r="H112">
        <v>3.0687415514991745</v>
      </c>
      <c r="I112">
        <v>0.16435285578443709</v>
      </c>
    </row>
    <row r="113" spans="1:9" x14ac:dyDescent="0.35">
      <c r="A113">
        <v>0</v>
      </c>
      <c r="C113">
        <v>0.14085386038334191</v>
      </c>
      <c r="D113">
        <v>0</v>
      </c>
      <c r="E113">
        <v>0</v>
      </c>
      <c r="F113">
        <v>1201720000</v>
      </c>
      <c r="G113" s="45">
        <v>2.95</v>
      </c>
      <c r="H113">
        <v>3.0687415514991745</v>
      </c>
      <c r="I113">
        <v>0.12385164096708581</v>
      </c>
    </row>
    <row r="114" spans="1:9" x14ac:dyDescent="0.35">
      <c r="A114">
        <v>1</v>
      </c>
      <c r="C114">
        <v>-2</v>
      </c>
      <c r="D114">
        <v>0</v>
      </c>
      <c r="E114">
        <v>0</v>
      </c>
      <c r="F114">
        <v>660000000</v>
      </c>
      <c r="G114" s="45">
        <v>2.95</v>
      </c>
      <c r="H114">
        <v>3.0687415514991745</v>
      </c>
      <c r="I114">
        <v>0.15228834438305647</v>
      </c>
    </row>
    <row r="115" spans="1:9" x14ac:dyDescent="0.35">
      <c r="A115">
        <v>1</v>
      </c>
      <c r="C115">
        <v>-2</v>
      </c>
      <c r="D115">
        <v>0</v>
      </c>
      <c r="E115">
        <v>0</v>
      </c>
      <c r="F115">
        <v>593000000</v>
      </c>
      <c r="G115" s="45">
        <v>2.95</v>
      </c>
      <c r="H115">
        <v>3.0687415514991745</v>
      </c>
      <c r="I115">
        <v>-6.5501548756432285E-2</v>
      </c>
    </row>
    <row r="116" spans="1:9" x14ac:dyDescent="0.35">
      <c r="A116">
        <v>0</v>
      </c>
      <c r="C116">
        <v>-0.40958099049118918</v>
      </c>
      <c r="D116">
        <v>0</v>
      </c>
      <c r="E116">
        <v>0</v>
      </c>
      <c r="F116">
        <v>842020000</v>
      </c>
      <c r="G116" s="45">
        <v>2.95</v>
      </c>
      <c r="H116">
        <v>3.0687415514991745</v>
      </c>
      <c r="I116">
        <v>6.8185861746161619E-2</v>
      </c>
    </row>
    <row r="117" spans="1:9" x14ac:dyDescent="0.35">
      <c r="A117">
        <v>1</v>
      </c>
      <c r="C117">
        <v>-2</v>
      </c>
      <c r="D117">
        <v>0</v>
      </c>
      <c r="E117">
        <v>0</v>
      </c>
      <c r="F117">
        <v>200000000</v>
      </c>
      <c r="G117" s="45">
        <v>2.95</v>
      </c>
      <c r="H117">
        <v>3.0687415514991745</v>
      </c>
      <c r="I117">
        <v>-4.5757490560675115E-2</v>
      </c>
    </row>
    <row r="118" spans="1:9" x14ac:dyDescent="0.35">
      <c r="A118">
        <v>1</v>
      </c>
      <c r="C118">
        <v>-2</v>
      </c>
      <c r="D118">
        <v>0</v>
      </c>
      <c r="E118">
        <v>0</v>
      </c>
      <c r="F118">
        <v>59000000</v>
      </c>
      <c r="G118" s="45">
        <v>2.95</v>
      </c>
      <c r="H118">
        <v>3.0687415514991745</v>
      </c>
      <c r="I118">
        <v>-0.12493873660829995</v>
      </c>
    </row>
    <row r="119" spans="1:9" x14ac:dyDescent="0.35">
      <c r="A119">
        <v>0</v>
      </c>
      <c r="C119">
        <v>0.22322747701074128</v>
      </c>
      <c r="D119">
        <v>0</v>
      </c>
      <c r="E119">
        <v>0</v>
      </c>
      <c r="F119">
        <v>552210000</v>
      </c>
      <c r="G119" s="45">
        <v>2.95</v>
      </c>
      <c r="H119">
        <v>3.0687415514991745</v>
      </c>
      <c r="I119">
        <v>-6.5501548756432285E-2</v>
      </c>
    </row>
    <row r="120" spans="1:9" x14ac:dyDescent="0.35">
      <c r="A120">
        <v>0</v>
      </c>
      <c r="C120">
        <v>-0.41073372100876349</v>
      </c>
      <c r="D120">
        <v>0</v>
      </c>
      <c r="E120">
        <v>0</v>
      </c>
      <c r="F120">
        <v>48405150000</v>
      </c>
      <c r="G120" s="45">
        <v>2.95</v>
      </c>
      <c r="H120">
        <v>3.0687415514991745</v>
      </c>
      <c r="I120">
        <v>0.22271647114758325</v>
      </c>
    </row>
    <row r="121" spans="1:9" x14ac:dyDescent="0.35">
      <c r="A121">
        <v>0</v>
      </c>
      <c r="C121">
        <v>1.285675428614004E-2</v>
      </c>
      <c r="D121">
        <v>0</v>
      </c>
      <c r="E121">
        <v>0</v>
      </c>
      <c r="F121">
        <v>7321030000</v>
      </c>
      <c r="G121" s="45">
        <v>2.95</v>
      </c>
      <c r="H121">
        <v>3.0687415514991745</v>
      </c>
      <c r="I121">
        <v>-2.6872146400301365E-2</v>
      </c>
    </row>
    <row r="122" spans="1:9" x14ac:dyDescent="0.35">
      <c r="A122">
        <v>0</v>
      </c>
      <c r="C122">
        <v>6.7550558562365803E-2</v>
      </c>
      <c r="D122">
        <v>0</v>
      </c>
      <c r="E122">
        <v>0</v>
      </c>
      <c r="F122">
        <v>11426960000</v>
      </c>
      <c r="G122" s="45">
        <v>2.95</v>
      </c>
      <c r="H122">
        <v>3.0687415514991745</v>
      </c>
      <c r="I122">
        <v>0.13987908640123647</v>
      </c>
    </row>
    <row r="123" spans="1:9" x14ac:dyDescent="0.35">
      <c r="A123">
        <v>1</v>
      </c>
      <c r="C123">
        <v>-2</v>
      </c>
      <c r="D123">
        <v>0</v>
      </c>
      <c r="E123">
        <v>0</v>
      </c>
      <c r="F123">
        <v>400000000</v>
      </c>
      <c r="G123" s="45">
        <v>2.95</v>
      </c>
      <c r="H123">
        <v>3.0687415514991745</v>
      </c>
      <c r="I123">
        <v>9.3421685162235063E-2</v>
      </c>
    </row>
    <row r="124" spans="1:9" x14ac:dyDescent="0.35">
      <c r="A124">
        <v>0</v>
      </c>
      <c r="C124">
        <v>0.38021124171160603</v>
      </c>
      <c r="D124">
        <v>0</v>
      </c>
      <c r="E124">
        <v>0</v>
      </c>
      <c r="F124">
        <v>125000000</v>
      </c>
      <c r="G124" s="45">
        <v>2.95</v>
      </c>
      <c r="H124">
        <v>3.0687415514991745</v>
      </c>
      <c r="I124">
        <v>3.7426497940623665E-2</v>
      </c>
    </row>
    <row r="125" spans="1:9" x14ac:dyDescent="0.35">
      <c r="A125">
        <v>0</v>
      </c>
      <c r="C125">
        <v>5.1640134968381025E-2</v>
      </c>
      <c r="D125">
        <v>0</v>
      </c>
      <c r="E125">
        <v>0</v>
      </c>
      <c r="F125">
        <v>5098610000</v>
      </c>
      <c r="G125" s="45">
        <v>2.95</v>
      </c>
      <c r="H125">
        <v>3.0687415514991745</v>
      </c>
      <c r="I125">
        <v>0.2528530309798932</v>
      </c>
    </row>
    <row r="126" spans="1:9" x14ac:dyDescent="0.35">
      <c r="A126">
        <v>0</v>
      </c>
      <c r="C126">
        <v>0.36469907553335851</v>
      </c>
      <c r="D126">
        <v>3.8052737966880943</v>
      </c>
      <c r="E126">
        <v>2.8414637553591628</v>
      </c>
      <c r="F126">
        <v>2375000000</v>
      </c>
      <c r="G126" s="45">
        <v>2.99</v>
      </c>
      <c r="H126">
        <v>3.0687415514991745</v>
      </c>
      <c r="I126">
        <v>0.28103336724772759</v>
      </c>
    </row>
    <row r="127" spans="1:9" x14ac:dyDescent="0.35">
      <c r="A127">
        <v>0</v>
      </c>
      <c r="C127">
        <v>0.59613873729166744</v>
      </c>
      <c r="D127">
        <v>3.8335760926148099</v>
      </c>
      <c r="E127">
        <v>2.9138138523837167</v>
      </c>
      <c r="F127">
        <v>240000000</v>
      </c>
      <c r="G127" s="45">
        <v>2.85</v>
      </c>
      <c r="H127">
        <v>3.0687415514991745</v>
      </c>
      <c r="I127">
        <v>0.22788670461367352</v>
      </c>
    </row>
    <row r="128" spans="1:9" x14ac:dyDescent="0.35">
      <c r="A128">
        <v>0</v>
      </c>
      <c r="C128">
        <v>0.348721986001856</v>
      </c>
      <c r="D128">
        <v>0</v>
      </c>
      <c r="E128">
        <v>0</v>
      </c>
      <c r="F128">
        <v>1120000000</v>
      </c>
      <c r="G128" s="45">
        <v>2.95</v>
      </c>
      <c r="H128">
        <v>3.0687415514991745</v>
      </c>
      <c r="I128">
        <v>0.19589965240923368</v>
      </c>
    </row>
    <row r="129" spans="1:9" x14ac:dyDescent="0.35">
      <c r="A129">
        <v>0</v>
      </c>
      <c r="C129">
        <v>0.4259687322722811</v>
      </c>
      <c r="D129">
        <v>0</v>
      </c>
      <c r="E129">
        <v>0</v>
      </c>
      <c r="F129">
        <v>150000000</v>
      </c>
      <c r="G129" s="45">
        <v>2.95</v>
      </c>
      <c r="H129">
        <v>3.0687415514991745</v>
      </c>
      <c r="I129">
        <v>0.17609125905568124</v>
      </c>
    </row>
    <row r="130" spans="1:9" x14ac:dyDescent="0.35">
      <c r="A130">
        <v>0</v>
      </c>
      <c r="C130">
        <v>0.14680170202996193</v>
      </c>
      <c r="D130">
        <v>3.8335760926148099</v>
      </c>
      <c r="E130">
        <v>2.9138138523837167</v>
      </c>
      <c r="F130">
        <v>1202168337</v>
      </c>
      <c r="G130" s="45">
        <v>2.85</v>
      </c>
      <c r="H130">
        <v>3.0687415514991745</v>
      </c>
      <c r="I130">
        <v>0.22271647114758325</v>
      </c>
    </row>
    <row r="131" spans="1:9" x14ac:dyDescent="0.35">
      <c r="A131">
        <v>0</v>
      </c>
      <c r="C131">
        <v>9.4106426575392227E-2</v>
      </c>
      <c r="D131">
        <v>3.8335760926148099</v>
      </c>
      <c r="E131">
        <v>2.9138138523837167</v>
      </c>
      <c r="F131">
        <v>511290000</v>
      </c>
      <c r="G131" s="45">
        <v>2.85</v>
      </c>
      <c r="H131">
        <v>3.0687415514991745</v>
      </c>
      <c r="I131">
        <v>-9.6910013008056392E-2</v>
      </c>
    </row>
    <row r="132" spans="1:9" x14ac:dyDescent="0.35">
      <c r="A132">
        <v>0</v>
      </c>
      <c r="C132">
        <v>-9.2529421534301021E-2</v>
      </c>
      <c r="D132">
        <v>3.8335760926148099</v>
      </c>
      <c r="E132">
        <v>2.9138138523837167</v>
      </c>
      <c r="F132">
        <v>1770884221</v>
      </c>
      <c r="G132" s="45">
        <v>2.85</v>
      </c>
      <c r="H132">
        <v>3.0687415514991745</v>
      </c>
      <c r="I132">
        <v>4.1392685158225077E-2</v>
      </c>
    </row>
    <row r="133" spans="1:9" x14ac:dyDescent="0.35">
      <c r="A133">
        <v>0</v>
      </c>
      <c r="C133">
        <v>-0.16633142176652502</v>
      </c>
      <c r="D133">
        <v>0</v>
      </c>
      <c r="E133">
        <v>0</v>
      </c>
      <c r="F133">
        <v>2200000000</v>
      </c>
      <c r="G133" s="45">
        <v>2.95</v>
      </c>
      <c r="H133">
        <v>3.0687415514991745</v>
      </c>
      <c r="I133">
        <v>0.26007138798507473</v>
      </c>
    </row>
    <row r="134" spans="1:9" x14ac:dyDescent="0.35">
      <c r="A134">
        <v>1</v>
      </c>
      <c r="C134">
        <v>-2</v>
      </c>
      <c r="D134">
        <v>0</v>
      </c>
      <c r="E134">
        <v>0</v>
      </c>
      <c r="F134">
        <v>8800000000</v>
      </c>
      <c r="G134" s="45">
        <v>2.95</v>
      </c>
      <c r="H134">
        <v>3.0687415514991745</v>
      </c>
      <c r="I134">
        <v>-8.092190762392612E-2</v>
      </c>
    </row>
    <row r="135" spans="1:9" x14ac:dyDescent="0.35">
      <c r="A135">
        <v>0</v>
      </c>
      <c r="C135">
        <v>0.19832643952855722</v>
      </c>
      <c r="D135">
        <v>3.7936074118204202</v>
      </c>
      <c r="E135">
        <v>2.7370600539441581</v>
      </c>
      <c r="F135">
        <v>1100000000</v>
      </c>
      <c r="G135" s="45">
        <v>2.92</v>
      </c>
      <c r="H135">
        <v>3.1814248062191788</v>
      </c>
      <c r="I135">
        <v>5.6904851336472641E-2</v>
      </c>
    </row>
    <row r="136" spans="1:9" x14ac:dyDescent="0.35">
      <c r="A136">
        <v>0</v>
      </c>
      <c r="C136">
        <v>0.18799048235538898</v>
      </c>
      <c r="D136">
        <v>3.7899753459779522</v>
      </c>
      <c r="E136">
        <v>2.7670321178317625</v>
      </c>
      <c r="F136">
        <v>12000000</v>
      </c>
      <c r="G136" s="45">
        <v>3.18</v>
      </c>
      <c r="H136">
        <v>3.1814248062191788</v>
      </c>
      <c r="I136">
        <v>4.9218022670181653E-2</v>
      </c>
    </row>
    <row r="137" spans="1:9" x14ac:dyDescent="0.35">
      <c r="A137">
        <v>0</v>
      </c>
      <c r="C137">
        <v>0.68459514823913259</v>
      </c>
      <c r="D137">
        <v>0</v>
      </c>
      <c r="E137">
        <v>0</v>
      </c>
      <c r="F137">
        <v>458198000</v>
      </c>
      <c r="G137" s="45">
        <v>2.95</v>
      </c>
      <c r="H137">
        <v>3.1814248062191788</v>
      </c>
      <c r="I137">
        <v>0.38738982633872943</v>
      </c>
    </row>
    <row r="138" spans="1:9" x14ac:dyDescent="0.35">
      <c r="A138">
        <v>0</v>
      </c>
      <c r="C138">
        <v>0.55842619439714281</v>
      </c>
      <c r="D138">
        <v>0</v>
      </c>
      <c r="E138">
        <v>0</v>
      </c>
      <c r="F138">
        <v>850000000</v>
      </c>
      <c r="G138" s="45">
        <v>2.95</v>
      </c>
      <c r="H138">
        <v>3.1814248062191788</v>
      </c>
      <c r="I138">
        <v>0.13672056715640679</v>
      </c>
    </row>
    <row r="139" spans="1:9" x14ac:dyDescent="0.35">
      <c r="A139">
        <v>0</v>
      </c>
      <c r="C139">
        <v>0.3816510038809775</v>
      </c>
      <c r="D139">
        <v>0</v>
      </c>
      <c r="E139">
        <v>0</v>
      </c>
      <c r="F139">
        <v>1140330000</v>
      </c>
      <c r="G139" s="45">
        <v>2.95</v>
      </c>
      <c r="H139">
        <v>3.1814248062191788</v>
      </c>
      <c r="I139">
        <v>6.445798922691845E-2</v>
      </c>
    </row>
    <row r="140" spans="1:9" x14ac:dyDescent="0.35">
      <c r="A140">
        <v>0</v>
      </c>
      <c r="C140">
        <v>-0.5920757704213615</v>
      </c>
      <c r="D140">
        <v>0</v>
      </c>
      <c r="E140">
        <v>0</v>
      </c>
      <c r="F140">
        <v>645000000</v>
      </c>
      <c r="G140" s="45">
        <v>2.95</v>
      </c>
      <c r="H140">
        <v>3.1814248062191788</v>
      </c>
      <c r="I140">
        <v>0.16731733474817609</v>
      </c>
    </row>
    <row r="141" spans="1:9" x14ac:dyDescent="0.35">
      <c r="A141">
        <v>0</v>
      </c>
      <c r="C141">
        <v>0.17865726050515801</v>
      </c>
      <c r="D141">
        <v>0</v>
      </c>
      <c r="E141">
        <v>0</v>
      </c>
      <c r="F141">
        <v>450000000</v>
      </c>
      <c r="G141" s="45">
        <v>2.95</v>
      </c>
      <c r="H141">
        <v>3.1814248062191788</v>
      </c>
      <c r="I141">
        <v>-0.11350927482751812</v>
      </c>
    </row>
    <row r="142" spans="1:9" x14ac:dyDescent="0.35">
      <c r="A142">
        <v>0</v>
      </c>
      <c r="C142">
        <v>0.51369238553641938</v>
      </c>
      <c r="D142">
        <v>0</v>
      </c>
      <c r="E142">
        <v>0</v>
      </c>
      <c r="F142">
        <v>258000000</v>
      </c>
      <c r="G142" s="45">
        <v>2.95</v>
      </c>
      <c r="H142">
        <v>3.1814248062191788</v>
      </c>
      <c r="I142">
        <v>0.12710479836480765</v>
      </c>
    </row>
    <row r="143" spans="1:9" x14ac:dyDescent="0.35">
      <c r="A143">
        <v>0</v>
      </c>
      <c r="C143">
        <v>0.84683175282325729</v>
      </c>
      <c r="D143">
        <v>0</v>
      </c>
      <c r="E143">
        <v>0</v>
      </c>
      <c r="F143">
        <v>75000000</v>
      </c>
      <c r="G143" s="45">
        <v>2.95</v>
      </c>
      <c r="H143">
        <v>3.1814248062191788</v>
      </c>
      <c r="I143">
        <v>6.069784035361165E-2</v>
      </c>
    </row>
    <row r="144" spans="1:9" x14ac:dyDescent="0.35">
      <c r="A144">
        <v>0</v>
      </c>
      <c r="C144">
        <v>-0.69897000433601886</v>
      </c>
      <c r="D144">
        <v>3.7916829312790057</v>
      </c>
      <c r="E144">
        <v>3.0355631414974997</v>
      </c>
      <c r="F144">
        <v>500000000</v>
      </c>
      <c r="G144" s="45">
        <v>2.72</v>
      </c>
      <c r="H144">
        <v>3.0962405795987471</v>
      </c>
      <c r="I144">
        <v>0.11727129565576427</v>
      </c>
    </row>
    <row r="145" spans="1:9" x14ac:dyDescent="0.35">
      <c r="A145">
        <v>0</v>
      </c>
      <c r="C145">
        <v>9.4257061306150067E-2</v>
      </c>
      <c r="D145">
        <v>3.7707754512906644</v>
      </c>
      <c r="E145">
        <v>2.1238516409670858</v>
      </c>
      <c r="F145">
        <v>728676057</v>
      </c>
      <c r="G145" s="45">
        <v>2.3199999999999998</v>
      </c>
      <c r="H145">
        <v>3.0962405795987471</v>
      </c>
      <c r="I145">
        <v>6.8185861746161619E-2</v>
      </c>
    </row>
    <row r="146" spans="1:9" x14ac:dyDescent="0.35">
      <c r="A146">
        <v>0</v>
      </c>
      <c r="C146">
        <v>0.27152736859654975</v>
      </c>
      <c r="D146">
        <v>3.8335760926148099</v>
      </c>
      <c r="E146">
        <v>2.9138138523837167</v>
      </c>
      <c r="F146">
        <v>1498410000</v>
      </c>
      <c r="G146" s="45">
        <v>2.85</v>
      </c>
      <c r="H146">
        <v>3.0962405795987471</v>
      </c>
      <c r="I146">
        <v>0.16731733474817609</v>
      </c>
    </row>
    <row r="147" spans="1:9" x14ac:dyDescent="0.35">
      <c r="A147">
        <v>0</v>
      </c>
      <c r="C147">
        <v>0.386410680043898</v>
      </c>
      <c r="D147">
        <v>3.7707754512906644</v>
      </c>
      <c r="E147">
        <v>2.1238516409670858</v>
      </c>
      <c r="F147">
        <v>147874000</v>
      </c>
      <c r="G147" s="45">
        <v>2.3199999999999998</v>
      </c>
      <c r="H147">
        <v>3.0962405795987471</v>
      </c>
      <c r="I147">
        <v>9.3421685162235063E-2</v>
      </c>
    </row>
    <row r="148" spans="1:9" x14ac:dyDescent="0.35">
      <c r="A148">
        <v>0</v>
      </c>
      <c r="C148">
        <v>0.72966311961767405</v>
      </c>
      <c r="D148">
        <v>3.7707754512906644</v>
      </c>
      <c r="E148">
        <v>2.1238516409670858</v>
      </c>
      <c r="F148">
        <v>26000000</v>
      </c>
      <c r="G148" s="45">
        <v>2.3199999999999998</v>
      </c>
      <c r="H148">
        <v>3.0962405795987471</v>
      </c>
      <c r="I148">
        <v>0.11058971029924898</v>
      </c>
    </row>
    <row r="149" spans="1:9" x14ac:dyDescent="0.35">
      <c r="A149">
        <v>0</v>
      </c>
      <c r="C149">
        <v>0.19531422369159093</v>
      </c>
      <c r="D149">
        <v>3.8335760926148099</v>
      </c>
      <c r="E149">
        <v>2.9138138523837167</v>
      </c>
      <c r="F149">
        <v>375000000</v>
      </c>
      <c r="G149" s="45">
        <v>2.85</v>
      </c>
      <c r="H149">
        <v>3.0962405795987471</v>
      </c>
      <c r="I149">
        <v>4.5322978786657475E-2</v>
      </c>
    </row>
    <row r="150" spans="1:9" x14ac:dyDescent="0.35">
      <c r="A150">
        <v>0</v>
      </c>
      <c r="C150">
        <v>1.3513916382751612</v>
      </c>
      <c r="D150">
        <v>3.8335760926148099</v>
      </c>
      <c r="E150">
        <v>2.9138138523837167</v>
      </c>
      <c r="F150">
        <v>48978000</v>
      </c>
      <c r="G150" s="45">
        <v>2.85</v>
      </c>
      <c r="H150">
        <v>3.0962405795987471</v>
      </c>
      <c r="I150">
        <v>4.5322978786657475E-2</v>
      </c>
    </row>
    <row r="151" spans="1:9" x14ac:dyDescent="0.35">
      <c r="A151">
        <v>0</v>
      </c>
      <c r="C151">
        <v>0.29130505953668856</v>
      </c>
      <c r="D151">
        <v>3.7899753459779522</v>
      </c>
      <c r="E151">
        <v>2.7670321178317625</v>
      </c>
      <c r="F151">
        <v>442294000</v>
      </c>
      <c r="G151" s="45">
        <v>3.18</v>
      </c>
      <c r="H151">
        <v>3.0962405795987471</v>
      </c>
      <c r="I151">
        <v>0.10037054511756291</v>
      </c>
    </row>
    <row r="152" spans="1:9" x14ac:dyDescent="0.35">
      <c r="A152">
        <v>0</v>
      </c>
      <c r="C152">
        <v>0.18375870000821695</v>
      </c>
      <c r="D152">
        <v>3.7899753459779522</v>
      </c>
      <c r="E152">
        <v>2.7670321178317625</v>
      </c>
      <c r="F152">
        <v>131000000</v>
      </c>
      <c r="G152" s="45">
        <v>3.18</v>
      </c>
      <c r="H152">
        <v>3.0962405795987471</v>
      </c>
      <c r="I152">
        <v>-1.7728766960431602E-2</v>
      </c>
    </row>
    <row r="153" spans="1:9" x14ac:dyDescent="0.35">
      <c r="A153">
        <v>0</v>
      </c>
      <c r="C153">
        <v>0.26556229421670802</v>
      </c>
      <c r="D153">
        <v>2.6208956659919629</v>
      </c>
      <c r="E153">
        <v>2.3401134757058348</v>
      </c>
      <c r="F153">
        <v>163662957</v>
      </c>
      <c r="G153" s="45">
        <v>3.65</v>
      </c>
      <c r="H153">
        <v>3.212261842580872</v>
      </c>
      <c r="I153">
        <v>2.9383777685209667E-2</v>
      </c>
    </row>
    <row r="154" spans="1:9" x14ac:dyDescent="0.35">
      <c r="A154">
        <v>0</v>
      </c>
      <c r="C154">
        <v>0.21748394421390627</v>
      </c>
      <c r="D154">
        <v>2.7187258365781268</v>
      </c>
      <c r="E154">
        <v>3.0910217769380406</v>
      </c>
      <c r="F154">
        <v>400000000</v>
      </c>
      <c r="G154" s="45">
        <v>3.57</v>
      </c>
      <c r="H154">
        <v>3.212261842580872</v>
      </c>
      <c r="I154">
        <v>0.24054924828259971</v>
      </c>
    </row>
    <row r="155" spans="1:9" x14ac:dyDescent="0.35">
      <c r="A155">
        <v>0</v>
      </c>
      <c r="C155">
        <v>0.13929335130964862</v>
      </c>
      <c r="D155">
        <v>2.7187258365781268</v>
      </c>
      <c r="E155">
        <v>3.0910217769380406</v>
      </c>
      <c r="F155">
        <v>712065680</v>
      </c>
      <c r="G155" s="45">
        <v>3.58</v>
      </c>
      <c r="H155">
        <v>3.212261842580872</v>
      </c>
      <c r="I155">
        <v>5.6904851336472641E-2</v>
      </c>
    </row>
    <row r="156" spans="1:9" x14ac:dyDescent="0.35">
      <c r="A156">
        <v>0</v>
      </c>
      <c r="C156">
        <v>0.25978950514211202</v>
      </c>
      <c r="D156">
        <v>2.7187258365781268</v>
      </c>
      <c r="E156">
        <v>3.0910217769380406</v>
      </c>
      <c r="F156">
        <v>398000000</v>
      </c>
      <c r="G156" s="45">
        <v>3.59</v>
      </c>
      <c r="H156">
        <v>3.212261842580872</v>
      </c>
      <c r="I156">
        <v>-0.15490195998574319</v>
      </c>
    </row>
    <row r="157" spans="1:9" x14ac:dyDescent="0.35">
      <c r="A157">
        <v>0</v>
      </c>
      <c r="C157">
        <v>-0.17885209215101669</v>
      </c>
      <c r="D157">
        <v>2.5987029826834349</v>
      </c>
      <c r="E157">
        <v>2.5401208298279827</v>
      </c>
      <c r="F157">
        <v>599000000</v>
      </c>
      <c r="G157" s="45">
        <v>3.35</v>
      </c>
      <c r="H157">
        <v>3.212261842580872</v>
      </c>
      <c r="I157">
        <v>0.26481782300953643</v>
      </c>
    </row>
    <row r="158" spans="1:9" x14ac:dyDescent="0.35">
      <c r="A158">
        <v>0</v>
      </c>
      <c r="C158">
        <v>0.89805681551283612</v>
      </c>
      <c r="D158">
        <v>2.5987029826834349</v>
      </c>
      <c r="E158">
        <v>2.5401208298279827</v>
      </c>
      <c r="F158">
        <v>16818793</v>
      </c>
      <c r="G158" s="45">
        <v>3.35</v>
      </c>
      <c r="H158">
        <v>3.212261842580872</v>
      </c>
      <c r="I158">
        <v>0.13353890837021748</v>
      </c>
    </row>
    <row r="159" spans="1:9" x14ac:dyDescent="0.35">
      <c r="A159">
        <v>0</v>
      </c>
      <c r="C159">
        <v>0.44369749923271273</v>
      </c>
      <c r="D159">
        <v>3.1566248585544785</v>
      </c>
      <c r="E159">
        <v>2.8438554226231609</v>
      </c>
      <c r="F159">
        <v>360000000</v>
      </c>
      <c r="G159" s="45">
        <v>3.03</v>
      </c>
      <c r="H159">
        <v>3.3209851425446502</v>
      </c>
      <c r="I159">
        <v>-7.0581074285707285E-2</v>
      </c>
    </row>
    <row r="160" spans="1:9" x14ac:dyDescent="0.35">
      <c r="A160">
        <v>0</v>
      </c>
      <c r="C160">
        <v>0.1290946963794577</v>
      </c>
      <c r="D160">
        <v>2.5362300726332561</v>
      </c>
      <c r="E160">
        <v>2.756001823801419</v>
      </c>
      <c r="F160">
        <v>65000000</v>
      </c>
      <c r="G160" s="45">
        <v>2.3199999999999998</v>
      </c>
      <c r="H160">
        <v>3.3209851425446502</v>
      </c>
      <c r="I160">
        <v>-8.7739243075051505E-3</v>
      </c>
    </row>
    <row r="161" spans="1:9" x14ac:dyDescent="0.35">
      <c r="A161">
        <v>0</v>
      </c>
      <c r="C161">
        <v>0.27300127206373764</v>
      </c>
      <c r="D161">
        <v>2.5362300726332561</v>
      </c>
      <c r="E161">
        <v>2.756001823801419</v>
      </c>
      <c r="F161">
        <v>320000000</v>
      </c>
      <c r="G161" s="45">
        <v>2.3199999999999998</v>
      </c>
      <c r="H161">
        <v>3.3209851425446502</v>
      </c>
      <c r="I161">
        <v>8.9905111439397931E-2</v>
      </c>
    </row>
    <row r="162" spans="1:9" x14ac:dyDescent="0.35">
      <c r="A162">
        <v>0</v>
      </c>
      <c r="C162">
        <v>0.23484811525374724</v>
      </c>
      <c r="D162">
        <v>2.5362300726332561</v>
      </c>
      <c r="E162">
        <v>2.756001823801419</v>
      </c>
      <c r="F162">
        <v>520000000</v>
      </c>
      <c r="G162" s="45">
        <v>2.3199999999999998</v>
      </c>
      <c r="H162">
        <v>3.3209851425446502</v>
      </c>
      <c r="I162">
        <v>9.691001300805642E-2</v>
      </c>
    </row>
    <row r="163" spans="1:9" x14ac:dyDescent="0.35">
      <c r="A163">
        <v>0</v>
      </c>
      <c r="C163">
        <v>-6.4240896254688248E-2</v>
      </c>
      <c r="D163">
        <v>3.1568882168601933</v>
      </c>
      <c r="E163">
        <v>2.7825920506710684</v>
      </c>
      <c r="F163">
        <v>800000000</v>
      </c>
      <c r="G163" s="45">
        <v>2.5099999999999998</v>
      </c>
      <c r="H163">
        <v>3.1884249941294067</v>
      </c>
      <c r="I163">
        <v>0.3820170425748684</v>
      </c>
    </row>
    <row r="164" spans="1:9" x14ac:dyDescent="0.35">
      <c r="A164">
        <v>0</v>
      </c>
      <c r="C164">
        <v>0.5123812603488811</v>
      </c>
      <c r="D164">
        <v>0</v>
      </c>
      <c r="E164">
        <v>0</v>
      </c>
      <c r="F164">
        <v>46270000</v>
      </c>
      <c r="G164" s="45">
        <v>3.59</v>
      </c>
      <c r="H164">
        <v>3.1884249941294067</v>
      </c>
      <c r="I164">
        <v>0.32428245529769273</v>
      </c>
    </row>
    <row r="165" spans="1:9" x14ac:dyDescent="0.35">
      <c r="A165">
        <v>0</v>
      </c>
      <c r="C165">
        <v>0.39973663535655063</v>
      </c>
      <c r="D165">
        <v>0</v>
      </c>
      <c r="E165">
        <v>0</v>
      </c>
      <c r="F165">
        <v>275000000</v>
      </c>
      <c r="G165" s="45">
        <v>3.59</v>
      </c>
      <c r="H165">
        <v>3.1884249941294067</v>
      </c>
      <c r="I165">
        <v>0.13353890837021748</v>
      </c>
    </row>
    <row r="166" spans="1:9" x14ac:dyDescent="0.35">
      <c r="A166">
        <v>0</v>
      </c>
      <c r="C166">
        <v>0.76929065710878552</v>
      </c>
      <c r="D166">
        <v>2.6208956659919629</v>
      </c>
      <c r="E166">
        <v>2.3401134757058348</v>
      </c>
      <c r="F166">
        <v>197318285</v>
      </c>
      <c r="G166" s="45">
        <v>3.65</v>
      </c>
      <c r="H166">
        <v>3.1884249941294067</v>
      </c>
      <c r="I166">
        <v>0.24054924828259971</v>
      </c>
    </row>
    <row r="167" spans="1:9" x14ac:dyDescent="0.35">
      <c r="A167">
        <v>0</v>
      </c>
      <c r="C167">
        <v>0.58357658563394932</v>
      </c>
      <c r="D167">
        <v>3.7707754512906644</v>
      </c>
      <c r="E167">
        <v>2.1238516409670858</v>
      </c>
      <c r="F167">
        <v>12000000</v>
      </c>
      <c r="G167" s="45">
        <v>2.3199999999999998</v>
      </c>
      <c r="H167">
        <v>3.1990557401914899</v>
      </c>
      <c r="I167">
        <v>-5.0609993355087209E-2</v>
      </c>
    </row>
    <row r="168" spans="1:9" x14ac:dyDescent="0.35">
      <c r="A168">
        <v>0</v>
      </c>
      <c r="C168">
        <v>-0.76447155309245129</v>
      </c>
      <c r="D168">
        <v>0</v>
      </c>
      <c r="E168">
        <v>0</v>
      </c>
      <c r="F168">
        <v>10000000</v>
      </c>
      <c r="G168" s="45">
        <v>3.29</v>
      </c>
      <c r="H168">
        <v>3.1990557401914899</v>
      </c>
      <c r="I168">
        <v>-8.6186147616283279E-2</v>
      </c>
    </row>
    <row r="169" spans="1:9" x14ac:dyDescent="0.35">
      <c r="A169">
        <v>1</v>
      </c>
      <c r="C169">
        <v>-2</v>
      </c>
      <c r="D169">
        <v>3.0625406208792199</v>
      </c>
      <c r="E169">
        <v>2.8714756364568856</v>
      </c>
      <c r="F169">
        <v>15000000</v>
      </c>
      <c r="G169" s="45">
        <v>3.27</v>
      </c>
      <c r="H169">
        <v>3.2566108558755684</v>
      </c>
      <c r="I169">
        <v>0.18184358794477254</v>
      </c>
    </row>
    <row r="170" spans="1:9" x14ac:dyDescent="0.35">
      <c r="A170">
        <v>0</v>
      </c>
      <c r="C170">
        <v>0.14612803567823801</v>
      </c>
      <c r="D170">
        <v>3.7845345619950592</v>
      </c>
      <c r="E170">
        <v>2.9168924084376502</v>
      </c>
      <c r="F170">
        <v>1000000000</v>
      </c>
      <c r="G170" s="45">
        <v>2.81</v>
      </c>
      <c r="H170">
        <v>3.1574743240259107</v>
      </c>
      <c r="I170">
        <v>0.14921911265537988</v>
      </c>
    </row>
    <row r="171" spans="1:9" x14ac:dyDescent="0.35">
      <c r="A171">
        <v>0</v>
      </c>
      <c r="C171">
        <v>0.23201101174001795</v>
      </c>
      <c r="D171">
        <v>3.7707754512906644</v>
      </c>
      <c r="E171">
        <v>2.1238516409670858</v>
      </c>
      <c r="F171">
        <v>342170000</v>
      </c>
      <c r="G171" s="45">
        <v>2.3199999999999998</v>
      </c>
      <c r="H171">
        <v>3.1574743240259107</v>
      </c>
      <c r="I171">
        <v>0.26481782300953643</v>
      </c>
    </row>
    <row r="172" spans="1:9" x14ac:dyDescent="0.35">
      <c r="A172">
        <v>0</v>
      </c>
      <c r="C172">
        <v>5.2714734498433974E-2</v>
      </c>
      <c r="D172">
        <v>0</v>
      </c>
      <c r="E172">
        <v>0</v>
      </c>
      <c r="F172">
        <v>740000000</v>
      </c>
      <c r="G172" s="45">
        <v>2.66</v>
      </c>
      <c r="H172">
        <v>3.1867416979308154</v>
      </c>
      <c r="I172">
        <v>-3.6212172654444715E-2</v>
      </c>
    </row>
    <row r="173" spans="1:9" x14ac:dyDescent="0.35">
      <c r="A173">
        <v>0</v>
      </c>
      <c r="C173">
        <v>0.40857862429993902</v>
      </c>
      <c r="D173">
        <v>2.5542346870234227</v>
      </c>
      <c r="E173">
        <v>2.9876662649262746</v>
      </c>
      <c r="F173">
        <v>669790000</v>
      </c>
      <c r="G173" s="45">
        <v>3.16</v>
      </c>
      <c r="H173">
        <v>3.0962405795987471</v>
      </c>
      <c r="I173">
        <v>-3.6212172654444715E-2</v>
      </c>
    </row>
    <row r="174" spans="1:9" x14ac:dyDescent="0.35">
      <c r="A174">
        <v>0</v>
      </c>
      <c r="C174">
        <v>-0.19604918633510771</v>
      </c>
      <c r="D174">
        <v>2.5542346870234227</v>
      </c>
      <c r="E174">
        <v>2.9876662649262746</v>
      </c>
      <c r="F174">
        <v>4700000000</v>
      </c>
      <c r="G174" s="45">
        <v>3.16</v>
      </c>
      <c r="H174">
        <v>3.0962405795987471</v>
      </c>
      <c r="I174">
        <v>7.1882007306125359E-2</v>
      </c>
    </row>
    <row r="175" spans="1:9" x14ac:dyDescent="0.35">
      <c r="A175">
        <v>0</v>
      </c>
      <c r="C175">
        <v>0.24178707955854389</v>
      </c>
      <c r="D175">
        <v>2.9629325585580042</v>
      </c>
      <c r="E175">
        <v>2.9323046139517812</v>
      </c>
      <c r="F175">
        <v>1490000000</v>
      </c>
      <c r="G175" s="45">
        <v>2.62</v>
      </c>
      <c r="H175">
        <v>3.0962405795987471</v>
      </c>
      <c r="I175">
        <v>0.1903316981702915</v>
      </c>
    </row>
    <row r="176" spans="1:9" x14ac:dyDescent="0.35">
      <c r="A176">
        <v>0</v>
      </c>
      <c r="C176">
        <v>0.3010299956639812</v>
      </c>
      <c r="D176">
        <v>2.9629325585580042</v>
      </c>
      <c r="E176">
        <v>2.9323046139517812</v>
      </c>
      <c r="F176">
        <v>400000000</v>
      </c>
      <c r="G176" s="45">
        <v>2.62</v>
      </c>
      <c r="H176">
        <v>3.0962405795987471</v>
      </c>
      <c r="I176">
        <v>0.2355284469075489</v>
      </c>
    </row>
    <row r="177" spans="1:9" x14ac:dyDescent="0.35">
      <c r="A177">
        <v>0</v>
      </c>
      <c r="C177">
        <v>0.24303804868629444</v>
      </c>
      <c r="D177">
        <v>2.5362300726332561</v>
      </c>
      <c r="E177">
        <v>2.756001823801419</v>
      </c>
      <c r="F177">
        <v>800000000</v>
      </c>
      <c r="G177" s="45">
        <v>2.3199999999999998</v>
      </c>
      <c r="H177">
        <v>3.0962405795987471</v>
      </c>
      <c r="I177">
        <v>0.24303804868629444</v>
      </c>
    </row>
    <row r="178" spans="1:9" x14ac:dyDescent="0.35">
      <c r="A178">
        <v>0</v>
      </c>
      <c r="C178">
        <v>-0.17270020850490278</v>
      </c>
      <c r="D178">
        <v>2.5362300726332561</v>
      </c>
      <c r="E178">
        <v>2.756001823801419</v>
      </c>
      <c r="F178">
        <v>893000000</v>
      </c>
      <c r="G178" s="45">
        <v>2.3199999999999998</v>
      </c>
      <c r="H178">
        <v>3.0962405795987471</v>
      </c>
      <c r="I178">
        <v>0.1903316981702915</v>
      </c>
    </row>
    <row r="179" spans="1:9" x14ac:dyDescent="0.35">
      <c r="A179">
        <v>0</v>
      </c>
      <c r="C179">
        <v>3.7937368562579774E-2</v>
      </c>
      <c r="D179">
        <v>2.5362300726332561</v>
      </c>
      <c r="E179">
        <v>2.756001823801419</v>
      </c>
      <c r="F179">
        <v>337000000</v>
      </c>
      <c r="G179" s="45">
        <v>2.3199999999999998</v>
      </c>
      <c r="H179">
        <v>3.0962405795987471</v>
      </c>
      <c r="I179">
        <v>7.9181246047624818E-2</v>
      </c>
    </row>
    <row r="180" spans="1:9" x14ac:dyDescent="0.35">
      <c r="A180">
        <v>0</v>
      </c>
      <c r="C180">
        <v>9.691001300805642E-2</v>
      </c>
      <c r="D180">
        <v>2.5362300726332561</v>
      </c>
      <c r="E180">
        <v>2.756001823801419</v>
      </c>
      <c r="F180">
        <v>416000000</v>
      </c>
      <c r="G180" s="45">
        <v>2.3199999999999998</v>
      </c>
      <c r="H180">
        <v>3.0962405795987471</v>
      </c>
      <c r="I180">
        <v>-0.14874165128092473</v>
      </c>
    </row>
    <row r="181" spans="1:9" x14ac:dyDescent="0.35">
      <c r="A181">
        <v>1</v>
      </c>
      <c r="C181">
        <v>-2</v>
      </c>
      <c r="D181">
        <v>2.6903467274930635</v>
      </c>
      <c r="E181">
        <v>2.7508939203821252</v>
      </c>
      <c r="F181">
        <v>2075000000</v>
      </c>
      <c r="G181" s="45">
        <v>2.59</v>
      </c>
      <c r="H181">
        <v>3.0962405795987471</v>
      </c>
      <c r="I181">
        <v>0</v>
      </c>
    </row>
    <row r="182" spans="1:9" x14ac:dyDescent="0.35">
      <c r="A182">
        <v>0</v>
      </c>
      <c r="C182">
        <v>0.13951136413231044</v>
      </c>
      <c r="D182">
        <v>3.7707754512906644</v>
      </c>
      <c r="E182">
        <v>2.1238516409670858</v>
      </c>
      <c r="F182">
        <v>664693000</v>
      </c>
      <c r="G182" s="45">
        <v>2.3199999999999998</v>
      </c>
      <c r="H182">
        <v>3.0962405795987471</v>
      </c>
      <c r="I182">
        <v>0.18184358794477254</v>
      </c>
    </row>
    <row r="183" spans="1:9" x14ac:dyDescent="0.35">
      <c r="A183">
        <v>0</v>
      </c>
      <c r="C183">
        <v>0.13382641228938827</v>
      </c>
      <c r="D183">
        <v>3.7707754512906644</v>
      </c>
      <c r="E183">
        <v>2.1238516409670858</v>
      </c>
      <c r="F183">
        <v>322000000</v>
      </c>
      <c r="G183" s="45">
        <v>2.3199999999999998</v>
      </c>
      <c r="H183">
        <v>3.0962405795987471</v>
      </c>
      <c r="I183">
        <v>4.5322978786657475E-2</v>
      </c>
    </row>
    <row r="184" spans="1:9" x14ac:dyDescent="0.35">
      <c r="A184">
        <v>0</v>
      </c>
      <c r="C184">
        <v>-0.13033376849500614</v>
      </c>
      <c r="D184">
        <v>3.1016130541812235</v>
      </c>
      <c r="E184">
        <v>2.9811387826406603</v>
      </c>
      <c r="F184">
        <v>675000000</v>
      </c>
      <c r="G184" s="45">
        <v>2.4700000000000002</v>
      </c>
      <c r="H184">
        <v>3.0962405795987471</v>
      </c>
      <c r="I184">
        <v>-0.23657200643706267</v>
      </c>
    </row>
    <row r="185" spans="1:9" x14ac:dyDescent="0.35">
      <c r="A185">
        <v>0</v>
      </c>
      <c r="C185">
        <v>0.15295425796258474</v>
      </c>
      <c r="D185">
        <v>3.1568882168601933</v>
      </c>
      <c r="E185">
        <v>2.7825920506710684</v>
      </c>
      <c r="F185">
        <v>2570000000</v>
      </c>
      <c r="G185" s="45">
        <v>2.5099999999999998</v>
      </c>
      <c r="H185">
        <v>3.0962405795987471</v>
      </c>
      <c r="I185">
        <v>7.9181246047624818E-2</v>
      </c>
    </row>
    <row r="186" spans="1:9" x14ac:dyDescent="0.35">
      <c r="A186">
        <v>0</v>
      </c>
      <c r="C186">
        <v>0.30686665541695157</v>
      </c>
      <c r="D186">
        <v>3.7707754512906644</v>
      </c>
      <c r="E186">
        <v>2.1238516409670858</v>
      </c>
      <c r="F186">
        <v>415000000</v>
      </c>
      <c r="G186" s="45">
        <v>2.3199999999999998</v>
      </c>
      <c r="H186">
        <v>3.2327651641054547</v>
      </c>
      <c r="I186">
        <v>-6.5501548756432285E-2</v>
      </c>
    </row>
    <row r="187" spans="1:9" x14ac:dyDescent="0.35">
      <c r="A187">
        <v>0</v>
      </c>
      <c r="C187">
        <v>0.20885920560465057</v>
      </c>
      <c r="D187">
        <v>3.0625406208792199</v>
      </c>
      <c r="E187">
        <v>2.8714756364568856</v>
      </c>
      <c r="F187">
        <v>450000000</v>
      </c>
      <c r="G187" s="45">
        <v>3.06</v>
      </c>
      <c r="H187">
        <v>3.2327651641054547</v>
      </c>
      <c r="I187">
        <v>5.6904851336472641E-2</v>
      </c>
    </row>
    <row r="188" spans="1:9" x14ac:dyDescent="0.35">
      <c r="A188">
        <v>0</v>
      </c>
      <c r="C188">
        <v>0.4117282931576709</v>
      </c>
      <c r="D188">
        <v>3.1566248585544785</v>
      </c>
      <c r="E188">
        <v>2.8438554226231609</v>
      </c>
      <c r="F188">
        <v>465000000</v>
      </c>
      <c r="G188" s="45">
        <v>3.03</v>
      </c>
      <c r="H188">
        <v>3.2327651641054547</v>
      </c>
      <c r="I188">
        <v>9.691001300805642E-2</v>
      </c>
    </row>
    <row r="189" spans="1:9" x14ac:dyDescent="0.35">
      <c r="A189">
        <v>0</v>
      </c>
      <c r="C189">
        <v>0.36797678529459443</v>
      </c>
      <c r="D189">
        <v>2.5542346870234227</v>
      </c>
      <c r="E189">
        <v>2.9876662649262746</v>
      </c>
      <c r="F189">
        <v>300000000</v>
      </c>
      <c r="G189" s="45">
        <v>3.16</v>
      </c>
      <c r="H189">
        <v>3.2327651641054547</v>
      </c>
      <c r="I189">
        <v>0.12385164096708581</v>
      </c>
    </row>
    <row r="190" spans="1:9" x14ac:dyDescent="0.35">
      <c r="A190">
        <v>0</v>
      </c>
      <c r="C190">
        <v>0.53289365565722702</v>
      </c>
      <c r="D190">
        <v>0</v>
      </c>
      <c r="E190">
        <v>0</v>
      </c>
      <c r="F190">
        <v>320000000</v>
      </c>
      <c r="G190" s="45">
        <v>3.29</v>
      </c>
      <c r="H190">
        <v>3.2327651641054547</v>
      </c>
      <c r="I190">
        <v>0.33243845991560533</v>
      </c>
    </row>
    <row r="191" spans="1:9" x14ac:dyDescent="0.35">
      <c r="A191">
        <v>0</v>
      </c>
      <c r="C191">
        <v>0.30526090847065979</v>
      </c>
      <c r="D191">
        <v>3.7707754512906644</v>
      </c>
      <c r="E191">
        <v>2.1238516409670858</v>
      </c>
      <c r="F191">
        <v>940790000</v>
      </c>
      <c r="G191" s="45">
        <v>2.3199999999999998</v>
      </c>
      <c r="H191">
        <v>3.2327651641054547</v>
      </c>
      <c r="I191">
        <v>0.11394335230683679</v>
      </c>
    </row>
    <row r="192" spans="1:9" x14ac:dyDescent="0.35">
      <c r="A192">
        <v>0</v>
      </c>
      <c r="C192">
        <v>0.28280517555778212</v>
      </c>
      <c r="D192">
        <v>2.5542346870234227</v>
      </c>
      <c r="E192">
        <v>2.9876662649262746</v>
      </c>
      <c r="F192">
        <v>182500000</v>
      </c>
      <c r="G192" s="45">
        <v>3.16</v>
      </c>
      <c r="H192">
        <v>3.2327651641054547</v>
      </c>
      <c r="I192">
        <v>0.12710479836480765</v>
      </c>
    </row>
    <row r="193" spans="1:9" x14ac:dyDescent="0.35">
      <c r="A193">
        <v>0</v>
      </c>
      <c r="C193">
        <v>0.25809188504009289</v>
      </c>
      <c r="D193">
        <v>0</v>
      </c>
      <c r="E193">
        <v>0</v>
      </c>
      <c r="F193">
        <v>84660000</v>
      </c>
      <c r="G193" s="45">
        <v>3.29</v>
      </c>
      <c r="H193">
        <v>3.2327651641054547</v>
      </c>
      <c r="I193">
        <v>0.27184160653649897</v>
      </c>
    </row>
    <row r="194" spans="1:9" x14ac:dyDescent="0.35">
      <c r="A194">
        <v>0</v>
      </c>
      <c r="C194">
        <v>6.3955656373769681E-2</v>
      </c>
      <c r="D194">
        <v>2.5075455505094206</v>
      </c>
      <c r="E194">
        <v>2.6517624473801109</v>
      </c>
      <c r="F194">
        <v>1035680000</v>
      </c>
      <c r="G194" s="45">
        <v>2.91</v>
      </c>
      <c r="H194">
        <v>3.2327651641054547</v>
      </c>
      <c r="I194">
        <v>0.16435285578443709</v>
      </c>
    </row>
    <row r="195" spans="1:9" x14ac:dyDescent="0.35">
      <c r="A195">
        <v>0</v>
      </c>
      <c r="C195">
        <v>4.6804524432146763E-2</v>
      </c>
      <c r="D195">
        <v>2.8904489647796185</v>
      </c>
      <c r="E195">
        <v>2.4068239403146179</v>
      </c>
      <c r="F195">
        <v>580000000</v>
      </c>
      <c r="G195" s="45">
        <v>3.18</v>
      </c>
      <c r="H195">
        <v>3.2327651641054547</v>
      </c>
      <c r="I195">
        <v>4.1392685158225077E-2</v>
      </c>
    </row>
    <row r="196" spans="1:9" x14ac:dyDescent="0.35">
      <c r="A196">
        <v>0</v>
      </c>
      <c r="C196">
        <v>0.15348346831020904</v>
      </c>
      <c r="D196">
        <v>2.5362300726332561</v>
      </c>
      <c r="E196">
        <v>2.756001823801419</v>
      </c>
      <c r="F196">
        <v>920000000</v>
      </c>
      <c r="G196" s="45">
        <v>2.3199999999999998</v>
      </c>
      <c r="H196">
        <v>3.2327651641054547</v>
      </c>
      <c r="I196">
        <v>2.1189299069938092E-2</v>
      </c>
    </row>
    <row r="197" spans="1:9" x14ac:dyDescent="0.35">
      <c r="A197">
        <v>0</v>
      </c>
      <c r="C197">
        <v>-0.49717729747086076</v>
      </c>
      <c r="D197">
        <v>0</v>
      </c>
      <c r="E197">
        <v>0</v>
      </c>
      <c r="F197">
        <v>210500000</v>
      </c>
      <c r="G197" s="45">
        <v>3.29</v>
      </c>
      <c r="H197">
        <v>3.2327651641054547</v>
      </c>
      <c r="I197">
        <v>1.2837224705172217E-2</v>
      </c>
    </row>
    <row r="198" spans="1:9" x14ac:dyDescent="0.35">
      <c r="A198">
        <v>0</v>
      </c>
      <c r="C198">
        <v>-7.0317785716319775E-2</v>
      </c>
      <c r="D198">
        <v>0</v>
      </c>
      <c r="E198">
        <v>0</v>
      </c>
      <c r="F198">
        <v>194000000</v>
      </c>
      <c r="G198" s="45">
        <v>3.29</v>
      </c>
      <c r="H198">
        <v>3.2327651641054547</v>
      </c>
      <c r="I198">
        <v>-0.13076828026902382</v>
      </c>
    </row>
    <row r="199" spans="1:9" x14ac:dyDescent="0.35">
      <c r="A199">
        <v>0</v>
      </c>
      <c r="C199">
        <v>-0.58883172559420727</v>
      </c>
      <c r="D199">
        <v>0</v>
      </c>
      <c r="E199">
        <v>0</v>
      </c>
      <c r="F199">
        <v>194000000</v>
      </c>
      <c r="G199" s="45">
        <v>3.29</v>
      </c>
      <c r="H199">
        <v>3.2327651641054547</v>
      </c>
      <c r="I199">
        <v>-0.18708664335714442</v>
      </c>
    </row>
    <row r="200" spans="1:9" x14ac:dyDescent="0.35">
      <c r="A200">
        <v>0</v>
      </c>
      <c r="C200">
        <v>0.21195514674005575</v>
      </c>
      <c r="D200">
        <v>2.6674249329872439</v>
      </c>
      <c r="E200">
        <v>2.2881746749783951</v>
      </c>
      <c r="F200">
        <v>386710000</v>
      </c>
      <c r="G200" s="45">
        <v>2.61</v>
      </c>
      <c r="H200">
        <v>3.2327651641054547</v>
      </c>
      <c r="I200">
        <v>-8.092190762392612E-2</v>
      </c>
    </row>
    <row r="201" spans="1:9" x14ac:dyDescent="0.35">
      <c r="A201">
        <v>0</v>
      </c>
      <c r="C201">
        <v>0.12671499463410296</v>
      </c>
      <c r="D201">
        <v>0</v>
      </c>
      <c r="E201">
        <v>0</v>
      </c>
      <c r="F201">
        <v>183000000</v>
      </c>
      <c r="G201" s="45">
        <v>3.29</v>
      </c>
      <c r="H201">
        <v>3.2327651641054547</v>
      </c>
      <c r="I201">
        <v>-6.5501548756432285E-2</v>
      </c>
    </row>
    <row r="202" spans="1:9" x14ac:dyDescent="0.35">
      <c r="A202">
        <v>0</v>
      </c>
      <c r="C202">
        <v>0.1337635315040327</v>
      </c>
      <c r="D202">
        <v>2.5075455505094206</v>
      </c>
      <c r="E202">
        <v>2.6517624473801109</v>
      </c>
      <c r="F202">
        <v>26720000</v>
      </c>
      <c r="G202" s="45">
        <v>2.91</v>
      </c>
      <c r="H202">
        <v>3.2327651641054547</v>
      </c>
      <c r="I202">
        <v>-0.13667713987954411</v>
      </c>
    </row>
    <row r="203" spans="1:9" x14ac:dyDescent="0.35">
      <c r="A203">
        <v>0</v>
      </c>
      <c r="C203">
        <v>0.19188552623891317</v>
      </c>
      <c r="D203">
        <v>0</v>
      </c>
      <c r="E203">
        <v>0</v>
      </c>
      <c r="F203">
        <v>360000000</v>
      </c>
      <c r="G203" s="45">
        <v>3.29</v>
      </c>
      <c r="H203">
        <v>3.2327651641054547</v>
      </c>
      <c r="I203">
        <v>2.5305865264770262E-2</v>
      </c>
    </row>
    <row r="204" spans="1:9" x14ac:dyDescent="0.35">
      <c r="A204">
        <v>0</v>
      </c>
      <c r="C204">
        <v>-7.3010391223115631E-2</v>
      </c>
      <c r="D204">
        <v>0</v>
      </c>
      <c r="E204">
        <v>0</v>
      </c>
      <c r="F204">
        <v>580000000</v>
      </c>
      <c r="G204" s="45">
        <v>3.29</v>
      </c>
      <c r="H204">
        <v>3.2327651641054547</v>
      </c>
      <c r="I204">
        <v>0.13672056715640679</v>
      </c>
    </row>
    <row r="205" spans="1:9" x14ac:dyDescent="0.35">
      <c r="A205">
        <v>0</v>
      </c>
      <c r="C205">
        <v>0.24358103609649076</v>
      </c>
      <c r="D205">
        <v>0</v>
      </c>
      <c r="E205">
        <v>0</v>
      </c>
      <c r="F205">
        <v>84500000</v>
      </c>
      <c r="G205" s="45">
        <v>3.29</v>
      </c>
      <c r="H205">
        <v>3.2327651641054547</v>
      </c>
      <c r="I205">
        <v>0.5877109650189114</v>
      </c>
    </row>
    <row r="206" spans="1:9" x14ac:dyDescent="0.35">
      <c r="A206">
        <v>0</v>
      </c>
      <c r="C206">
        <v>0.45222844311731442</v>
      </c>
      <c r="D206">
        <v>3.7916829312790057</v>
      </c>
      <c r="E206">
        <v>3.0355631414974997</v>
      </c>
      <c r="F206">
        <v>22000000</v>
      </c>
      <c r="G206" s="45">
        <v>2.72</v>
      </c>
      <c r="H206">
        <v>3.3787349600790799</v>
      </c>
      <c r="I206">
        <v>2.1189299069938092E-2</v>
      </c>
    </row>
    <row r="207" spans="1:9" x14ac:dyDescent="0.35">
      <c r="A207">
        <v>0</v>
      </c>
      <c r="C207">
        <v>0.27470105694163205</v>
      </c>
      <c r="D207">
        <v>3.1568882168601933</v>
      </c>
      <c r="E207">
        <v>2.7825920506710684</v>
      </c>
      <c r="F207">
        <v>340000000</v>
      </c>
      <c r="G207" s="45">
        <v>2.5099999999999998</v>
      </c>
      <c r="H207">
        <v>3.3314213062933389</v>
      </c>
      <c r="I207">
        <v>3.7426497940623665E-2</v>
      </c>
    </row>
    <row r="208" spans="1:9" x14ac:dyDescent="0.35">
      <c r="A208">
        <v>0</v>
      </c>
      <c r="C208">
        <v>0.28103336724772754</v>
      </c>
      <c r="D208">
        <v>2.9629325585580042</v>
      </c>
      <c r="E208">
        <v>2.9323046139517812</v>
      </c>
      <c r="F208">
        <v>500000000</v>
      </c>
      <c r="G208" s="45">
        <v>2.62</v>
      </c>
      <c r="H208">
        <v>3.3314213062933389</v>
      </c>
      <c r="I208">
        <v>5.3078443483419682E-2</v>
      </c>
    </row>
    <row r="209" spans="1:9" x14ac:dyDescent="0.35">
      <c r="A209">
        <v>0</v>
      </c>
      <c r="C209">
        <v>0.27069276805557874</v>
      </c>
      <c r="D209">
        <v>0</v>
      </c>
      <c r="E209">
        <v>0</v>
      </c>
      <c r="F209">
        <v>585000000</v>
      </c>
      <c r="G209" s="45">
        <v>3.29</v>
      </c>
      <c r="H209">
        <v>3.3314213062933389</v>
      </c>
      <c r="I209">
        <v>0.19589965240923368</v>
      </c>
    </row>
    <row r="210" spans="1:9" x14ac:dyDescent="0.35">
      <c r="A210">
        <v>0</v>
      </c>
      <c r="C210">
        <v>0.52287874528033762</v>
      </c>
      <c r="D210">
        <v>2.5362300726332561</v>
      </c>
      <c r="E210">
        <v>2.756001823801419</v>
      </c>
      <c r="F210">
        <v>180000000</v>
      </c>
      <c r="G210" s="45">
        <v>2.3199999999999998</v>
      </c>
      <c r="H210">
        <v>3.3314213062933389</v>
      </c>
      <c r="I210">
        <v>0.20139712432045145</v>
      </c>
    </row>
    <row r="211" spans="1:9" x14ac:dyDescent="0.35">
      <c r="A211">
        <v>0</v>
      </c>
      <c r="C211">
        <v>0.11115045212266668</v>
      </c>
      <c r="D211">
        <v>2.6903467274930635</v>
      </c>
      <c r="E211">
        <v>2.7508939203821252</v>
      </c>
      <c r="F211">
        <v>2400000000</v>
      </c>
      <c r="G211" s="45">
        <v>2.59</v>
      </c>
      <c r="H211">
        <v>3.3314213062933389</v>
      </c>
      <c r="I211">
        <v>8.2785370316450071E-2</v>
      </c>
    </row>
    <row r="212" spans="1:9" x14ac:dyDescent="0.35">
      <c r="A212">
        <v>0</v>
      </c>
      <c r="C212">
        <v>0.3010299956639812</v>
      </c>
      <c r="D212">
        <v>2.5362300726332561</v>
      </c>
      <c r="E212">
        <v>2.756001823801419</v>
      </c>
      <c r="F212">
        <v>350000000</v>
      </c>
      <c r="G212" s="45">
        <v>2.3199999999999998</v>
      </c>
      <c r="H212">
        <v>3.3314213062933389</v>
      </c>
      <c r="I212">
        <v>2.9383777685209667E-2</v>
      </c>
    </row>
    <row r="213" spans="1:9" x14ac:dyDescent="0.35">
      <c r="A213">
        <v>0</v>
      </c>
      <c r="C213">
        <v>-0.11350927482751812</v>
      </c>
      <c r="D213">
        <v>2.5362300726332561</v>
      </c>
      <c r="E213">
        <v>2.756001823801419</v>
      </c>
      <c r="F213">
        <v>500000000</v>
      </c>
      <c r="G213" s="45">
        <v>2.3199999999999998</v>
      </c>
      <c r="H213">
        <v>3.3314213062933389</v>
      </c>
      <c r="I213">
        <v>0.13987908640123647</v>
      </c>
    </row>
    <row r="214" spans="1:9" x14ac:dyDescent="0.35">
      <c r="A214">
        <v>0</v>
      </c>
      <c r="C214">
        <v>-7.2569549106915751E-2</v>
      </c>
      <c r="D214">
        <v>0</v>
      </c>
      <c r="E214">
        <v>0</v>
      </c>
      <c r="F214">
        <v>543660000</v>
      </c>
      <c r="G214" s="45">
        <v>3.29</v>
      </c>
      <c r="H214">
        <v>3.3314213062933389</v>
      </c>
      <c r="I214">
        <v>6.445798922691845E-2</v>
      </c>
    </row>
    <row r="215" spans="1:9" x14ac:dyDescent="0.35">
      <c r="A215">
        <v>0</v>
      </c>
      <c r="C215">
        <v>-1.6751726094119797E-2</v>
      </c>
      <c r="D215">
        <v>2.5362300726332561</v>
      </c>
      <c r="E215">
        <v>2.756001823801419</v>
      </c>
      <c r="F215">
        <v>3700000000</v>
      </c>
      <c r="G215" s="45">
        <v>2.3199999999999998</v>
      </c>
      <c r="H215">
        <v>3.3314213062933389</v>
      </c>
      <c r="I215">
        <v>0.36548798489089973</v>
      </c>
    </row>
    <row r="216" spans="1:9" x14ac:dyDescent="0.35">
      <c r="A216">
        <v>0</v>
      </c>
      <c r="C216">
        <v>0.40575447990253999</v>
      </c>
      <c r="D216">
        <v>0</v>
      </c>
      <c r="E216">
        <v>0</v>
      </c>
      <c r="F216">
        <v>856450000</v>
      </c>
      <c r="G216" s="45">
        <v>3.29</v>
      </c>
      <c r="H216">
        <v>3.3314213062933389</v>
      </c>
      <c r="I216">
        <v>0.13672056715640679</v>
      </c>
    </row>
    <row r="217" spans="1:9" x14ac:dyDescent="0.35">
      <c r="A217">
        <v>0</v>
      </c>
      <c r="C217">
        <v>0.16287088965701854</v>
      </c>
      <c r="D217">
        <v>2.5362300726332561</v>
      </c>
      <c r="E217">
        <v>2.756001823801419</v>
      </c>
      <c r="F217">
        <v>756000000</v>
      </c>
      <c r="G217" s="45">
        <v>2.3199999999999998</v>
      </c>
      <c r="H217">
        <v>3.3314213062933389</v>
      </c>
      <c r="I217">
        <v>5.6904851336472641E-2</v>
      </c>
    </row>
    <row r="218" spans="1:9" x14ac:dyDescent="0.35">
      <c r="A218">
        <v>0</v>
      </c>
      <c r="C218">
        <v>0.3128725024674901</v>
      </c>
      <c r="D218">
        <v>0</v>
      </c>
      <c r="E218">
        <v>0</v>
      </c>
      <c r="F218">
        <v>505000000</v>
      </c>
      <c r="G218" s="45">
        <v>3.29</v>
      </c>
      <c r="H218">
        <v>3.3314213062933389</v>
      </c>
      <c r="I218">
        <v>-0.16749108729376372</v>
      </c>
    </row>
    <row r="219" spans="1:9" x14ac:dyDescent="0.35">
      <c r="A219">
        <v>0</v>
      </c>
      <c r="C219">
        <v>0.35654732351381263</v>
      </c>
      <c r="D219">
        <v>0</v>
      </c>
      <c r="E219">
        <v>0</v>
      </c>
      <c r="F219">
        <v>352000000</v>
      </c>
      <c r="G219" s="45">
        <v>3.29</v>
      </c>
      <c r="H219">
        <v>3.3314213062933389</v>
      </c>
      <c r="I219">
        <v>4.5322978786657475E-2</v>
      </c>
    </row>
    <row r="220" spans="1:9" x14ac:dyDescent="0.35">
      <c r="A220">
        <v>0</v>
      </c>
      <c r="C220">
        <v>-0.38209714220653945</v>
      </c>
      <c r="D220">
        <v>0</v>
      </c>
      <c r="E220">
        <v>0</v>
      </c>
      <c r="F220">
        <v>380000000</v>
      </c>
      <c r="G220" s="45">
        <v>3.29</v>
      </c>
      <c r="H220">
        <v>3.3314213062933389</v>
      </c>
      <c r="I220">
        <v>0.17318626841227402</v>
      </c>
    </row>
    <row r="221" spans="1:9" x14ac:dyDescent="0.35">
      <c r="A221">
        <v>0</v>
      </c>
      <c r="C221">
        <v>0.45307083395064052</v>
      </c>
      <c r="D221">
        <v>3.7707754512906644</v>
      </c>
      <c r="E221">
        <v>2.1238516409670858</v>
      </c>
      <c r="F221">
        <v>273500000</v>
      </c>
      <c r="G221" s="45">
        <v>2.3199999999999998</v>
      </c>
      <c r="H221">
        <v>3.348721986001856</v>
      </c>
      <c r="I221">
        <v>8.2785370316450071E-2</v>
      </c>
    </row>
    <row r="222" spans="1:9" x14ac:dyDescent="0.35">
      <c r="A222">
        <v>0</v>
      </c>
      <c r="C222">
        <v>0</v>
      </c>
      <c r="D222">
        <v>3.7707754512906644</v>
      </c>
      <c r="E222">
        <v>2.1238516409670858</v>
      </c>
      <c r="F222">
        <v>350000000</v>
      </c>
      <c r="G222" s="45">
        <v>2.3199999999999998</v>
      </c>
      <c r="H222">
        <v>3.348721986001856</v>
      </c>
      <c r="I222">
        <v>5.6904851336472641E-2</v>
      </c>
    </row>
    <row r="223" spans="1:9" x14ac:dyDescent="0.35">
      <c r="A223">
        <v>0</v>
      </c>
      <c r="C223">
        <v>0.85733249643126852</v>
      </c>
      <c r="D223">
        <v>3.7845345619950592</v>
      </c>
      <c r="E223">
        <v>2.9168924084376502</v>
      </c>
      <c r="F223">
        <v>534000000</v>
      </c>
      <c r="G223" s="45">
        <v>2.81</v>
      </c>
      <c r="H223">
        <v>3.348721986001856</v>
      </c>
      <c r="I223">
        <v>0.21218760440395779</v>
      </c>
    </row>
    <row r="224" spans="1:9" x14ac:dyDescent="0.35">
      <c r="A224">
        <v>0</v>
      </c>
      <c r="C224">
        <v>0.2966651902615311</v>
      </c>
      <c r="D224">
        <v>3.8584156743566731</v>
      </c>
      <c r="E224">
        <v>2.8134697878296753</v>
      </c>
      <c r="F224">
        <v>250000000</v>
      </c>
      <c r="G224" s="45">
        <v>2.66</v>
      </c>
      <c r="H224">
        <v>3.348721986001856</v>
      </c>
      <c r="I224">
        <v>0.12385164096708581</v>
      </c>
    </row>
    <row r="225" spans="1:9" x14ac:dyDescent="0.35">
      <c r="A225">
        <v>0</v>
      </c>
      <c r="C225">
        <v>9.4324195066784917E-3</v>
      </c>
      <c r="D225">
        <v>3.8584156743566731</v>
      </c>
      <c r="E225">
        <v>2.8134697878296753</v>
      </c>
      <c r="F225">
        <v>460000000</v>
      </c>
      <c r="G225" s="45">
        <v>2.66</v>
      </c>
      <c r="H225">
        <v>3.348721986001856</v>
      </c>
      <c r="I225">
        <v>0.24551266781414982</v>
      </c>
    </row>
    <row r="226" spans="1:9" x14ac:dyDescent="0.35">
      <c r="A226">
        <v>0</v>
      </c>
      <c r="C226">
        <v>0</v>
      </c>
      <c r="D226">
        <v>0</v>
      </c>
      <c r="E226">
        <v>0</v>
      </c>
      <c r="F226">
        <v>100000000</v>
      </c>
      <c r="G226" s="45">
        <v>3.29</v>
      </c>
      <c r="H226">
        <v>3.2457564512341266</v>
      </c>
      <c r="I226">
        <v>0.10720996964786837</v>
      </c>
    </row>
    <row r="227" spans="1:9" x14ac:dyDescent="0.35">
      <c r="A227">
        <v>0</v>
      </c>
      <c r="C227">
        <v>0.75696195131370558</v>
      </c>
      <c r="D227">
        <v>2.6674249329872439</v>
      </c>
      <c r="E227">
        <v>2.2881746749783951</v>
      </c>
      <c r="F227">
        <v>17500000</v>
      </c>
      <c r="G227" s="45">
        <v>2.61</v>
      </c>
      <c r="H227">
        <v>3.2860283894181141</v>
      </c>
      <c r="I227">
        <v>-0.10790539730951958</v>
      </c>
    </row>
    <row r="228" spans="1:9" x14ac:dyDescent="0.35">
      <c r="A228">
        <v>0</v>
      </c>
      <c r="C228">
        <v>0.52287874528033762</v>
      </c>
      <c r="D228">
        <v>2.5542346870234227</v>
      </c>
      <c r="E228">
        <v>2.9876662649262746</v>
      </c>
      <c r="F228">
        <v>180000000</v>
      </c>
      <c r="G228" s="45">
        <v>3.16</v>
      </c>
      <c r="H228">
        <v>3.2860283894181141</v>
      </c>
      <c r="I228">
        <v>0.13353890837021748</v>
      </c>
    </row>
    <row r="229" spans="1:9" x14ac:dyDescent="0.35">
      <c r="A229">
        <v>0</v>
      </c>
      <c r="C229">
        <v>1.2539352388078999</v>
      </c>
      <c r="D229">
        <v>2.5542346870234227</v>
      </c>
      <c r="E229">
        <v>2.9876662649262746</v>
      </c>
      <c r="F229">
        <v>10300000</v>
      </c>
      <c r="G229" s="45">
        <v>3.16</v>
      </c>
      <c r="H229">
        <v>3.2860283894181141</v>
      </c>
      <c r="I229">
        <v>0.13033376849500614</v>
      </c>
    </row>
    <row r="230" spans="1:9" x14ac:dyDescent="0.35">
      <c r="A230">
        <v>0</v>
      </c>
      <c r="C230">
        <v>1.6020599913279623</v>
      </c>
      <c r="D230">
        <v>2.5542346870234227</v>
      </c>
      <c r="E230">
        <v>2.9876662649262746</v>
      </c>
      <c r="F230">
        <v>10000000</v>
      </c>
      <c r="G230" s="45">
        <v>3.16</v>
      </c>
      <c r="H230">
        <v>3.2860283894181141</v>
      </c>
      <c r="I230">
        <v>-8.092190762392612E-2</v>
      </c>
    </row>
    <row r="231" spans="1:9" x14ac:dyDescent="0.35">
      <c r="A231">
        <v>0</v>
      </c>
      <c r="C231">
        <v>2.7898069076135487E-3</v>
      </c>
      <c r="D231">
        <v>2.5542346870234227</v>
      </c>
      <c r="E231">
        <v>2.9876662649262746</v>
      </c>
      <c r="F231">
        <v>90000000</v>
      </c>
      <c r="G231" s="45">
        <v>3.16</v>
      </c>
      <c r="H231">
        <v>3.2860283894181141</v>
      </c>
      <c r="I231">
        <v>0.16731733474817609</v>
      </c>
    </row>
    <row r="232" spans="1:9" x14ac:dyDescent="0.35">
      <c r="A232">
        <v>0</v>
      </c>
      <c r="C232">
        <v>1.4332609045847848</v>
      </c>
      <c r="D232">
        <v>2.9629325585580042</v>
      </c>
      <c r="E232">
        <v>2.9323046139517812</v>
      </c>
      <c r="F232">
        <v>14750240</v>
      </c>
      <c r="G232" s="45">
        <v>2.62</v>
      </c>
      <c r="H232">
        <v>3.2860283894181141</v>
      </c>
      <c r="I232">
        <v>0.2355284469075489</v>
      </c>
    </row>
    <row r="233" spans="1:9" x14ac:dyDescent="0.35">
      <c r="A233">
        <v>0</v>
      </c>
      <c r="C233">
        <v>0.22475751901294613</v>
      </c>
      <c r="D233">
        <v>2.9629325585580042</v>
      </c>
      <c r="E233">
        <v>2.9323046139517812</v>
      </c>
      <c r="F233">
        <v>125158911</v>
      </c>
      <c r="G233" s="45">
        <v>2.62</v>
      </c>
      <c r="H233">
        <v>3.2860283894181141</v>
      </c>
      <c r="I233">
        <v>0.2355284469075489</v>
      </c>
    </row>
    <row r="234" spans="1:9" x14ac:dyDescent="0.35">
      <c r="A234">
        <v>0</v>
      </c>
      <c r="C234">
        <v>9.691001300805642E-2</v>
      </c>
      <c r="D234">
        <v>2.9629325585580042</v>
      </c>
      <c r="E234">
        <v>2.9323046139517812</v>
      </c>
      <c r="F234">
        <v>204800000</v>
      </c>
      <c r="G234" s="45">
        <v>2.62</v>
      </c>
      <c r="H234">
        <v>3.2860283894181141</v>
      </c>
      <c r="I234">
        <v>-4.5757490560675115E-2</v>
      </c>
    </row>
    <row r="235" spans="1:9" x14ac:dyDescent="0.35">
      <c r="A235">
        <v>0</v>
      </c>
      <c r="C235">
        <v>0.24167638572197084</v>
      </c>
      <c r="D235">
        <v>2.9629325585580042</v>
      </c>
      <c r="E235">
        <v>2.9323046139517812</v>
      </c>
      <c r="F235">
        <v>115000000</v>
      </c>
      <c r="G235" s="45">
        <v>2.62</v>
      </c>
      <c r="H235">
        <v>3.2860283894181141</v>
      </c>
      <c r="I235">
        <v>0.10037054511756291</v>
      </c>
    </row>
    <row r="236" spans="1:9" x14ac:dyDescent="0.35">
      <c r="A236">
        <v>0</v>
      </c>
      <c r="C236">
        <v>0.51673804142676738</v>
      </c>
      <c r="D236">
        <v>2.9629325585580042</v>
      </c>
      <c r="E236">
        <v>2.9323046139517812</v>
      </c>
      <c r="F236">
        <v>150000000</v>
      </c>
      <c r="G236" s="45">
        <v>2.62</v>
      </c>
      <c r="H236">
        <v>3.2860283894181141</v>
      </c>
      <c r="I236">
        <v>0.10720996964786837</v>
      </c>
    </row>
    <row r="237" spans="1:9" x14ac:dyDescent="0.35">
      <c r="A237">
        <v>0</v>
      </c>
      <c r="C237">
        <v>0.66217254470212683</v>
      </c>
      <c r="D237">
        <v>2.5987029826834349</v>
      </c>
      <c r="E237">
        <v>2.5401208298279827</v>
      </c>
      <c r="F237">
        <v>41225702</v>
      </c>
      <c r="G237" s="45">
        <v>3.35</v>
      </c>
      <c r="H237">
        <v>3.277819633965128</v>
      </c>
      <c r="I237">
        <v>2.5305865264770262E-2</v>
      </c>
    </row>
    <row r="238" spans="1:9" x14ac:dyDescent="0.35">
      <c r="A238">
        <v>0</v>
      </c>
      <c r="C238">
        <v>9.691001300805642E-2</v>
      </c>
      <c r="D238">
        <v>3.840813443212804</v>
      </c>
      <c r="E238">
        <v>2.6316128538827028</v>
      </c>
      <c r="F238">
        <v>8000000</v>
      </c>
      <c r="G238" s="45">
        <v>2.92</v>
      </c>
      <c r="H238">
        <v>3.277819633965128</v>
      </c>
      <c r="I238">
        <v>8.6359830674748214E-2</v>
      </c>
    </row>
    <row r="239" spans="1:9" x14ac:dyDescent="0.35">
      <c r="A239">
        <v>0</v>
      </c>
      <c r="C239">
        <v>0.84593942448518078</v>
      </c>
      <c r="D239">
        <v>2.5987029826834349</v>
      </c>
      <c r="E239">
        <v>2.5401208298279827</v>
      </c>
      <c r="F239">
        <v>2210000</v>
      </c>
      <c r="G239" s="45">
        <v>3.35</v>
      </c>
      <c r="H239">
        <v>3.277819633965128</v>
      </c>
      <c r="I239">
        <v>0.18469143081759881</v>
      </c>
    </row>
    <row r="240" spans="1:9" x14ac:dyDescent="0.35">
      <c r="A240">
        <v>0</v>
      </c>
      <c r="C240">
        <v>1.2117945616294652</v>
      </c>
      <c r="D240">
        <v>2.5987029826834349</v>
      </c>
      <c r="E240">
        <v>2.5401208298279827</v>
      </c>
      <c r="F240">
        <v>2177000</v>
      </c>
      <c r="G240" s="45">
        <v>3.35</v>
      </c>
      <c r="H240">
        <v>3.277819633965128</v>
      </c>
      <c r="I240">
        <v>0.13672056715640679</v>
      </c>
    </row>
    <row r="241" spans="1:9" x14ac:dyDescent="0.35">
      <c r="A241">
        <v>0</v>
      </c>
      <c r="C241">
        <v>4.0163924050212831E-2</v>
      </c>
      <c r="D241">
        <v>3.127956346922264</v>
      </c>
      <c r="E241">
        <v>2.307496037913213</v>
      </c>
      <c r="F241">
        <v>273500000</v>
      </c>
      <c r="G241" s="45">
        <v>2.93</v>
      </c>
      <c r="H241">
        <v>3.277819633965128</v>
      </c>
      <c r="I241">
        <v>-4.5757490560675115E-2</v>
      </c>
    </row>
    <row r="242" spans="1:9" x14ac:dyDescent="0.35">
      <c r="A242">
        <v>0</v>
      </c>
      <c r="C242">
        <v>0.77469071827413716</v>
      </c>
      <c r="D242">
        <v>3.1177384910037165</v>
      </c>
      <c r="E242">
        <v>2.8969852540843504</v>
      </c>
      <c r="F242">
        <v>168000000</v>
      </c>
      <c r="G242" s="45">
        <v>2.99</v>
      </c>
      <c r="H242">
        <v>3.277819633965128</v>
      </c>
      <c r="I242">
        <v>0.11058971029924898</v>
      </c>
    </row>
    <row r="243" spans="1:9" x14ac:dyDescent="0.35">
      <c r="A243">
        <v>0</v>
      </c>
      <c r="C243">
        <v>0.98506145820071134</v>
      </c>
      <c r="D243">
        <v>3.1177384910037165</v>
      </c>
      <c r="E243">
        <v>2.8969852540843504</v>
      </c>
      <c r="F243">
        <v>57890000</v>
      </c>
      <c r="G243" s="45">
        <v>2.99</v>
      </c>
      <c r="H243">
        <v>3.277819633965128</v>
      </c>
      <c r="I243">
        <v>0.11058971029924898</v>
      </c>
    </row>
    <row r="244" spans="1:9" x14ac:dyDescent="0.35">
      <c r="A244">
        <v>0</v>
      </c>
      <c r="C244">
        <v>0.25065023940252346</v>
      </c>
      <c r="D244">
        <v>2.9607370758409366</v>
      </c>
      <c r="E244">
        <v>3.0947621912367507</v>
      </c>
      <c r="F244">
        <v>61765000</v>
      </c>
      <c r="G244" s="45">
        <v>3.26</v>
      </c>
      <c r="H244">
        <v>3.277819633965128</v>
      </c>
      <c r="I244">
        <v>8.6001717619175692E-3</v>
      </c>
    </row>
    <row r="245" spans="1:9" x14ac:dyDescent="0.35">
      <c r="A245">
        <v>0</v>
      </c>
      <c r="C245">
        <v>0.24539996693467084</v>
      </c>
      <c r="D245">
        <v>0</v>
      </c>
      <c r="E245">
        <v>0</v>
      </c>
      <c r="F245">
        <v>300000000</v>
      </c>
      <c r="G245" s="45">
        <v>3.42</v>
      </c>
      <c r="H245">
        <v>3.277819633965128</v>
      </c>
      <c r="I245">
        <v>8.9905111439397931E-2</v>
      </c>
    </row>
    <row r="246" spans="1:9" x14ac:dyDescent="0.35">
      <c r="A246">
        <v>0</v>
      </c>
      <c r="C246">
        <v>0.33449350360926283</v>
      </c>
      <c r="D246">
        <v>0</v>
      </c>
      <c r="E246">
        <v>0</v>
      </c>
      <c r="F246">
        <v>643330000</v>
      </c>
      <c r="G246" s="45">
        <v>3.42</v>
      </c>
      <c r="H246">
        <v>3.277819633965128</v>
      </c>
      <c r="I246">
        <v>-4.5757490560675115E-2</v>
      </c>
    </row>
    <row r="247" spans="1:9" x14ac:dyDescent="0.35">
      <c r="A247">
        <v>0</v>
      </c>
      <c r="C247">
        <v>0.53415975569002661</v>
      </c>
      <c r="D247">
        <v>2.8967741575094288</v>
      </c>
      <c r="E247">
        <v>1.888366730171237</v>
      </c>
      <c r="F247">
        <v>190000000</v>
      </c>
      <c r="G247" s="45">
        <v>3.48</v>
      </c>
      <c r="H247">
        <v>3.277819633965128</v>
      </c>
      <c r="I247">
        <v>9.3421685162235063E-2</v>
      </c>
    </row>
    <row r="248" spans="1:9" x14ac:dyDescent="0.35">
      <c r="A248">
        <v>0</v>
      </c>
      <c r="C248">
        <v>-0.18150906085328272</v>
      </c>
      <c r="D248">
        <v>2.8967741575094288</v>
      </c>
      <c r="E248">
        <v>1.888366730171237</v>
      </c>
      <c r="F248">
        <v>102521000</v>
      </c>
      <c r="G248" s="45">
        <v>3.48</v>
      </c>
      <c r="H248">
        <v>3.277819633965128</v>
      </c>
      <c r="I248">
        <v>-5.551732784983137E-2</v>
      </c>
    </row>
    <row r="249" spans="1:9" x14ac:dyDescent="0.35">
      <c r="A249">
        <v>1</v>
      </c>
      <c r="C249">
        <v>-2</v>
      </c>
      <c r="D249">
        <v>0</v>
      </c>
      <c r="E249">
        <v>0</v>
      </c>
      <c r="F249">
        <v>24300000</v>
      </c>
      <c r="G249" s="45">
        <v>3.42</v>
      </c>
      <c r="H249">
        <v>3.5405797165044541</v>
      </c>
      <c r="I249">
        <v>0.24551266781414982</v>
      </c>
    </row>
    <row r="250" spans="1:9" x14ac:dyDescent="0.35">
      <c r="A250">
        <v>0</v>
      </c>
      <c r="C250">
        <v>0.53683585802401912</v>
      </c>
      <c r="D250">
        <v>0</v>
      </c>
      <c r="E250">
        <v>0</v>
      </c>
      <c r="F250">
        <v>25000000</v>
      </c>
      <c r="G250" s="45">
        <v>3.42</v>
      </c>
      <c r="H250">
        <v>3.5405797165044541</v>
      </c>
      <c r="I250">
        <v>7.1882007306125359E-2</v>
      </c>
    </row>
    <row r="251" spans="1:9" x14ac:dyDescent="0.35">
      <c r="A251">
        <v>0</v>
      </c>
      <c r="C251">
        <v>0.34735724705707294</v>
      </c>
      <c r="D251">
        <v>3.8335760926148099</v>
      </c>
      <c r="E251">
        <v>2.9138138523837167</v>
      </c>
      <c r="F251">
        <v>142063002</v>
      </c>
      <c r="G251" s="45">
        <v>2.85</v>
      </c>
      <c r="H251">
        <v>3.0958500844125241</v>
      </c>
      <c r="I251">
        <v>0.22271647114758325</v>
      </c>
    </row>
    <row r="252" spans="1:9" x14ac:dyDescent="0.35">
      <c r="A252">
        <v>0</v>
      </c>
      <c r="C252">
        <v>-7.90325429903092E-3</v>
      </c>
      <c r="D252">
        <v>3.8335760926148099</v>
      </c>
      <c r="E252">
        <v>2.9138138523837167</v>
      </c>
      <c r="F252">
        <v>78750000</v>
      </c>
      <c r="G252" s="45">
        <v>2.85</v>
      </c>
      <c r="H252">
        <v>3.0958500844125241</v>
      </c>
      <c r="I252">
        <v>-9.1514981121350217E-2</v>
      </c>
    </row>
    <row r="253" spans="1:9" x14ac:dyDescent="0.35">
      <c r="A253">
        <v>0</v>
      </c>
      <c r="C253">
        <v>1.0469501621191397</v>
      </c>
      <c r="D253">
        <v>3.8335760926148099</v>
      </c>
      <c r="E253">
        <v>2.9138138523837167</v>
      </c>
      <c r="F253">
        <v>62827225</v>
      </c>
      <c r="G253" s="45">
        <v>2.85</v>
      </c>
      <c r="H253">
        <v>3.0958500844125241</v>
      </c>
      <c r="I253">
        <v>-3.6212172654444715E-2</v>
      </c>
    </row>
    <row r="254" spans="1:9" x14ac:dyDescent="0.35">
      <c r="A254">
        <v>0</v>
      </c>
      <c r="C254">
        <v>0.56946234932479256</v>
      </c>
      <c r="D254">
        <v>3.8219626565950726</v>
      </c>
      <c r="E254">
        <v>2.9079485216122722</v>
      </c>
      <c r="F254">
        <v>498259398</v>
      </c>
      <c r="G254" s="45">
        <v>3.03</v>
      </c>
      <c r="H254">
        <v>3.0958500844125241</v>
      </c>
      <c r="I254">
        <v>-4.0958607678906384E-2</v>
      </c>
    </row>
    <row r="255" spans="1:9" x14ac:dyDescent="0.35">
      <c r="A255">
        <v>0</v>
      </c>
      <c r="C255">
        <v>1.0002720910982315</v>
      </c>
      <c r="D255">
        <v>3.7947040944998616</v>
      </c>
      <c r="E255">
        <v>2.7962273140294389</v>
      </c>
      <c r="F255">
        <v>175520000</v>
      </c>
      <c r="G255" s="45">
        <v>2.93</v>
      </c>
      <c r="H255">
        <v>3.0958500844125241</v>
      </c>
      <c r="I255">
        <v>-4.0958607678906384E-2</v>
      </c>
    </row>
    <row r="256" spans="1:9" x14ac:dyDescent="0.35">
      <c r="A256">
        <v>0</v>
      </c>
      <c r="C256">
        <v>0.3997785728774681</v>
      </c>
      <c r="D256">
        <v>3.7899753459779522</v>
      </c>
      <c r="E256">
        <v>2.7670321178317625</v>
      </c>
      <c r="F256">
        <v>1716000000</v>
      </c>
      <c r="G256" s="45">
        <v>3.18</v>
      </c>
      <c r="H256">
        <v>3.0958500844125241</v>
      </c>
      <c r="I256">
        <v>0.16731733474817609</v>
      </c>
    </row>
    <row r="257" spans="1:9" x14ac:dyDescent="0.35">
      <c r="A257">
        <v>0</v>
      </c>
      <c r="C257">
        <v>-3.4354409190743784E-2</v>
      </c>
      <c r="D257">
        <v>3.7899753459779522</v>
      </c>
      <c r="E257">
        <v>2.7670321178317625</v>
      </c>
      <c r="F257">
        <v>264410000</v>
      </c>
      <c r="G257" s="45">
        <v>3.18</v>
      </c>
      <c r="H257">
        <v>3.0958500844125241</v>
      </c>
      <c r="I257">
        <v>-2.6872146400301365E-2</v>
      </c>
    </row>
    <row r="258" spans="1:9" x14ac:dyDescent="0.35">
      <c r="A258">
        <v>0</v>
      </c>
      <c r="C258">
        <v>0.29178099986126038</v>
      </c>
      <c r="D258">
        <v>3.7899753459779522</v>
      </c>
      <c r="E258">
        <v>2.7670321178317625</v>
      </c>
      <c r="F258">
        <v>42000000</v>
      </c>
      <c r="G258" s="45">
        <v>3.18</v>
      </c>
      <c r="H258">
        <v>3.0958500844125241</v>
      </c>
      <c r="I258">
        <v>8.9905111439397931E-2</v>
      </c>
    </row>
    <row r="259" spans="1:9" x14ac:dyDescent="0.35">
      <c r="A259">
        <v>0</v>
      </c>
      <c r="C259">
        <v>0.84509804001425681</v>
      </c>
      <c r="D259">
        <v>3.7899753459779522</v>
      </c>
      <c r="E259">
        <v>2.7670321178317625</v>
      </c>
      <c r="F259">
        <v>7000000</v>
      </c>
      <c r="G259" s="45">
        <v>3.18</v>
      </c>
      <c r="H259">
        <v>3.0958500844125241</v>
      </c>
      <c r="I259">
        <v>-0.10790539730951958</v>
      </c>
    </row>
    <row r="260" spans="1:9" x14ac:dyDescent="0.35">
      <c r="A260">
        <v>0</v>
      </c>
      <c r="C260">
        <v>0.12115543630776511</v>
      </c>
      <c r="D260">
        <v>3.7899753459779522</v>
      </c>
      <c r="E260">
        <v>2.7670321178317625</v>
      </c>
      <c r="F260">
        <v>219403000</v>
      </c>
      <c r="G260" s="45">
        <v>3.18</v>
      </c>
      <c r="H260">
        <v>3.0958500844125241</v>
      </c>
      <c r="I260">
        <v>0.12385164096708581</v>
      </c>
    </row>
    <row r="261" spans="1:9" x14ac:dyDescent="0.35">
      <c r="A261">
        <v>0</v>
      </c>
      <c r="C261">
        <v>0.44193238125204243</v>
      </c>
      <c r="D261">
        <v>3.7707754512906644</v>
      </c>
      <c r="E261">
        <v>2.1238516409670858</v>
      </c>
      <c r="F261">
        <v>61824279</v>
      </c>
      <c r="G261" s="45">
        <v>2.3199999999999998</v>
      </c>
      <c r="H261">
        <v>3.0958500844125241</v>
      </c>
      <c r="I261">
        <v>0.28555730900777382</v>
      </c>
    </row>
    <row r="262" spans="1:9" x14ac:dyDescent="0.35">
      <c r="A262">
        <v>0</v>
      </c>
      <c r="C262">
        <v>0.25661085587556831</v>
      </c>
      <c r="D262">
        <v>3.7707754512906644</v>
      </c>
      <c r="E262">
        <v>2.1238516409670858</v>
      </c>
      <c r="F262">
        <v>360000000</v>
      </c>
      <c r="G262" s="45">
        <v>2.3199999999999998</v>
      </c>
      <c r="H262">
        <v>3.0958500844125241</v>
      </c>
      <c r="I262">
        <v>2.1189299069938092E-2</v>
      </c>
    </row>
    <row r="263" spans="1:9" x14ac:dyDescent="0.35">
      <c r="A263">
        <v>0</v>
      </c>
      <c r="C263">
        <v>-4.8523706803827171E-2</v>
      </c>
      <c r="D263">
        <v>3.7707754512906644</v>
      </c>
      <c r="E263">
        <v>2.1238516409670858</v>
      </c>
      <c r="F263">
        <v>350000000</v>
      </c>
      <c r="G263" s="45">
        <v>2.3199999999999998</v>
      </c>
      <c r="H263">
        <v>3.0958500844125241</v>
      </c>
      <c r="I263">
        <v>-0.11918640771920865</v>
      </c>
    </row>
    <row r="264" spans="1:9" x14ac:dyDescent="0.35">
      <c r="A264">
        <v>0</v>
      </c>
      <c r="C264">
        <v>-4.8952980787425474E-4</v>
      </c>
      <c r="D264">
        <v>3.7707754512906644</v>
      </c>
      <c r="E264">
        <v>2.1238516409670858</v>
      </c>
      <c r="F264">
        <v>53260000</v>
      </c>
      <c r="G264" s="45">
        <v>2.3199999999999998</v>
      </c>
      <c r="H264">
        <v>3.0958500844125241</v>
      </c>
      <c r="I264">
        <v>-0.13076828026902382</v>
      </c>
    </row>
    <row r="265" spans="1:9" x14ac:dyDescent="0.35">
      <c r="A265">
        <v>0</v>
      </c>
      <c r="C265">
        <v>0.29148467775775083</v>
      </c>
      <c r="D265">
        <v>3.7707754512906644</v>
      </c>
      <c r="E265">
        <v>2.1238516409670858</v>
      </c>
      <c r="F265">
        <v>230000000</v>
      </c>
      <c r="G265" s="45">
        <v>2.3199999999999998</v>
      </c>
      <c r="H265">
        <v>3.0958500844125241</v>
      </c>
      <c r="I265">
        <v>-4.3648054024500883E-3</v>
      </c>
    </row>
    <row r="266" spans="1:9" x14ac:dyDescent="0.35">
      <c r="A266">
        <v>0</v>
      </c>
      <c r="C266">
        <v>0.29846777889938081</v>
      </c>
      <c r="D266">
        <v>3.7707754512906644</v>
      </c>
      <c r="E266">
        <v>2.1238516409670858</v>
      </c>
      <c r="F266">
        <v>34000000</v>
      </c>
      <c r="G266" s="45">
        <v>2.3199999999999998</v>
      </c>
      <c r="H266">
        <v>3.0958500844125241</v>
      </c>
      <c r="I266">
        <v>4.1392685158225077E-2</v>
      </c>
    </row>
    <row r="267" spans="1:9" x14ac:dyDescent="0.35">
      <c r="A267">
        <v>0</v>
      </c>
      <c r="C267">
        <v>0.97132548522960493</v>
      </c>
      <c r="D267">
        <v>3.7707754512906644</v>
      </c>
      <c r="E267">
        <v>2.1238516409670858</v>
      </c>
      <c r="F267">
        <v>100950000</v>
      </c>
      <c r="G267" s="45">
        <v>2.3199999999999998</v>
      </c>
      <c r="H267">
        <v>3.0958500844125241</v>
      </c>
      <c r="I267">
        <v>0.250420002308894</v>
      </c>
    </row>
    <row r="268" spans="1:9" x14ac:dyDescent="0.35">
      <c r="A268">
        <v>0</v>
      </c>
      <c r="C268">
        <v>0.28307026740134966</v>
      </c>
      <c r="D268">
        <v>3.7707754512906644</v>
      </c>
      <c r="E268">
        <v>2.1238516409670858</v>
      </c>
      <c r="F268">
        <v>150000000</v>
      </c>
      <c r="G268" s="45">
        <v>2.3199999999999998</v>
      </c>
      <c r="H268">
        <v>3.0958500844125241</v>
      </c>
      <c r="I268">
        <v>0.18184358794477254</v>
      </c>
    </row>
    <row r="269" spans="1:9" x14ac:dyDescent="0.35">
      <c r="A269">
        <v>0</v>
      </c>
      <c r="C269">
        <v>0.33666272262619235</v>
      </c>
      <c r="D269">
        <v>3.7707754512906644</v>
      </c>
      <c r="E269">
        <v>2.1238516409670858</v>
      </c>
      <c r="F269">
        <v>6900000</v>
      </c>
      <c r="G269" s="45">
        <v>2.3199999999999998</v>
      </c>
      <c r="H269">
        <v>3.0958500844125241</v>
      </c>
      <c r="I269">
        <v>1.2837224705172217E-2</v>
      </c>
    </row>
    <row r="270" spans="1:9" x14ac:dyDescent="0.35">
      <c r="A270">
        <v>0</v>
      </c>
      <c r="C270">
        <v>8.3405285057375253E-2</v>
      </c>
      <c r="D270">
        <v>3.7707754512906644</v>
      </c>
      <c r="E270">
        <v>2.1238516409670858</v>
      </c>
      <c r="F270">
        <v>162000000</v>
      </c>
      <c r="G270" s="45">
        <v>2.3199999999999998</v>
      </c>
      <c r="H270">
        <v>3.3647319918335836</v>
      </c>
      <c r="I270">
        <v>9.691001300805642E-2</v>
      </c>
    </row>
    <row r="271" spans="1:9" x14ac:dyDescent="0.35">
      <c r="A271">
        <v>0</v>
      </c>
      <c r="C271">
        <v>0.67392371517510419</v>
      </c>
      <c r="D271">
        <v>3.7707754512906644</v>
      </c>
      <c r="E271">
        <v>2.1238516409670858</v>
      </c>
      <c r="F271">
        <v>265460000</v>
      </c>
      <c r="G271" s="45">
        <v>2.3199999999999998</v>
      </c>
      <c r="H271">
        <v>3.3647319918335836</v>
      </c>
      <c r="I271">
        <v>0.20951501454263097</v>
      </c>
    </row>
    <row r="272" spans="1:9" x14ac:dyDescent="0.35">
      <c r="A272">
        <v>0</v>
      </c>
      <c r="C272">
        <v>0.61212131733585828</v>
      </c>
      <c r="D272">
        <v>3.7707754512906644</v>
      </c>
      <c r="E272">
        <v>2.1238516409670858</v>
      </c>
      <c r="F272">
        <v>160000000</v>
      </c>
      <c r="G272" s="45">
        <v>2.3199999999999998</v>
      </c>
      <c r="H272">
        <v>3.3647319918335836</v>
      </c>
      <c r="I272">
        <v>0.28103336724772759</v>
      </c>
    </row>
    <row r="273" spans="1:9" x14ac:dyDescent="0.35">
      <c r="A273">
        <v>0</v>
      </c>
      <c r="C273">
        <v>0.71406781442004763</v>
      </c>
      <c r="D273">
        <v>3.7707754512906644</v>
      </c>
      <c r="E273">
        <v>2.1238516409670858</v>
      </c>
      <c r="F273">
        <v>34770000</v>
      </c>
      <c r="G273" s="45">
        <v>2.3199999999999998</v>
      </c>
      <c r="H273">
        <v>3.3647319918335836</v>
      </c>
      <c r="I273">
        <v>0.43616264704075602</v>
      </c>
    </row>
    <row r="274" spans="1:9" x14ac:dyDescent="0.35">
      <c r="A274">
        <v>0</v>
      </c>
      <c r="C274">
        <v>2.8298992127170717E-2</v>
      </c>
      <c r="D274">
        <v>3.7707754512906644</v>
      </c>
      <c r="E274">
        <v>2.1238516409670858</v>
      </c>
      <c r="F274">
        <v>2510000000</v>
      </c>
      <c r="G274" s="45">
        <v>2.3199999999999998</v>
      </c>
      <c r="H274">
        <v>3.3647319918335836</v>
      </c>
      <c r="I274">
        <v>7.9181246047624818E-2</v>
      </c>
    </row>
    <row r="275" spans="1:9" x14ac:dyDescent="0.35">
      <c r="A275">
        <v>0</v>
      </c>
      <c r="C275">
        <v>0.15772854466068537</v>
      </c>
      <c r="D275">
        <v>3.7707754512906644</v>
      </c>
      <c r="E275">
        <v>2.1238516409670858</v>
      </c>
      <c r="F275">
        <v>1723361008</v>
      </c>
      <c r="G275" s="45">
        <v>2.3199999999999998</v>
      </c>
      <c r="H275">
        <v>3.3647319918335836</v>
      </c>
      <c r="I275">
        <v>0.2355284469075489</v>
      </c>
    </row>
    <row r="276" spans="1:9" x14ac:dyDescent="0.35">
      <c r="A276">
        <v>0</v>
      </c>
      <c r="C276">
        <v>0.96614173273903259</v>
      </c>
      <c r="D276">
        <v>3.7707754512906644</v>
      </c>
      <c r="E276">
        <v>2.1238516409670858</v>
      </c>
      <c r="F276">
        <v>60000000</v>
      </c>
      <c r="G276" s="45">
        <v>2.3199999999999998</v>
      </c>
      <c r="H276">
        <v>3.3647319918335836</v>
      </c>
      <c r="I276">
        <v>-0.10237290870955855</v>
      </c>
    </row>
    <row r="277" spans="1:9" x14ac:dyDescent="0.35">
      <c r="A277">
        <v>0</v>
      </c>
      <c r="C277">
        <v>-0.59371729118283922</v>
      </c>
      <c r="D277">
        <v>3.8137210609712455</v>
      </c>
      <c r="E277">
        <v>2.9222928506441082</v>
      </c>
      <c r="F277">
        <v>7987460000</v>
      </c>
      <c r="G277" s="45">
        <v>2.86</v>
      </c>
      <c r="H277">
        <v>3.3647319918335836</v>
      </c>
      <c r="I277">
        <v>9.3421685162235063E-2</v>
      </c>
    </row>
    <row r="278" spans="1:9" x14ac:dyDescent="0.35">
      <c r="A278">
        <v>0</v>
      </c>
      <c r="C278">
        <v>-1.795873695462381E-2</v>
      </c>
      <c r="D278">
        <v>3.7916829312790057</v>
      </c>
      <c r="E278">
        <v>3.0355631414974997</v>
      </c>
      <c r="F278">
        <v>659570000</v>
      </c>
      <c r="G278" s="45">
        <v>2.72</v>
      </c>
      <c r="H278">
        <v>3.3647319918335836</v>
      </c>
      <c r="I278">
        <v>4.5322978786657475E-2</v>
      </c>
    </row>
    <row r="279" spans="1:9" x14ac:dyDescent="0.35">
      <c r="A279">
        <v>0</v>
      </c>
      <c r="C279">
        <v>6.1105182401829682E-2</v>
      </c>
      <c r="D279">
        <v>3.8335760926148099</v>
      </c>
      <c r="E279">
        <v>2.9138138523837167</v>
      </c>
      <c r="F279">
        <v>1390000000</v>
      </c>
      <c r="G279" s="45">
        <v>2.85</v>
      </c>
      <c r="H279">
        <v>3.3647319918335836</v>
      </c>
      <c r="I279">
        <v>6.445798922691845E-2</v>
      </c>
    </row>
    <row r="280" spans="1:9" x14ac:dyDescent="0.35">
      <c r="A280">
        <v>0</v>
      </c>
      <c r="C280">
        <v>-0.28280517555778212</v>
      </c>
      <c r="D280">
        <v>3.8335760926148099</v>
      </c>
      <c r="E280">
        <v>2.9138138523837167</v>
      </c>
      <c r="F280">
        <v>700000000</v>
      </c>
      <c r="G280" s="45">
        <v>2.85</v>
      </c>
      <c r="H280">
        <v>3.3647319918335836</v>
      </c>
      <c r="I280">
        <v>0.26007138798507473</v>
      </c>
    </row>
    <row r="281" spans="1:9" x14ac:dyDescent="0.35">
      <c r="A281">
        <v>0</v>
      </c>
      <c r="C281">
        <v>-0.83518975135400775</v>
      </c>
      <c r="D281">
        <v>3.8335760926148099</v>
      </c>
      <c r="E281">
        <v>2.9138138523837167</v>
      </c>
      <c r="F281">
        <v>1300000000</v>
      </c>
      <c r="G281" s="45">
        <v>2.85</v>
      </c>
      <c r="H281">
        <v>3.3647319918335836</v>
      </c>
      <c r="I281">
        <v>-4.5757490560675115E-2</v>
      </c>
    </row>
    <row r="282" spans="1:9" x14ac:dyDescent="0.35">
      <c r="A282">
        <v>0</v>
      </c>
      <c r="C282">
        <v>-3.9250864638126763E-2</v>
      </c>
      <c r="D282">
        <v>3.8335760926148099</v>
      </c>
      <c r="E282">
        <v>2.9138138523837167</v>
      </c>
      <c r="F282">
        <f>(2216090000+435660000)</f>
        <v>2651750000</v>
      </c>
      <c r="G282" s="45">
        <v>2.85</v>
      </c>
      <c r="H282">
        <v>3.3647319918335836</v>
      </c>
      <c r="I282">
        <v>0.14612803567823801</v>
      </c>
    </row>
    <row r="283" spans="1:9" x14ac:dyDescent="0.35">
      <c r="A283">
        <v>0</v>
      </c>
      <c r="C283">
        <v>0.46239799789895608</v>
      </c>
      <c r="D283">
        <v>3.8335760926148099</v>
      </c>
      <c r="E283">
        <v>2.9138138523837167</v>
      </c>
      <c r="F283">
        <v>500000000</v>
      </c>
      <c r="G283" s="45">
        <v>2.85</v>
      </c>
      <c r="H283">
        <v>3.3647319918335836</v>
      </c>
      <c r="I283">
        <v>0.12710479836480765</v>
      </c>
    </row>
    <row r="284" spans="1:9" x14ac:dyDescent="0.35">
      <c r="A284">
        <v>0</v>
      </c>
      <c r="C284">
        <v>6.8509665297384587E-2</v>
      </c>
      <c r="D284">
        <v>3.8335760926148099</v>
      </c>
      <c r="E284">
        <v>2.9138138523837167</v>
      </c>
      <c r="F284">
        <v>600000000</v>
      </c>
      <c r="G284" s="45">
        <v>2.85</v>
      </c>
      <c r="H284">
        <v>3.3647319918335836</v>
      </c>
      <c r="I284">
        <v>5.6904851336472641E-2</v>
      </c>
    </row>
    <row r="285" spans="1:9" x14ac:dyDescent="0.35">
      <c r="A285">
        <v>0</v>
      </c>
      <c r="C285">
        <v>0.15970084286751188</v>
      </c>
      <c r="D285">
        <v>3.8335760926148099</v>
      </c>
      <c r="E285">
        <v>2.9138138523837167</v>
      </c>
      <c r="F285">
        <v>900000000</v>
      </c>
      <c r="G285" s="45">
        <v>2.85</v>
      </c>
      <c r="H285">
        <v>3.3647319918335836</v>
      </c>
      <c r="I285">
        <v>0.11727129565576427</v>
      </c>
    </row>
    <row r="286" spans="1:9" x14ac:dyDescent="0.35">
      <c r="A286">
        <v>0</v>
      </c>
      <c r="C286">
        <v>0.5840226669961831</v>
      </c>
      <c r="D286">
        <v>3.7899753459779522</v>
      </c>
      <c r="E286">
        <v>2.7670321178317625</v>
      </c>
      <c r="F286">
        <v>440000000</v>
      </c>
      <c r="G286" s="45">
        <v>3.18</v>
      </c>
      <c r="H286">
        <v>3.3647319918335836</v>
      </c>
      <c r="I286">
        <v>0.12385164096708581</v>
      </c>
    </row>
    <row r="287" spans="1:9" x14ac:dyDescent="0.35">
      <c r="A287">
        <v>0</v>
      </c>
      <c r="C287">
        <v>-9.8950554656593151E-2</v>
      </c>
      <c r="D287">
        <v>2.5362300726332561</v>
      </c>
      <c r="E287">
        <v>2.756001823801419</v>
      </c>
      <c r="F287">
        <v>800000000</v>
      </c>
      <c r="G287" s="45">
        <v>2.5499999999999998</v>
      </c>
      <c r="H287">
        <v>3.0840515198150036</v>
      </c>
      <c r="I287">
        <v>4.1392685158225077E-2</v>
      </c>
    </row>
    <row r="288" spans="1:9" x14ac:dyDescent="0.35">
      <c r="A288">
        <v>0</v>
      </c>
      <c r="C288">
        <v>-0.21230723712155383</v>
      </c>
      <c r="D288">
        <v>2.8358680570524939</v>
      </c>
      <c r="E288">
        <v>3.1502958128255383</v>
      </c>
      <c r="F288">
        <v>148860000</v>
      </c>
      <c r="G288" s="45">
        <v>2.74</v>
      </c>
      <c r="H288">
        <v>3.0840515198150036</v>
      </c>
      <c r="I288">
        <v>0.10037054511756291</v>
      </c>
    </row>
    <row r="289" spans="1:9" x14ac:dyDescent="0.35">
      <c r="A289">
        <v>0</v>
      </c>
      <c r="C289">
        <v>0.63617917447656325</v>
      </c>
      <c r="D289">
        <v>2.4227867541517965</v>
      </c>
      <c r="E289">
        <v>2.9283958522567137</v>
      </c>
      <c r="F289">
        <v>208000000</v>
      </c>
      <c r="G289" s="45">
        <v>3.07</v>
      </c>
      <c r="H289">
        <v>3.2258683317817765</v>
      </c>
      <c r="I289">
        <v>0.20682587603184968</v>
      </c>
    </row>
    <row r="290" spans="1:9" x14ac:dyDescent="0.35">
      <c r="A290">
        <v>0</v>
      </c>
      <c r="C290">
        <v>4.5757490560675143E-2</v>
      </c>
      <c r="D290">
        <v>3.7899753459779522</v>
      </c>
      <c r="E290">
        <v>2.7670321178317625</v>
      </c>
      <c r="F290">
        <v>900000000</v>
      </c>
      <c r="G290" s="45">
        <v>3.18</v>
      </c>
      <c r="H290">
        <v>3.2258683317817765</v>
      </c>
      <c r="I290">
        <v>2.9383777685209667E-2</v>
      </c>
    </row>
    <row r="291" spans="1:9" x14ac:dyDescent="0.35">
      <c r="A291">
        <v>0</v>
      </c>
      <c r="C291">
        <v>3.3858267260967419E-2</v>
      </c>
      <c r="D291">
        <v>2.8358680570524939</v>
      </c>
      <c r="E291">
        <v>3.1502958128255383</v>
      </c>
      <c r="F291">
        <v>370000000</v>
      </c>
      <c r="G291" s="45">
        <v>2.74</v>
      </c>
      <c r="H291">
        <v>3.2258683317817765</v>
      </c>
      <c r="I291">
        <v>0.16435285578443709</v>
      </c>
    </row>
    <row r="292" spans="1:9" x14ac:dyDescent="0.35">
      <c r="A292">
        <v>0</v>
      </c>
      <c r="C292">
        <v>0.481352939899792</v>
      </c>
      <c r="D292">
        <v>3.1189984043805832</v>
      </c>
      <c r="E292">
        <v>3.0711452904510828</v>
      </c>
      <c r="F292">
        <v>424180000</v>
      </c>
      <c r="G292" s="45">
        <v>2.99</v>
      </c>
      <c r="H292">
        <v>3.2258683317817765</v>
      </c>
      <c r="I292">
        <v>7.554696139253074E-2</v>
      </c>
    </row>
    <row r="293" spans="1:9" x14ac:dyDescent="0.35">
      <c r="A293">
        <v>0</v>
      </c>
      <c r="C293">
        <v>0.1386957688604587</v>
      </c>
      <c r="D293">
        <v>3.7916829312790057</v>
      </c>
      <c r="E293">
        <v>3.0355631414974997</v>
      </c>
      <c r="F293">
        <v>186740000</v>
      </c>
      <c r="G293" s="45">
        <v>2.72</v>
      </c>
      <c r="H293">
        <v>3.1628767233771686</v>
      </c>
      <c r="I293">
        <v>0.28103336724772759</v>
      </c>
    </row>
    <row r="294" spans="1:9" x14ac:dyDescent="0.35">
      <c r="A294">
        <v>0</v>
      </c>
      <c r="C294">
        <v>9.1633117733940173E-2</v>
      </c>
      <c r="D294">
        <v>3.8335760926148099</v>
      </c>
      <c r="E294">
        <v>2.9138138523837167</v>
      </c>
      <c r="F294">
        <v>265000000</v>
      </c>
      <c r="G294" s="45">
        <v>2.85</v>
      </c>
      <c r="H294">
        <v>3.1628767233771686</v>
      </c>
      <c r="I294">
        <v>0.10720996964786837</v>
      </c>
    </row>
    <row r="295" spans="1:9" x14ac:dyDescent="0.35">
      <c r="A295">
        <v>0</v>
      </c>
      <c r="C295">
        <v>0.55837223743297271</v>
      </c>
      <c r="D295">
        <v>3.7358167906061537</v>
      </c>
      <c r="E295">
        <v>2.103233406386928</v>
      </c>
      <c r="F295">
        <v>68310000</v>
      </c>
      <c r="G295" s="45">
        <v>2.91</v>
      </c>
      <c r="H295">
        <v>3.1628767233771686</v>
      </c>
      <c r="I295">
        <v>7.9181246047624818E-2</v>
      </c>
    </row>
    <row r="296" spans="1:9" x14ac:dyDescent="0.35">
      <c r="A296">
        <v>0</v>
      </c>
      <c r="C296">
        <v>-0.90620748727559275</v>
      </c>
      <c r="D296">
        <v>3.7707754512906644</v>
      </c>
      <c r="E296">
        <v>2.1238516409670858</v>
      </c>
      <c r="F296">
        <v>1831500000</v>
      </c>
      <c r="G296" s="45">
        <v>2.3199999999999998</v>
      </c>
      <c r="H296">
        <v>3.1628767233771686</v>
      </c>
      <c r="I296">
        <v>-8.7739243075051505E-3</v>
      </c>
    </row>
    <row r="297" spans="1:9" x14ac:dyDescent="0.35">
      <c r="A297">
        <v>0</v>
      </c>
      <c r="C297">
        <v>3.1647391927806502E-2</v>
      </c>
      <c r="D297">
        <v>3.7707754512906644</v>
      </c>
      <c r="E297">
        <v>2.1238516409670858</v>
      </c>
      <c r="F297">
        <v>199890000</v>
      </c>
      <c r="G297" s="45">
        <v>2.3199999999999998</v>
      </c>
      <c r="H297">
        <v>3.1628767233771686</v>
      </c>
      <c r="I297">
        <v>0.35410843914740087</v>
      </c>
    </row>
    <row r="298" spans="1:9" x14ac:dyDescent="0.35">
      <c r="A298">
        <v>1</v>
      </c>
      <c r="C298">
        <v>-2</v>
      </c>
      <c r="D298">
        <v>3.7707754512906644</v>
      </c>
      <c r="E298">
        <v>2.1238516409670858</v>
      </c>
      <c r="F298">
        <v>300000000</v>
      </c>
      <c r="G298" s="45">
        <v>2.3199999999999998</v>
      </c>
      <c r="H298">
        <v>3.1628767233771686</v>
      </c>
      <c r="I298">
        <v>0.13353890837021748</v>
      </c>
    </row>
    <row r="299" spans="1:9" x14ac:dyDescent="0.35">
      <c r="A299">
        <v>1</v>
      </c>
      <c r="C299">
        <v>-2</v>
      </c>
      <c r="D299">
        <v>3.7707754512906644</v>
      </c>
      <c r="E299">
        <v>2.1238516409670858</v>
      </c>
      <c r="F299">
        <v>3600000</v>
      </c>
      <c r="G299" s="45">
        <v>2.3199999999999998</v>
      </c>
      <c r="H299">
        <v>3.1628767233771686</v>
      </c>
      <c r="I299">
        <v>0.10037054511756291</v>
      </c>
    </row>
    <row r="300" spans="1:9" x14ac:dyDescent="0.35">
      <c r="A300">
        <v>0</v>
      </c>
      <c r="C300">
        <v>-3.7788560889399803E-2</v>
      </c>
      <c r="D300">
        <v>3.8052737966880943</v>
      </c>
      <c r="E300">
        <v>2.8414637553591628</v>
      </c>
      <c r="F300">
        <v>600000000</v>
      </c>
      <c r="G300" s="45">
        <v>2.99</v>
      </c>
      <c r="H300">
        <v>3.1527645837352773</v>
      </c>
      <c r="I300">
        <v>0.12710479836480765</v>
      </c>
    </row>
    <row r="301" spans="1:9" x14ac:dyDescent="0.35">
      <c r="A301">
        <v>0</v>
      </c>
      <c r="C301">
        <v>0.147699940896518</v>
      </c>
      <c r="D301">
        <v>3.8335760926148099</v>
      </c>
      <c r="E301">
        <v>2.9138138523837167</v>
      </c>
      <c r="F301">
        <v>38610000</v>
      </c>
      <c r="G301" s="45">
        <v>2.85</v>
      </c>
      <c r="H301">
        <v>3.1527645837352773</v>
      </c>
      <c r="I301">
        <v>0.35793484700045386</v>
      </c>
    </row>
    <row r="302" spans="1:9" x14ac:dyDescent="0.35">
      <c r="A302">
        <v>0</v>
      </c>
      <c r="C302">
        <v>0.38535088136401707</v>
      </c>
      <c r="D302">
        <v>3.7707754512906644</v>
      </c>
      <c r="E302">
        <v>2.1238516409670858</v>
      </c>
      <c r="F302">
        <v>280000000</v>
      </c>
      <c r="G302" s="45">
        <v>2.3199999999999998</v>
      </c>
      <c r="H302">
        <v>3.1527645837352773</v>
      </c>
      <c r="I302">
        <v>0.28330122870354957</v>
      </c>
    </row>
    <row r="303" spans="1:9" x14ac:dyDescent="0.35">
      <c r="A303">
        <v>0</v>
      </c>
      <c r="C303">
        <v>0.14004615487104186</v>
      </c>
      <c r="D303">
        <v>3.7707754512906644</v>
      </c>
      <c r="E303">
        <v>2.1238516409670858</v>
      </c>
      <c r="F303">
        <v>565000000</v>
      </c>
      <c r="G303" s="45">
        <v>2.3199999999999998</v>
      </c>
      <c r="H303">
        <v>3.1527645837352773</v>
      </c>
      <c r="I303">
        <v>0.24797326636180664</v>
      </c>
    </row>
    <row r="304" spans="1:9" x14ac:dyDescent="0.35">
      <c r="A304">
        <v>0</v>
      </c>
      <c r="C304">
        <v>0.14469393041723971</v>
      </c>
      <c r="D304">
        <v>3.7707754512906644</v>
      </c>
      <c r="E304">
        <v>2.1238516409670858</v>
      </c>
      <c r="F304">
        <v>65000000</v>
      </c>
      <c r="G304" s="45">
        <v>2.3199999999999998</v>
      </c>
      <c r="H304">
        <v>3.1527645837352773</v>
      </c>
      <c r="I304">
        <v>-2.6872146400301365E-2</v>
      </c>
    </row>
    <row r="305" spans="1:9" x14ac:dyDescent="0.35">
      <c r="A305">
        <v>0</v>
      </c>
      <c r="C305">
        <v>0</v>
      </c>
      <c r="D305">
        <v>3.7707754512906644</v>
      </c>
      <c r="E305">
        <v>2.1238516409670858</v>
      </c>
      <c r="F305">
        <v>180360000</v>
      </c>
      <c r="G305" s="45">
        <v>2.3199999999999998</v>
      </c>
      <c r="H305">
        <v>3.1527645837352773</v>
      </c>
      <c r="I305">
        <v>-7.0581074285707285E-2</v>
      </c>
    </row>
    <row r="306" spans="1:9" x14ac:dyDescent="0.35">
      <c r="A306">
        <v>0</v>
      </c>
      <c r="C306">
        <v>0.28812141671823749</v>
      </c>
      <c r="D306">
        <v>3.7707754512906644</v>
      </c>
      <c r="E306">
        <v>2.1238516409670858</v>
      </c>
      <c r="F306">
        <v>70000000</v>
      </c>
      <c r="G306" s="45">
        <v>2.3199999999999998</v>
      </c>
      <c r="H306">
        <v>3.1527645837352773</v>
      </c>
      <c r="I306">
        <v>5.3078443483419682E-2</v>
      </c>
    </row>
    <row r="307" spans="1:9" x14ac:dyDescent="0.35">
      <c r="A307">
        <v>0</v>
      </c>
      <c r="C307">
        <v>1.4670033807127596</v>
      </c>
      <c r="D307">
        <v>3.7916829312790057</v>
      </c>
      <c r="E307">
        <v>3.0355631414974997</v>
      </c>
      <c r="F307">
        <v>33423010</v>
      </c>
      <c r="G307" s="45">
        <v>2.72</v>
      </c>
      <c r="H307">
        <v>3.1527645837352773</v>
      </c>
      <c r="I307">
        <v>-4.3648054024500883E-3</v>
      </c>
    </row>
    <row r="308" spans="1:9" x14ac:dyDescent="0.35">
      <c r="A308">
        <v>0</v>
      </c>
      <c r="C308">
        <v>0.39051099108289822</v>
      </c>
      <c r="D308">
        <v>2.6208956659919629</v>
      </c>
      <c r="E308">
        <v>2.3401134757058348</v>
      </c>
      <c r="F308">
        <v>95490000</v>
      </c>
      <c r="G308" s="45">
        <v>3.49</v>
      </c>
      <c r="H308">
        <v>3.3222069919483515</v>
      </c>
      <c r="I308">
        <v>0.17609125905568124</v>
      </c>
    </row>
    <row r="309" spans="1:9" x14ac:dyDescent="0.35">
      <c r="A309">
        <v>0</v>
      </c>
      <c r="C309">
        <v>0.42311965077168279</v>
      </c>
      <c r="D309">
        <v>2.6903467274930635</v>
      </c>
      <c r="E309">
        <v>2.7508939203821252</v>
      </c>
      <c r="F309">
        <v>830430000</v>
      </c>
      <c r="G309" s="45">
        <v>2.59</v>
      </c>
      <c r="H309">
        <v>3.22246453795844</v>
      </c>
      <c r="I309">
        <v>0.21218760440395779</v>
      </c>
    </row>
    <row r="310" spans="1:9" x14ac:dyDescent="0.35">
      <c r="A310">
        <v>0</v>
      </c>
      <c r="C310">
        <v>0.10699908637159473</v>
      </c>
      <c r="D310">
        <v>2.5542346870234227</v>
      </c>
      <c r="E310">
        <v>2.9876662649262746</v>
      </c>
      <c r="F310">
        <v>692000000</v>
      </c>
      <c r="G310" s="45">
        <v>3.16</v>
      </c>
      <c r="H310">
        <v>3.22246453795844</v>
      </c>
      <c r="I310">
        <v>-4.0958607678906384E-2</v>
      </c>
    </row>
    <row r="311" spans="1:9" x14ac:dyDescent="0.35">
      <c r="A311">
        <v>0</v>
      </c>
      <c r="C311">
        <v>-0.62872113857682677</v>
      </c>
      <c r="D311">
        <v>2.5542346870234227</v>
      </c>
      <c r="E311">
        <v>2.9876662649262746</v>
      </c>
      <c r="F311">
        <v>2167670000</v>
      </c>
      <c r="G311" s="45">
        <v>3.16</v>
      </c>
      <c r="H311">
        <v>3.22246453795844</v>
      </c>
      <c r="I311">
        <v>0.10380372095595687</v>
      </c>
    </row>
    <row r="312" spans="1:9" x14ac:dyDescent="0.35">
      <c r="A312">
        <v>0</v>
      </c>
      <c r="C312">
        <v>0.2400010119608123</v>
      </c>
      <c r="D312">
        <v>2.5542346870234227</v>
      </c>
      <c r="E312">
        <v>2.9876662649262746</v>
      </c>
      <c r="F312">
        <v>164000000</v>
      </c>
      <c r="G312" s="45">
        <v>3.16</v>
      </c>
      <c r="H312">
        <v>3.22246453795844</v>
      </c>
      <c r="I312">
        <v>0.12057393120584989</v>
      </c>
    </row>
    <row r="313" spans="1:9" x14ac:dyDescent="0.35">
      <c r="A313">
        <v>0</v>
      </c>
      <c r="C313">
        <v>-0.58087069225802435</v>
      </c>
      <c r="D313">
        <v>2.5362300726332561</v>
      </c>
      <c r="E313">
        <v>2.756001823801419</v>
      </c>
      <c r="F313">
        <v>800000000</v>
      </c>
      <c r="G313" s="45">
        <v>2.3199999999999998</v>
      </c>
      <c r="H313">
        <v>3.22246453795844</v>
      </c>
      <c r="I313">
        <v>-0.13076828026902382</v>
      </c>
    </row>
    <row r="314" spans="1:9" x14ac:dyDescent="0.35">
      <c r="A314">
        <v>0</v>
      </c>
      <c r="C314">
        <v>-0.3979400086720376</v>
      </c>
      <c r="D314">
        <v>2.9629325585580042</v>
      </c>
      <c r="E314">
        <v>2.9323046139517812</v>
      </c>
      <c r="F314">
        <v>1000000000</v>
      </c>
      <c r="G314" s="45">
        <v>2.62</v>
      </c>
      <c r="H314">
        <v>3.22246453795844</v>
      </c>
      <c r="I314">
        <v>-9.1514981121350217E-2</v>
      </c>
    </row>
    <row r="315" spans="1:9" x14ac:dyDescent="0.35">
      <c r="A315">
        <v>0</v>
      </c>
      <c r="C315">
        <v>0.37016136667678035</v>
      </c>
      <c r="D315">
        <v>2.6674249329872439</v>
      </c>
      <c r="E315">
        <v>2.2881746749783951</v>
      </c>
      <c r="F315">
        <v>1000000000</v>
      </c>
      <c r="G315" s="45">
        <v>2.61</v>
      </c>
      <c r="H315">
        <v>3.22246453795844</v>
      </c>
      <c r="I315">
        <v>0.2528530309798932</v>
      </c>
    </row>
    <row r="316" spans="1:9" x14ac:dyDescent="0.35">
      <c r="A316">
        <v>1</v>
      </c>
      <c r="C316">
        <v>-2</v>
      </c>
      <c r="D316">
        <v>2.5362300726332561</v>
      </c>
      <c r="E316">
        <v>2.756001823801419</v>
      </c>
      <c r="F316">
        <v>450000000</v>
      </c>
      <c r="G316" s="45">
        <v>2.3199999999999998</v>
      </c>
      <c r="H316">
        <v>3.22246453795844</v>
      </c>
      <c r="I316">
        <v>-6.5501548756432285E-2</v>
      </c>
    </row>
    <row r="317" spans="1:9" x14ac:dyDescent="0.35">
      <c r="A317">
        <v>1</v>
      </c>
      <c r="C317">
        <v>-2</v>
      </c>
      <c r="D317">
        <v>3.7707754512906644</v>
      </c>
      <c r="E317">
        <v>2.1238516409670858</v>
      </c>
      <c r="F317">
        <v>30000000</v>
      </c>
      <c r="G317" s="45">
        <v>2.3199999999999998</v>
      </c>
      <c r="H317">
        <v>3.22246453795844</v>
      </c>
      <c r="I317">
        <v>-0.18708664335714442</v>
      </c>
    </row>
    <row r="318" spans="1:9" x14ac:dyDescent="0.35">
      <c r="A318">
        <v>0</v>
      </c>
      <c r="C318">
        <v>-0.35585784809143139</v>
      </c>
      <c r="D318">
        <v>3.7707754512906644</v>
      </c>
      <c r="E318">
        <v>2.1238516409670858</v>
      </c>
      <c r="F318">
        <v>6580000000</v>
      </c>
      <c r="G318" s="45">
        <v>2.3199999999999998</v>
      </c>
      <c r="H318">
        <v>3.2188271541979425</v>
      </c>
      <c r="I318">
        <v>0.16435285578443709</v>
      </c>
    </row>
    <row r="319" spans="1:9" x14ac:dyDescent="0.35">
      <c r="A319">
        <v>0</v>
      </c>
      <c r="C319">
        <v>9.8345219325912878E-2</v>
      </c>
      <c r="D319">
        <v>2.5362300726332561</v>
      </c>
      <c r="E319">
        <v>2.756001823801419</v>
      </c>
      <c r="F319">
        <v>806407825</v>
      </c>
      <c r="G319" s="45">
        <v>2.3199999999999998</v>
      </c>
      <c r="H319">
        <v>3.2188271541979425</v>
      </c>
      <c r="I319">
        <v>0.23299611039215382</v>
      </c>
    </row>
    <row r="320" spans="1:9" x14ac:dyDescent="0.35">
      <c r="A320">
        <v>0</v>
      </c>
      <c r="C320">
        <v>0.60939357636285729</v>
      </c>
      <c r="D320">
        <v>2.9629325585580042</v>
      </c>
      <c r="E320">
        <v>2.9323046139517812</v>
      </c>
      <c r="F320">
        <v>494351317</v>
      </c>
      <c r="G320" s="45">
        <v>2.62</v>
      </c>
      <c r="H320">
        <v>3.2188271541979425</v>
      </c>
      <c r="I320">
        <v>0.2380461031287954</v>
      </c>
    </row>
    <row r="321" spans="1:9" x14ac:dyDescent="0.35">
      <c r="A321">
        <v>0</v>
      </c>
      <c r="C321">
        <v>-6.3357022441473329E-2</v>
      </c>
      <c r="D321">
        <v>3.7707754512906644</v>
      </c>
      <c r="E321">
        <v>2.1238516409670858</v>
      </c>
      <c r="F321">
        <v>350000000</v>
      </c>
      <c r="G321" s="45">
        <v>2.3199999999999998</v>
      </c>
      <c r="H321">
        <v>3.2188271541979425</v>
      </c>
      <c r="I321">
        <v>0.2966651902615311</v>
      </c>
    </row>
    <row r="322" spans="1:9" x14ac:dyDescent="0.35">
      <c r="A322">
        <v>0</v>
      </c>
      <c r="C322">
        <v>0.12368252267762356</v>
      </c>
      <c r="D322">
        <v>2.5542346870234227</v>
      </c>
      <c r="E322">
        <v>2.9876662649262746</v>
      </c>
      <c r="F322">
        <v>992530499</v>
      </c>
      <c r="G322" s="45">
        <v>3.16</v>
      </c>
      <c r="H322">
        <v>3.2188271541979425</v>
      </c>
      <c r="I322">
        <v>-6.5501548756432285E-2</v>
      </c>
    </row>
    <row r="323" spans="1:9" x14ac:dyDescent="0.35">
      <c r="A323">
        <v>0</v>
      </c>
      <c r="C323">
        <v>5.881996339991695E-2</v>
      </c>
      <c r="D323">
        <v>2.5362300726332561</v>
      </c>
      <c r="E323">
        <v>2.756001823801419</v>
      </c>
      <c r="F323">
        <v>1310000000</v>
      </c>
      <c r="G323" s="45">
        <v>2.3199999999999998</v>
      </c>
      <c r="H323">
        <v>3.2188271541979425</v>
      </c>
      <c r="I323">
        <v>5.3078443483419682E-2</v>
      </c>
    </row>
    <row r="324" spans="1:9" x14ac:dyDescent="0.35">
      <c r="A324">
        <v>0</v>
      </c>
      <c r="C324">
        <v>0.10168862928688671</v>
      </c>
      <c r="D324">
        <v>2.9629325585580042</v>
      </c>
      <c r="E324">
        <v>2.9323046139517812</v>
      </c>
      <c r="F324">
        <v>2769360000</v>
      </c>
      <c r="G324" s="45">
        <v>2.62</v>
      </c>
      <c r="H324">
        <v>3.2188271541979425</v>
      </c>
      <c r="I324">
        <v>4.1392685158225077E-2</v>
      </c>
    </row>
    <row r="325" spans="1:9" x14ac:dyDescent="0.35">
      <c r="A325">
        <v>0</v>
      </c>
      <c r="C325">
        <v>1.9154642507423002E-2</v>
      </c>
      <c r="D325">
        <v>2.9629325585580042</v>
      </c>
      <c r="E325">
        <v>2.9323046139517812</v>
      </c>
      <c r="F325">
        <v>1435279945</v>
      </c>
      <c r="G325" s="45">
        <v>2.62</v>
      </c>
      <c r="H325">
        <v>3.2188271541979425</v>
      </c>
      <c r="I325">
        <v>-0.10790539730951958</v>
      </c>
    </row>
    <row r="326" spans="1:9" x14ac:dyDescent="0.35">
      <c r="A326">
        <v>0</v>
      </c>
      <c r="C326">
        <v>-0.2932838616563514</v>
      </c>
      <c r="D326">
        <v>2.6674249329872439</v>
      </c>
      <c r="E326">
        <v>2.2881746749783951</v>
      </c>
      <c r="F326">
        <v>519000000</v>
      </c>
      <c r="G326" s="45">
        <v>2.61</v>
      </c>
      <c r="H326">
        <v>3.2188271541979425</v>
      </c>
      <c r="I326">
        <v>-6.5501548756432285E-2</v>
      </c>
    </row>
    <row r="327" spans="1:9" x14ac:dyDescent="0.35">
      <c r="A327">
        <v>0</v>
      </c>
      <c r="C327">
        <v>0.32853710717502921</v>
      </c>
      <c r="D327">
        <v>2.5362300726332561</v>
      </c>
      <c r="E327">
        <v>2.756001823801419</v>
      </c>
      <c r="F327">
        <v>703970000</v>
      </c>
      <c r="G327" s="45">
        <v>2.3199999999999998</v>
      </c>
      <c r="H327">
        <v>3.2188271541979425</v>
      </c>
      <c r="I327">
        <v>5.6904851336472641E-2</v>
      </c>
    </row>
    <row r="328" spans="1:9" x14ac:dyDescent="0.35">
      <c r="A328">
        <v>0</v>
      </c>
      <c r="C328">
        <v>0.47712125471966244</v>
      </c>
      <c r="D328">
        <v>3.7707754512906644</v>
      </c>
      <c r="E328">
        <v>2.1238516409670858</v>
      </c>
      <c r="F328">
        <v>500000000</v>
      </c>
      <c r="G328" s="45">
        <v>2.3199999999999998</v>
      </c>
      <c r="H328">
        <v>3.2699236952309461</v>
      </c>
      <c r="I328">
        <v>0.19865708695442263</v>
      </c>
    </row>
    <row r="329" spans="1:9" x14ac:dyDescent="0.35">
      <c r="A329">
        <v>0</v>
      </c>
      <c r="C329">
        <v>-0.22184874961635639</v>
      </c>
      <c r="D329">
        <v>3.7707754512906644</v>
      </c>
      <c r="E329">
        <v>2.1238516409670858</v>
      </c>
      <c r="F329">
        <v>1500000000</v>
      </c>
      <c r="G329" s="45">
        <v>2.3199999999999998</v>
      </c>
      <c r="H329">
        <v>3.2699236952309461</v>
      </c>
      <c r="I329">
        <v>0.21484384804769791</v>
      </c>
    </row>
    <row r="330" spans="1:9" x14ac:dyDescent="0.35">
      <c r="A330">
        <v>0</v>
      </c>
      <c r="C330">
        <v>0.35303028293240818</v>
      </c>
      <c r="D330">
        <v>3.7707754512906644</v>
      </c>
      <c r="E330">
        <v>2.1238516409670858</v>
      </c>
      <c r="F330">
        <v>151260000</v>
      </c>
      <c r="G330" s="45">
        <v>2.3199999999999998</v>
      </c>
      <c r="H330">
        <v>3.2699236952309461</v>
      </c>
      <c r="I330">
        <v>0.17897694729316943</v>
      </c>
    </row>
    <row r="331" spans="1:9" x14ac:dyDescent="0.35">
      <c r="A331">
        <v>0</v>
      </c>
      <c r="C331">
        <v>7.8047788731252177E-2</v>
      </c>
      <c r="D331">
        <v>3.7707754512906644</v>
      </c>
      <c r="E331">
        <v>2.1238516409670858</v>
      </c>
      <c r="F331">
        <v>12828530000</v>
      </c>
      <c r="G331" s="45">
        <v>2.3199999999999998</v>
      </c>
      <c r="H331">
        <v>3.2699236952309461</v>
      </c>
      <c r="I331">
        <v>-2.6872146400301365E-2</v>
      </c>
    </row>
    <row r="332" spans="1:9" x14ac:dyDescent="0.35">
      <c r="A332">
        <v>0</v>
      </c>
      <c r="C332">
        <v>0.19551981089400722</v>
      </c>
      <c r="D332">
        <v>3.7707754512906644</v>
      </c>
      <c r="E332">
        <v>2.1238516409670858</v>
      </c>
      <c r="F332">
        <v>765000000</v>
      </c>
      <c r="G332" s="45">
        <v>2.3199999999999998</v>
      </c>
      <c r="H332">
        <v>3.2699236952309461</v>
      </c>
      <c r="I332">
        <v>2.5305865264770262E-2</v>
      </c>
    </row>
    <row r="333" spans="1:9" x14ac:dyDescent="0.35">
      <c r="A333">
        <v>0</v>
      </c>
      <c r="C333">
        <v>0.60940035449370578</v>
      </c>
      <c r="D333">
        <v>2.6674249329872439</v>
      </c>
      <c r="E333">
        <v>2.2881746749783951</v>
      </c>
      <c r="F333">
        <v>220000000</v>
      </c>
      <c r="G333" s="45">
        <v>2.61</v>
      </c>
      <c r="H333">
        <v>3.2699236952309461</v>
      </c>
      <c r="I333">
        <v>0.250420002308894</v>
      </c>
    </row>
    <row r="334" spans="1:9" x14ac:dyDescent="0.35">
      <c r="A334">
        <v>0</v>
      </c>
      <c r="C334">
        <v>1.3592653130497758</v>
      </c>
      <c r="D334">
        <v>3.0625406208792199</v>
      </c>
      <c r="E334">
        <v>2.8714756364568856</v>
      </c>
      <c r="F334">
        <v>33450000</v>
      </c>
      <c r="G334" s="45">
        <v>3.06</v>
      </c>
      <c r="H334">
        <v>3.2699236952309461</v>
      </c>
      <c r="I334">
        <v>0.10720996964786837</v>
      </c>
    </row>
    <row r="335" spans="1:9" x14ac:dyDescent="0.35">
      <c r="A335">
        <v>0</v>
      </c>
      <c r="C335">
        <v>0.43635873299666728</v>
      </c>
      <c r="D335">
        <v>2.9629325585580042</v>
      </c>
      <c r="E335">
        <v>2.9323046139517812</v>
      </c>
      <c r="F335">
        <v>598920000</v>
      </c>
      <c r="G335" s="45">
        <v>2.62</v>
      </c>
      <c r="H335">
        <v>3.2699236952309461</v>
      </c>
      <c r="I335">
        <v>4.1392685158225077E-2</v>
      </c>
    </row>
    <row r="336" spans="1:9" x14ac:dyDescent="0.35">
      <c r="A336">
        <v>0</v>
      </c>
      <c r="C336">
        <v>0.80823731347034766</v>
      </c>
      <c r="D336">
        <v>2.9629325585580042</v>
      </c>
      <c r="E336">
        <v>2.9323046139517812</v>
      </c>
      <c r="F336">
        <v>200000000</v>
      </c>
      <c r="G336" s="45">
        <v>2.62</v>
      </c>
      <c r="H336">
        <v>3.2699236952309461</v>
      </c>
      <c r="I336">
        <v>0.21748394421390627</v>
      </c>
    </row>
    <row r="337" spans="1:9" x14ac:dyDescent="0.35">
      <c r="A337">
        <v>0</v>
      </c>
      <c r="C337">
        <v>0.32150923106716078</v>
      </c>
      <c r="D337">
        <v>2.9629325585580042</v>
      </c>
      <c r="E337">
        <v>2.9323046139517812</v>
      </c>
      <c r="F337">
        <v>137000000</v>
      </c>
      <c r="G337" s="45">
        <v>2.62</v>
      </c>
      <c r="H337">
        <v>3.2699236952309461</v>
      </c>
      <c r="I337">
        <v>-0.10237290870955855</v>
      </c>
    </row>
    <row r="338" spans="1:9" x14ac:dyDescent="0.35">
      <c r="A338">
        <v>0</v>
      </c>
      <c r="C338">
        <v>0.97003677662255683</v>
      </c>
      <c r="D338">
        <v>2.9629325585580042</v>
      </c>
      <c r="E338">
        <v>2.9323046139517812</v>
      </c>
      <c r="F338">
        <v>24000000</v>
      </c>
      <c r="G338" s="45">
        <v>2.62</v>
      </c>
      <c r="H338">
        <v>3.2699236952309461</v>
      </c>
      <c r="I338">
        <v>0.17897694729316943</v>
      </c>
    </row>
    <row r="339" spans="1:9" x14ac:dyDescent="0.35">
      <c r="A339">
        <v>0</v>
      </c>
      <c r="C339">
        <v>0.12774269509812849</v>
      </c>
      <c r="D339">
        <v>2.5362300726332561</v>
      </c>
      <c r="E339">
        <v>2.756001823801419</v>
      </c>
      <c r="F339">
        <v>1117760000</v>
      </c>
      <c r="G339" s="45">
        <v>2.3199999999999998</v>
      </c>
      <c r="H339">
        <v>3.2699236952309461</v>
      </c>
      <c r="I339">
        <v>-9.1514981121350217E-2</v>
      </c>
    </row>
    <row r="340" spans="1:9" x14ac:dyDescent="0.35">
      <c r="A340">
        <v>0</v>
      </c>
      <c r="C340">
        <v>0.51666755909904294</v>
      </c>
      <c r="D340">
        <v>2.6903467274930635</v>
      </c>
      <c r="E340">
        <v>2.7508939203821252</v>
      </c>
      <c r="F340">
        <v>5000000000</v>
      </c>
      <c r="G340" s="45">
        <v>2.59</v>
      </c>
      <c r="H340">
        <v>3.2699236952309461</v>
      </c>
      <c r="I340">
        <v>7.1882007306125359E-2</v>
      </c>
    </row>
    <row r="341" spans="1:9" x14ac:dyDescent="0.35">
      <c r="A341">
        <v>0</v>
      </c>
      <c r="C341">
        <v>9.4166166872442655E-2</v>
      </c>
      <c r="D341">
        <v>2.5362300726332561</v>
      </c>
      <c r="E341">
        <v>2.756001823801419</v>
      </c>
      <c r="F341">
        <v>1629390589</v>
      </c>
      <c r="G341" s="45">
        <v>2.3199999999999998</v>
      </c>
      <c r="H341">
        <v>3.25553976325445</v>
      </c>
      <c r="I341">
        <v>0.20139712432045145</v>
      </c>
    </row>
    <row r="342" spans="1:9" x14ac:dyDescent="0.35">
      <c r="A342">
        <v>0</v>
      </c>
      <c r="C342">
        <v>0.24285713034087314</v>
      </c>
      <c r="D342">
        <v>2.5362300726332561</v>
      </c>
      <c r="E342">
        <v>2.756001823801419</v>
      </c>
      <c r="F342">
        <v>343000000</v>
      </c>
      <c r="G342" s="45">
        <v>2.3199999999999998</v>
      </c>
      <c r="H342">
        <v>3.25553976325445</v>
      </c>
      <c r="I342">
        <v>6.069784035361165E-2</v>
      </c>
    </row>
    <row r="343" spans="1:9" x14ac:dyDescent="0.35">
      <c r="A343">
        <v>0</v>
      </c>
      <c r="C343">
        <v>0.23010916470304998</v>
      </c>
      <c r="D343">
        <v>2.5362300726332561</v>
      </c>
      <c r="E343">
        <v>2.756001823801419</v>
      </c>
      <c r="F343">
        <v>266804219</v>
      </c>
      <c r="G343" s="45">
        <v>2.3199999999999998</v>
      </c>
      <c r="H343">
        <v>3.25553976325445</v>
      </c>
      <c r="I343">
        <v>-5.0609993355087209E-2</v>
      </c>
    </row>
    <row r="344" spans="1:9" x14ac:dyDescent="0.35">
      <c r="A344">
        <v>0</v>
      </c>
      <c r="C344">
        <v>0.35654732351381263</v>
      </c>
      <c r="D344">
        <v>2.5362300726332561</v>
      </c>
      <c r="E344">
        <v>2.756001823801419</v>
      </c>
      <c r="F344">
        <v>44000000</v>
      </c>
      <c r="G344" s="45">
        <v>2.3199999999999998</v>
      </c>
      <c r="H344">
        <v>3.25553976325445</v>
      </c>
      <c r="I344">
        <v>-9.1514981121350217E-2</v>
      </c>
    </row>
    <row r="345" spans="1:9" x14ac:dyDescent="0.35">
      <c r="A345">
        <v>0</v>
      </c>
      <c r="C345">
        <v>0.44715803134221921</v>
      </c>
      <c r="D345">
        <v>2.5362300726332561</v>
      </c>
      <c r="E345">
        <v>2.756001823801419</v>
      </c>
      <c r="F345">
        <v>25000000</v>
      </c>
      <c r="G345" s="45">
        <v>2.3199999999999998</v>
      </c>
      <c r="H345">
        <v>3.25553976325445</v>
      </c>
      <c r="I345">
        <v>1.703333929878037E-2</v>
      </c>
    </row>
    <row r="346" spans="1:9" x14ac:dyDescent="0.35">
      <c r="A346">
        <v>0</v>
      </c>
      <c r="C346">
        <v>0.375735713440081</v>
      </c>
      <c r="D346">
        <v>2.9629325585580042</v>
      </c>
      <c r="E346">
        <v>2.9323046139517812</v>
      </c>
      <c r="F346">
        <v>336786189</v>
      </c>
      <c r="G346" s="45">
        <v>2.62</v>
      </c>
      <c r="H346">
        <v>3.25553976325445</v>
      </c>
      <c r="I346">
        <v>0.18469143081759881</v>
      </c>
    </row>
    <row r="347" spans="1:9" x14ac:dyDescent="0.35">
      <c r="A347">
        <v>0</v>
      </c>
      <c r="C347">
        <v>1.6901758266215719E-3</v>
      </c>
      <c r="D347">
        <v>3.7707754512906644</v>
      </c>
      <c r="E347">
        <v>2.1238516409670858</v>
      </c>
      <c r="F347">
        <v>946310000</v>
      </c>
      <c r="G347" s="45">
        <v>2.3199999999999998</v>
      </c>
      <c r="H347">
        <v>3.25553976325445</v>
      </c>
      <c r="I347">
        <v>2.5305865264770262E-2</v>
      </c>
    </row>
    <row r="348" spans="1:9" x14ac:dyDescent="0.35">
      <c r="A348">
        <v>0</v>
      </c>
      <c r="C348">
        <v>0.78952095735475225</v>
      </c>
      <c r="D348">
        <v>0</v>
      </c>
      <c r="E348">
        <v>0</v>
      </c>
      <c r="F348">
        <v>243540000</v>
      </c>
      <c r="G348" s="45">
        <v>3.59</v>
      </c>
      <c r="H348">
        <v>3.212261842580872</v>
      </c>
      <c r="I348">
        <v>0.10037054511756291</v>
      </c>
    </row>
    <row r="349" spans="1:9" x14ac:dyDescent="0.35">
      <c r="A349">
        <v>0</v>
      </c>
      <c r="C349">
        <v>0.24874460454816136</v>
      </c>
      <c r="D349">
        <v>0</v>
      </c>
      <c r="E349">
        <v>0</v>
      </c>
      <c r="F349">
        <v>81330000</v>
      </c>
      <c r="G349" s="45">
        <v>3.42</v>
      </c>
      <c r="H349">
        <v>3.2596780568098533</v>
      </c>
      <c r="I349">
        <v>5.6904851336472641E-2</v>
      </c>
    </row>
    <row r="350" spans="1:9" x14ac:dyDescent="0.35">
      <c r="A350">
        <v>0</v>
      </c>
      <c r="C350">
        <v>0.10914446942506807</v>
      </c>
      <c r="D350">
        <v>3.2606294079543621</v>
      </c>
      <c r="E350">
        <v>2.7235924792443509</v>
      </c>
      <c r="F350">
        <v>700000000</v>
      </c>
      <c r="G350" s="45">
        <v>3.18</v>
      </c>
      <c r="H350">
        <v>3.22246453795844</v>
      </c>
      <c r="I350">
        <v>0.10037054511756291</v>
      </c>
    </row>
    <row r="351" spans="1:9" x14ac:dyDescent="0.35">
      <c r="A351">
        <v>0</v>
      </c>
      <c r="C351">
        <v>0.55506342865173885</v>
      </c>
      <c r="D351">
        <v>3.7358167906061537</v>
      </c>
      <c r="E351">
        <v>2.103233406386928</v>
      </c>
      <c r="F351">
        <v>19500000</v>
      </c>
      <c r="G351" s="45">
        <v>2.91</v>
      </c>
      <c r="H351">
        <v>3.2887955392469697</v>
      </c>
      <c r="I351">
        <v>0.17318626841227402</v>
      </c>
    </row>
    <row r="352" spans="1:9" x14ac:dyDescent="0.35">
      <c r="A352">
        <v>0</v>
      </c>
      <c r="C352">
        <v>-7.9181246047624804E-2</v>
      </c>
      <c r="D352">
        <v>3.7707754512906644</v>
      </c>
      <c r="E352">
        <v>2.1238516409670858</v>
      </c>
      <c r="F352">
        <v>120000000</v>
      </c>
      <c r="G352" s="45">
        <v>2.3199999999999998</v>
      </c>
      <c r="H352">
        <v>3.3647319780710983</v>
      </c>
      <c r="I352">
        <v>0.34635297445063856</v>
      </c>
    </row>
    <row r="353" spans="1:9" x14ac:dyDescent="0.35">
      <c r="A353">
        <v>0</v>
      </c>
      <c r="C353">
        <v>0.37614287957719328</v>
      </c>
      <c r="D353">
        <v>0</v>
      </c>
      <c r="E353">
        <v>0</v>
      </c>
      <c r="F353">
        <v>143000000</v>
      </c>
      <c r="G353" s="45">
        <v>3.29</v>
      </c>
      <c r="H353">
        <v>3.3136191229720016</v>
      </c>
      <c r="I353">
        <v>8.2785370316450071E-2</v>
      </c>
    </row>
    <row r="354" spans="1:9" x14ac:dyDescent="0.35">
      <c r="A354">
        <v>0</v>
      </c>
      <c r="C354">
        <v>0.3010299956639812</v>
      </c>
      <c r="D354">
        <v>0</v>
      </c>
      <c r="E354">
        <v>0</v>
      </c>
      <c r="F354">
        <v>100000000</v>
      </c>
      <c r="G354" s="45">
        <v>3.29</v>
      </c>
      <c r="H354">
        <v>3.3209851425446502</v>
      </c>
      <c r="I354">
        <v>0.14612803567823801</v>
      </c>
    </row>
    <row r="355" spans="1:9" x14ac:dyDescent="0.35">
      <c r="A355">
        <v>0</v>
      </c>
      <c r="C355">
        <v>-0.57818060962777795</v>
      </c>
      <c r="D355">
        <v>0</v>
      </c>
      <c r="E355">
        <v>0</v>
      </c>
      <c r="F355">
        <v>75720000</v>
      </c>
      <c r="G355" s="45">
        <v>3.29</v>
      </c>
      <c r="H355">
        <v>3.3209851425446502</v>
      </c>
      <c r="I355">
        <v>0.14612803567823801</v>
      </c>
    </row>
    <row r="356" spans="1:9" x14ac:dyDescent="0.35">
      <c r="A356">
        <v>0</v>
      </c>
      <c r="C356">
        <v>0.33775280268872104</v>
      </c>
      <c r="D356">
        <v>0</v>
      </c>
      <c r="E356">
        <v>0</v>
      </c>
      <c r="F356">
        <v>119000000</v>
      </c>
      <c r="G356" s="45">
        <v>3.29</v>
      </c>
      <c r="H356">
        <v>3.3209851425446502</v>
      </c>
      <c r="I356">
        <v>0.17897694729316943</v>
      </c>
    </row>
    <row r="357" spans="1:9" x14ac:dyDescent="0.35">
      <c r="A357">
        <v>0</v>
      </c>
      <c r="C357">
        <v>0.51599281280936371</v>
      </c>
      <c r="D357">
        <v>0</v>
      </c>
      <c r="E357">
        <v>0</v>
      </c>
      <c r="F357">
        <v>438000000</v>
      </c>
      <c r="G357" s="45">
        <v>3.29</v>
      </c>
      <c r="H357">
        <v>3.1817251205543564</v>
      </c>
      <c r="I357">
        <v>0.14301480025409513</v>
      </c>
    </row>
    <row r="358" spans="1:9" x14ac:dyDescent="0.35">
      <c r="A358">
        <v>0</v>
      </c>
      <c r="C358">
        <v>0.3979400086720376</v>
      </c>
      <c r="D358">
        <v>0</v>
      </c>
      <c r="E358">
        <v>0</v>
      </c>
      <c r="F358">
        <v>400000000</v>
      </c>
      <c r="G358" s="45">
        <v>3.29</v>
      </c>
      <c r="H358">
        <v>3.1606353037386858</v>
      </c>
      <c r="I358">
        <v>0.17609125905568124</v>
      </c>
    </row>
    <row r="359" spans="1:9" x14ac:dyDescent="0.35">
      <c r="A359">
        <v>0</v>
      </c>
      <c r="C359">
        <v>-0.27378151671391243</v>
      </c>
      <c r="D359">
        <v>0</v>
      </c>
      <c r="E359">
        <v>0</v>
      </c>
      <c r="F359">
        <v>867807686</v>
      </c>
      <c r="G359" s="45">
        <v>3.29</v>
      </c>
      <c r="H359">
        <v>3.1606353037386858</v>
      </c>
      <c r="I359">
        <v>0.15228834438305647</v>
      </c>
    </row>
    <row r="360" spans="1:9" x14ac:dyDescent="0.35">
      <c r="A360">
        <v>0</v>
      </c>
      <c r="C360">
        <v>0.22577904324478879</v>
      </c>
      <c r="D360">
        <v>3.7707754512906644</v>
      </c>
      <c r="E360">
        <v>2.1238516409670858</v>
      </c>
      <c r="F360">
        <v>1100000000</v>
      </c>
      <c r="G360" s="45">
        <v>2.3199999999999998</v>
      </c>
      <c r="H360">
        <v>3.3240201037352737</v>
      </c>
      <c r="I360">
        <v>0.17897694729316943</v>
      </c>
    </row>
    <row r="361" spans="1:9" x14ac:dyDescent="0.35">
      <c r="A361">
        <v>0</v>
      </c>
      <c r="C361">
        <v>0.93682629938750739</v>
      </c>
      <c r="D361">
        <v>2.8904489647796185</v>
      </c>
      <c r="E361">
        <v>2.4068239403146179</v>
      </c>
      <c r="F361">
        <v>20000000</v>
      </c>
      <c r="G361" s="45">
        <v>3.18</v>
      </c>
      <c r="H361">
        <v>3.5043430043452655</v>
      </c>
      <c r="I361">
        <v>0.19312459835446161</v>
      </c>
    </row>
    <row r="362" spans="1:9" x14ac:dyDescent="0.35">
      <c r="A362">
        <v>0</v>
      </c>
      <c r="C362">
        <v>0.28399665636520083</v>
      </c>
      <c r="D362">
        <v>0</v>
      </c>
      <c r="E362">
        <v>0</v>
      </c>
      <c r="F362">
        <v>130000000</v>
      </c>
      <c r="G362" s="45">
        <v>3.29</v>
      </c>
      <c r="H362">
        <v>3.4875507829385946</v>
      </c>
      <c r="I362">
        <v>0.10380372095595687</v>
      </c>
    </row>
    <row r="363" spans="1:9" x14ac:dyDescent="0.35">
      <c r="A363">
        <v>0</v>
      </c>
      <c r="C363">
        <v>0.7995493950848741</v>
      </c>
      <c r="D363">
        <v>0</v>
      </c>
      <c r="E363">
        <v>0</v>
      </c>
      <c r="F363">
        <v>33000000</v>
      </c>
      <c r="G363" s="45">
        <v>3.29</v>
      </c>
      <c r="H363">
        <v>3.4875507829385946</v>
      </c>
      <c r="I363">
        <v>0.18184358794477254</v>
      </c>
    </row>
    <row r="364" spans="1:9" x14ac:dyDescent="0.35">
      <c r="A364">
        <v>0</v>
      </c>
      <c r="C364">
        <v>0.41029207058620576</v>
      </c>
      <c r="D364">
        <v>0</v>
      </c>
      <c r="E364">
        <v>0</v>
      </c>
      <c r="F364">
        <v>80000000</v>
      </c>
      <c r="G364" s="45">
        <v>3.29</v>
      </c>
      <c r="H364">
        <v>3.3948757743780882</v>
      </c>
      <c r="I364">
        <v>0.10037054511756291</v>
      </c>
    </row>
    <row r="365" spans="1:9" x14ac:dyDescent="0.35">
      <c r="A365">
        <v>0</v>
      </c>
      <c r="C365">
        <v>0.76362344321178399</v>
      </c>
      <c r="D365">
        <v>0</v>
      </c>
      <c r="E365">
        <v>0</v>
      </c>
      <c r="F365">
        <v>1394200000</v>
      </c>
      <c r="G365" s="45">
        <v>2.95</v>
      </c>
      <c r="H365">
        <v>3.1628767233771686</v>
      </c>
      <c r="I365">
        <v>0.11394335230683679</v>
      </c>
    </row>
    <row r="366" spans="1:9" x14ac:dyDescent="0.35">
      <c r="A366">
        <v>0</v>
      </c>
      <c r="C366">
        <v>-0.39013890701945303</v>
      </c>
      <c r="D366">
        <v>0</v>
      </c>
      <c r="E366">
        <v>0</v>
      </c>
      <c r="F366">
        <v>400000000</v>
      </c>
      <c r="G366" s="45">
        <v>2.95</v>
      </c>
      <c r="H366">
        <v>3.21397828825565</v>
      </c>
      <c r="I366">
        <v>4.5322978786657475E-2</v>
      </c>
    </row>
    <row r="367" spans="1:9" x14ac:dyDescent="0.35">
      <c r="A367">
        <v>0</v>
      </c>
      <c r="C367">
        <v>0.37787002589670354</v>
      </c>
      <c r="D367">
        <v>0</v>
      </c>
      <c r="E367">
        <v>0</v>
      </c>
      <c r="F367">
        <v>310000000</v>
      </c>
      <c r="G367" s="45">
        <v>2.95</v>
      </c>
      <c r="H367">
        <v>3.5168755324519045</v>
      </c>
      <c r="I367">
        <v>0.17026171539495738</v>
      </c>
    </row>
    <row r="368" spans="1:9" x14ac:dyDescent="0.35">
      <c r="A368">
        <v>0</v>
      </c>
      <c r="C368">
        <v>0.77815125038364363</v>
      </c>
      <c r="D368">
        <v>0</v>
      </c>
      <c r="E368">
        <v>0</v>
      </c>
      <c r="F368">
        <v>90000000</v>
      </c>
      <c r="G368" s="45">
        <v>2.95</v>
      </c>
      <c r="H368">
        <v>3.447158031342219</v>
      </c>
      <c r="I368">
        <v>4.5322978786657475E-2</v>
      </c>
    </row>
    <row r="369" spans="1:9" x14ac:dyDescent="0.35">
      <c r="A369">
        <v>0</v>
      </c>
      <c r="C369">
        <v>0.47172622283295623</v>
      </c>
      <c r="D369">
        <v>0</v>
      </c>
      <c r="E369">
        <v>0</v>
      </c>
      <c r="F369">
        <v>675000000</v>
      </c>
      <c r="G369" s="45">
        <v>2.95</v>
      </c>
      <c r="H369">
        <v>3.1606353037386858</v>
      </c>
      <c r="I369">
        <v>0.23299611039215382</v>
      </c>
    </row>
    <row r="370" spans="1:9" x14ac:dyDescent="0.35">
      <c r="A370">
        <v>0</v>
      </c>
      <c r="C370">
        <v>0.43112242240123261</v>
      </c>
      <c r="D370">
        <v>0</v>
      </c>
      <c r="E370">
        <v>0</v>
      </c>
      <c r="F370">
        <v>200000000</v>
      </c>
      <c r="G370" s="45">
        <v>2.95</v>
      </c>
      <c r="H370">
        <v>3.1606353037386858</v>
      </c>
      <c r="I370">
        <v>5.3078443483419682E-2</v>
      </c>
    </row>
    <row r="371" spans="1:9" x14ac:dyDescent="0.35">
      <c r="A371">
        <v>0</v>
      </c>
      <c r="C371">
        <v>0.68060473878707939</v>
      </c>
      <c r="D371">
        <v>0</v>
      </c>
      <c r="E371">
        <v>0</v>
      </c>
      <c r="F371">
        <v>375550000</v>
      </c>
      <c r="G371" s="45">
        <v>2.95</v>
      </c>
      <c r="H371">
        <v>3.1532162502154288</v>
      </c>
      <c r="I371">
        <v>0.17897694729316943</v>
      </c>
    </row>
    <row r="372" spans="1:9" x14ac:dyDescent="0.35">
      <c r="A372">
        <v>0</v>
      </c>
      <c r="C372">
        <v>0.27667064980453648</v>
      </c>
      <c r="D372">
        <v>0</v>
      </c>
      <c r="E372">
        <v>0</v>
      </c>
      <c r="F372">
        <v>412500000</v>
      </c>
      <c r="G372" s="45">
        <v>2.95</v>
      </c>
      <c r="H372">
        <v>3.1532162502154288</v>
      </c>
      <c r="I372">
        <v>0.11394335230683679</v>
      </c>
    </row>
    <row r="373" spans="1:9" x14ac:dyDescent="0.35">
      <c r="A373">
        <v>1</v>
      </c>
      <c r="C373">
        <v>-2</v>
      </c>
      <c r="D373">
        <v>0</v>
      </c>
      <c r="E373">
        <v>0</v>
      </c>
      <c r="F373">
        <v>90000000</v>
      </c>
      <c r="G373" s="45">
        <v>3.29</v>
      </c>
      <c r="H373">
        <v>3.2676062401770314</v>
      </c>
      <c r="I373">
        <v>0.13353890837021748</v>
      </c>
    </row>
    <row r="374" spans="1:9" x14ac:dyDescent="0.35">
      <c r="A374">
        <v>0</v>
      </c>
      <c r="C374">
        <v>0.37377713170619614</v>
      </c>
      <c r="D374">
        <v>0</v>
      </c>
      <c r="E374">
        <v>0</v>
      </c>
      <c r="F374">
        <v>170000000</v>
      </c>
      <c r="G374" s="45">
        <v>3.28</v>
      </c>
      <c r="H374">
        <v>3.4636187843160156</v>
      </c>
      <c r="I374">
        <v>0.16435285578443709</v>
      </c>
    </row>
    <row r="375" spans="1:9" x14ac:dyDescent="0.35">
      <c r="A375">
        <v>0</v>
      </c>
      <c r="C375">
        <v>-0.38021124171160592</v>
      </c>
      <c r="D375">
        <v>0</v>
      </c>
      <c r="E375">
        <v>0</v>
      </c>
      <c r="F375">
        <v>36000000</v>
      </c>
      <c r="G375" s="45">
        <v>3.28</v>
      </c>
      <c r="H375">
        <v>3.2676062401770314</v>
      </c>
      <c r="I375">
        <v>0.46389298898590731</v>
      </c>
    </row>
    <row r="376" spans="1:9" x14ac:dyDescent="0.35">
      <c r="A376">
        <v>0</v>
      </c>
      <c r="C376">
        <v>-0.38021124171160592</v>
      </c>
      <c r="D376">
        <v>0</v>
      </c>
      <c r="E376">
        <v>0</v>
      </c>
      <c r="F376">
        <v>1560000000</v>
      </c>
      <c r="G376" s="45">
        <v>3.5</v>
      </c>
      <c r="H376">
        <v>3.9690067974360175</v>
      </c>
      <c r="I376">
        <v>7.1882007306125359E-2</v>
      </c>
    </row>
    <row r="377" spans="1:9" x14ac:dyDescent="0.35">
      <c r="A377">
        <v>0</v>
      </c>
      <c r="C377">
        <v>-0.21439828045410877</v>
      </c>
      <c r="D377">
        <v>2.8270718863448598</v>
      </c>
      <c r="E377">
        <v>2.7172543127625497</v>
      </c>
      <c r="F377">
        <v>1146822805</v>
      </c>
      <c r="G377" s="45">
        <v>3.25</v>
      </c>
      <c r="H377">
        <v>3.9690067974360175</v>
      </c>
      <c r="I377">
        <v>0.12057393120584989</v>
      </c>
    </row>
    <row r="378" spans="1:9" x14ac:dyDescent="0.35">
      <c r="A378">
        <v>0</v>
      </c>
      <c r="C378">
        <v>0.33645973384852951</v>
      </c>
      <c r="D378">
        <v>3.8229763963637051</v>
      </c>
      <c r="E378">
        <v>2.7113853790984517</v>
      </c>
      <c r="F378">
        <v>100000000</v>
      </c>
      <c r="G378" s="45">
        <v>3.03</v>
      </c>
      <c r="H378">
        <v>3.1532162502154288</v>
      </c>
      <c r="I378">
        <v>0.10037054511756291</v>
      </c>
    </row>
    <row r="379" spans="1:9" x14ac:dyDescent="0.35">
      <c r="A379">
        <v>0</v>
      </c>
      <c r="C379">
        <v>0.15829010364906099</v>
      </c>
      <c r="D379">
        <v>3.8229763963637051</v>
      </c>
      <c r="E379">
        <v>2.7113853790984517</v>
      </c>
      <c r="F379">
        <v>1500000000</v>
      </c>
      <c r="G379" s="45">
        <v>3.03</v>
      </c>
      <c r="H379">
        <v>3.1532162502154288</v>
      </c>
      <c r="I379">
        <v>0.14301480025409513</v>
      </c>
    </row>
    <row r="380" spans="1:9" x14ac:dyDescent="0.35">
      <c r="A380">
        <v>0</v>
      </c>
      <c r="C380">
        <v>0.32900742703280411</v>
      </c>
      <c r="D380">
        <v>3.8229763963637051</v>
      </c>
      <c r="E380">
        <v>2.7113853790984517</v>
      </c>
      <c r="F380">
        <v>3191180520</v>
      </c>
      <c r="G380" s="45">
        <v>3.03</v>
      </c>
      <c r="H380">
        <v>3.1532162502154288</v>
      </c>
      <c r="I380">
        <v>4.1392685158225077E-2</v>
      </c>
    </row>
    <row r="381" spans="1:9" x14ac:dyDescent="0.35">
      <c r="A381">
        <v>0</v>
      </c>
      <c r="C381">
        <v>0.40401005301388143</v>
      </c>
      <c r="D381">
        <v>0</v>
      </c>
      <c r="E381">
        <v>0</v>
      </c>
      <c r="F381">
        <v>654633497</v>
      </c>
      <c r="G381" s="14">
        <v>0</v>
      </c>
      <c r="H381">
        <v>3.1532162502154288</v>
      </c>
      <c r="I381">
        <v>0.13987908640123647</v>
      </c>
    </row>
    <row r="382" spans="1:9" x14ac:dyDescent="0.35">
      <c r="A382">
        <v>0</v>
      </c>
      <c r="C382">
        <v>0.94884747755261878</v>
      </c>
      <c r="D382">
        <v>2.8904489647796185</v>
      </c>
      <c r="E382">
        <v>2.4068239403146179</v>
      </c>
      <c r="F382">
        <v>90000000</v>
      </c>
      <c r="G382" s="45">
        <v>3.18</v>
      </c>
      <c r="H382">
        <v>3.1532162502154288</v>
      </c>
      <c r="I382">
        <v>9.3421685162235063E-2</v>
      </c>
    </row>
    <row r="383" spans="1:9" x14ac:dyDescent="0.35">
      <c r="A383">
        <v>0</v>
      </c>
      <c r="C383">
        <v>0.90884925077842993</v>
      </c>
      <c r="D383">
        <v>2.6893532632422525</v>
      </c>
      <c r="E383">
        <v>2.9982593384236988</v>
      </c>
      <c r="F383">
        <v>7210000</v>
      </c>
      <c r="G383" s="45">
        <v>3.03</v>
      </c>
      <c r="H383">
        <v>3.1532162502154288</v>
      </c>
      <c r="I383">
        <v>-0.25181197299379954</v>
      </c>
    </row>
    <row r="384" spans="1:9" x14ac:dyDescent="0.35">
      <c r="A384">
        <v>0</v>
      </c>
      <c r="C384">
        <v>0.90859223884756946</v>
      </c>
      <c r="D384">
        <v>0</v>
      </c>
      <c r="E384">
        <v>0</v>
      </c>
      <c r="F384">
        <v>10000000</v>
      </c>
      <c r="G384" s="14">
        <v>0</v>
      </c>
      <c r="H384">
        <v>3.1532162502154288</v>
      </c>
      <c r="I384">
        <v>3.7426497940623665E-2</v>
      </c>
    </row>
    <row r="385" spans="1:9" x14ac:dyDescent="0.35">
      <c r="A385">
        <v>1</v>
      </c>
      <c r="C385">
        <v>-2</v>
      </c>
      <c r="D385">
        <v>3.8229763963637051</v>
      </c>
      <c r="E385">
        <v>2.7113853790984517</v>
      </c>
      <c r="F385">
        <v>40000000</v>
      </c>
      <c r="G385" s="45">
        <v>3.03</v>
      </c>
      <c r="H385">
        <v>3.1532162502154288</v>
      </c>
      <c r="I385">
        <v>-7.5720713938118356E-2</v>
      </c>
    </row>
    <row r="386" spans="1:9" x14ac:dyDescent="0.35">
      <c r="A386">
        <v>0</v>
      </c>
      <c r="C386">
        <v>0.55017516002644007</v>
      </c>
      <c r="D386">
        <v>0</v>
      </c>
      <c r="E386">
        <v>0</v>
      </c>
      <c r="F386">
        <v>23000000</v>
      </c>
      <c r="G386" s="14">
        <v>0</v>
      </c>
      <c r="H386">
        <v>3.1532162502154288</v>
      </c>
      <c r="I386">
        <v>-8.092190762392612E-2</v>
      </c>
    </row>
    <row r="387" spans="1:9" x14ac:dyDescent="0.35">
      <c r="A387">
        <v>0</v>
      </c>
      <c r="C387">
        <v>0.52589988515043506</v>
      </c>
      <c r="D387">
        <v>2.2426159575692655</v>
      </c>
      <c r="E387">
        <v>2.4705574852172743</v>
      </c>
      <c r="F387">
        <v>23833625</v>
      </c>
      <c r="G387" s="45">
        <v>2.9</v>
      </c>
      <c r="H387">
        <v>3.2103561131344809</v>
      </c>
      <c r="I387">
        <v>0.15228834438305647</v>
      </c>
    </row>
    <row r="388" spans="1:9" x14ac:dyDescent="0.35">
      <c r="A388">
        <v>0</v>
      </c>
      <c r="C388">
        <v>0.40540657335739205</v>
      </c>
      <c r="D388">
        <v>0</v>
      </c>
      <c r="E388">
        <v>0</v>
      </c>
      <c r="F388">
        <v>17300000</v>
      </c>
      <c r="G388" s="45">
        <v>3.29</v>
      </c>
      <c r="H388">
        <v>3.3438084825075891</v>
      </c>
      <c r="I388">
        <v>0.34044411484011833</v>
      </c>
    </row>
    <row r="389" spans="1:9" x14ac:dyDescent="0.35">
      <c r="A389">
        <v>0</v>
      </c>
      <c r="C389">
        <v>0.33871328580219212</v>
      </c>
      <c r="D389">
        <v>2.5542346870234227</v>
      </c>
      <c r="E389">
        <v>2.9876662649262746</v>
      </c>
      <c r="F389">
        <v>82520000</v>
      </c>
      <c r="G389" s="45">
        <v>3.16</v>
      </c>
      <c r="H389">
        <v>3.3438084825075891</v>
      </c>
      <c r="I389">
        <v>-3.1517051446064911E-2</v>
      </c>
    </row>
    <row r="390" spans="1:9" x14ac:dyDescent="0.35">
      <c r="A390">
        <v>0</v>
      </c>
      <c r="C390">
        <v>0.95451372538741597</v>
      </c>
      <c r="D390">
        <v>0</v>
      </c>
      <c r="E390">
        <v>0</v>
      </c>
      <c r="F390">
        <v>88399000</v>
      </c>
      <c r="G390" s="45">
        <v>3.29</v>
      </c>
      <c r="H390">
        <v>3.3438084825075891</v>
      </c>
      <c r="I390">
        <v>0.2528530309798932</v>
      </c>
    </row>
    <row r="391" spans="1:9" x14ac:dyDescent="0.35">
      <c r="A391">
        <v>0</v>
      </c>
      <c r="C391">
        <v>0.29550329383784157</v>
      </c>
      <c r="D391">
        <v>0</v>
      </c>
      <c r="E391">
        <v>0</v>
      </c>
      <c r="F391">
        <v>288650000</v>
      </c>
      <c r="G391" s="45">
        <v>3.29</v>
      </c>
      <c r="H391">
        <v>3.3438084825075891</v>
      </c>
      <c r="I391">
        <v>6.069784035361165E-2</v>
      </c>
    </row>
    <row r="392" spans="1:9" x14ac:dyDescent="0.35">
      <c r="A392">
        <v>0</v>
      </c>
      <c r="C392">
        <v>0.50218365862222958</v>
      </c>
      <c r="D392">
        <v>2.5542346870234227</v>
      </c>
      <c r="E392">
        <v>2.9876662649262746</v>
      </c>
      <c r="F392">
        <v>30300000</v>
      </c>
      <c r="G392" s="45">
        <v>3.16</v>
      </c>
      <c r="H392">
        <v>3.3438084825075891</v>
      </c>
      <c r="I392">
        <v>7.9181246047624818E-2</v>
      </c>
    </row>
    <row r="393" spans="1:9" x14ac:dyDescent="0.35">
      <c r="A393">
        <v>0</v>
      </c>
      <c r="C393">
        <v>0.2338176423292847</v>
      </c>
      <c r="D393">
        <v>0</v>
      </c>
      <c r="E393">
        <v>0</v>
      </c>
      <c r="F393">
        <v>207210000</v>
      </c>
      <c r="G393" s="45">
        <v>3.29</v>
      </c>
      <c r="H393">
        <v>3.3438084825075891</v>
      </c>
      <c r="I393">
        <v>9.691001300805642E-2</v>
      </c>
    </row>
    <row r="394" spans="1:9" x14ac:dyDescent="0.35">
      <c r="A394">
        <v>0</v>
      </c>
      <c r="C394">
        <v>0.22834296728139425</v>
      </c>
      <c r="D394">
        <v>3.7358167906061537</v>
      </c>
      <c r="E394">
        <v>2.103233406386928</v>
      </c>
      <c r="F394">
        <v>518059000</v>
      </c>
      <c r="G394" s="45">
        <v>2.81</v>
      </c>
      <c r="H394">
        <v>3.3884049978579722</v>
      </c>
      <c r="I394">
        <v>0.17609125905568124</v>
      </c>
    </row>
    <row r="395" spans="1:9" x14ac:dyDescent="0.35">
      <c r="A395">
        <v>0</v>
      </c>
      <c r="C395">
        <v>0.93175331002877337</v>
      </c>
      <c r="D395">
        <v>3.7358167906061537</v>
      </c>
      <c r="E395">
        <v>2.103233406386928</v>
      </c>
      <c r="F395">
        <v>61120000</v>
      </c>
      <c r="G395" s="45">
        <v>2.81</v>
      </c>
      <c r="H395">
        <v>3.3884049978579722</v>
      </c>
      <c r="I395">
        <v>0.42813479402878879</v>
      </c>
    </row>
    <row r="396" spans="1:9" x14ac:dyDescent="0.35">
      <c r="A396">
        <v>1</v>
      </c>
      <c r="C396">
        <v>-2</v>
      </c>
      <c r="D396">
        <v>3.7358167906061537</v>
      </c>
      <c r="E396">
        <v>2.103233406386928</v>
      </c>
      <c r="F396">
        <v>450000000</v>
      </c>
      <c r="G396" s="45">
        <v>2.81</v>
      </c>
      <c r="H396">
        <v>3.3884049978579722</v>
      </c>
      <c r="I396">
        <v>-3.1517051446064911E-2</v>
      </c>
    </row>
    <row r="397" spans="1:9" x14ac:dyDescent="0.35">
      <c r="A397">
        <v>0</v>
      </c>
      <c r="C397">
        <v>5.1338078733862841E-2</v>
      </c>
      <c r="D397">
        <v>0</v>
      </c>
      <c r="E397">
        <v>2.103233406386928</v>
      </c>
      <c r="F397">
        <v>520000000</v>
      </c>
      <c r="G397" s="45">
        <v>2.81</v>
      </c>
      <c r="H397">
        <v>3.3884049978579722</v>
      </c>
      <c r="I397">
        <v>5.6904851336472641E-2</v>
      </c>
    </row>
    <row r="398" spans="1:9" x14ac:dyDescent="0.35">
      <c r="A398">
        <v>0</v>
      </c>
      <c r="C398">
        <v>0.9971862207753267</v>
      </c>
      <c r="D398">
        <v>3.7358167906061537</v>
      </c>
      <c r="E398">
        <v>2.103233406386928</v>
      </c>
      <c r="F398">
        <v>60390000</v>
      </c>
      <c r="G398" s="45">
        <v>2.81</v>
      </c>
      <c r="H398">
        <v>3.3884049978579722</v>
      </c>
      <c r="I398">
        <v>6.445798922691845E-2</v>
      </c>
    </row>
    <row r="399" spans="1:9" x14ac:dyDescent="0.35">
      <c r="A399">
        <v>0</v>
      </c>
      <c r="C399">
        <v>0.77671186392993052</v>
      </c>
      <c r="D399">
        <v>2.6674249329872439</v>
      </c>
      <c r="E399">
        <v>2.2881746749783951</v>
      </c>
      <c r="F399">
        <v>68000000</v>
      </c>
      <c r="G399" s="45">
        <v>2.81</v>
      </c>
      <c r="H399">
        <v>3.3884049978579722</v>
      </c>
      <c r="I399">
        <v>-3.6212172654444715E-2</v>
      </c>
    </row>
    <row r="400" spans="1:9" x14ac:dyDescent="0.35">
      <c r="A400">
        <v>0</v>
      </c>
      <c r="C400">
        <v>0.12746371163880357</v>
      </c>
      <c r="D400">
        <v>3.7358167906061537</v>
      </c>
      <c r="E400">
        <v>2.103233406386928</v>
      </c>
      <c r="F400">
        <v>1372000000</v>
      </c>
      <c r="G400" s="45">
        <v>2.81</v>
      </c>
      <c r="H400">
        <v>3.3884049978579722</v>
      </c>
      <c r="I400">
        <v>-4.5757490560675115E-2</v>
      </c>
    </row>
    <row r="401" spans="1:9" x14ac:dyDescent="0.35">
      <c r="A401">
        <v>0</v>
      </c>
      <c r="C401">
        <v>0.38394695043285532</v>
      </c>
      <c r="D401">
        <v>3.7358167906061537</v>
      </c>
      <c r="E401">
        <v>2.103233406386928</v>
      </c>
      <c r="F401">
        <v>150000000</v>
      </c>
      <c r="G401" s="45">
        <v>2.81</v>
      </c>
      <c r="H401">
        <v>3.3884049978579722</v>
      </c>
      <c r="I401">
        <v>-6.5501548756432285E-2</v>
      </c>
    </row>
    <row r="402" spans="1:9" x14ac:dyDescent="0.35">
      <c r="A402">
        <v>0</v>
      </c>
      <c r="C402">
        <v>0.19092342405844648</v>
      </c>
      <c r="D402">
        <v>2.6674249329872439</v>
      </c>
      <c r="E402">
        <v>2.2881746749783951</v>
      </c>
      <c r="F402">
        <v>2254990000</v>
      </c>
      <c r="G402" s="45">
        <v>2.81</v>
      </c>
      <c r="H402">
        <v>3.3884049978579722</v>
      </c>
      <c r="I402">
        <v>-1.322826573375516E-2</v>
      </c>
    </row>
    <row r="403" spans="1:9" x14ac:dyDescent="0.35">
      <c r="A403">
        <v>0</v>
      </c>
      <c r="C403">
        <v>0.3035644433514339</v>
      </c>
      <c r="D403">
        <v>3.8584156743566731</v>
      </c>
      <c r="E403">
        <v>2.8134697878296753</v>
      </c>
      <c r="F403">
        <v>119600000</v>
      </c>
      <c r="G403" s="45">
        <v>2.66</v>
      </c>
      <c r="H403">
        <v>3.1867416979308154</v>
      </c>
      <c r="I403">
        <v>8.6359830674748214E-2</v>
      </c>
    </row>
    <row r="404" spans="1:9" x14ac:dyDescent="0.35">
      <c r="A404">
        <v>0</v>
      </c>
      <c r="C404">
        <v>5.2714734498433974E-2</v>
      </c>
      <c r="D404">
        <v>3.8584156743566731</v>
      </c>
      <c r="E404">
        <v>2.8134697878296753</v>
      </c>
      <c r="F404">
        <v>740000000</v>
      </c>
      <c r="G404" s="45">
        <v>2.66</v>
      </c>
      <c r="H404">
        <v>3.1867416979308154</v>
      </c>
      <c r="I404">
        <v>-3.6212172654444715E-2</v>
      </c>
    </row>
    <row r="405" spans="1:9" x14ac:dyDescent="0.35">
      <c r="A405">
        <v>0</v>
      </c>
      <c r="C405">
        <v>0.36644217422112635</v>
      </c>
      <c r="D405">
        <v>3.7899753459779522</v>
      </c>
      <c r="E405">
        <v>2.7670321178317625</v>
      </c>
      <c r="F405">
        <v>243000000</v>
      </c>
      <c r="G405" s="45">
        <v>3.18</v>
      </c>
      <c r="H405">
        <v>3.7516212028445941</v>
      </c>
      <c r="I405">
        <v>0.14612803567823801</v>
      </c>
    </row>
    <row r="406" spans="1:9" x14ac:dyDescent="0.35">
      <c r="A406">
        <v>0</v>
      </c>
      <c r="C406">
        <v>0.88303019306297537</v>
      </c>
      <c r="D406">
        <v>3.8219626565950726</v>
      </c>
      <c r="E406">
        <v>2.9079485216122722</v>
      </c>
      <c r="F406">
        <v>7200000</v>
      </c>
      <c r="G406" s="45">
        <v>3.03</v>
      </c>
      <c r="H406">
        <v>3.3779512479807074</v>
      </c>
      <c r="I406">
        <v>0.13672056715640679</v>
      </c>
    </row>
    <row r="407" spans="1:9" x14ac:dyDescent="0.35">
      <c r="A407">
        <v>0</v>
      </c>
      <c r="C407">
        <v>7.5720713938118342E-2</v>
      </c>
      <c r="D407">
        <v>3.7707754512906644</v>
      </c>
      <c r="E407">
        <v>2.1238516409670858</v>
      </c>
      <c r="F407">
        <v>2100000000</v>
      </c>
      <c r="G407" s="45">
        <v>2.3199999999999998</v>
      </c>
      <c r="H407">
        <v>3.3779512479807074</v>
      </c>
      <c r="I407">
        <v>0.2355284469075489</v>
      </c>
    </row>
    <row r="408" spans="1:9" x14ac:dyDescent="0.35">
      <c r="A408">
        <v>0</v>
      </c>
      <c r="C408">
        <v>0.42241377805523822</v>
      </c>
      <c r="D408">
        <v>3.7707754512906644</v>
      </c>
      <c r="E408">
        <v>2.1238516409670858</v>
      </c>
      <c r="F408">
        <v>138000000</v>
      </c>
      <c r="G408" s="45">
        <v>2.3199999999999998</v>
      </c>
      <c r="H408">
        <v>3.4436974992327127</v>
      </c>
      <c r="I408">
        <v>0.18184358794477254</v>
      </c>
    </row>
    <row r="409" spans="1:9" x14ac:dyDescent="0.35">
      <c r="A409">
        <v>0</v>
      </c>
      <c r="C409">
        <v>0.54960935693524038</v>
      </c>
      <c r="D409">
        <v>3.7707754512906644</v>
      </c>
      <c r="E409">
        <v>2.1238516409670858</v>
      </c>
      <c r="F409">
        <v>17800000</v>
      </c>
      <c r="G409" s="45">
        <v>2.3199999999999998</v>
      </c>
      <c r="H409">
        <v>3.4436974992327127</v>
      </c>
      <c r="I409">
        <v>-4.5757490560675115E-2</v>
      </c>
    </row>
    <row r="410" spans="1:9" x14ac:dyDescent="0.35">
      <c r="A410">
        <v>0</v>
      </c>
      <c r="C410">
        <v>0.48060958256548381</v>
      </c>
      <c r="D410">
        <v>3.7707754512906644</v>
      </c>
      <c r="E410">
        <v>2.1238516409670858</v>
      </c>
      <c r="F410">
        <v>148800000</v>
      </c>
      <c r="G410" s="45">
        <v>2.3199999999999998</v>
      </c>
      <c r="H410">
        <v>3.17328398991646</v>
      </c>
      <c r="I410">
        <v>0.22010808804005513</v>
      </c>
    </row>
    <row r="411" spans="1:9" x14ac:dyDescent="0.35">
      <c r="A411">
        <v>0</v>
      </c>
      <c r="C411">
        <v>0.39120662601306921</v>
      </c>
      <c r="D411">
        <v>3.7707754512906644</v>
      </c>
      <c r="E411">
        <v>2.1238516409670858</v>
      </c>
      <c r="F411">
        <v>65000000</v>
      </c>
      <c r="G411" s="45">
        <v>2.3199999999999998</v>
      </c>
      <c r="H411">
        <v>3.17328398991646</v>
      </c>
      <c r="I411">
        <v>8.2785370316450071E-2</v>
      </c>
    </row>
    <row r="412" spans="1:9" x14ac:dyDescent="0.35">
      <c r="A412">
        <v>0</v>
      </c>
      <c r="C412">
        <v>0.24900099565997116</v>
      </c>
      <c r="D412">
        <v>3.7936074118204202</v>
      </c>
      <c r="E412">
        <v>2.7370600539441581</v>
      </c>
      <c r="F412">
        <v>155000000</v>
      </c>
      <c r="G412" s="45">
        <v>2.92</v>
      </c>
      <c r="H412">
        <v>3.17328398991646</v>
      </c>
      <c r="I412">
        <v>-2.6872146400301365E-2</v>
      </c>
    </row>
    <row r="413" spans="1:9" x14ac:dyDescent="0.35">
      <c r="A413">
        <v>0</v>
      </c>
      <c r="C413">
        <v>0.52917492333003802</v>
      </c>
      <c r="D413">
        <v>3.8335760926148099</v>
      </c>
      <c r="E413">
        <v>2.9138138523837167</v>
      </c>
      <c r="F413">
        <v>175100000</v>
      </c>
      <c r="G413" s="45">
        <v>2.85</v>
      </c>
      <c r="H413">
        <v>3.17328398991646</v>
      </c>
      <c r="I413">
        <v>5.3078443483419682E-2</v>
      </c>
    </row>
    <row r="414" spans="1:9" x14ac:dyDescent="0.35">
      <c r="A414">
        <v>0</v>
      </c>
      <c r="C414">
        <v>0.65402975999973634</v>
      </c>
      <c r="D414" s="35">
        <v>3.7845345619950592</v>
      </c>
      <c r="E414">
        <v>2.9168924084376502</v>
      </c>
      <c r="F414" s="35">
        <v>60465000</v>
      </c>
      <c r="G414" s="45">
        <v>2.81</v>
      </c>
      <c r="H414">
        <v>3.2302554789881364</v>
      </c>
      <c r="I414">
        <v>0.11394335230683679</v>
      </c>
    </row>
    <row r="415" spans="1:9" x14ac:dyDescent="0.35">
      <c r="A415">
        <v>0</v>
      </c>
      <c r="C415">
        <v>0.27598931896671886</v>
      </c>
      <c r="D415">
        <v>2.9808892467722719</v>
      </c>
      <c r="E415">
        <v>2.7343997425205671</v>
      </c>
      <c r="F415">
        <v>180090000</v>
      </c>
      <c r="G415" s="45">
        <v>3.13</v>
      </c>
      <c r="H415">
        <v>3.3833706119727633</v>
      </c>
      <c r="I415">
        <v>0.17026171539495738</v>
      </c>
    </row>
    <row r="416" spans="1:9" x14ac:dyDescent="0.35">
      <c r="A416">
        <v>0</v>
      </c>
      <c r="C416">
        <v>0.10720996964786837</v>
      </c>
      <c r="D416">
        <v>0</v>
      </c>
      <c r="E416">
        <v>0</v>
      </c>
      <c r="F416">
        <v>200000000</v>
      </c>
      <c r="G416" s="45">
        <v>3.29</v>
      </c>
      <c r="H416">
        <v>3.3833706119727633</v>
      </c>
      <c r="I416">
        <v>0.22788670461367352</v>
      </c>
    </row>
    <row r="417" spans="1:9" x14ac:dyDescent="0.35">
      <c r="A417">
        <v>0</v>
      </c>
      <c r="C417">
        <v>0.32860990173839816</v>
      </c>
      <c r="D417">
        <v>2.9629325585580042</v>
      </c>
      <c r="E417">
        <v>2.9323046139517812</v>
      </c>
      <c r="F417">
        <v>193114000</v>
      </c>
      <c r="G417" s="45">
        <v>2.62</v>
      </c>
      <c r="H417">
        <v>3.3833706119727633</v>
      </c>
      <c r="I417">
        <v>0.31806333496276157</v>
      </c>
    </row>
    <row r="418" spans="1:9" x14ac:dyDescent="0.35">
      <c r="A418">
        <v>0</v>
      </c>
      <c r="C418">
        <v>0.18905623622004888</v>
      </c>
      <c r="D418">
        <v>2.9629325585580042</v>
      </c>
      <c r="E418">
        <v>2.9323046139517812</v>
      </c>
      <c r="F418">
        <v>110000000</v>
      </c>
      <c r="G418" s="45">
        <v>2.62</v>
      </c>
      <c r="H418">
        <v>3.3833706119727633</v>
      </c>
      <c r="I418">
        <v>8.2785370316450071E-2</v>
      </c>
    </row>
    <row r="419" spans="1:9" x14ac:dyDescent="0.35">
      <c r="A419">
        <v>0</v>
      </c>
      <c r="C419">
        <v>0.44944982812180406</v>
      </c>
      <c r="D419">
        <v>0</v>
      </c>
      <c r="E419">
        <v>0</v>
      </c>
      <c r="F419">
        <v>54000000</v>
      </c>
      <c r="G419" s="45">
        <v>3.29</v>
      </c>
      <c r="H419">
        <v>3.3833706119727633</v>
      </c>
      <c r="I419">
        <v>-6.5501548756432285E-2</v>
      </c>
    </row>
    <row r="420" spans="1:9" x14ac:dyDescent="0.35">
      <c r="A420">
        <v>0</v>
      </c>
      <c r="C420">
        <v>1.3542755076172064</v>
      </c>
      <c r="D420">
        <v>0</v>
      </c>
      <c r="E420">
        <v>0</v>
      </c>
      <c r="F420">
        <v>23000000</v>
      </c>
      <c r="G420" s="45">
        <v>3.29</v>
      </c>
      <c r="H420">
        <v>3.3833706119727633</v>
      </c>
      <c r="I420">
        <v>-6.0480747381381476E-2</v>
      </c>
    </row>
    <row r="421" spans="1:9" x14ac:dyDescent="0.35">
      <c r="A421">
        <v>0</v>
      </c>
      <c r="C421">
        <v>0.71933128698372661</v>
      </c>
      <c r="D421">
        <v>0</v>
      </c>
      <c r="E421">
        <v>0</v>
      </c>
      <c r="F421">
        <v>50000000</v>
      </c>
      <c r="G421" s="45">
        <v>3.29</v>
      </c>
      <c r="H421">
        <v>3.3833706119727633</v>
      </c>
      <c r="I421">
        <v>-9.6910013008056392E-2</v>
      </c>
    </row>
    <row r="422" spans="1:9" x14ac:dyDescent="0.35">
      <c r="A422">
        <v>0</v>
      </c>
      <c r="C422">
        <v>0.71556926615548055</v>
      </c>
      <c r="D422">
        <v>2.5362300726332561</v>
      </c>
      <c r="E422">
        <v>2.756001823801419</v>
      </c>
      <c r="F422">
        <v>77000000</v>
      </c>
      <c r="G422" s="45">
        <v>2.3199999999999998</v>
      </c>
      <c r="H422">
        <v>3.3833706119727633</v>
      </c>
      <c r="I422">
        <v>-7.5720713938118356E-2</v>
      </c>
    </row>
    <row r="423" spans="1:9" x14ac:dyDescent="0.35">
      <c r="A423">
        <v>0</v>
      </c>
      <c r="C423">
        <v>5.5348637040989412E-2</v>
      </c>
      <c r="D423">
        <v>0</v>
      </c>
      <c r="E423">
        <v>0</v>
      </c>
      <c r="F423">
        <v>20600000</v>
      </c>
      <c r="G423" s="45">
        <v>3.29</v>
      </c>
      <c r="H423">
        <v>3.3833706119727633</v>
      </c>
      <c r="I423">
        <v>-8.7739243075051505E-3</v>
      </c>
    </row>
    <row r="424" spans="1:9" x14ac:dyDescent="0.35">
      <c r="A424">
        <v>0</v>
      </c>
      <c r="C424">
        <v>0.17720340942504884</v>
      </c>
      <c r="D424">
        <v>2.5362300726332561</v>
      </c>
      <c r="E424">
        <v>2.756001823801419</v>
      </c>
      <c r="F424">
        <v>78000000</v>
      </c>
      <c r="G424" s="45">
        <v>2.3199999999999998</v>
      </c>
      <c r="H424">
        <v>3.3833706119727633</v>
      </c>
      <c r="I424">
        <v>2.1189299069938092E-2</v>
      </c>
    </row>
    <row r="425" spans="1:9" x14ac:dyDescent="0.35">
      <c r="A425">
        <v>0</v>
      </c>
      <c r="C425">
        <v>0.64781748188863753</v>
      </c>
      <c r="D425">
        <v>0</v>
      </c>
      <c r="E425">
        <v>0</v>
      </c>
      <c r="F425">
        <v>279000000</v>
      </c>
      <c r="G425" s="45">
        <v>3.29</v>
      </c>
      <c r="H425">
        <v>3.3833706119727633</v>
      </c>
      <c r="I425">
        <v>-7.0581074285707285E-2</v>
      </c>
    </row>
    <row r="426" spans="1:9" x14ac:dyDescent="0.35">
      <c r="A426">
        <v>0</v>
      </c>
      <c r="C426">
        <v>6.8033885271827341E-2</v>
      </c>
      <c r="D426">
        <v>0</v>
      </c>
      <c r="E426">
        <v>0</v>
      </c>
      <c r="F426">
        <v>171000000</v>
      </c>
      <c r="G426" s="45">
        <v>3.29</v>
      </c>
      <c r="H426">
        <v>3.3833706119727633</v>
      </c>
      <c r="I426">
        <v>0.26481782300953643</v>
      </c>
    </row>
    <row r="427" spans="1:9" x14ac:dyDescent="0.35">
      <c r="A427">
        <v>0</v>
      </c>
      <c r="C427">
        <v>1.0615180379192151</v>
      </c>
      <c r="D427">
        <v>0</v>
      </c>
      <c r="E427">
        <v>0</v>
      </c>
      <c r="F427">
        <v>23000000</v>
      </c>
      <c r="G427" s="45">
        <v>3.29</v>
      </c>
      <c r="H427">
        <v>3.2910873360265542</v>
      </c>
      <c r="I427">
        <v>0.16731733474817609</v>
      </c>
    </row>
    <row r="428" spans="1:9" x14ac:dyDescent="0.35">
      <c r="A428">
        <v>1</v>
      </c>
      <c r="C428">
        <v>-2</v>
      </c>
      <c r="D428" s="35">
        <v>0</v>
      </c>
      <c r="E428">
        <v>0</v>
      </c>
      <c r="F428" s="35">
        <v>50000000</v>
      </c>
      <c r="G428" s="45">
        <v>3.29</v>
      </c>
      <c r="H428">
        <v>3.5347454529897258</v>
      </c>
      <c r="I428">
        <v>0.16435285578443709</v>
      </c>
    </row>
    <row r="429" spans="1:9" x14ac:dyDescent="0.35">
      <c r="A429">
        <v>0</v>
      </c>
      <c r="C429">
        <v>0.41497334797081797</v>
      </c>
      <c r="D429" s="35">
        <v>0</v>
      </c>
      <c r="E429">
        <v>0</v>
      </c>
      <c r="F429" s="35">
        <v>215000000</v>
      </c>
      <c r="G429" s="45">
        <v>3.29</v>
      </c>
      <c r="H429">
        <v>3.5347454529897258</v>
      </c>
      <c r="I429">
        <v>0.30963016742589877</v>
      </c>
    </row>
    <row r="430" spans="1:9" x14ac:dyDescent="0.35">
      <c r="A430">
        <v>0</v>
      </c>
      <c r="C430">
        <v>0.15381486434452901</v>
      </c>
      <c r="D430" s="35">
        <v>0</v>
      </c>
      <c r="E430">
        <v>0</v>
      </c>
      <c r="F430" s="35">
        <v>10000000</v>
      </c>
      <c r="G430" s="45">
        <v>3.29</v>
      </c>
      <c r="H430">
        <v>3.5347454529897258</v>
      </c>
      <c r="I430">
        <v>0.14921911265537988</v>
      </c>
    </row>
    <row r="431" spans="1:9" x14ac:dyDescent="0.35">
      <c r="A431">
        <v>0</v>
      </c>
      <c r="C431">
        <v>-0.43496105178239375</v>
      </c>
      <c r="D431" s="35">
        <v>0</v>
      </c>
      <c r="E431">
        <v>0</v>
      </c>
      <c r="F431" s="35">
        <v>95286000</v>
      </c>
      <c r="G431" s="45">
        <v>3.29</v>
      </c>
      <c r="H431">
        <v>3.5347454529897258</v>
      </c>
      <c r="I431">
        <v>0.20951501454263097</v>
      </c>
    </row>
    <row r="432" spans="1:9" x14ac:dyDescent="0.35">
      <c r="A432">
        <v>0</v>
      </c>
      <c r="C432">
        <v>0.2521295122717786</v>
      </c>
      <c r="D432">
        <v>0</v>
      </c>
      <c r="E432">
        <v>0</v>
      </c>
      <c r="F432">
        <v>122500000</v>
      </c>
      <c r="G432" s="45">
        <v>3.29</v>
      </c>
      <c r="H432">
        <v>3.5347454529897258</v>
      </c>
      <c r="I432">
        <v>1.2837224705172217E-2</v>
      </c>
    </row>
    <row r="433" spans="1:9" x14ac:dyDescent="0.35">
      <c r="A433">
        <v>0</v>
      </c>
      <c r="C433">
        <v>0.24303804868629444</v>
      </c>
      <c r="D433">
        <v>0</v>
      </c>
      <c r="E433">
        <v>0</v>
      </c>
      <c r="F433">
        <v>200000000</v>
      </c>
      <c r="G433" s="45">
        <v>3.29</v>
      </c>
      <c r="H433">
        <v>3.5347454529897258</v>
      </c>
      <c r="I433">
        <v>-0.11918640771920865</v>
      </c>
    </row>
    <row r="434" spans="1:9" x14ac:dyDescent="0.35">
      <c r="A434">
        <v>0</v>
      </c>
      <c r="C434">
        <v>0.18533191579059388</v>
      </c>
      <c r="D434">
        <v>0</v>
      </c>
      <c r="E434">
        <v>0</v>
      </c>
      <c r="F434">
        <v>124000000</v>
      </c>
      <c r="G434" s="45">
        <v>3.29</v>
      </c>
      <c r="H434">
        <v>3.5347454529897258</v>
      </c>
      <c r="I434">
        <v>-4.0958607678906384E-2</v>
      </c>
    </row>
    <row r="435" spans="1:9" x14ac:dyDescent="0.35">
      <c r="A435">
        <v>0</v>
      </c>
      <c r="C435">
        <v>0.12493873660829993</v>
      </c>
      <c r="D435">
        <v>0</v>
      </c>
      <c r="E435">
        <v>0</v>
      </c>
      <c r="F435">
        <v>75000000</v>
      </c>
      <c r="G435" s="45">
        <v>3.29</v>
      </c>
      <c r="H435">
        <v>3.5347454529897258</v>
      </c>
      <c r="I435">
        <v>-2.2276394711152253E-2</v>
      </c>
    </row>
    <row r="436" spans="1:9" x14ac:dyDescent="0.35">
      <c r="A436">
        <v>0</v>
      </c>
      <c r="C436">
        <v>1.0004480078390166</v>
      </c>
      <c r="D436">
        <v>2.5362300726332561</v>
      </c>
      <c r="E436">
        <v>2.756001823801419</v>
      </c>
      <c r="F436">
        <v>68985000</v>
      </c>
      <c r="G436" s="45">
        <v>2.3199999999999998</v>
      </c>
      <c r="H436">
        <v>3.5347454529897258</v>
      </c>
      <c r="I436">
        <v>0.11727129565576427</v>
      </c>
    </row>
    <row r="437" spans="1:9" x14ac:dyDescent="0.35">
      <c r="A437">
        <v>0</v>
      </c>
      <c r="C437">
        <v>0.5561298209815333</v>
      </c>
      <c r="D437">
        <v>0</v>
      </c>
      <c r="E437">
        <v>0</v>
      </c>
      <c r="F437">
        <v>225000000</v>
      </c>
      <c r="G437" s="45">
        <v>3.29</v>
      </c>
      <c r="H437">
        <v>3.5347454529897258</v>
      </c>
      <c r="I437">
        <v>2.5305865264770262E-2</v>
      </c>
    </row>
    <row r="438" spans="1:9" x14ac:dyDescent="0.35">
      <c r="A438">
        <v>0</v>
      </c>
      <c r="C438">
        <v>0.27946274375238006</v>
      </c>
      <c r="D438">
        <v>2.5362300726332561</v>
      </c>
      <c r="E438">
        <v>2.756001823801419</v>
      </c>
      <c r="F438">
        <v>138552000</v>
      </c>
      <c r="G438" s="45">
        <v>2.3199999999999998</v>
      </c>
      <c r="H438">
        <v>3.5347454529897258</v>
      </c>
      <c r="I438">
        <v>9.3421685162235063E-2</v>
      </c>
    </row>
    <row r="439" spans="1:9" x14ac:dyDescent="0.35">
      <c r="A439">
        <v>0</v>
      </c>
      <c r="C439">
        <v>0.37473642885801178</v>
      </c>
      <c r="D439">
        <v>0</v>
      </c>
      <c r="E439">
        <v>0</v>
      </c>
      <c r="F439">
        <v>31984000</v>
      </c>
      <c r="G439" s="45">
        <v>3.29</v>
      </c>
      <c r="H439">
        <v>3.5347454529897258</v>
      </c>
      <c r="I439">
        <v>0.14612803567823801</v>
      </c>
    </row>
    <row r="440" spans="1:9" x14ac:dyDescent="0.35">
      <c r="A440">
        <v>0</v>
      </c>
      <c r="C440">
        <v>0.73282827159698616</v>
      </c>
      <c r="D440">
        <v>0</v>
      </c>
      <c r="E440">
        <v>0</v>
      </c>
      <c r="F440">
        <v>175750000</v>
      </c>
      <c r="G440" s="45">
        <v>3.29</v>
      </c>
      <c r="H440">
        <v>3.5347454529897258</v>
      </c>
      <c r="I440">
        <v>-2.2276394711152253E-2</v>
      </c>
    </row>
    <row r="441" spans="1:9" x14ac:dyDescent="0.35">
      <c r="A441">
        <v>0</v>
      </c>
      <c r="C441">
        <v>0.26766945270390896</v>
      </c>
      <c r="D441">
        <v>2.5362300726332561</v>
      </c>
      <c r="E441">
        <v>2.756001823801419</v>
      </c>
      <c r="F441">
        <v>120910000</v>
      </c>
      <c r="G441" s="45">
        <v>2.3199999999999998</v>
      </c>
      <c r="H441">
        <v>3.5347454529897258</v>
      </c>
      <c r="I441">
        <v>-7.0581074285707285E-2</v>
      </c>
    </row>
    <row r="442" spans="1:9" x14ac:dyDescent="0.35">
      <c r="A442">
        <v>0</v>
      </c>
      <c r="C442">
        <v>-0.68554703136658657</v>
      </c>
      <c r="D442">
        <v>0</v>
      </c>
      <c r="E442">
        <v>0</v>
      </c>
      <c r="F442">
        <v>111500000</v>
      </c>
      <c r="G442" s="45">
        <v>3.29</v>
      </c>
      <c r="H442">
        <v>3.5347454529897258</v>
      </c>
      <c r="I442">
        <v>-0.10790539730951958</v>
      </c>
    </row>
    <row r="443" spans="1:9" x14ac:dyDescent="0.35">
      <c r="A443">
        <v>0</v>
      </c>
      <c r="C443">
        <v>0.51662979600333603</v>
      </c>
      <c r="D443">
        <v>0</v>
      </c>
      <c r="E443">
        <v>0</v>
      </c>
      <c r="F443">
        <v>70000000</v>
      </c>
      <c r="G443" s="45">
        <v>3.29</v>
      </c>
      <c r="H443">
        <v>3.5347454529897258</v>
      </c>
      <c r="I443">
        <v>0.11058971029924898</v>
      </c>
    </row>
    <row r="444" spans="1:9" x14ac:dyDescent="0.35">
      <c r="A444">
        <v>0</v>
      </c>
      <c r="C444">
        <v>0.8903780214758058</v>
      </c>
      <c r="D444">
        <v>2.5362300726332561</v>
      </c>
      <c r="E444">
        <v>2.756001823801419</v>
      </c>
      <c r="F444">
        <v>13000000</v>
      </c>
      <c r="G444" s="45">
        <v>2.3199999999999998</v>
      </c>
      <c r="H444">
        <v>3.5347454529897258</v>
      </c>
      <c r="I444">
        <v>0.10720996964786837</v>
      </c>
    </row>
    <row r="445" spans="1:9" x14ac:dyDescent="0.35">
      <c r="A445">
        <v>0</v>
      </c>
      <c r="C445">
        <v>0.29623111278221248</v>
      </c>
      <c r="D445">
        <v>0</v>
      </c>
      <c r="E445">
        <v>0</v>
      </c>
      <c r="F445">
        <v>91000000</v>
      </c>
      <c r="G445" s="45">
        <v>3.29</v>
      </c>
      <c r="H445">
        <v>3.5347454529897258</v>
      </c>
      <c r="I445">
        <v>0.21748394421390627</v>
      </c>
    </row>
    <row r="446" spans="1:9" x14ac:dyDescent="0.35">
      <c r="A446">
        <v>0</v>
      </c>
      <c r="C446">
        <v>0.23674696107305315</v>
      </c>
      <c r="D446">
        <v>3.0625406208792199</v>
      </c>
      <c r="E446">
        <v>2.8714756364568856</v>
      </c>
      <c r="F446">
        <v>11000000</v>
      </c>
      <c r="G446" s="45">
        <v>3.06</v>
      </c>
      <c r="H446">
        <v>3.5347454529897258</v>
      </c>
      <c r="I446">
        <v>0.22788670461367352</v>
      </c>
    </row>
    <row r="447" spans="1:9" x14ac:dyDescent="0.35">
      <c r="A447">
        <v>0</v>
      </c>
      <c r="C447">
        <v>5.2852307325275676E-2</v>
      </c>
      <c r="D447">
        <v>3.1016130541812235</v>
      </c>
      <c r="E447">
        <v>2.9811387826406603</v>
      </c>
      <c r="F447">
        <v>85000000</v>
      </c>
      <c r="G447" s="45">
        <v>2.4700000000000002</v>
      </c>
      <c r="H447">
        <v>3.5347454529897258</v>
      </c>
      <c r="I447">
        <v>0.19865708695442263</v>
      </c>
    </row>
    <row r="448" spans="1:9" x14ac:dyDescent="0.35">
      <c r="A448">
        <v>0</v>
      </c>
      <c r="C448">
        <v>0.70560058323503183</v>
      </c>
      <c r="D448">
        <v>0</v>
      </c>
      <c r="E448">
        <v>0</v>
      </c>
      <c r="F448">
        <v>32500000</v>
      </c>
      <c r="G448" s="45">
        <v>3.29</v>
      </c>
      <c r="H448">
        <v>3.5347454529897258</v>
      </c>
      <c r="I448">
        <v>0.21484384804769791</v>
      </c>
    </row>
    <row r="449" spans="1:9" x14ac:dyDescent="0.35">
      <c r="A449">
        <v>0</v>
      </c>
      <c r="C449">
        <v>4.1392685158225077E-2</v>
      </c>
      <c r="D449">
        <v>3.7707754512906644</v>
      </c>
      <c r="E449">
        <v>2.1238516409670858</v>
      </c>
      <c r="F449">
        <v>250000000</v>
      </c>
      <c r="G449" s="45">
        <v>2.3199999999999998</v>
      </c>
      <c r="H449">
        <v>3.1185638922971846</v>
      </c>
      <c r="I449">
        <v>0.24797326636180664</v>
      </c>
    </row>
    <row r="450" spans="1:9" x14ac:dyDescent="0.35">
      <c r="A450">
        <v>0</v>
      </c>
      <c r="C450">
        <v>0.61995582675819938</v>
      </c>
      <c r="D450">
        <v>3.8335760926148099</v>
      </c>
      <c r="E450">
        <v>2.9138138523837167</v>
      </c>
      <c r="F450">
        <v>779700000</v>
      </c>
      <c r="G450" s="45">
        <v>2.85</v>
      </c>
      <c r="H450">
        <v>3.3418755036276071</v>
      </c>
      <c r="I450">
        <v>0.17897694729316943</v>
      </c>
    </row>
    <row r="451" spans="1:9" x14ac:dyDescent="0.35">
      <c r="A451">
        <v>0</v>
      </c>
      <c r="C451">
        <v>-5.7845990168414053E-2</v>
      </c>
      <c r="D451">
        <v>0</v>
      </c>
      <c r="E451">
        <v>0</v>
      </c>
      <c r="F451">
        <v>425000000</v>
      </c>
      <c r="G451" s="45">
        <v>2.95</v>
      </c>
      <c r="H451">
        <v>3.3481258369969185</v>
      </c>
      <c r="I451">
        <v>-8.7739243075051505E-3</v>
      </c>
    </row>
    <row r="452" spans="1:9" x14ac:dyDescent="0.35">
      <c r="A452">
        <v>0</v>
      </c>
      <c r="C452">
        <v>0.22184874961635639</v>
      </c>
      <c r="D452">
        <v>0</v>
      </c>
      <c r="E452">
        <v>0</v>
      </c>
      <c r="F452">
        <v>210000000</v>
      </c>
      <c r="G452" s="45">
        <v>2.95</v>
      </c>
      <c r="H452">
        <v>3.3481258369969185</v>
      </c>
      <c r="I452">
        <v>-4.0958607678906384E-2</v>
      </c>
    </row>
    <row r="453" spans="1:9" x14ac:dyDescent="0.35">
      <c r="A453">
        <v>0</v>
      </c>
      <c r="C453">
        <v>0.56820172406699498</v>
      </c>
      <c r="D453">
        <v>0</v>
      </c>
      <c r="E453">
        <v>0</v>
      </c>
      <c r="F453">
        <v>50000000</v>
      </c>
      <c r="G453" s="45">
        <v>2.95</v>
      </c>
      <c r="H453">
        <v>3.3481258369969185</v>
      </c>
      <c r="I453">
        <v>-0.17392519729917361</v>
      </c>
    </row>
    <row r="454" spans="1:9" x14ac:dyDescent="0.35">
      <c r="A454">
        <v>0</v>
      </c>
      <c r="C454">
        <v>0.52636707312615894</v>
      </c>
      <c r="D454">
        <v>3.7916829312790057</v>
      </c>
      <c r="E454">
        <v>3.0355618076671913</v>
      </c>
      <c r="F454">
        <v>37200000</v>
      </c>
      <c r="G454" s="45">
        <v>2.72</v>
      </c>
      <c r="H454">
        <v>3.8659974508347341</v>
      </c>
      <c r="I454">
        <v>0.11394335230683679</v>
      </c>
    </row>
    <row r="455" spans="1:9" x14ac:dyDescent="0.35">
      <c r="A455">
        <v>0</v>
      </c>
      <c r="C455">
        <v>1.1870866433571445</v>
      </c>
      <c r="D455">
        <v>2.8258673289207414</v>
      </c>
      <c r="E455">
        <v>2.0400878434698808</v>
      </c>
      <c r="F455">
        <v>13000000</v>
      </c>
      <c r="G455" s="45">
        <v>2.84</v>
      </c>
      <c r="H455">
        <v>3.8659974508347341</v>
      </c>
      <c r="I455">
        <v>0.18184358794477254</v>
      </c>
    </row>
    <row r="456" spans="1:9" x14ac:dyDescent="0.35">
      <c r="A456">
        <v>0</v>
      </c>
      <c r="C456">
        <v>0.74472749489669388</v>
      </c>
      <c r="D456">
        <v>2.2426159575692655</v>
      </c>
      <c r="E456">
        <v>2.0400878434698808</v>
      </c>
      <c r="F456">
        <v>27000000</v>
      </c>
      <c r="G456" s="45">
        <v>2.84</v>
      </c>
      <c r="H456">
        <v>3.8659974508347341</v>
      </c>
      <c r="I456">
        <v>2.9383777685209667E-2</v>
      </c>
    </row>
    <row r="457" spans="1:9" x14ac:dyDescent="0.35">
      <c r="A457">
        <v>0</v>
      </c>
      <c r="C457">
        <v>1.2652875845284624</v>
      </c>
      <c r="D457">
        <v>3.7707754512906644</v>
      </c>
      <c r="E457">
        <v>2.1238516409670858</v>
      </c>
      <c r="F457">
        <v>13860000</v>
      </c>
      <c r="G457" s="45">
        <v>2.3199999999999998</v>
      </c>
      <c r="H457">
        <v>3.6410631547392063</v>
      </c>
      <c r="I457">
        <v>0.14612803567823801</v>
      </c>
    </row>
    <row r="458" spans="1:9" x14ac:dyDescent="0.35">
      <c r="A458">
        <v>0</v>
      </c>
      <c r="C458">
        <v>1.1725131174401462</v>
      </c>
      <c r="D458">
        <v>0</v>
      </c>
      <c r="E458">
        <v>0</v>
      </c>
      <c r="F458">
        <v>6500000</v>
      </c>
      <c r="G458" s="45">
        <v>3.29</v>
      </c>
      <c r="H458">
        <v>3.6410631547392063</v>
      </c>
      <c r="I458">
        <v>0.20411998265592479</v>
      </c>
    </row>
    <row r="459" spans="1:9" x14ac:dyDescent="0.35">
      <c r="A459">
        <v>0</v>
      </c>
      <c r="C459">
        <v>1.3135294062027159</v>
      </c>
      <c r="D459">
        <v>3.7707754512906644</v>
      </c>
      <c r="E459">
        <v>2.1238516409670858</v>
      </c>
      <c r="F459">
        <v>5519000</v>
      </c>
      <c r="G459" s="45">
        <v>2.3199999999999998</v>
      </c>
      <c r="H459">
        <v>3.6410631547392063</v>
      </c>
      <c r="I459">
        <v>0.33845649360460478</v>
      </c>
    </row>
    <row r="460" spans="1:9" x14ac:dyDescent="0.35">
      <c r="A460">
        <v>0</v>
      </c>
      <c r="C460">
        <v>1.0881360887005513</v>
      </c>
      <c r="D460">
        <v>3.2005167179274112</v>
      </c>
      <c r="E460">
        <v>3.2929933027247387</v>
      </c>
      <c r="F460">
        <v>12000000</v>
      </c>
      <c r="G460" s="45">
        <v>2.4700000000000002</v>
      </c>
      <c r="H460">
        <v>3.6410631547392063</v>
      </c>
      <c r="I460">
        <v>0.10037054511756291</v>
      </c>
    </row>
    <row r="461" spans="1:9" x14ac:dyDescent="0.35">
      <c r="A461">
        <v>0</v>
      </c>
      <c r="C461">
        <v>0.4130575410367584</v>
      </c>
      <c r="D461">
        <v>0</v>
      </c>
      <c r="E461">
        <v>0</v>
      </c>
      <c r="F461">
        <v>18350000</v>
      </c>
      <c r="G461" s="45">
        <v>3.29</v>
      </c>
      <c r="H461">
        <v>3.6410631547392063</v>
      </c>
      <c r="I461">
        <v>0.14301480025409513</v>
      </c>
    </row>
    <row r="462" spans="1:9" x14ac:dyDescent="0.35">
      <c r="A462">
        <v>0</v>
      </c>
      <c r="C462">
        <v>0.37471163866504298</v>
      </c>
      <c r="D462">
        <v>2.5075455505094206</v>
      </c>
      <c r="E462">
        <v>2.6517624473801109</v>
      </c>
      <c r="F462">
        <v>12980000</v>
      </c>
      <c r="G462" s="45">
        <v>2.91</v>
      </c>
      <c r="H462">
        <v>3.6410631547392063</v>
      </c>
      <c r="I462">
        <v>-1.7728766960431602E-2</v>
      </c>
    </row>
    <row r="463" spans="1:9" x14ac:dyDescent="0.35">
      <c r="A463">
        <v>0</v>
      </c>
      <c r="C463">
        <v>0.4607308385314931</v>
      </c>
      <c r="D463">
        <v>3.7707754512906644</v>
      </c>
      <c r="E463">
        <v>2.1238516409670858</v>
      </c>
      <c r="F463">
        <v>13500000</v>
      </c>
      <c r="G463" s="45">
        <v>2.3199999999999998</v>
      </c>
      <c r="H463">
        <v>3.6410631547392063</v>
      </c>
      <c r="I463">
        <v>8.9905111439397931E-2</v>
      </c>
    </row>
    <row r="464" spans="1:9" x14ac:dyDescent="0.35">
      <c r="A464">
        <v>0</v>
      </c>
      <c r="C464">
        <v>0.31138296353143335</v>
      </c>
      <c r="D464">
        <v>3.8335760926148099</v>
      </c>
      <c r="E464">
        <v>2.9138138523837167</v>
      </c>
      <c r="F464">
        <v>400000000</v>
      </c>
      <c r="G464" s="45">
        <v>2.85</v>
      </c>
      <c r="H464">
        <v>3.20911860699078</v>
      </c>
      <c r="I464">
        <v>0.18469143081759881</v>
      </c>
    </row>
    <row r="465" spans="1:9" x14ac:dyDescent="0.35">
      <c r="A465">
        <v>0</v>
      </c>
      <c r="C465">
        <v>-3.6684488613888719E-2</v>
      </c>
      <c r="D465">
        <v>3.8335760926148099</v>
      </c>
      <c r="E465">
        <v>2.9138138523837167</v>
      </c>
      <c r="F465">
        <v>1000000000</v>
      </c>
      <c r="G465" s="45">
        <v>2.85</v>
      </c>
      <c r="H465">
        <v>3.20911860699078</v>
      </c>
      <c r="I465">
        <v>-9.6910013008056392E-2</v>
      </c>
    </row>
    <row r="466" spans="1:9" x14ac:dyDescent="0.35">
      <c r="A466">
        <v>0</v>
      </c>
      <c r="C466">
        <v>0.29196006238313771</v>
      </c>
      <c r="D466">
        <v>3.8335760926148099</v>
      </c>
      <c r="E466">
        <v>2.9138138523837167</v>
      </c>
      <c r="F466">
        <v>62900000</v>
      </c>
      <c r="G466" s="45">
        <v>2.85</v>
      </c>
      <c r="H466">
        <v>3.20911860699078</v>
      </c>
      <c r="I466">
        <v>0.12057393120584989</v>
      </c>
    </row>
    <row r="467" spans="1:9" x14ac:dyDescent="0.35">
      <c r="A467">
        <v>0</v>
      </c>
      <c r="C467">
        <v>0.20114482427160621</v>
      </c>
      <c r="D467">
        <v>3.7947040944998616</v>
      </c>
      <c r="E467">
        <v>2.7962273140294389</v>
      </c>
      <c r="F467">
        <v>849550000</v>
      </c>
      <c r="G467" s="45">
        <v>2.93</v>
      </c>
      <c r="H467">
        <v>3.20911860699078</v>
      </c>
      <c r="I467">
        <v>6.069784035361165E-2</v>
      </c>
    </row>
    <row r="468" spans="1:9" x14ac:dyDescent="0.35">
      <c r="A468">
        <v>0</v>
      </c>
      <c r="C468">
        <v>0.11778629856151522</v>
      </c>
      <c r="D468">
        <v>3.7916829312790057</v>
      </c>
      <c r="E468">
        <v>3.0355631414974997</v>
      </c>
      <c r="F468">
        <v>650000000</v>
      </c>
      <c r="G468" s="45">
        <v>2.72</v>
      </c>
      <c r="H468">
        <v>3.20911860699078</v>
      </c>
      <c r="I468">
        <v>0.21748394421390627</v>
      </c>
    </row>
    <row r="469" spans="1:9" x14ac:dyDescent="0.35">
      <c r="A469">
        <v>0</v>
      </c>
      <c r="C469">
        <v>0.34242268082220628</v>
      </c>
      <c r="D469">
        <v>3.7916829312790057</v>
      </c>
      <c r="E469">
        <v>3.0355631414974997</v>
      </c>
      <c r="F469">
        <v>1000000000</v>
      </c>
      <c r="G469" s="45">
        <v>2.72</v>
      </c>
      <c r="H469">
        <v>3.20911860699078</v>
      </c>
      <c r="I469">
        <v>0.24551266781414982</v>
      </c>
    </row>
    <row r="470" spans="1:9" x14ac:dyDescent="0.35">
      <c r="A470">
        <v>0</v>
      </c>
      <c r="C470">
        <v>-0.45526052387525323</v>
      </c>
      <c r="D470">
        <v>3.7358167906061537</v>
      </c>
      <c r="E470">
        <v>2.103233406386928</v>
      </c>
      <c r="F470">
        <v>2926900000</v>
      </c>
      <c r="G470" s="45">
        <v>2.91</v>
      </c>
      <c r="H470">
        <v>3.20911860699078</v>
      </c>
      <c r="I470">
        <v>4.5322978786657475E-2</v>
      </c>
    </row>
    <row r="471" spans="1:9" x14ac:dyDescent="0.35">
      <c r="A471">
        <v>0</v>
      </c>
      <c r="C471">
        <v>0.55208601636612376</v>
      </c>
      <c r="D471">
        <v>3.7707754512906644</v>
      </c>
      <c r="E471">
        <v>2.1238516409670858</v>
      </c>
      <c r="F471">
        <v>230000000</v>
      </c>
      <c r="G471" s="45">
        <v>2.3199999999999998</v>
      </c>
      <c r="H471">
        <v>3.20911860699078</v>
      </c>
      <c r="I471">
        <v>8.2785370316450071E-2</v>
      </c>
    </row>
    <row r="472" spans="1:9" x14ac:dyDescent="0.35">
      <c r="A472">
        <v>0</v>
      </c>
      <c r="C472">
        <v>0.22622304257923964</v>
      </c>
      <c r="D472">
        <v>3.7707754512906644</v>
      </c>
      <c r="E472">
        <v>2.1238516409670858</v>
      </c>
      <c r="F472">
        <v>1300000000</v>
      </c>
      <c r="G472" s="45">
        <v>2.3199999999999998</v>
      </c>
      <c r="H472">
        <v>3.20911860699078</v>
      </c>
      <c r="I472">
        <v>0.15228834438305647</v>
      </c>
    </row>
    <row r="473" spans="1:9" x14ac:dyDescent="0.35">
      <c r="A473">
        <v>0</v>
      </c>
      <c r="C473">
        <v>7.9181246047624818E-2</v>
      </c>
      <c r="D473">
        <v>3.7899753459779522</v>
      </c>
      <c r="E473">
        <v>2.7670321178317625</v>
      </c>
      <c r="F473">
        <v>200000000</v>
      </c>
      <c r="G473" s="45">
        <v>3.18</v>
      </c>
      <c r="H473">
        <v>3.20911860699078</v>
      </c>
      <c r="I473">
        <v>0.14921911265537988</v>
      </c>
    </row>
    <row r="474" spans="1:9" x14ac:dyDescent="0.35">
      <c r="A474">
        <v>0</v>
      </c>
      <c r="C474">
        <v>0.28851248880774655</v>
      </c>
      <c r="D474">
        <v>3.8584156743566731</v>
      </c>
      <c r="E474">
        <v>2.8134697878296753</v>
      </c>
      <c r="F474">
        <v>535000000</v>
      </c>
      <c r="G474" s="45">
        <v>2.66</v>
      </c>
      <c r="H474">
        <v>3.20911860699078</v>
      </c>
      <c r="I474">
        <v>0.24054924828259971</v>
      </c>
    </row>
    <row r="475" spans="1:9" x14ac:dyDescent="0.35">
      <c r="A475">
        <v>0</v>
      </c>
      <c r="C475">
        <v>0.37120259555558283</v>
      </c>
      <c r="D475">
        <v>3.8584156743566731</v>
      </c>
      <c r="E475">
        <v>2.8134697878296753</v>
      </c>
      <c r="F475">
        <v>200000000</v>
      </c>
      <c r="G475" s="45">
        <v>2.66</v>
      </c>
      <c r="H475">
        <v>3.20911860699078</v>
      </c>
      <c r="I475">
        <v>-2.2276394711152253E-2</v>
      </c>
    </row>
    <row r="476" spans="1:9" x14ac:dyDescent="0.35">
      <c r="A476">
        <v>1</v>
      </c>
      <c r="C476">
        <v>-2</v>
      </c>
      <c r="D476">
        <v>0</v>
      </c>
      <c r="E476">
        <v>0</v>
      </c>
      <c r="F476">
        <v>130000000</v>
      </c>
      <c r="G476" s="45">
        <v>2.95</v>
      </c>
      <c r="H476">
        <v>3.3481258369969185</v>
      </c>
      <c r="I476">
        <v>-4.5757490560675115E-2</v>
      </c>
    </row>
    <row r="477" spans="1:9" x14ac:dyDescent="0.35">
      <c r="A477">
        <v>0</v>
      </c>
      <c r="C477">
        <v>0.28118837093097543</v>
      </c>
      <c r="D477">
        <v>3.7707754512906644</v>
      </c>
      <c r="E477">
        <v>2.1238516409670858</v>
      </c>
      <c r="F477">
        <v>44000000</v>
      </c>
      <c r="G477" s="45">
        <v>2.3199999999999998</v>
      </c>
      <c r="H477">
        <v>3.3211431557469533</v>
      </c>
      <c r="I477">
        <v>7.1882007306125359E-2</v>
      </c>
    </row>
    <row r="478" spans="1:9" x14ac:dyDescent="0.35">
      <c r="A478">
        <v>0</v>
      </c>
      <c r="C478">
        <v>0.17274634950008499</v>
      </c>
      <c r="D478">
        <v>3.7707754512906644</v>
      </c>
      <c r="E478">
        <v>2.1238516409670858</v>
      </c>
      <c r="F478">
        <v>293000000</v>
      </c>
      <c r="G478" s="45">
        <v>2.3199999999999998</v>
      </c>
      <c r="H478">
        <v>3.3151244779693188</v>
      </c>
      <c r="I478">
        <v>7.554696139253074E-2</v>
      </c>
    </row>
    <row r="479" spans="1:9" x14ac:dyDescent="0.35">
      <c r="A479">
        <v>0</v>
      </c>
      <c r="C479">
        <v>0.15490195998574319</v>
      </c>
      <c r="D479">
        <v>3.7916829312790057</v>
      </c>
      <c r="E479">
        <v>3.0355631414974997</v>
      </c>
      <c r="F479">
        <v>210000000</v>
      </c>
      <c r="G479" s="45">
        <v>2.72</v>
      </c>
      <c r="H479">
        <v>3.3151244779693188</v>
      </c>
      <c r="I479">
        <v>0.16435285578443709</v>
      </c>
    </row>
    <row r="480" spans="1:9" x14ac:dyDescent="0.35">
      <c r="A480">
        <v>0</v>
      </c>
      <c r="C480">
        <v>0.70626924307751826</v>
      </c>
      <c r="D480">
        <v>3.7707754512906644</v>
      </c>
      <c r="E480">
        <v>2.1238516409670858</v>
      </c>
      <c r="F480">
        <v>118000000</v>
      </c>
      <c r="G480" s="45">
        <v>2.3199999999999998</v>
      </c>
      <c r="H480">
        <v>3.1134603742158462</v>
      </c>
      <c r="I480">
        <v>0.20139712432045145</v>
      </c>
    </row>
    <row r="481" spans="1:9" x14ac:dyDescent="0.35">
      <c r="A481">
        <v>0</v>
      </c>
      <c r="C481">
        <v>0.15065113272112132</v>
      </c>
      <c r="D481">
        <v>3.7707754512906644</v>
      </c>
      <c r="E481">
        <v>2.1238516409670858</v>
      </c>
      <c r="F481">
        <v>685000000</v>
      </c>
      <c r="G481" s="45">
        <v>2.3199999999999998</v>
      </c>
      <c r="H481">
        <v>3.1134603742158462</v>
      </c>
      <c r="I481">
        <v>6.8185861746161619E-2</v>
      </c>
    </row>
    <row r="482" spans="1:9" x14ac:dyDescent="0.35">
      <c r="A482">
        <v>0</v>
      </c>
      <c r="C482">
        <v>0.36355068188178347</v>
      </c>
      <c r="D482">
        <v>3.7707754512906644</v>
      </c>
      <c r="E482">
        <v>2.1238516409670858</v>
      </c>
      <c r="F482">
        <v>562850000</v>
      </c>
      <c r="G482" s="45">
        <v>2.3199999999999998</v>
      </c>
      <c r="H482">
        <v>3.348721986001856</v>
      </c>
      <c r="I482">
        <v>0.24797326636180664</v>
      </c>
    </row>
    <row r="483" spans="1:9" x14ac:dyDescent="0.35">
      <c r="A483">
        <v>0</v>
      </c>
      <c r="C483">
        <v>0.14780161956780419</v>
      </c>
      <c r="D483">
        <v>3.8335760926148099</v>
      </c>
      <c r="E483">
        <v>2.9138138523837167</v>
      </c>
      <c r="F483">
        <v>925000000</v>
      </c>
      <c r="G483" s="45">
        <v>2.85</v>
      </c>
      <c r="H483">
        <v>3.348721986001856</v>
      </c>
      <c r="I483">
        <v>0.13987908640123647</v>
      </c>
    </row>
    <row r="484" spans="1:9" x14ac:dyDescent="0.35">
      <c r="A484">
        <v>0</v>
      </c>
      <c r="C484">
        <v>0</v>
      </c>
      <c r="D484">
        <v>3.7707754512906644</v>
      </c>
      <c r="E484">
        <v>2.1238516409670858</v>
      </c>
      <c r="F484">
        <v>350000000</v>
      </c>
      <c r="G484" s="45">
        <v>2.3199999999999998</v>
      </c>
      <c r="H484">
        <v>3.4436974992327127</v>
      </c>
      <c r="I484">
        <v>0.12057393120584989</v>
      </c>
    </row>
    <row r="485" spans="1:9" x14ac:dyDescent="0.35">
      <c r="A485">
        <v>0</v>
      </c>
      <c r="C485">
        <v>4.1392685158225077E-2</v>
      </c>
      <c r="D485">
        <v>3.7707754512906644</v>
      </c>
      <c r="E485">
        <v>2.1238516409670858</v>
      </c>
      <c r="F485">
        <v>200000000</v>
      </c>
      <c r="G485" s="45">
        <v>2.3199999999999998</v>
      </c>
      <c r="H485">
        <v>3.3265688034989269</v>
      </c>
      <c r="I485">
        <v>0.22788670461367352</v>
      </c>
    </row>
    <row r="486" spans="1:9" x14ac:dyDescent="0.35">
      <c r="A486">
        <v>1</v>
      </c>
      <c r="C486">
        <v>-2</v>
      </c>
      <c r="D486">
        <v>3.7707754512906644</v>
      </c>
      <c r="E486">
        <v>2.1238516409670858</v>
      </c>
      <c r="F486">
        <v>286700000</v>
      </c>
      <c r="G486" s="45">
        <v>2.3199999999999998</v>
      </c>
      <c r="H486">
        <v>3.3265688034989269</v>
      </c>
      <c r="I486">
        <v>-1.322826573375516E-2</v>
      </c>
    </row>
    <row r="487" spans="1:9" x14ac:dyDescent="0.35">
      <c r="A487">
        <v>0</v>
      </c>
      <c r="C487">
        <v>0.22788670461367352</v>
      </c>
      <c r="D487">
        <v>3.8335760926148099</v>
      </c>
      <c r="E487">
        <v>2.9138138523837167</v>
      </c>
      <c r="F487">
        <v>1000000000</v>
      </c>
      <c r="G487" s="45">
        <v>2.85</v>
      </c>
      <c r="H487">
        <v>3.3265688034989269</v>
      </c>
      <c r="I487">
        <v>7.1882007306125359E-2</v>
      </c>
    </row>
    <row r="488" spans="1:9" x14ac:dyDescent="0.35">
      <c r="A488">
        <v>0</v>
      </c>
      <c r="C488">
        <v>-0.44973627637745167</v>
      </c>
      <c r="D488">
        <v>3.8335760926148099</v>
      </c>
      <c r="E488">
        <v>2.9138138523837167</v>
      </c>
      <c r="F488">
        <v>1970000000</v>
      </c>
      <c r="G488" s="45">
        <v>2.85</v>
      </c>
      <c r="H488">
        <v>3.3265688034989269</v>
      </c>
      <c r="I488">
        <v>7.1882007306125359E-2</v>
      </c>
    </row>
    <row r="489" spans="1:9" x14ac:dyDescent="0.35">
      <c r="A489">
        <v>0</v>
      </c>
      <c r="C489">
        <v>0.51766733770540363</v>
      </c>
      <c r="D489">
        <v>3.7707754512906644</v>
      </c>
      <c r="E489">
        <v>2.1238516409670858</v>
      </c>
      <c r="F489">
        <v>450000000</v>
      </c>
      <c r="G489" s="45">
        <v>2.3199999999999998</v>
      </c>
      <c r="H489">
        <v>3.3075667315086759</v>
      </c>
      <c r="I489">
        <v>0.12057393120584989</v>
      </c>
    </row>
    <row r="490" spans="1:9" x14ac:dyDescent="0.35">
      <c r="A490">
        <v>0</v>
      </c>
      <c r="C490">
        <v>0.25440374209725269</v>
      </c>
      <c r="D490">
        <v>3.7707754512906644</v>
      </c>
      <c r="E490">
        <v>2.1238516409670858</v>
      </c>
      <c r="F490">
        <v>417000000</v>
      </c>
      <c r="G490" s="45">
        <v>2.3199999999999998</v>
      </c>
      <c r="H490">
        <v>3.3075667315086759</v>
      </c>
      <c r="I490">
        <v>0.41161970596323016</v>
      </c>
    </row>
    <row r="491" spans="1:9" x14ac:dyDescent="0.35">
      <c r="A491">
        <v>0</v>
      </c>
      <c r="C491">
        <v>0.36355068188178347</v>
      </c>
      <c r="D491">
        <v>3.7707754512906644</v>
      </c>
      <c r="E491">
        <v>2.1238516409670858</v>
      </c>
      <c r="F491">
        <v>562850000</v>
      </c>
      <c r="G491" s="45">
        <v>2.3199999999999998</v>
      </c>
      <c r="H491">
        <v>3.3075667315086759</v>
      </c>
      <c r="I491">
        <v>0.24797326636180664</v>
      </c>
    </row>
    <row r="492" spans="1:9" x14ac:dyDescent="0.35">
      <c r="A492">
        <v>0</v>
      </c>
      <c r="C492">
        <v>0.13127891463931898</v>
      </c>
      <c r="D492">
        <v>3.7916829312790057</v>
      </c>
      <c r="E492">
        <v>3.0355631414974997</v>
      </c>
      <c r="F492">
        <v>1700000000</v>
      </c>
      <c r="G492" s="45">
        <v>2.72</v>
      </c>
      <c r="H492">
        <v>3.3075667315086759</v>
      </c>
      <c r="I492">
        <v>8.6359830674748214E-2</v>
      </c>
    </row>
    <row r="493" spans="1:9" x14ac:dyDescent="0.35">
      <c r="A493">
        <v>1</v>
      </c>
      <c r="C493">
        <v>-2</v>
      </c>
      <c r="D493">
        <v>3.8335760926148099</v>
      </c>
      <c r="E493">
        <v>2.9138138523837167</v>
      </c>
      <c r="F493">
        <v>1200000000</v>
      </c>
      <c r="G493" s="45">
        <v>2.85</v>
      </c>
      <c r="H493">
        <v>3.3075667315086759</v>
      </c>
      <c r="I493">
        <v>-0.13076828026902382</v>
      </c>
    </row>
    <row r="494" spans="1:9" x14ac:dyDescent="0.35">
      <c r="A494">
        <v>0</v>
      </c>
      <c r="C494">
        <v>-1.6020599913279621</v>
      </c>
      <c r="D494">
        <v>3.8584156743566731</v>
      </c>
      <c r="E494">
        <v>2.8134697878296753</v>
      </c>
      <c r="F494">
        <v>1000000000</v>
      </c>
      <c r="G494" s="45">
        <v>2.66</v>
      </c>
      <c r="H494">
        <v>3.3075667315086759</v>
      </c>
      <c r="I494">
        <v>0.29885307640970665</v>
      </c>
    </row>
    <row r="495" spans="1:9" x14ac:dyDescent="0.35">
      <c r="A495">
        <v>0</v>
      </c>
      <c r="C495">
        <v>0.13120336988464582</v>
      </c>
      <c r="D495">
        <v>0</v>
      </c>
      <c r="E495">
        <v>0</v>
      </c>
      <c r="F495">
        <v>1127370000</v>
      </c>
      <c r="G495" s="45">
        <v>2.95</v>
      </c>
      <c r="H495">
        <v>3.4636820971642801</v>
      </c>
      <c r="I495">
        <v>0.16136800223497488</v>
      </c>
    </row>
    <row r="496" spans="1:9" x14ac:dyDescent="0.35">
      <c r="A496">
        <v>0</v>
      </c>
      <c r="C496">
        <v>1.085692621382691</v>
      </c>
      <c r="D496">
        <v>3.8229763963637051</v>
      </c>
      <c r="E496">
        <v>2.7113853790984517</v>
      </c>
      <c r="F496">
        <v>1127370000</v>
      </c>
      <c r="G496" s="45">
        <v>3.03</v>
      </c>
      <c r="H496">
        <v>3.4636820971642801</v>
      </c>
      <c r="I496">
        <v>8.2785370316450071E-2</v>
      </c>
    </row>
    <row r="497" spans="1:9" x14ac:dyDescent="0.35">
      <c r="A497">
        <v>0</v>
      </c>
      <c r="C497">
        <v>0.29559965097806595</v>
      </c>
      <c r="D497">
        <v>3.7916829312790057</v>
      </c>
      <c r="E497">
        <v>3.0355631414974997</v>
      </c>
      <c r="F497">
        <v>74207250</v>
      </c>
      <c r="G497" s="45">
        <v>2.72</v>
      </c>
      <c r="H497">
        <v>3.6224784109972026</v>
      </c>
      <c r="I497">
        <v>-6.0480747381381476E-2</v>
      </c>
    </row>
    <row r="498" spans="1:9" x14ac:dyDescent="0.35">
      <c r="A498">
        <v>0</v>
      </c>
      <c r="C498">
        <v>0.12860590118784496</v>
      </c>
      <c r="D498">
        <v>3.8584156743566731</v>
      </c>
      <c r="E498">
        <v>2.8134697878296753</v>
      </c>
      <c r="F498">
        <v>577850000</v>
      </c>
      <c r="G498" s="45">
        <v>2.66</v>
      </c>
      <c r="H498">
        <v>3.6224784109972026</v>
      </c>
      <c r="I498">
        <v>0.13353890837021748</v>
      </c>
    </row>
    <row r="499" spans="1:9" x14ac:dyDescent="0.35">
      <c r="A499">
        <v>0</v>
      </c>
      <c r="C499">
        <v>0.84764212996104238</v>
      </c>
      <c r="D499">
        <v>3.7899753459779522</v>
      </c>
      <c r="E499">
        <v>2.7670321178317625</v>
      </c>
      <c r="F499">
        <v>31610000</v>
      </c>
      <c r="G499" s="45">
        <v>3.18</v>
      </c>
      <c r="H499">
        <v>3.754643753838935</v>
      </c>
      <c r="I499">
        <v>0.24551266781414982</v>
      </c>
    </row>
    <row r="500" spans="1:9" x14ac:dyDescent="0.35">
      <c r="A500">
        <v>0</v>
      </c>
      <c r="C500">
        <v>0.43805723188001999</v>
      </c>
      <c r="D500">
        <v>3.7707754512906644</v>
      </c>
      <c r="E500">
        <v>2.1238516409670858</v>
      </c>
      <c r="F500">
        <v>62000000</v>
      </c>
      <c r="G500" s="45">
        <v>2.3199999999999998</v>
      </c>
      <c r="H500">
        <v>3.754643753838935</v>
      </c>
      <c r="I500">
        <v>4.3213737826425782E-3</v>
      </c>
    </row>
    <row r="501" spans="1:9" x14ac:dyDescent="0.35">
      <c r="A501">
        <v>0</v>
      </c>
      <c r="C501">
        <v>0.61729995788469927</v>
      </c>
      <c r="D501">
        <v>3.7707754512906644</v>
      </c>
      <c r="E501">
        <v>2.1238516409670858</v>
      </c>
      <c r="F501">
        <v>38570000</v>
      </c>
      <c r="G501" s="45">
        <v>2.3199999999999998</v>
      </c>
      <c r="H501">
        <v>3.3348710074773962</v>
      </c>
      <c r="I501">
        <v>8.6001717619175692E-3</v>
      </c>
    </row>
    <row r="502" spans="1:9" x14ac:dyDescent="0.35">
      <c r="A502">
        <v>0</v>
      </c>
      <c r="C502">
        <v>0.56544893688616582</v>
      </c>
      <c r="D502">
        <v>3.7707754512906644</v>
      </c>
      <c r="E502">
        <v>2.1238516409670858</v>
      </c>
      <c r="F502">
        <v>74000000</v>
      </c>
      <c r="G502" s="45">
        <v>2.3199999999999998</v>
      </c>
      <c r="H502">
        <v>3.3348710074773962</v>
      </c>
      <c r="I502">
        <v>0.26245108973042947</v>
      </c>
    </row>
    <row r="503" spans="1:9" x14ac:dyDescent="0.35">
      <c r="A503">
        <v>0</v>
      </c>
      <c r="C503">
        <v>0.64341739841377443</v>
      </c>
      <c r="D503">
        <v>3.8335760926148099</v>
      </c>
      <c r="E503">
        <v>2.9138138523837167</v>
      </c>
      <c r="F503">
        <v>237000000</v>
      </c>
      <c r="G503" s="45">
        <v>2.85</v>
      </c>
      <c r="H503">
        <v>3.3348710074773962</v>
      </c>
      <c r="I503">
        <v>0.18184358794477254</v>
      </c>
    </row>
    <row r="504" spans="1:9" x14ac:dyDescent="0.35">
      <c r="A504">
        <v>0</v>
      </c>
      <c r="C504">
        <v>6.8835171269757328E-2</v>
      </c>
      <c r="D504">
        <v>3.8335760926148099</v>
      </c>
      <c r="E504">
        <v>2.9138138523837167</v>
      </c>
      <c r="F504">
        <v>29250000</v>
      </c>
      <c r="G504" s="45">
        <v>2.85</v>
      </c>
      <c r="H504">
        <v>3.3348710074773962</v>
      </c>
      <c r="I504">
        <v>0.11058971029924898</v>
      </c>
    </row>
    <row r="505" spans="1:9" x14ac:dyDescent="0.35">
      <c r="A505">
        <v>0</v>
      </c>
      <c r="C505">
        <v>-0.33175447161478105</v>
      </c>
      <c r="D505">
        <v>3.7707754512906644</v>
      </c>
      <c r="E505">
        <v>2.1238516409670858</v>
      </c>
      <c r="F505">
        <v>571000000</v>
      </c>
      <c r="G505" s="45">
        <v>2.3199999999999998</v>
      </c>
      <c r="H505">
        <v>3.3130759152940494</v>
      </c>
      <c r="I505">
        <v>0.18752072083646307</v>
      </c>
    </row>
    <row r="506" spans="1:9" x14ac:dyDescent="0.35">
      <c r="A506">
        <v>0</v>
      </c>
      <c r="C506">
        <v>0.33686842089268865</v>
      </c>
      <c r="D506">
        <v>3.7707754512906644</v>
      </c>
      <c r="E506">
        <v>2.1238516409670858</v>
      </c>
      <c r="F506">
        <v>93000000</v>
      </c>
      <c r="G506" s="45">
        <v>2.3199999999999998</v>
      </c>
      <c r="H506">
        <v>3.3130759152940494</v>
      </c>
      <c r="I506">
        <v>2.1189299069938092E-2</v>
      </c>
    </row>
    <row r="507" spans="1:9" x14ac:dyDescent="0.35">
      <c r="A507">
        <v>0</v>
      </c>
      <c r="C507">
        <v>-0.68983793479554678</v>
      </c>
      <c r="D507">
        <v>3.7899753459779522</v>
      </c>
      <c r="E507">
        <v>2.7670321178317625</v>
      </c>
      <c r="F507">
        <v>80000000</v>
      </c>
      <c r="G507" s="45">
        <v>3.18</v>
      </c>
      <c r="H507">
        <v>3.4269037046073545</v>
      </c>
      <c r="I507">
        <v>4.1392685158225077E-2</v>
      </c>
    </row>
    <row r="508" spans="1:9" x14ac:dyDescent="0.35">
      <c r="A508">
        <v>0</v>
      </c>
      <c r="C508">
        <v>-0.29039087892735133</v>
      </c>
      <c r="D508">
        <v>3.8335760926148099</v>
      </c>
      <c r="E508">
        <v>2.9138138523837167</v>
      </c>
      <c r="F508">
        <v>350000000</v>
      </c>
      <c r="G508" s="45">
        <v>2.85</v>
      </c>
      <c r="H508">
        <v>3.4269037046073545</v>
      </c>
      <c r="I508">
        <v>0.16731733474817609</v>
      </c>
    </row>
    <row r="509" spans="1:9" x14ac:dyDescent="0.35">
      <c r="A509">
        <v>0</v>
      </c>
      <c r="C509">
        <v>0.39755231136672903</v>
      </c>
      <c r="D509">
        <v>3.8229763963637051</v>
      </c>
      <c r="E509">
        <v>2.7113853790984517</v>
      </c>
      <c r="F509">
        <v>130000000</v>
      </c>
      <c r="G509" s="45">
        <v>3.03</v>
      </c>
      <c r="H509">
        <v>3.1611681223374744</v>
      </c>
      <c r="I509">
        <v>0.12057393120584989</v>
      </c>
    </row>
    <row r="510" spans="1:9" x14ac:dyDescent="0.35">
      <c r="A510">
        <v>0</v>
      </c>
      <c r="C510">
        <v>0.5831746471675886</v>
      </c>
      <c r="D510">
        <v>3.8584156743566731</v>
      </c>
      <c r="E510">
        <v>2.8134697878296753</v>
      </c>
      <c r="F510">
        <v>47000000</v>
      </c>
      <c r="G510" s="45">
        <v>2.66</v>
      </c>
      <c r="H510">
        <v>3.792430514795639</v>
      </c>
      <c r="I510">
        <v>0.11727129565576427</v>
      </c>
    </row>
    <row r="511" spans="1:9" x14ac:dyDescent="0.35">
      <c r="A511">
        <v>0</v>
      </c>
      <c r="C511">
        <v>0.19634405574552369</v>
      </c>
      <c r="D511">
        <v>0</v>
      </c>
      <c r="E511">
        <v>0</v>
      </c>
      <c r="F511">
        <v>55930000</v>
      </c>
      <c r="G511" s="45">
        <v>2.95</v>
      </c>
      <c r="H511">
        <v>3.792430514795639</v>
      </c>
      <c r="I511">
        <v>-7.0581074285707285E-2</v>
      </c>
    </row>
    <row r="512" spans="1:9" x14ac:dyDescent="0.35">
      <c r="A512">
        <v>0</v>
      </c>
      <c r="C512">
        <v>-2.9999301058829555E-2</v>
      </c>
      <c r="D512">
        <v>3.8219626565950726</v>
      </c>
      <c r="E512">
        <v>2.9079485216122722</v>
      </c>
      <c r="F512">
        <v>328023677</v>
      </c>
      <c r="G512" s="45">
        <v>3.03</v>
      </c>
      <c r="H512">
        <v>3.4646002676582905</v>
      </c>
      <c r="I512">
        <v>0.34635297445063856</v>
      </c>
    </row>
    <row r="513" spans="1:9" x14ac:dyDescent="0.35">
      <c r="A513">
        <v>0</v>
      </c>
      <c r="C513">
        <v>0.59470324156447552</v>
      </c>
      <c r="D513">
        <v>3.8335760926148099</v>
      </c>
      <c r="E513">
        <v>2.9138138523837167</v>
      </c>
      <c r="F513">
        <v>64000000</v>
      </c>
      <c r="G513" s="45">
        <v>2.85</v>
      </c>
      <c r="H513">
        <v>3.3900400165248765</v>
      </c>
      <c r="I513">
        <v>0.11058971029924898</v>
      </c>
    </row>
    <row r="514" spans="1:9" x14ac:dyDescent="0.35">
      <c r="A514">
        <v>0</v>
      </c>
      <c r="C514">
        <v>0.75379478743384321</v>
      </c>
      <c r="D514">
        <v>3.7899753459779522</v>
      </c>
      <c r="E514">
        <v>2.7670321178317625</v>
      </c>
      <c r="F514">
        <v>28970000</v>
      </c>
      <c r="G514" s="45">
        <v>3.18</v>
      </c>
      <c r="H514">
        <v>3.4625325554497</v>
      </c>
      <c r="I514">
        <v>0.24054924828259971</v>
      </c>
    </row>
    <row r="515" spans="1:9" x14ac:dyDescent="0.35">
      <c r="A515">
        <v>0</v>
      </c>
      <c r="C515">
        <v>0.24667233334138849</v>
      </c>
      <c r="D515">
        <v>3.7707754512906644</v>
      </c>
      <c r="E515">
        <v>2.1238516409670858</v>
      </c>
      <c r="F515">
        <v>170000000</v>
      </c>
      <c r="G515" s="45">
        <v>2.3199999999999998</v>
      </c>
      <c r="H515">
        <v>3.5314789170422549</v>
      </c>
      <c r="I515">
        <v>4.1392685158225077E-2</v>
      </c>
    </row>
    <row r="516" spans="1:9" x14ac:dyDescent="0.35">
      <c r="A516">
        <v>0</v>
      </c>
      <c r="C516">
        <v>-0.15050885164204009</v>
      </c>
      <c r="D516">
        <v>3.7916829312790057</v>
      </c>
      <c r="E516">
        <v>3.0355631414974997</v>
      </c>
      <c r="F516">
        <v>219200000</v>
      </c>
      <c r="G516" s="45">
        <v>2.72</v>
      </c>
      <c r="H516">
        <v>3.1630287862164392</v>
      </c>
      <c r="I516">
        <v>0.22271647114758325</v>
      </c>
    </row>
    <row r="517" spans="1:9" x14ac:dyDescent="0.35">
      <c r="A517">
        <v>0</v>
      </c>
      <c r="C517">
        <v>-0.36768611887009245</v>
      </c>
      <c r="D517">
        <v>3.8335760926148099</v>
      </c>
      <c r="E517">
        <v>2.9138138523837167</v>
      </c>
      <c r="F517">
        <v>1220000000</v>
      </c>
      <c r="G517" s="45">
        <v>2.85</v>
      </c>
      <c r="H517">
        <v>3.1630287862164392</v>
      </c>
      <c r="I517">
        <v>9.3421685162235063E-2</v>
      </c>
    </row>
    <row r="518" spans="1:9" x14ac:dyDescent="0.35">
      <c r="A518">
        <v>0</v>
      </c>
      <c r="C518">
        <v>0.66216735642827007</v>
      </c>
      <c r="D518">
        <v>3.7845345619950592</v>
      </c>
      <c r="E518">
        <v>2.9168924084376502</v>
      </c>
      <c r="F518">
        <v>99200000</v>
      </c>
      <c r="G518" s="45">
        <v>2.81</v>
      </c>
      <c r="H518">
        <v>3.3779512479807074</v>
      </c>
      <c r="I518">
        <v>-1.322826573375516E-2</v>
      </c>
    </row>
    <row r="519" spans="1:9" x14ac:dyDescent="0.35">
      <c r="A519">
        <v>0</v>
      </c>
      <c r="C519">
        <v>0.34733625860207795</v>
      </c>
      <c r="D519">
        <v>3.7845345619950592</v>
      </c>
      <c r="E519">
        <v>2.9168924084376502</v>
      </c>
      <c r="F519">
        <v>398610000</v>
      </c>
      <c r="G519" s="45">
        <v>2.81</v>
      </c>
      <c r="H519">
        <v>3.3779512479807074</v>
      </c>
      <c r="I519">
        <v>3.7426497940623665E-2</v>
      </c>
    </row>
    <row r="520" spans="1:9" x14ac:dyDescent="0.35">
      <c r="A520">
        <v>0</v>
      </c>
      <c r="C520">
        <v>-1.6531584835935944E-2</v>
      </c>
      <c r="D520">
        <v>3.8335760926148099</v>
      </c>
      <c r="E520">
        <v>2.9138138523837167</v>
      </c>
      <c r="F520">
        <v>600000000</v>
      </c>
      <c r="G520" s="45">
        <v>2.85</v>
      </c>
      <c r="H520">
        <v>3.3779512479807074</v>
      </c>
      <c r="I520">
        <v>-9.1514981121350217E-2</v>
      </c>
    </row>
    <row r="521" spans="1:9" x14ac:dyDescent="0.35">
      <c r="A521">
        <v>0</v>
      </c>
      <c r="C521">
        <v>-0.32057210338788111</v>
      </c>
      <c r="D521">
        <v>3.7899753459779522</v>
      </c>
      <c r="E521">
        <v>2.7670321178317625</v>
      </c>
      <c r="F521">
        <v>110000000</v>
      </c>
      <c r="G521" s="45">
        <v>3.18</v>
      </c>
      <c r="H521">
        <v>3.2986404739170001</v>
      </c>
      <c r="I521">
        <v>-4.3648054024500883E-3</v>
      </c>
    </row>
    <row r="522" spans="1:9" x14ac:dyDescent="0.35">
      <c r="A522">
        <v>0</v>
      </c>
      <c r="C522">
        <v>6.7848283429978257E-2</v>
      </c>
      <c r="D522">
        <v>3.8052737966880943</v>
      </c>
      <c r="E522">
        <v>2.8414637553591628</v>
      </c>
      <c r="F522">
        <v>550000000</v>
      </c>
      <c r="G522" s="45">
        <v>2.99</v>
      </c>
      <c r="H522">
        <v>3.2986404739170001</v>
      </c>
      <c r="I522">
        <v>7.1882007306125359E-2</v>
      </c>
    </row>
    <row r="523" spans="1:9" x14ac:dyDescent="0.35">
      <c r="A523">
        <v>0</v>
      </c>
      <c r="C523">
        <v>0.21048150024803425</v>
      </c>
      <c r="D523">
        <v>3.7899753459779522</v>
      </c>
      <c r="E523">
        <v>2.7670321178317625</v>
      </c>
      <c r="F523">
        <v>418820000</v>
      </c>
      <c r="G523" s="45">
        <v>3.18</v>
      </c>
      <c r="H523">
        <v>3.1948131122613166</v>
      </c>
      <c r="I523">
        <v>-1.7728766960431602E-2</v>
      </c>
    </row>
    <row r="524" spans="1:9" x14ac:dyDescent="0.35">
      <c r="A524">
        <v>0</v>
      </c>
      <c r="C524">
        <v>0.28183944852207177</v>
      </c>
      <c r="D524">
        <v>0</v>
      </c>
      <c r="E524">
        <v>0</v>
      </c>
      <c r="F524">
        <v>155000000</v>
      </c>
      <c r="G524" s="45">
        <v>3.18</v>
      </c>
      <c r="H524">
        <v>3.0840515907405019</v>
      </c>
      <c r="I524">
        <v>0.11394335230683679</v>
      </c>
    </row>
    <row r="525" spans="1:9" x14ac:dyDescent="0.35">
      <c r="A525">
        <v>0</v>
      </c>
      <c r="C525">
        <v>0.15053715458329311</v>
      </c>
      <c r="D525">
        <v>0</v>
      </c>
      <c r="E525">
        <v>0</v>
      </c>
      <c r="F525">
        <v>350000000</v>
      </c>
      <c r="G525" s="45">
        <v>3.18</v>
      </c>
      <c r="H525">
        <v>3.0840515907405019</v>
      </c>
      <c r="I525">
        <v>0.13987908640123647</v>
      </c>
    </row>
    <row r="526" spans="1:9" x14ac:dyDescent="0.35">
      <c r="A526">
        <v>0</v>
      </c>
      <c r="C526">
        <v>0.2107296090219849</v>
      </c>
      <c r="D526">
        <v>0</v>
      </c>
      <c r="E526">
        <v>0</v>
      </c>
      <c r="F526">
        <v>153890000</v>
      </c>
      <c r="G526" s="45">
        <v>3.18</v>
      </c>
      <c r="H526">
        <v>3.0840515907405019</v>
      </c>
      <c r="I526">
        <v>0.14301480025409513</v>
      </c>
    </row>
    <row r="527" spans="1:9" x14ac:dyDescent="0.35">
      <c r="A527">
        <v>0</v>
      </c>
      <c r="C527">
        <v>0.37281998167896813</v>
      </c>
      <c r="D527">
        <v>0</v>
      </c>
      <c r="E527">
        <v>0</v>
      </c>
      <c r="F527">
        <v>240000000</v>
      </c>
      <c r="G527" s="45">
        <v>3.18</v>
      </c>
      <c r="H527">
        <v>3.0840515907405019</v>
      </c>
      <c r="I527">
        <v>0.2253092817258629</v>
      </c>
    </row>
    <row r="528" spans="1:9" x14ac:dyDescent="0.35">
      <c r="A528">
        <v>0</v>
      </c>
      <c r="C528">
        <v>0.44773747703445277</v>
      </c>
      <c r="D528">
        <v>0</v>
      </c>
      <c r="E528">
        <v>0</v>
      </c>
      <c r="F528">
        <v>535000000</v>
      </c>
      <c r="G528" s="45">
        <v>3.18</v>
      </c>
      <c r="H528">
        <v>3.2258683344006376</v>
      </c>
      <c r="I528">
        <v>0.31386722036915343</v>
      </c>
    </row>
    <row r="529" spans="1:9" x14ac:dyDescent="0.35">
      <c r="A529">
        <v>0</v>
      </c>
      <c r="C529">
        <v>0.30518595543513888</v>
      </c>
      <c r="D529">
        <v>0</v>
      </c>
      <c r="E529">
        <v>0</v>
      </c>
      <c r="F529">
        <v>1040000000</v>
      </c>
      <c r="G529" s="45">
        <v>3.18</v>
      </c>
      <c r="H529">
        <v>3.2258683344006376</v>
      </c>
      <c r="I529">
        <v>-1.7728766960431602E-2</v>
      </c>
    </row>
    <row r="530" spans="1:9" x14ac:dyDescent="0.35">
      <c r="A530">
        <v>0</v>
      </c>
      <c r="C530">
        <v>0.47001521451749351</v>
      </c>
      <c r="D530">
        <v>0</v>
      </c>
      <c r="E530">
        <v>0</v>
      </c>
      <c r="F530">
        <f>(48513000+450400000+687000000)</f>
        <v>1185913000</v>
      </c>
      <c r="G530" s="45">
        <v>3.18</v>
      </c>
      <c r="H530">
        <v>3.2258683344006376</v>
      </c>
      <c r="I530">
        <v>0.10037054511756291</v>
      </c>
    </row>
    <row r="531" spans="1:9" x14ac:dyDescent="0.35">
      <c r="A531">
        <v>0</v>
      </c>
      <c r="C531">
        <v>0.35495284653698561</v>
      </c>
      <c r="D531">
        <v>0</v>
      </c>
      <c r="E531">
        <v>0</v>
      </c>
      <c r="F531">
        <f>(185500000+70500000)</f>
        <v>256000000</v>
      </c>
      <c r="G531" s="45">
        <v>3.18</v>
      </c>
      <c r="H531">
        <v>3.2258683344006376</v>
      </c>
      <c r="I531">
        <v>0.19589965240923368</v>
      </c>
    </row>
    <row r="532" spans="1:9" x14ac:dyDescent="0.35">
      <c r="A532">
        <v>0</v>
      </c>
      <c r="C532">
        <v>6.1207875035723926E-2</v>
      </c>
      <c r="D532">
        <v>0</v>
      </c>
      <c r="E532">
        <v>0</v>
      </c>
      <c r="F532">
        <v>555000000</v>
      </c>
      <c r="G532" s="45">
        <v>3.18</v>
      </c>
      <c r="H532">
        <v>3.2258683344006376</v>
      </c>
      <c r="I532">
        <v>0.11727129565576427</v>
      </c>
    </row>
    <row r="533" spans="1:9" x14ac:dyDescent="0.35">
      <c r="A533">
        <v>0</v>
      </c>
      <c r="C533">
        <v>0.18184358794477254</v>
      </c>
      <c r="D533">
        <v>0</v>
      </c>
      <c r="E533">
        <v>0</v>
      </c>
      <c r="F533">
        <v>1500000000</v>
      </c>
      <c r="G533" s="45">
        <v>3.18</v>
      </c>
      <c r="H533">
        <v>3.2258683344006376</v>
      </c>
      <c r="I533">
        <v>0.23299611039215382</v>
      </c>
    </row>
    <row r="534" spans="1:9" x14ac:dyDescent="0.35">
      <c r="A534">
        <v>0</v>
      </c>
      <c r="C534">
        <v>-0.29803370142006214</v>
      </c>
      <c r="D534">
        <v>0</v>
      </c>
      <c r="E534">
        <v>0</v>
      </c>
      <c r="F534">
        <v>520000000</v>
      </c>
      <c r="G534" s="45">
        <v>3.18</v>
      </c>
      <c r="H534">
        <v>3.2258683344006376</v>
      </c>
      <c r="I534">
        <v>-8.7739243075051505E-3</v>
      </c>
    </row>
    <row r="535" spans="1:9" x14ac:dyDescent="0.35">
      <c r="A535">
        <v>0</v>
      </c>
      <c r="C535">
        <v>5.9997929675285368E-2</v>
      </c>
      <c r="D535">
        <v>0</v>
      </c>
      <c r="E535">
        <v>0</v>
      </c>
      <c r="F535">
        <v>270000000</v>
      </c>
      <c r="G535" s="45">
        <v>3.18</v>
      </c>
      <c r="H535">
        <v>3.2258683344006376</v>
      </c>
      <c r="I535">
        <v>0.13033376849500614</v>
      </c>
    </row>
    <row r="536" spans="1:9" x14ac:dyDescent="0.35">
      <c r="A536">
        <v>0</v>
      </c>
      <c r="C536">
        <v>0.23657200643706269</v>
      </c>
      <c r="D536">
        <v>0</v>
      </c>
      <c r="E536">
        <v>0</v>
      </c>
      <c r="F536">
        <v>145000000</v>
      </c>
      <c r="G536" s="45">
        <v>3.5</v>
      </c>
      <c r="H536">
        <v>3.359479897098526</v>
      </c>
      <c r="I536">
        <v>7.1882007306125359E-2</v>
      </c>
    </row>
    <row r="537" spans="1:9" x14ac:dyDescent="0.35">
      <c r="A537">
        <v>1</v>
      </c>
      <c r="C537">
        <v>-2</v>
      </c>
      <c r="D537">
        <v>0</v>
      </c>
      <c r="E537">
        <v>0</v>
      </c>
      <c r="F537">
        <v>30220000</v>
      </c>
      <c r="G537" s="45">
        <v>3.5</v>
      </c>
      <c r="H537">
        <v>3.359479897098526</v>
      </c>
      <c r="I537">
        <v>-0.29242982390206362</v>
      </c>
    </row>
    <row r="538" spans="1:9" x14ac:dyDescent="0.35">
      <c r="A538">
        <v>0</v>
      </c>
      <c r="C538">
        <v>0.18756410473159962</v>
      </c>
      <c r="D538">
        <v>0</v>
      </c>
      <c r="E538">
        <v>0</v>
      </c>
      <c r="F538">
        <v>65000000</v>
      </c>
      <c r="G538" s="45">
        <v>3.5</v>
      </c>
      <c r="H538">
        <v>3.1748092491298348</v>
      </c>
      <c r="I538">
        <v>0.250420002308894</v>
      </c>
    </row>
    <row r="539" spans="1:9" x14ac:dyDescent="0.35">
      <c r="A539">
        <v>0</v>
      </c>
      <c r="C539">
        <v>0.13353890837021754</v>
      </c>
      <c r="D539">
        <v>0</v>
      </c>
      <c r="E539">
        <v>0</v>
      </c>
      <c r="F539">
        <v>300000000</v>
      </c>
      <c r="G539" s="45">
        <v>3.5</v>
      </c>
      <c r="H539">
        <v>3.1748092491298348</v>
      </c>
      <c r="I539">
        <v>-2.2276394711152253E-2</v>
      </c>
    </row>
    <row r="540" spans="1:9" x14ac:dyDescent="0.35">
      <c r="A540">
        <v>0</v>
      </c>
      <c r="C540">
        <v>0.51450379065407925</v>
      </c>
      <c r="D540">
        <v>0</v>
      </c>
      <c r="E540">
        <v>0</v>
      </c>
      <c r="F540">
        <v>108337600</v>
      </c>
      <c r="G540" s="45">
        <v>3.5</v>
      </c>
      <c r="H540">
        <v>3.1748092491298348</v>
      </c>
      <c r="I540">
        <v>0.24303804868629444</v>
      </c>
    </row>
    <row r="541" spans="1:9" x14ac:dyDescent="0.35">
      <c r="A541">
        <v>0</v>
      </c>
      <c r="C541">
        <v>0.17197168911921767</v>
      </c>
      <c r="D541">
        <v>0</v>
      </c>
      <c r="E541">
        <v>0</v>
      </c>
      <c r="F541">
        <v>459000000</v>
      </c>
      <c r="G541" s="45">
        <v>3.29</v>
      </c>
      <c r="H541">
        <v>3.2224645332922388</v>
      </c>
      <c r="I541">
        <v>0.22788670461367352</v>
      </c>
    </row>
    <row r="542" spans="1:9" x14ac:dyDescent="0.35">
      <c r="A542">
        <v>0</v>
      </c>
      <c r="C542">
        <v>-0.46757593681343196</v>
      </c>
      <c r="D542">
        <v>0</v>
      </c>
      <c r="E542">
        <v>0</v>
      </c>
      <c r="F542">
        <v>135000000</v>
      </c>
      <c r="G542" s="45">
        <v>3.29</v>
      </c>
      <c r="H542">
        <v>3.2224645332922388</v>
      </c>
      <c r="I542">
        <v>-4.3648054024500883E-3</v>
      </c>
    </row>
    <row r="543" spans="1:9" x14ac:dyDescent="0.35">
      <c r="A543">
        <v>0</v>
      </c>
      <c r="C543">
        <v>-0.3953586931471641</v>
      </c>
      <c r="D543">
        <v>0</v>
      </c>
      <c r="E543">
        <v>0</v>
      </c>
      <c r="F543">
        <v>121028501</v>
      </c>
      <c r="G543" s="45">
        <v>3.29</v>
      </c>
      <c r="H543">
        <v>3.2224645332922388</v>
      </c>
      <c r="I543">
        <v>-2.6872146400301365E-2</v>
      </c>
    </row>
    <row r="544" spans="1:9" x14ac:dyDescent="0.35">
      <c r="A544">
        <v>0</v>
      </c>
      <c r="C544">
        <v>-0.74686876610010333</v>
      </c>
      <c r="D544">
        <v>0</v>
      </c>
      <c r="E544">
        <v>0</v>
      </c>
      <c r="F544">
        <v>126865700</v>
      </c>
      <c r="G544" s="45">
        <v>3.29</v>
      </c>
      <c r="H544">
        <v>3.2224645332922388</v>
      </c>
      <c r="I544">
        <v>3.342375548694973E-2</v>
      </c>
    </row>
    <row r="545" spans="1:9" x14ac:dyDescent="0.35">
      <c r="A545">
        <v>0</v>
      </c>
      <c r="C545">
        <v>0.36159750417725695</v>
      </c>
      <c r="D545">
        <v>0</v>
      </c>
      <c r="E545">
        <v>0</v>
      </c>
      <c r="F545">
        <v>662500000</v>
      </c>
      <c r="G545" s="45">
        <v>3.29</v>
      </c>
      <c r="H545">
        <v>3.2188268626467691</v>
      </c>
      <c r="I545">
        <v>-2.6872146400301365E-2</v>
      </c>
    </row>
    <row r="546" spans="1:9" x14ac:dyDescent="0.35">
      <c r="A546">
        <v>0</v>
      </c>
      <c r="C546">
        <v>0.22847932851536945</v>
      </c>
      <c r="D546">
        <v>0</v>
      </c>
      <c r="E546">
        <v>0</v>
      </c>
      <c r="F546">
        <v>1300000000</v>
      </c>
      <c r="G546" s="45">
        <v>3.29</v>
      </c>
      <c r="H546">
        <v>3.2188268626467691</v>
      </c>
      <c r="I546">
        <v>-7.0581074285707285E-2</v>
      </c>
    </row>
    <row r="547" spans="1:9" x14ac:dyDescent="0.35">
      <c r="A547">
        <v>0</v>
      </c>
      <c r="C547">
        <v>0.27847943003314923</v>
      </c>
      <c r="D547">
        <v>0</v>
      </c>
      <c r="E547">
        <v>0</v>
      </c>
      <c r="F547">
        <v>442000000</v>
      </c>
      <c r="G547" s="45">
        <v>3.29</v>
      </c>
      <c r="H547">
        <v>3.2188268626467691</v>
      </c>
      <c r="I547">
        <v>-7.0581074285707285E-2</v>
      </c>
    </row>
    <row r="548" spans="1:9" x14ac:dyDescent="0.35">
      <c r="A548">
        <v>0</v>
      </c>
      <c r="C548">
        <v>0.68777185185419265</v>
      </c>
      <c r="D548">
        <v>0</v>
      </c>
      <c r="E548">
        <v>0</v>
      </c>
      <c r="F548">
        <v>1026120000</v>
      </c>
      <c r="G548" s="45">
        <v>3.29</v>
      </c>
      <c r="H548">
        <v>3.2699236952309465</v>
      </c>
      <c r="I548">
        <v>0.21218760440395779</v>
      </c>
    </row>
    <row r="549" spans="1:9" x14ac:dyDescent="0.35">
      <c r="A549">
        <v>0</v>
      </c>
      <c r="C549">
        <v>-0.61867209278975244</v>
      </c>
      <c r="D549">
        <v>0</v>
      </c>
      <c r="E549">
        <v>0</v>
      </c>
      <c r="F549">
        <v>6150000000</v>
      </c>
      <c r="G549" s="45">
        <v>3.29</v>
      </c>
      <c r="H549">
        <v>3.2699236952309465</v>
      </c>
      <c r="I549">
        <v>0.15836249209524964</v>
      </c>
    </row>
    <row r="550" spans="1:9" x14ac:dyDescent="0.35">
      <c r="A550">
        <v>0</v>
      </c>
      <c r="C550">
        <v>0.21994454276156311</v>
      </c>
      <c r="D550">
        <v>0</v>
      </c>
      <c r="E550">
        <v>0</v>
      </c>
      <c r="F550">
        <v>320000000</v>
      </c>
      <c r="G550" s="45">
        <v>3.29</v>
      </c>
      <c r="H550">
        <v>3.2699236952309465</v>
      </c>
      <c r="I550">
        <v>0.18184358794477254</v>
      </c>
    </row>
    <row r="551" spans="1:9" x14ac:dyDescent="0.35">
      <c r="A551">
        <v>0</v>
      </c>
      <c r="C551">
        <v>-0.1290816677404292</v>
      </c>
      <c r="D551">
        <v>0</v>
      </c>
      <c r="E551">
        <v>0</v>
      </c>
      <c r="F551">
        <v>1750000000</v>
      </c>
      <c r="G551" s="45">
        <v>3.29</v>
      </c>
      <c r="H551">
        <v>3.2699236952309465</v>
      </c>
      <c r="I551">
        <v>0.27875360095282892</v>
      </c>
    </row>
    <row r="552" spans="1:9" x14ac:dyDescent="0.35">
      <c r="A552">
        <v>0</v>
      </c>
      <c r="C552">
        <v>0.43122980346359274</v>
      </c>
      <c r="D552">
        <v>0</v>
      </c>
      <c r="E552">
        <v>0</v>
      </c>
      <c r="F552">
        <v>660500000</v>
      </c>
      <c r="G552" s="45">
        <v>3.29</v>
      </c>
      <c r="H552">
        <v>3.2699236952309465</v>
      </c>
      <c r="I552">
        <v>0.26481782300953643</v>
      </c>
    </row>
    <row r="553" spans="1:9" x14ac:dyDescent="0.35">
      <c r="A553">
        <v>0</v>
      </c>
      <c r="C553">
        <v>-0.6127113446665251</v>
      </c>
      <c r="D553">
        <v>0</v>
      </c>
      <c r="E553">
        <v>0</v>
      </c>
      <c r="F553">
        <v>976170000</v>
      </c>
      <c r="G553" s="45">
        <v>3.29</v>
      </c>
      <c r="H553">
        <v>3.2699236952309465</v>
      </c>
      <c r="I553">
        <v>7.554696139253074E-2</v>
      </c>
    </row>
    <row r="554" spans="1:9" x14ac:dyDescent="0.35">
      <c r="A554">
        <v>0</v>
      </c>
      <c r="C554">
        <v>-2.3176220805831468E-2</v>
      </c>
      <c r="D554">
        <v>0</v>
      </c>
      <c r="E554">
        <v>0</v>
      </c>
      <c r="F554">
        <v>712000000</v>
      </c>
      <c r="G554" s="45">
        <v>3.29</v>
      </c>
      <c r="H554">
        <v>3.2699236952309465</v>
      </c>
      <c r="I554">
        <v>0.18469143081759881</v>
      </c>
    </row>
    <row r="555" spans="1:9" x14ac:dyDescent="0.35">
      <c r="A555">
        <v>0</v>
      </c>
      <c r="C555">
        <v>-7.0049015686584892E-3</v>
      </c>
      <c r="D555">
        <v>0</v>
      </c>
      <c r="E555">
        <v>0</v>
      </c>
      <c r="F555">
        <v>750000000</v>
      </c>
      <c r="G555" s="45">
        <v>3.29</v>
      </c>
      <c r="H555">
        <v>3.2699236952309465</v>
      </c>
      <c r="I555">
        <v>-0.16115090926274472</v>
      </c>
    </row>
    <row r="556" spans="1:9" x14ac:dyDescent="0.35">
      <c r="A556">
        <v>0</v>
      </c>
      <c r="C556">
        <v>-0.59183834003113434</v>
      </c>
      <c r="D556">
        <v>0</v>
      </c>
      <c r="E556">
        <v>0</v>
      </c>
      <c r="F556">
        <v>2600000000</v>
      </c>
      <c r="G556" s="45">
        <v>3.29</v>
      </c>
      <c r="H556">
        <v>3.2699236952309465</v>
      </c>
      <c r="I556">
        <v>-5.0609993355087209E-2</v>
      </c>
    </row>
    <row r="557" spans="1:9" x14ac:dyDescent="0.35">
      <c r="A557">
        <v>0</v>
      </c>
      <c r="C557">
        <v>-0.36974580803344115</v>
      </c>
      <c r="D557">
        <v>0</v>
      </c>
      <c r="E557">
        <v>0</v>
      </c>
      <c r="F557">
        <v>82000000</v>
      </c>
      <c r="G557" s="45">
        <v>3.29</v>
      </c>
      <c r="H557">
        <v>3.2699236952309465</v>
      </c>
      <c r="I557">
        <v>0.11394335230683679</v>
      </c>
    </row>
    <row r="558" spans="1:9" x14ac:dyDescent="0.35">
      <c r="A558">
        <v>0</v>
      </c>
      <c r="C558">
        <v>0.58142087451127222</v>
      </c>
      <c r="D558">
        <v>0</v>
      </c>
      <c r="E558">
        <v>0</v>
      </c>
      <c r="F558">
        <v>218910000</v>
      </c>
      <c r="G558" s="45">
        <v>3.29</v>
      </c>
      <c r="H558">
        <v>3.2555397552391718</v>
      </c>
      <c r="I558">
        <v>0.17026171539495738</v>
      </c>
    </row>
    <row r="559" spans="1:9" x14ac:dyDescent="0.35">
      <c r="A559">
        <v>0</v>
      </c>
      <c r="C559">
        <v>0.60090341412802017</v>
      </c>
      <c r="D559">
        <v>0</v>
      </c>
      <c r="E559">
        <v>0</v>
      </c>
      <c r="F559">
        <v>18800000</v>
      </c>
      <c r="G559" s="45">
        <v>3.29</v>
      </c>
      <c r="H559">
        <v>3.2555397552391718</v>
      </c>
      <c r="I559">
        <v>0.12710479836480765</v>
      </c>
    </row>
    <row r="560" spans="1:9" x14ac:dyDescent="0.35">
      <c r="A560">
        <v>0</v>
      </c>
      <c r="C560">
        <v>0.17955968750028012</v>
      </c>
      <c r="D560">
        <v>0</v>
      </c>
      <c r="E560">
        <v>0</v>
      </c>
      <c r="F560">
        <v>145500000</v>
      </c>
      <c r="G560" s="45">
        <v>3.29</v>
      </c>
      <c r="H560">
        <v>3.2555397552391718</v>
      </c>
      <c r="I560">
        <v>0.23044892137827391</v>
      </c>
    </row>
    <row r="561" spans="1:9" x14ac:dyDescent="0.35">
      <c r="A561">
        <v>0</v>
      </c>
      <c r="C561">
        <v>0.35878060088391328</v>
      </c>
      <c r="D561">
        <v>0</v>
      </c>
      <c r="E561">
        <v>0</v>
      </c>
      <c r="F561">
        <v>225000000</v>
      </c>
      <c r="G561" s="45">
        <v>3.29</v>
      </c>
      <c r="H561">
        <v>3.2555397552391718</v>
      </c>
      <c r="I561">
        <v>3.7426497940623665E-2</v>
      </c>
    </row>
    <row r="562" spans="1:9" x14ac:dyDescent="0.35">
      <c r="A562">
        <v>0</v>
      </c>
      <c r="C562">
        <v>0.25661085587556831</v>
      </c>
      <c r="D562">
        <v>0</v>
      </c>
      <c r="E562">
        <v>0</v>
      </c>
      <c r="F562">
        <v>72000000</v>
      </c>
      <c r="G562" s="45">
        <v>3.29</v>
      </c>
      <c r="H562">
        <v>3.2555397552391718</v>
      </c>
      <c r="I562">
        <v>0.31597034545691782</v>
      </c>
    </row>
    <row r="563" spans="1:9" x14ac:dyDescent="0.35">
      <c r="A563">
        <v>0</v>
      </c>
      <c r="C563">
        <v>-4.6324331383241914E-2</v>
      </c>
      <c r="D563">
        <v>0</v>
      </c>
      <c r="E563">
        <v>0</v>
      </c>
      <c r="F563">
        <v>230000000</v>
      </c>
      <c r="G563" s="45">
        <v>3.29</v>
      </c>
      <c r="H563">
        <v>3.2555397552391718</v>
      </c>
      <c r="I563">
        <v>-1.322826573375516E-2</v>
      </c>
    </row>
    <row r="564" spans="1:9" x14ac:dyDescent="0.35">
      <c r="A564">
        <v>0</v>
      </c>
      <c r="C564">
        <v>0.20411998265592479</v>
      </c>
      <c r="D564">
        <v>0</v>
      </c>
      <c r="E564">
        <v>0</v>
      </c>
      <c r="F564">
        <v>50000000</v>
      </c>
      <c r="G564" s="45">
        <v>3.29</v>
      </c>
      <c r="H564">
        <v>3.2555397552391718</v>
      </c>
      <c r="I564">
        <v>9.3421685162235063E-2</v>
      </c>
    </row>
    <row r="565" spans="1:9" x14ac:dyDescent="0.35">
      <c r="A565">
        <v>0</v>
      </c>
      <c r="C565">
        <v>0.79928626603598674</v>
      </c>
      <c r="D565">
        <v>0</v>
      </c>
      <c r="E565">
        <v>0</v>
      </c>
      <c r="F565">
        <v>50800000</v>
      </c>
      <c r="G565" s="45">
        <v>3.29</v>
      </c>
      <c r="H565">
        <v>3.2555397552391718</v>
      </c>
      <c r="I565">
        <v>0.11394335230683679</v>
      </c>
    </row>
    <row r="566" spans="1:9" x14ac:dyDescent="0.35">
      <c r="A566">
        <v>0</v>
      </c>
      <c r="C566">
        <v>0.36712606125781805</v>
      </c>
      <c r="D566">
        <v>0</v>
      </c>
      <c r="E566">
        <v>0</v>
      </c>
      <c r="F566">
        <v>73000000</v>
      </c>
      <c r="G566" s="45">
        <v>3.29</v>
      </c>
      <c r="H566">
        <v>3.2555397552391718</v>
      </c>
      <c r="I566">
        <v>8.9905111439397931E-2</v>
      </c>
    </row>
    <row r="567" spans="1:9" x14ac:dyDescent="0.35">
      <c r="A567">
        <v>0</v>
      </c>
      <c r="C567">
        <v>-0.34515172353039719</v>
      </c>
      <c r="D567">
        <v>0</v>
      </c>
      <c r="E567">
        <v>0</v>
      </c>
      <c r="F567">
        <v>53000000</v>
      </c>
      <c r="G567" s="45">
        <v>3.29</v>
      </c>
      <c r="H567">
        <v>3.2555397552391718</v>
      </c>
      <c r="I567">
        <v>0.12057393120584989</v>
      </c>
    </row>
    <row r="568" spans="1:9" x14ac:dyDescent="0.35">
      <c r="A568">
        <v>0</v>
      </c>
      <c r="C568">
        <v>7.9155415173775334E-2</v>
      </c>
      <c r="D568">
        <v>0</v>
      </c>
      <c r="E568">
        <v>0</v>
      </c>
      <c r="F568">
        <v>112090000</v>
      </c>
      <c r="G568" s="45">
        <v>3.29</v>
      </c>
      <c r="H568">
        <v>3.2555397552391718</v>
      </c>
      <c r="I568">
        <v>1.703333929878037E-2</v>
      </c>
    </row>
    <row r="569" spans="1:9" x14ac:dyDescent="0.35">
      <c r="A569">
        <v>0</v>
      </c>
      <c r="C569">
        <v>0.84921460620908895</v>
      </c>
      <c r="D569">
        <v>0</v>
      </c>
      <c r="E569">
        <v>0</v>
      </c>
      <c r="F569">
        <v>15000000</v>
      </c>
      <c r="G569" s="45">
        <v>3.29</v>
      </c>
      <c r="H569">
        <v>3.2555397552391718</v>
      </c>
      <c r="I569">
        <v>5.3078443483419682E-2</v>
      </c>
    </row>
    <row r="570" spans="1:9" x14ac:dyDescent="0.35">
      <c r="A570">
        <v>0</v>
      </c>
      <c r="C570">
        <v>0.73282827159698616</v>
      </c>
      <c r="D570">
        <v>0</v>
      </c>
      <c r="E570">
        <v>0</v>
      </c>
      <c r="F570">
        <v>111000000</v>
      </c>
      <c r="G570" s="45">
        <v>3.29</v>
      </c>
      <c r="H570">
        <v>3.2555397552391718</v>
      </c>
      <c r="I570">
        <v>4.1392685158225077E-2</v>
      </c>
    </row>
    <row r="571" spans="1:9" x14ac:dyDescent="0.35">
      <c r="A571">
        <v>0</v>
      </c>
      <c r="C571">
        <v>0.51850866474122814</v>
      </c>
      <c r="D571">
        <v>2.5542346870234227</v>
      </c>
      <c r="E571">
        <v>2.9876662649262746</v>
      </c>
      <c r="F571">
        <v>72250000</v>
      </c>
      <c r="G571" s="45">
        <v>3.16</v>
      </c>
      <c r="H571">
        <v>3.2555397552391718</v>
      </c>
      <c r="I571">
        <v>-6.5501548756432285E-2</v>
      </c>
    </row>
    <row r="572" spans="1:9" x14ac:dyDescent="0.35">
      <c r="A572">
        <v>1</v>
      </c>
      <c r="C572">
        <v>-2</v>
      </c>
      <c r="D572">
        <v>0</v>
      </c>
      <c r="E572">
        <v>0</v>
      </c>
      <c r="F572">
        <v>64000000</v>
      </c>
      <c r="G572" s="45">
        <v>3.29</v>
      </c>
      <c r="H572">
        <v>3.2555397552391718</v>
      </c>
      <c r="I572">
        <v>4.3213737826425782E-3</v>
      </c>
    </row>
    <row r="573" spans="1:9" x14ac:dyDescent="0.35">
      <c r="A573">
        <v>0</v>
      </c>
      <c r="C573">
        <v>0.3127683989352254</v>
      </c>
      <c r="D573">
        <v>2.5542346870234227</v>
      </c>
      <c r="E573">
        <v>2.9876662649262746</v>
      </c>
      <c r="F573">
        <v>730000000</v>
      </c>
      <c r="G573" s="45">
        <v>3.16</v>
      </c>
      <c r="H573">
        <v>3.2528486942934638</v>
      </c>
      <c r="I573">
        <v>0.12710479836480765</v>
      </c>
    </row>
    <row r="574" spans="1:9" x14ac:dyDescent="0.35">
      <c r="A574">
        <v>1</v>
      </c>
      <c r="C574">
        <v>-2</v>
      </c>
      <c r="D574">
        <v>0</v>
      </c>
      <c r="E574">
        <v>0</v>
      </c>
      <c r="F574">
        <v>69000000</v>
      </c>
      <c r="G574" s="45">
        <v>2.95</v>
      </c>
      <c r="H574">
        <v>3.3647319780710983</v>
      </c>
      <c r="I574">
        <v>-0.11918640771920865</v>
      </c>
    </row>
    <row r="575" spans="1:9" x14ac:dyDescent="0.35">
      <c r="A575">
        <v>0</v>
      </c>
      <c r="C575">
        <v>-8.7739243075051505E-3</v>
      </c>
      <c r="D575">
        <v>0</v>
      </c>
      <c r="E575">
        <v>0</v>
      </c>
      <c r="F575">
        <v>100000000</v>
      </c>
      <c r="G575" s="45">
        <v>2.95</v>
      </c>
      <c r="H575">
        <v>3.0958500844125241</v>
      </c>
      <c r="I575">
        <v>5.6904851336472641E-2</v>
      </c>
    </row>
    <row r="576" spans="1:9" x14ac:dyDescent="0.35">
      <c r="A576">
        <v>0</v>
      </c>
      <c r="C576">
        <v>-0.2896005338831994</v>
      </c>
      <c r="D576">
        <v>0</v>
      </c>
      <c r="E576">
        <v>0</v>
      </c>
      <c r="F576">
        <v>750000000</v>
      </c>
      <c r="G576" s="45">
        <v>2.95</v>
      </c>
      <c r="H576">
        <v>3.0958500844125241</v>
      </c>
      <c r="I576">
        <v>0.30535136944662378</v>
      </c>
    </row>
    <row r="577" spans="1:9" x14ac:dyDescent="0.35">
      <c r="A577">
        <v>0</v>
      </c>
      <c r="C577">
        <v>0.63682209758717434</v>
      </c>
      <c r="D577">
        <v>0</v>
      </c>
      <c r="E577">
        <v>0</v>
      </c>
      <c r="F577">
        <v>120000000</v>
      </c>
      <c r="G577" s="45">
        <v>2.95</v>
      </c>
      <c r="H577">
        <v>3.0958500844125241</v>
      </c>
      <c r="I577">
        <v>-4.3648054024500883E-3</v>
      </c>
    </row>
    <row r="578" spans="1:9" x14ac:dyDescent="0.35">
      <c r="A578">
        <v>0</v>
      </c>
      <c r="C578">
        <v>0.1075961808622074</v>
      </c>
      <c r="D578">
        <v>0</v>
      </c>
      <c r="E578">
        <v>0</v>
      </c>
      <c r="F578">
        <v>281000000</v>
      </c>
      <c r="G578" s="45">
        <v>2.95</v>
      </c>
      <c r="H578">
        <v>3.0958500844125241</v>
      </c>
      <c r="I578">
        <v>-0.20065945054641829</v>
      </c>
    </row>
    <row r="579" spans="1:9" x14ac:dyDescent="0.35">
      <c r="A579">
        <v>0</v>
      </c>
      <c r="C579">
        <v>0.3010299956639812</v>
      </c>
      <c r="D579">
        <v>0</v>
      </c>
      <c r="E579">
        <v>0</v>
      </c>
      <c r="F579">
        <v>250000000</v>
      </c>
      <c r="G579" s="45">
        <v>2.95</v>
      </c>
      <c r="H579">
        <v>3.0958500844125241</v>
      </c>
      <c r="I579">
        <v>-0.14874165128092473</v>
      </c>
    </row>
    <row r="580" spans="1:9" x14ac:dyDescent="0.35">
      <c r="A580">
        <v>0</v>
      </c>
      <c r="C580">
        <v>0.51452289435065757</v>
      </c>
      <c r="D580">
        <v>0</v>
      </c>
      <c r="E580">
        <v>0</v>
      </c>
      <c r="F580">
        <v>161890000</v>
      </c>
      <c r="G580" s="45">
        <v>2.95</v>
      </c>
      <c r="H580">
        <v>3.0958500844125241</v>
      </c>
      <c r="I580">
        <v>-7.0581074285707285E-2</v>
      </c>
    </row>
    <row r="581" spans="1:9" x14ac:dyDescent="0.35">
      <c r="A581">
        <v>0</v>
      </c>
      <c r="C581">
        <v>-9.7924009457260819E-2</v>
      </c>
      <c r="D581">
        <v>0</v>
      </c>
      <c r="E581">
        <v>0</v>
      </c>
      <c r="F581">
        <v>402000000</v>
      </c>
      <c r="G581" s="45">
        <v>2.95</v>
      </c>
      <c r="H581">
        <v>3.0958500844125241</v>
      </c>
      <c r="I581">
        <v>-8.092190762392612E-2</v>
      </c>
    </row>
    <row r="582" spans="1:9" x14ac:dyDescent="0.35">
      <c r="A582">
        <v>0</v>
      </c>
      <c r="C582">
        <v>0.13448405451453033</v>
      </c>
      <c r="D582">
        <v>0</v>
      </c>
      <c r="E582">
        <v>0</v>
      </c>
      <c r="F582">
        <v>67500000</v>
      </c>
      <c r="G582" s="45">
        <v>2.95</v>
      </c>
      <c r="H582">
        <v>3.0958500844125241</v>
      </c>
      <c r="I582">
        <v>3.7426497940623665E-2</v>
      </c>
    </row>
    <row r="583" spans="1:9" x14ac:dyDescent="0.35">
      <c r="A583">
        <v>0</v>
      </c>
      <c r="C583">
        <v>0.28940640628560588</v>
      </c>
      <c r="D583">
        <v>0</v>
      </c>
      <c r="E583">
        <v>0</v>
      </c>
      <c r="F583">
        <v>408000000</v>
      </c>
      <c r="G583" s="45">
        <v>2.95</v>
      </c>
      <c r="H583">
        <v>3.0958500844125241</v>
      </c>
      <c r="I583">
        <v>0.14921911265537988</v>
      </c>
    </row>
    <row r="584" spans="1:9" x14ac:dyDescent="0.35">
      <c r="A584">
        <v>1</v>
      </c>
      <c r="C584">
        <v>-2</v>
      </c>
      <c r="D584">
        <v>0</v>
      </c>
      <c r="E584">
        <v>0</v>
      </c>
      <c r="F584">
        <v>190000000</v>
      </c>
      <c r="G584" s="45">
        <v>2.95</v>
      </c>
      <c r="H584">
        <v>3.0958500844125241</v>
      </c>
      <c r="I584">
        <v>-0.16115090926274472</v>
      </c>
    </row>
    <row r="585" spans="1:9" x14ac:dyDescent="0.35">
      <c r="A585">
        <v>1</v>
      </c>
      <c r="C585">
        <v>-2</v>
      </c>
      <c r="D585">
        <v>0</v>
      </c>
      <c r="E585">
        <v>0</v>
      </c>
      <c r="F585">
        <v>20000000</v>
      </c>
      <c r="G585" s="45">
        <v>2.95</v>
      </c>
      <c r="H585">
        <v>3.0958500844125241</v>
      </c>
      <c r="I585">
        <v>1.703333929878037E-2</v>
      </c>
    </row>
    <row r="586" spans="1:9" x14ac:dyDescent="0.35">
      <c r="A586">
        <v>0</v>
      </c>
      <c r="C586">
        <v>0.30023115302562903</v>
      </c>
      <c r="D586">
        <v>0</v>
      </c>
      <c r="E586">
        <v>0</v>
      </c>
      <c r="F586">
        <v>914180000</v>
      </c>
      <c r="G586" s="45">
        <v>2.95</v>
      </c>
      <c r="H586">
        <v>3.0958500844125241</v>
      </c>
      <c r="I586">
        <v>0.1553360374650618</v>
      </c>
    </row>
    <row r="587" spans="1:9" x14ac:dyDescent="0.35">
      <c r="A587">
        <v>0</v>
      </c>
      <c r="C587">
        <v>0.69897000433601886</v>
      </c>
      <c r="D587">
        <v>0</v>
      </c>
      <c r="E587">
        <v>0</v>
      </c>
      <c r="F587">
        <v>52000000</v>
      </c>
      <c r="G587" s="45">
        <v>2.95</v>
      </c>
      <c r="H587">
        <v>3.0958500844125241</v>
      </c>
      <c r="I587">
        <v>0.11058971029924898</v>
      </c>
    </row>
    <row r="588" spans="1:9" x14ac:dyDescent="0.35">
      <c r="A588">
        <v>0</v>
      </c>
      <c r="C588">
        <v>0.33579210192319309</v>
      </c>
      <c r="D588">
        <v>0</v>
      </c>
      <c r="E588">
        <v>0</v>
      </c>
      <c r="F588">
        <v>300000000</v>
      </c>
      <c r="G588" s="45">
        <v>2.95</v>
      </c>
      <c r="H588">
        <v>3.0958500844125241</v>
      </c>
      <c r="I588">
        <v>0.12057393120584989</v>
      </c>
    </row>
    <row r="589" spans="1:9" x14ac:dyDescent="0.35">
      <c r="A589">
        <v>0</v>
      </c>
      <c r="C589">
        <v>8.8136088700551299E-2</v>
      </c>
      <c r="D589">
        <v>0</v>
      </c>
      <c r="E589">
        <v>0</v>
      </c>
      <c r="F589">
        <v>800000000</v>
      </c>
      <c r="G589" s="45">
        <v>2.95</v>
      </c>
      <c r="H589">
        <v>3.0958500844125241</v>
      </c>
      <c r="I589">
        <v>0.12385164096708581</v>
      </c>
    </row>
    <row r="590" spans="1:9" x14ac:dyDescent="0.35">
      <c r="A590">
        <v>1</v>
      </c>
      <c r="C590">
        <v>-2</v>
      </c>
      <c r="D590">
        <v>0</v>
      </c>
      <c r="E590">
        <v>0</v>
      </c>
      <c r="F590">
        <v>1650000000</v>
      </c>
      <c r="G590" s="45">
        <v>2.95</v>
      </c>
      <c r="H590">
        <v>3.0958500844125241</v>
      </c>
      <c r="I590">
        <v>-0.15490195998574319</v>
      </c>
    </row>
    <row r="591" spans="1:9" x14ac:dyDescent="0.35">
      <c r="A591">
        <v>1</v>
      </c>
      <c r="C591">
        <v>-2</v>
      </c>
      <c r="D591">
        <v>0</v>
      </c>
      <c r="E591">
        <v>0</v>
      </c>
      <c r="F591">
        <v>360000000</v>
      </c>
      <c r="G591" s="45">
        <v>2.95</v>
      </c>
      <c r="H591">
        <v>3.1527645837352773</v>
      </c>
      <c r="I591">
        <v>-0.14266750356873156</v>
      </c>
    </row>
    <row r="592" spans="1:9" x14ac:dyDescent="0.35">
      <c r="A592">
        <v>1</v>
      </c>
      <c r="C592">
        <v>-2</v>
      </c>
      <c r="D592">
        <v>0</v>
      </c>
      <c r="E592">
        <v>0</v>
      </c>
      <c r="F592">
        <v>270000000</v>
      </c>
      <c r="G592" s="45">
        <v>2.95</v>
      </c>
      <c r="H592">
        <v>3.1527645837352773</v>
      </c>
      <c r="I592">
        <v>-0.14266750356873156</v>
      </c>
    </row>
    <row r="593" spans="1:9" x14ac:dyDescent="0.35">
      <c r="A593">
        <v>1</v>
      </c>
      <c r="C593">
        <v>-2</v>
      </c>
      <c r="D593">
        <v>0</v>
      </c>
      <c r="E593">
        <v>0</v>
      </c>
      <c r="F593">
        <v>25000000</v>
      </c>
      <c r="G593" s="45">
        <v>2.95</v>
      </c>
      <c r="H593">
        <v>3.1527645837352773</v>
      </c>
      <c r="I593">
        <v>-8.6186147616283279E-2</v>
      </c>
    </row>
    <row r="594" spans="1:9" x14ac:dyDescent="0.35">
      <c r="A594">
        <v>0</v>
      </c>
      <c r="C594">
        <v>0.76042248342321206</v>
      </c>
      <c r="D594">
        <v>0</v>
      </c>
      <c r="E594">
        <v>0</v>
      </c>
      <c r="F594">
        <v>105000000</v>
      </c>
      <c r="G594" s="45">
        <v>2.95</v>
      </c>
      <c r="H594">
        <v>3.1628765880980758</v>
      </c>
      <c r="I594">
        <v>0.26717172840301384</v>
      </c>
    </row>
    <row r="595" spans="1:9" x14ac:dyDescent="0.35">
      <c r="A595">
        <v>0</v>
      </c>
      <c r="C595">
        <v>0.26890642937415743</v>
      </c>
      <c r="D595">
        <v>0</v>
      </c>
      <c r="E595">
        <v>0</v>
      </c>
      <c r="F595">
        <v>716010000</v>
      </c>
      <c r="G595" s="45">
        <v>2.95</v>
      </c>
      <c r="H595">
        <v>3.3647319918335836</v>
      </c>
      <c r="I595">
        <v>0.22010808804005513</v>
      </c>
    </row>
    <row r="596" spans="1:9" x14ac:dyDescent="0.35">
      <c r="A596">
        <v>0</v>
      </c>
      <c r="C596">
        <v>0.14727191996175543</v>
      </c>
      <c r="D596">
        <v>0</v>
      </c>
      <c r="E596">
        <v>0</v>
      </c>
      <c r="F596">
        <v>650000000</v>
      </c>
      <c r="G596" s="45">
        <v>2.95</v>
      </c>
      <c r="H596">
        <v>3.3647319918335836</v>
      </c>
      <c r="I596">
        <v>4.9218022670181653E-2</v>
      </c>
    </row>
    <row r="597" spans="1:9" x14ac:dyDescent="0.35">
      <c r="A597">
        <v>0</v>
      </c>
      <c r="C597">
        <v>-0.21588482779645182</v>
      </c>
      <c r="D597">
        <v>0</v>
      </c>
      <c r="E597">
        <v>0</v>
      </c>
      <c r="F597">
        <v>4725000000</v>
      </c>
      <c r="G597" s="45">
        <v>2.95</v>
      </c>
      <c r="H597">
        <v>3.3647319918335836</v>
      </c>
      <c r="I597">
        <v>0.30749603791321295</v>
      </c>
    </row>
    <row r="598" spans="1:9" x14ac:dyDescent="0.35">
      <c r="A598">
        <v>0</v>
      </c>
      <c r="C598">
        <v>0.369313416884544</v>
      </c>
      <c r="D598">
        <v>0</v>
      </c>
      <c r="E598">
        <v>0</v>
      </c>
      <c r="F598">
        <v>1750000000</v>
      </c>
      <c r="G598" s="45">
        <v>2.95</v>
      </c>
      <c r="H598">
        <v>3.3647319918335836</v>
      </c>
      <c r="I598">
        <v>0.18469143081759881</v>
      </c>
    </row>
    <row r="599" spans="1:9" x14ac:dyDescent="0.35">
      <c r="A599">
        <v>1</v>
      </c>
      <c r="C599">
        <v>-2</v>
      </c>
      <c r="D599">
        <v>0</v>
      </c>
      <c r="E599">
        <v>0</v>
      </c>
      <c r="F599">
        <v>1501910000</v>
      </c>
      <c r="G599" s="45">
        <v>2.95</v>
      </c>
      <c r="H599">
        <v>3.3647319918335836</v>
      </c>
      <c r="I599">
        <v>-2.2276394711152253E-2</v>
      </c>
    </row>
    <row r="600" spans="1:9" x14ac:dyDescent="0.35">
      <c r="A600">
        <v>0</v>
      </c>
      <c r="C600">
        <v>0.37675070960209955</v>
      </c>
      <c r="D600">
        <v>3.7707754512906644</v>
      </c>
      <c r="E600">
        <v>2.1238516409670858</v>
      </c>
      <c r="F600">
        <v>84000000</v>
      </c>
      <c r="G600" s="45">
        <v>2.3199999999999998</v>
      </c>
      <c r="H600">
        <v>3.3885364494891754</v>
      </c>
      <c r="I600">
        <v>5.6904851336472641E-2</v>
      </c>
    </row>
    <row r="601" spans="1:9" x14ac:dyDescent="0.35">
      <c r="A601">
        <v>0</v>
      </c>
      <c r="C601">
        <v>0.43439130751080973</v>
      </c>
      <c r="D601">
        <v>3.7707754512906644</v>
      </c>
      <c r="E601">
        <v>2.1238516409670858</v>
      </c>
      <c r="F601">
        <v>92000000</v>
      </c>
      <c r="G601" s="45">
        <v>2.3199999999999998</v>
      </c>
      <c r="H601">
        <v>3.3885364494891754</v>
      </c>
      <c r="I601">
        <v>0.10720996964786837</v>
      </c>
    </row>
    <row r="602" spans="1:9" x14ac:dyDescent="0.35">
      <c r="A602">
        <v>0</v>
      </c>
      <c r="C602">
        <v>0.41630541559290174</v>
      </c>
      <c r="D602">
        <v>3.7707754512906644</v>
      </c>
      <c r="E602">
        <v>2.1238516409670858</v>
      </c>
      <c r="F602">
        <v>49080000</v>
      </c>
      <c r="G602" s="45">
        <v>2.3199999999999998</v>
      </c>
      <c r="H602">
        <v>3.3885364494891754</v>
      </c>
      <c r="I602">
        <v>9.691001300805642E-2</v>
      </c>
    </row>
    <row r="603" spans="1:9" x14ac:dyDescent="0.35">
      <c r="A603">
        <v>0</v>
      </c>
      <c r="C603">
        <v>0.83346575027523784</v>
      </c>
      <c r="D603">
        <v>3.7936074118204202</v>
      </c>
      <c r="E603">
        <v>2.7370600539441581</v>
      </c>
      <c r="F603">
        <v>27422566</v>
      </c>
      <c r="G603" s="45">
        <v>2.92</v>
      </c>
      <c r="H603">
        <v>3.3885364494891754</v>
      </c>
      <c r="I603">
        <v>0.11727129565576427</v>
      </c>
    </row>
    <row r="604" spans="1:9" x14ac:dyDescent="0.35">
      <c r="A604">
        <v>0</v>
      </c>
      <c r="C604">
        <v>0.32679085780840267</v>
      </c>
      <c r="D604">
        <v>3.7845345619950592</v>
      </c>
      <c r="E604">
        <v>2.9168924084376502</v>
      </c>
      <c r="F604">
        <v>153000000</v>
      </c>
      <c r="G604" s="45">
        <v>2.81</v>
      </c>
      <c r="H604">
        <v>3.3885364494891754</v>
      </c>
      <c r="I604">
        <v>-9.1514981121350217E-2</v>
      </c>
    </row>
    <row r="605" spans="1:9" x14ac:dyDescent="0.35">
      <c r="A605">
        <v>0</v>
      </c>
      <c r="C605">
        <v>0.16408235158266582</v>
      </c>
      <c r="D605">
        <v>3.8584156743566731</v>
      </c>
      <c r="E605">
        <v>2.8134697878296753</v>
      </c>
      <c r="F605">
        <v>1100000000</v>
      </c>
      <c r="G605" s="45">
        <v>2.66</v>
      </c>
      <c r="H605">
        <v>3.3885364494891754</v>
      </c>
      <c r="I605">
        <v>0.20951501454263097</v>
      </c>
    </row>
    <row r="606" spans="1:9" x14ac:dyDescent="0.35">
      <c r="A606">
        <v>0</v>
      </c>
      <c r="C606">
        <v>0.27988245367132186</v>
      </c>
      <c r="D606">
        <v>2.8358680570524939</v>
      </c>
      <c r="E606">
        <v>3.1502958128255383</v>
      </c>
      <c r="F606">
        <v>18200000</v>
      </c>
      <c r="G606" s="45">
        <v>2.85</v>
      </c>
      <c r="H606">
        <v>3.4006741243771632</v>
      </c>
      <c r="I606">
        <v>7.1882007306125359E-2</v>
      </c>
    </row>
    <row r="607" spans="1:9" x14ac:dyDescent="0.35">
      <c r="A607">
        <v>0</v>
      </c>
      <c r="C607">
        <v>0.82390874094431876</v>
      </c>
      <c r="D607">
        <v>3.8335760926148099</v>
      </c>
      <c r="E607">
        <v>2.9138138523837167</v>
      </c>
      <c r="F607">
        <v>6000000</v>
      </c>
      <c r="G607" s="45">
        <v>2.85</v>
      </c>
      <c r="H607">
        <v>3.4006741243771632</v>
      </c>
      <c r="I607">
        <v>0.250420002308894</v>
      </c>
    </row>
    <row r="608" spans="1:9" x14ac:dyDescent="0.35">
      <c r="A608">
        <v>0</v>
      </c>
      <c r="C608">
        <v>0.26717172840301384</v>
      </c>
      <c r="D608">
        <v>3.0625406208792199</v>
      </c>
      <c r="E608">
        <v>2.9323063057851897</v>
      </c>
      <c r="F608">
        <v>40000000</v>
      </c>
      <c r="G608" s="45">
        <v>2.69</v>
      </c>
      <c r="H608">
        <v>3.4006741243771632</v>
      </c>
      <c r="I608">
        <v>6.8185861746161619E-2</v>
      </c>
    </row>
    <row r="609" spans="1:9" x14ac:dyDescent="0.35">
      <c r="A609">
        <v>0</v>
      </c>
      <c r="C609">
        <v>0.24850094438779657</v>
      </c>
      <c r="D609">
        <v>3.0625406208792199</v>
      </c>
      <c r="E609">
        <v>2.8714756364568856</v>
      </c>
      <c r="F609">
        <v>395000000</v>
      </c>
      <c r="G609" s="45">
        <v>3.06</v>
      </c>
      <c r="H609">
        <v>3.1990556451691736</v>
      </c>
      <c r="I609">
        <v>8.9905111439397931E-2</v>
      </c>
    </row>
    <row r="610" spans="1:9" x14ac:dyDescent="0.35">
      <c r="A610">
        <v>0</v>
      </c>
      <c r="C610">
        <v>-0.50046355716177571</v>
      </c>
      <c r="D610">
        <v>3.1566248585544785</v>
      </c>
      <c r="E610">
        <v>2.8438554226231609</v>
      </c>
      <c r="F610">
        <v>730000000</v>
      </c>
      <c r="G610" s="45">
        <v>3.03</v>
      </c>
      <c r="H610">
        <v>3.1990556451691736</v>
      </c>
      <c r="I610">
        <v>-0.10790539730951958</v>
      </c>
    </row>
    <row r="611" spans="1:9" x14ac:dyDescent="0.35">
      <c r="A611">
        <v>0</v>
      </c>
      <c r="C611">
        <v>-0.47639682672533018</v>
      </c>
      <c r="D611">
        <v>3.8335760926148099</v>
      </c>
      <c r="E611">
        <v>2.9138138523837167</v>
      </c>
      <c r="F611">
        <v>239600000</v>
      </c>
      <c r="G611" s="45">
        <v>2.85</v>
      </c>
      <c r="H611">
        <v>3.3885364494891754</v>
      </c>
      <c r="I611">
        <v>0.18184358794477254</v>
      </c>
    </row>
    <row r="612" spans="1:9" x14ac:dyDescent="0.35">
      <c r="A612">
        <v>1</v>
      </c>
      <c r="C612">
        <v>-2</v>
      </c>
      <c r="D612">
        <v>0</v>
      </c>
      <c r="E612">
        <v>0</v>
      </c>
      <c r="F612">
        <v>4812070000</v>
      </c>
      <c r="G612" s="45">
        <v>2.95</v>
      </c>
      <c r="H612">
        <v>3.1628767233771686</v>
      </c>
      <c r="I612">
        <v>4.3213737826425782E-3</v>
      </c>
    </row>
    <row r="613" spans="1:9" x14ac:dyDescent="0.35">
      <c r="A613">
        <v>1</v>
      </c>
      <c r="C613">
        <v>-2</v>
      </c>
      <c r="D613">
        <v>0</v>
      </c>
      <c r="E613">
        <v>0</v>
      </c>
      <c r="F613">
        <v>36000000</v>
      </c>
      <c r="G613" s="45">
        <v>2.95</v>
      </c>
      <c r="H613">
        <v>3.1628767233771686</v>
      </c>
      <c r="I613">
        <v>-0.19382002601611281</v>
      </c>
    </row>
    <row r="614" spans="1:9" x14ac:dyDescent="0.35">
      <c r="A614">
        <v>1</v>
      </c>
      <c r="C614">
        <v>-2</v>
      </c>
      <c r="D614">
        <v>0</v>
      </c>
      <c r="E614">
        <v>0</v>
      </c>
      <c r="F614">
        <v>1335100000</v>
      </c>
      <c r="G614" s="45">
        <v>2.95</v>
      </c>
      <c r="H614">
        <v>3.1628767233771686</v>
      </c>
      <c r="I614">
        <v>3.7426497940623665E-2</v>
      </c>
    </row>
    <row r="615" spans="1:9" x14ac:dyDescent="0.35">
      <c r="A615">
        <v>1</v>
      </c>
      <c r="C615">
        <v>-2</v>
      </c>
      <c r="D615">
        <v>0</v>
      </c>
      <c r="E615">
        <v>0</v>
      </c>
      <c r="F615">
        <v>175000000</v>
      </c>
      <c r="G615" s="45">
        <v>2.95</v>
      </c>
      <c r="H615">
        <v>3.1628767233771686</v>
      </c>
      <c r="I615">
        <v>-8.6186147616283279E-2</v>
      </c>
    </row>
    <row r="616" spans="1:9" x14ac:dyDescent="0.35">
      <c r="A616">
        <v>1</v>
      </c>
      <c r="C616">
        <v>-2</v>
      </c>
      <c r="D616">
        <v>0</v>
      </c>
      <c r="E616">
        <v>0</v>
      </c>
      <c r="F616">
        <v>2301620000</v>
      </c>
      <c r="G616" s="45">
        <v>2.95</v>
      </c>
      <c r="H616">
        <v>3.1628767233771686</v>
      </c>
      <c r="I616">
        <v>-0.22914798835785574</v>
      </c>
    </row>
    <row r="617" spans="1:9" x14ac:dyDescent="0.35">
      <c r="A617">
        <v>1</v>
      </c>
      <c r="C617">
        <v>-2</v>
      </c>
      <c r="D617">
        <v>0</v>
      </c>
      <c r="E617">
        <v>0</v>
      </c>
      <c r="F617">
        <v>7040000000</v>
      </c>
      <c r="G617" s="45">
        <v>2.95</v>
      </c>
      <c r="H617">
        <v>3.1628767233771686</v>
      </c>
      <c r="I617">
        <v>-4.0958607678906384E-2</v>
      </c>
    </row>
    <row r="618" spans="1:9" x14ac:dyDescent="0.35">
      <c r="A618">
        <v>0</v>
      </c>
      <c r="C618">
        <v>-0.64132766938232411</v>
      </c>
      <c r="D618">
        <v>0</v>
      </c>
      <c r="E618">
        <v>0</v>
      </c>
      <c r="F618">
        <v>800000000</v>
      </c>
      <c r="G618" s="45">
        <v>2.95</v>
      </c>
      <c r="H618">
        <v>3.1628767233771686</v>
      </c>
      <c r="I618">
        <v>0.16731733474817609</v>
      </c>
    </row>
    <row r="619" spans="1:9" x14ac:dyDescent="0.35">
      <c r="A619">
        <v>0</v>
      </c>
      <c r="C619">
        <v>0.48071413948644659</v>
      </c>
      <c r="D619">
        <v>0</v>
      </c>
      <c r="E619">
        <v>0</v>
      </c>
      <c r="F619">
        <v>350000000</v>
      </c>
      <c r="G619" s="45">
        <v>2.95</v>
      </c>
      <c r="H619">
        <v>3.1628767233771686</v>
      </c>
      <c r="I619">
        <v>-8.7739243075051505E-3</v>
      </c>
    </row>
    <row r="620" spans="1:9" x14ac:dyDescent="0.35">
      <c r="A620">
        <v>0</v>
      </c>
      <c r="C620">
        <v>2.1660617565076304E-3</v>
      </c>
      <c r="D620">
        <v>0</v>
      </c>
      <c r="E620">
        <v>0</v>
      </c>
      <c r="F620">
        <v>140000000</v>
      </c>
      <c r="G620" s="45">
        <v>2.95</v>
      </c>
      <c r="H620">
        <v>3.1628767233771686</v>
      </c>
      <c r="I620">
        <v>-8.6186147616283279E-2</v>
      </c>
    </row>
    <row r="621" spans="1:9" x14ac:dyDescent="0.35">
      <c r="A621">
        <v>0</v>
      </c>
      <c r="C621">
        <v>-0.3345854420040863</v>
      </c>
      <c r="D621">
        <v>0</v>
      </c>
      <c r="E621">
        <v>0</v>
      </c>
      <c r="F621">
        <v>534330000</v>
      </c>
      <c r="G621" s="45">
        <v>2.95</v>
      </c>
      <c r="H621">
        <v>3.1628767233771686</v>
      </c>
      <c r="I621">
        <v>-0.11350927482751812</v>
      </c>
    </row>
    <row r="622" spans="1:9" x14ac:dyDescent="0.35">
      <c r="A622">
        <v>0</v>
      </c>
      <c r="C622">
        <v>0.11904132913278011</v>
      </c>
      <c r="D622">
        <v>0</v>
      </c>
      <c r="E622">
        <v>0</v>
      </c>
      <c r="F622">
        <v>2000000000</v>
      </c>
      <c r="G622" s="45">
        <v>2.95</v>
      </c>
      <c r="H622">
        <v>3.1628767233771686</v>
      </c>
      <c r="I622">
        <v>6.069784035361165E-2</v>
      </c>
    </row>
    <row r="623" spans="1:9" x14ac:dyDescent="0.35">
      <c r="A623">
        <v>0</v>
      </c>
      <c r="C623">
        <v>-0.49106647394996722</v>
      </c>
      <c r="D623">
        <v>0</v>
      </c>
      <c r="E623">
        <v>0</v>
      </c>
      <c r="F623">
        <v>375000000</v>
      </c>
      <c r="G623" s="45">
        <v>2.95</v>
      </c>
      <c r="H623">
        <v>3.1628767233771686</v>
      </c>
      <c r="I623">
        <v>-8.7739243075051505E-3</v>
      </c>
    </row>
    <row r="624" spans="1:9" x14ac:dyDescent="0.35">
      <c r="A624">
        <v>0</v>
      </c>
      <c r="C624">
        <v>0.71911574387644306</v>
      </c>
      <c r="D624">
        <v>0</v>
      </c>
      <c r="E624">
        <v>0</v>
      </c>
      <c r="F624">
        <v>100000000</v>
      </c>
      <c r="G624" s="45">
        <v>2.95</v>
      </c>
      <c r="H624">
        <v>3.1628767233771686</v>
      </c>
      <c r="I624">
        <v>2.9383777685209667E-2</v>
      </c>
    </row>
    <row r="625" spans="1:9" x14ac:dyDescent="0.35">
      <c r="A625">
        <v>0</v>
      </c>
      <c r="C625">
        <v>-5.9314001215981953E-2</v>
      </c>
      <c r="D625">
        <v>0</v>
      </c>
      <c r="E625">
        <v>0</v>
      </c>
      <c r="F625">
        <v>235000000</v>
      </c>
      <c r="G625" s="45">
        <v>2.95</v>
      </c>
      <c r="H625">
        <v>3.1628767233771686</v>
      </c>
      <c r="I625">
        <v>0.13672056715640679</v>
      </c>
    </row>
    <row r="626" spans="1:9" x14ac:dyDescent="0.35">
      <c r="A626">
        <v>0</v>
      </c>
      <c r="C626">
        <v>7.5346899059240954E-2</v>
      </c>
      <c r="D626">
        <v>0</v>
      </c>
      <c r="E626">
        <v>0</v>
      </c>
      <c r="F626">
        <v>5044340000</v>
      </c>
      <c r="G626" s="45">
        <v>2.95</v>
      </c>
      <c r="H626">
        <v>3.1628767233771686</v>
      </c>
      <c r="I626">
        <v>0.16731733474817609</v>
      </c>
    </row>
    <row r="627" spans="1:9" x14ac:dyDescent="0.35">
      <c r="A627">
        <v>0</v>
      </c>
      <c r="C627">
        <v>0.20687222820953113</v>
      </c>
      <c r="D627">
        <v>0</v>
      </c>
      <c r="E627">
        <v>0</v>
      </c>
      <c r="F627">
        <v>3602100000</v>
      </c>
      <c r="G627" s="45">
        <v>2.95</v>
      </c>
      <c r="H627">
        <v>3.1628767233771686</v>
      </c>
      <c r="I627">
        <v>2.5305865264770262E-2</v>
      </c>
    </row>
    <row r="628" spans="1:9" x14ac:dyDescent="0.35">
      <c r="A628">
        <v>0</v>
      </c>
      <c r="C628">
        <v>-0.41073372100876349</v>
      </c>
      <c r="D628">
        <v>0</v>
      </c>
      <c r="E628">
        <v>0</v>
      </c>
      <c r="F628">
        <v>48405150000</v>
      </c>
      <c r="G628" s="45">
        <v>2.95</v>
      </c>
      <c r="H628">
        <v>3.1628767233771686</v>
      </c>
      <c r="I628">
        <v>0.19312459835446161</v>
      </c>
    </row>
    <row r="629" spans="1:9" x14ac:dyDescent="0.35">
      <c r="A629">
        <v>0</v>
      </c>
      <c r="C629">
        <v>0.40900802354176158</v>
      </c>
      <c r="D629">
        <v>0</v>
      </c>
      <c r="E629">
        <v>0</v>
      </c>
      <c r="F629">
        <v>1793700000</v>
      </c>
      <c r="G629" s="45">
        <v>2.95</v>
      </c>
      <c r="H629">
        <v>3.1628767233771686</v>
      </c>
      <c r="I629">
        <v>0.12710479836480765</v>
      </c>
    </row>
    <row r="630" spans="1:9" x14ac:dyDescent="0.35">
      <c r="A630">
        <v>0</v>
      </c>
      <c r="C630">
        <v>0.29681183283328078</v>
      </c>
      <c r="D630">
        <v>0</v>
      </c>
      <c r="E630">
        <v>0</v>
      </c>
      <c r="F630">
        <v>1072870000</v>
      </c>
      <c r="G630" s="45">
        <v>2.95</v>
      </c>
      <c r="H630">
        <v>3.1628767233771686</v>
      </c>
      <c r="I630">
        <v>-7.0581074285707285E-2</v>
      </c>
    </row>
    <row r="631" spans="1:9" x14ac:dyDescent="0.35">
      <c r="A631">
        <v>0</v>
      </c>
      <c r="C631">
        <v>0.16633142176652496</v>
      </c>
      <c r="D631">
        <v>0</v>
      </c>
      <c r="E631">
        <v>0</v>
      </c>
      <c r="F631">
        <v>750000000</v>
      </c>
      <c r="G631" s="45">
        <v>2.95</v>
      </c>
      <c r="H631">
        <v>3.1628767233771686</v>
      </c>
      <c r="I631">
        <v>-4.3648054024500883E-3</v>
      </c>
    </row>
    <row r="632" spans="1:9" x14ac:dyDescent="0.35">
      <c r="A632">
        <v>0</v>
      </c>
      <c r="C632">
        <v>1.4952482388323004E-2</v>
      </c>
      <c r="D632">
        <v>0</v>
      </c>
      <c r="E632">
        <v>0</v>
      </c>
      <c r="F632">
        <v>27149000000</v>
      </c>
      <c r="G632" s="45">
        <v>2.95</v>
      </c>
      <c r="H632">
        <v>3.1628767233771686</v>
      </c>
      <c r="I632">
        <v>-0.20760831050174613</v>
      </c>
    </row>
    <row r="633" spans="1:9" x14ac:dyDescent="0.35">
      <c r="A633">
        <v>0</v>
      </c>
      <c r="C633">
        <v>6.7550558562365803E-2</v>
      </c>
      <c r="D633">
        <v>0</v>
      </c>
      <c r="E633">
        <v>0</v>
      </c>
      <c r="F633">
        <v>11426960000</v>
      </c>
      <c r="G633" s="45">
        <v>2.95</v>
      </c>
      <c r="H633">
        <v>3.1628767233771686</v>
      </c>
      <c r="I633">
        <v>0.13987908640123647</v>
      </c>
    </row>
    <row r="634" spans="1:9" x14ac:dyDescent="0.35">
      <c r="A634">
        <v>0</v>
      </c>
      <c r="C634">
        <v>-1.153854187474864</v>
      </c>
      <c r="D634">
        <v>0</v>
      </c>
      <c r="E634">
        <v>0</v>
      </c>
      <c r="F634">
        <v>441790000</v>
      </c>
      <c r="G634" s="45">
        <v>2.95</v>
      </c>
      <c r="H634">
        <v>3.1628767233771686</v>
      </c>
      <c r="I634">
        <v>-0.14874165128092473</v>
      </c>
    </row>
    <row r="635" spans="1:9" x14ac:dyDescent="0.35">
      <c r="A635">
        <v>0</v>
      </c>
      <c r="C635">
        <v>0.46954857143534467</v>
      </c>
      <c r="D635">
        <v>0</v>
      </c>
      <c r="E635">
        <v>0</v>
      </c>
      <c r="F635">
        <v>983670000</v>
      </c>
      <c r="G635" s="45">
        <v>2.95</v>
      </c>
      <c r="H635">
        <v>3.1628767233771686</v>
      </c>
      <c r="I635">
        <v>0.10037054511756291</v>
      </c>
    </row>
    <row r="636" spans="1:9" x14ac:dyDescent="0.35">
      <c r="A636">
        <v>0</v>
      </c>
      <c r="C636">
        <v>9.691001300805642E-2</v>
      </c>
      <c r="D636">
        <v>0</v>
      </c>
      <c r="E636">
        <v>0</v>
      </c>
      <c r="F636">
        <v>480000000</v>
      </c>
      <c r="G636" s="45">
        <v>2.95</v>
      </c>
      <c r="H636">
        <v>3.1628767233771686</v>
      </c>
      <c r="I636">
        <v>0.24303804868629444</v>
      </c>
    </row>
    <row r="637" spans="1:9" x14ac:dyDescent="0.35">
      <c r="A637">
        <v>0</v>
      </c>
      <c r="C637">
        <v>-8.1613751481204207E-3</v>
      </c>
      <c r="D637">
        <v>0</v>
      </c>
      <c r="E637">
        <v>0</v>
      </c>
      <c r="F637">
        <v>4997640000</v>
      </c>
      <c r="G637" s="45">
        <v>2.95</v>
      </c>
      <c r="H637">
        <v>3.1628767233771686</v>
      </c>
      <c r="I637">
        <v>0.27415784926367981</v>
      </c>
    </row>
    <row r="638" spans="1:9" x14ac:dyDescent="0.35">
      <c r="A638">
        <v>0</v>
      </c>
      <c r="C638">
        <v>0.2852357284807493</v>
      </c>
      <c r="D638">
        <v>0</v>
      </c>
      <c r="E638">
        <v>0</v>
      </c>
      <c r="F638">
        <v>1400000000</v>
      </c>
      <c r="G638" s="45">
        <v>2.95</v>
      </c>
      <c r="H638">
        <v>3.1628767233771686</v>
      </c>
      <c r="I638">
        <v>0.28103336724772759</v>
      </c>
    </row>
    <row r="639" spans="1:9" x14ac:dyDescent="0.35">
      <c r="A639">
        <v>0</v>
      </c>
      <c r="C639">
        <v>-0.20972030619471799</v>
      </c>
      <c r="D639">
        <v>0</v>
      </c>
      <c r="E639">
        <v>0</v>
      </c>
      <c r="F639">
        <v>190440000</v>
      </c>
      <c r="G639" s="45">
        <v>2.95</v>
      </c>
      <c r="H639">
        <v>3.1628767233771686</v>
      </c>
      <c r="I639">
        <v>7.9181246047624818E-2</v>
      </c>
    </row>
    <row r="640" spans="1:9" x14ac:dyDescent="0.35">
      <c r="A640">
        <v>0</v>
      </c>
      <c r="C640">
        <v>0.22169411325389282</v>
      </c>
      <c r="D640">
        <v>0</v>
      </c>
      <c r="E640">
        <v>0</v>
      </c>
      <c r="F640">
        <v>1500000000</v>
      </c>
      <c r="G640" s="45">
        <v>2.95</v>
      </c>
      <c r="H640">
        <v>3.1628767233771686</v>
      </c>
      <c r="I640">
        <v>0.14921911265537988</v>
      </c>
    </row>
    <row r="641" spans="1:9" x14ac:dyDescent="0.35">
      <c r="A641">
        <v>0</v>
      </c>
      <c r="C641">
        <v>0.62144928996850934</v>
      </c>
      <c r="D641">
        <v>0</v>
      </c>
      <c r="E641">
        <v>0</v>
      </c>
      <c r="F641">
        <v>1934200000</v>
      </c>
      <c r="G641" s="45">
        <v>2.95</v>
      </c>
      <c r="H641">
        <v>3.1628767233771686</v>
      </c>
      <c r="I641">
        <v>0.13987908640123647</v>
      </c>
    </row>
    <row r="642" spans="1:9" x14ac:dyDescent="0.35">
      <c r="A642">
        <v>0</v>
      </c>
      <c r="C642">
        <v>-5.9058784041745138</v>
      </c>
      <c r="D642">
        <v>0</v>
      </c>
      <c r="E642">
        <v>0</v>
      </c>
      <c r="F642">
        <v>300000000</v>
      </c>
      <c r="G642" s="45">
        <v>2.95</v>
      </c>
      <c r="H642">
        <v>3.1628767233771686</v>
      </c>
      <c r="I642">
        <v>2.9383777685209667E-2</v>
      </c>
    </row>
    <row r="643" spans="1:9" x14ac:dyDescent="0.35">
      <c r="A643">
        <v>1</v>
      </c>
      <c r="C643">
        <v>-2</v>
      </c>
      <c r="D643">
        <v>0</v>
      </c>
      <c r="E643">
        <v>0</v>
      </c>
      <c r="F643">
        <v>2301620000</v>
      </c>
      <c r="G643" s="45">
        <v>2.95</v>
      </c>
      <c r="H643">
        <v>3.1628767233771686</v>
      </c>
      <c r="I643">
        <v>-0.22914798835785574</v>
      </c>
    </row>
    <row r="644" spans="1:9" x14ac:dyDescent="0.35">
      <c r="A644">
        <v>0</v>
      </c>
      <c r="C644">
        <v>-9.2616714924626583E-3</v>
      </c>
      <c r="D644">
        <v>0</v>
      </c>
      <c r="E644">
        <v>0</v>
      </c>
      <c r="F644">
        <v>100000000</v>
      </c>
      <c r="G644" s="45">
        <v>2.95</v>
      </c>
      <c r="H644">
        <v>3.0958500844125241</v>
      </c>
      <c r="I644">
        <v>5.6904851336472641E-2</v>
      </c>
    </row>
    <row r="645" spans="1:9" x14ac:dyDescent="0.35">
      <c r="A645">
        <v>0</v>
      </c>
      <c r="C645">
        <v>-0.2896005338831994</v>
      </c>
      <c r="D645">
        <v>0</v>
      </c>
      <c r="E645">
        <v>0</v>
      </c>
      <c r="F645">
        <v>750000000</v>
      </c>
      <c r="G645" s="45">
        <v>2.95</v>
      </c>
      <c r="H645">
        <v>3.0958500844125241</v>
      </c>
      <c r="I645">
        <v>0.30535136944662378</v>
      </c>
    </row>
    <row r="646" spans="1:9" x14ac:dyDescent="0.35">
      <c r="A646">
        <v>0</v>
      </c>
      <c r="C646">
        <v>0.3010299956639812</v>
      </c>
      <c r="D646">
        <v>0</v>
      </c>
      <c r="E646">
        <v>0</v>
      </c>
      <c r="F646">
        <v>250000000</v>
      </c>
      <c r="G646" s="45">
        <v>2.95</v>
      </c>
      <c r="H646">
        <v>3.0958500844125241</v>
      </c>
      <c r="I646">
        <v>-0.14874165128092473</v>
      </c>
    </row>
    <row r="647" spans="1:9" x14ac:dyDescent="0.35">
      <c r="A647">
        <v>0</v>
      </c>
      <c r="C647">
        <v>0.51452289435065757</v>
      </c>
      <c r="D647">
        <v>0</v>
      </c>
      <c r="E647">
        <v>0</v>
      </c>
      <c r="F647">
        <v>161890000</v>
      </c>
      <c r="G647" s="45">
        <v>2.95</v>
      </c>
      <c r="H647">
        <v>3.0958500844125241</v>
      </c>
      <c r="I647">
        <v>-7.0581074285707285E-2</v>
      </c>
    </row>
    <row r="648" spans="1:9" x14ac:dyDescent="0.35">
      <c r="A648">
        <v>0</v>
      </c>
      <c r="C648">
        <v>-6.6406958011195921E-2</v>
      </c>
      <c r="D648">
        <v>0</v>
      </c>
      <c r="E648">
        <v>0</v>
      </c>
      <c r="F648">
        <v>402000000</v>
      </c>
      <c r="G648" s="45">
        <v>2.95</v>
      </c>
      <c r="H648">
        <v>3.0958500844125241</v>
      </c>
      <c r="I648">
        <v>-8.092190762392612E-2</v>
      </c>
    </row>
    <row r="649" spans="1:9" x14ac:dyDescent="0.35">
      <c r="A649">
        <v>0</v>
      </c>
      <c r="C649">
        <v>0.13448405451453033</v>
      </c>
      <c r="D649">
        <v>0</v>
      </c>
      <c r="E649">
        <v>0</v>
      </c>
      <c r="F649">
        <v>67500000</v>
      </c>
      <c r="G649" s="45">
        <v>2.95</v>
      </c>
      <c r="H649">
        <v>3.0958500844125241</v>
      </c>
      <c r="I649">
        <v>3.7426497940623665E-2</v>
      </c>
    </row>
    <row r="650" spans="1:9" x14ac:dyDescent="0.35">
      <c r="A650">
        <v>0</v>
      </c>
      <c r="C650">
        <v>0.28940640628560588</v>
      </c>
      <c r="D650">
        <v>0</v>
      </c>
      <c r="E650">
        <v>0</v>
      </c>
      <c r="F650">
        <v>408000000</v>
      </c>
      <c r="G650" s="45">
        <v>2.95</v>
      </c>
      <c r="H650">
        <v>3.0958500844125241</v>
      </c>
      <c r="I650">
        <v>0.14921911265537988</v>
      </c>
    </row>
    <row r="651" spans="1:9" x14ac:dyDescent="0.35">
      <c r="A651">
        <v>1</v>
      </c>
      <c r="C651">
        <v>-2</v>
      </c>
      <c r="D651">
        <v>0</v>
      </c>
      <c r="E651">
        <v>0</v>
      </c>
      <c r="F651">
        <v>190000000</v>
      </c>
      <c r="G651" s="45">
        <v>2.95</v>
      </c>
      <c r="H651">
        <v>3.0958500844125241</v>
      </c>
      <c r="I651">
        <v>-0.16115090926274472</v>
      </c>
    </row>
    <row r="652" spans="1:9" x14ac:dyDescent="0.35">
      <c r="A652">
        <v>1</v>
      </c>
      <c r="C652">
        <v>-2</v>
      </c>
      <c r="D652">
        <v>0</v>
      </c>
      <c r="E652">
        <v>0</v>
      </c>
      <c r="F652">
        <v>20000000</v>
      </c>
      <c r="G652" s="45">
        <v>2.95</v>
      </c>
      <c r="H652">
        <v>3.0958500844125241</v>
      </c>
      <c r="I652">
        <v>1.703333929878037E-2</v>
      </c>
    </row>
    <row r="653" spans="1:9" x14ac:dyDescent="0.35">
      <c r="A653">
        <v>1</v>
      </c>
      <c r="C653">
        <v>-2</v>
      </c>
      <c r="D653">
        <v>0</v>
      </c>
      <c r="E653">
        <v>0</v>
      </c>
      <c r="F653">
        <v>15000000</v>
      </c>
      <c r="G653" s="45">
        <v>2.95</v>
      </c>
      <c r="H653">
        <v>3.0958500844125241</v>
      </c>
      <c r="I653">
        <v>0.12385164096708581</v>
      </c>
    </row>
    <row r="654" spans="1:9" x14ac:dyDescent="0.35">
      <c r="A654">
        <v>0</v>
      </c>
      <c r="C654">
        <v>0.49277276362124844</v>
      </c>
      <c r="D654">
        <v>0</v>
      </c>
      <c r="E654">
        <v>0</v>
      </c>
      <c r="F654">
        <v>586800000</v>
      </c>
      <c r="G654" s="45">
        <v>2.95</v>
      </c>
      <c r="H654">
        <v>3.0958500844125241</v>
      </c>
      <c r="I654">
        <v>0.1553360374650618</v>
      </c>
    </row>
    <row r="655" spans="1:9" x14ac:dyDescent="0.35">
      <c r="A655">
        <v>0</v>
      </c>
      <c r="C655">
        <v>0.33579210192319309</v>
      </c>
      <c r="D655">
        <v>0</v>
      </c>
      <c r="E655">
        <v>0</v>
      </c>
      <c r="F655">
        <v>300000000</v>
      </c>
      <c r="G655" s="45">
        <v>2.95</v>
      </c>
      <c r="H655">
        <v>3.0958500844125241</v>
      </c>
      <c r="I655">
        <v>0.12057393120584989</v>
      </c>
    </row>
    <row r="656" spans="1:9" x14ac:dyDescent="0.35">
      <c r="A656">
        <v>0</v>
      </c>
      <c r="C656">
        <v>8.8136088700551299E-2</v>
      </c>
      <c r="D656">
        <v>0</v>
      </c>
      <c r="E656">
        <v>0</v>
      </c>
      <c r="F656">
        <v>800000000</v>
      </c>
      <c r="G656" s="45">
        <v>2.95</v>
      </c>
      <c r="H656">
        <v>3.0958500844125241</v>
      </c>
      <c r="I656">
        <v>0.12385164096708581</v>
      </c>
    </row>
    <row r="657" spans="1:9" x14ac:dyDescent="0.35">
      <c r="A657">
        <v>0</v>
      </c>
      <c r="C657">
        <v>-5.7991946977686754E-2</v>
      </c>
      <c r="D657">
        <v>0</v>
      </c>
      <c r="E657">
        <v>0</v>
      </c>
      <c r="F657">
        <v>400000000</v>
      </c>
      <c r="G657" s="45">
        <v>2.95</v>
      </c>
      <c r="H657">
        <v>3.3647319918335836</v>
      </c>
      <c r="I657">
        <v>1.2837224705172217E-2</v>
      </c>
    </row>
    <row r="658" spans="1:9" x14ac:dyDescent="0.35">
      <c r="A658">
        <v>0</v>
      </c>
      <c r="C658">
        <v>6.1815356523527966E-2</v>
      </c>
      <c r="D658">
        <v>0</v>
      </c>
      <c r="E658">
        <v>0</v>
      </c>
      <c r="F658">
        <v>2160000000</v>
      </c>
      <c r="G658" s="45">
        <v>2.95</v>
      </c>
      <c r="H658">
        <v>3.3647319918335836</v>
      </c>
      <c r="I658">
        <v>0.1553360374650618</v>
      </c>
    </row>
    <row r="659" spans="1:9" x14ac:dyDescent="0.35">
      <c r="A659">
        <v>0</v>
      </c>
      <c r="C659">
        <v>6.857641436412143E-2</v>
      </c>
      <c r="D659">
        <v>0</v>
      </c>
      <c r="E659">
        <v>0</v>
      </c>
      <c r="F659">
        <v>11400000000</v>
      </c>
      <c r="G659" s="45">
        <v>2.95</v>
      </c>
      <c r="H659">
        <v>3.3647319918335836</v>
      </c>
      <c r="I659">
        <v>0.13987908640123647</v>
      </c>
    </row>
    <row r="660" spans="1:9" x14ac:dyDescent="0.35">
      <c r="A660">
        <v>0</v>
      </c>
      <c r="C660">
        <v>0.38021124171160603</v>
      </c>
      <c r="D660">
        <v>0</v>
      </c>
      <c r="E660">
        <v>0</v>
      </c>
      <c r="F660">
        <v>700000000</v>
      </c>
      <c r="G660" s="45">
        <v>2.95</v>
      </c>
      <c r="H660">
        <v>3.3647319918335836</v>
      </c>
      <c r="I660">
        <v>0.21748394421390627</v>
      </c>
    </row>
    <row r="661" spans="1:9" x14ac:dyDescent="0.35">
      <c r="A661">
        <v>0</v>
      </c>
      <c r="C661">
        <v>-1.0669467896306131</v>
      </c>
      <c r="D661">
        <v>0</v>
      </c>
      <c r="E661">
        <v>0</v>
      </c>
      <c r="F661">
        <v>3500000000</v>
      </c>
      <c r="G661" s="45">
        <v>2.95</v>
      </c>
      <c r="H661">
        <v>3.3647319918335836</v>
      </c>
      <c r="I661">
        <v>0.32428245529769273</v>
      </c>
    </row>
    <row r="662" spans="1:9" x14ac:dyDescent="0.35">
      <c r="A662">
        <v>0</v>
      </c>
      <c r="C662">
        <v>0.60822262978202302</v>
      </c>
      <c r="D662">
        <v>0</v>
      </c>
      <c r="E662">
        <v>0</v>
      </c>
      <c r="F662">
        <v>603870000</v>
      </c>
      <c r="G662" s="45">
        <v>2.95</v>
      </c>
      <c r="H662">
        <v>3.3647319918335836</v>
      </c>
      <c r="I662">
        <v>0.17609125905568124</v>
      </c>
    </row>
    <row r="663" spans="1:9" x14ac:dyDescent="0.35">
      <c r="A663">
        <v>0</v>
      </c>
      <c r="C663">
        <v>0.77011529478710161</v>
      </c>
      <c r="D663">
        <v>0</v>
      </c>
      <c r="E663">
        <v>0</v>
      </c>
      <c r="F663">
        <v>225000000</v>
      </c>
      <c r="G663" s="45">
        <v>2.95</v>
      </c>
      <c r="H663">
        <v>3.3647319918335836</v>
      </c>
      <c r="I663">
        <v>0.10720996964786837</v>
      </c>
    </row>
    <row r="664" spans="1:9" x14ac:dyDescent="0.35">
      <c r="A664">
        <v>0</v>
      </c>
      <c r="C664">
        <v>-1.0016671593674633</v>
      </c>
      <c r="D664">
        <v>0</v>
      </c>
      <c r="E664">
        <v>0</v>
      </c>
      <c r="F664">
        <v>2610000000</v>
      </c>
      <c r="G664" s="45">
        <v>2.95</v>
      </c>
      <c r="H664">
        <v>3.3647319918335836</v>
      </c>
      <c r="I664">
        <v>0.658964842664435</v>
      </c>
    </row>
    <row r="665" spans="1:9" x14ac:dyDescent="0.35">
      <c r="A665">
        <v>0</v>
      </c>
      <c r="C665">
        <v>0.63424467469936363</v>
      </c>
      <c r="D665">
        <v>0</v>
      </c>
      <c r="E665">
        <v>0</v>
      </c>
      <c r="F665">
        <v>26000000</v>
      </c>
      <c r="G665" s="45">
        <v>2.95</v>
      </c>
      <c r="H665">
        <v>3.3647319918335836</v>
      </c>
      <c r="I665">
        <v>0.14301480025409513</v>
      </c>
    </row>
    <row r="666" spans="1:9" x14ac:dyDescent="0.35">
      <c r="A666">
        <v>1</v>
      </c>
      <c r="C666">
        <v>-2</v>
      </c>
      <c r="D666">
        <v>0</v>
      </c>
      <c r="E666">
        <v>0</v>
      </c>
      <c r="F666">
        <v>30000000</v>
      </c>
      <c r="G666" s="45">
        <v>2.95</v>
      </c>
      <c r="H666">
        <v>3.3647319918335836</v>
      </c>
      <c r="I666">
        <v>0.24551266781414982</v>
      </c>
    </row>
    <row r="667" spans="1:9" x14ac:dyDescent="0.35">
      <c r="A667">
        <v>1</v>
      </c>
      <c r="C667">
        <v>-2</v>
      </c>
      <c r="D667">
        <v>0</v>
      </c>
      <c r="E667">
        <v>0</v>
      </c>
      <c r="F667">
        <v>320000000</v>
      </c>
      <c r="G667" s="45">
        <v>2.95</v>
      </c>
      <c r="H667">
        <v>3.3647319918335836</v>
      </c>
      <c r="I667">
        <v>0.30319605742048883</v>
      </c>
    </row>
    <row r="668" spans="1:9" x14ac:dyDescent="0.35">
      <c r="A668">
        <v>0</v>
      </c>
      <c r="C668">
        <v>-0.22552947730400111</v>
      </c>
      <c r="D668">
        <v>0</v>
      </c>
      <c r="E668">
        <v>0</v>
      </c>
      <c r="F668">
        <v>3787800000</v>
      </c>
      <c r="G668" s="45">
        <v>2.95</v>
      </c>
      <c r="H668">
        <v>3.0958500844125241</v>
      </c>
      <c r="I668">
        <v>0.2253092817258629</v>
      </c>
    </row>
    <row r="669" spans="1:9" x14ac:dyDescent="0.35">
      <c r="A669">
        <v>0</v>
      </c>
      <c r="C669">
        <v>-1.2686455602074718</v>
      </c>
      <c r="D669">
        <v>0</v>
      </c>
      <c r="E669">
        <v>0</v>
      </c>
      <c r="F669">
        <v>800540000</v>
      </c>
      <c r="G669" s="45">
        <v>2.95</v>
      </c>
      <c r="H669">
        <v>3.0958500844125241</v>
      </c>
      <c r="I669">
        <v>-3.1517051446064911E-2</v>
      </c>
    </row>
    <row r="670" spans="1:9" x14ac:dyDescent="0.35">
      <c r="A670">
        <v>0</v>
      </c>
      <c r="C670">
        <v>-0.23914300480277026</v>
      </c>
      <c r="D670">
        <v>0</v>
      </c>
      <c r="E670">
        <v>0</v>
      </c>
      <c r="F670">
        <v>555000000</v>
      </c>
      <c r="G670" s="45">
        <v>2.95</v>
      </c>
      <c r="H670">
        <v>3.0958500844125241</v>
      </c>
      <c r="I670">
        <v>0.12385164096708581</v>
      </c>
    </row>
    <row r="671" spans="1:9" x14ac:dyDescent="0.35">
      <c r="A671">
        <v>1</v>
      </c>
      <c r="C671">
        <v>-2</v>
      </c>
      <c r="D671">
        <v>0</v>
      </c>
      <c r="E671">
        <v>0</v>
      </c>
      <c r="F671">
        <v>1100000000</v>
      </c>
      <c r="G671" s="45">
        <v>2.95</v>
      </c>
      <c r="H671">
        <v>3.0958500844125241</v>
      </c>
      <c r="I671">
        <v>-8.092190762392612E-2</v>
      </c>
    </row>
    <row r="672" spans="1:9" x14ac:dyDescent="0.35">
      <c r="A672">
        <v>0</v>
      </c>
      <c r="C672">
        <v>-9.7812748955715761E-2</v>
      </c>
      <c r="D672">
        <v>0</v>
      </c>
      <c r="E672">
        <v>0</v>
      </c>
      <c r="F672">
        <v>1271390000</v>
      </c>
      <c r="G672" s="45">
        <v>2.95</v>
      </c>
      <c r="H672">
        <v>3.0958500844125241</v>
      </c>
      <c r="I672">
        <v>8.6001717619175692E-3</v>
      </c>
    </row>
    <row r="673" spans="1:9" x14ac:dyDescent="0.35">
      <c r="A673">
        <v>0</v>
      </c>
      <c r="C673">
        <v>-2.2663984635943761E-2</v>
      </c>
      <c r="D673">
        <v>0</v>
      </c>
      <c r="E673">
        <v>0</v>
      </c>
      <c r="F673">
        <v>1475000000</v>
      </c>
      <c r="G673" s="45">
        <v>2.95</v>
      </c>
      <c r="H673">
        <v>3.0958500844125241</v>
      </c>
      <c r="I673">
        <v>0.13353890837021748</v>
      </c>
    </row>
    <row r="674" spans="1:9" x14ac:dyDescent="0.35">
      <c r="A674">
        <v>0</v>
      </c>
      <c r="C674">
        <v>-5.8858617968247297E-2</v>
      </c>
      <c r="D674">
        <v>0</v>
      </c>
      <c r="E674">
        <v>0</v>
      </c>
      <c r="F674">
        <v>5575000000</v>
      </c>
      <c r="G674" s="45">
        <v>2.95</v>
      </c>
      <c r="H674">
        <v>3.0958500844125241</v>
      </c>
      <c r="I674">
        <v>0.13033376849500614</v>
      </c>
    </row>
    <row r="675" spans="1:9" x14ac:dyDescent="0.35">
      <c r="A675">
        <v>0</v>
      </c>
      <c r="C675">
        <v>-0.66181268553726114</v>
      </c>
      <c r="D675">
        <v>0</v>
      </c>
      <c r="E675">
        <v>0</v>
      </c>
      <c r="F675">
        <v>201960000</v>
      </c>
      <c r="G675" s="45">
        <v>2.95</v>
      </c>
      <c r="H675">
        <v>3.1527645837352773</v>
      </c>
      <c r="I675">
        <v>-6.0480747381381476E-2</v>
      </c>
    </row>
    <row r="676" spans="1:9" x14ac:dyDescent="0.35">
      <c r="A676">
        <v>0</v>
      </c>
      <c r="C676">
        <v>0.6220999927396933</v>
      </c>
      <c r="D676">
        <v>0</v>
      </c>
      <c r="E676">
        <v>0</v>
      </c>
      <c r="F676">
        <v>10000000</v>
      </c>
      <c r="G676" s="45">
        <v>2.95</v>
      </c>
      <c r="H676">
        <v>3.1527645837352773</v>
      </c>
      <c r="I676">
        <v>8.2785370316450071E-2</v>
      </c>
    </row>
    <row r="677" spans="1:9" x14ac:dyDescent="0.35">
      <c r="A677">
        <v>1</v>
      </c>
      <c r="C677">
        <v>-2</v>
      </c>
      <c r="D677">
        <v>0</v>
      </c>
      <c r="E677">
        <v>0</v>
      </c>
      <c r="F677">
        <v>16000000</v>
      </c>
      <c r="G677" s="45">
        <v>2.95</v>
      </c>
      <c r="H677">
        <v>3.1527645837352773</v>
      </c>
      <c r="I677">
        <v>0.19589965240923368</v>
      </c>
    </row>
    <row r="678" spans="1:9" x14ac:dyDescent="0.35">
      <c r="A678">
        <v>1</v>
      </c>
      <c r="C678">
        <v>-2</v>
      </c>
      <c r="D678">
        <v>0</v>
      </c>
      <c r="E678">
        <v>0</v>
      </c>
      <c r="F678">
        <v>676540000</v>
      </c>
      <c r="G678" s="45">
        <v>2.95</v>
      </c>
      <c r="H678">
        <v>3.1527645837352773</v>
      </c>
      <c r="I678">
        <v>0.10720996964786837</v>
      </c>
    </row>
    <row r="679" spans="1:9" x14ac:dyDescent="0.35">
      <c r="A679">
        <v>1</v>
      </c>
      <c r="C679">
        <v>-2</v>
      </c>
      <c r="D679">
        <v>0</v>
      </c>
      <c r="E679">
        <v>0</v>
      </c>
      <c r="F679">
        <v>51000000</v>
      </c>
      <c r="G679" s="45">
        <v>2.95</v>
      </c>
      <c r="H679">
        <v>3.1527645837352773</v>
      </c>
      <c r="I679">
        <v>-4.3648054024500883E-3</v>
      </c>
    </row>
    <row r="680" spans="1:9" x14ac:dyDescent="0.35">
      <c r="A680">
        <v>1</v>
      </c>
      <c r="C680">
        <v>-2</v>
      </c>
      <c r="D680">
        <v>0</v>
      </c>
      <c r="E680">
        <v>0</v>
      </c>
      <c r="F680">
        <v>65580000</v>
      </c>
      <c r="G680" s="45">
        <v>2.95</v>
      </c>
      <c r="H680">
        <v>3.1527645837352773</v>
      </c>
      <c r="I680">
        <v>-0.21467016498923297</v>
      </c>
    </row>
    <row r="681" spans="1:9" x14ac:dyDescent="0.35">
      <c r="A681">
        <v>0</v>
      </c>
      <c r="C681">
        <v>0.84056111826942603</v>
      </c>
      <c r="D681">
        <v>0</v>
      </c>
      <c r="E681">
        <v>0</v>
      </c>
      <c r="F681">
        <v>48800000</v>
      </c>
      <c r="G681" s="45">
        <v>2.95</v>
      </c>
      <c r="H681">
        <v>3.1628767233771686</v>
      </c>
      <c r="I681">
        <v>8.6359830674748214E-2</v>
      </c>
    </row>
    <row r="682" spans="1:9" x14ac:dyDescent="0.35">
      <c r="A682">
        <v>0</v>
      </c>
      <c r="C682">
        <v>0.16136800223497488</v>
      </c>
      <c r="D682">
        <v>0</v>
      </c>
      <c r="E682">
        <v>0</v>
      </c>
      <c r="F682">
        <v>1000000000</v>
      </c>
      <c r="G682" s="45">
        <v>2.95</v>
      </c>
      <c r="H682">
        <v>3.1628767233771686</v>
      </c>
      <c r="I682">
        <v>0.26951294421791627</v>
      </c>
    </row>
    <row r="683" spans="1:9" x14ac:dyDescent="0.35">
      <c r="A683">
        <v>1</v>
      </c>
      <c r="C683">
        <v>-2</v>
      </c>
      <c r="D683">
        <v>0</v>
      </c>
      <c r="E683">
        <v>0</v>
      </c>
      <c r="F683">
        <v>40000000</v>
      </c>
      <c r="G683" s="45">
        <v>2.95</v>
      </c>
      <c r="H683">
        <v>3.0958500844125241</v>
      </c>
      <c r="I683">
        <v>-4.0958607678906384E-2</v>
      </c>
    </row>
    <row r="684" spans="1:9" x14ac:dyDescent="0.35">
      <c r="A684">
        <v>1</v>
      </c>
      <c r="C684">
        <v>-2</v>
      </c>
      <c r="D684">
        <v>0</v>
      </c>
      <c r="E684">
        <v>0</v>
      </c>
      <c r="F684">
        <v>275000000</v>
      </c>
      <c r="G684" s="45">
        <v>2.95</v>
      </c>
      <c r="H684">
        <v>3.0958500844125241</v>
      </c>
      <c r="I684">
        <v>2.9383777685209667E-2</v>
      </c>
    </row>
    <row r="685" spans="1:9" x14ac:dyDescent="0.35">
      <c r="A685">
        <v>0</v>
      </c>
      <c r="C685">
        <v>0.72989379285377709</v>
      </c>
      <c r="D685">
        <v>0</v>
      </c>
      <c r="E685">
        <v>0</v>
      </c>
      <c r="F685">
        <v>41600000</v>
      </c>
      <c r="G685" s="45">
        <v>2.95</v>
      </c>
      <c r="H685">
        <v>3.0958500844125241</v>
      </c>
      <c r="I685">
        <v>1.2837224705172217E-2</v>
      </c>
    </row>
    <row r="686" spans="1:9" x14ac:dyDescent="0.35">
      <c r="A686">
        <v>0</v>
      </c>
      <c r="C686">
        <v>0.3406889680132057</v>
      </c>
      <c r="D686">
        <v>0</v>
      </c>
      <c r="E686">
        <v>0</v>
      </c>
      <c r="F686">
        <v>125500000</v>
      </c>
      <c r="G686" s="45">
        <v>2.95</v>
      </c>
      <c r="H686">
        <v>3.0958500844125241</v>
      </c>
      <c r="I686">
        <v>4.9218022670181653E-2</v>
      </c>
    </row>
    <row r="687" spans="1:9" x14ac:dyDescent="0.35">
      <c r="A687">
        <v>1</v>
      </c>
      <c r="C687">
        <v>-2</v>
      </c>
      <c r="D687">
        <v>0</v>
      </c>
      <c r="E687">
        <v>0</v>
      </c>
      <c r="F687">
        <v>8000000</v>
      </c>
      <c r="G687" s="45">
        <v>2.95</v>
      </c>
      <c r="H687">
        <v>3.0958500844125241</v>
      </c>
      <c r="I687">
        <v>4.5322978786657475E-2</v>
      </c>
    </row>
    <row r="688" spans="1:9" x14ac:dyDescent="0.35">
      <c r="A688">
        <v>0</v>
      </c>
      <c r="C688">
        <v>0.36172783601759284</v>
      </c>
      <c r="D688">
        <v>0</v>
      </c>
      <c r="E688">
        <v>0</v>
      </c>
      <c r="F688">
        <v>40000000</v>
      </c>
      <c r="G688" s="45">
        <v>2.95</v>
      </c>
      <c r="H688">
        <v>3.0958500844125241</v>
      </c>
      <c r="I688">
        <v>-3.6212172654444715E-2</v>
      </c>
    </row>
    <row r="689" spans="1:9" x14ac:dyDescent="0.35">
      <c r="A689">
        <v>1</v>
      </c>
      <c r="C689">
        <v>-2</v>
      </c>
      <c r="D689">
        <v>0</v>
      </c>
      <c r="E689">
        <v>0</v>
      </c>
      <c r="F689">
        <v>75000000</v>
      </c>
      <c r="G689" s="45">
        <v>2.95</v>
      </c>
      <c r="H689">
        <v>3.0958500844125241</v>
      </c>
      <c r="I689">
        <v>3.342375548694973E-2</v>
      </c>
    </row>
    <row r="690" spans="1:9" x14ac:dyDescent="0.35">
      <c r="A690">
        <v>0</v>
      </c>
      <c r="C690">
        <v>7.4923097647764739E-2</v>
      </c>
      <c r="D690">
        <v>0</v>
      </c>
      <c r="E690">
        <v>0</v>
      </c>
      <c r="F690">
        <v>1082000000</v>
      </c>
      <c r="G690" s="45">
        <v>2.95</v>
      </c>
      <c r="H690">
        <v>3.0958500844125241</v>
      </c>
      <c r="I690">
        <v>2.1189299069938092E-2</v>
      </c>
    </row>
    <row r="691" spans="1:9" x14ac:dyDescent="0.35">
      <c r="A691">
        <v>0</v>
      </c>
      <c r="C691">
        <v>0.12677710745562698</v>
      </c>
      <c r="D691">
        <v>0</v>
      </c>
      <c r="E691">
        <v>0</v>
      </c>
      <c r="F691">
        <v>271100000</v>
      </c>
      <c r="G691" s="45">
        <v>2.95</v>
      </c>
      <c r="H691">
        <v>3.0958500844125241</v>
      </c>
      <c r="I691">
        <v>1.2837224705172217E-2</v>
      </c>
    </row>
    <row r="692" spans="1:9" x14ac:dyDescent="0.35">
      <c r="A692">
        <v>0</v>
      </c>
      <c r="C692">
        <v>0.17595556323145492</v>
      </c>
      <c r="D692">
        <v>0</v>
      </c>
      <c r="E692">
        <v>0</v>
      </c>
      <c r="F692">
        <v>800250000</v>
      </c>
      <c r="G692" s="45">
        <v>2.95</v>
      </c>
      <c r="H692">
        <v>3.8138923126200468</v>
      </c>
      <c r="I692">
        <v>0.13987908640123647</v>
      </c>
    </row>
    <row r="693" spans="1:9" x14ac:dyDescent="0.35">
      <c r="A693">
        <v>0</v>
      </c>
      <c r="C693">
        <v>0.16496831948392221</v>
      </c>
      <c r="D693">
        <v>0</v>
      </c>
      <c r="E693">
        <v>0</v>
      </c>
      <c r="F693">
        <v>889150000</v>
      </c>
      <c r="G693" s="45">
        <v>2.95</v>
      </c>
      <c r="H693">
        <v>3.8138923126200468</v>
      </c>
      <c r="I693">
        <v>0.11727129565576427</v>
      </c>
    </row>
    <row r="694" spans="1:9" x14ac:dyDescent="0.35">
      <c r="A694">
        <v>0</v>
      </c>
      <c r="C694">
        <v>0.56926189756940981</v>
      </c>
      <c r="D694">
        <v>0</v>
      </c>
      <c r="E694">
        <v>0</v>
      </c>
      <c r="F694">
        <v>381500000</v>
      </c>
      <c r="G694" s="45">
        <v>2.95</v>
      </c>
      <c r="H694">
        <v>3.8138923126200468</v>
      </c>
      <c r="I694">
        <v>-4.5757490560675115E-2</v>
      </c>
    </row>
    <row r="695" spans="1:9" x14ac:dyDescent="0.35">
      <c r="A695">
        <v>0</v>
      </c>
      <c r="C695">
        <v>-0.24743312956303581</v>
      </c>
      <c r="D695">
        <v>0</v>
      </c>
      <c r="E695">
        <v>0</v>
      </c>
      <c r="F695">
        <v>265170000</v>
      </c>
      <c r="G695" s="45">
        <v>2.95</v>
      </c>
      <c r="H695">
        <v>3.4988083133366845</v>
      </c>
      <c r="I695">
        <v>2.9383777685209667E-2</v>
      </c>
    </row>
    <row r="696" spans="1:9" x14ac:dyDescent="0.35">
      <c r="A696">
        <v>0</v>
      </c>
      <c r="C696">
        <v>0.23942674605560585</v>
      </c>
      <c r="D696">
        <v>0</v>
      </c>
      <c r="E696">
        <v>0</v>
      </c>
      <c r="F696">
        <v>2996240000</v>
      </c>
      <c r="G696" s="45">
        <v>2.95</v>
      </c>
      <c r="H696">
        <v>3.5168755324519045</v>
      </c>
      <c r="I696">
        <v>0.26481782300953643</v>
      </c>
    </row>
    <row r="697" spans="1:9" x14ac:dyDescent="0.35">
      <c r="A697">
        <v>0</v>
      </c>
      <c r="C697">
        <v>0</v>
      </c>
      <c r="D697">
        <v>0</v>
      </c>
      <c r="E697">
        <v>0</v>
      </c>
      <c r="F697">
        <v>200000000</v>
      </c>
      <c r="G697" s="45">
        <v>2.95</v>
      </c>
      <c r="H697">
        <v>3.5168755324519045</v>
      </c>
      <c r="I697">
        <v>0.14301480025409513</v>
      </c>
    </row>
    <row r="698" spans="1:9" x14ac:dyDescent="0.35">
      <c r="A698">
        <v>0</v>
      </c>
      <c r="C698">
        <v>-5.9271633089329853E-2</v>
      </c>
      <c r="D698">
        <v>0</v>
      </c>
      <c r="E698">
        <v>0</v>
      </c>
      <c r="F698">
        <v>235000000</v>
      </c>
      <c r="G698" s="45">
        <v>2.95</v>
      </c>
      <c r="H698">
        <v>3.5168755324519045</v>
      </c>
      <c r="I698">
        <v>0.11058971029924898</v>
      </c>
    </row>
    <row r="699" spans="1:9" x14ac:dyDescent="0.35">
      <c r="A699">
        <v>0</v>
      </c>
      <c r="C699">
        <v>-0.15519461605153834</v>
      </c>
      <c r="D699">
        <v>0</v>
      </c>
      <c r="E699">
        <v>0</v>
      </c>
      <c r="F699">
        <v>1092150000</v>
      </c>
      <c r="G699" s="45">
        <v>2.95</v>
      </c>
      <c r="H699">
        <v>3.5168755324519045</v>
      </c>
      <c r="I699">
        <v>0.18469143081759881</v>
      </c>
    </row>
    <row r="700" spans="1:9" x14ac:dyDescent="0.35">
      <c r="A700">
        <v>0</v>
      </c>
      <c r="C700">
        <v>2.4976673383919339E-2</v>
      </c>
      <c r="D700">
        <v>0</v>
      </c>
      <c r="E700">
        <v>0</v>
      </c>
      <c r="F700">
        <v>2652000000</v>
      </c>
      <c r="G700" s="45">
        <v>2.95</v>
      </c>
      <c r="H700">
        <v>3.3879249110011078</v>
      </c>
      <c r="I700">
        <v>-0.11918640771920865</v>
      </c>
    </row>
    <row r="701" spans="1:9" x14ac:dyDescent="0.35">
      <c r="A701">
        <v>0</v>
      </c>
      <c r="C701">
        <v>0.34233982334284546</v>
      </c>
      <c r="D701">
        <v>0</v>
      </c>
      <c r="E701">
        <v>0</v>
      </c>
      <c r="F701">
        <v>3955300000</v>
      </c>
      <c r="G701" s="45">
        <v>2.95</v>
      </c>
      <c r="H701">
        <v>3.3879249110011078</v>
      </c>
      <c r="I701">
        <v>2.9383777685209667E-2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490"/>
  <sheetViews>
    <sheetView topLeftCell="I436" workbookViewId="0">
      <selection activeCell="AM1" sqref="AM1:AM1048576"/>
    </sheetView>
  </sheetViews>
  <sheetFormatPr defaultRowHeight="14.5" x14ac:dyDescent="0.35"/>
  <cols>
    <col min="1" max="1" width="26.81640625" bestFit="1" customWidth="1"/>
    <col min="2" max="2" width="0" hidden="1" customWidth="1"/>
    <col min="3" max="3" width="14.1796875" bestFit="1" customWidth="1"/>
    <col min="4" max="4" width="16.1796875" bestFit="1" customWidth="1"/>
    <col min="5" max="5" width="16.54296875" bestFit="1" customWidth="1"/>
    <col min="6" max="6" width="24.54296875" bestFit="1" customWidth="1"/>
    <col min="7" max="7" width="16.26953125" bestFit="1" customWidth="1"/>
    <col min="8" max="9" width="12" bestFit="1" customWidth="1"/>
    <col min="10" max="10" width="18.7265625" bestFit="1" customWidth="1"/>
    <col min="11" max="11" width="10.1796875" bestFit="1" customWidth="1"/>
    <col min="12" max="12" width="12.1796875" customWidth="1"/>
    <col min="13" max="13" width="13.26953125" customWidth="1"/>
    <col min="14" max="14" width="13.26953125" style="137" customWidth="1"/>
    <col min="20" max="20" width="9.1796875" style="137"/>
    <col min="21" max="21" width="14" bestFit="1" customWidth="1"/>
    <col min="30" max="30" width="9.1796875" style="137"/>
    <col min="32" max="32" width="9.1796875" style="137"/>
    <col min="34" max="34" width="9.1796875" style="137"/>
    <col min="38" max="38" width="9.1796875" style="137"/>
  </cols>
  <sheetData>
    <row r="1" spans="1:55" s="35" customFormat="1" x14ac:dyDescent="0.35">
      <c r="A1" s="5" t="s">
        <v>9</v>
      </c>
      <c r="B1" s="5" t="s">
        <v>10</v>
      </c>
      <c r="C1" s="5" t="s">
        <v>11</v>
      </c>
      <c r="D1" s="5" t="s">
        <v>13</v>
      </c>
      <c r="E1" s="5" t="s">
        <v>14</v>
      </c>
      <c r="F1" s="5" t="s">
        <v>1372</v>
      </c>
      <c r="G1" s="5" t="s">
        <v>17</v>
      </c>
      <c r="H1" s="5" t="s">
        <v>1334</v>
      </c>
      <c r="I1" s="5" t="s">
        <v>18</v>
      </c>
      <c r="J1" s="5" t="s">
        <v>19</v>
      </c>
      <c r="K1" s="5" t="s">
        <v>20</v>
      </c>
      <c r="L1" s="5" t="s">
        <v>22</v>
      </c>
      <c r="M1" s="5" t="s">
        <v>23</v>
      </c>
      <c r="N1" s="5" t="s">
        <v>1395</v>
      </c>
      <c r="O1" s="173" t="s">
        <v>24</v>
      </c>
      <c r="P1" s="173" t="s">
        <v>1327</v>
      </c>
      <c r="Q1" s="173" t="s">
        <v>26</v>
      </c>
      <c r="R1" s="173" t="s">
        <v>1326</v>
      </c>
      <c r="S1" s="27" t="s">
        <v>27</v>
      </c>
      <c r="T1" s="27" t="s">
        <v>1380</v>
      </c>
      <c r="U1" s="173" t="s">
        <v>29</v>
      </c>
      <c r="V1" s="173" t="s">
        <v>30</v>
      </c>
      <c r="W1" s="173" t="s">
        <v>31</v>
      </c>
      <c r="X1" s="173" t="s">
        <v>1350</v>
      </c>
      <c r="Y1" s="173" t="s">
        <v>33</v>
      </c>
      <c r="Z1" s="173" t="s">
        <v>1351</v>
      </c>
      <c r="AA1" s="173" t="s">
        <v>34</v>
      </c>
      <c r="AB1" s="173" t="s">
        <v>1329</v>
      </c>
      <c r="AC1" s="173" t="s">
        <v>35</v>
      </c>
      <c r="AD1" s="173" t="s">
        <v>1384</v>
      </c>
      <c r="AE1" s="174" t="s">
        <v>36</v>
      </c>
      <c r="AF1" s="174" t="s">
        <v>1377</v>
      </c>
      <c r="AG1" s="173" t="s">
        <v>37</v>
      </c>
      <c r="AH1" s="173" t="s">
        <v>1387</v>
      </c>
      <c r="AI1" s="173" t="s">
        <v>38</v>
      </c>
      <c r="AJ1" s="173" t="s">
        <v>1331</v>
      </c>
      <c r="AK1" s="173" t="s">
        <v>40</v>
      </c>
      <c r="AL1" s="173" t="s">
        <v>1392</v>
      </c>
      <c r="AM1" s="173" t="s">
        <v>1328</v>
      </c>
      <c r="AN1" s="173" t="s">
        <v>45</v>
      </c>
      <c r="AO1" s="173" t="s">
        <v>59</v>
      </c>
      <c r="AP1" s="173" t="s">
        <v>1</v>
      </c>
      <c r="AQ1" s="173" t="s">
        <v>3</v>
      </c>
      <c r="AR1" s="173" t="s">
        <v>1335</v>
      </c>
      <c r="AS1" s="173" t="s">
        <v>5</v>
      </c>
      <c r="AT1" s="173" t="s">
        <v>163</v>
      </c>
      <c r="AU1" s="173" t="s">
        <v>6</v>
      </c>
      <c r="AV1" s="173" t="s">
        <v>1336</v>
      </c>
      <c r="AW1" s="173" t="s">
        <v>434</v>
      </c>
      <c r="AX1" s="173" t="s">
        <v>447</v>
      </c>
      <c r="AY1" s="173" t="s">
        <v>7</v>
      </c>
      <c r="AZ1" s="173" t="s">
        <v>954</v>
      </c>
      <c r="BA1" s="173" t="s">
        <v>489</v>
      </c>
      <c r="BB1" s="173" t="s">
        <v>497</v>
      </c>
      <c r="BC1" s="173" t="s">
        <v>419</v>
      </c>
    </row>
    <row r="2" spans="1:55" s="35" customFormat="1" x14ac:dyDescent="0.35">
      <c r="A2" s="36">
        <v>30896</v>
      </c>
      <c r="B2" s="35" t="s">
        <v>315</v>
      </c>
      <c r="C2" s="35" t="s">
        <v>45</v>
      </c>
      <c r="D2" s="35" t="s">
        <v>45</v>
      </c>
      <c r="E2" s="35" t="s">
        <v>102</v>
      </c>
      <c r="F2" s="139">
        <f t="shared" ref="F2:F65" si="0">IF(E2="domestic",0,1)</f>
        <v>0</v>
      </c>
      <c r="G2" s="35">
        <v>465000000</v>
      </c>
      <c r="H2" s="139">
        <f t="shared" ref="H2:H65" si="1">LOG(G2)</f>
        <v>8.6674529528899544</v>
      </c>
      <c r="I2" s="35">
        <v>465000000</v>
      </c>
      <c r="J2" s="35">
        <v>0</v>
      </c>
      <c r="K2" s="36">
        <v>31671</v>
      </c>
      <c r="L2" s="35">
        <v>700000000</v>
      </c>
      <c r="M2" s="21">
        <f t="shared" ref="M2:M65" si="2">YEARFRAC(A2,K2,3)</f>
        <v>2.1232876712328768</v>
      </c>
      <c r="N2" s="21">
        <f>IF(M2=0,0,LOG(M2))</f>
        <v>0.3270088380498356</v>
      </c>
      <c r="O2" s="35">
        <v>0</v>
      </c>
      <c r="P2" s="35">
        <f t="shared" ref="P2:P65" si="3">LOG(1+O2)</f>
        <v>0</v>
      </c>
      <c r="Q2" s="35">
        <v>177</v>
      </c>
      <c r="R2" s="35">
        <f t="shared" ref="R2:R65" si="4">LOG(1+Q2)</f>
        <v>2.2504200023088941</v>
      </c>
      <c r="S2" s="45">
        <v>2.95</v>
      </c>
      <c r="T2" s="45">
        <f>LOG(S2)</f>
        <v>0.46982201597816303</v>
      </c>
      <c r="U2" s="175">
        <f t="shared" ref="U2:U65" si="5">(L2/G2)-1</f>
        <v>0.5053763440860215</v>
      </c>
      <c r="V2" s="48">
        <f t="shared" ref="V2:V65" si="6">IF(U2=-1,LOG(0.1),LOG(1+U2))</f>
        <v>0.17764508712430291</v>
      </c>
      <c r="W2" s="35">
        <v>1171.498</v>
      </c>
      <c r="X2" s="35">
        <f t="shared" ref="X2:X65" si="7">LOG(W2)</f>
        <v>3.0687415514991745</v>
      </c>
      <c r="Y2" s="35">
        <v>3386.1060000000002</v>
      </c>
      <c r="Z2" s="35">
        <f t="shared" ref="Z2:Z65" si="8">LOG(Y2)</f>
        <v>3.5297005493117593</v>
      </c>
      <c r="AA2" s="37">
        <v>0</v>
      </c>
      <c r="AB2" s="37">
        <f t="shared" ref="AB2:AB65" si="9">IF(AA2=0,0,LOG(1+AA2))</f>
        <v>0</v>
      </c>
      <c r="AC2" s="35">
        <v>85</v>
      </c>
      <c r="AD2" s="35">
        <f>LOG(AC2)</f>
        <v>1.9294189257142926</v>
      </c>
      <c r="AE2" s="48">
        <v>24.1</v>
      </c>
      <c r="AF2" s="48">
        <f>LOG(AE2)</f>
        <v>1.3820170425748683</v>
      </c>
      <c r="AG2" s="43">
        <v>36.728532427451597</v>
      </c>
      <c r="AH2" s="43">
        <f>LOG(AG2)</f>
        <v>1.5650035754622837</v>
      </c>
      <c r="AI2" s="39">
        <v>0.51</v>
      </c>
      <c r="AJ2" s="48">
        <f t="shared" ref="AJ2:AJ65" si="10">LOG(1+AI2)</f>
        <v>0.17897694729316943</v>
      </c>
      <c r="AK2" s="35">
        <v>0</v>
      </c>
      <c r="AL2" s="35">
        <f>IF(AK2=0,0,LOG(AK2))</f>
        <v>0</v>
      </c>
      <c r="AM2" s="35">
        <f t="shared" ref="AM2:AM65" si="11">IF(V2=-1,1,0)</f>
        <v>0</v>
      </c>
      <c r="AN2" s="35">
        <f t="shared" ref="AN2:AN65" si="12">IF($C2="US",1,0)</f>
        <v>1</v>
      </c>
      <c r="AO2" s="35">
        <f t="shared" ref="AO2:AO65" si="13">IF($C2="UK",1,0)</f>
        <v>0</v>
      </c>
      <c r="AP2" s="35">
        <f t="shared" ref="AP2:AP65" si="14">IF($C2="Norway",1,0)</f>
        <v>0</v>
      </c>
      <c r="AQ2" s="35">
        <f t="shared" ref="AQ2:AQ65" si="15">IF($C2="Denmark",1,0)</f>
        <v>0</v>
      </c>
      <c r="AR2" s="35">
        <f t="shared" ref="AR2:AR65" si="16">IF($C2="Sweden",1,0)</f>
        <v>0</v>
      </c>
      <c r="AS2" s="35">
        <f t="shared" ref="AS2:AS65" si="17">IF($C2="Netherlands",1,0)</f>
        <v>0</v>
      </c>
      <c r="AT2" s="35">
        <f t="shared" ref="AT2:AT65" si="18">IF($C2="France",1,0)</f>
        <v>0</v>
      </c>
      <c r="AU2" s="35">
        <f t="shared" ref="AU2:AU65" si="19">IF($C2="Belgium",1,0)</f>
        <v>0</v>
      </c>
      <c r="AV2" s="35">
        <f t="shared" ref="AV2:AV65" si="20">IF($C2="Germany",1,0)</f>
        <v>0</v>
      </c>
      <c r="AW2" s="35">
        <f t="shared" ref="AW2:AW65" si="21">IF($C2="Italy",1,0)</f>
        <v>0</v>
      </c>
      <c r="AX2" s="35">
        <f t="shared" ref="AX2:AX65" si="22">IF($C2="Spain",1,0)</f>
        <v>0</v>
      </c>
      <c r="AY2" s="35">
        <f t="shared" ref="AY2:AY65" si="23">IF($C2="Luxembourg",1,0)</f>
        <v>0</v>
      </c>
      <c r="AZ2" s="35">
        <f t="shared" ref="AZ2:AZ65" si="24">IF($C2="Portugal",1,0)</f>
        <v>0</v>
      </c>
      <c r="BA2" s="35">
        <f t="shared" ref="BA2:BA65" si="25">IF($C2="Switzerland",1,0)</f>
        <v>0</v>
      </c>
      <c r="BB2" s="35">
        <f t="shared" ref="BB2:BB65" si="26">IF($C2="Ireland",1,0)</f>
        <v>0</v>
      </c>
      <c r="BC2" s="35">
        <f t="shared" ref="BC2:BC65" si="27">IF($C2="Finland",1,0)</f>
        <v>0</v>
      </c>
    </row>
    <row r="3" spans="1:55" s="35" customFormat="1" x14ac:dyDescent="0.35">
      <c r="A3" s="36">
        <v>31020</v>
      </c>
      <c r="B3" s="35" t="s">
        <v>317</v>
      </c>
      <c r="C3" s="35" t="s">
        <v>45</v>
      </c>
      <c r="D3" s="35" t="s">
        <v>45</v>
      </c>
      <c r="E3" s="35" t="s">
        <v>102</v>
      </c>
      <c r="F3" s="139">
        <f t="shared" si="0"/>
        <v>0</v>
      </c>
      <c r="G3" s="35">
        <v>1012000000</v>
      </c>
      <c r="H3" s="139">
        <f t="shared" si="1"/>
        <v>9.0051805125037809</v>
      </c>
      <c r="I3" s="35">
        <v>842000000</v>
      </c>
      <c r="J3" s="35">
        <v>170000000</v>
      </c>
      <c r="K3" s="36">
        <v>31707</v>
      </c>
      <c r="L3" s="35">
        <v>925000000</v>
      </c>
      <c r="M3" s="21">
        <f t="shared" si="2"/>
        <v>1.8821917808219177</v>
      </c>
      <c r="N3" s="21">
        <f t="shared" ref="N3:N66" si="28">IF(M3=0,0,LOG(M3))</f>
        <v>0.27466387260307573</v>
      </c>
      <c r="O3" s="35">
        <v>0</v>
      </c>
      <c r="P3" s="35">
        <f t="shared" si="3"/>
        <v>0</v>
      </c>
      <c r="Q3" s="35">
        <v>59</v>
      </c>
      <c r="R3" s="35">
        <f t="shared" si="4"/>
        <v>1.7781512503836436</v>
      </c>
      <c r="S3" s="45">
        <v>2.95</v>
      </c>
      <c r="T3" s="45">
        <f t="shared" ref="T3:T66" si="29">LOG(S3)</f>
        <v>0.46982201597816303</v>
      </c>
      <c r="U3" s="175">
        <f t="shared" si="5"/>
        <v>-8.5968379446640264E-2</v>
      </c>
      <c r="V3" s="48">
        <f t="shared" si="6"/>
        <v>-3.9038779764747678E-2</v>
      </c>
      <c r="W3" s="35">
        <v>1171.498</v>
      </c>
      <c r="X3" s="35">
        <f t="shared" si="7"/>
        <v>3.0687415514991745</v>
      </c>
      <c r="Y3" s="35">
        <v>3386.1060000000002</v>
      </c>
      <c r="Z3" s="35">
        <f t="shared" si="8"/>
        <v>3.5297005493117593</v>
      </c>
      <c r="AA3" s="37">
        <v>0</v>
      </c>
      <c r="AB3" s="37">
        <f t="shared" si="9"/>
        <v>0</v>
      </c>
      <c r="AC3" s="35">
        <v>85</v>
      </c>
      <c r="AD3" s="35">
        <f t="shared" ref="AD3:AD66" si="30">LOG(AC3)</f>
        <v>1.9294189257142926</v>
      </c>
      <c r="AE3" s="48">
        <v>24.1</v>
      </c>
      <c r="AF3" s="48">
        <f t="shared" ref="AF3:AF66" si="31">LOG(AE3)</f>
        <v>1.3820170425748683</v>
      </c>
      <c r="AG3" s="43">
        <v>36.728532427451597</v>
      </c>
      <c r="AH3" s="43">
        <f t="shared" ref="AH3:AH66" si="32">LOG(AG3)</f>
        <v>1.5650035754622837</v>
      </c>
      <c r="AI3" s="39">
        <v>-0.22</v>
      </c>
      <c r="AJ3" s="48">
        <f t="shared" si="10"/>
        <v>-0.10790539730951958</v>
      </c>
      <c r="AK3" s="35">
        <v>22</v>
      </c>
      <c r="AL3" s="35">
        <f t="shared" ref="AL3:AL66" si="33">IF(AK3=0,0,LOG(AK3))</f>
        <v>1.3424226808222062</v>
      </c>
      <c r="AM3" s="35">
        <f t="shared" si="11"/>
        <v>0</v>
      </c>
      <c r="AN3" s="35">
        <f t="shared" si="12"/>
        <v>1</v>
      </c>
      <c r="AO3" s="35">
        <f t="shared" si="13"/>
        <v>0</v>
      </c>
      <c r="AP3" s="35">
        <f t="shared" si="14"/>
        <v>0</v>
      </c>
      <c r="AQ3" s="35">
        <f t="shared" si="15"/>
        <v>0</v>
      </c>
      <c r="AR3" s="35">
        <f t="shared" si="16"/>
        <v>0</v>
      </c>
      <c r="AS3" s="35">
        <f t="shared" si="17"/>
        <v>0</v>
      </c>
      <c r="AT3" s="35">
        <f t="shared" si="18"/>
        <v>0</v>
      </c>
      <c r="AU3" s="35">
        <f t="shared" si="19"/>
        <v>0</v>
      </c>
      <c r="AV3" s="35">
        <f t="shared" si="20"/>
        <v>0</v>
      </c>
      <c r="AW3" s="35">
        <f t="shared" si="21"/>
        <v>0</v>
      </c>
      <c r="AX3" s="35">
        <f t="shared" si="22"/>
        <v>0</v>
      </c>
      <c r="AY3" s="35">
        <f t="shared" si="23"/>
        <v>0</v>
      </c>
      <c r="AZ3" s="35">
        <f t="shared" si="24"/>
        <v>0</v>
      </c>
      <c r="BA3" s="35">
        <f t="shared" si="25"/>
        <v>0</v>
      </c>
      <c r="BB3" s="35">
        <f t="shared" si="26"/>
        <v>0</v>
      </c>
      <c r="BC3" s="35">
        <f t="shared" si="27"/>
        <v>0</v>
      </c>
    </row>
    <row r="4" spans="1:55" s="35" customFormat="1" x14ac:dyDescent="0.35">
      <c r="A4" s="36">
        <v>31022</v>
      </c>
      <c r="B4" s="35" t="s">
        <v>318</v>
      </c>
      <c r="C4" s="35" t="s">
        <v>45</v>
      </c>
      <c r="D4" s="35" t="s">
        <v>45</v>
      </c>
      <c r="E4" s="35" t="s">
        <v>102</v>
      </c>
      <c r="F4" s="139">
        <f t="shared" si="0"/>
        <v>0</v>
      </c>
      <c r="G4" s="35">
        <v>580000000</v>
      </c>
      <c r="H4" s="139">
        <f t="shared" si="1"/>
        <v>8.7634279935629369</v>
      </c>
      <c r="I4" s="35">
        <v>580000000</v>
      </c>
      <c r="J4" s="35">
        <v>0</v>
      </c>
      <c r="K4" s="36">
        <v>32179</v>
      </c>
      <c r="L4" s="35">
        <v>600000000</v>
      </c>
      <c r="M4" s="21">
        <f t="shared" si="2"/>
        <v>3.1698630136986301</v>
      </c>
      <c r="N4" s="21">
        <f t="shared" si="28"/>
        <v>0.50104049449527488</v>
      </c>
      <c r="O4" s="35">
        <v>0</v>
      </c>
      <c r="P4" s="35">
        <f t="shared" si="3"/>
        <v>0</v>
      </c>
      <c r="Q4" s="35">
        <v>77</v>
      </c>
      <c r="R4" s="35">
        <f t="shared" si="4"/>
        <v>1.8920946026904804</v>
      </c>
      <c r="S4" s="45">
        <v>2.95</v>
      </c>
      <c r="T4" s="45">
        <f t="shared" si="29"/>
        <v>0.46982201597816303</v>
      </c>
      <c r="U4" s="175">
        <f t="shared" si="5"/>
        <v>3.4482758620689724E-2</v>
      </c>
      <c r="V4" s="48">
        <f t="shared" si="6"/>
        <v>1.4723256820706378E-2</v>
      </c>
      <c r="W4" s="35">
        <v>1171.498</v>
      </c>
      <c r="X4" s="35">
        <f t="shared" si="7"/>
        <v>3.0687415514991745</v>
      </c>
      <c r="Y4" s="35">
        <v>3386.1060000000002</v>
      </c>
      <c r="Z4" s="35">
        <f t="shared" si="8"/>
        <v>3.5297005493117593</v>
      </c>
      <c r="AA4" s="37">
        <v>0</v>
      </c>
      <c r="AB4" s="37">
        <f t="shared" si="9"/>
        <v>0</v>
      </c>
      <c r="AC4" s="35">
        <v>85</v>
      </c>
      <c r="AD4" s="35">
        <f t="shared" si="30"/>
        <v>1.9294189257142926</v>
      </c>
      <c r="AE4" s="48">
        <v>24.1</v>
      </c>
      <c r="AF4" s="48">
        <f t="shared" si="31"/>
        <v>1.3820170425748683</v>
      </c>
      <c r="AG4" s="43">
        <v>36.728532427451597</v>
      </c>
      <c r="AH4" s="43">
        <f t="shared" si="32"/>
        <v>1.5650035754622837</v>
      </c>
      <c r="AI4" s="39">
        <v>-0.02</v>
      </c>
      <c r="AJ4" s="48">
        <f t="shared" si="10"/>
        <v>-8.7739243075051505E-3</v>
      </c>
      <c r="AK4" s="35">
        <v>20</v>
      </c>
      <c r="AL4" s="35">
        <f t="shared" si="33"/>
        <v>1.3010299956639813</v>
      </c>
      <c r="AM4" s="35">
        <f t="shared" si="11"/>
        <v>0</v>
      </c>
      <c r="AN4" s="35">
        <f t="shared" si="12"/>
        <v>1</v>
      </c>
      <c r="AO4" s="35">
        <f t="shared" si="13"/>
        <v>0</v>
      </c>
      <c r="AP4" s="35">
        <f t="shared" si="14"/>
        <v>0</v>
      </c>
      <c r="AQ4" s="35">
        <f t="shared" si="15"/>
        <v>0</v>
      </c>
      <c r="AR4" s="35">
        <f t="shared" si="16"/>
        <v>0</v>
      </c>
      <c r="AS4" s="35">
        <f t="shared" si="17"/>
        <v>0</v>
      </c>
      <c r="AT4" s="35">
        <f t="shared" si="18"/>
        <v>0</v>
      </c>
      <c r="AU4" s="35">
        <f t="shared" si="19"/>
        <v>0</v>
      </c>
      <c r="AV4" s="35">
        <f t="shared" si="20"/>
        <v>0</v>
      </c>
      <c r="AW4" s="35">
        <f t="shared" si="21"/>
        <v>0</v>
      </c>
      <c r="AX4" s="35">
        <f t="shared" si="22"/>
        <v>0</v>
      </c>
      <c r="AY4" s="35">
        <f t="shared" si="23"/>
        <v>0</v>
      </c>
      <c r="AZ4" s="35">
        <f t="shared" si="24"/>
        <v>0</v>
      </c>
      <c r="BA4" s="35">
        <f t="shared" si="25"/>
        <v>0</v>
      </c>
      <c r="BB4" s="35">
        <f t="shared" si="26"/>
        <v>0</v>
      </c>
      <c r="BC4" s="35">
        <f t="shared" si="27"/>
        <v>0</v>
      </c>
    </row>
    <row r="5" spans="1:55" s="35" customFormat="1" x14ac:dyDescent="0.35">
      <c r="A5" s="36">
        <v>32386</v>
      </c>
      <c r="B5" s="90" t="s">
        <v>872</v>
      </c>
      <c r="C5" s="35" t="s">
        <v>4</v>
      </c>
      <c r="D5" s="35" t="s">
        <v>45</v>
      </c>
      <c r="E5" s="35" t="s">
        <v>64</v>
      </c>
      <c r="F5" s="139">
        <f t="shared" si="0"/>
        <v>1</v>
      </c>
      <c r="G5" s="35">
        <v>7200000</v>
      </c>
      <c r="H5" s="139">
        <f t="shared" si="1"/>
        <v>6.8573324964312681</v>
      </c>
      <c r="I5" s="35">
        <f t="shared" ref="I5:I10" si="34">G5</f>
        <v>7200000</v>
      </c>
      <c r="J5" s="35">
        <v>0</v>
      </c>
      <c r="K5" s="36">
        <v>33056</v>
      </c>
      <c r="L5" s="35">
        <v>55000000</v>
      </c>
      <c r="M5" s="21">
        <f t="shared" si="2"/>
        <v>1.8356164383561644</v>
      </c>
      <c r="N5" s="21">
        <f t="shared" si="28"/>
        <v>0.26378193824435175</v>
      </c>
      <c r="O5" s="35">
        <v>6635.86</v>
      </c>
      <c r="P5" s="35">
        <f t="shared" si="3"/>
        <v>3.8219626565950726</v>
      </c>
      <c r="Q5" s="35">
        <v>0</v>
      </c>
      <c r="R5" s="35">
        <f t="shared" si="4"/>
        <v>0</v>
      </c>
      <c r="S5" s="45">
        <v>3.03</v>
      </c>
      <c r="T5" s="45">
        <f t="shared" si="29"/>
        <v>0.48144262850230496</v>
      </c>
      <c r="U5" s="175">
        <f t="shared" si="5"/>
        <v>6.6388888888888893</v>
      </c>
      <c r="V5" s="48">
        <f t="shared" si="6"/>
        <v>0.88303019306297537</v>
      </c>
      <c r="W5" s="35">
        <v>2387.5432525951551</v>
      </c>
      <c r="X5" s="35">
        <f t="shared" si="7"/>
        <v>3.3779512479807074</v>
      </c>
      <c r="Y5" s="35">
        <v>5847.7508650519039</v>
      </c>
      <c r="Z5" s="35">
        <f t="shared" si="8"/>
        <v>3.7669888618571257</v>
      </c>
      <c r="AA5" s="37">
        <v>808</v>
      </c>
      <c r="AB5" s="37">
        <f t="shared" si="9"/>
        <v>2.9079485216122722</v>
      </c>
      <c r="AC5" s="35">
        <v>70</v>
      </c>
      <c r="AD5" s="35">
        <f t="shared" si="30"/>
        <v>1.8450980400142569</v>
      </c>
      <c r="AE5" s="48">
        <v>48.8</v>
      </c>
      <c r="AF5" s="48">
        <f t="shared" si="31"/>
        <v>1.6884198220027107</v>
      </c>
      <c r="AG5" s="43">
        <v>40.994444916013499</v>
      </c>
      <c r="AH5" s="43">
        <f t="shared" si="32"/>
        <v>1.61272501023744</v>
      </c>
      <c r="AI5" s="39">
        <v>-0.14000000000000001</v>
      </c>
      <c r="AJ5" s="48">
        <f t="shared" si="10"/>
        <v>-6.5501548756432285E-2</v>
      </c>
      <c r="AK5" s="35">
        <v>75</v>
      </c>
      <c r="AL5" s="35">
        <f t="shared" si="33"/>
        <v>1.8750612633917001</v>
      </c>
      <c r="AM5" s="35">
        <f t="shared" si="11"/>
        <v>0</v>
      </c>
      <c r="AN5" s="35">
        <f t="shared" si="12"/>
        <v>0</v>
      </c>
      <c r="AO5" s="35">
        <f t="shared" si="13"/>
        <v>0</v>
      </c>
      <c r="AP5" s="35">
        <f t="shared" si="14"/>
        <v>0</v>
      </c>
      <c r="AQ5" s="35">
        <f t="shared" si="15"/>
        <v>0</v>
      </c>
      <c r="AR5" s="35">
        <f t="shared" si="16"/>
        <v>1</v>
      </c>
      <c r="AS5" s="35">
        <f t="shared" si="17"/>
        <v>0</v>
      </c>
      <c r="AT5" s="35">
        <f t="shared" si="18"/>
        <v>0</v>
      </c>
      <c r="AU5" s="35">
        <f t="shared" si="19"/>
        <v>0</v>
      </c>
      <c r="AV5" s="35">
        <f t="shared" si="20"/>
        <v>0</v>
      </c>
      <c r="AW5" s="35">
        <f t="shared" si="21"/>
        <v>0</v>
      </c>
      <c r="AX5" s="35">
        <f t="shared" si="22"/>
        <v>0</v>
      </c>
      <c r="AY5" s="35">
        <f t="shared" si="23"/>
        <v>0</v>
      </c>
      <c r="AZ5" s="35">
        <f t="shared" si="24"/>
        <v>0</v>
      </c>
      <c r="BA5" s="35">
        <f t="shared" si="25"/>
        <v>0</v>
      </c>
      <c r="BB5" s="35">
        <f t="shared" si="26"/>
        <v>0</v>
      </c>
      <c r="BC5" s="35">
        <f t="shared" si="27"/>
        <v>0</v>
      </c>
    </row>
    <row r="6" spans="1:55" s="35" customFormat="1" x14ac:dyDescent="0.35">
      <c r="A6" s="36">
        <v>33785</v>
      </c>
      <c r="B6" s="35" t="s">
        <v>1273</v>
      </c>
      <c r="C6" s="35" t="s">
        <v>45</v>
      </c>
      <c r="D6" s="35" t="s">
        <v>602</v>
      </c>
      <c r="E6" s="35" t="s">
        <v>47</v>
      </c>
      <c r="F6" s="139">
        <f t="shared" si="0"/>
        <v>0</v>
      </c>
      <c r="G6" s="35">
        <v>16000000</v>
      </c>
      <c r="H6" s="139">
        <f t="shared" si="1"/>
        <v>7.204119982655925</v>
      </c>
      <c r="I6" s="35">
        <f t="shared" si="34"/>
        <v>16000000</v>
      </c>
      <c r="J6" s="35">
        <v>0</v>
      </c>
      <c r="K6" s="36">
        <v>35135</v>
      </c>
      <c r="L6" s="35">
        <v>0</v>
      </c>
      <c r="M6" s="21">
        <f t="shared" si="2"/>
        <v>3.6986301369863015</v>
      </c>
      <c r="N6" s="21">
        <f t="shared" si="28"/>
        <v>0.56804090403853147</v>
      </c>
      <c r="O6" s="35">
        <v>0</v>
      </c>
      <c r="P6" s="35">
        <f t="shared" si="3"/>
        <v>0</v>
      </c>
      <c r="Q6" s="35">
        <v>55</v>
      </c>
      <c r="R6" s="35">
        <f t="shared" si="4"/>
        <v>1.7481880270062005</v>
      </c>
      <c r="S6" s="45">
        <v>2.95</v>
      </c>
      <c r="T6" s="45">
        <f t="shared" si="29"/>
        <v>0.46982201597816303</v>
      </c>
      <c r="U6" s="175">
        <f t="shared" si="5"/>
        <v>-1</v>
      </c>
      <c r="V6" s="48">
        <f t="shared" si="6"/>
        <v>-1</v>
      </c>
      <c r="W6" s="35">
        <v>1421.558</v>
      </c>
      <c r="X6" s="35">
        <f t="shared" si="7"/>
        <v>3.1527645837352773</v>
      </c>
      <c r="Y6" s="35">
        <v>3476.3409999999999</v>
      </c>
      <c r="Z6" s="35">
        <f t="shared" si="8"/>
        <v>3.5411223705253856</v>
      </c>
      <c r="AA6" s="35">
        <v>0</v>
      </c>
      <c r="AB6" s="37">
        <f t="shared" si="9"/>
        <v>0</v>
      </c>
      <c r="AC6" s="35">
        <v>85</v>
      </c>
      <c r="AD6" s="35">
        <f t="shared" si="30"/>
        <v>1.9294189257142926</v>
      </c>
      <c r="AE6" s="48">
        <v>25.7</v>
      </c>
      <c r="AF6" s="48">
        <f t="shared" si="31"/>
        <v>1.4099331233312946</v>
      </c>
      <c r="AG6" s="43">
        <v>39.367752568237798</v>
      </c>
      <c r="AH6" s="43">
        <f t="shared" si="32"/>
        <v>1.5951406224338005</v>
      </c>
      <c r="AI6" s="39">
        <v>0.17</v>
      </c>
      <c r="AJ6" s="48">
        <f t="shared" si="10"/>
        <v>6.8185861746161619E-2</v>
      </c>
      <c r="AK6" s="35">
        <v>18</v>
      </c>
      <c r="AL6" s="35">
        <f t="shared" si="33"/>
        <v>1.255272505103306</v>
      </c>
      <c r="AM6" s="35">
        <f t="shared" si="11"/>
        <v>1</v>
      </c>
      <c r="AN6" s="35">
        <f t="shared" si="12"/>
        <v>1</v>
      </c>
      <c r="AO6" s="35">
        <f t="shared" si="13"/>
        <v>0</v>
      </c>
      <c r="AP6" s="35">
        <f t="shared" si="14"/>
        <v>0</v>
      </c>
      <c r="AQ6" s="35">
        <f t="shared" si="15"/>
        <v>0</v>
      </c>
      <c r="AR6" s="35">
        <f t="shared" si="16"/>
        <v>0</v>
      </c>
      <c r="AS6" s="35">
        <f t="shared" si="17"/>
        <v>0</v>
      </c>
      <c r="AT6" s="35">
        <f t="shared" si="18"/>
        <v>0</v>
      </c>
      <c r="AU6" s="35">
        <f t="shared" si="19"/>
        <v>0</v>
      </c>
      <c r="AV6" s="35">
        <f t="shared" si="20"/>
        <v>0</v>
      </c>
      <c r="AW6" s="35">
        <f t="shared" si="21"/>
        <v>0</v>
      </c>
      <c r="AX6" s="35">
        <f t="shared" si="22"/>
        <v>0</v>
      </c>
      <c r="AY6" s="35">
        <f t="shared" si="23"/>
        <v>0</v>
      </c>
      <c r="AZ6" s="35">
        <f t="shared" si="24"/>
        <v>0</v>
      </c>
      <c r="BA6" s="35">
        <f t="shared" si="25"/>
        <v>0</v>
      </c>
      <c r="BB6" s="35">
        <f t="shared" si="26"/>
        <v>0</v>
      </c>
      <c r="BC6" s="35">
        <f t="shared" si="27"/>
        <v>0</v>
      </c>
    </row>
    <row r="7" spans="1:55" s="35" customFormat="1" x14ac:dyDescent="0.35">
      <c r="A7" s="36">
        <v>33883</v>
      </c>
      <c r="B7" s="35" t="s">
        <v>1147</v>
      </c>
      <c r="C7" s="35" t="s">
        <v>45</v>
      </c>
      <c r="D7" s="35" t="s">
        <v>602</v>
      </c>
      <c r="E7" s="35" t="s">
        <v>47</v>
      </c>
      <c r="F7" s="139">
        <f t="shared" si="0"/>
        <v>0</v>
      </c>
      <c r="G7" s="35">
        <v>100000000</v>
      </c>
      <c r="H7" s="139">
        <f t="shared" si="1"/>
        <v>8</v>
      </c>
      <c r="I7" s="35">
        <f t="shared" si="34"/>
        <v>100000000</v>
      </c>
      <c r="J7" s="35">
        <v>0</v>
      </c>
      <c r="K7" s="36">
        <v>34655</v>
      </c>
      <c r="L7" s="35">
        <v>98000000</v>
      </c>
      <c r="M7" s="21">
        <f t="shared" si="2"/>
        <v>2.1150684931506851</v>
      </c>
      <c r="N7" s="21">
        <f t="shared" si="28"/>
        <v>0.32532443587926146</v>
      </c>
      <c r="O7" s="35">
        <v>0</v>
      </c>
      <c r="P7" s="35">
        <f t="shared" si="3"/>
        <v>0</v>
      </c>
      <c r="Q7" s="35">
        <v>0</v>
      </c>
      <c r="R7" s="35">
        <f t="shared" si="4"/>
        <v>0</v>
      </c>
      <c r="S7" s="45">
        <v>2.95</v>
      </c>
      <c r="T7" s="45">
        <f t="shared" si="29"/>
        <v>0.46982201597816303</v>
      </c>
      <c r="U7" s="175">
        <f t="shared" si="5"/>
        <v>-2.0000000000000018E-2</v>
      </c>
      <c r="V7" s="48">
        <f t="shared" si="6"/>
        <v>-8.7739243075051505E-3</v>
      </c>
      <c r="W7" s="35">
        <v>1246.953</v>
      </c>
      <c r="X7" s="35">
        <f t="shared" si="7"/>
        <v>3.0958500844125241</v>
      </c>
      <c r="Y7" s="35">
        <v>3219.7179999999998</v>
      </c>
      <c r="Z7" s="35">
        <f t="shared" si="8"/>
        <v>3.5078178355445662</v>
      </c>
      <c r="AA7" s="35">
        <v>0</v>
      </c>
      <c r="AB7" s="37">
        <f t="shared" si="9"/>
        <v>0</v>
      </c>
      <c r="AC7" s="35">
        <v>85</v>
      </c>
      <c r="AD7" s="35">
        <f t="shared" si="30"/>
        <v>1.9294189257142926</v>
      </c>
      <c r="AE7" s="48">
        <v>25.7</v>
      </c>
      <c r="AF7" s="48">
        <f t="shared" si="31"/>
        <v>1.4099331233312946</v>
      </c>
      <c r="AG7" s="43">
        <v>39.367752568237798</v>
      </c>
      <c r="AH7" s="43">
        <f t="shared" si="32"/>
        <v>1.5951406224338005</v>
      </c>
      <c r="AI7" s="39">
        <v>0.15</v>
      </c>
      <c r="AJ7" s="48">
        <f t="shared" si="10"/>
        <v>6.069784035361165E-2</v>
      </c>
      <c r="AK7" s="35">
        <v>15</v>
      </c>
      <c r="AL7" s="35">
        <f t="shared" si="33"/>
        <v>1.1760912590556813</v>
      </c>
      <c r="AM7" s="35">
        <f t="shared" si="11"/>
        <v>0</v>
      </c>
      <c r="AN7" s="35">
        <f t="shared" si="12"/>
        <v>1</v>
      </c>
      <c r="AO7" s="35">
        <f t="shared" si="13"/>
        <v>0</v>
      </c>
      <c r="AP7" s="35">
        <f t="shared" si="14"/>
        <v>0</v>
      </c>
      <c r="AQ7" s="35">
        <f t="shared" si="15"/>
        <v>0</v>
      </c>
      <c r="AR7" s="35">
        <f t="shared" si="16"/>
        <v>0</v>
      </c>
      <c r="AS7" s="35">
        <f t="shared" si="17"/>
        <v>0</v>
      </c>
      <c r="AT7" s="35">
        <f t="shared" si="18"/>
        <v>0</v>
      </c>
      <c r="AU7" s="35">
        <f t="shared" si="19"/>
        <v>0</v>
      </c>
      <c r="AV7" s="35">
        <f t="shared" si="20"/>
        <v>0</v>
      </c>
      <c r="AW7" s="35">
        <f t="shared" si="21"/>
        <v>0</v>
      </c>
      <c r="AX7" s="35">
        <f t="shared" si="22"/>
        <v>0</v>
      </c>
      <c r="AY7" s="35">
        <f t="shared" si="23"/>
        <v>0</v>
      </c>
      <c r="AZ7" s="35">
        <f t="shared" si="24"/>
        <v>0</v>
      </c>
      <c r="BA7" s="35">
        <f t="shared" si="25"/>
        <v>0</v>
      </c>
      <c r="BB7" s="35">
        <f t="shared" si="26"/>
        <v>0</v>
      </c>
      <c r="BC7" s="35">
        <f t="shared" si="27"/>
        <v>0</v>
      </c>
    </row>
    <row r="8" spans="1:55" s="35" customFormat="1" x14ac:dyDescent="0.35">
      <c r="A8" s="36">
        <v>33883</v>
      </c>
      <c r="B8" s="35" t="s">
        <v>1147</v>
      </c>
      <c r="C8" s="35" t="s">
        <v>45</v>
      </c>
      <c r="D8" s="35" t="s">
        <v>602</v>
      </c>
      <c r="E8" s="35" t="s">
        <v>47</v>
      </c>
      <c r="F8" s="139">
        <f t="shared" si="0"/>
        <v>0</v>
      </c>
      <c r="G8" s="35">
        <v>100000000</v>
      </c>
      <c r="H8" s="139">
        <f t="shared" si="1"/>
        <v>8</v>
      </c>
      <c r="I8" s="35">
        <f t="shared" si="34"/>
        <v>100000000</v>
      </c>
      <c r="J8" s="35">
        <v>0</v>
      </c>
      <c r="K8" s="36">
        <v>34655</v>
      </c>
      <c r="L8" s="35">
        <v>97890000</v>
      </c>
      <c r="M8" s="21">
        <f t="shared" si="2"/>
        <v>2.1150684931506851</v>
      </c>
      <c r="N8" s="21">
        <f t="shared" si="28"/>
        <v>0.32532443587926146</v>
      </c>
      <c r="O8" s="35">
        <v>0</v>
      </c>
      <c r="P8" s="35">
        <f t="shared" si="3"/>
        <v>0</v>
      </c>
      <c r="Q8" s="35">
        <v>37</v>
      </c>
      <c r="R8" s="35">
        <f t="shared" si="4"/>
        <v>1.5797835966168101</v>
      </c>
      <c r="S8" s="45">
        <v>2.95</v>
      </c>
      <c r="T8" s="45">
        <f t="shared" si="29"/>
        <v>0.46982201597816303</v>
      </c>
      <c r="U8" s="175">
        <f t="shared" si="5"/>
        <v>-2.1100000000000008E-2</v>
      </c>
      <c r="V8" s="48">
        <f t="shared" si="6"/>
        <v>-9.2616714924626583E-3</v>
      </c>
      <c r="W8" s="35">
        <v>1246.953</v>
      </c>
      <c r="X8" s="35">
        <f t="shared" si="7"/>
        <v>3.0958500844125241</v>
      </c>
      <c r="Y8" s="35">
        <v>3219.7179999999998</v>
      </c>
      <c r="Z8" s="35">
        <f t="shared" si="8"/>
        <v>3.5078178355445662</v>
      </c>
      <c r="AA8" s="35">
        <v>0</v>
      </c>
      <c r="AB8" s="37">
        <f t="shared" si="9"/>
        <v>0</v>
      </c>
      <c r="AC8" s="35">
        <v>85</v>
      </c>
      <c r="AD8" s="35">
        <f t="shared" si="30"/>
        <v>1.9294189257142926</v>
      </c>
      <c r="AE8" s="48">
        <v>25.7</v>
      </c>
      <c r="AF8" s="48">
        <f t="shared" si="31"/>
        <v>1.4099331233312946</v>
      </c>
      <c r="AG8" s="43">
        <v>39.367752568237798</v>
      </c>
      <c r="AH8" s="43">
        <f t="shared" si="32"/>
        <v>1.5951406224338005</v>
      </c>
      <c r="AI8" s="39">
        <v>0.31</v>
      </c>
      <c r="AJ8" s="48">
        <f t="shared" si="10"/>
        <v>0.11727129565576427</v>
      </c>
      <c r="AK8" s="35">
        <v>2</v>
      </c>
      <c r="AL8" s="35">
        <f t="shared" si="33"/>
        <v>0.3010299956639812</v>
      </c>
      <c r="AM8" s="35">
        <f t="shared" si="11"/>
        <v>0</v>
      </c>
      <c r="AN8" s="35">
        <f t="shared" si="12"/>
        <v>1</v>
      </c>
      <c r="AO8" s="35">
        <f t="shared" si="13"/>
        <v>0</v>
      </c>
      <c r="AP8" s="35">
        <f t="shared" si="14"/>
        <v>0</v>
      </c>
      <c r="AQ8" s="35">
        <f t="shared" si="15"/>
        <v>0</v>
      </c>
      <c r="AR8" s="35">
        <f t="shared" si="16"/>
        <v>0</v>
      </c>
      <c r="AS8" s="35">
        <f t="shared" si="17"/>
        <v>0</v>
      </c>
      <c r="AT8" s="35">
        <f t="shared" si="18"/>
        <v>0</v>
      </c>
      <c r="AU8" s="35">
        <f t="shared" si="19"/>
        <v>0</v>
      </c>
      <c r="AV8" s="35">
        <f t="shared" si="20"/>
        <v>0</v>
      </c>
      <c r="AW8" s="35">
        <f t="shared" si="21"/>
        <v>0</v>
      </c>
      <c r="AX8" s="35">
        <f t="shared" si="22"/>
        <v>0</v>
      </c>
      <c r="AY8" s="35">
        <f t="shared" si="23"/>
        <v>0</v>
      </c>
      <c r="AZ8" s="35">
        <f t="shared" si="24"/>
        <v>0</v>
      </c>
      <c r="BA8" s="35">
        <f t="shared" si="25"/>
        <v>0</v>
      </c>
      <c r="BB8" s="35">
        <f t="shared" si="26"/>
        <v>0</v>
      </c>
      <c r="BC8" s="35">
        <f t="shared" si="27"/>
        <v>0</v>
      </c>
    </row>
    <row r="9" spans="1:55" s="35" customFormat="1" x14ac:dyDescent="0.35">
      <c r="A9" s="36">
        <v>33904</v>
      </c>
      <c r="B9" s="90" t="s">
        <v>704</v>
      </c>
      <c r="C9" s="35" t="s">
        <v>59</v>
      </c>
      <c r="D9" s="35" t="s">
        <v>602</v>
      </c>
      <c r="E9" s="35" t="s">
        <v>64</v>
      </c>
      <c r="F9" s="139">
        <f t="shared" si="0"/>
        <v>1</v>
      </c>
      <c r="G9" s="35">
        <v>70000000</v>
      </c>
      <c r="H9" s="139">
        <f t="shared" si="1"/>
        <v>7.8450980400142569</v>
      </c>
      <c r="I9" s="35">
        <f t="shared" si="34"/>
        <v>70000000</v>
      </c>
      <c r="J9" s="35">
        <v>0</v>
      </c>
      <c r="K9" s="36">
        <v>34596</v>
      </c>
      <c r="L9" s="35">
        <v>135900000</v>
      </c>
      <c r="M9" s="21">
        <f t="shared" si="2"/>
        <v>1.8958904109589041</v>
      </c>
      <c r="N9" s="21">
        <f t="shared" si="28"/>
        <v>0.27781323000028307</v>
      </c>
      <c r="O9" s="35">
        <v>5897.96</v>
      </c>
      <c r="P9" s="35">
        <f t="shared" si="3"/>
        <v>3.7707754512906644</v>
      </c>
      <c r="Q9" s="35">
        <v>0</v>
      </c>
      <c r="R9" s="35">
        <f t="shared" si="4"/>
        <v>0</v>
      </c>
      <c r="S9" s="45">
        <v>2.3199999999999998</v>
      </c>
      <c r="T9" s="45">
        <f t="shared" si="29"/>
        <v>0.36548798489089962</v>
      </c>
      <c r="U9" s="175">
        <f t="shared" si="5"/>
        <v>0.9414285714285715</v>
      </c>
      <c r="V9" s="48">
        <f t="shared" si="6"/>
        <v>0.28812141671823749</v>
      </c>
      <c r="W9" s="35">
        <v>1421.558</v>
      </c>
      <c r="X9" s="35">
        <f t="shared" si="7"/>
        <v>3.1527645837352773</v>
      </c>
      <c r="Y9" s="35">
        <v>3476.3409999999999</v>
      </c>
      <c r="Z9" s="35">
        <f t="shared" si="8"/>
        <v>3.5411223705253856</v>
      </c>
      <c r="AA9" s="37">
        <v>132</v>
      </c>
      <c r="AB9" s="37">
        <f t="shared" si="9"/>
        <v>2.1238516409670858</v>
      </c>
      <c r="AC9" s="35">
        <v>100</v>
      </c>
      <c r="AD9" s="35">
        <f t="shared" si="30"/>
        <v>2</v>
      </c>
      <c r="AE9" s="48">
        <v>30.9</v>
      </c>
      <c r="AF9" s="48">
        <f t="shared" si="31"/>
        <v>1.4899584794248346</v>
      </c>
      <c r="AG9" s="43">
        <v>49.329709120205997</v>
      </c>
      <c r="AH9" s="43">
        <f t="shared" si="32"/>
        <v>1.6931085545892062</v>
      </c>
      <c r="AI9" s="39">
        <v>0.22</v>
      </c>
      <c r="AJ9" s="48">
        <f t="shared" si="10"/>
        <v>8.6359830674748214E-2</v>
      </c>
      <c r="AK9" s="35">
        <v>21</v>
      </c>
      <c r="AL9" s="35">
        <f t="shared" si="33"/>
        <v>1.3222192947339193</v>
      </c>
      <c r="AM9" s="35">
        <f t="shared" si="11"/>
        <v>0</v>
      </c>
      <c r="AN9" s="35">
        <f t="shared" si="12"/>
        <v>0</v>
      </c>
      <c r="AO9" s="35">
        <f t="shared" si="13"/>
        <v>1</v>
      </c>
      <c r="AP9" s="35">
        <f t="shared" si="14"/>
        <v>0</v>
      </c>
      <c r="AQ9" s="35">
        <f t="shared" si="15"/>
        <v>0</v>
      </c>
      <c r="AR9" s="35">
        <f t="shared" si="16"/>
        <v>0</v>
      </c>
      <c r="AS9" s="35">
        <f t="shared" si="17"/>
        <v>0</v>
      </c>
      <c r="AT9" s="35">
        <f t="shared" si="18"/>
        <v>0</v>
      </c>
      <c r="AU9" s="35">
        <f t="shared" si="19"/>
        <v>0</v>
      </c>
      <c r="AV9" s="35">
        <f t="shared" si="20"/>
        <v>0</v>
      </c>
      <c r="AW9" s="35">
        <f t="shared" si="21"/>
        <v>0</v>
      </c>
      <c r="AX9" s="35">
        <f t="shared" si="22"/>
        <v>0</v>
      </c>
      <c r="AY9" s="35">
        <f t="shared" si="23"/>
        <v>0</v>
      </c>
      <c r="AZ9" s="35">
        <f t="shared" si="24"/>
        <v>0</v>
      </c>
      <c r="BA9" s="35">
        <f t="shared" si="25"/>
        <v>0</v>
      </c>
      <c r="BB9" s="35">
        <f t="shared" si="26"/>
        <v>0</v>
      </c>
      <c r="BC9" s="35">
        <f t="shared" si="27"/>
        <v>0</v>
      </c>
    </row>
    <row r="10" spans="1:55" s="35" customFormat="1" x14ac:dyDescent="0.35">
      <c r="A10" s="36">
        <v>33969</v>
      </c>
      <c r="B10" s="35" t="s">
        <v>1272</v>
      </c>
      <c r="C10" s="35" t="s">
        <v>45</v>
      </c>
      <c r="D10" s="35" t="s">
        <v>602</v>
      </c>
      <c r="E10" s="35" t="s">
        <v>47</v>
      </c>
      <c r="F10" s="139">
        <f t="shared" si="0"/>
        <v>0</v>
      </c>
      <c r="G10" s="35">
        <v>10000000</v>
      </c>
      <c r="H10" s="139">
        <f t="shared" si="1"/>
        <v>7</v>
      </c>
      <c r="I10" s="35">
        <f t="shared" si="34"/>
        <v>10000000</v>
      </c>
      <c r="J10" s="35">
        <v>0</v>
      </c>
      <c r="K10" s="36">
        <v>34843</v>
      </c>
      <c r="L10" s="35">
        <v>41889000</v>
      </c>
      <c r="M10" s="21">
        <f t="shared" si="2"/>
        <v>2.3945205479452056</v>
      </c>
      <c r="N10" s="21">
        <f t="shared" si="28"/>
        <v>0.37921856817792837</v>
      </c>
      <c r="O10" s="35">
        <v>0</v>
      </c>
      <c r="P10" s="35">
        <f t="shared" si="3"/>
        <v>0</v>
      </c>
      <c r="Q10" s="35">
        <v>5</v>
      </c>
      <c r="R10" s="35">
        <f t="shared" si="4"/>
        <v>0.77815125038364363</v>
      </c>
      <c r="S10" s="45">
        <v>2.95</v>
      </c>
      <c r="T10" s="45">
        <f t="shared" si="29"/>
        <v>0.46982201597816303</v>
      </c>
      <c r="U10" s="175">
        <f t="shared" si="5"/>
        <v>3.1889000000000003</v>
      </c>
      <c r="V10" s="48">
        <f t="shared" si="6"/>
        <v>0.6220999927396933</v>
      </c>
      <c r="W10" s="35">
        <v>1421.558</v>
      </c>
      <c r="X10" s="35">
        <f t="shared" si="7"/>
        <v>3.1527645837352773</v>
      </c>
      <c r="Y10" s="35">
        <v>3476.3409999999999</v>
      </c>
      <c r="Z10" s="35">
        <f t="shared" si="8"/>
        <v>3.5411223705253856</v>
      </c>
      <c r="AA10" s="35">
        <v>0</v>
      </c>
      <c r="AB10" s="37">
        <f t="shared" si="9"/>
        <v>0</v>
      </c>
      <c r="AC10" s="35">
        <v>85</v>
      </c>
      <c r="AD10" s="35">
        <f t="shared" si="30"/>
        <v>1.9294189257142926</v>
      </c>
      <c r="AE10" s="48">
        <v>25.7</v>
      </c>
      <c r="AF10" s="48">
        <f t="shared" si="31"/>
        <v>1.4099331233312946</v>
      </c>
      <c r="AG10" s="43">
        <v>39.367752568237798</v>
      </c>
      <c r="AH10" s="43">
        <f t="shared" si="32"/>
        <v>1.5951406224338005</v>
      </c>
      <c r="AI10" s="39">
        <v>0.54</v>
      </c>
      <c r="AJ10" s="48">
        <f t="shared" si="10"/>
        <v>0.18752072083646307</v>
      </c>
      <c r="AK10" s="35">
        <v>16</v>
      </c>
      <c r="AL10" s="35">
        <f t="shared" si="33"/>
        <v>1.2041199826559248</v>
      </c>
      <c r="AM10" s="35">
        <f t="shared" si="11"/>
        <v>0</v>
      </c>
      <c r="AN10" s="35">
        <f t="shared" si="12"/>
        <v>1</v>
      </c>
      <c r="AO10" s="35">
        <f t="shared" si="13"/>
        <v>0</v>
      </c>
      <c r="AP10" s="35">
        <f t="shared" si="14"/>
        <v>0</v>
      </c>
      <c r="AQ10" s="35">
        <f t="shared" si="15"/>
        <v>0</v>
      </c>
      <c r="AR10" s="35">
        <f t="shared" si="16"/>
        <v>0</v>
      </c>
      <c r="AS10" s="35">
        <f t="shared" si="17"/>
        <v>0</v>
      </c>
      <c r="AT10" s="35">
        <f t="shared" si="18"/>
        <v>0</v>
      </c>
      <c r="AU10" s="35">
        <f t="shared" si="19"/>
        <v>0</v>
      </c>
      <c r="AV10" s="35">
        <f t="shared" si="20"/>
        <v>0</v>
      </c>
      <c r="AW10" s="35">
        <f t="shared" si="21"/>
        <v>0</v>
      </c>
      <c r="AX10" s="35">
        <f t="shared" si="22"/>
        <v>0</v>
      </c>
      <c r="AY10" s="35">
        <f t="shared" si="23"/>
        <v>0</v>
      </c>
      <c r="AZ10" s="35">
        <f t="shared" si="24"/>
        <v>0</v>
      </c>
      <c r="BA10" s="35">
        <f t="shared" si="25"/>
        <v>0</v>
      </c>
      <c r="BB10" s="35">
        <f t="shared" si="26"/>
        <v>0</v>
      </c>
      <c r="BC10" s="35">
        <f t="shared" si="27"/>
        <v>0</v>
      </c>
    </row>
    <row r="11" spans="1:55" s="35" customFormat="1" x14ac:dyDescent="0.35">
      <c r="A11" s="36">
        <v>34026</v>
      </c>
      <c r="B11" s="35" t="s">
        <v>328</v>
      </c>
      <c r="C11" s="35" t="s">
        <v>45</v>
      </c>
      <c r="D11" s="35" t="s">
        <v>45</v>
      </c>
      <c r="E11" s="35" t="s">
        <v>102</v>
      </c>
      <c r="F11" s="139">
        <f t="shared" si="0"/>
        <v>0</v>
      </c>
      <c r="G11" s="35">
        <v>69040000</v>
      </c>
      <c r="H11" s="139">
        <f t="shared" si="1"/>
        <v>7.8391007827071535</v>
      </c>
      <c r="I11" s="35">
        <v>69040000</v>
      </c>
      <c r="J11" s="35">
        <v>0</v>
      </c>
      <c r="K11" s="36">
        <v>36474</v>
      </c>
      <c r="L11" s="35">
        <v>2703480000</v>
      </c>
      <c r="M11" s="21">
        <f t="shared" si="2"/>
        <v>6.7068493150684931</v>
      </c>
      <c r="N11" s="21">
        <f t="shared" si="28"/>
        <v>0.82651854901704891</v>
      </c>
      <c r="O11" s="35">
        <v>0</v>
      </c>
      <c r="P11" s="35">
        <f t="shared" si="3"/>
        <v>0</v>
      </c>
      <c r="Q11" s="35">
        <v>159</v>
      </c>
      <c r="R11" s="35">
        <f t="shared" si="4"/>
        <v>2.2041199826559246</v>
      </c>
      <c r="S11" s="45">
        <v>2.95</v>
      </c>
      <c r="T11" s="45">
        <f t="shared" si="29"/>
        <v>0.46982201597816303</v>
      </c>
      <c r="U11" s="175">
        <f t="shared" si="5"/>
        <v>38.158169177288528</v>
      </c>
      <c r="V11" s="48">
        <f t="shared" si="6"/>
        <v>1.5928223783612254</v>
      </c>
      <c r="W11" s="35">
        <v>1171.498</v>
      </c>
      <c r="X11" s="35">
        <f t="shared" si="7"/>
        <v>3.0687415514991745</v>
      </c>
      <c r="Y11" s="35">
        <v>3386.1060000000002</v>
      </c>
      <c r="Z11" s="35">
        <f t="shared" si="8"/>
        <v>3.5297005493117593</v>
      </c>
      <c r="AA11" s="37">
        <v>0</v>
      </c>
      <c r="AB11" s="37">
        <f t="shared" si="9"/>
        <v>0</v>
      </c>
      <c r="AC11" s="35">
        <v>85</v>
      </c>
      <c r="AD11" s="35">
        <f t="shared" si="30"/>
        <v>1.9294189257142926</v>
      </c>
      <c r="AE11" s="48">
        <v>25.9</v>
      </c>
      <c r="AF11" s="48">
        <f t="shared" si="31"/>
        <v>1.4132997640812519</v>
      </c>
      <c r="AG11" s="43">
        <v>38.808513566771097</v>
      </c>
      <c r="AH11" s="43">
        <f t="shared" si="32"/>
        <v>1.5889270088283503</v>
      </c>
      <c r="AI11" s="39">
        <v>7.0000000000000007E-2</v>
      </c>
      <c r="AJ11" s="48">
        <f t="shared" si="10"/>
        <v>2.9383777685209667E-2</v>
      </c>
      <c r="AK11" s="35">
        <v>19</v>
      </c>
      <c r="AL11" s="35">
        <f t="shared" si="33"/>
        <v>1.2787536009528289</v>
      </c>
      <c r="AM11" s="35">
        <f t="shared" si="11"/>
        <v>0</v>
      </c>
      <c r="AN11" s="35">
        <f t="shared" si="12"/>
        <v>1</v>
      </c>
      <c r="AO11" s="35">
        <f t="shared" si="13"/>
        <v>0</v>
      </c>
      <c r="AP11" s="35">
        <f t="shared" si="14"/>
        <v>0</v>
      </c>
      <c r="AQ11" s="35">
        <f t="shared" si="15"/>
        <v>0</v>
      </c>
      <c r="AR11" s="35">
        <f t="shared" si="16"/>
        <v>0</v>
      </c>
      <c r="AS11" s="35">
        <f t="shared" si="17"/>
        <v>0</v>
      </c>
      <c r="AT11" s="35">
        <f t="shared" si="18"/>
        <v>0</v>
      </c>
      <c r="AU11" s="35">
        <f t="shared" si="19"/>
        <v>0</v>
      </c>
      <c r="AV11" s="35">
        <f t="shared" si="20"/>
        <v>0</v>
      </c>
      <c r="AW11" s="35">
        <f t="shared" si="21"/>
        <v>0</v>
      </c>
      <c r="AX11" s="35">
        <f t="shared" si="22"/>
        <v>0</v>
      </c>
      <c r="AY11" s="35">
        <f t="shared" si="23"/>
        <v>0</v>
      </c>
      <c r="AZ11" s="35">
        <f t="shared" si="24"/>
        <v>0</v>
      </c>
      <c r="BA11" s="35">
        <f t="shared" si="25"/>
        <v>0</v>
      </c>
      <c r="BB11" s="35">
        <f t="shared" si="26"/>
        <v>0</v>
      </c>
      <c r="BC11" s="35">
        <f t="shared" si="27"/>
        <v>0</v>
      </c>
    </row>
    <row r="12" spans="1:55" s="35" customFormat="1" x14ac:dyDescent="0.35">
      <c r="A12" s="36">
        <v>34603</v>
      </c>
      <c r="B12" s="35" t="s">
        <v>1260</v>
      </c>
      <c r="C12" s="35" t="s">
        <v>45</v>
      </c>
      <c r="D12" s="35" t="s">
        <v>602</v>
      </c>
      <c r="E12" s="35" t="s">
        <v>47</v>
      </c>
      <c r="F12" s="139">
        <f t="shared" si="0"/>
        <v>0</v>
      </c>
      <c r="G12" s="35">
        <v>26000000</v>
      </c>
      <c r="H12" s="139">
        <f t="shared" si="1"/>
        <v>7.4149733479708182</v>
      </c>
      <c r="I12" s="35">
        <f>G12</f>
        <v>26000000</v>
      </c>
      <c r="J12" s="35">
        <v>0</v>
      </c>
      <c r="K12" s="36">
        <v>35170</v>
      </c>
      <c r="L12" s="35">
        <v>112000000</v>
      </c>
      <c r="M12" s="21">
        <f t="shared" si="2"/>
        <v>1.5534246575342465</v>
      </c>
      <c r="N12" s="21">
        <f t="shared" si="28"/>
        <v>0.19129019443643186</v>
      </c>
      <c r="O12" s="35">
        <v>0</v>
      </c>
      <c r="P12" s="35">
        <f t="shared" si="3"/>
        <v>0</v>
      </c>
      <c r="Q12" s="35">
        <v>5</v>
      </c>
      <c r="R12" s="35">
        <f t="shared" si="4"/>
        <v>0.77815125038364363</v>
      </c>
      <c r="S12" s="45">
        <v>2.95</v>
      </c>
      <c r="T12" s="45">
        <f t="shared" si="29"/>
        <v>0.46982201597816303</v>
      </c>
      <c r="U12" s="175">
        <f t="shared" si="5"/>
        <v>3.3076923076923075</v>
      </c>
      <c r="V12" s="48">
        <f t="shared" si="6"/>
        <v>0.63424467469936363</v>
      </c>
      <c r="W12" s="35">
        <v>2315.9650000000001</v>
      </c>
      <c r="X12" s="35">
        <f t="shared" si="7"/>
        <v>3.3647319918335836</v>
      </c>
      <c r="Y12" s="35">
        <v>3703.9029999999998</v>
      </c>
      <c r="Z12" s="35">
        <f t="shared" si="8"/>
        <v>3.568659604598353</v>
      </c>
      <c r="AA12" s="35">
        <v>0</v>
      </c>
      <c r="AB12" s="37">
        <f t="shared" si="9"/>
        <v>0</v>
      </c>
      <c r="AC12" s="35">
        <v>85</v>
      </c>
      <c r="AD12" s="35">
        <f t="shared" si="30"/>
        <v>1.9294189257142926</v>
      </c>
      <c r="AE12" s="48">
        <v>26.2</v>
      </c>
      <c r="AF12" s="48">
        <f t="shared" si="31"/>
        <v>1.4183012913197455</v>
      </c>
      <c r="AG12" s="43">
        <v>37.8446121410093</v>
      </c>
      <c r="AH12" s="43">
        <f t="shared" si="32"/>
        <v>1.5780040586317157</v>
      </c>
      <c r="AI12" s="39">
        <v>0.21</v>
      </c>
      <c r="AJ12" s="48">
        <f t="shared" si="10"/>
        <v>8.2785370316450071E-2</v>
      </c>
      <c r="AK12" s="35">
        <v>14</v>
      </c>
      <c r="AL12" s="35">
        <f t="shared" si="33"/>
        <v>1.146128035678238</v>
      </c>
      <c r="AM12" s="35">
        <f t="shared" si="11"/>
        <v>0</v>
      </c>
      <c r="AN12" s="35">
        <f t="shared" si="12"/>
        <v>1</v>
      </c>
      <c r="AO12" s="35">
        <f t="shared" si="13"/>
        <v>0</v>
      </c>
      <c r="AP12" s="35">
        <f t="shared" si="14"/>
        <v>0</v>
      </c>
      <c r="AQ12" s="35">
        <f t="shared" si="15"/>
        <v>0</v>
      </c>
      <c r="AR12" s="35">
        <f t="shared" si="16"/>
        <v>0</v>
      </c>
      <c r="AS12" s="35">
        <f t="shared" si="17"/>
        <v>0</v>
      </c>
      <c r="AT12" s="35">
        <f t="shared" si="18"/>
        <v>0</v>
      </c>
      <c r="AU12" s="35">
        <f t="shared" si="19"/>
        <v>0</v>
      </c>
      <c r="AV12" s="35">
        <f t="shared" si="20"/>
        <v>0</v>
      </c>
      <c r="AW12" s="35">
        <f t="shared" si="21"/>
        <v>0</v>
      </c>
      <c r="AX12" s="35">
        <f t="shared" si="22"/>
        <v>0</v>
      </c>
      <c r="AY12" s="35">
        <f t="shared" si="23"/>
        <v>0</v>
      </c>
      <c r="AZ12" s="35">
        <f t="shared" si="24"/>
        <v>0</v>
      </c>
      <c r="BA12" s="35">
        <f t="shared" si="25"/>
        <v>0</v>
      </c>
      <c r="BB12" s="35">
        <f t="shared" si="26"/>
        <v>0</v>
      </c>
      <c r="BC12" s="35">
        <f t="shared" si="27"/>
        <v>0</v>
      </c>
    </row>
    <row r="13" spans="1:55" s="35" customFormat="1" x14ac:dyDescent="0.35">
      <c r="A13" s="36">
        <v>34654</v>
      </c>
      <c r="B13" s="10" t="s">
        <v>44</v>
      </c>
      <c r="C13" s="139" t="s">
        <v>45</v>
      </c>
      <c r="D13" s="139" t="s">
        <v>45</v>
      </c>
      <c r="E13" s="139" t="s">
        <v>47</v>
      </c>
      <c r="F13" s="139">
        <f t="shared" si="0"/>
        <v>0</v>
      </c>
      <c r="G13" s="139">
        <v>1100000000</v>
      </c>
      <c r="H13" s="139">
        <f t="shared" si="1"/>
        <v>9.0413926851582254</v>
      </c>
      <c r="I13" s="139">
        <v>1100000000</v>
      </c>
      <c r="J13" s="139">
        <v>0</v>
      </c>
      <c r="K13" s="18">
        <v>35465</v>
      </c>
      <c r="L13" s="139">
        <v>220000000</v>
      </c>
      <c r="M13" s="21">
        <f t="shared" si="2"/>
        <v>2.2219178082191782</v>
      </c>
      <c r="N13" s="21">
        <f t="shared" si="28"/>
        <v>0.34672798975468133</v>
      </c>
      <c r="O13" s="35">
        <v>0</v>
      </c>
      <c r="P13" s="35">
        <f t="shared" si="3"/>
        <v>0</v>
      </c>
      <c r="Q13" s="35">
        <v>108</v>
      </c>
      <c r="R13" s="35">
        <f t="shared" si="4"/>
        <v>2.0374264979406238</v>
      </c>
      <c r="S13" s="45">
        <v>2.95</v>
      </c>
      <c r="T13" s="45">
        <f t="shared" si="29"/>
        <v>0.46982201597816303</v>
      </c>
      <c r="U13" s="175">
        <f t="shared" si="5"/>
        <v>-0.8</v>
      </c>
      <c r="V13" s="48">
        <f t="shared" si="6"/>
        <v>-0.69897000433601886</v>
      </c>
      <c r="W13" s="35">
        <v>2315.9650000000001</v>
      </c>
      <c r="X13" s="35">
        <f t="shared" si="7"/>
        <v>3.3647319918335836</v>
      </c>
      <c r="Y13" s="35">
        <v>3703.9029999999998</v>
      </c>
      <c r="Z13" s="35">
        <f t="shared" si="8"/>
        <v>3.568659604598353</v>
      </c>
      <c r="AA13" s="37">
        <v>0</v>
      </c>
      <c r="AB13" s="37">
        <f t="shared" si="9"/>
        <v>0</v>
      </c>
      <c r="AC13" s="35">
        <v>85</v>
      </c>
      <c r="AD13" s="35">
        <f t="shared" si="30"/>
        <v>1.9294189257142926</v>
      </c>
      <c r="AE13" s="48">
        <v>26.2</v>
      </c>
      <c r="AF13" s="48">
        <f t="shared" si="31"/>
        <v>1.4183012913197455</v>
      </c>
      <c r="AG13" s="43">
        <v>37.8446121410093</v>
      </c>
      <c r="AH13" s="43">
        <f t="shared" si="32"/>
        <v>1.5780040586317157</v>
      </c>
      <c r="AI13" s="39">
        <v>-0.1</v>
      </c>
      <c r="AJ13" s="48">
        <f t="shared" si="10"/>
        <v>-4.5757490560675115E-2</v>
      </c>
      <c r="AK13" s="35">
        <v>18</v>
      </c>
      <c r="AL13" s="35">
        <f t="shared" si="33"/>
        <v>1.255272505103306</v>
      </c>
      <c r="AM13" s="35">
        <f t="shared" si="11"/>
        <v>0</v>
      </c>
      <c r="AN13" s="35">
        <f t="shared" si="12"/>
        <v>1</v>
      </c>
      <c r="AO13" s="35">
        <f t="shared" si="13"/>
        <v>0</v>
      </c>
      <c r="AP13" s="35">
        <f t="shared" si="14"/>
        <v>0</v>
      </c>
      <c r="AQ13" s="35">
        <f t="shared" si="15"/>
        <v>0</v>
      </c>
      <c r="AR13" s="35">
        <f t="shared" si="16"/>
        <v>0</v>
      </c>
      <c r="AS13" s="35">
        <f t="shared" si="17"/>
        <v>0</v>
      </c>
      <c r="AT13" s="35">
        <f t="shared" si="18"/>
        <v>0</v>
      </c>
      <c r="AU13" s="35">
        <f t="shared" si="19"/>
        <v>0</v>
      </c>
      <c r="AV13" s="35">
        <f t="shared" si="20"/>
        <v>0</v>
      </c>
      <c r="AW13" s="35">
        <f t="shared" si="21"/>
        <v>0</v>
      </c>
      <c r="AX13" s="35">
        <f t="shared" si="22"/>
        <v>0</v>
      </c>
      <c r="AY13" s="35">
        <f t="shared" si="23"/>
        <v>0</v>
      </c>
      <c r="AZ13" s="35">
        <f t="shared" si="24"/>
        <v>0</v>
      </c>
      <c r="BA13" s="35">
        <f t="shared" si="25"/>
        <v>0</v>
      </c>
      <c r="BB13" s="35">
        <f t="shared" si="26"/>
        <v>0</v>
      </c>
      <c r="BC13" s="35">
        <f t="shared" si="27"/>
        <v>0</v>
      </c>
    </row>
    <row r="14" spans="1:55" s="35" customFormat="1" x14ac:dyDescent="0.35">
      <c r="A14" s="36">
        <v>34915</v>
      </c>
      <c r="B14" s="35" t="s">
        <v>688</v>
      </c>
      <c r="C14" s="35" t="s">
        <v>59</v>
      </c>
      <c r="D14" s="35" t="s">
        <v>602</v>
      </c>
      <c r="E14" s="35" t="s">
        <v>64</v>
      </c>
      <c r="F14" s="139">
        <f t="shared" si="0"/>
        <v>1</v>
      </c>
      <c r="G14" s="35">
        <v>199890000</v>
      </c>
      <c r="H14" s="139">
        <f t="shared" si="1"/>
        <v>8.3007910679877988</v>
      </c>
      <c r="I14" s="35">
        <f>G14</f>
        <v>199890000</v>
      </c>
      <c r="J14" s="35">
        <v>0</v>
      </c>
      <c r="K14" s="36">
        <v>36452</v>
      </c>
      <c r="L14" s="35">
        <v>215000000</v>
      </c>
      <c r="M14" s="21">
        <f t="shared" si="2"/>
        <v>4.2109589041095887</v>
      </c>
      <c r="N14" s="21">
        <f t="shared" si="28"/>
        <v>0.62438100304327038</v>
      </c>
      <c r="O14" s="35">
        <v>5897.96</v>
      </c>
      <c r="P14" s="35">
        <f t="shared" si="3"/>
        <v>3.7707754512906644</v>
      </c>
      <c r="Q14" s="35">
        <v>0</v>
      </c>
      <c r="R14" s="35">
        <f t="shared" si="4"/>
        <v>0</v>
      </c>
      <c r="S14" s="45">
        <v>2.3199999999999998</v>
      </c>
      <c r="T14" s="45">
        <f t="shared" si="29"/>
        <v>0.36548798489089962</v>
      </c>
      <c r="U14" s="175">
        <f t="shared" si="5"/>
        <v>7.5591575366451558E-2</v>
      </c>
      <c r="V14" s="48">
        <f t="shared" si="6"/>
        <v>3.1647391927806502E-2</v>
      </c>
      <c r="W14" s="35">
        <v>1455.046</v>
      </c>
      <c r="X14" s="35">
        <f t="shared" si="7"/>
        <v>3.1628767233771686</v>
      </c>
      <c r="Y14" s="35">
        <v>4062.5129999999999</v>
      </c>
      <c r="Z14" s="35">
        <f t="shared" si="8"/>
        <v>3.6087947637270492</v>
      </c>
      <c r="AA14" s="37">
        <v>132</v>
      </c>
      <c r="AB14" s="37">
        <f t="shared" si="9"/>
        <v>2.1238516409670858</v>
      </c>
      <c r="AC14" s="35">
        <v>100</v>
      </c>
      <c r="AD14" s="35">
        <f t="shared" si="30"/>
        <v>2</v>
      </c>
      <c r="AE14" s="48">
        <v>29.5</v>
      </c>
      <c r="AF14" s="48">
        <f t="shared" si="31"/>
        <v>1.469822015978163</v>
      </c>
      <c r="AG14" s="43">
        <v>38.538703610951003</v>
      </c>
      <c r="AH14" s="43">
        <f t="shared" si="32"/>
        <v>1.5858971014953607</v>
      </c>
      <c r="AI14" s="39">
        <v>-0.17</v>
      </c>
      <c r="AJ14" s="48">
        <f t="shared" si="10"/>
        <v>-8.092190762392612E-2</v>
      </c>
      <c r="AK14" s="35">
        <v>23</v>
      </c>
      <c r="AL14" s="35">
        <f t="shared" si="33"/>
        <v>1.3617278360175928</v>
      </c>
      <c r="AM14" s="35">
        <f t="shared" si="11"/>
        <v>0</v>
      </c>
      <c r="AN14" s="35">
        <f t="shared" si="12"/>
        <v>0</v>
      </c>
      <c r="AO14" s="35">
        <f t="shared" si="13"/>
        <v>1</v>
      </c>
      <c r="AP14" s="35">
        <f t="shared" si="14"/>
        <v>0</v>
      </c>
      <c r="AQ14" s="35">
        <f t="shared" si="15"/>
        <v>0</v>
      </c>
      <c r="AR14" s="35">
        <f t="shared" si="16"/>
        <v>0</v>
      </c>
      <c r="AS14" s="35">
        <f t="shared" si="17"/>
        <v>0</v>
      </c>
      <c r="AT14" s="35">
        <f t="shared" si="18"/>
        <v>0</v>
      </c>
      <c r="AU14" s="35">
        <f t="shared" si="19"/>
        <v>0</v>
      </c>
      <c r="AV14" s="35">
        <f t="shared" si="20"/>
        <v>0</v>
      </c>
      <c r="AW14" s="35">
        <f t="shared" si="21"/>
        <v>0</v>
      </c>
      <c r="AX14" s="35">
        <f t="shared" si="22"/>
        <v>0</v>
      </c>
      <c r="AY14" s="35">
        <f t="shared" si="23"/>
        <v>0</v>
      </c>
      <c r="AZ14" s="35">
        <f t="shared" si="24"/>
        <v>0</v>
      </c>
      <c r="BA14" s="35">
        <f t="shared" si="25"/>
        <v>0</v>
      </c>
      <c r="BB14" s="35">
        <f t="shared" si="26"/>
        <v>0</v>
      </c>
      <c r="BC14" s="35">
        <f t="shared" si="27"/>
        <v>0</v>
      </c>
    </row>
    <row r="15" spans="1:55" s="35" customFormat="1" x14ac:dyDescent="0.35">
      <c r="A15" s="36">
        <v>34929</v>
      </c>
      <c r="B15" s="35" t="s">
        <v>336</v>
      </c>
      <c r="C15" s="35" t="s">
        <v>45</v>
      </c>
      <c r="D15" s="35" t="s">
        <v>45</v>
      </c>
      <c r="E15" s="35" t="s">
        <v>102</v>
      </c>
      <c r="F15" s="139">
        <f t="shared" si="0"/>
        <v>0</v>
      </c>
      <c r="G15" s="35">
        <v>1150000000</v>
      </c>
      <c r="H15" s="139">
        <f t="shared" si="1"/>
        <v>9.0606978403536118</v>
      </c>
      <c r="I15" s="35">
        <v>1150000000</v>
      </c>
      <c r="J15" s="35">
        <v>0</v>
      </c>
      <c r="K15" s="36">
        <v>35828</v>
      </c>
      <c r="L15" s="35">
        <v>0</v>
      </c>
      <c r="M15" s="21">
        <f t="shared" si="2"/>
        <v>2.463013698630137</v>
      </c>
      <c r="N15" s="21">
        <f t="shared" si="28"/>
        <v>0.39146682727675408</v>
      </c>
      <c r="O15" s="35">
        <v>0</v>
      </c>
      <c r="P15" s="35">
        <f t="shared" si="3"/>
        <v>0</v>
      </c>
      <c r="Q15" s="35">
        <v>63</v>
      </c>
      <c r="R15" s="35">
        <f t="shared" si="4"/>
        <v>1.8061799739838871</v>
      </c>
      <c r="S15" s="45">
        <v>2.95</v>
      </c>
      <c r="T15" s="45">
        <f t="shared" si="29"/>
        <v>0.46982201597816303</v>
      </c>
      <c r="U15" s="175">
        <f t="shared" si="5"/>
        <v>-1</v>
      </c>
      <c r="V15" s="48">
        <f t="shared" si="6"/>
        <v>-1</v>
      </c>
      <c r="W15" s="35">
        <v>1171.498</v>
      </c>
      <c r="X15" s="35">
        <f t="shared" si="7"/>
        <v>3.0687415514991745</v>
      </c>
      <c r="Y15" s="35">
        <v>3386.1060000000002</v>
      </c>
      <c r="Z15" s="35">
        <f t="shared" si="8"/>
        <v>3.5297005493117593</v>
      </c>
      <c r="AA15" s="37">
        <v>0</v>
      </c>
      <c r="AB15" s="37">
        <f t="shared" si="9"/>
        <v>0</v>
      </c>
      <c r="AC15" s="35">
        <v>85</v>
      </c>
      <c r="AD15" s="35">
        <f t="shared" si="30"/>
        <v>1.9294189257142926</v>
      </c>
      <c r="AE15" s="48">
        <v>26.5</v>
      </c>
      <c r="AF15" s="48">
        <f t="shared" si="31"/>
        <v>1.4232458739368079</v>
      </c>
      <c r="AG15" s="43">
        <v>37.808596853116498</v>
      </c>
      <c r="AH15" s="43">
        <f t="shared" si="32"/>
        <v>1.577590560190987</v>
      </c>
      <c r="AI15" s="39">
        <v>-0.06</v>
      </c>
      <c r="AJ15" s="48">
        <f t="shared" si="10"/>
        <v>-2.6872146400301365E-2</v>
      </c>
      <c r="AK15" s="35">
        <v>23</v>
      </c>
      <c r="AL15" s="35">
        <f t="shared" si="33"/>
        <v>1.3617278360175928</v>
      </c>
      <c r="AM15" s="35">
        <f t="shared" si="11"/>
        <v>1</v>
      </c>
      <c r="AN15" s="35">
        <f t="shared" si="12"/>
        <v>1</v>
      </c>
      <c r="AO15" s="35">
        <f t="shared" si="13"/>
        <v>0</v>
      </c>
      <c r="AP15" s="35">
        <f t="shared" si="14"/>
        <v>0</v>
      </c>
      <c r="AQ15" s="35">
        <f t="shared" si="15"/>
        <v>0</v>
      </c>
      <c r="AR15" s="35">
        <f t="shared" si="16"/>
        <v>0</v>
      </c>
      <c r="AS15" s="35">
        <f t="shared" si="17"/>
        <v>0</v>
      </c>
      <c r="AT15" s="35">
        <f t="shared" si="18"/>
        <v>0</v>
      </c>
      <c r="AU15" s="35">
        <f t="shared" si="19"/>
        <v>0</v>
      </c>
      <c r="AV15" s="35">
        <f t="shared" si="20"/>
        <v>0</v>
      </c>
      <c r="AW15" s="35">
        <f t="shared" si="21"/>
        <v>0</v>
      </c>
      <c r="AX15" s="35">
        <f t="shared" si="22"/>
        <v>0</v>
      </c>
      <c r="AY15" s="35">
        <f t="shared" si="23"/>
        <v>0</v>
      </c>
      <c r="AZ15" s="35">
        <f t="shared" si="24"/>
        <v>0</v>
      </c>
      <c r="BA15" s="35">
        <f t="shared" si="25"/>
        <v>0</v>
      </c>
      <c r="BB15" s="35">
        <f t="shared" si="26"/>
        <v>0</v>
      </c>
      <c r="BC15" s="35">
        <f t="shared" si="27"/>
        <v>0</v>
      </c>
    </row>
    <row r="16" spans="1:55" s="35" customFormat="1" x14ac:dyDescent="0.35">
      <c r="A16" s="36">
        <v>34952</v>
      </c>
      <c r="B16" s="35" t="s">
        <v>330</v>
      </c>
      <c r="C16" s="35" t="s">
        <v>45</v>
      </c>
      <c r="D16" s="35" t="s">
        <v>45</v>
      </c>
      <c r="E16" s="35" t="s">
        <v>102</v>
      </c>
      <c r="F16" s="139">
        <f t="shared" si="0"/>
        <v>0</v>
      </c>
      <c r="G16" s="35">
        <v>340000000</v>
      </c>
      <c r="H16" s="139">
        <f t="shared" si="1"/>
        <v>8.5314789170422554</v>
      </c>
      <c r="I16" s="35">
        <v>340000000</v>
      </c>
      <c r="J16" s="35">
        <v>0</v>
      </c>
      <c r="K16" s="36">
        <v>36131</v>
      </c>
      <c r="L16" s="35">
        <v>548900000</v>
      </c>
      <c r="M16" s="21">
        <f t="shared" si="2"/>
        <v>3.2301369863013698</v>
      </c>
      <c r="N16" s="21">
        <f t="shared" si="28"/>
        <v>0.50922094063861445</v>
      </c>
      <c r="O16" s="35">
        <v>0</v>
      </c>
      <c r="P16" s="35">
        <f t="shared" si="3"/>
        <v>0</v>
      </c>
      <c r="Q16" s="35">
        <v>10</v>
      </c>
      <c r="R16" s="35">
        <f t="shared" si="4"/>
        <v>1.0413926851582251</v>
      </c>
      <c r="S16" s="45">
        <v>2.95</v>
      </c>
      <c r="T16" s="45">
        <f t="shared" si="29"/>
        <v>0.46982201597816303</v>
      </c>
      <c r="U16" s="175">
        <f t="shared" si="5"/>
        <v>0.61441176470588243</v>
      </c>
      <c r="V16" s="48">
        <f t="shared" si="6"/>
        <v>0.20801431373935986</v>
      </c>
      <c r="W16" s="35">
        <v>1171.498</v>
      </c>
      <c r="X16" s="35">
        <f t="shared" si="7"/>
        <v>3.0687415514991745</v>
      </c>
      <c r="Y16" s="35">
        <v>3386.1060000000002</v>
      </c>
      <c r="Z16" s="35">
        <f t="shared" si="8"/>
        <v>3.5297005493117593</v>
      </c>
      <c r="AA16" s="37">
        <v>0</v>
      </c>
      <c r="AB16" s="37">
        <f t="shared" si="9"/>
        <v>0</v>
      </c>
      <c r="AC16" s="35">
        <v>85</v>
      </c>
      <c r="AD16" s="35">
        <f t="shared" si="30"/>
        <v>1.9294189257142926</v>
      </c>
      <c r="AE16" s="48">
        <v>26.5</v>
      </c>
      <c r="AF16" s="48">
        <f t="shared" si="31"/>
        <v>1.4232458739368079</v>
      </c>
      <c r="AG16" s="43">
        <v>37.808596853116498</v>
      </c>
      <c r="AH16" s="43">
        <f t="shared" si="32"/>
        <v>1.577590560190987</v>
      </c>
      <c r="AI16" s="39">
        <v>0.81</v>
      </c>
      <c r="AJ16" s="48">
        <f t="shared" si="10"/>
        <v>0.2576785748691845</v>
      </c>
      <c r="AK16" s="35">
        <v>38</v>
      </c>
      <c r="AL16" s="35">
        <f t="shared" si="33"/>
        <v>1.5797835966168101</v>
      </c>
      <c r="AM16" s="35">
        <f t="shared" si="11"/>
        <v>0</v>
      </c>
      <c r="AN16" s="35">
        <f t="shared" si="12"/>
        <v>1</v>
      </c>
      <c r="AO16" s="35">
        <f t="shared" si="13"/>
        <v>0</v>
      </c>
      <c r="AP16" s="35">
        <f t="shared" si="14"/>
        <v>0</v>
      </c>
      <c r="AQ16" s="35">
        <f t="shared" si="15"/>
        <v>0</v>
      </c>
      <c r="AR16" s="35">
        <f t="shared" si="16"/>
        <v>0</v>
      </c>
      <c r="AS16" s="35">
        <f t="shared" si="17"/>
        <v>0</v>
      </c>
      <c r="AT16" s="35">
        <f t="shared" si="18"/>
        <v>0</v>
      </c>
      <c r="AU16" s="35">
        <f t="shared" si="19"/>
        <v>0</v>
      </c>
      <c r="AV16" s="35">
        <f t="shared" si="20"/>
        <v>0</v>
      </c>
      <c r="AW16" s="35">
        <f t="shared" si="21"/>
        <v>0</v>
      </c>
      <c r="AX16" s="35">
        <f t="shared" si="22"/>
        <v>0</v>
      </c>
      <c r="AY16" s="35">
        <f t="shared" si="23"/>
        <v>0</v>
      </c>
      <c r="AZ16" s="35">
        <f t="shared" si="24"/>
        <v>0</v>
      </c>
      <c r="BA16" s="35">
        <f t="shared" si="25"/>
        <v>0</v>
      </c>
      <c r="BB16" s="35">
        <f t="shared" si="26"/>
        <v>0</v>
      </c>
      <c r="BC16" s="35">
        <f t="shared" si="27"/>
        <v>0</v>
      </c>
    </row>
    <row r="17" spans="1:55" s="35" customFormat="1" x14ac:dyDescent="0.35">
      <c r="A17" s="36">
        <v>34972</v>
      </c>
      <c r="B17" s="35" t="s">
        <v>933</v>
      </c>
      <c r="C17" s="35" t="s">
        <v>59</v>
      </c>
      <c r="D17" s="35" t="s">
        <v>59</v>
      </c>
      <c r="E17" s="35" t="s">
        <v>47</v>
      </c>
      <c r="F17" s="139">
        <f t="shared" si="0"/>
        <v>0</v>
      </c>
      <c r="G17" s="35">
        <v>32500000</v>
      </c>
      <c r="H17" s="139">
        <f t="shared" si="1"/>
        <v>7.5118833609788744</v>
      </c>
      <c r="I17" s="35">
        <f>G17</f>
        <v>32500000</v>
      </c>
      <c r="J17" s="35">
        <v>0</v>
      </c>
      <c r="K17" s="36">
        <v>36038</v>
      </c>
      <c r="L17" s="35">
        <v>165000000</v>
      </c>
      <c r="M17" s="21">
        <f t="shared" si="2"/>
        <v>2.9205479452054797</v>
      </c>
      <c r="N17" s="21">
        <f t="shared" si="28"/>
        <v>0.46546434023407879</v>
      </c>
      <c r="O17" s="35">
        <v>0</v>
      </c>
      <c r="P17" s="35">
        <f t="shared" si="3"/>
        <v>0</v>
      </c>
      <c r="Q17" s="35">
        <v>33</v>
      </c>
      <c r="R17" s="35">
        <f t="shared" si="4"/>
        <v>1.5314789170422551</v>
      </c>
      <c r="S17" s="45">
        <v>3.29</v>
      </c>
      <c r="T17" s="45">
        <f t="shared" si="29"/>
        <v>0.51719589794997434</v>
      </c>
      <c r="U17" s="175">
        <f t="shared" si="5"/>
        <v>4.0769230769230766</v>
      </c>
      <c r="V17" s="48">
        <f t="shared" si="6"/>
        <v>0.70560058323503183</v>
      </c>
      <c r="W17" s="35">
        <v>3425.6694367497698</v>
      </c>
      <c r="X17" s="35">
        <f t="shared" si="7"/>
        <v>3.5347454529897258</v>
      </c>
      <c r="Y17" s="35">
        <v>9322.8685749461365</v>
      </c>
      <c r="Z17" s="35">
        <f t="shared" si="8"/>
        <v>3.9695495619878729</v>
      </c>
      <c r="AA17" s="37">
        <v>0</v>
      </c>
      <c r="AB17" s="37">
        <f t="shared" si="9"/>
        <v>0</v>
      </c>
      <c r="AC17" s="35">
        <v>100</v>
      </c>
      <c r="AD17" s="35">
        <f t="shared" si="30"/>
        <v>2</v>
      </c>
      <c r="AE17" s="48">
        <v>29.5</v>
      </c>
      <c r="AF17" s="48">
        <f t="shared" si="31"/>
        <v>1.469822015978163</v>
      </c>
      <c r="AG17" s="43">
        <v>38.538703610951003</v>
      </c>
      <c r="AH17" s="43">
        <f t="shared" si="32"/>
        <v>1.5858971014953607</v>
      </c>
      <c r="AI17" s="39">
        <v>0.06</v>
      </c>
      <c r="AJ17" s="48">
        <f t="shared" si="10"/>
        <v>2.5305865264770262E-2</v>
      </c>
      <c r="AK17" s="35">
        <v>40</v>
      </c>
      <c r="AL17" s="35">
        <f t="shared" si="33"/>
        <v>1.6020599913279623</v>
      </c>
      <c r="AM17" s="35">
        <f t="shared" si="11"/>
        <v>0</v>
      </c>
      <c r="AN17" s="35">
        <f t="shared" si="12"/>
        <v>0</v>
      </c>
      <c r="AO17" s="35">
        <f t="shared" si="13"/>
        <v>1</v>
      </c>
      <c r="AP17" s="35">
        <f t="shared" si="14"/>
        <v>0</v>
      </c>
      <c r="AQ17" s="35">
        <f t="shared" si="15"/>
        <v>0</v>
      </c>
      <c r="AR17" s="35">
        <f t="shared" si="16"/>
        <v>0</v>
      </c>
      <c r="AS17" s="35">
        <f t="shared" si="17"/>
        <v>0</v>
      </c>
      <c r="AT17" s="35">
        <f t="shared" si="18"/>
        <v>0</v>
      </c>
      <c r="AU17" s="35">
        <f t="shared" si="19"/>
        <v>0</v>
      </c>
      <c r="AV17" s="35">
        <f t="shared" si="20"/>
        <v>0</v>
      </c>
      <c r="AW17" s="35">
        <f t="shared" si="21"/>
        <v>0</v>
      </c>
      <c r="AX17" s="35">
        <f t="shared" si="22"/>
        <v>0</v>
      </c>
      <c r="AY17" s="35">
        <f t="shared" si="23"/>
        <v>0</v>
      </c>
      <c r="AZ17" s="35">
        <f t="shared" si="24"/>
        <v>0</v>
      </c>
      <c r="BA17" s="35">
        <f t="shared" si="25"/>
        <v>0</v>
      </c>
      <c r="BB17" s="35">
        <f t="shared" si="26"/>
        <v>0</v>
      </c>
      <c r="BC17" s="35">
        <f t="shared" si="27"/>
        <v>0</v>
      </c>
    </row>
    <row r="18" spans="1:55" s="35" customFormat="1" x14ac:dyDescent="0.35">
      <c r="A18" s="36">
        <v>35012</v>
      </c>
      <c r="B18" s="35" t="s">
        <v>504</v>
      </c>
      <c r="C18" s="35" t="s">
        <v>59</v>
      </c>
      <c r="D18" s="35" t="s">
        <v>59</v>
      </c>
      <c r="E18" s="35" t="s">
        <v>102</v>
      </c>
      <c r="F18" s="139">
        <f t="shared" si="0"/>
        <v>0</v>
      </c>
      <c r="G18" s="35">
        <v>580000000</v>
      </c>
      <c r="H18" s="139">
        <f t="shared" si="1"/>
        <v>8.7634279935629369</v>
      </c>
      <c r="I18" s="35">
        <f>G18</f>
        <v>580000000</v>
      </c>
      <c r="J18" s="35">
        <v>0</v>
      </c>
      <c r="K18" s="36">
        <v>35480</v>
      </c>
      <c r="L18" s="35">
        <v>490250000</v>
      </c>
      <c r="M18" s="21">
        <f t="shared" si="2"/>
        <v>1.2821917808219179</v>
      </c>
      <c r="N18" s="21">
        <f t="shared" si="28"/>
        <v>0.10795298861764935</v>
      </c>
      <c r="O18" s="35">
        <v>0</v>
      </c>
      <c r="P18" s="35">
        <f t="shared" si="3"/>
        <v>0</v>
      </c>
      <c r="Q18" s="35">
        <v>1</v>
      </c>
      <c r="R18" s="35">
        <f t="shared" si="4"/>
        <v>0.3010299956639812</v>
      </c>
      <c r="S18" s="45">
        <v>3.29</v>
      </c>
      <c r="T18" s="45">
        <f t="shared" si="29"/>
        <v>0.51719589794997434</v>
      </c>
      <c r="U18" s="175">
        <f t="shared" si="5"/>
        <v>-0.15474137931034482</v>
      </c>
      <c r="V18" s="48">
        <f t="shared" si="6"/>
        <v>-7.3010391223115631E-2</v>
      </c>
      <c r="W18" s="176">
        <v>1709.090909090909</v>
      </c>
      <c r="X18" s="35">
        <f t="shared" si="7"/>
        <v>3.2327651641054547</v>
      </c>
      <c r="Y18" s="35">
        <v>8968.5950413223145</v>
      </c>
      <c r="Z18" s="35">
        <f t="shared" si="8"/>
        <v>3.9527244147731087</v>
      </c>
      <c r="AA18" s="37">
        <v>0</v>
      </c>
      <c r="AB18" s="37">
        <f t="shared" si="9"/>
        <v>0</v>
      </c>
      <c r="AC18" s="35">
        <v>100</v>
      </c>
      <c r="AD18" s="35">
        <f t="shared" si="30"/>
        <v>2</v>
      </c>
      <c r="AE18" s="48">
        <v>29.5</v>
      </c>
      <c r="AF18" s="48">
        <f t="shared" si="31"/>
        <v>1.469822015978163</v>
      </c>
      <c r="AG18" s="43">
        <v>38.538703610951003</v>
      </c>
      <c r="AH18" s="43">
        <f t="shared" si="32"/>
        <v>1.5858971014953607</v>
      </c>
      <c r="AI18" s="39">
        <v>1.54</v>
      </c>
      <c r="AJ18" s="48">
        <f t="shared" si="10"/>
        <v>0.40483371661993806</v>
      </c>
      <c r="AK18" s="35">
        <v>24</v>
      </c>
      <c r="AL18" s="35">
        <f t="shared" si="33"/>
        <v>1.3802112417116059</v>
      </c>
      <c r="AM18" s="35">
        <f t="shared" si="11"/>
        <v>0</v>
      </c>
      <c r="AN18" s="35">
        <f t="shared" si="12"/>
        <v>0</v>
      </c>
      <c r="AO18" s="35">
        <f t="shared" si="13"/>
        <v>1</v>
      </c>
      <c r="AP18" s="35">
        <f t="shared" si="14"/>
        <v>0</v>
      </c>
      <c r="AQ18" s="35">
        <f t="shared" si="15"/>
        <v>0</v>
      </c>
      <c r="AR18" s="35">
        <f t="shared" si="16"/>
        <v>0</v>
      </c>
      <c r="AS18" s="35">
        <f t="shared" si="17"/>
        <v>0</v>
      </c>
      <c r="AT18" s="35">
        <f t="shared" si="18"/>
        <v>0</v>
      </c>
      <c r="AU18" s="35">
        <f t="shared" si="19"/>
        <v>0</v>
      </c>
      <c r="AV18" s="35">
        <f t="shared" si="20"/>
        <v>0</v>
      </c>
      <c r="AW18" s="35">
        <f t="shared" si="21"/>
        <v>0</v>
      </c>
      <c r="AX18" s="35">
        <f t="shared" si="22"/>
        <v>0</v>
      </c>
      <c r="AY18" s="35">
        <f t="shared" si="23"/>
        <v>0</v>
      </c>
      <c r="AZ18" s="35">
        <f t="shared" si="24"/>
        <v>0</v>
      </c>
      <c r="BA18" s="35">
        <f t="shared" si="25"/>
        <v>0</v>
      </c>
      <c r="BB18" s="35">
        <f t="shared" si="26"/>
        <v>0</v>
      </c>
      <c r="BC18" s="35">
        <f t="shared" si="27"/>
        <v>0</v>
      </c>
    </row>
    <row r="19" spans="1:55" s="35" customFormat="1" x14ac:dyDescent="0.35">
      <c r="A19" s="36">
        <v>35062</v>
      </c>
      <c r="B19" s="35" t="s">
        <v>333</v>
      </c>
      <c r="C19" s="35" t="s">
        <v>45</v>
      </c>
      <c r="D19" s="35" t="s">
        <v>45</v>
      </c>
      <c r="E19" s="35" t="s">
        <v>102</v>
      </c>
      <c r="F19" s="139">
        <f t="shared" si="0"/>
        <v>0</v>
      </c>
      <c r="G19" s="35">
        <v>500000000</v>
      </c>
      <c r="H19" s="139">
        <f t="shared" si="1"/>
        <v>8.6989700043360187</v>
      </c>
      <c r="I19" s="35">
        <v>500000000</v>
      </c>
      <c r="J19" s="35">
        <v>0</v>
      </c>
      <c r="K19" s="36">
        <v>36281</v>
      </c>
      <c r="L19" s="35">
        <v>1981132000</v>
      </c>
      <c r="M19" s="21">
        <f t="shared" si="2"/>
        <v>3.3397260273972602</v>
      </c>
      <c r="N19" s="21">
        <f t="shared" si="28"/>
        <v>0.52371084116190725</v>
      </c>
      <c r="O19" s="35">
        <v>0</v>
      </c>
      <c r="P19" s="35">
        <f t="shared" si="3"/>
        <v>0</v>
      </c>
      <c r="Q19" s="35">
        <v>8</v>
      </c>
      <c r="R19" s="35">
        <f t="shared" si="4"/>
        <v>0.95424250943932487</v>
      </c>
      <c r="S19" s="45">
        <v>2.95</v>
      </c>
      <c r="T19" s="45">
        <f t="shared" si="29"/>
        <v>0.46982201597816303</v>
      </c>
      <c r="U19" s="175">
        <f t="shared" si="5"/>
        <v>2.9622639999999998</v>
      </c>
      <c r="V19" s="48">
        <f t="shared" si="6"/>
        <v>0.5979434085885782</v>
      </c>
      <c r="W19" s="35">
        <v>1171.498</v>
      </c>
      <c r="X19" s="35">
        <f t="shared" si="7"/>
        <v>3.0687415514991745</v>
      </c>
      <c r="Y19" s="35">
        <v>3386.1060000000002</v>
      </c>
      <c r="Z19" s="35">
        <f t="shared" si="8"/>
        <v>3.5297005493117593</v>
      </c>
      <c r="AA19" s="37">
        <v>0</v>
      </c>
      <c r="AB19" s="37">
        <f t="shared" si="9"/>
        <v>0</v>
      </c>
      <c r="AC19" s="35">
        <v>85</v>
      </c>
      <c r="AD19" s="35">
        <f t="shared" si="30"/>
        <v>1.9294189257142926</v>
      </c>
      <c r="AE19" s="48">
        <v>26.5</v>
      </c>
      <c r="AF19" s="48">
        <f t="shared" si="31"/>
        <v>1.4232458739368079</v>
      </c>
      <c r="AG19" s="43">
        <v>37.808596853116498</v>
      </c>
      <c r="AH19" s="43">
        <f t="shared" si="32"/>
        <v>1.577590560190987</v>
      </c>
      <c r="AI19" s="39">
        <v>0.44</v>
      </c>
      <c r="AJ19" s="48">
        <f t="shared" si="10"/>
        <v>0.15836249209524964</v>
      </c>
      <c r="AK19" s="35">
        <v>11</v>
      </c>
      <c r="AL19" s="35">
        <f t="shared" si="33"/>
        <v>1.0413926851582251</v>
      </c>
      <c r="AM19" s="35">
        <f t="shared" si="11"/>
        <v>0</v>
      </c>
      <c r="AN19" s="35">
        <f t="shared" si="12"/>
        <v>1</v>
      </c>
      <c r="AO19" s="35">
        <f t="shared" si="13"/>
        <v>0</v>
      </c>
      <c r="AP19" s="35">
        <f t="shared" si="14"/>
        <v>0</v>
      </c>
      <c r="AQ19" s="35">
        <f t="shared" si="15"/>
        <v>0</v>
      </c>
      <c r="AR19" s="35">
        <f t="shared" si="16"/>
        <v>0</v>
      </c>
      <c r="AS19" s="35">
        <f t="shared" si="17"/>
        <v>0</v>
      </c>
      <c r="AT19" s="35">
        <f t="shared" si="18"/>
        <v>0</v>
      </c>
      <c r="AU19" s="35">
        <f t="shared" si="19"/>
        <v>0</v>
      </c>
      <c r="AV19" s="35">
        <f t="shared" si="20"/>
        <v>0</v>
      </c>
      <c r="AW19" s="35">
        <f t="shared" si="21"/>
        <v>0</v>
      </c>
      <c r="AX19" s="35">
        <f t="shared" si="22"/>
        <v>0</v>
      </c>
      <c r="AY19" s="35">
        <f t="shared" si="23"/>
        <v>0</v>
      </c>
      <c r="AZ19" s="35">
        <f t="shared" si="24"/>
        <v>0</v>
      </c>
      <c r="BA19" s="35">
        <f t="shared" si="25"/>
        <v>0</v>
      </c>
      <c r="BB19" s="35">
        <f t="shared" si="26"/>
        <v>0</v>
      </c>
      <c r="BC19" s="35">
        <f t="shared" si="27"/>
        <v>0</v>
      </c>
    </row>
    <row r="20" spans="1:55" s="35" customFormat="1" x14ac:dyDescent="0.35">
      <c r="A20" s="36">
        <v>35064</v>
      </c>
      <c r="B20" s="35" t="s">
        <v>931</v>
      </c>
      <c r="C20" s="35" t="s">
        <v>447</v>
      </c>
      <c r="D20" s="35" t="s">
        <v>59</v>
      </c>
      <c r="E20" s="35" t="s">
        <v>64</v>
      </c>
      <c r="F20" s="139">
        <f t="shared" si="0"/>
        <v>1</v>
      </c>
      <c r="G20" s="35">
        <v>85000000</v>
      </c>
      <c r="H20" s="139">
        <f t="shared" si="1"/>
        <v>7.9294189257142929</v>
      </c>
      <c r="I20" s="35">
        <f>G20</f>
        <v>85000000</v>
      </c>
      <c r="J20" s="35">
        <v>0</v>
      </c>
      <c r="K20" s="36">
        <v>36045</v>
      </c>
      <c r="L20" s="35">
        <v>96000000</v>
      </c>
      <c r="M20" s="21">
        <f t="shared" si="2"/>
        <v>2.6876712328767125</v>
      </c>
      <c r="N20" s="21">
        <f t="shared" si="28"/>
        <v>0.42937614292347381</v>
      </c>
      <c r="O20" s="35">
        <v>1262.6099999999999</v>
      </c>
      <c r="P20" s="35">
        <f t="shared" si="3"/>
        <v>3.1016130541812235</v>
      </c>
      <c r="Q20" s="35">
        <v>0</v>
      </c>
      <c r="R20" s="35">
        <f t="shared" si="4"/>
        <v>0</v>
      </c>
      <c r="S20" s="45">
        <v>2.4700000000000002</v>
      </c>
      <c r="T20" s="45">
        <f t="shared" si="29"/>
        <v>0.39269695325966575</v>
      </c>
      <c r="U20" s="175">
        <f t="shared" si="5"/>
        <v>0.12941176470588234</v>
      </c>
      <c r="V20" s="48">
        <f t="shared" si="6"/>
        <v>5.2852307325275676E-2</v>
      </c>
      <c r="W20" s="35">
        <v>3425.6694367497698</v>
      </c>
      <c r="X20" s="35">
        <f t="shared" si="7"/>
        <v>3.5347454529897258</v>
      </c>
      <c r="Y20" s="35">
        <v>9322.8685749461365</v>
      </c>
      <c r="Z20" s="35">
        <f t="shared" si="8"/>
        <v>3.9695495619878729</v>
      </c>
      <c r="AA20" s="37">
        <v>956.5</v>
      </c>
      <c r="AB20" s="37">
        <f t="shared" si="9"/>
        <v>2.9811387826406603</v>
      </c>
      <c r="AC20" s="35">
        <v>70</v>
      </c>
      <c r="AD20" s="35">
        <f t="shared" si="30"/>
        <v>1.8450980400142569</v>
      </c>
      <c r="AE20" s="48">
        <v>31.23</v>
      </c>
      <c r="AF20" s="48">
        <f t="shared" si="31"/>
        <v>1.4945719842301985</v>
      </c>
      <c r="AG20" s="43">
        <v>44.330850769696298</v>
      </c>
      <c r="AH20" s="43">
        <f t="shared" si="32"/>
        <v>1.6467060660847843</v>
      </c>
      <c r="AI20" s="39">
        <v>0.68</v>
      </c>
      <c r="AJ20" s="48">
        <f t="shared" si="10"/>
        <v>0.2253092817258629</v>
      </c>
      <c r="AK20" s="35">
        <v>26</v>
      </c>
      <c r="AL20" s="35">
        <f t="shared" si="33"/>
        <v>1.414973347970818</v>
      </c>
      <c r="AM20" s="35">
        <f t="shared" si="11"/>
        <v>0</v>
      </c>
      <c r="AN20" s="35">
        <f t="shared" si="12"/>
        <v>0</v>
      </c>
      <c r="AO20" s="35">
        <f t="shared" si="13"/>
        <v>0</v>
      </c>
      <c r="AP20" s="35">
        <f t="shared" si="14"/>
        <v>0</v>
      </c>
      <c r="AQ20" s="35">
        <f t="shared" si="15"/>
        <v>0</v>
      </c>
      <c r="AR20" s="35">
        <f t="shared" si="16"/>
        <v>0</v>
      </c>
      <c r="AS20" s="35">
        <f t="shared" si="17"/>
        <v>0</v>
      </c>
      <c r="AT20" s="35">
        <f t="shared" si="18"/>
        <v>0</v>
      </c>
      <c r="AU20" s="35">
        <f t="shared" si="19"/>
        <v>0</v>
      </c>
      <c r="AV20" s="35">
        <f t="shared" si="20"/>
        <v>0</v>
      </c>
      <c r="AW20" s="35">
        <f t="shared" si="21"/>
        <v>0</v>
      </c>
      <c r="AX20" s="35">
        <f t="shared" si="22"/>
        <v>1</v>
      </c>
      <c r="AY20" s="35">
        <f t="shared" si="23"/>
        <v>0</v>
      </c>
      <c r="AZ20" s="35">
        <f t="shared" si="24"/>
        <v>0</v>
      </c>
      <c r="BA20" s="35">
        <f t="shared" si="25"/>
        <v>0</v>
      </c>
      <c r="BB20" s="35">
        <f t="shared" si="26"/>
        <v>0</v>
      </c>
      <c r="BC20" s="35">
        <f t="shared" si="27"/>
        <v>0</v>
      </c>
    </row>
    <row r="21" spans="1:55" s="35" customFormat="1" x14ac:dyDescent="0.35">
      <c r="A21" s="36">
        <v>35064</v>
      </c>
      <c r="B21" s="35" t="s">
        <v>1149</v>
      </c>
      <c r="C21" s="35" t="s">
        <v>45</v>
      </c>
      <c r="D21" s="35" t="s">
        <v>602</v>
      </c>
      <c r="E21" s="35" t="s">
        <v>47</v>
      </c>
      <c r="F21" s="139">
        <f t="shared" si="0"/>
        <v>0</v>
      </c>
      <c r="G21" s="35">
        <v>750000000</v>
      </c>
      <c r="H21" s="139">
        <f t="shared" si="1"/>
        <v>8.8750612633917001</v>
      </c>
      <c r="I21" s="35">
        <f>G21</f>
        <v>750000000</v>
      </c>
      <c r="J21" s="35">
        <v>0</v>
      </c>
      <c r="K21" s="36">
        <v>36199</v>
      </c>
      <c r="L21" s="35">
        <v>385000000</v>
      </c>
      <c r="M21" s="21">
        <f t="shared" si="2"/>
        <v>3.1095890410958904</v>
      </c>
      <c r="N21" s="21">
        <f t="shared" si="28"/>
        <v>0.49270299707266679</v>
      </c>
      <c r="O21" s="35">
        <v>0</v>
      </c>
      <c r="P21" s="35">
        <f t="shared" si="3"/>
        <v>0</v>
      </c>
      <c r="Q21" s="35">
        <v>0</v>
      </c>
      <c r="R21" s="35">
        <f t="shared" si="4"/>
        <v>0</v>
      </c>
      <c r="S21" s="45">
        <v>2.95</v>
      </c>
      <c r="T21" s="45">
        <f t="shared" si="29"/>
        <v>0.46982201597816303</v>
      </c>
      <c r="U21" s="175">
        <f t="shared" si="5"/>
        <v>-0.48666666666666669</v>
      </c>
      <c r="V21" s="48">
        <f t="shared" si="6"/>
        <v>-0.2896005338831994</v>
      </c>
      <c r="W21" s="35">
        <v>1246.953</v>
      </c>
      <c r="X21" s="35">
        <f t="shared" si="7"/>
        <v>3.0958500844125241</v>
      </c>
      <c r="Y21" s="35">
        <v>3219.7179999999998</v>
      </c>
      <c r="Z21" s="35">
        <f t="shared" si="8"/>
        <v>3.5078178355445662</v>
      </c>
      <c r="AA21" s="35">
        <v>0</v>
      </c>
      <c r="AB21" s="37">
        <f t="shared" si="9"/>
        <v>0</v>
      </c>
      <c r="AC21" s="35">
        <v>85</v>
      </c>
      <c r="AD21" s="35">
        <f t="shared" si="30"/>
        <v>1.9294189257142926</v>
      </c>
      <c r="AE21" s="48">
        <v>26.5</v>
      </c>
      <c r="AF21" s="48">
        <f t="shared" si="31"/>
        <v>1.4232458739368079</v>
      </c>
      <c r="AG21" s="43">
        <v>37.808596853116498</v>
      </c>
      <c r="AH21" s="43">
        <f t="shared" si="32"/>
        <v>1.577590560190987</v>
      </c>
      <c r="AI21" s="39">
        <v>1.05</v>
      </c>
      <c r="AJ21" s="48">
        <f t="shared" si="10"/>
        <v>0.31175386105575426</v>
      </c>
      <c r="AK21" s="35">
        <v>18</v>
      </c>
      <c r="AL21" s="35">
        <f t="shared" si="33"/>
        <v>1.255272505103306</v>
      </c>
      <c r="AM21" s="35">
        <f t="shared" si="11"/>
        <v>0</v>
      </c>
      <c r="AN21" s="35">
        <f t="shared" si="12"/>
        <v>1</v>
      </c>
      <c r="AO21" s="35">
        <f t="shared" si="13"/>
        <v>0</v>
      </c>
      <c r="AP21" s="35">
        <f t="shared" si="14"/>
        <v>0</v>
      </c>
      <c r="AQ21" s="35">
        <f t="shared" si="15"/>
        <v>0</v>
      </c>
      <c r="AR21" s="35">
        <f t="shared" si="16"/>
        <v>0</v>
      </c>
      <c r="AS21" s="35">
        <f t="shared" si="17"/>
        <v>0</v>
      </c>
      <c r="AT21" s="35">
        <f t="shared" si="18"/>
        <v>0</v>
      </c>
      <c r="AU21" s="35">
        <f t="shared" si="19"/>
        <v>0</v>
      </c>
      <c r="AV21" s="35">
        <f t="shared" si="20"/>
        <v>0</v>
      </c>
      <c r="AW21" s="35">
        <f t="shared" si="21"/>
        <v>0</v>
      </c>
      <c r="AX21" s="35">
        <f t="shared" si="22"/>
        <v>0</v>
      </c>
      <c r="AY21" s="35">
        <f t="shared" si="23"/>
        <v>0</v>
      </c>
      <c r="AZ21" s="35">
        <f t="shared" si="24"/>
        <v>0</v>
      </c>
      <c r="BA21" s="35">
        <f t="shared" si="25"/>
        <v>0</v>
      </c>
      <c r="BB21" s="35">
        <f t="shared" si="26"/>
        <v>0</v>
      </c>
      <c r="BC21" s="35">
        <f t="shared" si="27"/>
        <v>0</v>
      </c>
    </row>
    <row r="22" spans="1:55" s="35" customFormat="1" x14ac:dyDescent="0.35">
      <c r="A22" s="36">
        <v>35064</v>
      </c>
      <c r="B22" s="35" t="s">
        <v>1149</v>
      </c>
      <c r="C22" s="35" t="s">
        <v>45</v>
      </c>
      <c r="D22" s="35" t="s">
        <v>602</v>
      </c>
      <c r="E22" s="35" t="s">
        <v>47</v>
      </c>
      <c r="F22" s="139">
        <f t="shared" si="0"/>
        <v>0</v>
      </c>
      <c r="G22" s="35">
        <v>750000000</v>
      </c>
      <c r="H22" s="139">
        <f t="shared" si="1"/>
        <v>8.8750612633917001</v>
      </c>
      <c r="I22" s="35">
        <f>G22</f>
        <v>750000000</v>
      </c>
      <c r="J22" s="35">
        <v>0</v>
      </c>
      <c r="K22" s="36">
        <v>36199</v>
      </c>
      <c r="L22" s="35">
        <v>385000000</v>
      </c>
      <c r="M22" s="21">
        <f t="shared" si="2"/>
        <v>3.1095890410958904</v>
      </c>
      <c r="N22" s="21">
        <f t="shared" si="28"/>
        <v>0.49270299707266679</v>
      </c>
      <c r="O22" s="35">
        <v>0</v>
      </c>
      <c r="P22" s="35">
        <f t="shared" si="3"/>
        <v>0</v>
      </c>
      <c r="Q22" s="35">
        <v>0</v>
      </c>
      <c r="R22" s="35">
        <f t="shared" si="4"/>
        <v>0</v>
      </c>
      <c r="S22" s="45">
        <v>2.95</v>
      </c>
      <c r="T22" s="45">
        <f t="shared" si="29"/>
        <v>0.46982201597816303</v>
      </c>
      <c r="U22" s="175">
        <f t="shared" si="5"/>
        <v>-0.48666666666666669</v>
      </c>
      <c r="V22" s="48">
        <f t="shared" si="6"/>
        <v>-0.2896005338831994</v>
      </c>
      <c r="W22" s="35">
        <v>1246.953</v>
      </c>
      <c r="X22" s="35">
        <f t="shared" si="7"/>
        <v>3.0958500844125241</v>
      </c>
      <c r="Y22" s="35">
        <v>3219.7179999999998</v>
      </c>
      <c r="Z22" s="35">
        <f t="shared" si="8"/>
        <v>3.5078178355445662</v>
      </c>
      <c r="AA22" s="35">
        <v>0</v>
      </c>
      <c r="AB22" s="37">
        <f t="shared" si="9"/>
        <v>0</v>
      </c>
      <c r="AC22" s="35">
        <v>85</v>
      </c>
      <c r="AD22" s="35">
        <f t="shared" si="30"/>
        <v>1.9294189257142926</v>
      </c>
      <c r="AE22" s="48">
        <v>26.5</v>
      </c>
      <c r="AF22" s="48">
        <f t="shared" si="31"/>
        <v>1.4232458739368079</v>
      </c>
      <c r="AG22" s="43">
        <v>37.808596853116498</v>
      </c>
      <c r="AH22" s="43">
        <f t="shared" si="32"/>
        <v>1.577590560190987</v>
      </c>
      <c r="AI22" s="39">
        <v>0.68</v>
      </c>
      <c r="AJ22" s="48">
        <f t="shared" si="10"/>
        <v>0.2253092817258629</v>
      </c>
      <c r="AK22" s="35">
        <v>21</v>
      </c>
      <c r="AL22" s="35">
        <f t="shared" si="33"/>
        <v>1.3222192947339193</v>
      </c>
      <c r="AM22" s="35">
        <f t="shared" si="11"/>
        <v>0</v>
      </c>
      <c r="AN22" s="35">
        <f t="shared" si="12"/>
        <v>1</v>
      </c>
      <c r="AO22" s="35">
        <f t="shared" si="13"/>
        <v>0</v>
      </c>
      <c r="AP22" s="35">
        <f t="shared" si="14"/>
        <v>0</v>
      </c>
      <c r="AQ22" s="35">
        <f t="shared" si="15"/>
        <v>0</v>
      </c>
      <c r="AR22" s="35">
        <f t="shared" si="16"/>
        <v>0</v>
      </c>
      <c r="AS22" s="35">
        <f t="shared" si="17"/>
        <v>0</v>
      </c>
      <c r="AT22" s="35">
        <f t="shared" si="18"/>
        <v>0</v>
      </c>
      <c r="AU22" s="35">
        <f t="shared" si="19"/>
        <v>0</v>
      </c>
      <c r="AV22" s="35">
        <f t="shared" si="20"/>
        <v>0</v>
      </c>
      <c r="AW22" s="35">
        <f t="shared" si="21"/>
        <v>0</v>
      </c>
      <c r="AX22" s="35">
        <f t="shared" si="22"/>
        <v>0</v>
      </c>
      <c r="AY22" s="35">
        <f t="shared" si="23"/>
        <v>0</v>
      </c>
      <c r="AZ22" s="35">
        <f t="shared" si="24"/>
        <v>0</v>
      </c>
      <c r="BA22" s="35">
        <f t="shared" si="25"/>
        <v>0</v>
      </c>
      <c r="BB22" s="35">
        <f t="shared" si="26"/>
        <v>0</v>
      </c>
      <c r="BC22" s="35">
        <f t="shared" si="27"/>
        <v>0</v>
      </c>
    </row>
    <row r="23" spans="1:55" s="35" customFormat="1" x14ac:dyDescent="0.35">
      <c r="A23" s="36">
        <v>35155</v>
      </c>
      <c r="B23" s="35" t="s">
        <v>928</v>
      </c>
      <c r="C23" s="35" t="s">
        <v>1</v>
      </c>
      <c r="D23" s="35" t="s">
        <v>59</v>
      </c>
      <c r="E23" s="35" t="s">
        <v>64</v>
      </c>
      <c r="F23" s="139">
        <f t="shared" si="0"/>
        <v>1</v>
      </c>
      <c r="G23" s="35">
        <v>11000000</v>
      </c>
      <c r="H23" s="139">
        <f t="shared" si="1"/>
        <v>7.0413926851582254</v>
      </c>
      <c r="I23" s="35">
        <f>G23</f>
        <v>11000000</v>
      </c>
      <c r="J23" s="35">
        <v>0</v>
      </c>
      <c r="K23" s="36">
        <v>35945</v>
      </c>
      <c r="L23" s="35">
        <v>18973159</v>
      </c>
      <c r="M23" s="21">
        <f t="shared" si="2"/>
        <v>2.1643835616438358</v>
      </c>
      <c r="N23" s="21">
        <f t="shared" si="28"/>
        <v>0.33533422683396674</v>
      </c>
      <c r="O23" s="35">
        <v>1153.8900000000001</v>
      </c>
      <c r="P23" s="35">
        <f t="shared" si="3"/>
        <v>3.0625406208792199</v>
      </c>
      <c r="Q23" s="35">
        <v>27</v>
      </c>
      <c r="R23" s="35">
        <f t="shared" si="4"/>
        <v>1.4471580313422192</v>
      </c>
      <c r="S23" s="45">
        <v>3.06</v>
      </c>
      <c r="T23" s="45">
        <f t="shared" si="29"/>
        <v>0.48572142648158001</v>
      </c>
      <c r="U23" s="175">
        <f t="shared" si="5"/>
        <v>0.72483263636363637</v>
      </c>
      <c r="V23" s="48">
        <f t="shared" si="6"/>
        <v>0.23674696107305315</v>
      </c>
      <c r="W23" s="35">
        <v>3425.6694367497698</v>
      </c>
      <c r="X23" s="35">
        <f t="shared" si="7"/>
        <v>3.5347454529897258</v>
      </c>
      <c r="Y23" s="35">
        <v>9322.8685749461365</v>
      </c>
      <c r="Z23" s="35">
        <f t="shared" si="8"/>
        <v>3.9695495619878729</v>
      </c>
      <c r="AA23" s="37">
        <v>742.83333333333303</v>
      </c>
      <c r="AB23" s="37">
        <f t="shared" si="9"/>
        <v>2.8714756364568856</v>
      </c>
      <c r="AC23" s="35">
        <v>70</v>
      </c>
      <c r="AD23" s="35">
        <f t="shared" si="30"/>
        <v>1.8450980400142569</v>
      </c>
      <c r="AE23" s="48">
        <v>40</v>
      </c>
      <c r="AF23" s="48">
        <f t="shared" si="31"/>
        <v>1.6020599913279623</v>
      </c>
      <c r="AG23" s="43">
        <v>47.867790191502998</v>
      </c>
      <c r="AH23" s="43">
        <f t="shared" si="32"/>
        <v>1.6800433788128795</v>
      </c>
      <c r="AI23" s="39">
        <v>0.43</v>
      </c>
      <c r="AJ23" s="48">
        <f t="shared" si="10"/>
        <v>0.1553360374650618</v>
      </c>
      <c r="AK23" s="35">
        <v>27</v>
      </c>
      <c r="AL23" s="35">
        <f t="shared" si="33"/>
        <v>1.4313637641589874</v>
      </c>
      <c r="AM23" s="35">
        <f t="shared" si="11"/>
        <v>0</v>
      </c>
      <c r="AN23" s="35">
        <f t="shared" si="12"/>
        <v>0</v>
      </c>
      <c r="AO23" s="35">
        <f t="shared" si="13"/>
        <v>0</v>
      </c>
      <c r="AP23" s="35">
        <f t="shared" si="14"/>
        <v>1</v>
      </c>
      <c r="AQ23" s="35">
        <f t="shared" si="15"/>
        <v>0</v>
      </c>
      <c r="AR23" s="35">
        <f t="shared" si="16"/>
        <v>0</v>
      </c>
      <c r="AS23" s="35">
        <f t="shared" si="17"/>
        <v>0</v>
      </c>
      <c r="AT23" s="35">
        <f t="shared" si="18"/>
        <v>0</v>
      </c>
      <c r="AU23" s="35">
        <f t="shared" si="19"/>
        <v>0</v>
      </c>
      <c r="AV23" s="35">
        <f t="shared" si="20"/>
        <v>0</v>
      </c>
      <c r="AW23" s="35">
        <f t="shared" si="21"/>
        <v>0</v>
      </c>
      <c r="AX23" s="35">
        <f t="shared" si="22"/>
        <v>0</v>
      </c>
      <c r="AY23" s="35">
        <f t="shared" si="23"/>
        <v>0</v>
      </c>
      <c r="AZ23" s="35">
        <f t="shared" si="24"/>
        <v>0</v>
      </c>
      <c r="BA23" s="35">
        <f t="shared" si="25"/>
        <v>0</v>
      </c>
      <c r="BB23" s="35">
        <f t="shared" si="26"/>
        <v>0</v>
      </c>
      <c r="BC23" s="35">
        <f t="shared" si="27"/>
        <v>0</v>
      </c>
    </row>
    <row r="24" spans="1:55" s="35" customFormat="1" x14ac:dyDescent="0.35">
      <c r="A24" s="36">
        <v>35186</v>
      </c>
      <c r="B24" s="35" t="s">
        <v>339</v>
      </c>
      <c r="C24" s="35" t="s">
        <v>59</v>
      </c>
      <c r="D24" s="35" t="s">
        <v>45</v>
      </c>
      <c r="E24" s="35" t="s">
        <v>125</v>
      </c>
      <c r="F24" s="139">
        <f t="shared" si="0"/>
        <v>1</v>
      </c>
      <c r="G24" s="35">
        <v>305000000</v>
      </c>
      <c r="H24" s="139">
        <f t="shared" si="1"/>
        <v>8.4842998393467859</v>
      </c>
      <c r="I24" s="35">
        <v>305000000</v>
      </c>
      <c r="J24" s="35">
        <v>0</v>
      </c>
      <c r="K24" s="36">
        <v>35719</v>
      </c>
      <c r="L24" s="35">
        <v>1500000000</v>
      </c>
      <c r="M24" s="21">
        <f t="shared" si="2"/>
        <v>1.4602739726027398</v>
      </c>
      <c r="N24" s="21">
        <f t="shared" si="28"/>
        <v>0.16443434457009759</v>
      </c>
      <c r="O24" s="35">
        <v>5897.96</v>
      </c>
      <c r="P24" s="35">
        <f t="shared" si="3"/>
        <v>3.7707754512906644</v>
      </c>
      <c r="Q24" s="35">
        <v>1</v>
      </c>
      <c r="R24" s="35">
        <f t="shared" si="4"/>
        <v>0.3010299956639812</v>
      </c>
      <c r="S24" s="45">
        <v>2.3199999999999998</v>
      </c>
      <c r="T24" s="45">
        <f t="shared" si="29"/>
        <v>0.36548798489089962</v>
      </c>
      <c r="U24" s="175">
        <f t="shared" si="5"/>
        <v>3.918032786885246</v>
      </c>
      <c r="V24" s="48">
        <f t="shared" si="6"/>
        <v>0.69179141970889546</v>
      </c>
      <c r="W24" s="35">
        <v>1171.498</v>
      </c>
      <c r="X24" s="35">
        <f t="shared" si="7"/>
        <v>3.0687415514991745</v>
      </c>
      <c r="Y24" s="35">
        <v>3386.1060000000002</v>
      </c>
      <c r="Z24" s="35">
        <f t="shared" si="8"/>
        <v>3.5297005493117593</v>
      </c>
      <c r="AA24" s="37">
        <v>132</v>
      </c>
      <c r="AB24" s="37">
        <f t="shared" si="9"/>
        <v>2.1238516409670858</v>
      </c>
      <c r="AC24" s="35">
        <v>85</v>
      </c>
      <c r="AD24" s="35">
        <f t="shared" si="30"/>
        <v>1.9294189257142926</v>
      </c>
      <c r="AE24" s="48">
        <v>29.3</v>
      </c>
      <c r="AF24" s="48">
        <f t="shared" si="31"/>
        <v>1.4668676203541096</v>
      </c>
      <c r="AG24" s="43">
        <v>36.913126831903199</v>
      </c>
      <c r="AH24" s="43">
        <f t="shared" si="32"/>
        <v>1.5671808349091383</v>
      </c>
      <c r="AI24" s="39">
        <v>0.95</v>
      </c>
      <c r="AJ24" s="48">
        <f t="shared" si="10"/>
        <v>0.29003461136251801</v>
      </c>
      <c r="AK24" s="35">
        <v>25</v>
      </c>
      <c r="AL24" s="35">
        <f t="shared" si="33"/>
        <v>1.3979400086720377</v>
      </c>
      <c r="AM24" s="35">
        <f t="shared" si="11"/>
        <v>0</v>
      </c>
      <c r="AN24" s="35">
        <f t="shared" si="12"/>
        <v>0</v>
      </c>
      <c r="AO24" s="35">
        <f t="shared" si="13"/>
        <v>1</v>
      </c>
      <c r="AP24" s="35">
        <f t="shared" si="14"/>
        <v>0</v>
      </c>
      <c r="AQ24" s="35">
        <f t="shared" si="15"/>
        <v>0</v>
      </c>
      <c r="AR24" s="35">
        <f t="shared" si="16"/>
        <v>0</v>
      </c>
      <c r="AS24" s="35">
        <f t="shared" si="17"/>
        <v>0</v>
      </c>
      <c r="AT24" s="35">
        <f t="shared" si="18"/>
        <v>0</v>
      </c>
      <c r="AU24" s="35">
        <f t="shared" si="19"/>
        <v>0</v>
      </c>
      <c r="AV24" s="35">
        <f t="shared" si="20"/>
        <v>0</v>
      </c>
      <c r="AW24" s="35">
        <f t="shared" si="21"/>
        <v>0</v>
      </c>
      <c r="AX24" s="35">
        <f t="shared" si="22"/>
        <v>0</v>
      </c>
      <c r="AY24" s="35">
        <f t="shared" si="23"/>
        <v>0</v>
      </c>
      <c r="AZ24" s="35">
        <f t="shared" si="24"/>
        <v>0</v>
      </c>
      <c r="BA24" s="35">
        <f t="shared" si="25"/>
        <v>0</v>
      </c>
      <c r="BB24" s="35">
        <f t="shared" si="26"/>
        <v>0</v>
      </c>
      <c r="BC24" s="35">
        <f t="shared" si="27"/>
        <v>0</v>
      </c>
    </row>
    <row r="25" spans="1:55" s="35" customFormat="1" x14ac:dyDescent="0.35">
      <c r="A25" s="36">
        <v>35306</v>
      </c>
      <c r="B25" s="35" t="s">
        <v>1262</v>
      </c>
      <c r="C25" s="35" t="s">
        <v>45</v>
      </c>
      <c r="D25" s="35" t="s">
        <v>602</v>
      </c>
      <c r="E25" s="35" t="s">
        <v>47</v>
      </c>
      <c r="F25" s="139">
        <f t="shared" si="0"/>
        <v>0</v>
      </c>
      <c r="G25" s="35">
        <v>320000000</v>
      </c>
      <c r="H25" s="139">
        <f t="shared" si="1"/>
        <v>8.5051499783199063</v>
      </c>
      <c r="I25" s="35">
        <f>G25</f>
        <v>320000000</v>
      </c>
      <c r="J25" s="35">
        <v>0</v>
      </c>
      <c r="K25" s="36">
        <v>36878</v>
      </c>
      <c r="L25" s="35">
        <v>0</v>
      </c>
      <c r="M25" s="21">
        <f t="shared" si="2"/>
        <v>4.3068493150684928</v>
      </c>
      <c r="N25" s="21">
        <f t="shared" si="28"/>
        <v>0.63415967724691436</v>
      </c>
      <c r="O25" s="35">
        <v>0</v>
      </c>
      <c r="P25" s="35">
        <f t="shared" si="3"/>
        <v>0</v>
      </c>
      <c r="Q25" s="35">
        <v>5</v>
      </c>
      <c r="R25" s="35">
        <f t="shared" si="4"/>
        <v>0.77815125038364363</v>
      </c>
      <c r="S25" s="45">
        <v>2.95</v>
      </c>
      <c r="T25" s="45">
        <f t="shared" si="29"/>
        <v>0.46982201597816303</v>
      </c>
      <c r="U25" s="175">
        <f t="shared" si="5"/>
        <v>-1</v>
      </c>
      <c r="V25" s="48">
        <f t="shared" si="6"/>
        <v>-1</v>
      </c>
      <c r="W25" s="35">
        <v>2315.9650000000001</v>
      </c>
      <c r="X25" s="35">
        <f t="shared" si="7"/>
        <v>3.3647319918335836</v>
      </c>
      <c r="Y25" s="35">
        <v>3703.9029999999998</v>
      </c>
      <c r="Z25" s="35">
        <f t="shared" si="8"/>
        <v>3.568659604598353</v>
      </c>
      <c r="AA25" s="35">
        <v>0</v>
      </c>
      <c r="AB25" s="37">
        <f t="shared" si="9"/>
        <v>0</v>
      </c>
      <c r="AC25" s="35">
        <v>85</v>
      </c>
      <c r="AD25" s="35">
        <f t="shared" si="30"/>
        <v>1.9294189257142926</v>
      </c>
      <c r="AE25" s="48">
        <v>27</v>
      </c>
      <c r="AF25" s="48">
        <f t="shared" si="31"/>
        <v>1.4313637641589874</v>
      </c>
      <c r="AG25" s="43">
        <v>37.123527923893597</v>
      </c>
      <c r="AH25" s="43">
        <f t="shared" si="32"/>
        <v>1.5696492413904459</v>
      </c>
      <c r="AI25" s="39">
        <v>0.46</v>
      </c>
      <c r="AJ25" s="48">
        <f t="shared" si="10"/>
        <v>0.16435285578443709</v>
      </c>
      <c r="AK25" s="35">
        <v>22</v>
      </c>
      <c r="AL25" s="35">
        <f t="shared" si="33"/>
        <v>1.3424226808222062</v>
      </c>
      <c r="AM25" s="35">
        <f t="shared" si="11"/>
        <v>1</v>
      </c>
      <c r="AN25" s="35">
        <f t="shared" si="12"/>
        <v>1</v>
      </c>
      <c r="AO25" s="35">
        <f t="shared" si="13"/>
        <v>0</v>
      </c>
      <c r="AP25" s="35">
        <f t="shared" si="14"/>
        <v>0</v>
      </c>
      <c r="AQ25" s="35">
        <f t="shared" si="15"/>
        <v>0</v>
      </c>
      <c r="AR25" s="35">
        <f t="shared" si="16"/>
        <v>0</v>
      </c>
      <c r="AS25" s="35">
        <f t="shared" si="17"/>
        <v>0</v>
      </c>
      <c r="AT25" s="35">
        <f t="shared" si="18"/>
        <v>0</v>
      </c>
      <c r="AU25" s="35">
        <f t="shared" si="19"/>
        <v>0</v>
      </c>
      <c r="AV25" s="35">
        <f t="shared" si="20"/>
        <v>0</v>
      </c>
      <c r="AW25" s="35">
        <f t="shared" si="21"/>
        <v>0</v>
      </c>
      <c r="AX25" s="35">
        <f t="shared" si="22"/>
        <v>0</v>
      </c>
      <c r="AY25" s="35">
        <f t="shared" si="23"/>
        <v>0</v>
      </c>
      <c r="AZ25" s="35">
        <f t="shared" si="24"/>
        <v>0</v>
      </c>
      <c r="BA25" s="35">
        <f t="shared" si="25"/>
        <v>0</v>
      </c>
      <c r="BB25" s="35">
        <f t="shared" si="26"/>
        <v>0</v>
      </c>
      <c r="BC25" s="35">
        <f t="shared" si="27"/>
        <v>0</v>
      </c>
    </row>
    <row r="26" spans="1:55" s="35" customFormat="1" x14ac:dyDescent="0.35">
      <c r="A26" s="36">
        <v>35430</v>
      </c>
      <c r="B26" s="35" t="s">
        <v>902</v>
      </c>
      <c r="C26" s="35" t="s">
        <v>59</v>
      </c>
      <c r="D26" s="35" t="s">
        <v>59</v>
      </c>
      <c r="E26" s="35" t="s">
        <v>47</v>
      </c>
      <c r="F26" s="139">
        <f t="shared" si="0"/>
        <v>0</v>
      </c>
      <c r="G26" s="35">
        <v>171000000</v>
      </c>
      <c r="H26" s="139">
        <f t="shared" si="1"/>
        <v>8.2329961103921541</v>
      </c>
      <c r="I26" s="35">
        <f>G26</f>
        <v>171000000</v>
      </c>
      <c r="J26" s="35">
        <v>0</v>
      </c>
      <c r="K26" s="36">
        <v>36842</v>
      </c>
      <c r="L26" s="35">
        <v>200000000</v>
      </c>
      <c r="M26" s="21">
        <f t="shared" si="2"/>
        <v>3.8684931506849316</v>
      </c>
      <c r="N26" s="21">
        <f t="shared" si="28"/>
        <v>0.58754183225931023</v>
      </c>
      <c r="O26" s="35">
        <v>0</v>
      </c>
      <c r="P26" s="35">
        <f t="shared" si="3"/>
        <v>0</v>
      </c>
      <c r="Q26" s="35">
        <v>0</v>
      </c>
      <c r="R26" s="35">
        <f t="shared" si="4"/>
        <v>0</v>
      </c>
      <c r="S26" s="45">
        <v>3.29</v>
      </c>
      <c r="T26" s="45">
        <f t="shared" si="29"/>
        <v>0.51719589794997434</v>
      </c>
      <c r="U26" s="175">
        <f t="shared" si="5"/>
        <v>0.16959064327485374</v>
      </c>
      <c r="V26" s="48">
        <f t="shared" si="6"/>
        <v>6.8033885271827341E-2</v>
      </c>
      <c r="W26" s="35">
        <v>2417.5229853975125</v>
      </c>
      <c r="X26" s="35">
        <f t="shared" si="7"/>
        <v>3.3833706119727633</v>
      </c>
      <c r="Y26" s="35">
        <v>9545.7003785830148</v>
      </c>
      <c r="Z26" s="35">
        <f t="shared" si="8"/>
        <v>3.9798077985646683</v>
      </c>
      <c r="AA26" s="37">
        <v>0</v>
      </c>
      <c r="AB26" s="37">
        <f t="shared" si="9"/>
        <v>0</v>
      </c>
      <c r="AC26" s="35">
        <v>85</v>
      </c>
      <c r="AD26" s="35">
        <f t="shared" si="30"/>
        <v>1.9294189257142926</v>
      </c>
      <c r="AE26" s="48">
        <v>29.3</v>
      </c>
      <c r="AF26" s="48">
        <f t="shared" si="31"/>
        <v>1.4668676203541096</v>
      </c>
      <c r="AG26" s="43">
        <v>36.913126831903199</v>
      </c>
      <c r="AH26" s="43">
        <f t="shared" si="32"/>
        <v>1.5671808349091383</v>
      </c>
      <c r="AI26" s="39">
        <v>0.9</v>
      </c>
      <c r="AJ26" s="48">
        <f t="shared" si="10"/>
        <v>0.27875360095282892</v>
      </c>
      <c r="AK26" s="35">
        <v>20</v>
      </c>
      <c r="AL26" s="35">
        <f t="shared" si="33"/>
        <v>1.3010299956639813</v>
      </c>
      <c r="AM26" s="35">
        <f t="shared" si="11"/>
        <v>0</v>
      </c>
      <c r="AN26" s="35">
        <f t="shared" si="12"/>
        <v>0</v>
      </c>
      <c r="AO26" s="35">
        <f t="shared" si="13"/>
        <v>1</v>
      </c>
      <c r="AP26" s="35">
        <f t="shared" si="14"/>
        <v>0</v>
      </c>
      <c r="AQ26" s="35">
        <f t="shared" si="15"/>
        <v>0</v>
      </c>
      <c r="AR26" s="35">
        <f t="shared" si="16"/>
        <v>0</v>
      </c>
      <c r="AS26" s="35">
        <f t="shared" si="17"/>
        <v>0</v>
      </c>
      <c r="AT26" s="35">
        <f t="shared" si="18"/>
        <v>0</v>
      </c>
      <c r="AU26" s="35">
        <f t="shared" si="19"/>
        <v>0</v>
      </c>
      <c r="AV26" s="35">
        <f t="shared" si="20"/>
        <v>0</v>
      </c>
      <c r="AW26" s="35">
        <f t="shared" si="21"/>
        <v>0</v>
      </c>
      <c r="AX26" s="35">
        <f t="shared" si="22"/>
        <v>0</v>
      </c>
      <c r="AY26" s="35">
        <f t="shared" si="23"/>
        <v>0</v>
      </c>
      <c r="AZ26" s="35">
        <f t="shared" si="24"/>
        <v>0</v>
      </c>
      <c r="BA26" s="35">
        <f t="shared" si="25"/>
        <v>0</v>
      </c>
      <c r="BB26" s="35">
        <f t="shared" si="26"/>
        <v>0</v>
      </c>
      <c r="BC26" s="35">
        <f t="shared" si="27"/>
        <v>0</v>
      </c>
    </row>
    <row r="27" spans="1:55" s="35" customFormat="1" x14ac:dyDescent="0.35">
      <c r="A27" s="36">
        <v>35520</v>
      </c>
      <c r="B27" s="35" t="s">
        <v>927</v>
      </c>
      <c r="C27" s="35" t="s">
        <v>59</v>
      </c>
      <c r="D27" s="35" t="s">
        <v>59</v>
      </c>
      <c r="E27" s="35" t="s">
        <v>47</v>
      </c>
      <c r="F27" s="139">
        <f t="shared" si="0"/>
        <v>0</v>
      </c>
      <c r="G27" s="35">
        <v>91000000</v>
      </c>
      <c r="H27" s="139">
        <f t="shared" si="1"/>
        <v>7.9590413923210939</v>
      </c>
      <c r="I27" s="35">
        <f>G27</f>
        <v>91000000</v>
      </c>
      <c r="J27" s="35">
        <v>0</v>
      </c>
      <c r="K27" s="36">
        <v>36179</v>
      </c>
      <c r="L27" s="35">
        <v>180000000</v>
      </c>
      <c r="M27" s="21">
        <f t="shared" si="2"/>
        <v>1.8054794520547945</v>
      </c>
      <c r="N27" s="21">
        <f t="shared" si="28"/>
        <v>0.25659255013753518</v>
      </c>
      <c r="O27" s="35">
        <v>0</v>
      </c>
      <c r="P27" s="35">
        <f t="shared" si="3"/>
        <v>0</v>
      </c>
      <c r="Q27" s="35">
        <v>1</v>
      </c>
      <c r="R27" s="35">
        <f t="shared" si="4"/>
        <v>0.3010299956639812</v>
      </c>
      <c r="S27" s="45">
        <v>3.29</v>
      </c>
      <c r="T27" s="45">
        <f t="shared" si="29"/>
        <v>0.51719589794997434</v>
      </c>
      <c r="U27" s="175">
        <f t="shared" si="5"/>
        <v>0.9780219780219781</v>
      </c>
      <c r="V27" s="48">
        <f t="shared" si="6"/>
        <v>0.29623111278221248</v>
      </c>
      <c r="W27" s="35">
        <v>3425.6694367497698</v>
      </c>
      <c r="X27" s="35">
        <f t="shared" si="7"/>
        <v>3.5347454529897258</v>
      </c>
      <c r="Y27" s="35">
        <v>9322.8685749461365</v>
      </c>
      <c r="Z27" s="35">
        <f t="shared" si="8"/>
        <v>3.9695495619878729</v>
      </c>
      <c r="AA27" s="37">
        <v>0</v>
      </c>
      <c r="AB27" s="37">
        <f t="shared" si="9"/>
        <v>0</v>
      </c>
      <c r="AC27" s="35">
        <v>85</v>
      </c>
      <c r="AD27" s="35">
        <f t="shared" si="30"/>
        <v>1.9294189257142926</v>
      </c>
      <c r="AE27" s="48">
        <v>30</v>
      </c>
      <c r="AF27" s="48">
        <f t="shared" si="31"/>
        <v>1.4771212547196624</v>
      </c>
      <c r="AG27" s="43">
        <v>35.807885111275297</v>
      </c>
      <c r="AH27" s="43">
        <f t="shared" si="32"/>
        <v>1.5539786714272548</v>
      </c>
      <c r="AI27" s="39">
        <v>0.25</v>
      </c>
      <c r="AJ27" s="48">
        <f t="shared" si="10"/>
        <v>9.691001300805642E-2</v>
      </c>
      <c r="AK27" s="35">
        <v>19</v>
      </c>
      <c r="AL27" s="35">
        <f t="shared" si="33"/>
        <v>1.2787536009528289</v>
      </c>
      <c r="AM27" s="35">
        <f t="shared" si="11"/>
        <v>0</v>
      </c>
      <c r="AN27" s="35">
        <f t="shared" si="12"/>
        <v>0</v>
      </c>
      <c r="AO27" s="35">
        <f t="shared" si="13"/>
        <v>1</v>
      </c>
      <c r="AP27" s="35">
        <f t="shared" si="14"/>
        <v>0</v>
      </c>
      <c r="AQ27" s="35">
        <f t="shared" si="15"/>
        <v>0</v>
      </c>
      <c r="AR27" s="35">
        <f t="shared" si="16"/>
        <v>0</v>
      </c>
      <c r="AS27" s="35">
        <f t="shared" si="17"/>
        <v>0</v>
      </c>
      <c r="AT27" s="35">
        <f t="shared" si="18"/>
        <v>0</v>
      </c>
      <c r="AU27" s="35">
        <f t="shared" si="19"/>
        <v>0</v>
      </c>
      <c r="AV27" s="35">
        <f t="shared" si="20"/>
        <v>0</v>
      </c>
      <c r="AW27" s="35">
        <f t="shared" si="21"/>
        <v>0</v>
      </c>
      <c r="AX27" s="35">
        <f t="shared" si="22"/>
        <v>0</v>
      </c>
      <c r="AY27" s="35">
        <f t="shared" si="23"/>
        <v>0</v>
      </c>
      <c r="AZ27" s="35">
        <f t="shared" si="24"/>
        <v>0</v>
      </c>
      <c r="BA27" s="35">
        <f t="shared" si="25"/>
        <v>0</v>
      </c>
      <c r="BB27" s="35">
        <f t="shared" si="26"/>
        <v>0</v>
      </c>
      <c r="BC27" s="35">
        <f t="shared" si="27"/>
        <v>0</v>
      </c>
    </row>
    <row r="28" spans="1:55" s="35" customFormat="1" x14ac:dyDescent="0.35">
      <c r="A28" s="36">
        <v>35562</v>
      </c>
      <c r="B28" s="35" t="s">
        <v>343</v>
      </c>
      <c r="C28" s="35" t="s">
        <v>45</v>
      </c>
      <c r="D28" s="35" t="s">
        <v>45</v>
      </c>
      <c r="E28" s="35" t="s">
        <v>102</v>
      </c>
      <c r="F28" s="139">
        <f t="shared" si="0"/>
        <v>0</v>
      </c>
      <c r="G28" s="35">
        <v>660000000</v>
      </c>
      <c r="H28" s="139">
        <f t="shared" si="1"/>
        <v>8.8195439355418692</v>
      </c>
      <c r="I28" s="35">
        <v>322000000</v>
      </c>
      <c r="J28" s="35">
        <v>338000000</v>
      </c>
      <c r="K28" s="36">
        <v>38384</v>
      </c>
      <c r="L28" s="35">
        <v>0</v>
      </c>
      <c r="M28" s="21">
        <f t="shared" si="2"/>
        <v>7.7315068493150685</v>
      </c>
      <c r="N28" s="21">
        <f t="shared" si="28"/>
        <v>0.88826414496185435</v>
      </c>
      <c r="O28" s="35">
        <v>0</v>
      </c>
      <c r="P28" s="35">
        <f t="shared" si="3"/>
        <v>0</v>
      </c>
      <c r="Q28" s="35">
        <v>11</v>
      </c>
      <c r="R28" s="35">
        <f t="shared" si="4"/>
        <v>1.0791812460476249</v>
      </c>
      <c r="S28" s="45">
        <v>2.95</v>
      </c>
      <c r="T28" s="45">
        <f t="shared" si="29"/>
        <v>0.46982201597816303</v>
      </c>
      <c r="U28" s="175">
        <f t="shared" si="5"/>
        <v>-1</v>
      </c>
      <c r="V28" s="48">
        <f t="shared" si="6"/>
        <v>-1</v>
      </c>
      <c r="W28" s="35">
        <v>1171.498</v>
      </c>
      <c r="X28" s="35">
        <f t="shared" si="7"/>
        <v>3.0687415514991745</v>
      </c>
      <c r="Y28" s="35">
        <v>3386.1060000000002</v>
      </c>
      <c r="Z28" s="35">
        <f t="shared" si="8"/>
        <v>3.5297005493117593</v>
      </c>
      <c r="AA28" s="37">
        <v>0</v>
      </c>
      <c r="AB28" s="37">
        <f t="shared" si="9"/>
        <v>0</v>
      </c>
      <c r="AC28" s="35">
        <v>85</v>
      </c>
      <c r="AD28" s="35">
        <f t="shared" si="30"/>
        <v>1.9294189257142926</v>
      </c>
      <c r="AE28" s="48">
        <v>27.4</v>
      </c>
      <c r="AF28" s="48">
        <f t="shared" si="31"/>
        <v>1.4377505628203879</v>
      </c>
      <c r="AG28" s="43">
        <v>35.968444143503902</v>
      </c>
      <c r="AH28" s="43">
        <f t="shared" si="32"/>
        <v>1.5559216523165715</v>
      </c>
      <c r="AI28" s="39">
        <v>0.17</v>
      </c>
      <c r="AJ28" s="48">
        <f t="shared" si="10"/>
        <v>6.8185861746161619E-2</v>
      </c>
      <c r="AK28" s="35">
        <v>21</v>
      </c>
      <c r="AL28" s="35">
        <f t="shared" si="33"/>
        <v>1.3222192947339193</v>
      </c>
      <c r="AM28" s="35">
        <f t="shared" si="11"/>
        <v>1</v>
      </c>
      <c r="AN28" s="35">
        <f t="shared" si="12"/>
        <v>1</v>
      </c>
      <c r="AO28" s="35">
        <f t="shared" si="13"/>
        <v>0</v>
      </c>
      <c r="AP28" s="35">
        <f t="shared" si="14"/>
        <v>0</v>
      </c>
      <c r="AQ28" s="35">
        <f t="shared" si="15"/>
        <v>0</v>
      </c>
      <c r="AR28" s="35">
        <f t="shared" si="16"/>
        <v>0</v>
      </c>
      <c r="AS28" s="35">
        <f t="shared" si="17"/>
        <v>0</v>
      </c>
      <c r="AT28" s="35">
        <f t="shared" si="18"/>
        <v>0</v>
      </c>
      <c r="AU28" s="35">
        <f t="shared" si="19"/>
        <v>0</v>
      </c>
      <c r="AV28" s="35">
        <f t="shared" si="20"/>
        <v>0</v>
      </c>
      <c r="AW28" s="35">
        <f t="shared" si="21"/>
        <v>0</v>
      </c>
      <c r="AX28" s="35">
        <f t="shared" si="22"/>
        <v>0</v>
      </c>
      <c r="AY28" s="35">
        <f t="shared" si="23"/>
        <v>0</v>
      </c>
      <c r="AZ28" s="35">
        <f t="shared" si="24"/>
        <v>0</v>
      </c>
      <c r="BA28" s="35">
        <f t="shared" si="25"/>
        <v>0</v>
      </c>
      <c r="BB28" s="35">
        <f t="shared" si="26"/>
        <v>0</v>
      </c>
      <c r="BC28" s="35">
        <f t="shared" si="27"/>
        <v>0</v>
      </c>
    </row>
    <row r="29" spans="1:55" s="35" customFormat="1" x14ac:dyDescent="0.35">
      <c r="A29" s="36">
        <v>35578</v>
      </c>
      <c r="B29" s="35" t="s">
        <v>1177</v>
      </c>
      <c r="C29" s="35" t="s">
        <v>45</v>
      </c>
      <c r="D29" s="35" t="s">
        <v>602</v>
      </c>
      <c r="E29" s="35" t="s">
        <v>47</v>
      </c>
      <c r="F29" s="139">
        <f t="shared" si="0"/>
        <v>0</v>
      </c>
      <c r="G29" s="35">
        <v>716010000</v>
      </c>
      <c r="H29" s="139">
        <f t="shared" si="1"/>
        <v>8.8549190878308881</v>
      </c>
      <c r="I29" s="35">
        <f>G29</f>
        <v>716010000</v>
      </c>
      <c r="J29" s="35">
        <v>0</v>
      </c>
      <c r="K29" s="36">
        <v>36360</v>
      </c>
      <c r="L29" s="35">
        <v>1329920000</v>
      </c>
      <c r="M29" s="21">
        <f t="shared" si="2"/>
        <v>2.1424657534246574</v>
      </c>
      <c r="N29" s="21">
        <f t="shared" si="28"/>
        <v>0.33091388860337329</v>
      </c>
      <c r="O29" s="35">
        <v>0</v>
      </c>
      <c r="P29" s="35">
        <f t="shared" si="3"/>
        <v>0</v>
      </c>
      <c r="Q29" s="35">
        <v>0</v>
      </c>
      <c r="R29" s="35">
        <f t="shared" si="4"/>
        <v>0</v>
      </c>
      <c r="S29" s="45">
        <v>2.95</v>
      </c>
      <c r="T29" s="45">
        <f t="shared" si="29"/>
        <v>0.46982201597816303</v>
      </c>
      <c r="U29" s="175">
        <f t="shared" si="5"/>
        <v>0.8574042261979582</v>
      </c>
      <c r="V29" s="48">
        <f t="shared" si="6"/>
        <v>0.26890642937415743</v>
      </c>
      <c r="W29" s="35">
        <v>2315.9650000000001</v>
      </c>
      <c r="X29" s="35">
        <f t="shared" si="7"/>
        <v>3.3647319918335836</v>
      </c>
      <c r="Y29" s="35">
        <v>3703.9029999999998</v>
      </c>
      <c r="Z29" s="35">
        <f t="shared" si="8"/>
        <v>3.568659604598353</v>
      </c>
      <c r="AA29" s="35">
        <v>0</v>
      </c>
      <c r="AB29" s="37">
        <f t="shared" si="9"/>
        <v>0</v>
      </c>
      <c r="AC29" s="35">
        <v>85</v>
      </c>
      <c r="AD29" s="35">
        <f t="shared" si="30"/>
        <v>1.9294189257142926</v>
      </c>
      <c r="AE29" s="48">
        <v>27.4</v>
      </c>
      <c r="AF29" s="48">
        <f t="shared" si="31"/>
        <v>1.4377505628203879</v>
      </c>
      <c r="AG29" s="43">
        <v>35.968444143503902</v>
      </c>
      <c r="AH29" s="43">
        <f t="shared" si="32"/>
        <v>1.5559216523165715</v>
      </c>
      <c r="AI29" s="39">
        <v>1.1100000000000001</v>
      </c>
      <c r="AJ29" s="48">
        <f t="shared" si="10"/>
        <v>0.32428245529769273</v>
      </c>
      <c r="AK29" s="35">
        <v>29</v>
      </c>
      <c r="AL29" s="35">
        <f t="shared" si="33"/>
        <v>1.4623979978989561</v>
      </c>
      <c r="AM29" s="35">
        <f t="shared" si="11"/>
        <v>0</v>
      </c>
      <c r="AN29" s="35">
        <f t="shared" si="12"/>
        <v>1</v>
      </c>
      <c r="AO29" s="35">
        <f t="shared" si="13"/>
        <v>0</v>
      </c>
      <c r="AP29" s="35">
        <f t="shared" si="14"/>
        <v>0</v>
      </c>
      <c r="AQ29" s="35">
        <f t="shared" si="15"/>
        <v>0</v>
      </c>
      <c r="AR29" s="35">
        <f t="shared" si="16"/>
        <v>0</v>
      </c>
      <c r="AS29" s="35">
        <f t="shared" si="17"/>
        <v>0</v>
      </c>
      <c r="AT29" s="35">
        <f t="shared" si="18"/>
        <v>0</v>
      </c>
      <c r="AU29" s="35">
        <f t="shared" si="19"/>
        <v>0</v>
      </c>
      <c r="AV29" s="35">
        <f t="shared" si="20"/>
        <v>0</v>
      </c>
      <c r="AW29" s="35">
        <f t="shared" si="21"/>
        <v>0</v>
      </c>
      <c r="AX29" s="35">
        <f t="shared" si="22"/>
        <v>0</v>
      </c>
      <c r="AY29" s="35">
        <f t="shared" si="23"/>
        <v>0</v>
      </c>
      <c r="AZ29" s="35">
        <f t="shared" si="24"/>
        <v>0</v>
      </c>
      <c r="BA29" s="35">
        <f t="shared" si="25"/>
        <v>0</v>
      </c>
      <c r="BB29" s="35">
        <f t="shared" si="26"/>
        <v>0</v>
      </c>
      <c r="BC29" s="35">
        <f t="shared" si="27"/>
        <v>0</v>
      </c>
    </row>
    <row r="30" spans="1:55" s="35" customFormat="1" x14ac:dyDescent="0.35">
      <c r="A30" s="36">
        <v>35607</v>
      </c>
      <c r="B30" s="139" t="s">
        <v>58</v>
      </c>
      <c r="C30" s="139" t="s">
        <v>59</v>
      </c>
      <c r="D30" s="139" t="s">
        <v>59</v>
      </c>
      <c r="E30" s="139" t="s">
        <v>47</v>
      </c>
      <c r="F30" s="139">
        <f t="shared" si="0"/>
        <v>0</v>
      </c>
      <c r="G30" s="139">
        <v>52000000</v>
      </c>
      <c r="H30" s="139">
        <f t="shared" si="1"/>
        <v>7.7160033436347994</v>
      </c>
      <c r="I30" s="139">
        <v>52000000</v>
      </c>
      <c r="J30" s="139">
        <v>0</v>
      </c>
      <c r="K30" s="18">
        <v>38989</v>
      </c>
      <c r="L30" s="139">
        <v>18932000</v>
      </c>
      <c r="M30" s="21">
        <f t="shared" si="2"/>
        <v>9.2657534246575342</v>
      </c>
      <c r="N30" s="21">
        <f t="shared" si="28"/>
        <v>0.96688073880524827</v>
      </c>
      <c r="O30" s="35">
        <v>0</v>
      </c>
      <c r="P30" s="35">
        <f t="shared" si="3"/>
        <v>0</v>
      </c>
      <c r="Q30" s="35">
        <v>0</v>
      </c>
      <c r="R30" s="35">
        <f t="shared" si="4"/>
        <v>0</v>
      </c>
      <c r="S30" s="45">
        <v>3.29</v>
      </c>
      <c r="T30" s="45">
        <f t="shared" si="29"/>
        <v>0.51719589794997434</v>
      </c>
      <c r="U30" s="175">
        <f t="shared" si="5"/>
        <v>-0.63592307692307692</v>
      </c>
      <c r="V30" s="48">
        <f t="shared" si="6"/>
        <v>-0.43880684783884277</v>
      </c>
      <c r="W30" s="35">
        <v>1932.09461208012</v>
      </c>
      <c r="X30" s="35">
        <f t="shared" si="7"/>
        <v>3.2860283894181141</v>
      </c>
      <c r="Y30" s="35">
        <v>8126.3909735520938</v>
      </c>
      <c r="Z30" s="35">
        <f t="shared" si="8"/>
        <v>3.9098977130890344</v>
      </c>
      <c r="AA30" s="37">
        <v>0</v>
      </c>
      <c r="AB30" s="37">
        <f t="shared" si="9"/>
        <v>0</v>
      </c>
      <c r="AC30" s="35">
        <v>85</v>
      </c>
      <c r="AD30" s="35">
        <f t="shared" si="30"/>
        <v>1.9294189257142926</v>
      </c>
      <c r="AE30" s="48">
        <v>30</v>
      </c>
      <c r="AF30" s="48">
        <f t="shared" si="31"/>
        <v>1.4771212547196624</v>
      </c>
      <c r="AG30" s="43">
        <v>35.807885111275297</v>
      </c>
      <c r="AH30" s="43">
        <f t="shared" si="32"/>
        <v>1.5539786714272548</v>
      </c>
      <c r="AI30" s="39">
        <v>0.76</v>
      </c>
      <c r="AJ30" s="48">
        <f t="shared" si="10"/>
        <v>0.24551266781414982</v>
      </c>
      <c r="AK30" s="35">
        <v>29</v>
      </c>
      <c r="AL30" s="35">
        <f t="shared" si="33"/>
        <v>1.4623979978989561</v>
      </c>
      <c r="AM30" s="35">
        <f t="shared" si="11"/>
        <v>0</v>
      </c>
      <c r="AN30" s="35">
        <f t="shared" si="12"/>
        <v>0</v>
      </c>
      <c r="AO30" s="35">
        <f t="shared" si="13"/>
        <v>1</v>
      </c>
      <c r="AP30" s="35">
        <f t="shared" si="14"/>
        <v>0</v>
      </c>
      <c r="AQ30" s="35">
        <f t="shared" si="15"/>
        <v>0</v>
      </c>
      <c r="AR30" s="35">
        <f t="shared" si="16"/>
        <v>0</v>
      </c>
      <c r="AS30" s="35">
        <f t="shared" si="17"/>
        <v>0</v>
      </c>
      <c r="AT30" s="35">
        <f t="shared" si="18"/>
        <v>0</v>
      </c>
      <c r="AU30" s="35">
        <f t="shared" si="19"/>
        <v>0</v>
      </c>
      <c r="AV30" s="35">
        <f t="shared" si="20"/>
        <v>0</v>
      </c>
      <c r="AW30" s="35">
        <f t="shared" si="21"/>
        <v>0</v>
      </c>
      <c r="AX30" s="35">
        <f t="shared" si="22"/>
        <v>0</v>
      </c>
      <c r="AY30" s="35">
        <f t="shared" si="23"/>
        <v>0</v>
      </c>
      <c r="AZ30" s="35">
        <f t="shared" si="24"/>
        <v>0</v>
      </c>
      <c r="BA30" s="35">
        <f t="shared" si="25"/>
        <v>0</v>
      </c>
      <c r="BB30" s="35">
        <f t="shared" si="26"/>
        <v>0</v>
      </c>
      <c r="BC30" s="35">
        <f t="shared" si="27"/>
        <v>0</v>
      </c>
    </row>
    <row r="31" spans="1:55" s="35" customFormat="1" x14ac:dyDescent="0.35">
      <c r="A31" s="36">
        <v>35702</v>
      </c>
      <c r="B31" s="35" t="s">
        <v>1179</v>
      </c>
      <c r="C31" s="35" t="s">
        <v>45</v>
      </c>
      <c r="D31" s="35" t="s">
        <v>602</v>
      </c>
      <c r="E31" s="35" t="s">
        <v>47</v>
      </c>
      <c r="F31" s="139">
        <f t="shared" si="0"/>
        <v>0</v>
      </c>
      <c r="G31" s="35">
        <v>650000000</v>
      </c>
      <c r="H31" s="139">
        <f t="shared" si="1"/>
        <v>8.8129133566428557</v>
      </c>
      <c r="I31" s="35">
        <f>G31</f>
        <v>650000000</v>
      </c>
      <c r="J31" s="35">
        <v>0</v>
      </c>
      <c r="K31" s="36">
        <v>37957</v>
      </c>
      <c r="L31" s="35">
        <v>912400000</v>
      </c>
      <c r="M31" s="21">
        <f t="shared" si="2"/>
        <v>6.1780821917808222</v>
      </c>
      <c r="N31" s="21">
        <f t="shared" si="28"/>
        <v>0.7908536817575047</v>
      </c>
      <c r="O31" s="35">
        <v>0</v>
      </c>
      <c r="P31" s="35">
        <f t="shared" si="3"/>
        <v>0</v>
      </c>
      <c r="Q31" s="35">
        <v>3</v>
      </c>
      <c r="R31" s="35">
        <f t="shared" si="4"/>
        <v>0.6020599913279624</v>
      </c>
      <c r="S31" s="45">
        <v>2.95</v>
      </c>
      <c r="T31" s="45">
        <f t="shared" si="29"/>
        <v>0.46982201597816303</v>
      </c>
      <c r="U31" s="175">
        <f t="shared" si="5"/>
        <v>0.40369230769230779</v>
      </c>
      <c r="V31" s="48">
        <f t="shared" si="6"/>
        <v>0.14727191996175543</v>
      </c>
      <c r="W31" s="35">
        <v>2315.9650000000001</v>
      </c>
      <c r="X31" s="35">
        <f t="shared" si="7"/>
        <v>3.3647319918335836</v>
      </c>
      <c r="Y31" s="35">
        <v>3703.9029999999998</v>
      </c>
      <c r="Z31" s="35">
        <f t="shared" si="8"/>
        <v>3.568659604598353</v>
      </c>
      <c r="AA31" s="35">
        <v>0</v>
      </c>
      <c r="AB31" s="37">
        <f t="shared" si="9"/>
        <v>0</v>
      </c>
      <c r="AC31" s="35">
        <v>85</v>
      </c>
      <c r="AD31" s="35">
        <f t="shared" si="30"/>
        <v>1.9294189257142926</v>
      </c>
      <c r="AE31" s="48">
        <v>27.4</v>
      </c>
      <c r="AF31" s="48">
        <f t="shared" si="31"/>
        <v>1.4377505628203879</v>
      </c>
      <c r="AG31" s="43">
        <v>35.968444143503902</v>
      </c>
      <c r="AH31" s="43">
        <f t="shared" si="32"/>
        <v>1.5559216523165715</v>
      </c>
      <c r="AI31" s="39">
        <v>0.81</v>
      </c>
      <c r="AJ31" s="48">
        <f t="shared" si="10"/>
        <v>0.2576785748691845</v>
      </c>
      <c r="AK31" s="35">
        <v>12</v>
      </c>
      <c r="AL31" s="35">
        <f t="shared" si="33"/>
        <v>1.0791812460476249</v>
      </c>
      <c r="AM31" s="35">
        <f t="shared" si="11"/>
        <v>0</v>
      </c>
      <c r="AN31" s="35">
        <f t="shared" si="12"/>
        <v>1</v>
      </c>
      <c r="AO31" s="35">
        <f t="shared" si="13"/>
        <v>0</v>
      </c>
      <c r="AP31" s="35">
        <f t="shared" si="14"/>
        <v>0</v>
      </c>
      <c r="AQ31" s="35">
        <f t="shared" si="15"/>
        <v>0</v>
      </c>
      <c r="AR31" s="35">
        <f t="shared" si="16"/>
        <v>0</v>
      </c>
      <c r="AS31" s="35">
        <f t="shared" si="17"/>
        <v>0</v>
      </c>
      <c r="AT31" s="35">
        <f t="shared" si="18"/>
        <v>0</v>
      </c>
      <c r="AU31" s="35">
        <f t="shared" si="19"/>
        <v>0</v>
      </c>
      <c r="AV31" s="35">
        <f t="shared" si="20"/>
        <v>0</v>
      </c>
      <c r="AW31" s="35">
        <f t="shared" si="21"/>
        <v>0</v>
      </c>
      <c r="AX31" s="35">
        <f t="shared" si="22"/>
        <v>0</v>
      </c>
      <c r="AY31" s="35">
        <f t="shared" si="23"/>
        <v>0</v>
      </c>
      <c r="AZ31" s="35">
        <f t="shared" si="24"/>
        <v>0</v>
      </c>
      <c r="BA31" s="35">
        <f t="shared" si="25"/>
        <v>0</v>
      </c>
      <c r="BB31" s="35">
        <f t="shared" si="26"/>
        <v>0</v>
      </c>
      <c r="BC31" s="35">
        <f t="shared" si="27"/>
        <v>0</v>
      </c>
    </row>
    <row r="32" spans="1:55" s="35" customFormat="1" x14ac:dyDescent="0.35">
      <c r="A32" s="36">
        <v>35761</v>
      </c>
      <c r="B32" s="35" t="s">
        <v>751</v>
      </c>
      <c r="C32" s="35" t="s">
        <v>2</v>
      </c>
      <c r="D32" s="35" t="s">
        <v>577</v>
      </c>
      <c r="E32" s="35" t="s">
        <v>64</v>
      </c>
      <c r="F32" s="139">
        <f t="shared" si="0"/>
        <v>1</v>
      </c>
      <c r="G32" s="35">
        <v>24000000</v>
      </c>
      <c r="H32" s="139">
        <f t="shared" si="1"/>
        <v>7.3802112417116064</v>
      </c>
      <c r="I32" s="35">
        <f>G32</f>
        <v>24000000</v>
      </c>
      <c r="J32" s="35">
        <v>263300000</v>
      </c>
      <c r="K32" s="36">
        <v>36739</v>
      </c>
      <c r="L32" s="35">
        <v>224000000</v>
      </c>
      <c r="M32" s="21">
        <f t="shared" si="2"/>
        <v>2.6794520547945204</v>
      </c>
      <c r="N32" s="21">
        <f t="shared" si="28"/>
        <v>0.42804599033112672</v>
      </c>
      <c r="O32" s="35">
        <v>917.19</v>
      </c>
      <c r="P32" s="35">
        <f t="shared" si="3"/>
        <v>2.9629325585580042</v>
      </c>
      <c r="Q32" s="35">
        <v>2</v>
      </c>
      <c r="R32" s="35">
        <f t="shared" si="4"/>
        <v>0.47712125471966244</v>
      </c>
      <c r="S32" s="45">
        <v>2.62</v>
      </c>
      <c r="T32" s="45">
        <f t="shared" si="29"/>
        <v>0.41830129131974547</v>
      </c>
      <c r="U32" s="175">
        <f t="shared" si="5"/>
        <v>8.3333333333333339</v>
      </c>
      <c r="V32" s="48">
        <f t="shared" si="6"/>
        <v>0.97003677662255683</v>
      </c>
      <c r="W32" s="35">
        <v>1861.7599999999995</v>
      </c>
      <c r="X32" s="35">
        <f t="shared" si="7"/>
        <v>3.2699236952309461</v>
      </c>
      <c r="Y32" s="35">
        <v>4993.920000000001</v>
      </c>
      <c r="Z32" s="35">
        <f t="shared" si="8"/>
        <v>3.6984415808994222</v>
      </c>
      <c r="AA32" s="37">
        <v>854.66666666666697</v>
      </c>
      <c r="AB32" s="37">
        <f t="shared" si="9"/>
        <v>2.9323046139517812</v>
      </c>
      <c r="AC32" s="35">
        <v>70</v>
      </c>
      <c r="AD32" s="35">
        <f t="shared" si="30"/>
        <v>1.8450980400142569</v>
      </c>
      <c r="AE32" s="48">
        <v>35.200000000000003</v>
      </c>
      <c r="AF32" s="48">
        <f t="shared" si="31"/>
        <v>1.546542663478131</v>
      </c>
      <c r="AG32" s="43">
        <v>48.057282584935102</v>
      </c>
      <c r="AH32" s="43">
        <f t="shared" si="32"/>
        <v>1.6817592098358938</v>
      </c>
      <c r="AI32" s="39">
        <v>0.18</v>
      </c>
      <c r="AJ32" s="48">
        <f t="shared" si="10"/>
        <v>7.1882007306125359E-2</v>
      </c>
      <c r="AK32" s="35">
        <v>7</v>
      </c>
      <c r="AL32" s="35">
        <f t="shared" si="33"/>
        <v>0.84509804001425681</v>
      </c>
      <c r="AM32" s="35">
        <f t="shared" si="11"/>
        <v>0</v>
      </c>
      <c r="AN32" s="35">
        <f t="shared" si="12"/>
        <v>0</v>
      </c>
      <c r="AO32" s="35">
        <f t="shared" si="13"/>
        <v>0</v>
      </c>
      <c r="AP32" s="35">
        <f t="shared" si="14"/>
        <v>0</v>
      </c>
      <c r="AQ32" s="35">
        <f t="shared" si="15"/>
        <v>0</v>
      </c>
      <c r="AR32" s="35">
        <f t="shared" si="16"/>
        <v>0</v>
      </c>
      <c r="AS32" s="35">
        <f t="shared" si="17"/>
        <v>0</v>
      </c>
      <c r="AT32" s="35">
        <f t="shared" si="18"/>
        <v>0</v>
      </c>
      <c r="AU32" s="35">
        <f t="shared" si="19"/>
        <v>0</v>
      </c>
      <c r="AV32" s="35">
        <f t="shared" si="20"/>
        <v>1</v>
      </c>
      <c r="AW32" s="35">
        <f t="shared" si="21"/>
        <v>0</v>
      </c>
      <c r="AX32" s="35">
        <f t="shared" si="22"/>
        <v>0</v>
      </c>
      <c r="AY32" s="35">
        <f t="shared" si="23"/>
        <v>0</v>
      </c>
      <c r="AZ32" s="35">
        <f t="shared" si="24"/>
        <v>0</v>
      </c>
      <c r="BA32" s="35">
        <f t="shared" si="25"/>
        <v>0</v>
      </c>
      <c r="BB32" s="35">
        <f t="shared" si="26"/>
        <v>0</v>
      </c>
      <c r="BC32" s="35">
        <f t="shared" si="27"/>
        <v>0</v>
      </c>
    </row>
    <row r="33" spans="1:55" s="35" customFormat="1" x14ac:dyDescent="0.35">
      <c r="A33" s="169">
        <v>35788</v>
      </c>
      <c r="B33" s="35" t="s">
        <v>348</v>
      </c>
      <c r="C33" s="35" t="s">
        <v>45</v>
      </c>
      <c r="D33" s="35" t="s">
        <v>45</v>
      </c>
      <c r="E33" s="35" t="s">
        <v>102</v>
      </c>
      <c r="F33" s="139">
        <f t="shared" si="0"/>
        <v>0</v>
      </c>
      <c r="G33" s="35">
        <v>258000000</v>
      </c>
      <c r="H33" s="139">
        <f t="shared" si="1"/>
        <v>8.4116197059632309</v>
      </c>
      <c r="I33" s="35">
        <v>191270000</v>
      </c>
      <c r="J33" s="35">
        <v>66730000</v>
      </c>
      <c r="K33" s="36">
        <v>36202</v>
      </c>
      <c r="L33" s="35">
        <v>842000000</v>
      </c>
      <c r="M33" s="21">
        <f t="shared" si="2"/>
        <v>1.1342465753424658</v>
      </c>
      <c r="N33" s="21">
        <f t="shared" si="28"/>
        <v>5.4707476664424243E-2</v>
      </c>
      <c r="O33" s="35">
        <v>0</v>
      </c>
      <c r="P33" s="35">
        <f t="shared" si="3"/>
        <v>0</v>
      </c>
      <c r="Q33" s="35">
        <v>14</v>
      </c>
      <c r="R33" s="35">
        <f t="shared" si="4"/>
        <v>1.1760912590556813</v>
      </c>
      <c r="S33" s="45">
        <v>2.95</v>
      </c>
      <c r="T33" s="45">
        <f t="shared" si="29"/>
        <v>0.46982201597816303</v>
      </c>
      <c r="U33" s="175">
        <f t="shared" si="5"/>
        <v>2.2635658914728682</v>
      </c>
      <c r="V33" s="48">
        <f t="shared" si="6"/>
        <v>0.51369238553641938</v>
      </c>
      <c r="W33" s="35">
        <v>1518.5350000000001</v>
      </c>
      <c r="X33" s="35">
        <f t="shared" si="7"/>
        <v>3.1814248062191788</v>
      </c>
      <c r="Y33" s="35">
        <v>5363.16</v>
      </c>
      <c r="Z33" s="35">
        <f t="shared" si="8"/>
        <v>3.7294207535322617</v>
      </c>
      <c r="AA33" s="37">
        <v>0</v>
      </c>
      <c r="AB33" s="37">
        <f t="shared" si="9"/>
        <v>0</v>
      </c>
      <c r="AC33" s="35">
        <v>85</v>
      </c>
      <c r="AD33" s="35">
        <f t="shared" si="30"/>
        <v>1.9294189257142926</v>
      </c>
      <c r="AE33" s="48">
        <v>27.4</v>
      </c>
      <c r="AF33" s="48">
        <f t="shared" si="31"/>
        <v>1.4377505628203879</v>
      </c>
      <c r="AG33" s="43">
        <v>35.968444143503902</v>
      </c>
      <c r="AH33" s="43">
        <f t="shared" si="32"/>
        <v>1.5559216523165715</v>
      </c>
      <c r="AI33" s="39">
        <v>0.68</v>
      </c>
      <c r="AJ33" s="48">
        <f t="shared" si="10"/>
        <v>0.2253092817258629</v>
      </c>
      <c r="AK33" s="35">
        <v>24</v>
      </c>
      <c r="AL33" s="35">
        <f t="shared" si="33"/>
        <v>1.3802112417116059</v>
      </c>
      <c r="AM33" s="35">
        <f t="shared" si="11"/>
        <v>0</v>
      </c>
      <c r="AN33" s="35">
        <f t="shared" si="12"/>
        <v>1</v>
      </c>
      <c r="AO33" s="35">
        <f t="shared" si="13"/>
        <v>0</v>
      </c>
      <c r="AP33" s="35">
        <f t="shared" si="14"/>
        <v>0</v>
      </c>
      <c r="AQ33" s="35">
        <f t="shared" si="15"/>
        <v>0</v>
      </c>
      <c r="AR33" s="35">
        <f t="shared" si="16"/>
        <v>0</v>
      </c>
      <c r="AS33" s="35">
        <f t="shared" si="17"/>
        <v>0</v>
      </c>
      <c r="AT33" s="35">
        <f t="shared" si="18"/>
        <v>0</v>
      </c>
      <c r="AU33" s="35">
        <f t="shared" si="19"/>
        <v>0</v>
      </c>
      <c r="AV33" s="35">
        <f t="shared" si="20"/>
        <v>0</v>
      </c>
      <c r="AW33" s="35">
        <f t="shared" si="21"/>
        <v>0</v>
      </c>
      <c r="AX33" s="35">
        <f t="shared" si="22"/>
        <v>0</v>
      </c>
      <c r="AY33" s="35">
        <f t="shared" si="23"/>
        <v>0</v>
      </c>
      <c r="AZ33" s="35">
        <f t="shared" si="24"/>
        <v>0</v>
      </c>
      <c r="BA33" s="35">
        <f t="shared" si="25"/>
        <v>0</v>
      </c>
      <c r="BB33" s="35">
        <f t="shared" si="26"/>
        <v>0</v>
      </c>
      <c r="BC33" s="35">
        <f t="shared" si="27"/>
        <v>0</v>
      </c>
    </row>
    <row r="34" spans="1:55" s="35" customFormat="1" x14ac:dyDescent="0.35">
      <c r="A34" s="36">
        <v>35870</v>
      </c>
      <c r="B34" s="35" t="s">
        <v>980</v>
      </c>
      <c r="C34" s="35" t="s">
        <v>59</v>
      </c>
      <c r="D34" s="35" t="s">
        <v>45</v>
      </c>
      <c r="E34" s="35" t="s">
        <v>64</v>
      </c>
      <c r="F34" s="139">
        <f t="shared" si="0"/>
        <v>1</v>
      </c>
      <c r="G34" s="35">
        <v>44000000</v>
      </c>
      <c r="H34" s="139">
        <f t="shared" si="1"/>
        <v>7.6434526764861879</v>
      </c>
      <c r="I34" s="35">
        <f>G34</f>
        <v>44000000</v>
      </c>
      <c r="J34" s="35">
        <v>0</v>
      </c>
      <c r="K34" s="36">
        <v>38930</v>
      </c>
      <c r="L34" s="35">
        <v>84070000</v>
      </c>
      <c r="M34" s="21">
        <f t="shared" si="2"/>
        <v>8.3835616438356162</v>
      </c>
      <c r="N34" s="21">
        <f t="shared" si="28"/>
        <v>0.92342856202510526</v>
      </c>
      <c r="O34" s="35">
        <v>5897.96</v>
      </c>
      <c r="P34" s="35">
        <f t="shared" si="3"/>
        <v>3.7707754512906644</v>
      </c>
      <c r="Q34" s="35">
        <v>27</v>
      </c>
      <c r="R34" s="35">
        <f t="shared" si="4"/>
        <v>1.4471580313422192</v>
      </c>
      <c r="S34" s="45">
        <v>2.3199999999999998</v>
      </c>
      <c r="T34" s="45">
        <f t="shared" si="29"/>
        <v>0.36548798489089962</v>
      </c>
      <c r="U34" s="175">
        <f t="shared" si="5"/>
        <v>0.91068181818181815</v>
      </c>
      <c r="V34" s="48">
        <f t="shared" si="6"/>
        <v>0.28118837093097543</v>
      </c>
      <c r="W34" s="35">
        <v>2094.8028483366988</v>
      </c>
      <c r="X34" s="35">
        <f t="shared" si="7"/>
        <v>3.3211431557469533</v>
      </c>
      <c r="Y34" s="35">
        <v>8441.9173132107553</v>
      </c>
      <c r="Z34" s="35">
        <f t="shared" si="8"/>
        <v>3.9264410940169014</v>
      </c>
      <c r="AA34" s="37">
        <v>132</v>
      </c>
      <c r="AB34" s="37">
        <f t="shared" si="9"/>
        <v>2.1238516409670858</v>
      </c>
      <c r="AC34" s="35">
        <v>85</v>
      </c>
      <c r="AD34" s="35">
        <f t="shared" si="30"/>
        <v>1.9294189257142926</v>
      </c>
      <c r="AE34" s="48">
        <v>31.5</v>
      </c>
      <c r="AF34" s="48">
        <f t="shared" si="31"/>
        <v>1.4983105537896004</v>
      </c>
      <c r="AG34" s="43">
        <v>35.516899069648296</v>
      </c>
      <c r="AH34" s="43">
        <f t="shared" si="32"/>
        <v>1.5504350411232082</v>
      </c>
      <c r="AI34" s="39">
        <v>0.85</v>
      </c>
      <c r="AJ34" s="48">
        <f t="shared" si="10"/>
        <v>0.26717172840301384</v>
      </c>
      <c r="AK34" s="35">
        <v>23</v>
      </c>
      <c r="AL34" s="35">
        <f t="shared" si="33"/>
        <v>1.3617278360175928</v>
      </c>
      <c r="AM34" s="35">
        <f t="shared" si="11"/>
        <v>0</v>
      </c>
      <c r="AN34" s="35">
        <f t="shared" si="12"/>
        <v>0</v>
      </c>
      <c r="AO34" s="35">
        <f t="shared" si="13"/>
        <v>1</v>
      </c>
      <c r="AP34" s="35">
        <f t="shared" si="14"/>
        <v>0</v>
      </c>
      <c r="AQ34" s="35">
        <f t="shared" si="15"/>
        <v>0</v>
      </c>
      <c r="AR34" s="35">
        <f t="shared" si="16"/>
        <v>0</v>
      </c>
      <c r="AS34" s="35">
        <f t="shared" si="17"/>
        <v>0</v>
      </c>
      <c r="AT34" s="35">
        <f t="shared" si="18"/>
        <v>0</v>
      </c>
      <c r="AU34" s="35">
        <f t="shared" si="19"/>
        <v>0</v>
      </c>
      <c r="AV34" s="35">
        <f t="shared" si="20"/>
        <v>0</v>
      </c>
      <c r="AW34" s="35">
        <f t="shared" si="21"/>
        <v>0</v>
      </c>
      <c r="AX34" s="35">
        <f t="shared" si="22"/>
        <v>0</v>
      </c>
      <c r="AY34" s="35">
        <f t="shared" si="23"/>
        <v>0</v>
      </c>
      <c r="AZ34" s="35">
        <f t="shared" si="24"/>
        <v>0</v>
      </c>
      <c r="BA34" s="35">
        <f t="shared" si="25"/>
        <v>0</v>
      </c>
      <c r="BB34" s="35">
        <f t="shared" si="26"/>
        <v>0</v>
      </c>
      <c r="BC34" s="35">
        <f t="shared" si="27"/>
        <v>0</v>
      </c>
    </row>
    <row r="35" spans="1:55" s="35" customFormat="1" x14ac:dyDescent="0.35">
      <c r="A35" s="36">
        <v>35920</v>
      </c>
      <c r="B35" s="35" t="s">
        <v>287</v>
      </c>
      <c r="C35" s="35" t="s">
        <v>6</v>
      </c>
      <c r="D35" s="35" t="s">
        <v>5</v>
      </c>
      <c r="E35" s="35" t="s">
        <v>125</v>
      </c>
      <c r="F35" s="139">
        <f t="shared" si="0"/>
        <v>1</v>
      </c>
      <c r="G35" s="35">
        <v>130000000</v>
      </c>
      <c r="H35" s="139">
        <f t="shared" si="1"/>
        <v>8.1139433523068369</v>
      </c>
      <c r="I35" s="35">
        <v>130000000</v>
      </c>
      <c r="J35" s="35">
        <v>0</v>
      </c>
      <c r="K35" s="36">
        <v>36826</v>
      </c>
      <c r="L35" s="35">
        <v>94680000</v>
      </c>
      <c r="M35" s="21">
        <f t="shared" si="2"/>
        <v>2.4821917808219176</v>
      </c>
      <c r="N35" s="21">
        <f t="shared" si="28"/>
        <v>0.39483533322033831</v>
      </c>
      <c r="O35" s="35">
        <v>173.83</v>
      </c>
      <c r="P35" s="35">
        <f t="shared" si="3"/>
        <v>2.2426159575692655</v>
      </c>
      <c r="Q35" s="35">
        <v>13</v>
      </c>
      <c r="R35" s="35">
        <f t="shared" si="4"/>
        <v>1.146128035678238</v>
      </c>
      <c r="S35" s="45">
        <v>3.18</v>
      </c>
      <c r="T35" s="45">
        <f t="shared" si="29"/>
        <v>0.50242711998443268</v>
      </c>
      <c r="U35" s="175">
        <f t="shared" si="5"/>
        <v>-0.27169230769230768</v>
      </c>
      <c r="V35" s="48">
        <f t="shared" si="6"/>
        <v>-0.13768510304979162</v>
      </c>
      <c r="W35" s="35">
        <v>2366.2306777645658</v>
      </c>
      <c r="X35" s="35">
        <f t="shared" si="7"/>
        <v>3.3740570806117947</v>
      </c>
      <c r="Y35" s="14">
        <v>9334.126040428062</v>
      </c>
      <c r="Z35" s="35">
        <f t="shared" si="8"/>
        <v>3.9700736609473402</v>
      </c>
      <c r="AA35" s="37">
        <v>294.5</v>
      </c>
      <c r="AB35" s="37">
        <f t="shared" si="9"/>
        <v>2.4705574852172743</v>
      </c>
      <c r="AC35" s="35">
        <v>70</v>
      </c>
      <c r="AD35" s="35">
        <f t="shared" si="30"/>
        <v>1.8450980400142569</v>
      </c>
      <c r="AE35" s="48">
        <v>44.1</v>
      </c>
      <c r="AF35" s="48">
        <f t="shared" si="31"/>
        <v>1.6444385894678386</v>
      </c>
      <c r="AG35" s="43">
        <v>50.560579232511799</v>
      </c>
      <c r="AH35" s="43">
        <f t="shared" si="32"/>
        <v>1.703812040670742</v>
      </c>
      <c r="AI35" s="39">
        <v>-0.02</v>
      </c>
      <c r="AJ35" s="48">
        <f t="shared" si="10"/>
        <v>-8.7739243075051505E-3</v>
      </c>
      <c r="AK35" s="35">
        <v>20</v>
      </c>
      <c r="AL35" s="35">
        <f t="shared" si="33"/>
        <v>1.3010299956639813</v>
      </c>
      <c r="AM35" s="35">
        <f t="shared" si="11"/>
        <v>0</v>
      </c>
      <c r="AN35" s="35">
        <f t="shared" si="12"/>
        <v>0</v>
      </c>
      <c r="AO35" s="35">
        <f t="shared" si="13"/>
        <v>0</v>
      </c>
      <c r="AP35" s="35">
        <f t="shared" si="14"/>
        <v>0</v>
      </c>
      <c r="AQ35" s="35">
        <f t="shared" si="15"/>
        <v>0</v>
      </c>
      <c r="AR35" s="35">
        <f t="shared" si="16"/>
        <v>0</v>
      </c>
      <c r="AS35" s="35">
        <f t="shared" si="17"/>
        <v>0</v>
      </c>
      <c r="AT35" s="35">
        <f t="shared" si="18"/>
        <v>0</v>
      </c>
      <c r="AU35" s="35">
        <f t="shared" si="19"/>
        <v>1</v>
      </c>
      <c r="AV35" s="35">
        <f t="shared" si="20"/>
        <v>0</v>
      </c>
      <c r="AW35" s="35">
        <f t="shared" si="21"/>
        <v>0</v>
      </c>
      <c r="AX35" s="35">
        <f t="shared" si="22"/>
        <v>0</v>
      </c>
      <c r="AY35" s="35">
        <f t="shared" si="23"/>
        <v>0</v>
      </c>
      <c r="AZ35" s="35">
        <f t="shared" si="24"/>
        <v>0</v>
      </c>
      <c r="BA35" s="35">
        <f t="shared" si="25"/>
        <v>0</v>
      </c>
      <c r="BB35" s="35">
        <f t="shared" si="26"/>
        <v>0</v>
      </c>
      <c r="BC35" s="35">
        <f t="shared" si="27"/>
        <v>0</v>
      </c>
    </row>
    <row r="36" spans="1:55" s="35" customFormat="1" x14ac:dyDescent="0.35">
      <c r="A36" s="36">
        <v>36007</v>
      </c>
      <c r="B36" s="90" t="s">
        <v>619</v>
      </c>
      <c r="C36" s="35" t="s">
        <v>163</v>
      </c>
      <c r="D36" s="35" t="s">
        <v>602</v>
      </c>
      <c r="E36" s="35" t="s">
        <v>64</v>
      </c>
      <c r="F36" s="139">
        <f t="shared" si="0"/>
        <v>1</v>
      </c>
      <c r="G36" s="35">
        <v>219403000</v>
      </c>
      <c r="H36" s="139">
        <f t="shared" si="1"/>
        <v>8.3412425615911907</v>
      </c>
      <c r="I36" s="35">
        <f t="shared" ref="I36:I48" si="35">G36</f>
        <v>219403000</v>
      </c>
      <c r="J36" s="35">
        <v>0</v>
      </c>
      <c r="K36" s="36">
        <v>39199</v>
      </c>
      <c r="L36" s="35">
        <v>290000000</v>
      </c>
      <c r="M36" s="21">
        <f t="shared" si="2"/>
        <v>8.7452054794520553</v>
      </c>
      <c r="N36" s="21">
        <f t="shared" si="28"/>
        <v>0.94177001822221718</v>
      </c>
      <c r="O36" s="35">
        <v>6164.6</v>
      </c>
      <c r="P36" s="35">
        <f t="shared" si="3"/>
        <v>3.7899753459779522</v>
      </c>
      <c r="Q36" s="35">
        <v>35</v>
      </c>
      <c r="R36" s="35">
        <f t="shared" si="4"/>
        <v>1.5563025007672873</v>
      </c>
      <c r="S36" s="45">
        <v>3.18</v>
      </c>
      <c r="T36" s="45">
        <f t="shared" si="29"/>
        <v>0.50242711998443268</v>
      </c>
      <c r="U36" s="175">
        <f t="shared" si="5"/>
        <v>0.32176861756676067</v>
      </c>
      <c r="V36" s="48">
        <f t="shared" si="6"/>
        <v>0.12115543630776511</v>
      </c>
      <c r="W36" s="35">
        <v>1246.953</v>
      </c>
      <c r="X36" s="35">
        <f t="shared" si="7"/>
        <v>3.0958500844125241</v>
      </c>
      <c r="Y36" s="35">
        <v>3219.7179999999998</v>
      </c>
      <c r="Z36" s="35">
        <f t="shared" si="8"/>
        <v>3.5078178355445662</v>
      </c>
      <c r="AA36" s="37">
        <v>583.83333333333303</v>
      </c>
      <c r="AB36" s="37">
        <f t="shared" si="9"/>
        <v>2.7670321178317625</v>
      </c>
      <c r="AC36" s="35">
        <v>85</v>
      </c>
      <c r="AD36" s="35">
        <f t="shared" si="30"/>
        <v>1.9294189257142926</v>
      </c>
      <c r="AE36" s="48">
        <v>43.5</v>
      </c>
      <c r="AF36" s="48">
        <f t="shared" si="31"/>
        <v>1.6384892569546374</v>
      </c>
      <c r="AG36" s="43">
        <v>52.924485315438503</v>
      </c>
      <c r="AH36" s="43">
        <f t="shared" si="32"/>
        <v>1.7236566432478624</v>
      </c>
      <c r="AI36" s="39">
        <v>0.64</v>
      </c>
      <c r="AJ36" s="48">
        <f t="shared" si="10"/>
        <v>0.21484384804769791</v>
      </c>
      <c r="AK36" s="35">
        <v>23</v>
      </c>
      <c r="AL36" s="35">
        <f t="shared" si="33"/>
        <v>1.3617278360175928</v>
      </c>
      <c r="AM36" s="35">
        <f t="shared" si="11"/>
        <v>0</v>
      </c>
      <c r="AN36" s="35">
        <f t="shared" si="12"/>
        <v>0</v>
      </c>
      <c r="AO36" s="35">
        <f t="shared" si="13"/>
        <v>0</v>
      </c>
      <c r="AP36" s="35">
        <f t="shared" si="14"/>
        <v>0</v>
      </c>
      <c r="AQ36" s="35">
        <f t="shared" si="15"/>
        <v>0</v>
      </c>
      <c r="AR36" s="35">
        <f t="shared" si="16"/>
        <v>0</v>
      </c>
      <c r="AS36" s="35">
        <f t="shared" si="17"/>
        <v>0</v>
      </c>
      <c r="AT36" s="35">
        <f t="shared" si="18"/>
        <v>1</v>
      </c>
      <c r="AU36" s="35">
        <f t="shared" si="19"/>
        <v>0</v>
      </c>
      <c r="AV36" s="35">
        <f t="shared" si="20"/>
        <v>0</v>
      </c>
      <c r="AW36" s="35">
        <f t="shared" si="21"/>
        <v>0</v>
      </c>
      <c r="AX36" s="35">
        <f t="shared" si="22"/>
        <v>0</v>
      </c>
      <c r="AY36" s="35">
        <f t="shared" si="23"/>
        <v>0</v>
      </c>
      <c r="AZ36" s="35">
        <f t="shared" si="24"/>
        <v>0</v>
      </c>
      <c r="BA36" s="35">
        <f t="shared" si="25"/>
        <v>0</v>
      </c>
      <c r="BB36" s="35">
        <f t="shared" si="26"/>
        <v>0</v>
      </c>
      <c r="BC36" s="35">
        <f t="shared" si="27"/>
        <v>0</v>
      </c>
    </row>
    <row r="37" spans="1:55" s="35" customFormat="1" x14ac:dyDescent="0.35">
      <c r="A37" s="36">
        <v>36010</v>
      </c>
      <c r="B37" s="35" t="s">
        <v>923</v>
      </c>
      <c r="C37" s="35" t="s">
        <v>59</v>
      </c>
      <c r="D37" s="35" t="s">
        <v>59</v>
      </c>
      <c r="E37" s="35" t="s">
        <v>47</v>
      </c>
      <c r="F37" s="139">
        <f t="shared" si="0"/>
        <v>0</v>
      </c>
      <c r="G37" s="35">
        <v>70000000</v>
      </c>
      <c r="H37" s="139">
        <f t="shared" si="1"/>
        <v>7.8450980400142569</v>
      </c>
      <c r="I37" s="35">
        <f t="shared" si="35"/>
        <v>70000000</v>
      </c>
      <c r="J37" s="35">
        <v>0</v>
      </c>
      <c r="K37" s="36">
        <v>36799</v>
      </c>
      <c r="L37" s="35">
        <v>230000000</v>
      </c>
      <c r="M37" s="21">
        <f t="shared" si="2"/>
        <v>2.1616438356164385</v>
      </c>
      <c r="N37" s="21">
        <f t="shared" si="28"/>
        <v>0.3347841387529456</v>
      </c>
      <c r="O37" s="35">
        <v>0</v>
      </c>
      <c r="P37" s="35">
        <f t="shared" si="3"/>
        <v>0</v>
      </c>
      <c r="Q37" s="35">
        <v>0</v>
      </c>
      <c r="R37" s="35">
        <f t="shared" si="4"/>
        <v>0</v>
      </c>
      <c r="S37" s="45">
        <v>3.29</v>
      </c>
      <c r="T37" s="45">
        <f t="shared" si="29"/>
        <v>0.51719589794997434</v>
      </c>
      <c r="U37" s="175">
        <f t="shared" si="5"/>
        <v>2.2857142857142856</v>
      </c>
      <c r="V37" s="48">
        <f t="shared" si="6"/>
        <v>0.51662979600333603</v>
      </c>
      <c r="W37" s="35">
        <v>3425.6694367497698</v>
      </c>
      <c r="X37" s="35">
        <f t="shared" si="7"/>
        <v>3.5347454529897258</v>
      </c>
      <c r="Y37" s="35">
        <v>9322.8685749461365</v>
      </c>
      <c r="Z37" s="35">
        <f t="shared" si="8"/>
        <v>3.9695495619878729</v>
      </c>
      <c r="AA37" s="37">
        <v>0</v>
      </c>
      <c r="AB37" s="37">
        <f t="shared" si="9"/>
        <v>0</v>
      </c>
      <c r="AC37" s="35">
        <v>85</v>
      </c>
      <c r="AD37" s="35">
        <f t="shared" si="30"/>
        <v>1.9294189257142926</v>
      </c>
      <c r="AE37" s="48">
        <v>31.5</v>
      </c>
      <c r="AF37" s="48">
        <f t="shared" si="31"/>
        <v>1.4983105537896004</v>
      </c>
      <c r="AG37" s="43">
        <v>35.516899069648296</v>
      </c>
      <c r="AH37" s="43">
        <f t="shared" si="32"/>
        <v>1.5504350411232082</v>
      </c>
      <c r="AI37" s="39">
        <v>0.32</v>
      </c>
      <c r="AJ37" s="48">
        <f t="shared" si="10"/>
        <v>0.12057393120584989</v>
      </c>
      <c r="AK37" s="35">
        <v>19</v>
      </c>
      <c r="AL37" s="35">
        <f t="shared" si="33"/>
        <v>1.2787536009528289</v>
      </c>
      <c r="AM37" s="35">
        <f t="shared" si="11"/>
        <v>0</v>
      </c>
      <c r="AN37" s="35">
        <f t="shared" si="12"/>
        <v>0</v>
      </c>
      <c r="AO37" s="35">
        <f t="shared" si="13"/>
        <v>1</v>
      </c>
      <c r="AP37" s="35">
        <f t="shared" si="14"/>
        <v>0</v>
      </c>
      <c r="AQ37" s="35">
        <f t="shared" si="15"/>
        <v>0</v>
      </c>
      <c r="AR37" s="35">
        <f t="shared" si="16"/>
        <v>0</v>
      </c>
      <c r="AS37" s="35">
        <f t="shared" si="17"/>
        <v>0</v>
      </c>
      <c r="AT37" s="35">
        <f t="shared" si="18"/>
        <v>0</v>
      </c>
      <c r="AU37" s="35">
        <f t="shared" si="19"/>
        <v>0</v>
      </c>
      <c r="AV37" s="35">
        <f t="shared" si="20"/>
        <v>0</v>
      </c>
      <c r="AW37" s="35">
        <f t="shared" si="21"/>
        <v>0</v>
      </c>
      <c r="AX37" s="35">
        <f t="shared" si="22"/>
        <v>0</v>
      </c>
      <c r="AY37" s="35">
        <f t="shared" si="23"/>
        <v>0</v>
      </c>
      <c r="AZ37" s="35">
        <f t="shared" si="24"/>
        <v>0</v>
      </c>
      <c r="BA37" s="35">
        <f t="shared" si="25"/>
        <v>0</v>
      </c>
      <c r="BB37" s="35">
        <f t="shared" si="26"/>
        <v>0</v>
      </c>
      <c r="BC37" s="35">
        <f t="shared" si="27"/>
        <v>0</v>
      </c>
    </row>
    <row r="38" spans="1:55" s="35" customFormat="1" x14ac:dyDescent="0.35">
      <c r="A38" s="36">
        <v>36020</v>
      </c>
      <c r="B38" s="35" t="s">
        <v>1041</v>
      </c>
      <c r="C38" s="35" t="s">
        <v>489</v>
      </c>
      <c r="D38" s="35" t="s">
        <v>45</v>
      </c>
      <c r="E38" s="35" t="s">
        <v>64</v>
      </c>
      <c r="F38" s="139">
        <f t="shared" si="0"/>
        <v>1</v>
      </c>
      <c r="G38" s="35">
        <v>130000000</v>
      </c>
      <c r="H38" s="139">
        <f t="shared" si="1"/>
        <v>8.1139433523068369</v>
      </c>
      <c r="I38" s="35">
        <f t="shared" si="35"/>
        <v>130000000</v>
      </c>
      <c r="J38" s="35">
        <v>0</v>
      </c>
      <c r="K38" s="36">
        <v>39082</v>
      </c>
      <c r="L38" s="35">
        <v>324710000</v>
      </c>
      <c r="M38" s="21">
        <f t="shared" si="2"/>
        <v>8.3890410958904109</v>
      </c>
      <c r="N38" s="21">
        <f t="shared" si="28"/>
        <v>0.92371232190576746</v>
      </c>
      <c r="O38" s="35">
        <v>6651.37</v>
      </c>
      <c r="P38" s="35">
        <f t="shared" si="3"/>
        <v>3.8229763963637051</v>
      </c>
      <c r="Q38" s="35">
        <v>41</v>
      </c>
      <c r="R38" s="35">
        <f t="shared" si="4"/>
        <v>1.6232492903979006</v>
      </c>
      <c r="S38" s="45">
        <v>3.03</v>
      </c>
      <c r="T38" s="45">
        <f t="shared" si="29"/>
        <v>0.48144262850230496</v>
      </c>
      <c r="U38" s="175">
        <f t="shared" si="5"/>
        <v>1.4977692307692307</v>
      </c>
      <c r="V38" s="48">
        <f t="shared" si="6"/>
        <v>0.39755231136672903</v>
      </c>
      <c r="W38" s="35">
        <v>1449.3328048619371</v>
      </c>
      <c r="X38" s="35">
        <f t="shared" si="7"/>
        <v>3.1611681223374744</v>
      </c>
      <c r="Y38" s="35">
        <v>4591.0952569692172</v>
      </c>
      <c r="Z38" s="35">
        <f t="shared" si="8"/>
        <v>3.6619163036888955</v>
      </c>
      <c r="AA38" s="37">
        <v>513.5</v>
      </c>
      <c r="AB38" s="37">
        <f t="shared" si="9"/>
        <v>2.7113853790984517</v>
      </c>
      <c r="AC38" s="35">
        <v>70</v>
      </c>
      <c r="AD38" s="35">
        <f t="shared" si="30"/>
        <v>1.8450980400142569</v>
      </c>
      <c r="AE38" s="48">
        <v>26.36</v>
      </c>
      <c r="AF38" s="48">
        <f t="shared" si="31"/>
        <v>1.4209454059219722</v>
      </c>
      <c r="AG38" s="43">
        <v>49.329709120205997</v>
      </c>
      <c r="AH38" s="43">
        <f t="shared" si="32"/>
        <v>1.6931085545892062</v>
      </c>
      <c r="AI38" s="39">
        <v>0.51</v>
      </c>
      <c r="AJ38" s="48">
        <f t="shared" si="10"/>
        <v>0.17897694729316943</v>
      </c>
      <c r="AK38" s="35">
        <v>17</v>
      </c>
      <c r="AL38" s="35">
        <f t="shared" si="33"/>
        <v>1.2304489213782739</v>
      </c>
      <c r="AM38" s="35">
        <f t="shared" si="11"/>
        <v>0</v>
      </c>
      <c r="AN38" s="35">
        <f t="shared" si="12"/>
        <v>0</v>
      </c>
      <c r="AO38" s="35">
        <f t="shared" si="13"/>
        <v>0</v>
      </c>
      <c r="AP38" s="35">
        <f t="shared" si="14"/>
        <v>0</v>
      </c>
      <c r="AQ38" s="35">
        <f t="shared" si="15"/>
        <v>0</v>
      </c>
      <c r="AR38" s="35">
        <f t="shared" si="16"/>
        <v>0</v>
      </c>
      <c r="AS38" s="35">
        <f t="shared" si="17"/>
        <v>0</v>
      </c>
      <c r="AT38" s="35">
        <f t="shared" si="18"/>
        <v>0</v>
      </c>
      <c r="AU38" s="35">
        <f t="shared" si="19"/>
        <v>0</v>
      </c>
      <c r="AV38" s="35">
        <f t="shared" si="20"/>
        <v>0</v>
      </c>
      <c r="AW38" s="35">
        <f t="shared" si="21"/>
        <v>0</v>
      </c>
      <c r="AX38" s="35">
        <f t="shared" si="22"/>
        <v>0</v>
      </c>
      <c r="AY38" s="35">
        <f t="shared" si="23"/>
        <v>0</v>
      </c>
      <c r="AZ38" s="35">
        <f t="shared" si="24"/>
        <v>0</v>
      </c>
      <c r="BA38" s="35">
        <f t="shared" si="25"/>
        <v>1</v>
      </c>
      <c r="BB38" s="35">
        <f t="shared" si="26"/>
        <v>0</v>
      </c>
      <c r="BC38" s="35">
        <f t="shared" si="27"/>
        <v>0</v>
      </c>
    </row>
    <row r="39" spans="1:55" s="35" customFormat="1" x14ac:dyDescent="0.35">
      <c r="A39" s="36">
        <v>36037</v>
      </c>
      <c r="B39" s="35" t="s">
        <v>713</v>
      </c>
      <c r="C39" s="35" t="s">
        <v>5</v>
      </c>
      <c r="D39" s="35" t="s">
        <v>577</v>
      </c>
      <c r="E39" s="35" t="s">
        <v>64</v>
      </c>
      <c r="F39" s="139">
        <f t="shared" si="0"/>
        <v>1</v>
      </c>
      <c r="G39" s="35">
        <v>2167670000</v>
      </c>
      <c r="H39" s="139">
        <f t="shared" si="1"/>
        <v>9.3359931671248475</v>
      </c>
      <c r="I39" s="35">
        <f t="shared" si="35"/>
        <v>2167670000</v>
      </c>
      <c r="J39" s="35">
        <v>0</v>
      </c>
      <c r="K39" s="36">
        <v>36879</v>
      </c>
      <c r="L39" s="35">
        <v>509650000</v>
      </c>
      <c r="M39" s="21">
        <f t="shared" si="2"/>
        <v>2.3068493150684932</v>
      </c>
      <c r="N39" s="21">
        <f t="shared" si="28"/>
        <v>0.3630192270431748</v>
      </c>
      <c r="O39" s="35">
        <v>357.29</v>
      </c>
      <c r="P39" s="35">
        <f t="shared" si="3"/>
        <v>2.5542346870234227</v>
      </c>
      <c r="Q39" s="35">
        <v>423</v>
      </c>
      <c r="R39" s="35">
        <f t="shared" si="4"/>
        <v>2.6273658565927325</v>
      </c>
      <c r="S39" s="45">
        <v>3.16</v>
      </c>
      <c r="T39" s="45">
        <f t="shared" si="29"/>
        <v>0.49968708261840383</v>
      </c>
      <c r="U39" s="175">
        <f t="shared" si="5"/>
        <v>-0.76488579903767639</v>
      </c>
      <c r="V39" s="48">
        <f t="shared" si="6"/>
        <v>-0.62872113857682677</v>
      </c>
      <c r="W39" s="35">
        <v>1669.0315179326171</v>
      </c>
      <c r="X39" s="35">
        <f t="shared" si="7"/>
        <v>3.22246453795844</v>
      </c>
      <c r="Y39" s="35">
        <v>5094.7953145755328</v>
      </c>
      <c r="Z39" s="35">
        <f t="shared" si="8"/>
        <v>3.7071267407396937</v>
      </c>
      <c r="AA39" s="37">
        <v>971</v>
      </c>
      <c r="AB39" s="37">
        <f t="shared" si="9"/>
        <v>2.9876662649262746</v>
      </c>
      <c r="AC39" s="35">
        <v>70</v>
      </c>
      <c r="AD39" s="35">
        <f t="shared" si="30"/>
        <v>1.8450980400142569</v>
      </c>
      <c r="AE39" s="48">
        <v>36.299999999999997</v>
      </c>
      <c r="AF39" s="48">
        <f t="shared" si="31"/>
        <v>1.5599066250361124</v>
      </c>
      <c r="AG39" s="43">
        <v>44.332035658580502</v>
      </c>
      <c r="AH39" s="43">
        <f t="shared" si="32"/>
        <v>1.6467176738887899</v>
      </c>
      <c r="AI39" s="39">
        <v>-0.01</v>
      </c>
      <c r="AJ39" s="48">
        <f t="shared" si="10"/>
        <v>-4.3648054024500883E-3</v>
      </c>
      <c r="AK39" s="35">
        <v>22</v>
      </c>
      <c r="AL39" s="35">
        <f t="shared" si="33"/>
        <v>1.3424226808222062</v>
      </c>
      <c r="AM39" s="35">
        <f t="shared" si="11"/>
        <v>0</v>
      </c>
      <c r="AN39" s="35">
        <f t="shared" si="12"/>
        <v>0</v>
      </c>
      <c r="AO39" s="35">
        <f t="shared" si="13"/>
        <v>0</v>
      </c>
      <c r="AP39" s="35">
        <f t="shared" si="14"/>
        <v>0</v>
      </c>
      <c r="AQ39" s="35">
        <f t="shared" si="15"/>
        <v>0</v>
      </c>
      <c r="AR39" s="35">
        <f t="shared" si="16"/>
        <v>0</v>
      </c>
      <c r="AS39" s="35">
        <f t="shared" si="17"/>
        <v>1</v>
      </c>
      <c r="AT39" s="35">
        <f t="shared" si="18"/>
        <v>0</v>
      </c>
      <c r="AU39" s="35">
        <f t="shared" si="19"/>
        <v>0</v>
      </c>
      <c r="AV39" s="35">
        <f t="shared" si="20"/>
        <v>0</v>
      </c>
      <c r="AW39" s="35">
        <f t="shared" si="21"/>
        <v>0</v>
      </c>
      <c r="AX39" s="35">
        <f t="shared" si="22"/>
        <v>0</v>
      </c>
      <c r="AY39" s="35">
        <f t="shared" si="23"/>
        <v>0</v>
      </c>
      <c r="AZ39" s="35">
        <f t="shared" si="24"/>
        <v>0</v>
      </c>
      <c r="BA39" s="35">
        <f t="shared" si="25"/>
        <v>0</v>
      </c>
      <c r="BB39" s="35">
        <f t="shared" si="26"/>
        <v>0</v>
      </c>
      <c r="BC39" s="35">
        <f t="shared" si="27"/>
        <v>0</v>
      </c>
    </row>
    <row r="40" spans="1:55" s="35" customFormat="1" x14ac:dyDescent="0.35">
      <c r="A40" s="36">
        <v>36039</v>
      </c>
      <c r="B40" s="35" t="s">
        <v>838</v>
      </c>
      <c r="C40" s="35" t="s">
        <v>5</v>
      </c>
      <c r="D40" s="35" t="s">
        <v>6</v>
      </c>
      <c r="E40" s="35" t="s">
        <v>64</v>
      </c>
      <c r="F40" s="139">
        <f t="shared" si="0"/>
        <v>1</v>
      </c>
      <c r="G40" s="35">
        <v>23833625</v>
      </c>
      <c r="H40" s="139">
        <f t="shared" si="1"/>
        <v>7.3771901018415083</v>
      </c>
      <c r="I40" s="35">
        <f t="shared" si="35"/>
        <v>23833625</v>
      </c>
      <c r="J40" s="35">
        <v>0</v>
      </c>
      <c r="K40" s="36">
        <v>36805</v>
      </c>
      <c r="L40" s="35">
        <v>80000000</v>
      </c>
      <c r="M40" s="21">
        <f t="shared" si="2"/>
        <v>2.0986301369863014</v>
      </c>
      <c r="N40" s="21">
        <f t="shared" si="28"/>
        <v>0.32193590517612924</v>
      </c>
      <c r="O40" s="35">
        <v>173.83</v>
      </c>
      <c r="P40" s="35">
        <f t="shared" si="3"/>
        <v>2.2426159575692655</v>
      </c>
      <c r="Q40" s="35">
        <v>8</v>
      </c>
      <c r="R40" s="35">
        <f t="shared" si="4"/>
        <v>0.95424250943932487</v>
      </c>
      <c r="S40" s="45">
        <v>2.9</v>
      </c>
      <c r="T40" s="45">
        <f t="shared" si="29"/>
        <v>0.46239799789895608</v>
      </c>
      <c r="U40" s="175">
        <f t="shared" si="5"/>
        <v>2.3566022793427353</v>
      </c>
      <c r="V40" s="48">
        <f t="shared" si="6"/>
        <v>0.52589988515043506</v>
      </c>
      <c r="W40" s="35">
        <v>1623.1404958677685</v>
      </c>
      <c r="X40" s="35">
        <f t="shared" si="7"/>
        <v>3.2103561131344809</v>
      </c>
      <c r="Y40" s="35">
        <v>4591.735537190084</v>
      </c>
      <c r="Z40" s="35">
        <f t="shared" si="8"/>
        <v>3.6619768667491281</v>
      </c>
      <c r="AA40" s="37">
        <v>294.5</v>
      </c>
      <c r="AB40" s="37">
        <f t="shared" si="9"/>
        <v>2.4705574852172743</v>
      </c>
      <c r="AC40" s="35">
        <v>70</v>
      </c>
      <c r="AD40" s="35">
        <f t="shared" si="30"/>
        <v>1.8450980400142569</v>
      </c>
      <c r="AE40" s="48">
        <v>36.299999999999997</v>
      </c>
      <c r="AF40" s="48">
        <f t="shared" si="31"/>
        <v>1.5599066250361124</v>
      </c>
      <c r="AG40" s="43">
        <v>44.332035658580502</v>
      </c>
      <c r="AH40" s="43">
        <f t="shared" si="32"/>
        <v>1.6467176738887899</v>
      </c>
      <c r="AI40" s="39">
        <v>0.51</v>
      </c>
      <c r="AJ40" s="48">
        <f t="shared" si="10"/>
        <v>0.17897694729316943</v>
      </c>
      <c r="AK40" s="35">
        <v>18</v>
      </c>
      <c r="AL40" s="35">
        <f t="shared" si="33"/>
        <v>1.255272505103306</v>
      </c>
      <c r="AM40" s="35">
        <f t="shared" si="11"/>
        <v>0</v>
      </c>
      <c r="AN40" s="35">
        <f t="shared" si="12"/>
        <v>0</v>
      </c>
      <c r="AO40" s="35">
        <f t="shared" si="13"/>
        <v>0</v>
      </c>
      <c r="AP40" s="35">
        <f t="shared" si="14"/>
        <v>0</v>
      </c>
      <c r="AQ40" s="35">
        <f t="shared" si="15"/>
        <v>0</v>
      </c>
      <c r="AR40" s="35">
        <f t="shared" si="16"/>
        <v>0</v>
      </c>
      <c r="AS40" s="35">
        <f t="shared" si="17"/>
        <v>1</v>
      </c>
      <c r="AT40" s="35">
        <f t="shared" si="18"/>
        <v>0</v>
      </c>
      <c r="AU40" s="35">
        <f t="shared" si="19"/>
        <v>0</v>
      </c>
      <c r="AV40" s="35">
        <f t="shared" si="20"/>
        <v>0</v>
      </c>
      <c r="AW40" s="35">
        <f t="shared" si="21"/>
        <v>0</v>
      </c>
      <c r="AX40" s="35">
        <f t="shared" si="22"/>
        <v>0</v>
      </c>
      <c r="AY40" s="35">
        <f t="shared" si="23"/>
        <v>0</v>
      </c>
      <c r="AZ40" s="35">
        <f t="shared" si="24"/>
        <v>0</v>
      </c>
      <c r="BA40" s="35">
        <f t="shared" si="25"/>
        <v>0</v>
      </c>
      <c r="BB40" s="35">
        <f t="shared" si="26"/>
        <v>0</v>
      </c>
      <c r="BC40" s="35">
        <f t="shared" si="27"/>
        <v>0</v>
      </c>
    </row>
    <row r="41" spans="1:55" s="35" customFormat="1" x14ac:dyDescent="0.35">
      <c r="A41" s="36">
        <v>36068</v>
      </c>
      <c r="B41" s="35" t="s">
        <v>1095</v>
      </c>
      <c r="C41" s="35" t="s">
        <v>163</v>
      </c>
      <c r="D41" s="35" t="s">
        <v>163</v>
      </c>
      <c r="E41" s="35" t="s">
        <v>47</v>
      </c>
      <c r="F41" s="139">
        <f t="shared" si="0"/>
        <v>0</v>
      </c>
      <c r="G41" s="35">
        <v>270000000</v>
      </c>
      <c r="H41" s="139">
        <f t="shared" si="1"/>
        <v>8.4313637641589878</v>
      </c>
      <c r="I41" s="35">
        <f t="shared" si="35"/>
        <v>270000000</v>
      </c>
      <c r="J41" s="35">
        <v>0</v>
      </c>
      <c r="K41" s="36">
        <v>39013</v>
      </c>
      <c r="L41" s="35">
        <v>310000000</v>
      </c>
      <c r="M41" s="21">
        <f t="shared" si="2"/>
        <v>8.0684931506849313</v>
      </c>
      <c r="N41" s="21">
        <f t="shared" si="28"/>
        <v>0.90679243466664572</v>
      </c>
      <c r="O41" s="35">
        <v>0</v>
      </c>
      <c r="P41" s="35">
        <f t="shared" si="3"/>
        <v>0</v>
      </c>
      <c r="Q41" s="35">
        <v>61</v>
      </c>
      <c r="R41" s="35">
        <f t="shared" si="4"/>
        <v>1.7923916894982539</v>
      </c>
      <c r="S41" s="45">
        <v>3.18</v>
      </c>
      <c r="T41" s="45">
        <f t="shared" si="29"/>
        <v>0.50242711998443268</v>
      </c>
      <c r="U41" s="175">
        <f t="shared" si="5"/>
        <v>0.14814814814814814</v>
      </c>
      <c r="V41" s="48">
        <f t="shared" si="6"/>
        <v>5.9997929675285368E-2</v>
      </c>
      <c r="W41" s="35">
        <v>1682.164</v>
      </c>
      <c r="X41" s="35">
        <f t="shared" si="7"/>
        <v>3.2258683344006376</v>
      </c>
      <c r="Y41" s="35">
        <v>9152.2764999999999</v>
      </c>
      <c r="Z41" s="35">
        <f t="shared" si="8"/>
        <v>3.9615291321450066</v>
      </c>
      <c r="AA41" s="37">
        <v>0</v>
      </c>
      <c r="AB41" s="37">
        <f t="shared" si="9"/>
        <v>0</v>
      </c>
      <c r="AC41" s="35">
        <v>85</v>
      </c>
      <c r="AD41" s="35">
        <f t="shared" si="30"/>
        <v>1.9294189257142926</v>
      </c>
      <c r="AE41" s="48">
        <v>43.5</v>
      </c>
      <c r="AF41" s="48">
        <f t="shared" si="31"/>
        <v>1.6384892569546374</v>
      </c>
      <c r="AG41" s="43">
        <v>52.924485315438503</v>
      </c>
      <c r="AH41" s="43">
        <f t="shared" si="32"/>
        <v>1.7236566432478624</v>
      </c>
      <c r="AI41" s="39">
        <v>0.35</v>
      </c>
      <c r="AJ41" s="48">
        <f t="shared" si="10"/>
        <v>0.13033376849500614</v>
      </c>
      <c r="AK41" s="35">
        <v>21</v>
      </c>
      <c r="AL41" s="35">
        <f t="shared" si="33"/>
        <v>1.3222192947339193</v>
      </c>
      <c r="AM41" s="35">
        <f t="shared" si="11"/>
        <v>0</v>
      </c>
      <c r="AN41" s="35">
        <f t="shared" si="12"/>
        <v>0</v>
      </c>
      <c r="AO41" s="35">
        <f t="shared" si="13"/>
        <v>0</v>
      </c>
      <c r="AP41" s="35">
        <f t="shared" si="14"/>
        <v>0</v>
      </c>
      <c r="AQ41" s="35">
        <f t="shared" si="15"/>
        <v>0</v>
      </c>
      <c r="AR41" s="35">
        <f t="shared" si="16"/>
        <v>0</v>
      </c>
      <c r="AS41" s="35">
        <f t="shared" si="17"/>
        <v>0</v>
      </c>
      <c r="AT41" s="35">
        <f t="shared" si="18"/>
        <v>1</v>
      </c>
      <c r="AU41" s="35">
        <f t="shared" si="19"/>
        <v>0</v>
      </c>
      <c r="AV41" s="35">
        <f t="shared" si="20"/>
        <v>0</v>
      </c>
      <c r="AW41" s="35">
        <f t="shared" si="21"/>
        <v>0</v>
      </c>
      <c r="AX41" s="35">
        <f t="shared" si="22"/>
        <v>0</v>
      </c>
      <c r="AY41" s="35">
        <f t="shared" si="23"/>
        <v>0</v>
      </c>
      <c r="AZ41" s="35">
        <f t="shared" si="24"/>
        <v>0</v>
      </c>
      <c r="BA41" s="35">
        <f t="shared" si="25"/>
        <v>0</v>
      </c>
      <c r="BB41" s="35">
        <f t="shared" si="26"/>
        <v>0</v>
      </c>
      <c r="BC41" s="35">
        <f t="shared" si="27"/>
        <v>0</v>
      </c>
    </row>
    <row r="42" spans="1:55" s="35" customFormat="1" x14ac:dyDescent="0.35">
      <c r="A42" s="36">
        <v>36087</v>
      </c>
      <c r="B42" s="35" t="s">
        <v>533</v>
      </c>
      <c r="C42" s="35" t="s">
        <v>59</v>
      </c>
      <c r="D42" s="35" t="s">
        <v>59</v>
      </c>
      <c r="E42" s="35" t="s">
        <v>102</v>
      </c>
      <c r="F42" s="139">
        <f t="shared" si="0"/>
        <v>0</v>
      </c>
      <c r="G42" s="35">
        <v>352000000</v>
      </c>
      <c r="H42" s="139">
        <f t="shared" si="1"/>
        <v>8.5465426634781316</v>
      </c>
      <c r="I42" s="35">
        <f t="shared" si="35"/>
        <v>352000000</v>
      </c>
      <c r="J42" s="35">
        <v>0</v>
      </c>
      <c r="K42" s="36">
        <v>38439</v>
      </c>
      <c r="L42" s="35">
        <v>800000000</v>
      </c>
      <c r="M42" s="21">
        <f t="shared" si="2"/>
        <v>6.4438356164383563</v>
      </c>
      <c r="N42" s="21">
        <f t="shared" si="28"/>
        <v>0.80914445294762616</v>
      </c>
      <c r="O42" s="35">
        <v>0</v>
      </c>
      <c r="P42" s="35">
        <f t="shared" si="3"/>
        <v>0</v>
      </c>
      <c r="Q42" s="35">
        <v>72</v>
      </c>
      <c r="R42" s="35">
        <f t="shared" si="4"/>
        <v>1.8633228601204559</v>
      </c>
      <c r="S42" s="45">
        <v>3.29</v>
      </c>
      <c r="T42" s="45">
        <f t="shared" si="29"/>
        <v>0.51719589794997434</v>
      </c>
      <c r="U42" s="175">
        <f t="shared" si="5"/>
        <v>1.2727272727272729</v>
      </c>
      <c r="V42" s="48">
        <f t="shared" si="6"/>
        <v>0.35654732351381263</v>
      </c>
      <c r="W42" s="35">
        <v>2144.9704142011828</v>
      </c>
      <c r="X42" s="35">
        <f t="shared" si="7"/>
        <v>3.3314213062933389</v>
      </c>
      <c r="Y42" s="35">
        <v>7670.1183431952677</v>
      </c>
      <c r="Z42" s="35">
        <f t="shared" si="8"/>
        <v>3.884802064783424</v>
      </c>
      <c r="AA42" s="37">
        <v>0</v>
      </c>
      <c r="AB42" s="37">
        <f t="shared" si="9"/>
        <v>0</v>
      </c>
      <c r="AC42" s="35">
        <v>85</v>
      </c>
      <c r="AD42" s="35">
        <f t="shared" si="30"/>
        <v>1.9294189257142926</v>
      </c>
      <c r="AE42" s="48">
        <v>31.5</v>
      </c>
      <c r="AF42" s="48">
        <f t="shared" si="31"/>
        <v>1.4983105537896004</v>
      </c>
      <c r="AG42" s="43">
        <v>35.516899069648296</v>
      </c>
      <c r="AH42" s="43">
        <f t="shared" si="32"/>
        <v>1.5504350411232082</v>
      </c>
      <c r="AI42" s="175">
        <v>0.38</v>
      </c>
      <c r="AJ42" s="48">
        <f t="shared" si="10"/>
        <v>0.13987908640123647</v>
      </c>
      <c r="AK42" s="35">
        <v>21</v>
      </c>
      <c r="AL42" s="35">
        <f t="shared" si="33"/>
        <v>1.3222192947339193</v>
      </c>
      <c r="AM42" s="35">
        <f t="shared" si="11"/>
        <v>0</v>
      </c>
      <c r="AN42" s="35">
        <f t="shared" si="12"/>
        <v>0</v>
      </c>
      <c r="AO42" s="35">
        <f t="shared" si="13"/>
        <v>1</v>
      </c>
      <c r="AP42" s="35">
        <f t="shared" si="14"/>
        <v>0</v>
      </c>
      <c r="AQ42" s="35">
        <f t="shared" si="15"/>
        <v>0</v>
      </c>
      <c r="AR42" s="35">
        <f t="shared" si="16"/>
        <v>0</v>
      </c>
      <c r="AS42" s="35">
        <f t="shared" si="17"/>
        <v>0</v>
      </c>
      <c r="AT42" s="35">
        <f t="shared" si="18"/>
        <v>0</v>
      </c>
      <c r="AU42" s="35">
        <f t="shared" si="19"/>
        <v>0</v>
      </c>
      <c r="AV42" s="35">
        <f t="shared" si="20"/>
        <v>0</v>
      </c>
      <c r="AW42" s="35">
        <f t="shared" si="21"/>
        <v>0</v>
      </c>
      <c r="AX42" s="35">
        <f t="shared" si="22"/>
        <v>0</v>
      </c>
      <c r="AY42" s="35">
        <f t="shared" si="23"/>
        <v>0</v>
      </c>
      <c r="AZ42" s="35">
        <f t="shared" si="24"/>
        <v>0</v>
      </c>
      <c r="BA42" s="35">
        <f t="shared" si="25"/>
        <v>0</v>
      </c>
      <c r="BB42" s="35">
        <f t="shared" si="26"/>
        <v>0</v>
      </c>
      <c r="BC42" s="35">
        <f t="shared" si="27"/>
        <v>0</v>
      </c>
    </row>
    <row r="43" spans="1:55" s="35" customFormat="1" x14ac:dyDescent="0.35">
      <c r="A43" s="36">
        <v>36103</v>
      </c>
      <c r="B43" s="35" t="s">
        <v>683</v>
      </c>
      <c r="C43" s="35" t="s">
        <v>497</v>
      </c>
      <c r="D43" s="35" t="s">
        <v>602</v>
      </c>
      <c r="E43" s="35" t="s">
        <v>64</v>
      </c>
      <c r="F43" s="139">
        <f t="shared" si="0"/>
        <v>1</v>
      </c>
      <c r="G43" s="35">
        <v>68310000</v>
      </c>
      <c r="H43" s="139">
        <f t="shared" si="1"/>
        <v>7.8344842853348053</v>
      </c>
      <c r="I43" s="35">
        <f t="shared" si="35"/>
        <v>68310000</v>
      </c>
      <c r="J43" s="35">
        <v>0</v>
      </c>
      <c r="K43" s="36">
        <v>36851</v>
      </c>
      <c r="L43" s="35">
        <v>247090770</v>
      </c>
      <c r="M43" s="21">
        <f t="shared" si="2"/>
        <v>2.0493150684931507</v>
      </c>
      <c r="N43" s="21">
        <f t="shared" si="28"/>
        <v>0.31160873340798667</v>
      </c>
      <c r="O43" s="35">
        <v>5441.73</v>
      </c>
      <c r="P43" s="35">
        <f t="shared" si="3"/>
        <v>3.7358167906061537</v>
      </c>
      <c r="Q43" s="35">
        <v>23</v>
      </c>
      <c r="R43" s="35">
        <f t="shared" si="4"/>
        <v>1.3802112417116059</v>
      </c>
      <c r="S43" s="45">
        <v>2.91</v>
      </c>
      <c r="T43" s="45">
        <f t="shared" si="29"/>
        <v>0.46389298898590731</v>
      </c>
      <c r="U43" s="175">
        <f t="shared" si="5"/>
        <v>2.6171976284584981</v>
      </c>
      <c r="V43" s="48">
        <f t="shared" si="6"/>
        <v>0.55837223743297271</v>
      </c>
      <c r="W43" s="35">
        <v>1455.046</v>
      </c>
      <c r="X43" s="35">
        <f t="shared" si="7"/>
        <v>3.1628767233771686</v>
      </c>
      <c r="Y43" s="35">
        <v>4062.5129999999999</v>
      </c>
      <c r="Z43" s="35">
        <f t="shared" si="8"/>
        <v>3.6087947637270492</v>
      </c>
      <c r="AA43" s="37">
        <v>125.833333333333</v>
      </c>
      <c r="AB43" s="37">
        <f t="shared" si="9"/>
        <v>2.103233406386928</v>
      </c>
      <c r="AC43" s="35">
        <v>85</v>
      </c>
      <c r="AD43" s="35">
        <f t="shared" si="30"/>
        <v>1.9294189257142926</v>
      </c>
      <c r="AE43" s="48">
        <v>30.8</v>
      </c>
      <c r="AF43" s="48">
        <f t="shared" si="31"/>
        <v>1.4885507165004443</v>
      </c>
      <c r="AG43" s="43">
        <v>34.575632305406103</v>
      </c>
      <c r="AH43" s="43">
        <f t="shared" si="32"/>
        <v>1.5387701310586521</v>
      </c>
      <c r="AI43" s="175">
        <v>0.56999999999999995</v>
      </c>
      <c r="AJ43" s="48">
        <f t="shared" si="10"/>
        <v>0.19589965240923368</v>
      </c>
      <c r="AK43" s="35">
        <v>22</v>
      </c>
      <c r="AL43" s="35">
        <f t="shared" si="33"/>
        <v>1.3424226808222062</v>
      </c>
      <c r="AM43" s="35">
        <f t="shared" si="11"/>
        <v>0</v>
      </c>
      <c r="AN43" s="35">
        <f t="shared" si="12"/>
        <v>0</v>
      </c>
      <c r="AO43" s="35">
        <f t="shared" si="13"/>
        <v>0</v>
      </c>
      <c r="AP43" s="35">
        <f t="shared" si="14"/>
        <v>0</v>
      </c>
      <c r="AQ43" s="35">
        <f t="shared" si="15"/>
        <v>0</v>
      </c>
      <c r="AR43" s="35">
        <f t="shared" si="16"/>
        <v>0</v>
      </c>
      <c r="AS43" s="35">
        <f t="shared" si="17"/>
        <v>0</v>
      </c>
      <c r="AT43" s="35">
        <f t="shared" si="18"/>
        <v>0</v>
      </c>
      <c r="AU43" s="35">
        <f t="shared" si="19"/>
        <v>0</v>
      </c>
      <c r="AV43" s="35">
        <f t="shared" si="20"/>
        <v>0</v>
      </c>
      <c r="AW43" s="35">
        <f t="shared" si="21"/>
        <v>0</v>
      </c>
      <c r="AX43" s="35">
        <f t="shared" si="22"/>
        <v>0</v>
      </c>
      <c r="AY43" s="35">
        <f t="shared" si="23"/>
        <v>0</v>
      </c>
      <c r="AZ43" s="35">
        <f t="shared" si="24"/>
        <v>0</v>
      </c>
      <c r="BA43" s="35">
        <f t="shared" si="25"/>
        <v>0</v>
      </c>
      <c r="BB43" s="35">
        <f t="shared" si="26"/>
        <v>1</v>
      </c>
      <c r="BC43" s="35">
        <f t="shared" si="27"/>
        <v>0</v>
      </c>
    </row>
    <row r="44" spans="1:55" s="35" customFormat="1" ht="12.75" customHeight="1" x14ac:dyDescent="0.35">
      <c r="A44" s="36">
        <v>36126</v>
      </c>
      <c r="B44" s="35" t="s">
        <v>1126</v>
      </c>
      <c r="C44" s="35" t="s">
        <v>59</v>
      </c>
      <c r="D44" s="35" t="s">
        <v>577</v>
      </c>
      <c r="E44" s="35" t="s">
        <v>47</v>
      </c>
      <c r="F44" s="139">
        <f t="shared" si="0"/>
        <v>0</v>
      </c>
      <c r="G44" s="35">
        <v>82000000</v>
      </c>
      <c r="H44" s="139">
        <f t="shared" si="1"/>
        <v>7.9138138523837167</v>
      </c>
      <c r="I44" s="35">
        <f t="shared" si="35"/>
        <v>82000000</v>
      </c>
      <c r="J44" s="35">
        <v>0</v>
      </c>
      <c r="K44" s="36">
        <v>39370</v>
      </c>
      <c r="L44" s="35">
        <v>35000000</v>
      </c>
      <c r="M44" s="21">
        <f t="shared" si="2"/>
        <v>8.8876712328767127</v>
      </c>
      <c r="N44" s="21">
        <f t="shared" si="28"/>
        <v>0.94878798108264373</v>
      </c>
      <c r="O44" s="35">
        <v>0</v>
      </c>
      <c r="P44" s="35">
        <f t="shared" si="3"/>
        <v>0</v>
      </c>
      <c r="Q44" s="35">
        <v>0</v>
      </c>
      <c r="R44" s="35">
        <f t="shared" si="4"/>
        <v>0</v>
      </c>
      <c r="S44" s="45">
        <v>3.29</v>
      </c>
      <c r="T44" s="45">
        <f t="shared" si="29"/>
        <v>0.51719589794997434</v>
      </c>
      <c r="U44" s="175">
        <f t="shared" si="5"/>
        <v>-0.57317073170731714</v>
      </c>
      <c r="V44" s="48">
        <f t="shared" si="6"/>
        <v>-0.36974580803344115</v>
      </c>
      <c r="W44" s="35">
        <v>1861.76</v>
      </c>
      <c r="X44" s="35">
        <f t="shared" si="7"/>
        <v>3.2699236952309465</v>
      </c>
      <c r="Y44" s="35">
        <v>4993.92</v>
      </c>
      <c r="Z44" s="35">
        <f t="shared" si="8"/>
        <v>3.6984415808994222</v>
      </c>
      <c r="AA44" s="37">
        <v>0</v>
      </c>
      <c r="AB44" s="37">
        <f t="shared" si="9"/>
        <v>0</v>
      </c>
      <c r="AC44" s="35">
        <v>85</v>
      </c>
      <c r="AD44" s="35">
        <f t="shared" si="30"/>
        <v>1.9294189257142926</v>
      </c>
      <c r="AE44" s="48">
        <v>31.5</v>
      </c>
      <c r="AF44" s="48">
        <f t="shared" si="31"/>
        <v>1.4983105537896004</v>
      </c>
      <c r="AG44" s="43">
        <v>35.516899069648296</v>
      </c>
      <c r="AH44" s="43">
        <f t="shared" si="32"/>
        <v>1.5504350411232082</v>
      </c>
      <c r="AI44" s="175">
        <v>0.74</v>
      </c>
      <c r="AJ44" s="48">
        <f t="shared" si="10"/>
        <v>0.24054924828259971</v>
      </c>
      <c r="AK44" s="35">
        <v>30</v>
      </c>
      <c r="AL44" s="35">
        <f t="shared" si="33"/>
        <v>1.4771212547196624</v>
      </c>
      <c r="AM44" s="35">
        <f t="shared" si="11"/>
        <v>0</v>
      </c>
      <c r="AN44" s="35">
        <f t="shared" si="12"/>
        <v>0</v>
      </c>
      <c r="AO44" s="35">
        <f t="shared" si="13"/>
        <v>1</v>
      </c>
      <c r="AP44" s="35">
        <f t="shared" si="14"/>
        <v>0</v>
      </c>
      <c r="AQ44" s="35">
        <f t="shared" si="15"/>
        <v>0</v>
      </c>
      <c r="AR44" s="35">
        <f t="shared" si="16"/>
        <v>0</v>
      </c>
      <c r="AS44" s="35">
        <f t="shared" si="17"/>
        <v>0</v>
      </c>
      <c r="AT44" s="35">
        <f t="shared" si="18"/>
        <v>0</v>
      </c>
      <c r="AU44" s="35">
        <f t="shared" si="19"/>
        <v>0</v>
      </c>
      <c r="AV44" s="35">
        <f t="shared" si="20"/>
        <v>0</v>
      </c>
      <c r="AW44" s="35">
        <f t="shared" si="21"/>
        <v>0</v>
      </c>
      <c r="AX44" s="35">
        <f t="shared" si="22"/>
        <v>0</v>
      </c>
      <c r="AY44" s="35">
        <f t="shared" si="23"/>
        <v>0</v>
      </c>
      <c r="AZ44" s="35">
        <f t="shared" si="24"/>
        <v>0</v>
      </c>
      <c r="BA44" s="35">
        <f t="shared" si="25"/>
        <v>0</v>
      </c>
      <c r="BB44" s="35">
        <f t="shared" si="26"/>
        <v>0</v>
      </c>
      <c r="BC44" s="35">
        <f t="shared" si="27"/>
        <v>0</v>
      </c>
    </row>
    <row r="45" spans="1:55" s="35" customFormat="1" x14ac:dyDescent="0.35">
      <c r="A45" s="36">
        <v>36160</v>
      </c>
      <c r="B45" s="35" t="s">
        <v>765</v>
      </c>
      <c r="C45" s="35" t="s">
        <v>163</v>
      </c>
      <c r="D45" s="35" t="s">
        <v>577</v>
      </c>
      <c r="E45" s="35" t="s">
        <v>64</v>
      </c>
      <c r="F45" s="139">
        <f t="shared" si="0"/>
        <v>1</v>
      </c>
      <c r="G45" s="35">
        <v>25000000</v>
      </c>
      <c r="H45" s="139">
        <f t="shared" si="1"/>
        <v>7.3979400086720375</v>
      </c>
      <c r="I45" s="35">
        <f t="shared" si="35"/>
        <v>25000000</v>
      </c>
      <c r="J45" s="35">
        <v>0</v>
      </c>
      <c r="K45" s="36">
        <v>38735</v>
      </c>
      <c r="L45" s="35">
        <v>70000000</v>
      </c>
      <c r="M45" s="21">
        <f t="shared" si="2"/>
        <v>7.0547945205479454</v>
      </c>
      <c r="N45" s="21">
        <f t="shared" si="28"/>
        <v>0.84848436892073509</v>
      </c>
      <c r="O45" s="35">
        <v>342.74</v>
      </c>
      <c r="P45" s="35">
        <f t="shared" si="3"/>
        <v>2.5362300726332561</v>
      </c>
      <c r="Q45" s="35">
        <v>15</v>
      </c>
      <c r="R45" s="35">
        <f t="shared" si="4"/>
        <v>1.2041199826559248</v>
      </c>
      <c r="S45" s="45">
        <v>2.3199999999999998</v>
      </c>
      <c r="T45" s="45">
        <f t="shared" si="29"/>
        <v>0.36548798489089962</v>
      </c>
      <c r="U45" s="175">
        <f t="shared" si="5"/>
        <v>1.7999999999999998</v>
      </c>
      <c r="V45" s="48">
        <f t="shared" si="6"/>
        <v>0.44715803134221921</v>
      </c>
      <c r="W45" s="35">
        <v>1801.108033240997</v>
      </c>
      <c r="X45" s="35">
        <f t="shared" si="7"/>
        <v>3.25553976325445</v>
      </c>
      <c r="Y45" s="35">
        <v>8416.6204986149605</v>
      </c>
      <c r="Z45" s="35">
        <f t="shared" si="8"/>
        <v>3.9251377454872847</v>
      </c>
      <c r="AA45" s="37">
        <v>569.16666666666697</v>
      </c>
      <c r="AB45" s="37">
        <f t="shared" si="9"/>
        <v>2.756001823801419</v>
      </c>
      <c r="AC45" s="35">
        <v>85</v>
      </c>
      <c r="AD45" s="35">
        <f t="shared" si="30"/>
        <v>1.9294189257142926</v>
      </c>
      <c r="AE45" s="48">
        <v>43.5</v>
      </c>
      <c r="AF45" s="48">
        <f t="shared" si="31"/>
        <v>1.6384892569546374</v>
      </c>
      <c r="AG45" s="43">
        <v>52.924485315438503</v>
      </c>
      <c r="AH45" s="43">
        <f t="shared" si="32"/>
        <v>1.7236566432478624</v>
      </c>
      <c r="AI45" s="175">
        <v>0.11</v>
      </c>
      <c r="AJ45" s="48">
        <f t="shared" si="10"/>
        <v>4.5322978786657475E-2</v>
      </c>
      <c r="AK45" s="35">
        <v>21</v>
      </c>
      <c r="AL45" s="35">
        <f t="shared" si="33"/>
        <v>1.3222192947339193</v>
      </c>
      <c r="AM45" s="35">
        <f t="shared" si="11"/>
        <v>0</v>
      </c>
      <c r="AN45" s="35">
        <f t="shared" si="12"/>
        <v>0</v>
      </c>
      <c r="AO45" s="35">
        <f t="shared" si="13"/>
        <v>0</v>
      </c>
      <c r="AP45" s="35">
        <f t="shared" si="14"/>
        <v>0</v>
      </c>
      <c r="AQ45" s="35">
        <f t="shared" si="15"/>
        <v>0</v>
      </c>
      <c r="AR45" s="35">
        <f t="shared" si="16"/>
        <v>0</v>
      </c>
      <c r="AS45" s="35">
        <f t="shared" si="17"/>
        <v>0</v>
      </c>
      <c r="AT45" s="35">
        <f t="shared" si="18"/>
        <v>1</v>
      </c>
      <c r="AU45" s="35">
        <f t="shared" si="19"/>
        <v>0</v>
      </c>
      <c r="AV45" s="35">
        <f t="shared" si="20"/>
        <v>0</v>
      </c>
      <c r="AW45" s="35">
        <f t="shared" si="21"/>
        <v>0</v>
      </c>
      <c r="AX45" s="35">
        <f t="shared" si="22"/>
        <v>0</v>
      </c>
      <c r="AY45" s="35">
        <f t="shared" si="23"/>
        <v>0</v>
      </c>
      <c r="AZ45" s="35">
        <f t="shared" si="24"/>
        <v>0</v>
      </c>
      <c r="BA45" s="35">
        <f t="shared" si="25"/>
        <v>0</v>
      </c>
      <c r="BB45" s="35">
        <f t="shared" si="26"/>
        <v>0</v>
      </c>
      <c r="BC45" s="35">
        <f t="shared" si="27"/>
        <v>0</v>
      </c>
    </row>
    <row r="46" spans="1:55" s="35" customFormat="1" x14ac:dyDescent="0.35">
      <c r="A46" s="36">
        <v>36160</v>
      </c>
      <c r="B46" s="35" t="s">
        <v>900</v>
      </c>
      <c r="C46" s="35" t="s">
        <v>163</v>
      </c>
      <c r="D46" s="35" t="s">
        <v>59</v>
      </c>
      <c r="E46" s="35" t="s">
        <v>64</v>
      </c>
      <c r="F46" s="139">
        <f t="shared" si="0"/>
        <v>1</v>
      </c>
      <c r="G46" s="35">
        <v>78000000</v>
      </c>
      <c r="H46" s="139">
        <f t="shared" si="1"/>
        <v>7.8920946026904808</v>
      </c>
      <c r="I46" s="35">
        <f t="shared" si="35"/>
        <v>78000000</v>
      </c>
      <c r="J46" s="35">
        <v>0</v>
      </c>
      <c r="K46" s="36">
        <v>38852</v>
      </c>
      <c r="L46" s="35">
        <v>117300000</v>
      </c>
      <c r="M46" s="21">
        <f t="shared" si="2"/>
        <v>7.375342465753425</v>
      </c>
      <c r="N46" s="21">
        <f t="shared" si="28"/>
        <v>0.86778219109546451</v>
      </c>
      <c r="O46" s="35">
        <v>342.74</v>
      </c>
      <c r="P46" s="35">
        <f t="shared" si="3"/>
        <v>2.5362300726332561</v>
      </c>
      <c r="Q46" s="35">
        <v>17</v>
      </c>
      <c r="R46" s="35">
        <f t="shared" si="4"/>
        <v>1.255272505103306</v>
      </c>
      <c r="S46" s="45">
        <v>2.3199999999999998</v>
      </c>
      <c r="T46" s="45">
        <f t="shared" si="29"/>
        <v>0.36548798489089962</v>
      </c>
      <c r="U46" s="175">
        <f t="shared" si="5"/>
        <v>0.50384615384615383</v>
      </c>
      <c r="V46" s="48">
        <f t="shared" si="6"/>
        <v>0.17720340942504884</v>
      </c>
      <c r="W46" s="35">
        <v>2417.5229853975125</v>
      </c>
      <c r="X46" s="35">
        <f t="shared" si="7"/>
        <v>3.3833706119727633</v>
      </c>
      <c r="Y46" s="35">
        <v>9545.7003785830148</v>
      </c>
      <c r="Z46" s="35">
        <f t="shared" si="8"/>
        <v>3.9798077985646683</v>
      </c>
      <c r="AA46" s="37">
        <v>569.16666666666697</v>
      </c>
      <c r="AB46" s="37">
        <f t="shared" si="9"/>
        <v>2.756001823801419</v>
      </c>
      <c r="AC46" s="35">
        <v>85</v>
      </c>
      <c r="AD46" s="35">
        <f t="shared" si="30"/>
        <v>1.9294189257142926</v>
      </c>
      <c r="AE46" s="48">
        <v>43.5</v>
      </c>
      <c r="AF46" s="48">
        <f t="shared" si="31"/>
        <v>1.6384892569546374</v>
      </c>
      <c r="AG46" s="43">
        <v>52.924485315438503</v>
      </c>
      <c r="AH46" s="43">
        <f t="shared" si="32"/>
        <v>1.7236566432478624</v>
      </c>
      <c r="AI46" s="175">
        <v>0.3</v>
      </c>
      <c r="AJ46" s="48">
        <f t="shared" si="10"/>
        <v>0.11394335230683679</v>
      </c>
      <c r="AK46" s="35">
        <v>21</v>
      </c>
      <c r="AL46" s="35">
        <f t="shared" si="33"/>
        <v>1.3222192947339193</v>
      </c>
      <c r="AM46" s="35">
        <f t="shared" si="11"/>
        <v>0</v>
      </c>
      <c r="AN46" s="35">
        <f t="shared" si="12"/>
        <v>0</v>
      </c>
      <c r="AO46" s="35">
        <f t="shared" si="13"/>
        <v>0</v>
      </c>
      <c r="AP46" s="35">
        <f t="shared" si="14"/>
        <v>0</v>
      </c>
      <c r="AQ46" s="35">
        <f t="shared" si="15"/>
        <v>0</v>
      </c>
      <c r="AR46" s="35">
        <f t="shared" si="16"/>
        <v>0</v>
      </c>
      <c r="AS46" s="35">
        <f t="shared" si="17"/>
        <v>0</v>
      </c>
      <c r="AT46" s="35">
        <f t="shared" si="18"/>
        <v>1</v>
      </c>
      <c r="AU46" s="35">
        <f t="shared" si="19"/>
        <v>0</v>
      </c>
      <c r="AV46" s="35">
        <f t="shared" si="20"/>
        <v>0</v>
      </c>
      <c r="AW46" s="35">
        <f t="shared" si="21"/>
        <v>0</v>
      </c>
      <c r="AX46" s="35">
        <f t="shared" si="22"/>
        <v>0</v>
      </c>
      <c r="AY46" s="35">
        <f t="shared" si="23"/>
        <v>0</v>
      </c>
      <c r="AZ46" s="35">
        <f t="shared" si="24"/>
        <v>0</v>
      </c>
      <c r="BA46" s="35">
        <f t="shared" si="25"/>
        <v>0</v>
      </c>
      <c r="BB46" s="35">
        <f t="shared" si="26"/>
        <v>0</v>
      </c>
      <c r="BC46" s="35">
        <f t="shared" si="27"/>
        <v>0</v>
      </c>
    </row>
    <row r="47" spans="1:55" s="35" customFormat="1" x14ac:dyDescent="0.35">
      <c r="A47" s="36">
        <v>36199</v>
      </c>
      <c r="B47" s="35" t="s">
        <v>582</v>
      </c>
      <c r="C47" s="35" t="s">
        <v>5</v>
      </c>
      <c r="D47" s="35" t="s">
        <v>577</v>
      </c>
      <c r="E47" s="35" t="s">
        <v>125</v>
      </c>
      <c r="F47" s="139">
        <f t="shared" si="0"/>
        <v>1</v>
      </c>
      <c r="G47" s="35">
        <v>61765000</v>
      </c>
      <c r="H47" s="139">
        <f t="shared" si="1"/>
        <v>7.7907424457557015</v>
      </c>
      <c r="I47" s="35">
        <f t="shared" si="35"/>
        <v>61765000</v>
      </c>
      <c r="J47" s="35">
        <v>0</v>
      </c>
      <c r="K47" s="36">
        <v>38924</v>
      </c>
      <c r="L47" s="35">
        <v>110000000</v>
      </c>
      <c r="M47" s="21">
        <f t="shared" si="2"/>
        <v>7.4657534246575343</v>
      </c>
      <c r="N47" s="21">
        <f t="shared" si="28"/>
        <v>0.87307364215618655</v>
      </c>
      <c r="O47" s="35">
        <v>912.56</v>
      </c>
      <c r="P47" s="35">
        <f t="shared" si="3"/>
        <v>2.9607370758409366</v>
      </c>
      <c r="Q47" s="35">
        <v>174</v>
      </c>
      <c r="R47" s="35">
        <f t="shared" si="4"/>
        <v>2.2430380486862944</v>
      </c>
      <c r="S47" s="45">
        <v>3.26</v>
      </c>
      <c r="T47" s="45">
        <f t="shared" si="29"/>
        <v>0.51321760006793893</v>
      </c>
      <c r="U47" s="175">
        <f t="shared" si="5"/>
        <v>0.78094390026714167</v>
      </c>
      <c r="V47" s="48">
        <f t="shared" si="6"/>
        <v>0.25065023940252346</v>
      </c>
      <c r="W47" s="35">
        <v>1895.918367346939</v>
      </c>
      <c r="X47" s="35">
        <f t="shared" si="7"/>
        <v>3.277819633965128</v>
      </c>
      <c r="Y47" s="35">
        <v>8519.3877551020414</v>
      </c>
      <c r="Z47" s="35">
        <f t="shared" si="8"/>
        <v>3.9304083853612104</v>
      </c>
      <c r="AA47" s="37">
        <v>1242.8333333333301</v>
      </c>
      <c r="AB47" s="37">
        <f t="shared" si="9"/>
        <v>3.0947621912367507</v>
      </c>
      <c r="AC47" s="35">
        <v>70</v>
      </c>
      <c r="AD47" s="35">
        <f t="shared" si="30"/>
        <v>1.8450980400142569</v>
      </c>
      <c r="AE47" s="48">
        <v>37.200000000000003</v>
      </c>
      <c r="AF47" s="48">
        <f t="shared" si="31"/>
        <v>1.5705429398818975</v>
      </c>
      <c r="AG47" s="43">
        <v>43.419976684252802</v>
      </c>
      <c r="AH47" s="43">
        <f t="shared" si="32"/>
        <v>1.6376895859101317</v>
      </c>
      <c r="AI47" s="39">
        <v>0.32</v>
      </c>
      <c r="AJ47" s="48">
        <f t="shared" si="10"/>
        <v>0.12057393120584989</v>
      </c>
      <c r="AK47" s="35">
        <v>12</v>
      </c>
      <c r="AL47" s="35">
        <f t="shared" si="33"/>
        <v>1.0791812460476249</v>
      </c>
      <c r="AM47" s="35">
        <f t="shared" si="11"/>
        <v>0</v>
      </c>
      <c r="AN47" s="35">
        <f t="shared" si="12"/>
        <v>0</v>
      </c>
      <c r="AO47" s="35">
        <f t="shared" si="13"/>
        <v>0</v>
      </c>
      <c r="AP47" s="35">
        <f t="shared" si="14"/>
        <v>0</v>
      </c>
      <c r="AQ47" s="35">
        <f t="shared" si="15"/>
        <v>0</v>
      </c>
      <c r="AR47" s="35">
        <f t="shared" si="16"/>
        <v>0</v>
      </c>
      <c r="AS47" s="35">
        <f t="shared" si="17"/>
        <v>1</v>
      </c>
      <c r="AT47" s="35">
        <f t="shared" si="18"/>
        <v>0</v>
      </c>
      <c r="AU47" s="35">
        <f t="shared" si="19"/>
        <v>0</v>
      </c>
      <c r="AV47" s="35">
        <f t="shared" si="20"/>
        <v>0</v>
      </c>
      <c r="AW47" s="35">
        <f t="shared" si="21"/>
        <v>0</v>
      </c>
      <c r="AX47" s="35">
        <f t="shared" si="22"/>
        <v>0</v>
      </c>
      <c r="AY47" s="35">
        <f t="shared" si="23"/>
        <v>0</v>
      </c>
      <c r="AZ47" s="35">
        <f t="shared" si="24"/>
        <v>0</v>
      </c>
      <c r="BA47" s="35">
        <f t="shared" si="25"/>
        <v>0</v>
      </c>
      <c r="BB47" s="35">
        <f t="shared" si="26"/>
        <v>0</v>
      </c>
      <c r="BC47" s="35">
        <f t="shared" si="27"/>
        <v>0</v>
      </c>
    </row>
    <row r="48" spans="1:55" s="35" customFormat="1" x14ac:dyDescent="0.35">
      <c r="A48" s="36">
        <v>36200</v>
      </c>
      <c r="B48" s="35" t="s">
        <v>1067</v>
      </c>
      <c r="C48" s="35" t="s">
        <v>447</v>
      </c>
      <c r="D48" s="35" t="s">
        <v>45</v>
      </c>
      <c r="E48" s="35" t="s">
        <v>64</v>
      </c>
      <c r="F48" s="139">
        <f t="shared" si="0"/>
        <v>1</v>
      </c>
      <c r="G48" s="35">
        <v>398610000</v>
      </c>
      <c r="H48" s="139">
        <f t="shared" si="1"/>
        <v>8.6005481897240834</v>
      </c>
      <c r="I48" s="35">
        <f t="shared" si="35"/>
        <v>398610000</v>
      </c>
      <c r="J48" s="35">
        <v>0</v>
      </c>
      <c r="K48" s="36">
        <v>39538</v>
      </c>
      <c r="L48" s="35">
        <v>886920000</v>
      </c>
      <c r="M48" s="21">
        <f t="shared" si="2"/>
        <v>9.1452054794520556</v>
      </c>
      <c r="N48" s="21">
        <f t="shared" si="28"/>
        <v>0.96119346788675319</v>
      </c>
      <c r="O48" s="35">
        <v>6087.84</v>
      </c>
      <c r="P48" s="35">
        <f t="shared" si="3"/>
        <v>3.7845345619950592</v>
      </c>
      <c r="Q48" s="35">
        <v>15</v>
      </c>
      <c r="R48" s="35">
        <f t="shared" si="4"/>
        <v>1.2041199826559248</v>
      </c>
      <c r="S48" s="45">
        <v>2.81</v>
      </c>
      <c r="T48" s="45">
        <f t="shared" si="29"/>
        <v>0.44870631990507992</v>
      </c>
      <c r="U48" s="175">
        <f t="shared" si="5"/>
        <v>1.2250319861518779</v>
      </c>
      <c r="V48" s="48">
        <f t="shared" si="6"/>
        <v>0.34733625860207795</v>
      </c>
      <c r="W48" s="35">
        <v>2387.5432525951551</v>
      </c>
      <c r="X48" s="35">
        <f t="shared" si="7"/>
        <v>3.3779512479807074</v>
      </c>
      <c r="Y48" s="35">
        <v>5847.7508650519039</v>
      </c>
      <c r="Z48" s="35">
        <f t="shared" si="8"/>
        <v>3.7669888618571257</v>
      </c>
      <c r="AA48" s="37">
        <v>824.83333333333303</v>
      </c>
      <c r="AB48" s="37">
        <f t="shared" si="9"/>
        <v>2.9168924084376502</v>
      </c>
      <c r="AC48" s="35">
        <v>70</v>
      </c>
      <c r="AD48" s="35">
        <f t="shared" si="30"/>
        <v>1.8450980400142569</v>
      </c>
      <c r="AE48" s="48">
        <v>33.08</v>
      </c>
      <c r="AF48" s="48">
        <f t="shared" si="31"/>
        <v>1.5195655008805091</v>
      </c>
      <c r="AG48" s="43">
        <v>39.934142779262203</v>
      </c>
      <c r="AH48" s="43">
        <f t="shared" si="32"/>
        <v>1.6013443663637854</v>
      </c>
      <c r="AI48" s="39">
        <v>0.37</v>
      </c>
      <c r="AJ48" s="48">
        <f t="shared" si="10"/>
        <v>0.13672056715640679</v>
      </c>
      <c r="AK48" s="35">
        <v>9</v>
      </c>
      <c r="AL48" s="35">
        <f t="shared" si="33"/>
        <v>0.95424250943932487</v>
      </c>
      <c r="AM48" s="35">
        <f t="shared" si="11"/>
        <v>0</v>
      </c>
      <c r="AN48" s="35">
        <f t="shared" si="12"/>
        <v>0</v>
      </c>
      <c r="AO48" s="35">
        <f t="shared" si="13"/>
        <v>0</v>
      </c>
      <c r="AP48" s="35">
        <f t="shared" si="14"/>
        <v>0</v>
      </c>
      <c r="AQ48" s="35">
        <f t="shared" si="15"/>
        <v>0</v>
      </c>
      <c r="AR48" s="35">
        <f t="shared" si="16"/>
        <v>0</v>
      </c>
      <c r="AS48" s="35">
        <f t="shared" si="17"/>
        <v>0</v>
      </c>
      <c r="AT48" s="35">
        <f t="shared" si="18"/>
        <v>0</v>
      </c>
      <c r="AU48" s="35">
        <f t="shared" si="19"/>
        <v>0</v>
      </c>
      <c r="AV48" s="35">
        <f t="shared" si="20"/>
        <v>0</v>
      </c>
      <c r="AW48" s="35">
        <f t="shared" si="21"/>
        <v>0</v>
      </c>
      <c r="AX48" s="35">
        <f t="shared" si="22"/>
        <v>1</v>
      </c>
      <c r="AY48" s="35">
        <f t="shared" si="23"/>
        <v>0</v>
      </c>
      <c r="AZ48" s="35">
        <f t="shared" si="24"/>
        <v>0</v>
      </c>
      <c r="BA48" s="35">
        <f t="shared" si="25"/>
        <v>0</v>
      </c>
      <c r="BB48" s="35">
        <f t="shared" si="26"/>
        <v>0</v>
      </c>
      <c r="BC48" s="35">
        <f t="shared" si="27"/>
        <v>0</v>
      </c>
    </row>
    <row r="49" spans="1:55" s="35" customFormat="1" x14ac:dyDescent="0.35">
      <c r="A49" s="36">
        <v>36202</v>
      </c>
      <c r="B49" s="35" t="s">
        <v>348</v>
      </c>
      <c r="C49" s="35" t="s">
        <v>45</v>
      </c>
      <c r="D49" s="35" t="s">
        <v>45</v>
      </c>
      <c r="E49" s="35" t="s">
        <v>102</v>
      </c>
      <c r="F49" s="139">
        <f t="shared" si="0"/>
        <v>0</v>
      </c>
      <c r="G49" s="35">
        <v>842020000</v>
      </c>
      <c r="H49" s="139">
        <f t="shared" si="1"/>
        <v>8.9253224071605537</v>
      </c>
      <c r="I49" s="35">
        <v>842020000</v>
      </c>
      <c r="J49" s="35">
        <v>0</v>
      </c>
      <c r="K49" s="36">
        <v>39188</v>
      </c>
      <c r="L49" s="35">
        <v>327900000</v>
      </c>
      <c r="M49" s="21">
        <f t="shared" si="2"/>
        <v>8.1808219178082187</v>
      </c>
      <c r="N49" s="21">
        <f t="shared" si="28"/>
        <v>0.91279693893253189</v>
      </c>
      <c r="O49" s="35">
        <v>0</v>
      </c>
      <c r="P49" s="35">
        <f t="shared" si="3"/>
        <v>0</v>
      </c>
      <c r="Q49" s="35">
        <v>16</v>
      </c>
      <c r="R49" s="35">
        <f t="shared" si="4"/>
        <v>1.2304489213782739</v>
      </c>
      <c r="S49" s="45">
        <v>2.95</v>
      </c>
      <c r="T49" s="45">
        <f t="shared" si="29"/>
        <v>0.46982201597816303</v>
      </c>
      <c r="U49" s="175">
        <f t="shared" si="5"/>
        <v>-0.61057932115626712</v>
      </c>
      <c r="V49" s="48">
        <f t="shared" si="6"/>
        <v>-0.40958099049118918</v>
      </c>
      <c r="W49" s="35">
        <v>1171.498</v>
      </c>
      <c r="X49" s="35">
        <f t="shared" si="7"/>
        <v>3.0687415514991745</v>
      </c>
      <c r="Y49" s="35">
        <v>3386.1060000000002</v>
      </c>
      <c r="Z49" s="35">
        <f t="shared" si="8"/>
        <v>3.5297005493117593</v>
      </c>
      <c r="AA49" s="37">
        <v>0</v>
      </c>
      <c r="AB49" s="37">
        <f t="shared" si="9"/>
        <v>0</v>
      </c>
      <c r="AC49" s="35">
        <v>85</v>
      </c>
      <c r="AD49" s="35">
        <f t="shared" si="30"/>
        <v>1.9294189257142926</v>
      </c>
      <c r="AE49" s="48">
        <v>27.8</v>
      </c>
      <c r="AF49" s="48">
        <f t="shared" si="31"/>
        <v>1.4440447959180762</v>
      </c>
      <c r="AG49" s="43">
        <v>34.656907836978597</v>
      </c>
      <c r="AH49" s="43">
        <f t="shared" si="32"/>
        <v>1.5397898114291337</v>
      </c>
      <c r="AI49" s="39">
        <v>-7.0000000000000007E-2</v>
      </c>
      <c r="AJ49" s="48">
        <f t="shared" si="10"/>
        <v>-3.1517051446064911E-2</v>
      </c>
      <c r="AK49" s="35">
        <v>7</v>
      </c>
      <c r="AL49" s="35">
        <f t="shared" si="33"/>
        <v>0.84509804001425681</v>
      </c>
      <c r="AM49" s="35">
        <f t="shared" si="11"/>
        <v>0</v>
      </c>
      <c r="AN49" s="35">
        <f t="shared" si="12"/>
        <v>1</v>
      </c>
      <c r="AO49" s="35">
        <f t="shared" si="13"/>
        <v>0</v>
      </c>
      <c r="AP49" s="35">
        <f t="shared" si="14"/>
        <v>0</v>
      </c>
      <c r="AQ49" s="35">
        <f t="shared" si="15"/>
        <v>0</v>
      </c>
      <c r="AR49" s="35">
        <f t="shared" si="16"/>
        <v>0</v>
      </c>
      <c r="AS49" s="35">
        <f t="shared" si="17"/>
        <v>0</v>
      </c>
      <c r="AT49" s="35">
        <f t="shared" si="18"/>
        <v>0</v>
      </c>
      <c r="AU49" s="35">
        <f t="shared" si="19"/>
        <v>0</v>
      </c>
      <c r="AV49" s="35">
        <f t="shared" si="20"/>
        <v>0</v>
      </c>
      <c r="AW49" s="35">
        <f t="shared" si="21"/>
        <v>0</v>
      </c>
      <c r="AX49" s="35">
        <f t="shared" si="22"/>
        <v>0</v>
      </c>
      <c r="AY49" s="35">
        <f t="shared" si="23"/>
        <v>0</v>
      </c>
      <c r="AZ49" s="35">
        <f t="shared" si="24"/>
        <v>0</v>
      </c>
      <c r="BA49" s="35">
        <f t="shared" si="25"/>
        <v>0</v>
      </c>
      <c r="BB49" s="35">
        <f t="shared" si="26"/>
        <v>0</v>
      </c>
      <c r="BC49" s="35">
        <f t="shared" si="27"/>
        <v>0</v>
      </c>
    </row>
    <row r="50" spans="1:55" s="35" customFormat="1" x14ac:dyDescent="0.35">
      <c r="A50" s="36">
        <v>36222</v>
      </c>
      <c r="B50" s="139" t="s">
        <v>71</v>
      </c>
      <c r="C50" s="139" t="s">
        <v>45</v>
      </c>
      <c r="D50" s="139" t="s">
        <v>45</v>
      </c>
      <c r="E50" s="139" t="s">
        <v>47</v>
      </c>
      <c r="F50" s="139">
        <f t="shared" si="0"/>
        <v>0</v>
      </c>
      <c r="G50" s="139">
        <v>772000000</v>
      </c>
      <c r="H50" s="139">
        <f t="shared" si="1"/>
        <v>8.8876173003357355</v>
      </c>
      <c r="I50" s="139">
        <v>444000000</v>
      </c>
      <c r="J50" s="139">
        <v>328000000</v>
      </c>
      <c r="K50" s="18">
        <v>40504</v>
      </c>
      <c r="L50" s="139">
        <v>790000000</v>
      </c>
      <c r="M50" s="21">
        <f t="shared" si="2"/>
        <v>11.731506849315069</v>
      </c>
      <c r="N50" s="21">
        <f t="shared" si="28"/>
        <v>1.0693537985019448</v>
      </c>
      <c r="O50" s="35">
        <v>0</v>
      </c>
      <c r="P50" s="35">
        <f t="shared" si="3"/>
        <v>0</v>
      </c>
      <c r="Q50" s="35">
        <v>20</v>
      </c>
      <c r="R50" s="35">
        <f t="shared" si="4"/>
        <v>1.3222192947339193</v>
      </c>
      <c r="S50" s="45">
        <v>2.95</v>
      </c>
      <c r="T50" s="45">
        <f t="shared" si="29"/>
        <v>0.46982201597816303</v>
      </c>
      <c r="U50" s="175">
        <f t="shared" si="5"/>
        <v>2.3316062176165886E-2</v>
      </c>
      <c r="V50" s="48">
        <f t="shared" si="6"/>
        <v>1.0009790954705312E-2</v>
      </c>
      <c r="W50" s="35">
        <v>2443.0081229801726</v>
      </c>
      <c r="X50" s="35">
        <f t="shared" si="7"/>
        <v>3.3879249110011078</v>
      </c>
      <c r="Y50" s="35">
        <v>8757.9701283954928</v>
      </c>
      <c r="Z50" s="35">
        <f t="shared" si="8"/>
        <v>3.9424034595709814</v>
      </c>
      <c r="AA50" s="37">
        <v>0</v>
      </c>
      <c r="AB50" s="37">
        <f t="shared" si="9"/>
        <v>0</v>
      </c>
      <c r="AC50" s="35">
        <v>85</v>
      </c>
      <c r="AD50" s="35">
        <f t="shared" si="30"/>
        <v>1.9294189257142926</v>
      </c>
      <c r="AE50" s="48">
        <v>27.8</v>
      </c>
      <c r="AF50" s="48">
        <f t="shared" si="31"/>
        <v>1.4440447959180762</v>
      </c>
      <c r="AG50" s="43">
        <v>34.656907836978597</v>
      </c>
      <c r="AH50" s="43">
        <f t="shared" si="32"/>
        <v>1.5397898114291337</v>
      </c>
      <c r="AI50" s="39">
        <v>-0.1</v>
      </c>
      <c r="AJ50" s="48">
        <f t="shared" si="10"/>
        <v>-4.5757490560675115E-2</v>
      </c>
      <c r="AK50" s="35">
        <v>5</v>
      </c>
      <c r="AL50" s="35">
        <f t="shared" si="33"/>
        <v>0.69897000433601886</v>
      </c>
      <c r="AM50" s="35">
        <f t="shared" si="11"/>
        <v>0</v>
      </c>
      <c r="AN50" s="35">
        <f t="shared" si="12"/>
        <v>1</v>
      </c>
      <c r="AO50" s="35">
        <f t="shared" si="13"/>
        <v>0</v>
      </c>
      <c r="AP50" s="35">
        <f t="shared" si="14"/>
        <v>0</v>
      </c>
      <c r="AQ50" s="35">
        <f t="shared" si="15"/>
        <v>0</v>
      </c>
      <c r="AR50" s="35">
        <f t="shared" si="16"/>
        <v>0</v>
      </c>
      <c r="AS50" s="35">
        <f t="shared" si="17"/>
        <v>0</v>
      </c>
      <c r="AT50" s="35">
        <f t="shared" si="18"/>
        <v>0</v>
      </c>
      <c r="AU50" s="35">
        <f t="shared" si="19"/>
        <v>0</v>
      </c>
      <c r="AV50" s="35">
        <f t="shared" si="20"/>
        <v>0</v>
      </c>
      <c r="AW50" s="35">
        <f t="shared" si="21"/>
        <v>0</v>
      </c>
      <c r="AX50" s="35">
        <f t="shared" si="22"/>
        <v>0</v>
      </c>
      <c r="AY50" s="35">
        <f t="shared" si="23"/>
        <v>0</v>
      </c>
      <c r="AZ50" s="35">
        <f t="shared" si="24"/>
        <v>0</v>
      </c>
      <c r="BA50" s="35">
        <f t="shared" si="25"/>
        <v>0</v>
      </c>
      <c r="BB50" s="35">
        <f t="shared" si="26"/>
        <v>0</v>
      </c>
      <c r="BC50" s="35">
        <f t="shared" si="27"/>
        <v>0</v>
      </c>
    </row>
    <row r="51" spans="1:55" s="35" customFormat="1" x14ac:dyDescent="0.35">
      <c r="A51" s="36">
        <v>36234</v>
      </c>
      <c r="B51" s="35" t="s">
        <v>1113</v>
      </c>
      <c r="C51" s="35" t="s">
        <v>59</v>
      </c>
      <c r="D51" s="35" t="s">
        <v>577</v>
      </c>
      <c r="E51" s="35" t="s">
        <v>47</v>
      </c>
      <c r="F51" s="139">
        <f t="shared" si="0"/>
        <v>0</v>
      </c>
      <c r="G51" s="35">
        <v>126865700</v>
      </c>
      <c r="H51" s="139">
        <f t="shared" si="1"/>
        <v>8.1033442200910457</v>
      </c>
      <c r="I51" s="35">
        <f t="shared" ref="I51:I63" si="36">G51</f>
        <v>126865700</v>
      </c>
      <c r="J51" s="35">
        <v>0</v>
      </c>
      <c r="K51" s="36">
        <v>41213</v>
      </c>
      <c r="L51" s="35">
        <v>22723512</v>
      </c>
      <c r="M51" s="21">
        <f t="shared" si="2"/>
        <v>13.641095890410959</v>
      </c>
      <c r="N51" s="21">
        <f t="shared" si="28"/>
        <v>1.1348492618189847</v>
      </c>
      <c r="O51" s="35">
        <v>0</v>
      </c>
      <c r="P51" s="35">
        <f t="shared" si="3"/>
        <v>0</v>
      </c>
      <c r="Q51" s="35">
        <v>9</v>
      </c>
      <c r="R51" s="35">
        <f t="shared" si="4"/>
        <v>1</v>
      </c>
      <c r="S51" s="45">
        <v>3.29</v>
      </c>
      <c r="T51" s="45">
        <f t="shared" si="29"/>
        <v>0.51719589794997434</v>
      </c>
      <c r="U51" s="175">
        <f t="shared" si="5"/>
        <v>-0.82088529839034508</v>
      </c>
      <c r="V51" s="48">
        <f t="shared" si="6"/>
        <v>-0.74686876610010333</v>
      </c>
      <c r="W51" s="35">
        <v>1669.0315000000001</v>
      </c>
      <c r="X51" s="35">
        <f t="shared" si="7"/>
        <v>3.2224645332922388</v>
      </c>
      <c r="Y51" s="35">
        <v>5094.7950000000001</v>
      </c>
      <c r="Z51" s="35">
        <f t="shared" si="8"/>
        <v>3.707126713924402</v>
      </c>
      <c r="AA51" s="37">
        <v>0</v>
      </c>
      <c r="AB51" s="37">
        <f t="shared" si="9"/>
        <v>0</v>
      </c>
      <c r="AC51" s="35">
        <v>85</v>
      </c>
      <c r="AD51" s="35">
        <f t="shared" si="30"/>
        <v>1.9294189257142926</v>
      </c>
      <c r="AE51" s="48">
        <v>32.200000000000003</v>
      </c>
      <c r="AF51" s="48">
        <f t="shared" si="31"/>
        <v>1.507855871695831</v>
      </c>
      <c r="AG51" s="43">
        <v>35.326012114535303</v>
      </c>
      <c r="AH51" s="43">
        <f t="shared" si="32"/>
        <v>1.548094613534351</v>
      </c>
      <c r="AI51" s="39">
        <v>-0.09</v>
      </c>
      <c r="AJ51" s="48">
        <f t="shared" si="10"/>
        <v>-4.0958607678906384E-2</v>
      </c>
      <c r="AK51" s="35">
        <v>4</v>
      </c>
      <c r="AL51" s="35">
        <f t="shared" si="33"/>
        <v>0.6020599913279624</v>
      </c>
      <c r="AM51" s="35">
        <f t="shared" si="11"/>
        <v>0</v>
      </c>
      <c r="AN51" s="35">
        <f t="shared" si="12"/>
        <v>0</v>
      </c>
      <c r="AO51" s="35">
        <f t="shared" si="13"/>
        <v>1</v>
      </c>
      <c r="AP51" s="35">
        <f t="shared" si="14"/>
        <v>0</v>
      </c>
      <c r="AQ51" s="35">
        <f t="shared" si="15"/>
        <v>0</v>
      </c>
      <c r="AR51" s="35">
        <f t="shared" si="16"/>
        <v>0</v>
      </c>
      <c r="AS51" s="35">
        <f t="shared" si="17"/>
        <v>0</v>
      </c>
      <c r="AT51" s="35">
        <f t="shared" si="18"/>
        <v>0</v>
      </c>
      <c r="AU51" s="35">
        <f t="shared" si="19"/>
        <v>0</v>
      </c>
      <c r="AV51" s="35">
        <f t="shared" si="20"/>
        <v>0</v>
      </c>
      <c r="AW51" s="35">
        <f t="shared" si="21"/>
        <v>0</v>
      </c>
      <c r="AX51" s="35">
        <f t="shared" si="22"/>
        <v>0</v>
      </c>
      <c r="AY51" s="35">
        <f t="shared" si="23"/>
        <v>0</v>
      </c>
      <c r="AZ51" s="35">
        <f t="shared" si="24"/>
        <v>0</v>
      </c>
      <c r="BA51" s="35">
        <f t="shared" si="25"/>
        <v>0</v>
      </c>
      <c r="BB51" s="35">
        <f t="shared" si="26"/>
        <v>0</v>
      </c>
      <c r="BC51" s="35">
        <f t="shared" si="27"/>
        <v>0</v>
      </c>
    </row>
    <row r="52" spans="1:55" s="35" customFormat="1" x14ac:dyDescent="0.35">
      <c r="A52" s="36">
        <v>36265</v>
      </c>
      <c r="B52" s="35" t="s">
        <v>706</v>
      </c>
      <c r="C52" s="35" t="s">
        <v>5</v>
      </c>
      <c r="D52" s="35" t="s">
        <v>602</v>
      </c>
      <c r="E52" s="35" t="s">
        <v>64</v>
      </c>
      <c r="F52" s="139">
        <f t="shared" si="0"/>
        <v>1</v>
      </c>
      <c r="G52" s="35">
        <v>33423010</v>
      </c>
      <c r="H52" s="139">
        <f t="shared" si="1"/>
        <v>7.5240455588884867</v>
      </c>
      <c r="I52" s="35">
        <f t="shared" si="36"/>
        <v>33423010</v>
      </c>
      <c r="J52" s="35">
        <v>0</v>
      </c>
      <c r="K52" s="36">
        <v>40604</v>
      </c>
      <c r="L52" s="35">
        <v>979600368</v>
      </c>
      <c r="M52" s="21">
        <f t="shared" si="2"/>
        <v>11.887671232876713</v>
      </c>
      <c r="N52" s="21">
        <f t="shared" si="28"/>
        <v>1.0750967856727371</v>
      </c>
      <c r="O52" s="35">
        <v>6188.89</v>
      </c>
      <c r="P52" s="35">
        <f t="shared" si="3"/>
        <v>3.7916829312790057</v>
      </c>
      <c r="Q52" s="35">
        <v>15</v>
      </c>
      <c r="R52" s="35">
        <f t="shared" si="4"/>
        <v>1.2041199826559248</v>
      </c>
      <c r="S52" s="45">
        <v>2.72</v>
      </c>
      <c r="T52" s="45">
        <f t="shared" si="29"/>
        <v>0.43456890403419873</v>
      </c>
      <c r="U52" s="175">
        <f t="shared" si="5"/>
        <v>28.309160605223767</v>
      </c>
      <c r="V52" s="48">
        <f t="shared" si="6"/>
        <v>1.4670033807127596</v>
      </c>
      <c r="W52" s="35">
        <v>1421.558</v>
      </c>
      <c r="X52" s="35">
        <f t="shared" si="7"/>
        <v>3.1527645837352773</v>
      </c>
      <c r="Y52" s="35">
        <v>3476.3409999999999</v>
      </c>
      <c r="Z52" s="35">
        <f t="shared" si="8"/>
        <v>3.5411223705253856</v>
      </c>
      <c r="AA52" s="37">
        <v>1084.3333333333301</v>
      </c>
      <c r="AB52" s="37">
        <f t="shared" si="9"/>
        <v>3.0355631414974997</v>
      </c>
      <c r="AC52" s="35">
        <v>70</v>
      </c>
      <c r="AD52" s="35">
        <f t="shared" si="30"/>
        <v>1.8450980400142569</v>
      </c>
      <c r="AE52" s="48">
        <v>37.200000000000003</v>
      </c>
      <c r="AF52" s="48">
        <f t="shared" si="31"/>
        <v>1.5705429398818975</v>
      </c>
      <c r="AG52" s="43">
        <v>43.419976684252802</v>
      </c>
      <c r="AH52" s="43">
        <f t="shared" si="32"/>
        <v>1.6376895859101317</v>
      </c>
      <c r="AI52" s="39">
        <v>0.67</v>
      </c>
      <c r="AJ52" s="48">
        <f t="shared" si="10"/>
        <v>0.22271647114758325</v>
      </c>
      <c r="AK52" s="35">
        <v>18</v>
      </c>
      <c r="AL52" s="35">
        <f t="shared" si="33"/>
        <v>1.255272505103306</v>
      </c>
      <c r="AM52" s="35">
        <f t="shared" si="11"/>
        <v>0</v>
      </c>
      <c r="AN52" s="35">
        <f t="shared" si="12"/>
        <v>0</v>
      </c>
      <c r="AO52" s="35">
        <f t="shared" si="13"/>
        <v>0</v>
      </c>
      <c r="AP52" s="35">
        <f t="shared" si="14"/>
        <v>0</v>
      </c>
      <c r="AQ52" s="35">
        <f t="shared" si="15"/>
        <v>0</v>
      </c>
      <c r="AR52" s="35">
        <f t="shared" si="16"/>
        <v>0</v>
      </c>
      <c r="AS52" s="35">
        <f t="shared" si="17"/>
        <v>1</v>
      </c>
      <c r="AT52" s="35">
        <f t="shared" si="18"/>
        <v>0</v>
      </c>
      <c r="AU52" s="35">
        <f t="shared" si="19"/>
        <v>0</v>
      </c>
      <c r="AV52" s="35">
        <f t="shared" si="20"/>
        <v>0</v>
      </c>
      <c r="AW52" s="35">
        <f t="shared" si="21"/>
        <v>0</v>
      </c>
      <c r="AX52" s="35">
        <f t="shared" si="22"/>
        <v>0</v>
      </c>
      <c r="AY52" s="35">
        <f t="shared" si="23"/>
        <v>0</v>
      </c>
      <c r="AZ52" s="35">
        <f t="shared" si="24"/>
        <v>0</v>
      </c>
      <c r="BA52" s="35">
        <f t="shared" si="25"/>
        <v>0</v>
      </c>
      <c r="BB52" s="35">
        <f t="shared" si="26"/>
        <v>0</v>
      </c>
      <c r="BC52" s="35">
        <f t="shared" si="27"/>
        <v>0</v>
      </c>
    </row>
    <row r="53" spans="1:55" s="35" customFormat="1" x14ac:dyDescent="0.35">
      <c r="A53" s="36">
        <v>36266</v>
      </c>
      <c r="B53" s="35" t="s">
        <v>470</v>
      </c>
      <c r="C53" s="35" t="s">
        <v>45</v>
      </c>
      <c r="D53" s="35" t="s">
        <v>59</v>
      </c>
      <c r="E53" s="35" t="s">
        <v>125</v>
      </c>
      <c r="F53" s="139">
        <f t="shared" si="0"/>
        <v>1</v>
      </c>
      <c r="G53" s="35">
        <v>322000000</v>
      </c>
      <c r="H53" s="139">
        <f t="shared" si="1"/>
        <v>8.5078558716958312</v>
      </c>
      <c r="I53" s="35">
        <f t="shared" si="36"/>
        <v>322000000</v>
      </c>
      <c r="J53" s="35">
        <v>0</v>
      </c>
      <c r="K53" s="36">
        <v>39133</v>
      </c>
      <c r="L53" s="35">
        <v>438210000</v>
      </c>
      <c r="M53" s="21">
        <f t="shared" si="2"/>
        <v>7.8547945205479452</v>
      </c>
      <c r="N53" s="21">
        <f t="shared" si="28"/>
        <v>0.8951348284900098</v>
      </c>
      <c r="O53" s="35">
        <v>5897.96</v>
      </c>
      <c r="P53" s="35">
        <f t="shared" si="3"/>
        <v>3.7707754512906644</v>
      </c>
      <c r="Q53" s="35">
        <v>73</v>
      </c>
      <c r="R53" s="35">
        <f t="shared" si="4"/>
        <v>1.8692317197309762</v>
      </c>
      <c r="S53" s="45">
        <v>2.3199999999999998</v>
      </c>
      <c r="T53" s="45">
        <f t="shared" si="29"/>
        <v>0.36548798489089962</v>
      </c>
      <c r="U53" s="175">
        <f t="shared" si="5"/>
        <v>0.36090062111801235</v>
      </c>
      <c r="V53" s="48">
        <f t="shared" si="6"/>
        <v>0.13382641228938827</v>
      </c>
      <c r="W53" s="35">
        <v>1248.0746999999999</v>
      </c>
      <c r="X53" s="35">
        <f t="shared" si="7"/>
        <v>3.0962405795987471</v>
      </c>
      <c r="Y53" s="35">
        <v>2518.2170000000001</v>
      </c>
      <c r="Z53" s="35">
        <f t="shared" si="8"/>
        <v>3.4010931514437841</v>
      </c>
      <c r="AA53" s="37">
        <v>132</v>
      </c>
      <c r="AB53" s="37">
        <f t="shared" si="9"/>
        <v>2.1238516409670858</v>
      </c>
      <c r="AC53" s="35">
        <v>85</v>
      </c>
      <c r="AD53" s="35">
        <f t="shared" si="30"/>
        <v>1.9294189257142926</v>
      </c>
      <c r="AE53" s="48">
        <v>27.8</v>
      </c>
      <c r="AF53" s="48">
        <f t="shared" si="31"/>
        <v>1.4440447959180762</v>
      </c>
      <c r="AG53" s="43">
        <v>34.656907836978597</v>
      </c>
      <c r="AH53" s="43">
        <f t="shared" si="32"/>
        <v>1.5397898114291337</v>
      </c>
      <c r="AI53" s="39">
        <v>0.51</v>
      </c>
      <c r="AJ53" s="48">
        <f t="shared" si="10"/>
        <v>0.17897694729316943</v>
      </c>
      <c r="AK53" s="35">
        <v>16</v>
      </c>
      <c r="AL53" s="35">
        <f t="shared" si="33"/>
        <v>1.2041199826559248</v>
      </c>
      <c r="AM53" s="35">
        <f t="shared" si="11"/>
        <v>0</v>
      </c>
      <c r="AN53" s="35">
        <f t="shared" si="12"/>
        <v>1</v>
      </c>
      <c r="AO53" s="35">
        <f t="shared" si="13"/>
        <v>0</v>
      </c>
      <c r="AP53" s="35">
        <f t="shared" si="14"/>
        <v>0</v>
      </c>
      <c r="AQ53" s="35">
        <f t="shared" si="15"/>
        <v>0</v>
      </c>
      <c r="AR53" s="35">
        <f t="shared" si="16"/>
        <v>0</v>
      </c>
      <c r="AS53" s="35">
        <f t="shared" si="17"/>
        <v>0</v>
      </c>
      <c r="AT53" s="35">
        <f t="shared" si="18"/>
        <v>0</v>
      </c>
      <c r="AU53" s="35">
        <f t="shared" si="19"/>
        <v>0</v>
      </c>
      <c r="AV53" s="35">
        <f t="shared" si="20"/>
        <v>0</v>
      </c>
      <c r="AW53" s="35">
        <f t="shared" si="21"/>
        <v>0</v>
      </c>
      <c r="AX53" s="35">
        <f t="shared" si="22"/>
        <v>0</v>
      </c>
      <c r="AY53" s="35">
        <f t="shared" si="23"/>
        <v>0</v>
      </c>
      <c r="AZ53" s="35">
        <f t="shared" si="24"/>
        <v>0</v>
      </c>
      <c r="BA53" s="35">
        <f t="shared" si="25"/>
        <v>0</v>
      </c>
      <c r="BB53" s="35">
        <f t="shared" si="26"/>
        <v>0</v>
      </c>
      <c r="BC53" s="35">
        <f t="shared" si="27"/>
        <v>0</v>
      </c>
    </row>
    <row r="54" spans="1:55" s="35" customFormat="1" x14ac:dyDescent="0.35">
      <c r="A54" s="36">
        <v>36294</v>
      </c>
      <c r="B54" s="35" t="s">
        <v>415</v>
      </c>
      <c r="C54" s="35" t="s">
        <v>3</v>
      </c>
      <c r="D54" s="35" t="s">
        <v>4</v>
      </c>
      <c r="E54" s="35" t="s">
        <v>125</v>
      </c>
      <c r="F54" s="139">
        <f t="shared" si="0"/>
        <v>1</v>
      </c>
      <c r="G54" s="35">
        <v>398000000</v>
      </c>
      <c r="H54" s="139">
        <f t="shared" si="1"/>
        <v>8.5998830720736876</v>
      </c>
      <c r="I54" s="35">
        <f t="shared" si="36"/>
        <v>398000000</v>
      </c>
      <c r="J54" s="35">
        <v>0</v>
      </c>
      <c r="K54" s="36">
        <v>37592</v>
      </c>
      <c r="L54" s="35">
        <v>723890000</v>
      </c>
      <c r="M54" s="21">
        <f t="shared" si="2"/>
        <v>3.5561643835616437</v>
      </c>
      <c r="N54" s="21">
        <f t="shared" si="28"/>
        <v>0.55098182800787565</v>
      </c>
      <c r="O54" s="35">
        <v>522.27</v>
      </c>
      <c r="P54" s="35">
        <f t="shared" si="3"/>
        <v>2.7187258365781268</v>
      </c>
      <c r="Q54" s="35">
        <v>125</v>
      </c>
      <c r="R54" s="35">
        <f t="shared" si="4"/>
        <v>2.1003705451175629</v>
      </c>
      <c r="S54" s="45">
        <v>3.59</v>
      </c>
      <c r="T54" s="45">
        <f t="shared" si="29"/>
        <v>0.55509444857831913</v>
      </c>
      <c r="U54" s="175">
        <f t="shared" si="5"/>
        <v>0.81881909547738685</v>
      </c>
      <c r="V54" s="48">
        <f t="shared" si="6"/>
        <v>0.25978950514211202</v>
      </c>
      <c r="W54" s="35">
        <v>1630.2786555587475</v>
      </c>
      <c r="X54" s="35">
        <f t="shared" si="7"/>
        <v>3.212261842580872</v>
      </c>
      <c r="Y54" s="35">
        <v>8569.3766159149673</v>
      </c>
      <c r="Z54" s="35">
        <f t="shared" si="8"/>
        <v>3.9329492300777744</v>
      </c>
      <c r="AA54" s="37">
        <v>1232.1666666666699</v>
      </c>
      <c r="AB54" s="37">
        <f t="shared" si="9"/>
        <v>3.0910217769380406</v>
      </c>
      <c r="AC54" s="35">
        <v>85</v>
      </c>
      <c r="AD54" s="35">
        <f t="shared" si="30"/>
        <v>1.9294189257142926</v>
      </c>
      <c r="AE54" s="48">
        <v>47.9</v>
      </c>
      <c r="AF54" s="48">
        <f t="shared" si="31"/>
        <v>1.6803355134145632</v>
      </c>
      <c r="AG54" s="43">
        <v>54.533270077590302</v>
      </c>
      <c r="AH54" s="43">
        <f t="shared" si="32"/>
        <v>1.7366615408570338</v>
      </c>
      <c r="AI54" s="39">
        <v>0.35</v>
      </c>
      <c r="AJ54" s="48">
        <f t="shared" si="10"/>
        <v>0.13033376849500614</v>
      </c>
      <c r="AK54" s="35">
        <v>21</v>
      </c>
      <c r="AL54" s="35">
        <f t="shared" si="33"/>
        <v>1.3222192947339193</v>
      </c>
      <c r="AM54" s="35">
        <f t="shared" si="11"/>
        <v>0</v>
      </c>
      <c r="AN54" s="35">
        <f t="shared" si="12"/>
        <v>0</v>
      </c>
      <c r="AO54" s="35">
        <f t="shared" si="13"/>
        <v>0</v>
      </c>
      <c r="AP54" s="35">
        <f t="shared" si="14"/>
        <v>0</v>
      </c>
      <c r="AQ54" s="35">
        <f t="shared" si="15"/>
        <v>1</v>
      </c>
      <c r="AR54" s="35">
        <f t="shared" si="16"/>
        <v>0</v>
      </c>
      <c r="AS54" s="35">
        <f t="shared" si="17"/>
        <v>0</v>
      </c>
      <c r="AT54" s="35">
        <f t="shared" si="18"/>
        <v>0</v>
      </c>
      <c r="AU54" s="35">
        <f t="shared" si="19"/>
        <v>0</v>
      </c>
      <c r="AV54" s="35">
        <f t="shared" si="20"/>
        <v>0</v>
      </c>
      <c r="AW54" s="35">
        <f t="shared" si="21"/>
        <v>0</v>
      </c>
      <c r="AX54" s="35">
        <f t="shared" si="22"/>
        <v>0</v>
      </c>
      <c r="AY54" s="35">
        <f t="shared" si="23"/>
        <v>0</v>
      </c>
      <c r="AZ54" s="35">
        <f t="shared" si="24"/>
        <v>0</v>
      </c>
      <c r="BA54" s="35">
        <f t="shared" si="25"/>
        <v>0</v>
      </c>
      <c r="BB54" s="35">
        <f t="shared" si="26"/>
        <v>0</v>
      </c>
      <c r="BC54" s="35">
        <f t="shared" si="27"/>
        <v>0</v>
      </c>
    </row>
    <row r="55" spans="1:55" s="35" customFormat="1" x14ac:dyDescent="0.35">
      <c r="A55" s="36">
        <v>36339</v>
      </c>
      <c r="B55" s="35" t="s">
        <v>501</v>
      </c>
      <c r="C55" s="35" t="s">
        <v>6</v>
      </c>
      <c r="D55" s="35" t="s">
        <v>59</v>
      </c>
      <c r="E55" s="35" t="s">
        <v>125</v>
      </c>
      <c r="F55" s="139">
        <f t="shared" si="0"/>
        <v>1</v>
      </c>
      <c r="G55" s="35">
        <v>26720000</v>
      </c>
      <c r="H55" s="139">
        <f t="shared" si="1"/>
        <v>7.4268364538035083</v>
      </c>
      <c r="I55" s="35">
        <f t="shared" si="36"/>
        <v>26720000</v>
      </c>
      <c r="J55" s="35">
        <v>0</v>
      </c>
      <c r="K55" s="36">
        <v>37445</v>
      </c>
      <c r="L55" s="35">
        <v>36358000</v>
      </c>
      <c r="M55" s="21">
        <f t="shared" si="2"/>
        <v>3.0301369863013701</v>
      </c>
      <c r="N55" s="21">
        <f t="shared" si="28"/>
        <v>0.48146226251220475</v>
      </c>
      <c r="O55" s="35">
        <v>320.77</v>
      </c>
      <c r="P55" s="35">
        <f t="shared" si="3"/>
        <v>2.5075455505094206</v>
      </c>
      <c r="Q55" s="35">
        <v>62</v>
      </c>
      <c r="R55" s="35">
        <f t="shared" si="4"/>
        <v>1.7993405494535817</v>
      </c>
      <c r="S55" s="45">
        <v>2.91</v>
      </c>
      <c r="T55" s="45">
        <f t="shared" si="29"/>
        <v>0.46389298898590731</v>
      </c>
      <c r="U55" s="175">
        <f t="shared" si="5"/>
        <v>0.36070359281437137</v>
      </c>
      <c r="V55" s="48">
        <f t="shared" si="6"/>
        <v>0.1337635315040327</v>
      </c>
      <c r="W55" s="176">
        <v>1709.090909090909</v>
      </c>
      <c r="X55" s="35">
        <f t="shared" si="7"/>
        <v>3.2327651641054547</v>
      </c>
      <c r="Y55" s="35">
        <v>8968.5950413223145</v>
      </c>
      <c r="Z55" s="35">
        <f t="shared" si="8"/>
        <v>3.9527244147731087</v>
      </c>
      <c r="AA55" s="37">
        <v>447.5</v>
      </c>
      <c r="AB55" s="37">
        <f t="shared" si="9"/>
        <v>2.6517624473801109</v>
      </c>
      <c r="AC55" s="35">
        <v>70</v>
      </c>
      <c r="AD55" s="35">
        <f t="shared" si="30"/>
        <v>1.8450980400142569</v>
      </c>
      <c r="AE55" s="48">
        <v>43.9</v>
      </c>
      <c r="AF55" s="48">
        <f t="shared" si="31"/>
        <v>1.6424645202421213</v>
      </c>
      <c r="AG55" s="43">
        <v>50.068420233717902</v>
      </c>
      <c r="AH55" s="43">
        <f t="shared" si="32"/>
        <v>1.6995638886906486</v>
      </c>
      <c r="AI55" s="39">
        <v>1.01</v>
      </c>
      <c r="AJ55" s="48">
        <f t="shared" si="10"/>
        <v>0.30319605742048883</v>
      </c>
      <c r="AK55" s="35">
        <v>19</v>
      </c>
      <c r="AL55" s="35">
        <f t="shared" si="33"/>
        <v>1.2787536009528289</v>
      </c>
      <c r="AM55" s="35">
        <f t="shared" si="11"/>
        <v>0</v>
      </c>
      <c r="AN55" s="35">
        <f t="shared" si="12"/>
        <v>0</v>
      </c>
      <c r="AO55" s="35">
        <f t="shared" si="13"/>
        <v>0</v>
      </c>
      <c r="AP55" s="35">
        <f t="shared" si="14"/>
        <v>0</v>
      </c>
      <c r="AQ55" s="35">
        <f t="shared" si="15"/>
        <v>0</v>
      </c>
      <c r="AR55" s="35">
        <f t="shared" si="16"/>
        <v>0</v>
      </c>
      <c r="AS55" s="35">
        <f t="shared" si="17"/>
        <v>0</v>
      </c>
      <c r="AT55" s="35">
        <f t="shared" si="18"/>
        <v>0</v>
      </c>
      <c r="AU55" s="35">
        <f t="shared" si="19"/>
        <v>1</v>
      </c>
      <c r="AV55" s="35">
        <f t="shared" si="20"/>
        <v>0</v>
      </c>
      <c r="AW55" s="35">
        <f t="shared" si="21"/>
        <v>0</v>
      </c>
      <c r="AX55" s="35">
        <f t="shared" si="22"/>
        <v>0</v>
      </c>
      <c r="AY55" s="35">
        <f t="shared" si="23"/>
        <v>0</v>
      </c>
      <c r="AZ55" s="35">
        <f t="shared" si="24"/>
        <v>0</v>
      </c>
      <c r="BA55" s="35">
        <f t="shared" si="25"/>
        <v>0</v>
      </c>
      <c r="BB55" s="35">
        <f t="shared" si="26"/>
        <v>0</v>
      </c>
      <c r="BC55" s="35">
        <f t="shared" si="27"/>
        <v>0</v>
      </c>
    </row>
    <row r="56" spans="1:55" s="35" customFormat="1" x14ac:dyDescent="0.35">
      <c r="A56" s="36">
        <v>36350</v>
      </c>
      <c r="B56" s="35" t="s">
        <v>590</v>
      </c>
      <c r="C56" s="35" t="s">
        <v>419</v>
      </c>
      <c r="D56" s="35" t="s">
        <v>577</v>
      </c>
      <c r="E56" s="35" t="s">
        <v>125</v>
      </c>
      <c r="F56" s="139">
        <f t="shared" si="0"/>
        <v>1</v>
      </c>
      <c r="G56" s="35">
        <v>102521000</v>
      </c>
      <c r="H56" s="139">
        <f t="shared" si="1"/>
        <v>8.010812833684307</v>
      </c>
      <c r="I56" s="35">
        <f t="shared" si="36"/>
        <v>102521000</v>
      </c>
      <c r="J56" s="35">
        <v>0</v>
      </c>
      <c r="K56" s="36">
        <v>38912</v>
      </c>
      <c r="L56" s="35">
        <v>67500000</v>
      </c>
      <c r="M56" s="21">
        <f t="shared" si="2"/>
        <v>7.0191780821917806</v>
      </c>
      <c r="N56" s="21">
        <f t="shared" si="28"/>
        <v>0.84628626095219273</v>
      </c>
      <c r="O56" s="35">
        <v>787.45</v>
      </c>
      <c r="P56" s="35">
        <f t="shared" si="3"/>
        <v>2.8967741575094288</v>
      </c>
      <c r="Q56" s="35">
        <v>0</v>
      </c>
      <c r="R56" s="35">
        <f t="shared" si="4"/>
        <v>0</v>
      </c>
      <c r="S56" s="45">
        <v>3.48</v>
      </c>
      <c r="T56" s="45">
        <f t="shared" si="29"/>
        <v>0.54157924394658097</v>
      </c>
      <c r="U56" s="175">
        <f t="shared" si="5"/>
        <v>-0.34159830668838576</v>
      </c>
      <c r="V56" s="48">
        <f t="shared" si="6"/>
        <v>-0.18150906085328272</v>
      </c>
      <c r="W56" s="35">
        <v>1895.918367346939</v>
      </c>
      <c r="X56" s="35">
        <f t="shared" si="7"/>
        <v>3.277819633965128</v>
      </c>
      <c r="Y56" s="35">
        <v>8519.3877551020414</v>
      </c>
      <c r="Z56" s="35">
        <f t="shared" si="8"/>
        <v>3.9304083853612104</v>
      </c>
      <c r="AA56" s="37">
        <v>76.3333333333333</v>
      </c>
      <c r="AB56" s="37">
        <f t="shared" si="9"/>
        <v>1.888366730171237</v>
      </c>
      <c r="AC56" s="35">
        <v>70</v>
      </c>
      <c r="AD56" s="35">
        <f t="shared" si="30"/>
        <v>1.8450980400142569</v>
      </c>
      <c r="AE56" s="48">
        <v>44.3</v>
      </c>
      <c r="AF56" s="48">
        <f t="shared" si="31"/>
        <v>1.6464037262230695</v>
      </c>
      <c r="AG56" s="43">
        <v>50.959243005601799</v>
      </c>
      <c r="AH56" s="43">
        <f t="shared" si="32"/>
        <v>1.7072229679746294</v>
      </c>
      <c r="AI56" s="39">
        <v>0.14000000000000001</v>
      </c>
      <c r="AJ56" s="48">
        <f t="shared" si="10"/>
        <v>5.6904851336472641E-2</v>
      </c>
      <c r="AK56" s="35">
        <v>15</v>
      </c>
      <c r="AL56" s="35">
        <f t="shared" si="33"/>
        <v>1.1760912590556813</v>
      </c>
      <c r="AM56" s="35">
        <f t="shared" si="11"/>
        <v>0</v>
      </c>
      <c r="AN56" s="35">
        <f t="shared" si="12"/>
        <v>0</v>
      </c>
      <c r="AO56" s="35">
        <f t="shared" si="13"/>
        <v>0</v>
      </c>
      <c r="AP56" s="35">
        <f t="shared" si="14"/>
        <v>0</v>
      </c>
      <c r="AQ56" s="35">
        <f t="shared" si="15"/>
        <v>0</v>
      </c>
      <c r="AR56" s="35">
        <f t="shared" si="16"/>
        <v>0</v>
      </c>
      <c r="AS56" s="35">
        <f t="shared" si="17"/>
        <v>0</v>
      </c>
      <c r="AT56" s="35">
        <f t="shared" si="18"/>
        <v>0</v>
      </c>
      <c r="AU56" s="35">
        <f t="shared" si="19"/>
        <v>0</v>
      </c>
      <c r="AV56" s="35">
        <f t="shared" si="20"/>
        <v>0</v>
      </c>
      <c r="AW56" s="35">
        <f t="shared" si="21"/>
        <v>0</v>
      </c>
      <c r="AX56" s="35">
        <f t="shared" si="22"/>
        <v>0</v>
      </c>
      <c r="AY56" s="35">
        <f t="shared" si="23"/>
        <v>0</v>
      </c>
      <c r="AZ56" s="35">
        <f t="shared" si="24"/>
        <v>0</v>
      </c>
      <c r="BA56" s="35">
        <f t="shared" si="25"/>
        <v>0</v>
      </c>
      <c r="BB56" s="35">
        <f t="shared" si="26"/>
        <v>0</v>
      </c>
      <c r="BC56" s="35">
        <f t="shared" si="27"/>
        <v>1</v>
      </c>
    </row>
    <row r="57" spans="1:55" s="35" customFormat="1" x14ac:dyDescent="0.35">
      <c r="A57" s="36">
        <v>36396</v>
      </c>
      <c r="B57" s="35" t="s">
        <v>1153</v>
      </c>
      <c r="C57" s="35" t="s">
        <v>45</v>
      </c>
      <c r="D57" s="35" t="s">
        <v>602</v>
      </c>
      <c r="E57" s="35" t="s">
        <v>47</v>
      </c>
      <c r="F57" s="139">
        <f t="shared" si="0"/>
        <v>0</v>
      </c>
      <c r="G57" s="35">
        <v>250000000</v>
      </c>
      <c r="H57" s="139">
        <f t="shared" si="1"/>
        <v>8.3979400086720375</v>
      </c>
      <c r="I57" s="35">
        <f t="shared" si="36"/>
        <v>250000000</v>
      </c>
      <c r="J57" s="35">
        <v>0</v>
      </c>
      <c r="K57" s="36">
        <v>37490</v>
      </c>
      <c r="L57" s="35">
        <v>500000000</v>
      </c>
      <c r="M57" s="21">
        <f t="shared" si="2"/>
        <v>2.9972602739726026</v>
      </c>
      <c r="N57" s="21">
        <f t="shared" si="28"/>
        <v>0.47672445754093723</v>
      </c>
      <c r="O57" s="35">
        <v>0</v>
      </c>
      <c r="P57" s="35">
        <f t="shared" si="3"/>
        <v>0</v>
      </c>
      <c r="Q57" s="35">
        <v>9</v>
      </c>
      <c r="R57" s="35">
        <f t="shared" si="4"/>
        <v>1</v>
      </c>
      <c r="S57" s="45">
        <v>2.95</v>
      </c>
      <c r="T57" s="45">
        <f t="shared" si="29"/>
        <v>0.46982201597816303</v>
      </c>
      <c r="U57" s="175">
        <f t="shared" si="5"/>
        <v>1</v>
      </c>
      <c r="V57" s="48">
        <f t="shared" si="6"/>
        <v>0.3010299956639812</v>
      </c>
      <c r="W57" s="35">
        <v>1246.953</v>
      </c>
      <c r="X57" s="35">
        <f t="shared" si="7"/>
        <v>3.0958500844125241</v>
      </c>
      <c r="Y57" s="35">
        <v>3219.7179999999998</v>
      </c>
      <c r="Z57" s="35">
        <f t="shared" si="8"/>
        <v>3.5078178355445662</v>
      </c>
      <c r="AA57" s="35">
        <v>0</v>
      </c>
      <c r="AB57" s="37">
        <f t="shared" si="9"/>
        <v>0</v>
      </c>
      <c r="AC57" s="35">
        <v>85</v>
      </c>
      <c r="AD57" s="35">
        <f t="shared" si="30"/>
        <v>1.9294189257142926</v>
      </c>
      <c r="AE57" s="48">
        <v>27.8</v>
      </c>
      <c r="AF57" s="48">
        <f t="shared" si="31"/>
        <v>1.4440447959180762</v>
      </c>
      <c r="AG57" s="43">
        <v>34.656907836978597</v>
      </c>
      <c r="AH57" s="43">
        <f t="shared" si="32"/>
        <v>1.5397898114291337</v>
      </c>
      <c r="AI57" s="28" t="s">
        <v>310</v>
      </c>
      <c r="AJ57" s="48">
        <f t="shared" si="10"/>
        <v>0.36642295722597273</v>
      </c>
      <c r="AK57" s="35">
        <v>5</v>
      </c>
      <c r="AL57" s="35">
        <f t="shared" si="33"/>
        <v>0.69897000433601886</v>
      </c>
      <c r="AM57" s="35">
        <f t="shared" si="11"/>
        <v>0</v>
      </c>
      <c r="AN57" s="35">
        <f t="shared" si="12"/>
        <v>1</v>
      </c>
      <c r="AO57" s="35">
        <f t="shared" si="13"/>
        <v>0</v>
      </c>
      <c r="AP57" s="35">
        <f t="shared" si="14"/>
        <v>0</v>
      </c>
      <c r="AQ57" s="35">
        <f t="shared" si="15"/>
        <v>0</v>
      </c>
      <c r="AR57" s="35">
        <f t="shared" si="16"/>
        <v>0</v>
      </c>
      <c r="AS57" s="35">
        <f t="shared" si="17"/>
        <v>0</v>
      </c>
      <c r="AT57" s="35">
        <f t="shared" si="18"/>
        <v>0</v>
      </c>
      <c r="AU57" s="35">
        <f t="shared" si="19"/>
        <v>0</v>
      </c>
      <c r="AV57" s="35">
        <f t="shared" si="20"/>
        <v>0</v>
      </c>
      <c r="AW57" s="35">
        <f t="shared" si="21"/>
        <v>0</v>
      </c>
      <c r="AX57" s="35">
        <f t="shared" si="22"/>
        <v>0</v>
      </c>
      <c r="AY57" s="35">
        <f t="shared" si="23"/>
        <v>0</v>
      </c>
      <c r="AZ57" s="35">
        <f t="shared" si="24"/>
        <v>0</v>
      </c>
      <c r="BA57" s="35">
        <f t="shared" si="25"/>
        <v>0</v>
      </c>
      <c r="BB57" s="35">
        <f t="shared" si="26"/>
        <v>0</v>
      </c>
      <c r="BC57" s="35">
        <f t="shared" si="27"/>
        <v>0</v>
      </c>
    </row>
    <row r="58" spans="1:55" s="35" customFormat="1" x14ac:dyDescent="0.35">
      <c r="A58" s="36">
        <v>36396</v>
      </c>
      <c r="B58" s="35" t="s">
        <v>1153</v>
      </c>
      <c r="C58" s="35" t="s">
        <v>45</v>
      </c>
      <c r="D58" s="35" t="s">
        <v>602</v>
      </c>
      <c r="E58" s="35" t="s">
        <v>47</v>
      </c>
      <c r="F58" s="139">
        <f t="shared" si="0"/>
        <v>0</v>
      </c>
      <c r="G58" s="35">
        <v>250000000</v>
      </c>
      <c r="H58" s="139">
        <f t="shared" si="1"/>
        <v>8.3979400086720375</v>
      </c>
      <c r="I58" s="35">
        <f t="shared" si="36"/>
        <v>250000000</v>
      </c>
      <c r="J58" s="35">
        <v>0</v>
      </c>
      <c r="K58" s="36">
        <v>37490</v>
      </c>
      <c r="L58" s="35">
        <v>500000000</v>
      </c>
      <c r="M58" s="21">
        <f t="shared" si="2"/>
        <v>2.9972602739726026</v>
      </c>
      <c r="N58" s="21">
        <f t="shared" si="28"/>
        <v>0.47672445754093723</v>
      </c>
      <c r="O58" s="35">
        <v>0</v>
      </c>
      <c r="P58" s="35">
        <f t="shared" si="3"/>
        <v>0</v>
      </c>
      <c r="Q58" s="35">
        <v>68</v>
      </c>
      <c r="R58" s="35">
        <f t="shared" si="4"/>
        <v>1.8388490907372552</v>
      </c>
      <c r="S58" s="45">
        <v>2.95</v>
      </c>
      <c r="T58" s="45">
        <f t="shared" si="29"/>
        <v>0.46982201597816303</v>
      </c>
      <c r="U58" s="175">
        <f t="shared" si="5"/>
        <v>1</v>
      </c>
      <c r="V58" s="48">
        <f t="shared" si="6"/>
        <v>0.3010299956639812</v>
      </c>
      <c r="W58" s="35">
        <v>1246.953</v>
      </c>
      <c r="X58" s="35">
        <f t="shared" si="7"/>
        <v>3.0958500844125241</v>
      </c>
      <c r="Y58" s="35">
        <v>3219.7179999999998</v>
      </c>
      <c r="Z58" s="35">
        <f t="shared" si="8"/>
        <v>3.5078178355445662</v>
      </c>
      <c r="AA58" s="35">
        <v>0</v>
      </c>
      <c r="AB58" s="37">
        <f t="shared" si="9"/>
        <v>0</v>
      </c>
      <c r="AC58" s="35">
        <v>85</v>
      </c>
      <c r="AD58" s="35">
        <f t="shared" si="30"/>
        <v>1.9294189257142926</v>
      </c>
      <c r="AE58" s="48">
        <v>27.8</v>
      </c>
      <c r="AF58" s="48">
        <f t="shared" si="31"/>
        <v>1.4440447959180762</v>
      </c>
      <c r="AG58" s="43">
        <v>34.656907836978597</v>
      </c>
      <c r="AH58" s="43">
        <f t="shared" si="32"/>
        <v>1.5397898114291337</v>
      </c>
      <c r="AI58" s="28" t="s">
        <v>314</v>
      </c>
      <c r="AJ58" s="48">
        <f t="shared" si="10"/>
        <v>0.20112389720737955</v>
      </c>
      <c r="AK58" s="35">
        <v>6</v>
      </c>
      <c r="AL58" s="35">
        <f t="shared" si="33"/>
        <v>0.77815125038364363</v>
      </c>
      <c r="AM58" s="35">
        <f t="shared" si="11"/>
        <v>0</v>
      </c>
      <c r="AN58" s="35">
        <f t="shared" si="12"/>
        <v>1</v>
      </c>
      <c r="AO58" s="35">
        <f t="shared" si="13"/>
        <v>0</v>
      </c>
      <c r="AP58" s="35">
        <f t="shared" si="14"/>
        <v>0</v>
      </c>
      <c r="AQ58" s="35">
        <f t="shared" si="15"/>
        <v>0</v>
      </c>
      <c r="AR58" s="35">
        <f t="shared" si="16"/>
        <v>0</v>
      </c>
      <c r="AS58" s="35">
        <f t="shared" si="17"/>
        <v>0</v>
      </c>
      <c r="AT58" s="35">
        <f t="shared" si="18"/>
        <v>0</v>
      </c>
      <c r="AU58" s="35">
        <f t="shared" si="19"/>
        <v>0</v>
      </c>
      <c r="AV58" s="35">
        <f t="shared" si="20"/>
        <v>0</v>
      </c>
      <c r="AW58" s="35">
        <f t="shared" si="21"/>
        <v>0</v>
      </c>
      <c r="AX58" s="35">
        <f t="shared" si="22"/>
        <v>0</v>
      </c>
      <c r="AY58" s="35">
        <f t="shared" si="23"/>
        <v>0</v>
      </c>
      <c r="AZ58" s="35">
        <f t="shared" si="24"/>
        <v>0</v>
      </c>
      <c r="BA58" s="35">
        <f t="shared" si="25"/>
        <v>0</v>
      </c>
      <c r="BB58" s="35">
        <f t="shared" si="26"/>
        <v>0</v>
      </c>
      <c r="BC58" s="35">
        <f t="shared" si="27"/>
        <v>0</v>
      </c>
    </row>
    <row r="59" spans="1:55" s="35" customFormat="1" x14ac:dyDescent="0.35">
      <c r="A59" s="36">
        <v>36410</v>
      </c>
      <c r="B59" s="35" t="s">
        <v>922</v>
      </c>
      <c r="C59" s="35" t="s">
        <v>59</v>
      </c>
      <c r="D59" s="35" t="s">
        <v>59</v>
      </c>
      <c r="E59" s="35" t="s">
        <v>47</v>
      </c>
      <c r="F59" s="139">
        <f t="shared" si="0"/>
        <v>0</v>
      </c>
      <c r="G59" s="35">
        <v>111500000</v>
      </c>
      <c r="H59" s="139">
        <f t="shared" si="1"/>
        <v>8.0472748673841803</v>
      </c>
      <c r="I59" s="35">
        <f t="shared" si="36"/>
        <v>111500000</v>
      </c>
      <c r="J59" s="35">
        <v>0</v>
      </c>
      <c r="K59" s="36">
        <v>37928</v>
      </c>
      <c r="L59" s="35">
        <v>23000000</v>
      </c>
      <c r="M59" s="21">
        <f t="shared" si="2"/>
        <v>4.1589041095890407</v>
      </c>
      <c r="N59" s="21">
        <f t="shared" si="28"/>
        <v>0.61897890710298675</v>
      </c>
      <c r="O59" s="35">
        <v>0</v>
      </c>
      <c r="P59" s="35">
        <f t="shared" si="3"/>
        <v>0</v>
      </c>
      <c r="Q59" s="35">
        <v>0</v>
      </c>
      <c r="R59" s="35">
        <f t="shared" si="4"/>
        <v>0</v>
      </c>
      <c r="S59" s="45">
        <v>3.29</v>
      </c>
      <c r="T59" s="45">
        <f t="shared" si="29"/>
        <v>0.51719589794997434</v>
      </c>
      <c r="U59" s="175">
        <f t="shared" si="5"/>
        <v>-0.79372197309417036</v>
      </c>
      <c r="V59" s="48">
        <f t="shared" si="6"/>
        <v>-0.68554703136658657</v>
      </c>
      <c r="W59" s="35">
        <v>3425.6694367497698</v>
      </c>
      <c r="X59" s="35">
        <f t="shared" si="7"/>
        <v>3.5347454529897258</v>
      </c>
      <c r="Y59" s="35">
        <v>9322.8685749461365</v>
      </c>
      <c r="Z59" s="35">
        <f t="shared" si="8"/>
        <v>3.9695495619878729</v>
      </c>
      <c r="AA59" s="37">
        <v>0</v>
      </c>
      <c r="AB59" s="37">
        <f t="shared" si="9"/>
        <v>0</v>
      </c>
      <c r="AC59" s="35">
        <v>85</v>
      </c>
      <c r="AD59" s="35">
        <f t="shared" si="30"/>
        <v>1.9294189257142926</v>
      </c>
      <c r="AE59" s="48">
        <v>32.200000000000003</v>
      </c>
      <c r="AF59" s="48">
        <f t="shared" si="31"/>
        <v>1.507855871695831</v>
      </c>
      <c r="AG59" s="43">
        <v>35.326012114535303</v>
      </c>
      <c r="AH59" s="43">
        <f t="shared" si="32"/>
        <v>1.548094613534351</v>
      </c>
      <c r="AI59" s="28" t="s">
        <v>320</v>
      </c>
      <c r="AJ59" s="48">
        <f t="shared" si="10"/>
        <v>0.18808437371493819</v>
      </c>
      <c r="AK59" s="35">
        <v>8</v>
      </c>
      <c r="AL59" s="35">
        <f t="shared" si="33"/>
        <v>0.90308998699194354</v>
      </c>
      <c r="AM59" s="35">
        <f t="shared" si="11"/>
        <v>0</v>
      </c>
      <c r="AN59" s="35">
        <f t="shared" si="12"/>
        <v>0</v>
      </c>
      <c r="AO59" s="35">
        <f t="shared" si="13"/>
        <v>1</v>
      </c>
      <c r="AP59" s="35">
        <f t="shared" si="14"/>
        <v>0</v>
      </c>
      <c r="AQ59" s="35">
        <f t="shared" si="15"/>
        <v>0</v>
      </c>
      <c r="AR59" s="35">
        <f t="shared" si="16"/>
        <v>0</v>
      </c>
      <c r="AS59" s="35">
        <f t="shared" si="17"/>
        <v>0</v>
      </c>
      <c r="AT59" s="35">
        <f t="shared" si="18"/>
        <v>0</v>
      </c>
      <c r="AU59" s="35">
        <f t="shared" si="19"/>
        <v>0</v>
      </c>
      <c r="AV59" s="35">
        <f t="shared" si="20"/>
        <v>0</v>
      </c>
      <c r="AW59" s="35">
        <f t="shared" si="21"/>
        <v>0</v>
      </c>
      <c r="AX59" s="35">
        <f t="shared" si="22"/>
        <v>0</v>
      </c>
      <c r="AY59" s="35">
        <f t="shared" si="23"/>
        <v>0</v>
      </c>
      <c r="AZ59" s="35">
        <f t="shared" si="24"/>
        <v>0</v>
      </c>
      <c r="BA59" s="35">
        <f t="shared" si="25"/>
        <v>0</v>
      </c>
      <c r="BB59" s="35">
        <f t="shared" si="26"/>
        <v>0</v>
      </c>
      <c r="BC59" s="35">
        <f t="shared" si="27"/>
        <v>0</v>
      </c>
    </row>
    <row r="60" spans="1:55" s="35" customFormat="1" x14ac:dyDescent="0.35">
      <c r="A60" s="36">
        <v>36438</v>
      </c>
      <c r="B60" s="35" t="s">
        <v>1151</v>
      </c>
      <c r="C60" s="35" t="s">
        <v>45</v>
      </c>
      <c r="D60" s="35" t="s">
        <v>602</v>
      </c>
      <c r="E60" s="35" t="s">
        <v>47</v>
      </c>
      <c r="F60" s="139">
        <f t="shared" si="0"/>
        <v>0</v>
      </c>
      <c r="G60" s="35">
        <v>120000000</v>
      </c>
      <c r="H60" s="139">
        <f t="shared" si="1"/>
        <v>8.0791812460476251</v>
      </c>
      <c r="I60" s="35">
        <f t="shared" si="36"/>
        <v>120000000</v>
      </c>
      <c r="J60" s="35">
        <v>0</v>
      </c>
      <c r="K60" s="36">
        <v>39691</v>
      </c>
      <c r="L60" s="35">
        <v>520000000</v>
      </c>
      <c r="M60" s="21">
        <f t="shared" si="2"/>
        <v>8.912328767123288</v>
      </c>
      <c r="N60" s="21">
        <f t="shared" si="28"/>
        <v>0.94999119882537886</v>
      </c>
      <c r="O60" s="35">
        <v>0</v>
      </c>
      <c r="P60" s="35">
        <f t="shared" si="3"/>
        <v>0</v>
      </c>
      <c r="Q60" s="35">
        <v>105</v>
      </c>
      <c r="R60" s="35">
        <f t="shared" si="4"/>
        <v>2.0253058652647704</v>
      </c>
      <c r="S60" s="45">
        <v>2.95</v>
      </c>
      <c r="T60" s="45">
        <f t="shared" si="29"/>
        <v>0.46982201597816303</v>
      </c>
      <c r="U60" s="175">
        <f t="shared" si="5"/>
        <v>3.333333333333333</v>
      </c>
      <c r="V60" s="48">
        <f t="shared" si="6"/>
        <v>0.63682209758717434</v>
      </c>
      <c r="W60" s="35">
        <v>1246.953</v>
      </c>
      <c r="X60" s="35">
        <f t="shared" si="7"/>
        <v>3.0958500844125241</v>
      </c>
      <c r="Y60" s="35">
        <v>3219.7179999999998</v>
      </c>
      <c r="Z60" s="35">
        <f t="shared" si="8"/>
        <v>3.5078178355445662</v>
      </c>
      <c r="AA60" s="35">
        <v>0</v>
      </c>
      <c r="AB60" s="37">
        <f t="shared" si="9"/>
        <v>0</v>
      </c>
      <c r="AC60" s="35">
        <v>85</v>
      </c>
      <c r="AD60" s="35">
        <f t="shared" si="30"/>
        <v>1.9294189257142926</v>
      </c>
      <c r="AE60" s="48">
        <v>27.8</v>
      </c>
      <c r="AF60" s="48">
        <f t="shared" si="31"/>
        <v>1.4440447959180762</v>
      </c>
      <c r="AG60" s="43">
        <v>34.656907836978597</v>
      </c>
      <c r="AH60" s="43">
        <f t="shared" si="32"/>
        <v>1.5397898114291337</v>
      </c>
      <c r="AI60" s="28" t="s">
        <v>327</v>
      </c>
      <c r="AJ60" s="48">
        <f t="shared" si="10"/>
        <v>0.29797924415936239</v>
      </c>
      <c r="AK60" s="35">
        <v>10</v>
      </c>
      <c r="AL60" s="35">
        <f t="shared" si="33"/>
        <v>1</v>
      </c>
      <c r="AM60" s="35">
        <f t="shared" si="11"/>
        <v>0</v>
      </c>
      <c r="AN60" s="35">
        <f t="shared" si="12"/>
        <v>1</v>
      </c>
      <c r="AO60" s="35">
        <f t="shared" si="13"/>
        <v>0</v>
      </c>
      <c r="AP60" s="35">
        <f t="shared" si="14"/>
        <v>0</v>
      </c>
      <c r="AQ60" s="35">
        <f t="shared" si="15"/>
        <v>0</v>
      </c>
      <c r="AR60" s="35">
        <f t="shared" si="16"/>
        <v>0</v>
      </c>
      <c r="AS60" s="35">
        <f t="shared" si="17"/>
        <v>0</v>
      </c>
      <c r="AT60" s="35">
        <f t="shared" si="18"/>
        <v>0</v>
      </c>
      <c r="AU60" s="35">
        <f t="shared" si="19"/>
        <v>0</v>
      </c>
      <c r="AV60" s="35">
        <f t="shared" si="20"/>
        <v>0</v>
      </c>
      <c r="AW60" s="35">
        <f t="shared" si="21"/>
        <v>0</v>
      </c>
      <c r="AX60" s="35">
        <f t="shared" si="22"/>
        <v>0</v>
      </c>
      <c r="AY60" s="35">
        <f t="shared" si="23"/>
        <v>0</v>
      </c>
      <c r="AZ60" s="35">
        <f t="shared" si="24"/>
        <v>0</v>
      </c>
      <c r="BA60" s="35">
        <f t="shared" si="25"/>
        <v>0</v>
      </c>
      <c r="BB60" s="35">
        <f t="shared" si="26"/>
        <v>0</v>
      </c>
      <c r="BC60" s="35">
        <f t="shared" si="27"/>
        <v>0</v>
      </c>
    </row>
    <row r="61" spans="1:55" s="35" customFormat="1" x14ac:dyDescent="0.35">
      <c r="A61" s="36">
        <v>36473</v>
      </c>
      <c r="B61" s="35" t="s">
        <v>496</v>
      </c>
      <c r="C61" s="35" t="s">
        <v>497</v>
      </c>
      <c r="D61" s="35" t="s">
        <v>59</v>
      </c>
      <c r="E61" s="35" t="s">
        <v>125</v>
      </c>
      <c r="F61" s="139">
        <f t="shared" si="0"/>
        <v>1</v>
      </c>
      <c r="G61" s="35">
        <v>386710000</v>
      </c>
      <c r="H61" s="139">
        <f t="shared" si="1"/>
        <v>8.5873854027135259</v>
      </c>
      <c r="I61" s="35">
        <f t="shared" si="36"/>
        <v>386710000</v>
      </c>
      <c r="J61" s="35">
        <v>0</v>
      </c>
      <c r="K61" s="36">
        <v>38018</v>
      </c>
      <c r="L61" s="35">
        <v>630000000</v>
      </c>
      <c r="M61" s="21">
        <f t="shared" si="2"/>
        <v>4.2328767123287667</v>
      </c>
      <c r="N61" s="21">
        <f t="shared" si="28"/>
        <v>0.62663561930437872</v>
      </c>
      <c r="O61" s="35">
        <v>463.97</v>
      </c>
      <c r="P61" s="35">
        <f t="shared" si="3"/>
        <v>2.6674249329872439</v>
      </c>
      <c r="Q61" s="35">
        <v>0</v>
      </c>
      <c r="R61" s="35">
        <f t="shared" si="4"/>
        <v>0</v>
      </c>
      <c r="S61" s="45">
        <v>2.61</v>
      </c>
      <c r="T61" s="45">
        <f t="shared" si="29"/>
        <v>0.41664050733828095</v>
      </c>
      <c r="U61" s="175">
        <f t="shared" si="5"/>
        <v>0.62912777016368859</v>
      </c>
      <c r="V61" s="48">
        <f t="shared" si="6"/>
        <v>0.21195514674005575</v>
      </c>
      <c r="W61" s="176">
        <v>1709.090909090909</v>
      </c>
      <c r="X61" s="35">
        <f t="shared" si="7"/>
        <v>3.2327651641054547</v>
      </c>
      <c r="Y61" s="35">
        <v>8968.5950413223145</v>
      </c>
      <c r="Z61" s="35">
        <f t="shared" si="8"/>
        <v>3.9527244147731087</v>
      </c>
      <c r="AA61" s="37">
        <v>193.166666666667</v>
      </c>
      <c r="AB61" s="37">
        <f t="shared" si="9"/>
        <v>2.2881746749783951</v>
      </c>
      <c r="AC61" s="35">
        <v>85</v>
      </c>
      <c r="AD61" s="35">
        <f t="shared" si="30"/>
        <v>1.9294189257142926</v>
      </c>
      <c r="AE61" s="48">
        <v>30.9</v>
      </c>
      <c r="AF61" s="48">
        <f t="shared" si="31"/>
        <v>1.4899584794248346</v>
      </c>
      <c r="AG61" s="43">
        <v>33.950689057445601</v>
      </c>
      <c r="AH61" s="43">
        <f t="shared" si="32"/>
        <v>1.5308485930733544</v>
      </c>
      <c r="AI61" s="39">
        <v>1.05</v>
      </c>
      <c r="AJ61" s="48">
        <f t="shared" si="10"/>
        <v>0.31175386105575426</v>
      </c>
      <c r="AK61" s="35">
        <v>19</v>
      </c>
      <c r="AL61" s="35">
        <f t="shared" si="33"/>
        <v>1.2787536009528289</v>
      </c>
      <c r="AM61" s="35">
        <f t="shared" si="11"/>
        <v>0</v>
      </c>
      <c r="AN61" s="35">
        <f t="shared" si="12"/>
        <v>0</v>
      </c>
      <c r="AO61" s="35">
        <f t="shared" si="13"/>
        <v>0</v>
      </c>
      <c r="AP61" s="35">
        <f t="shared" si="14"/>
        <v>0</v>
      </c>
      <c r="AQ61" s="35">
        <f t="shared" si="15"/>
        <v>0</v>
      </c>
      <c r="AR61" s="35">
        <f t="shared" si="16"/>
        <v>0</v>
      </c>
      <c r="AS61" s="35">
        <f t="shared" si="17"/>
        <v>0</v>
      </c>
      <c r="AT61" s="35">
        <f t="shared" si="18"/>
        <v>0</v>
      </c>
      <c r="AU61" s="35">
        <f t="shared" si="19"/>
        <v>0</v>
      </c>
      <c r="AV61" s="35">
        <f t="shared" si="20"/>
        <v>0</v>
      </c>
      <c r="AW61" s="35">
        <f t="shared" si="21"/>
        <v>0</v>
      </c>
      <c r="AX61" s="35">
        <f t="shared" si="22"/>
        <v>0</v>
      </c>
      <c r="AY61" s="35">
        <f t="shared" si="23"/>
        <v>0</v>
      </c>
      <c r="AZ61" s="35">
        <f t="shared" si="24"/>
        <v>0</v>
      </c>
      <c r="BA61" s="35">
        <f t="shared" si="25"/>
        <v>0</v>
      </c>
      <c r="BB61" s="35">
        <f t="shared" si="26"/>
        <v>1</v>
      </c>
      <c r="BC61" s="35">
        <f t="shared" si="27"/>
        <v>0</v>
      </c>
    </row>
    <row r="62" spans="1:55" s="35" customFormat="1" x14ac:dyDescent="0.35">
      <c r="A62" s="36">
        <v>36525</v>
      </c>
      <c r="B62" s="35" t="s">
        <v>1156</v>
      </c>
      <c r="C62" s="35" t="s">
        <v>45</v>
      </c>
      <c r="D62" s="35" t="s">
        <v>602</v>
      </c>
      <c r="E62" s="35" t="s">
        <v>47</v>
      </c>
      <c r="F62" s="139">
        <f t="shared" si="0"/>
        <v>0</v>
      </c>
      <c r="G62" s="35">
        <v>402000000</v>
      </c>
      <c r="H62" s="139">
        <f t="shared" si="1"/>
        <v>8.6042260530844707</v>
      </c>
      <c r="I62" s="35">
        <f t="shared" si="36"/>
        <v>402000000</v>
      </c>
      <c r="J62" s="35">
        <v>0</v>
      </c>
      <c r="K62" s="36">
        <v>38629</v>
      </c>
      <c r="L62" s="35">
        <v>320850000</v>
      </c>
      <c r="M62" s="21">
        <f t="shared" si="2"/>
        <v>5.7643835616438359</v>
      </c>
      <c r="N62" s="21">
        <f t="shared" si="28"/>
        <v>0.76075287102522682</v>
      </c>
      <c r="O62" s="35">
        <v>0</v>
      </c>
      <c r="P62" s="35">
        <f t="shared" si="3"/>
        <v>0</v>
      </c>
      <c r="Q62" s="35">
        <v>22</v>
      </c>
      <c r="R62" s="35">
        <f t="shared" si="4"/>
        <v>1.3617278360175928</v>
      </c>
      <c r="S62" s="45">
        <v>2.95</v>
      </c>
      <c r="T62" s="45">
        <f t="shared" si="29"/>
        <v>0.46982201597816303</v>
      </c>
      <c r="U62" s="175">
        <f t="shared" si="5"/>
        <v>-0.20186567164179103</v>
      </c>
      <c r="V62" s="48">
        <f t="shared" si="6"/>
        <v>-9.7924009457260819E-2</v>
      </c>
      <c r="W62" s="35">
        <v>1246.953</v>
      </c>
      <c r="X62" s="35">
        <f t="shared" si="7"/>
        <v>3.0958500844125241</v>
      </c>
      <c r="Y62" s="35">
        <v>3219.7179999999998</v>
      </c>
      <c r="Z62" s="35">
        <f t="shared" si="8"/>
        <v>3.5078178355445662</v>
      </c>
      <c r="AA62" s="35">
        <v>0</v>
      </c>
      <c r="AB62" s="37">
        <f t="shared" si="9"/>
        <v>0</v>
      </c>
      <c r="AC62" s="35">
        <v>85</v>
      </c>
      <c r="AD62" s="35">
        <f t="shared" si="30"/>
        <v>1.9294189257142926</v>
      </c>
      <c r="AE62" s="48">
        <v>27.8</v>
      </c>
      <c r="AF62" s="48">
        <f t="shared" si="31"/>
        <v>1.4440447959180762</v>
      </c>
      <c r="AG62" s="43">
        <v>34.656907836978597</v>
      </c>
      <c r="AH62" s="43">
        <f t="shared" si="32"/>
        <v>1.5397898114291337</v>
      </c>
      <c r="AI62" s="39">
        <v>0.46</v>
      </c>
      <c r="AJ62" s="48">
        <f t="shared" si="10"/>
        <v>0.16435285578443709</v>
      </c>
      <c r="AK62" s="35">
        <v>20</v>
      </c>
      <c r="AL62" s="35">
        <f t="shared" si="33"/>
        <v>1.3010299956639813</v>
      </c>
      <c r="AM62" s="35">
        <f t="shared" si="11"/>
        <v>0</v>
      </c>
      <c r="AN62" s="35">
        <f t="shared" si="12"/>
        <v>1</v>
      </c>
      <c r="AO62" s="35">
        <f t="shared" si="13"/>
        <v>0</v>
      </c>
      <c r="AP62" s="35">
        <f t="shared" si="14"/>
        <v>0</v>
      </c>
      <c r="AQ62" s="35">
        <f t="shared" si="15"/>
        <v>0</v>
      </c>
      <c r="AR62" s="35">
        <f t="shared" si="16"/>
        <v>0</v>
      </c>
      <c r="AS62" s="35">
        <f t="shared" si="17"/>
        <v>0</v>
      </c>
      <c r="AT62" s="35">
        <f t="shared" si="18"/>
        <v>0</v>
      </c>
      <c r="AU62" s="35">
        <f t="shared" si="19"/>
        <v>0</v>
      </c>
      <c r="AV62" s="35">
        <f t="shared" si="20"/>
        <v>0</v>
      </c>
      <c r="AW62" s="35">
        <f t="shared" si="21"/>
        <v>0</v>
      </c>
      <c r="AX62" s="35">
        <f t="shared" si="22"/>
        <v>0</v>
      </c>
      <c r="AY62" s="35">
        <f t="shared" si="23"/>
        <v>0</v>
      </c>
      <c r="AZ62" s="35">
        <f t="shared" si="24"/>
        <v>0</v>
      </c>
      <c r="BA62" s="35">
        <f t="shared" si="25"/>
        <v>0</v>
      </c>
      <c r="BB62" s="35">
        <f t="shared" si="26"/>
        <v>0</v>
      </c>
      <c r="BC62" s="35">
        <f t="shared" si="27"/>
        <v>0</v>
      </c>
    </row>
    <row r="63" spans="1:55" s="35" customFormat="1" x14ac:dyDescent="0.35">
      <c r="A63" s="36">
        <v>36525</v>
      </c>
      <c r="B63" s="35" t="s">
        <v>1156</v>
      </c>
      <c r="C63" s="35" t="s">
        <v>45</v>
      </c>
      <c r="D63" s="35" t="s">
        <v>602</v>
      </c>
      <c r="E63" s="35" t="s">
        <v>47</v>
      </c>
      <c r="F63" s="139">
        <f t="shared" si="0"/>
        <v>0</v>
      </c>
      <c r="G63" s="35">
        <v>402000000</v>
      </c>
      <c r="H63" s="139">
        <f t="shared" si="1"/>
        <v>8.6042260530844707</v>
      </c>
      <c r="I63" s="35">
        <f t="shared" si="36"/>
        <v>402000000</v>
      </c>
      <c r="J63" s="35">
        <v>0</v>
      </c>
      <c r="K63" s="36">
        <v>38629</v>
      </c>
      <c r="L63" s="35">
        <v>345000000</v>
      </c>
      <c r="M63" s="21">
        <f t="shared" si="2"/>
        <v>5.7643835616438359</v>
      </c>
      <c r="N63" s="21">
        <f t="shared" si="28"/>
        <v>0.76075287102522682</v>
      </c>
      <c r="O63" s="35">
        <v>0</v>
      </c>
      <c r="P63" s="35">
        <f t="shared" si="3"/>
        <v>0</v>
      </c>
      <c r="Q63" s="35">
        <v>2</v>
      </c>
      <c r="R63" s="35">
        <f t="shared" si="4"/>
        <v>0.47712125471966244</v>
      </c>
      <c r="S63" s="45">
        <v>2.95</v>
      </c>
      <c r="T63" s="45">
        <f t="shared" si="29"/>
        <v>0.46982201597816303</v>
      </c>
      <c r="U63" s="175">
        <f t="shared" si="5"/>
        <v>-0.14179104477611937</v>
      </c>
      <c r="V63" s="48">
        <f t="shared" si="6"/>
        <v>-6.6406958011195921E-2</v>
      </c>
      <c r="W63" s="35">
        <v>1246.953</v>
      </c>
      <c r="X63" s="35">
        <f t="shared" si="7"/>
        <v>3.0958500844125241</v>
      </c>
      <c r="Y63" s="35">
        <v>3219.7179999999998</v>
      </c>
      <c r="Z63" s="35">
        <f t="shared" si="8"/>
        <v>3.5078178355445662</v>
      </c>
      <c r="AA63" s="35">
        <v>0</v>
      </c>
      <c r="AB63" s="37">
        <f t="shared" si="9"/>
        <v>0</v>
      </c>
      <c r="AC63" s="35">
        <v>85</v>
      </c>
      <c r="AD63" s="35">
        <f t="shared" si="30"/>
        <v>1.9294189257142926</v>
      </c>
      <c r="AE63" s="48">
        <v>27.8</v>
      </c>
      <c r="AF63" s="48">
        <f t="shared" si="31"/>
        <v>1.4440447959180762</v>
      </c>
      <c r="AG63" s="43">
        <v>34.656907836978597</v>
      </c>
      <c r="AH63" s="43">
        <f t="shared" si="32"/>
        <v>1.5397898114291337</v>
      </c>
      <c r="AI63" s="39">
        <v>0.33</v>
      </c>
      <c r="AJ63" s="48">
        <f t="shared" si="10"/>
        <v>0.12385164096708581</v>
      </c>
      <c r="AK63" s="35">
        <v>21</v>
      </c>
      <c r="AL63" s="35">
        <f t="shared" si="33"/>
        <v>1.3222192947339193</v>
      </c>
      <c r="AM63" s="35">
        <f t="shared" si="11"/>
        <v>0</v>
      </c>
      <c r="AN63" s="35">
        <f t="shared" si="12"/>
        <v>1</v>
      </c>
      <c r="AO63" s="35">
        <f t="shared" si="13"/>
        <v>0</v>
      </c>
      <c r="AP63" s="35">
        <f t="shared" si="14"/>
        <v>0</v>
      </c>
      <c r="AQ63" s="35">
        <f t="shared" si="15"/>
        <v>0</v>
      </c>
      <c r="AR63" s="35">
        <f t="shared" si="16"/>
        <v>0</v>
      </c>
      <c r="AS63" s="35">
        <f t="shared" si="17"/>
        <v>0</v>
      </c>
      <c r="AT63" s="35">
        <f t="shared" si="18"/>
        <v>0</v>
      </c>
      <c r="AU63" s="35">
        <f t="shared" si="19"/>
        <v>0</v>
      </c>
      <c r="AV63" s="35">
        <f t="shared" si="20"/>
        <v>0</v>
      </c>
      <c r="AW63" s="35">
        <f t="shared" si="21"/>
        <v>0</v>
      </c>
      <c r="AX63" s="35">
        <f t="shared" si="22"/>
        <v>0</v>
      </c>
      <c r="AY63" s="35">
        <f t="shared" si="23"/>
        <v>0</v>
      </c>
      <c r="AZ63" s="35">
        <f t="shared" si="24"/>
        <v>0</v>
      </c>
      <c r="BA63" s="35">
        <f t="shared" si="25"/>
        <v>0</v>
      </c>
      <c r="BB63" s="35">
        <f t="shared" si="26"/>
        <v>0</v>
      </c>
      <c r="BC63" s="35">
        <f t="shared" si="27"/>
        <v>0</v>
      </c>
    </row>
    <row r="64" spans="1:55" s="35" customFormat="1" x14ac:dyDescent="0.35">
      <c r="A64" s="36">
        <v>36615</v>
      </c>
      <c r="B64" s="35" t="s">
        <v>372</v>
      </c>
      <c r="C64" s="35" t="s">
        <v>2</v>
      </c>
      <c r="D64" s="35" t="s">
        <v>45</v>
      </c>
      <c r="E64" s="35" t="s">
        <v>125</v>
      </c>
      <c r="F64" s="139">
        <f t="shared" si="0"/>
        <v>1</v>
      </c>
      <c r="G64" s="35">
        <v>511290000</v>
      </c>
      <c r="H64" s="139">
        <f t="shared" si="1"/>
        <v>8.7086672987165841</v>
      </c>
      <c r="I64" s="35">
        <v>511290000</v>
      </c>
      <c r="J64" s="35">
        <v>0</v>
      </c>
      <c r="K64" s="36">
        <v>38309</v>
      </c>
      <c r="L64" s="35">
        <v>635000000</v>
      </c>
      <c r="M64" s="21">
        <f t="shared" si="2"/>
        <v>4.6410958904109592</v>
      </c>
      <c r="N64" s="21">
        <f t="shared" si="28"/>
        <v>0.66662054153821337</v>
      </c>
      <c r="O64" s="35">
        <v>6815.73</v>
      </c>
      <c r="P64" s="35">
        <f t="shared" si="3"/>
        <v>3.8335760926148099</v>
      </c>
      <c r="Q64" s="35">
        <v>0</v>
      </c>
      <c r="R64" s="35">
        <f t="shared" si="4"/>
        <v>0</v>
      </c>
      <c r="S64" s="45">
        <v>2.85</v>
      </c>
      <c r="T64" s="45">
        <f t="shared" si="29"/>
        <v>0.45484486000851021</v>
      </c>
      <c r="U64" s="175">
        <f t="shared" si="5"/>
        <v>0.24195661953099035</v>
      </c>
      <c r="V64" s="48">
        <f t="shared" si="6"/>
        <v>9.4106426575392227E-2</v>
      </c>
      <c r="W64" s="35">
        <v>1171.498</v>
      </c>
      <c r="X64" s="35">
        <f t="shared" si="7"/>
        <v>3.0687415514991745</v>
      </c>
      <c r="Y64" s="35">
        <v>3386.1060000000002</v>
      </c>
      <c r="Z64" s="35">
        <f t="shared" si="8"/>
        <v>3.5297005493117593</v>
      </c>
      <c r="AA64" s="37">
        <v>819</v>
      </c>
      <c r="AB64" s="37">
        <f t="shared" si="9"/>
        <v>2.9138138523837167</v>
      </c>
      <c r="AC64" s="35">
        <v>70</v>
      </c>
      <c r="AD64" s="35">
        <f t="shared" si="30"/>
        <v>1.8450980400142569</v>
      </c>
      <c r="AE64" s="48">
        <v>36.200000000000003</v>
      </c>
      <c r="AF64" s="48">
        <f t="shared" si="31"/>
        <v>1.5587085705331658</v>
      </c>
      <c r="AG64" s="43">
        <v>44.748733746598099</v>
      </c>
      <c r="AH64" s="43">
        <f t="shared" si="32"/>
        <v>1.6507807506095689</v>
      </c>
      <c r="AI64" s="39">
        <v>0.38</v>
      </c>
      <c r="AJ64" s="48">
        <f t="shared" si="10"/>
        <v>0.13987908640123647</v>
      </c>
      <c r="AK64" s="35">
        <v>31</v>
      </c>
      <c r="AL64" s="35">
        <f t="shared" si="33"/>
        <v>1.4913616938342726</v>
      </c>
      <c r="AM64" s="35">
        <f t="shared" si="11"/>
        <v>0</v>
      </c>
      <c r="AN64" s="35">
        <f t="shared" si="12"/>
        <v>0</v>
      </c>
      <c r="AO64" s="35">
        <f t="shared" si="13"/>
        <v>0</v>
      </c>
      <c r="AP64" s="35">
        <f t="shared" si="14"/>
        <v>0</v>
      </c>
      <c r="AQ64" s="35">
        <f t="shared" si="15"/>
        <v>0</v>
      </c>
      <c r="AR64" s="35">
        <f t="shared" si="16"/>
        <v>0</v>
      </c>
      <c r="AS64" s="35">
        <f t="shared" si="17"/>
        <v>0</v>
      </c>
      <c r="AT64" s="35">
        <f t="shared" si="18"/>
        <v>0</v>
      </c>
      <c r="AU64" s="35">
        <f t="shared" si="19"/>
        <v>0</v>
      </c>
      <c r="AV64" s="35">
        <f t="shared" si="20"/>
        <v>1</v>
      </c>
      <c r="AW64" s="35">
        <f t="shared" si="21"/>
        <v>0</v>
      </c>
      <c r="AX64" s="35">
        <f t="shared" si="22"/>
        <v>0</v>
      </c>
      <c r="AY64" s="35">
        <f t="shared" si="23"/>
        <v>0</v>
      </c>
      <c r="AZ64" s="35">
        <f t="shared" si="24"/>
        <v>0</v>
      </c>
      <c r="BA64" s="35">
        <f t="shared" si="25"/>
        <v>0</v>
      </c>
      <c r="BB64" s="35">
        <f t="shared" si="26"/>
        <v>0</v>
      </c>
      <c r="BC64" s="35">
        <f t="shared" si="27"/>
        <v>0</v>
      </c>
    </row>
    <row r="65" spans="1:55" s="35" customFormat="1" x14ac:dyDescent="0.35">
      <c r="A65" s="36">
        <v>36626</v>
      </c>
      <c r="B65" s="35" t="s">
        <v>921</v>
      </c>
      <c r="C65" s="35" t="s">
        <v>163</v>
      </c>
      <c r="D65" s="35" t="s">
        <v>59</v>
      </c>
      <c r="E65" s="35" t="s">
        <v>64</v>
      </c>
      <c r="F65" s="139">
        <f t="shared" si="0"/>
        <v>1</v>
      </c>
      <c r="G65" s="35">
        <v>120910000</v>
      </c>
      <c r="H65" s="139">
        <f t="shared" si="1"/>
        <v>8.0824622211686297</v>
      </c>
      <c r="I65" s="35">
        <f>G65-J65</f>
        <v>52270000</v>
      </c>
      <c r="J65" s="35">
        <v>68640000</v>
      </c>
      <c r="K65" s="36">
        <v>38824</v>
      </c>
      <c r="L65" s="35">
        <v>223940000</v>
      </c>
      <c r="M65" s="21">
        <f t="shared" si="2"/>
        <v>6.021917808219178</v>
      </c>
      <c r="N65" s="21">
        <f t="shared" si="28"/>
        <v>0.779734823630997</v>
      </c>
      <c r="O65" s="35">
        <v>342.74</v>
      </c>
      <c r="P65" s="35">
        <f t="shared" si="3"/>
        <v>2.5362300726332561</v>
      </c>
      <c r="Q65" s="35">
        <v>245</v>
      </c>
      <c r="R65" s="35">
        <f t="shared" si="4"/>
        <v>2.3909351071033793</v>
      </c>
      <c r="S65" s="45">
        <v>2.3199999999999998</v>
      </c>
      <c r="T65" s="45">
        <f t="shared" si="29"/>
        <v>0.36548798489089962</v>
      </c>
      <c r="U65" s="175">
        <f t="shared" si="5"/>
        <v>0.85212141262095775</v>
      </c>
      <c r="V65" s="48">
        <f t="shared" si="6"/>
        <v>0.26766945270390896</v>
      </c>
      <c r="W65" s="35">
        <v>3425.6694367497698</v>
      </c>
      <c r="X65" s="35">
        <f t="shared" si="7"/>
        <v>3.5347454529897258</v>
      </c>
      <c r="Y65" s="35">
        <v>9322.8685749461365</v>
      </c>
      <c r="Z65" s="35">
        <f t="shared" si="8"/>
        <v>3.9695495619878729</v>
      </c>
      <c r="AA65" s="37">
        <v>569.16666666666697</v>
      </c>
      <c r="AB65" s="37">
        <f t="shared" si="9"/>
        <v>2.756001823801419</v>
      </c>
      <c r="AC65" s="35">
        <v>70</v>
      </c>
      <c r="AD65" s="35">
        <f t="shared" si="30"/>
        <v>1.8450980400142569</v>
      </c>
      <c r="AE65" s="48">
        <v>43.4</v>
      </c>
      <c r="AF65" s="48">
        <f t="shared" si="31"/>
        <v>1.6374897295125106</v>
      </c>
      <c r="AG65" s="43">
        <v>51.652289181886701</v>
      </c>
      <c r="AH65" s="43">
        <f t="shared" si="32"/>
        <v>1.7130895738136374</v>
      </c>
      <c r="AI65" s="39">
        <v>0.24</v>
      </c>
      <c r="AJ65" s="48">
        <f t="shared" si="10"/>
        <v>9.3421685162235063E-2</v>
      </c>
      <c r="AK65" s="35">
        <v>33</v>
      </c>
      <c r="AL65" s="35">
        <f t="shared" si="33"/>
        <v>1.5185139398778875</v>
      </c>
      <c r="AM65" s="35">
        <f t="shared" si="11"/>
        <v>0</v>
      </c>
      <c r="AN65" s="35">
        <f t="shared" si="12"/>
        <v>0</v>
      </c>
      <c r="AO65" s="35">
        <f t="shared" si="13"/>
        <v>0</v>
      </c>
      <c r="AP65" s="35">
        <f t="shared" si="14"/>
        <v>0</v>
      </c>
      <c r="AQ65" s="35">
        <f t="shared" si="15"/>
        <v>0</v>
      </c>
      <c r="AR65" s="35">
        <f t="shared" si="16"/>
        <v>0</v>
      </c>
      <c r="AS65" s="35">
        <f t="shared" si="17"/>
        <v>0</v>
      </c>
      <c r="AT65" s="35">
        <f t="shared" si="18"/>
        <v>1</v>
      </c>
      <c r="AU65" s="35">
        <f t="shared" si="19"/>
        <v>0</v>
      </c>
      <c r="AV65" s="35">
        <f t="shared" si="20"/>
        <v>0</v>
      </c>
      <c r="AW65" s="35">
        <f t="shared" si="21"/>
        <v>0</v>
      </c>
      <c r="AX65" s="35">
        <f t="shared" si="22"/>
        <v>0</v>
      </c>
      <c r="AY65" s="35">
        <f t="shared" si="23"/>
        <v>0</v>
      </c>
      <c r="AZ65" s="35">
        <f t="shared" si="24"/>
        <v>0</v>
      </c>
      <c r="BA65" s="35">
        <f t="shared" si="25"/>
        <v>0</v>
      </c>
      <c r="BB65" s="35">
        <f t="shared" si="26"/>
        <v>0</v>
      </c>
      <c r="BC65" s="35">
        <f t="shared" si="27"/>
        <v>0</v>
      </c>
    </row>
    <row r="66" spans="1:55" s="35" customFormat="1" x14ac:dyDescent="0.35">
      <c r="A66" s="36">
        <v>36677</v>
      </c>
      <c r="B66" s="90" t="s">
        <v>618</v>
      </c>
      <c r="C66" s="35" t="s">
        <v>163</v>
      </c>
      <c r="D66" s="35" t="s">
        <v>602</v>
      </c>
      <c r="E66" s="35" t="s">
        <v>64</v>
      </c>
      <c r="F66" s="139">
        <f t="shared" ref="F66:F129" si="37">IF(E66="domestic",0,1)</f>
        <v>1</v>
      </c>
      <c r="G66" s="35">
        <v>7000000</v>
      </c>
      <c r="H66" s="139">
        <f t="shared" ref="H66:H129" si="38">LOG(G66)</f>
        <v>6.8450980400142569</v>
      </c>
      <c r="I66" s="35">
        <f t="shared" ref="I66:I76" si="39">G66</f>
        <v>7000000</v>
      </c>
      <c r="J66" s="35">
        <v>0</v>
      </c>
      <c r="K66" s="36">
        <v>38107</v>
      </c>
      <c r="L66" s="35">
        <v>49000000</v>
      </c>
      <c r="M66" s="21">
        <f t="shared" ref="M66:M129" si="40">YEARFRAC(A66,K66,3)</f>
        <v>3.9178082191780823</v>
      </c>
      <c r="N66" s="21">
        <f t="shared" si="28"/>
        <v>0.59304317300858711</v>
      </c>
      <c r="O66" s="35">
        <v>6164.6</v>
      </c>
      <c r="P66" s="35">
        <f t="shared" ref="P66:P129" si="41">LOG(1+O66)</f>
        <v>3.7899753459779522</v>
      </c>
      <c r="Q66" s="35">
        <v>0</v>
      </c>
      <c r="R66" s="35">
        <f t="shared" ref="R66:R129" si="42">LOG(1+Q66)</f>
        <v>0</v>
      </c>
      <c r="S66" s="45">
        <v>3.18</v>
      </c>
      <c r="T66" s="45">
        <f t="shared" si="29"/>
        <v>0.50242711998443268</v>
      </c>
      <c r="U66" s="175">
        <f t="shared" ref="U66:U129" si="43">(L66/G66)-1</f>
        <v>6</v>
      </c>
      <c r="V66" s="48">
        <f t="shared" ref="V66:V129" si="44">IF(U66=-1,LOG(0.1),LOG(1+U66))</f>
        <v>0.84509804001425681</v>
      </c>
      <c r="W66" s="35">
        <v>1246.953</v>
      </c>
      <c r="X66" s="35">
        <f t="shared" ref="X66:X129" si="45">LOG(W66)</f>
        <v>3.0958500844125241</v>
      </c>
      <c r="Y66" s="35">
        <v>3219.7179999999998</v>
      </c>
      <c r="Z66" s="35">
        <f t="shared" ref="Z66:Z129" si="46">LOG(Y66)</f>
        <v>3.5078178355445662</v>
      </c>
      <c r="AA66" s="37">
        <v>583.83333333333303</v>
      </c>
      <c r="AB66" s="37">
        <f t="shared" ref="AB66:AB129" si="47">IF(AA66=0,0,LOG(1+AA66))</f>
        <v>2.7670321178317625</v>
      </c>
      <c r="AC66" s="35">
        <v>70</v>
      </c>
      <c r="AD66" s="35">
        <f t="shared" si="30"/>
        <v>1.8450980400142569</v>
      </c>
      <c r="AE66" s="48">
        <v>43.4</v>
      </c>
      <c r="AF66" s="48">
        <f t="shared" si="31"/>
        <v>1.6374897295125106</v>
      </c>
      <c r="AG66" s="43">
        <v>51.652289181886701</v>
      </c>
      <c r="AH66" s="43">
        <f t="shared" si="32"/>
        <v>1.7130895738136374</v>
      </c>
      <c r="AI66" s="39">
        <v>0.09</v>
      </c>
      <c r="AJ66" s="48">
        <f t="shared" ref="AJ66:AJ129" si="48">LOG(1+AI66)</f>
        <v>3.7426497940623665E-2</v>
      </c>
      <c r="AK66" s="35">
        <v>34</v>
      </c>
      <c r="AL66" s="35">
        <f t="shared" si="33"/>
        <v>1.5314789170422551</v>
      </c>
      <c r="AM66" s="35">
        <f t="shared" ref="AM66:AM129" si="49">IF(V66=-1,1,0)</f>
        <v>0</v>
      </c>
      <c r="AN66" s="35">
        <f t="shared" ref="AN66:AN129" si="50">IF($C66="US",1,0)</f>
        <v>0</v>
      </c>
      <c r="AO66" s="35">
        <f t="shared" ref="AO66:AO129" si="51">IF($C66="UK",1,0)</f>
        <v>0</v>
      </c>
      <c r="AP66" s="35">
        <f t="shared" ref="AP66:AP129" si="52">IF($C66="Norway",1,0)</f>
        <v>0</v>
      </c>
      <c r="AQ66" s="35">
        <f t="shared" ref="AQ66:AQ129" si="53">IF($C66="Denmark",1,0)</f>
        <v>0</v>
      </c>
      <c r="AR66" s="35">
        <f t="shared" ref="AR66:AR129" si="54">IF($C66="Sweden",1,0)</f>
        <v>0</v>
      </c>
      <c r="AS66" s="35">
        <f t="shared" ref="AS66:AS129" si="55">IF($C66="Netherlands",1,0)</f>
        <v>0</v>
      </c>
      <c r="AT66" s="35">
        <f t="shared" ref="AT66:AT129" si="56">IF($C66="France",1,0)</f>
        <v>1</v>
      </c>
      <c r="AU66" s="35">
        <f t="shared" ref="AU66:AU129" si="57">IF($C66="Belgium",1,0)</f>
        <v>0</v>
      </c>
      <c r="AV66" s="35">
        <f t="shared" ref="AV66:AV129" si="58">IF($C66="Germany",1,0)</f>
        <v>0</v>
      </c>
      <c r="AW66" s="35">
        <f t="shared" ref="AW66:AW129" si="59">IF($C66="Italy",1,0)</f>
        <v>0</v>
      </c>
      <c r="AX66" s="35">
        <f t="shared" ref="AX66:AX129" si="60">IF($C66="Spain",1,0)</f>
        <v>0</v>
      </c>
      <c r="AY66" s="35">
        <f t="shared" ref="AY66:AY129" si="61">IF($C66="Luxembourg",1,0)</f>
        <v>0</v>
      </c>
      <c r="AZ66" s="35">
        <f t="shared" ref="AZ66:AZ129" si="62">IF($C66="Portugal",1,0)</f>
        <v>0</v>
      </c>
      <c r="BA66" s="35">
        <f t="shared" ref="BA66:BA129" si="63">IF($C66="Switzerland",1,0)</f>
        <v>0</v>
      </c>
      <c r="BB66" s="35">
        <f t="shared" ref="BB66:BB129" si="64">IF($C66="Ireland",1,0)</f>
        <v>0</v>
      </c>
      <c r="BC66" s="35">
        <f t="shared" ref="BC66:BC129" si="65">IF($C66="Finland",1,0)</f>
        <v>0</v>
      </c>
    </row>
    <row r="67" spans="1:55" s="35" customFormat="1" x14ac:dyDescent="0.35">
      <c r="A67" s="36">
        <v>36693</v>
      </c>
      <c r="B67" s="35" t="s">
        <v>230</v>
      </c>
      <c r="C67" s="35" t="s">
        <v>59</v>
      </c>
      <c r="D67" s="35" t="s">
        <v>497</v>
      </c>
      <c r="E67" s="35" t="s">
        <v>64</v>
      </c>
      <c r="F67" s="139">
        <f t="shared" si="37"/>
        <v>1</v>
      </c>
      <c r="G67" s="35">
        <v>2254990000</v>
      </c>
      <c r="H67" s="139">
        <f t="shared" si="38"/>
        <v>9.3531446202918289</v>
      </c>
      <c r="I67" s="35">
        <f t="shared" si="39"/>
        <v>2254990000</v>
      </c>
      <c r="J67" s="35">
        <v>0</v>
      </c>
      <c r="K67" s="36">
        <v>39064</v>
      </c>
      <c r="L67" s="35">
        <v>3500000000</v>
      </c>
      <c r="M67" s="21">
        <f t="shared" si="40"/>
        <v>6.4958904109589044</v>
      </c>
      <c r="N67" s="21">
        <f t="shared" ref="N67:N130" si="66">IF(M67=0,0,LOG(M67))</f>
        <v>0.81263868952171348</v>
      </c>
      <c r="O67" s="35">
        <v>463.97</v>
      </c>
      <c r="P67" s="35">
        <f t="shared" si="41"/>
        <v>2.6674249329872439</v>
      </c>
      <c r="Q67" s="35">
        <v>52</v>
      </c>
      <c r="R67" s="35">
        <f t="shared" si="42"/>
        <v>1.7242758696007889</v>
      </c>
      <c r="S67" s="45">
        <v>2.81</v>
      </c>
      <c r="T67" s="45">
        <f t="shared" ref="T67:T130" si="67">LOG(S67)</f>
        <v>0.44870631990507992</v>
      </c>
      <c r="U67" s="175">
        <f t="shared" si="43"/>
        <v>0.55211331314107825</v>
      </c>
      <c r="V67" s="48">
        <f t="shared" si="44"/>
        <v>0.19092342405844648</v>
      </c>
      <c r="W67" s="35">
        <v>2445.7102171591318</v>
      </c>
      <c r="X67" s="35">
        <f t="shared" si="45"/>
        <v>3.3884049978579722</v>
      </c>
      <c r="Y67" s="35">
        <v>7210.2229667110805</v>
      </c>
      <c r="Z67" s="35">
        <f t="shared" si="46"/>
        <v>3.8579486949156889</v>
      </c>
      <c r="AA67" s="37">
        <v>193.166666666667</v>
      </c>
      <c r="AB67" s="37">
        <f t="shared" si="47"/>
        <v>2.2881746749783951</v>
      </c>
      <c r="AC67" s="35">
        <v>85</v>
      </c>
      <c r="AD67" s="35">
        <f t="shared" ref="AD67:AD130" si="68">LOG(AC67)</f>
        <v>1.9294189257142926</v>
      </c>
      <c r="AE67" s="48">
        <v>32.9</v>
      </c>
      <c r="AF67" s="48">
        <f t="shared" ref="AF67:AF130" si="69">LOG(AE67)</f>
        <v>1.5171958979499742</v>
      </c>
      <c r="AG67" s="43">
        <v>35.433808146393098</v>
      </c>
      <c r="AH67" s="43">
        <f t="shared" ref="AH67:AH130" si="70">LOG(AG67)</f>
        <v>1.5494178293890581</v>
      </c>
      <c r="AI67" s="39">
        <v>0.69</v>
      </c>
      <c r="AJ67" s="48">
        <f t="shared" si="48"/>
        <v>0.22788670461367352</v>
      </c>
      <c r="AK67" s="35">
        <v>35</v>
      </c>
      <c r="AL67" s="35">
        <f t="shared" ref="AL67:AL130" si="71">IF(AK67=0,0,LOG(AK67))</f>
        <v>1.5440680443502757</v>
      </c>
      <c r="AM67" s="35">
        <f t="shared" si="49"/>
        <v>0</v>
      </c>
      <c r="AN67" s="35">
        <f t="shared" si="50"/>
        <v>0</v>
      </c>
      <c r="AO67" s="35">
        <f t="shared" si="51"/>
        <v>1</v>
      </c>
      <c r="AP67" s="35">
        <f t="shared" si="52"/>
        <v>0</v>
      </c>
      <c r="AQ67" s="35">
        <f t="shared" si="53"/>
        <v>0</v>
      </c>
      <c r="AR67" s="35">
        <f t="shared" si="54"/>
        <v>0</v>
      </c>
      <c r="AS67" s="35">
        <f t="shared" si="55"/>
        <v>0</v>
      </c>
      <c r="AT67" s="35">
        <f t="shared" si="56"/>
        <v>0</v>
      </c>
      <c r="AU67" s="35">
        <f t="shared" si="57"/>
        <v>0</v>
      </c>
      <c r="AV67" s="35">
        <f t="shared" si="58"/>
        <v>0</v>
      </c>
      <c r="AW67" s="35">
        <f t="shared" si="59"/>
        <v>0</v>
      </c>
      <c r="AX67" s="35">
        <f t="shared" si="60"/>
        <v>0</v>
      </c>
      <c r="AY67" s="35">
        <f t="shared" si="61"/>
        <v>0</v>
      </c>
      <c r="AZ67" s="35">
        <f t="shared" si="62"/>
        <v>0</v>
      </c>
      <c r="BA67" s="35">
        <f t="shared" si="63"/>
        <v>0</v>
      </c>
      <c r="BB67" s="35">
        <f t="shared" si="64"/>
        <v>0</v>
      </c>
      <c r="BC67" s="35">
        <f t="shared" si="65"/>
        <v>0</v>
      </c>
    </row>
    <row r="68" spans="1:55" s="35" customFormat="1" x14ac:dyDescent="0.35">
      <c r="A68" s="36">
        <v>36694</v>
      </c>
      <c r="B68" s="35" t="s">
        <v>604</v>
      </c>
      <c r="C68" s="35" t="s">
        <v>2</v>
      </c>
      <c r="D68" s="35" t="s">
        <v>602</v>
      </c>
      <c r="E68" s="35" t="s">
        <v>64</v>
      </c>
      <c r="F68" s="139">
        <f t="shared" si="37"/>
        <v>1</v>
      </c>
      <c r="G68" s="35">
        <v>78750000</v>
      </c>
      <c r="H68" s="139">
        <f t="shared" si="38"/>
        <v>7.8962505624616384</v>
      </c>
      <c r="I68" s="35">
        <f t="shared" si="39"/>
        <v>78750000</v>
      </c>
      <c r="J68" s="35">
        <v>0</v>
      </c>
      <c r="K68" s="36">
        <v>38356</v>
      </c>
      <c r="L68" s="35">
        <v>77329875</v>
      </c>
      <c r="M68" s="21">
        <f t="shared" si="40"/>
        <v>4.5534246575342463</v>
      </c>
      <c r="N68" s="21">
        <f t="shared" si="66"/>
        <v>0.65833815499161741</v>
      </c>
      <c r="O68" s="35">
        <v>6815.73</v>
      </c>
      <c r="P68" s="35">
        <f t="shared" si="41"/>
        <v>3.8335760926148099</v>
      </c>
      <c r="Q68" s="35">
        <v>88</v>
      </c>
      <c r="R68" s="35">
        <f t="shared" si="42"/>
        <v>1.9493900066449128</v>
      </c>
      <c r="S68" s="45">
        <v>2.85</v>
      </c>
      <c r="T68" s="45">
        <f t="shared" si="67"/>
        <v>0.45484486000851021</v>
      </c>
      <c r="U68" s="175">
        <f t="shared" si="43"/>
        <v>-1.8033333333333346E-2</v>
      </c>
      <c r="V68" s="48">
        <f t="shared" si="44"/>
        <v>-7.90325429903092E-3</v>
      </c>
      <c r="W68" s="35">
        <v>1246.953</v>
      </c>
      <c r="X68" s="35">
        <f t="shared" si="45"/>
        <v>3.0958500844125241</v>
      </c>
      <c r="Y68" s="35">
        <v>3219.7179999999998</v>
      </c>
      <c r="Z68" s="35">
        <f t="shared" si="46"/>
        <v>3.5078178355445662</v>
      </c>
      <c r="AA68" s="37">
        <v>819</v>
      </c>
      <c r="AB68" s="37">
        <f t="shared" si="47"/>
        <v>2.9138138523837167</v>
      </c>
      <c r="AC68" s="35">
        <v>70</v>
      </c>
      <c r="AD68" s="35">
        <f t="shared" si="68"/>
        <v>1.8450980400142569</v>
      </c>
      <c r="AE68" s="48">
        <v>36.200000000000003</v>
      </c>
      <c r="AF68" s="48">
        <f t="shared" si="69"/>
        <v>1.5587085705331658</v>
      </c>
      <c r="AG68" s="43">
        <v>44.748733746598099</v>
      </c>
      <c r="AH68" s="43">
        <f t="shared" si="70"/>
        <v>1.6507807506095689</v>
      </c>
      <c r="AI68" s="39">
        <v>0.56999999999999995</v>
      </c>
      <c r="AJ68" s="48">
        <f t="shared" si="48"/>
        <v>0.19589965240923368</v>
      </c>
      <c r="AK68" s="35">
        <v>36</v>
      </c>
      <c r="AL68" s="35">
        <f t="shared" si="71"/>
        <v>1.5563025007672873</v>
      </c>
      <c r="AM68" s="35">
        <f t="shared" si="49"/>
        <v>0</v>
      </c>
      <c r="AN68" s="35">
        <f t="shared" si="50"/>
        <v>0</v>
      </c>
      <c r="AO68" s="35">
        <f t="shared" si="51"/>
        <v>0</v>
      </c>
      <c r="AP68" s="35">
        <f t="shared" si="52"/>
        <v>0</v>
      </c>
      <c r="AQ68" s="35">
        <f t="shared" si="53"/>
        <v>0</v>
      </c>
      <c r="AR68" s="35">
        <f t="shared" si="54"/>
        <v>0</v>
      </c>
      <c r="AS68" s="35">
        <f t="shared" si="55"/>
        <v>0</v>
      </c>
      <c r="AT68" s="35">
        <f t="shared" si="56"/>
        <v>0</v>
      </c>
      <c r="AU68" s="35">
        <f t="shared" si="57"/>
        <v>0</v>
      </c>
      <c r="AV68" s="35">
        <f t="shared" si="58"/>
        <v>1</v>
      </c>
      <c r="AW68" s="35">
        <f t="shared" si="59"/>
        <v>0</v>
      </c>
      <c r="AX68" s="35">
        <f t="shared" si="60"/>
        <v>0</v>
      </c>
      <c r="AY68" s="35">
        <f t="shared" si="61"/>
        <v>0</v>
      </c>
      <c r="AZ68" s="35">
        <f t="shared" si="62"/>
        <v>0</v>
      </c>
      <c r="BA68" s="35">
        <f t="shared" si="63"/>
        <v>0</v>
      </c>
      <c r="BB68" s="35">
        <f t="shared" si="64"/>
        <v>0</v>
      </c>
      <c r="BC68" s="35">
        <f t="shared" si="65"/>
        <v>0</v>
      </c>
    </row>
    <row r="69" spans="1:55" s="35" customFormat="1" x14ac:dyDescent="0.35">
      <c r="A69" s="36">
        <v>36725</v>
      </c>
      <c r="B69" s="35" t="s">
        <v>897</v>
      </c>
      <c r="C69" s="35" t="s">
        <v>59</v>
      </c>
      <c r="D69" s="35" t="s">
        <v>59</v>
      </c>
      <c r="E69" s="35" t="s">
        <v>47</v>
      </c>
      <c r="F69" s="139">
        <f t="shared" si="37"/>
        <v>0</v>
      </c>
      <c r="G69" s="35">
        <v>50000000</v>
      </c>
      <c r="H69" s="139">
        <f t="shared" si="38"/>
        <v>7.6989700043360187</v>
      </c>
      <c r="I69" s="35">
        <f t="shared" si="39"/>
        <v>50000000</v>
      </c>
      <c r="J69" s="35">
        <v>0</v>
      </c>
      <c r="K69" s="36">
        <v>38529</v>
      </c>
      <c r="L69" s="35">
        <v>262000000</v>
      </c>
      <c r="M69" s="21">
        <f t="shared" si="40"/>
        <v>4.9424657534246572</v>
      </c>
      <c r="N69" s="21">
        <f t="shared" si="66"/>
        <v>0.69394366874944824</v>
      </c>
      <c r="O69" s="35">
        <v>0</v>
      </c>
      <c r="P69" s="35">
        <f t="shared" si="41"/>
        <v>0</v>
      </c>
      <c r="Q69" s="35">
        <v>0</v>
      </c>
      <c r="R69" s="35">
        <f t="shared" si="42"/>
        <v>0</v>
      </c>
      <c r="S69" s="45">
        <v>3.29</v>
      </c>
      <c r="T69" s="45">
        <f t="shared" si="67"/>
        <v>0.51719589794997434</v>
      </c>
      <c r="U69" s="175">
        <f t="shared" si="43"/>
        <v>4.24</v>
      </c>
      <c r="V69" s="48">
        <f t="shared" si="44"/>
        <v>0.71933128698372661</v>
      </c>
      <c r="W69" s="35">
        <v>2417.5229853975125</v>
      </c>
      <c r="X69" s="35">
        <f t="shared" si="45"/>
        <v>3.3833706119727633</v>
      </c>
      <c r="Y69" s="35">
        <v>9545.7003785830148</v>
      </c>
      <c r="Z69" s="35">
        <f t="shared" si="46"/>
        <v>3.9798077985646683</v>
      </c>
      <c r="AA69" s="37">
        <v>0</v>
      </c>
      <c r="AB69" s="37">
        <f t="shared" si="47"/>
        <v>0</v>
      </c>
      <c r="AC69" s="35">
        <v>85</v>
      </c>
      <c r="AD69" s="35">
        <f t="shared" si="68"/>
        <v>1.9294189257142926</v>
      </c>
      <c r="AE69" s="48">
        <v>32.9</v>
      </c>
      <c r="AF69" s="48">
        <f t="shared" si="69"/>
        <v>1.5171958979499742</v>
      </c>
      <c r="AG69" s="43">
        <v>35.433808146393098</v>
      </c>
      <c r="AH69" s="43">
        <f t="shared" si="70"/>
        <v>1.5494178293890581</v>
      </c>
      <c r="AI69" s="39">
        <v>-0.2</v>
      </c>
      <c r="AJ69" s="48">
        <f t="shared" si="48"/>
        <v>-9.6910013008056392E-2</v>
      </c>
      <c r="AK69" s="35">
        <v>24</v>
      </c>
      <c r="AL69" s="35">
        <f t="shared" si="71"/>
        <v>1.3802112417116059</v>
      </c>
      <c r="AM69" s="35">
        <f t="shared" si="49"/>
        <v>0</v>
      </c>
      <c r="AN69" s="35">
        <f t="shared" si="50"/>
        <v>0</v>
      </c>
      <c r="AO69" s="35">
        <f t="shared" si="51"/>
        <v>1</v>
      </c>
      <c r="AP69" s="35">
        <f t="shared" si="52"/>
        <v>0</v>
      </c>
      <c r="AQ69" s="35">
        <f t="shared" si="53"/>
        <v>0</v>
      </c>
      <c r="AR69" s="35">
        <f t="shared" si="54"/>
        <v>0</v>
      </c>
      <c r="AS69" s="35">
        <f t="shared" si="55"/>
        <v>0</v>
      </c>
      <c r="AT69" s="35">
        <f t="shared" si="56"/>
        <v>0</v>
      </c>
      <c r="AU69" s="35">
        <f t="shared" si="57"/>
        <v>0</v>
      </c>
      <c r="AV69" s="35">
        <f t="shared" si="58"/>
        <v>0</v>
      </c>
      <c r="AW69" s="35">
        <f t="shared" si="59"/>
        <v>0</v>
      </c>
      <c r="AX69" s="35">
        <f t="shared" si="60"/>
        <v>0</v>
      </c>
      <c r="AY69" s="35">
        <f t="shared" si="61"/>
        <v>0</v>
      </c>
      <c r="AZ69" s="35">
        <f t="shared" si="62"/>
        <v>0</v>
      </c>
      <c r="BA69" s="35">
        <f t="shared" si="63"/>
        <v>0</v>
      </c>
      <c r="BB69" s="35">
        <f t="shared" si="64"/>
        <v>0</v>
      </c>
      <c r="BC69" s="35">
        <f t="shared" si="65"/>
        <v>0</v>
      </c>
    </row>
    <row r="70" spans="1:55" s="35" customFormat="1" x14ac:dyDescent="0.35">
      <c r="A70" s="36">
        <v>36742</v>
      </c>
      <c r="B70" s="35" t="s">
        <v>1228</v>
      </c>
      <c r="C70" s="35" t="s">
        <v>45</v>
      </c>
      <c r="D70" s="35" t="s">
        <v>602</v>
      </c>
      <c r="E70" s="35" t="s">
        <v>47</v>
      </c>
      <c r="F70" s="139">
        <f t="shared" si="37"/>
        <v>0</v>
      </c>
      <c r="G70" s="35">
        <v>375000000</v>
      </c>
      <c r="H70" s="139">
        <f t="shared" si="38"/>
        <v>8.5740312677277188</v>
      </c>
      <c r="I70" s="35">
        <f t="shared" si="39"/>
        <v>375000000</v>
      </c>
      <c r="J70" s="35">
        <v>0</v>
      </c>
      <c r="K70" s="36">
        <v>39297</v>
      </c>
      <c r="L70" s="35">
        <v>121050000</v>
      </c>
      <c r="M70" s="21">
        <f t="shared" si="40"/>
        <v>7</v>
      </c>
      <c r="N70" s="21">
        <f t="shared" si="66"/>
        <v>0.84509804001425681</v>
      </c>
      <c r="O70" s="35">
        <v>0</v>
      </c>
      <c r="P70" s="35">
        <f t="shared" si="41"/>
        <v>0</v>
      </c>
      <c r="Q70" s="35">
        <v>0</v>
      </c>
      <c r="R70" s="35">
        <f t="shared" si="42"/>
        <v>0</v>
      </c>
      <c r="S70" s="45">
        <v>2.95</v>
      </c>
      <c r="T70" s="45">
        <f t="shared" si="67"/>
        <v>0.46982201597816303</v>
      </c>
      <c r="U70" s="175">
        <f t="shared" si="43"/>
        <v>-0.67720000000000002</v>
      </c>
      <c r="V70" s="48">
        <f t="shared" si="44"/>
        <v>-0.49106647394996722</v>
      </c>
      <c r="W70" s="35">
        <v>1455.046</v>
      </c>
      <c r="X70" s="35">
        <f t="shared" si="45"/>
        <v>3.1628767233771686</v>
      </c>
      <c r="Y70" s="35">
        <v>4062.5129999999999</v>
      </c>
      <c r="Z70" s="35">
        <f t="shared" si="46"/>
        <v>3.6087947637270492</v>
      </c>
      <c r="AA70" s="35">
        <v>0</v>
      </c>
      <c r="AB70" s="37">
        <f t="shared" si="47"/>
        <v>0</v>
      </c>
      <c r="AC70" s="35">
        <v>85</v>
      </c>
      <c r="AD70" s="35">
        <f t="shared" si="68"/>
        <v>1.9294189257142926</v>
      </c>
      <c r="AE70" s="48">
        <v>28.2</v>
      </c>
      <c r="AF70" s="48">
        <f t="shared" si="69"/>
        <v>1.4502491083193612</v>
      </c>
      <c r="AG70" s="43">
        <v>34.298950279384798</v>
      </c>
      <c r="AH70" s="43">
        <f t="shared" si="70"/>
        <v>1.5352808286478177</v>
      </c>
      <c r="AI70" s="39">
        <v>0.82</v>
      </c>
      <c r="AJ70" s="48">
        <f t="shared" si="48"/>
        <v>0.26007138798507473</v>
      </c>
      <c r="AK70" s="35">
        <v>28</v>
      </c>
      <c r="AL70" s="35">
        <f t="shared" si="71"/>
        <v>1.4471580313422192</v>
      </c>
      <c r="AM70" s="35">
        <f t="shared" si="49"/>
        <v>0</v>
      </c>
      <c r="AN70" s="35">
        <f t="shared" si="50"/>
        <v>1</v>
      </c>
      <c r="AO70" s="35">
        <f t="shared" si="51"/>
        <v>0</v>
      </c>
      <c r="AP70" s="35">
        <f t="shared" si="52"/>
        <v>0</v>
      </c>
      <c r="AQ70" s="35">
        <f t="shared" si="53"/>
        <v>0</v>
      </c>
      <c r="AR70" s="35">
        <f t="shared" si="54"/>
        <v>0</v>
      </c>
      <c r="AS70" s="35">
        <f t="shared" si="55"/>
        <v>0</v>
      </c>
      <c r="AT70" s="35">
        <f t="shared" si="56"/>
        <v>0</v>
      </c>
      <c r="AU70" s="35">
        <f t="shared" si="57"/>
        <v>0</v>
      </c>
      <c r="AV70" s="35">
        <f t="shared" si="58"/>
        <v>0</v>
      </c>
      <c r="AW70" s="35">
        <f t="shared" si="59"/>
        <v>0</v>
      </c>
      <c r="AX70" s="35">
        <f t="shared" si="60"/>
        <v>0</v>
      </c>
      <c r="AY70" s="35">
        <f t="shared" si="61"/>
        <v>0</v>
      </c>
      <c r="AZ70" s="35">
        <f t="shared" si="62"/>
        <v>0</v>
      </c>
      <c r="BA70" s="35">
        <f t="shared" si="63"/>
        <v>0</v>
      </c>
      <c r="BB70" s="35">
        <f t="shared" si="64"/>
        <v>0</v>
      </c>
      <c r="BC70" s="35">
        <f t="shared" si="65"/>
        <v>0</v>
      </c>
    </row>
    <row r="71" spans="1:55" s="35" customFormat="1" x14ac:dyDescent="0.35">
      <c r="A71" s="36">
        <v>36770</v>
      </c>
      <c r="B71" s="35" t="s">
        <v>1114</v>
      </c>
      <c r="C71" s="35" t="s">
        <v>59</v>
      </c>
      <c r="D71" s="35" t="s">
        <v>577</v>
      </c>
      <c r="E71" s="35" t="s">
        <v>47</v>
      </c>
      <c r="F71" s="139">
        <f t="shared" si="37"/>
        <v>0</v>
      </c>
      <c r="G71" s="35">
        <v>1300000000</v>
      </c>
      <c r="H71" s="139">
        <f t="shared" si="38"/>
        <v>9.1139433523068369</v>
      </c>
      <c r="I71" s="35">
        <f t="shared" si="39"/>
        <v>1300000000</v>
      </c>
      <c r="J71" s="35">
        <v>0</v>
      </c>
      <c r="K71" s="36">
        <v>38849</v>
      </c>
      <c r="L71" s="35">
        <v>2200000000</v>
      </c>
      <c r="M71" s="21">
        <f t="shared" si="40"/>
        <v>5.6958904109589037</v>
      </c>
      <c r="N71" s="21">
        <f t="shared" si="66"/>
        <v>0.75556162487499445</v>
      </c>
      <c r="O71" s="35">
        <v>0</v>
      </c>
      <c r="P71" s="35">
        <f t="shared" si="41"/>
        <v>0</v>
      </c>
      <c r="Q71" s="35">
        <v>7</v>
      </c>
      <c r="R71" s="35">
        <f t="shared" si="42"/>
        <v>0.90308998699194354</v>
      </c>
      <c r="S71" s="45">
        <v>3.29</v>
      </c>
      <c r="T71" s="45">
        <f t="shared" si="67"/>
        <v>0.51719589794997434</v>
      </c>
      <c r="U71" s="175">
        <f t="shared" si="43"/>
        <v>0.69230769230769229</v>
      </c>
      <c r="V71" s="48">
        <f t="shared" si="44"/>
        <v>0.22847932851536945</v>
      </c>
      <c r="W71" s="35">
        <v>1655.11</v>
      </c>
      <c r="X71" s="35">
        <f t="shared" si="45"/>
        <v>3.2188268626467691</v>
      </c>
      <c r="Y71" s="35">
        <v>5715.55</v>
      </c>
      <c r="Z71" s="35">
        <f t="shared" si="46"/>
        <v>3.7570580283396975</v>
      </c>
      <c r="AA71" s="37">
        <v>0</v>
      </c>
      <c r="AB71" s="37">
        <f t="shared" si="47"/>
        <v>0</v>
      </c>
      <c r="AC71" s="35">
        <v>85</v>
      </c>
      <c r="AD71" s="35">
        <f t="shared" si="68"/>
        <v>1.9294189257142926</v>
      </c>
      <c r="AE71" s="48">
        <v>32.9</v>
      </c>
      <c r="AF71" s="48">
        <f t="shared" si="69"/>
        <v>1.5171958979499742</v>
      </c>
      <c r="AG71" s="43">
        <v>35.433808146393098</v>
      </c>
      <c r="AH71" s="43">
        <f t="shared" si="70"/>
        <v>1.5494178293890581</v>
      </c>
      <c r="AI71" s="39">
        <v>-0.17</v>
      </c>
      <c r="AJ71" s="48">
        <f t="shared" si="48"/>
        <v>-8.092190762392612E-2</v>
      </c>
      <c r="AK71" s="35">
        <v>30</v>
      </c>
      <c r="AL71" s="35">
        <f t="shared" si="71"/>
        <v>1.4771212547196624</v>
      </c>
      <c r="AM71" s="35">
        <f t="shared" si="49"/>
        <v>0</v>
      </c>
      <c r="AN71" s="35">
        <f t="shared" si="50"/>
        <v>0</v>
      </c>
      <c r="AO71" s="35">
        <f t="shared" si="51"/>
        <v>1</v>
      </c>
      <c r="AP71" s="35">
        <f t="shared" si="52"/>
        <v>0</v>
      </c>
      <c r="AQ71" s="35">
        <f t="shared" si="53"/>
        <v>0</v>
      </c>
      <c r="AR71" s="35">
        <f t="shared" si="54"/>
        <v>0</v>
      </c>
      <c r="AS71" s="35">
        <f t="shared" si="55"/>
        <v>0</v>
      </c>
      <c r="AT71" s="35">
        <f t="shared" si="56"/>
        <v>0</v>
      </c>
      <c r="AU71" s="35">
        <f t="shared" si="57"/>
        <v>0</v>
      </c>
      <c r="AV71" s="35">
        <f t="shared" si="58"/>
        <v>0</v>
      </c>
      <c r="AW71" s="35">
        <f t="shared" si="59"/>
        <v>0</v>
      </c>
      <c r="AX71" s="35">
        <f t="shared" si="60"/>
        <v>0</v>
      </c>
      <c r="AY71" s="35">
        <f t="shared" si="61"/>
        <v>0</v>
      </c>
      <c r="AZ71" s="35">
        <f t="shared" si="62"/>
        <v>0</v>
      </c>
      <c r="BA71" s="35">
        <f t="shared" si="63"/>
        <v>0</v>
      </c>
      <c r="BB71" s="35">
        <f t="shared" si="64"/>
        <v>0</v>
      </c>
      <c r="BC71" s="35">
        <f t="shared" si="65"/>
        <v>0</v>
      </c>
    </row>
    <row r="72" spans="1:55" s="35" customFormat="1" x14ac:dyDescent="0.35">
      <c r="A72" s="36">
        <v>36818</v>
      </c>
      <c r="B72" s="35" t="s">
        <v>586</v>
      </c>
      <c r="C72" s="35" t="s">
        <v>1</v>
      </c>
      <c r="D72" s="35" t="s">
        <v>577</v>
      </c>
      <c r="E72" s="35" t="s">
        <v>125</v>
      </c>
      <c r="F72" s="139">
        <f t="shared" si="37"/>
        <v>1</v>
      </c>
      <c r="G72" s="35">
        <v>643330000</v>
      </c>
      <c r="H72" s="139">
        <f t="shared" si="38"/>
        <v>8.8084338040518055</v>
      </c>
      <c r="I72" s="35">
        <f t="shared" si="39"/>
        <v>643330000</v>
      </c>
      <c r="J72" s="35">
        <v>0</v>
      </c>
      <c r="K72" s="36">
        <v>38686</v>
      </c>
      <c r="L72" s="35">
        <v>1389720000</v>
      </c>
      <c r="M72" s="21">
        <f t="shared" si="40"/>
        <v>5.117808219178082</v>
      </c>
      <c r="N72" s="21">
        <f t="shared" si="66"/>
        <v>0.70908400743759981</v>
      </c>
      <c r="O72" s="139">
        <v>1153.8900000000001</v>
      </c>
      <c r="P72" s="35">
        <f t="shared" si="41"/>
        <v>3.0625406208792199</v>
      </c>
      <c r="Q72" s="35">
        <v>126</v>
      </c>
      <c r="R72" s="35">
        <f t="shared" si="42"/>
        <v>2.1038037209559568</v>
      </c>
      <c r="S72" s="45">
        <v>3.42</v>
      </c>
      <c r="T72" s="45">
        <f t="shared" si="67"/>
        <v>0.53402610605613499</v>
      </c>
      <c r="U72" s="175">
        <f t="shared" si="43"/>
        <v>1.1601977212317163</v>
      </c>
      <c r="V72" s="48">
        <f t="shared" si="44"/>
        <v>0.33449350360926283</v>
      </c>
      <c r="W72" s="35">
        <v>1895.918367346939</v>
      </c>
      <c r="X72" s="35">
        <f t="shared" si="45"/>
        <v>3.277819633965128</v>
      </c>
      <c r="Y72" s="35">
        <v>8519.3877551020414</v>
      </c>
      <c r="Z72" s="35">
        <f t="shared" si="46"/>
        <v>3.9304083853612104</v>
      </c>
      <c r="AA72" s="177">
        <v>742.83333333333337</v>
      </c>
      <c r="AB72" s="37">
        <f t="shared" si="47"/>
        <v>2.8714756364568856</v>
      </c>
      <c r="AC72" s="35">
        <v>70</v>
      </c>
      <c r="AD72" s="35">
        <f t="shared" si="68"/>
        <v>1.8450980400142569</v>
      </c>
      <c r="AE72" s="48">
        <v>41.9</v>
      </c>
      <c r="AF72" s="48">
        <f t="shared" si="69"/>
        <v>1.6222140229662954</v>
      </c>
      <c r="AG72" s="43">
        <v>42.033747909324703</v>
      </c>
      <c r="AH72" s="43">
        <f t="shared" si="70"/>
        <v>1.6235981152914243</v>
      </c>
      <c r="AI72" s="39">
        <v>1.44</v>
      </c>
      <c r="AJ72" s="48">
        <f t="shared" si="48"/>
        <v>0.38738982633872943</v>
      </c>
      <c r="AK72" s="35">
        <v>20</v>
      </c>
      <c r="AL72" s="35">
        <f t="shared" si="71"/>
        <v>1.3010299956639813</v>
      </c>
      <c r="AM72" s="35">
        <f t="shared" si="49"/>
        <v>0</v>
      </c>
      <c r="AN72" s="35">
        <f t="shared" si="50"/>
        <v>0</v>
      </c>
      <c r="AO72" s="35">
        <f t="shared" si="51"/>
        <v>0</v>
      </c>
      <c r="AP72" s="35">
        <f t="shared" si="52"/>
        <v>1</v>
      </c>
      <c r="AQ72" s="35">
        <f t="shared" si="53"/>
        <v>0</v>
      </c>
      <c r="AR72" s="35">
        <f t="shared" si="54"/>
        <v>0</v>
      </c>
      <c r="AS72" s="35">
        <f t="shared" si="55"/>
        <v>0</v>
      </c>
      <c r="AT72" s="35">
        <f t="shared" si="56"/>
        <v>0</v>
      </c>
      <c r="AU72" s="35">
        <f t="shared" si="57"/>
        <v>0</v>
      </c>
      <c r="AV72" s="35">
        <f t="shared" si="58"/>
        <v>0</v>
      </c>
      <c r="AW72" s="35">
        <f t="shared" si="59"/>
        <v>0</v>
      </c>
      <c r="AX72" s="35">
        <f t="shared" si="60"/>
        <v>0</v>
      </c>
      <c r="AY72" s="35">
        <f t="shared" si="61"/>
        <v>0</v>
      </c>
      <c r="AZ72" s="35">
        <f t="shared" si="62"/>
        <v>0</v>
      </c>
      <c r="BA72" s="35">
        <f t="shared" si="63"/>
        <v>0</v>
      </c>
      <c r="BB72" s="35">
        <f t="shared" si="64"/>
        <v>0</v>
      </c>
      <c r="BC72" s="35">
        <f t="shared" si="65"/>
        <v>0</v>
      </c>
    </row>
    <row r="73" spans="1:55" s="35" customFormat="1" x14ac:dyDescent="0.35">
      <c r="A73" s="36">
        <v>36822</v>
      </c>
      <c r="B73" s="90" t="s">
        <v>836</v>
      </c>
      <c r="C73" s="35" t="s">
        <v>489</v>
      </c>
      <c r="D73" s="35" t="s">
        <v>489</v>
      </c>
      <c r="E73" s="35" t="s">
        <v>47</v>
      </c>
      <c r="F73" s="139">
        <f t="shared" si="37"/>
        <v>0</v>
      </c>
      <c r="G73" s="35">
        <v>23000000</v>
      </c>
      <c r="H73" s="139">
        <f t="shared" si="38"/>
        <v>7.3617278360175931</v>
      </c>
      <c r="I73" s="35">
        <f t="shared" si="39"/>
        <v>23000000</v>
      </c>
      <c r="J73" s="35">
        <v>0</v>
      </c>
      <c r="K73" s="36">
        <v>38475</v>
      </c>
      <c r="L73" s="35">
        <v>81640000</v>
      </c>
      <c r="M73" s="21">
        <f t="shared" si="40"/>
        <v>4.5287671232876709</v>
      </c>
      <c r="N73" s="21">
        <f t="shared" si="66"/>
        <v>0.65597998911497279</v>
      </c>
      <c r="O73" s="35">
        <v>0</v>
      </c>
      <c r="P73" s="35">
        <f t="shared" si="41"/>
        <v>0</v>
      </c>
      <c r="Q73" s="35">
        <v>0</v>
      </c>
      <c r="R73" s="35">
        <f t="shared" si="42"/>
        <v>0</v>
      </c>
      <c r="S73" s="14">
        <v>0</v>
      </c>
      <c r="T73" s="45" t="e">
        <f t="shared" si="67"/>
        <v>#NUM!</v>
      </c>
      <c r="U73" s="175">
        <f t="shared" si="43"/>
        <v>2.5495652173913044</v>
      </c>
      <c r="V73" s="48">
        <f t="shared" si="44"/>
        <v>0.55017516002644007</v>
      </c>
      <c r="W73" s="35">
        <v>1423.0371900826444</v>
      </c>
      <c r="X73" s="35">
        <f t="shared" si="45"/>
        <v>3.1532162502154288</v>
      </c>
      <c r="Y73" s="35">
        <v>3292.8719008264461</v>
      </c>
      <c r="Z73" s="35">
        <f t="shared" si="46"/>
        <v>3.5175748361336181</v>
      </c>
      <c r="AA73" s="37">
        <v>0</v>
      </c>
      <c r="AB73" s="37">
        <f t="shared" si="47"/>
        <v>0</v>
      </c>
      <c r="AC73" s="35">
        <v>70</v>
      </c>
      <c r="AD73" s="35">
        <f t="shared" si="68"/>
        <v>1.8450980400142569</v>
      </c>
      <c r="AE73" s="48">
        <v>27.61</v>
      </c>
      <c r="AF73" s="48">
        <f t="shared" si="69"/>
        <v>1.4410664066392631</v>
      </c>
      <c r="AG73" s="43">
        <v>49.329709120205997</v>
      </c>
      <c r="AH73" s="43">
        <f t="shared" si="70"/>
        <v>1.6931085545892062</v>
      </c>
      <c r="AI73" s="39">
        <v>0.37</v>
      </c>
      <c r="AJ73" s="48">
        <f t="shared" si="48"/>
        <v>0.13672056715640679</v>
      </c>
      <c r="AK73" s="35">
        <v>17</v>
      </c>
      <c r="AL73" s="35">
        <f t="shared" si="71"/>
        <v>1.2304489213782739</v>
      </c>
      <c r="AM73" s="35">
        <f t="shared" si="49"/>
        <v>0</v>
      </c>
      <c r="AN73" s="35">
        <f t="shared" si="50"/>
        <v>0</v>
      </c>
      <c r="AO73" s="35">
        <f t="shared" si="51"/>
        <v>0</v>
      </c>
      <c r="AP73" s="35">
        <f t="shared" si="52"/>
        <v>0</v>
      </c>
      <c r="AQ73" s="35">
        <f t="shared" si="53"/>
        <v>0</v>
      </c>
      <c r="AR73" s="35">
        <f t="shared" si="54"/>
        <v>0</v>
      </c>
      <c r="AS73" s="35">
        <f t="shared" si="55"/>
        <v>0</v>
      </c>
      <c r="AT73" s="35">
        <f t="shared" si="56"/>
        <v>0</v>
      </c>
      <c r="AU73" s="35">
        <f t="shared" si="57"/>
        <v>0</v>
      </c>
      <c r="AV73" s="35">
        <f t="shared" si="58"/>
        <v>0</v>
      </c>
      <c r="AW73" s="35">
        <f t="shared" si="59"/>
        <v>0</v>
      </c>
      <c r="AX73" s="35">
        <f t="shared" si="60"/>
        <v>0</v>
      </c>
      <c r="AY73" s="35">
        <f t="shared" si="61"/>
        <v>0</v>
      </c>
      <c r="AZ73" s="35">
        <f t="shared" si="62"/>
        <v>0</v>
      </c>
      <c r="BA73" s="35">
        <f t="shared" si="63"/>
        <v>1</v>
      </c>
      <c r="BB73" s="35">
        <f t="shared" si="64"/>
        <v>0</v>
      </c>
      <c r="BC73" s="35">
        <f t="shared" si="65"/>
        <v>0</v>
      </c>
    </row>
    <row r="74" spans="1:55" s="35" customFormat="1" x14ac:dyDescent="0.35">
      <c r="A74" s="36">
        <v>36829</v>
      </c>
      <c r="B74" s="35" t="s">
        <v>1158</v>
      </c>
      <c r="C74" s="35" t="s">
        <v>45</v>
      </c>
      <c r="D74" s="35" t="s">
        <v>602</v>
      </c>
      <c r="E74" s="35" t="s">
        <v>47</v>
      </c>
      <c r="F74" s="139">
        <f t="shared" si="37"/>
        <v>0</v>
      </c>
      <c r="G74" s="35">
        <v>67500000</v>
      </c>
      <c r="H74" s="139">
        <f t="shared" si="38"/>
        <v>7.8293037728310253</v>
      </c>
      <c r="I74" s="35">
        <f t="shared" si="39"/>
        <v>67500000</v>
      </c>
      <c r="J74" s="35">
        <v>0</v>
      </c>
      <c r="K74" s="36">
        <v>39265</v>
      </c>
      <c r="L74" s="35">
        <v>92000000</v>
      </c>
      <c r="M74" s="21">
        <f t="shared" si="40"/>
        <v>6.6739726027397257</v>
      </c>
      <c r="N74" s="21">
        <f t="shared" si="66"/>
        <v>0.82438441950436303</v>
      </c>
      <c r="O74" s="35">
        <v>0</v>
      </c>
      <c r="P74" s="35">
        <f t="shared" si="41"/>
        <v>0</v>
      </c>
      <c r="Q74" s="35">
        <v>11</v>
      </c>
      <c r="R74" s="35">
        <f t="shared" si="42"/>
        <v>1.0791812460476249</v>
      </c>
      <c r="S74" s="45">
        <v>2.95</v>
      </c>
      <c r="T74" s="45">
        <f t="shared" si="67"/>
        <v>0.46982201597816303</v>
      </c>
      <c r="U74" s="175">
        <f t="shared" si="43"/>
        <v>0.36296296296296293</v>
      </c>
      <c r="V74" s="48">
        <f t="shared" si="44"/>
        <v>0.13448405451453033</v>
      </c>
      <c r="W74" s="35">
        <v>1246.953</v>
      </c>
      <c r="X74" s="35">
        <f t="shared" si="45"/>
        <v>3.0958500844125241</v>
      </c>
      <c r="Y74" s="35">
        <v>3219.7179999999998</v>
      </c>
      <c r="Z74" s="35">
        <f t="shared" si="46"/>
        <v>3.5078178355445662</v>
      </c>
      <c r="AA74" s="35">
        <v>0</v>
      </c>
      <c r="AB74" s="37">
        <f t="shared" si="47"/>
        <v>0</v>
      </c>
      <c r="AC74" s="35">
        <v>85</v>
      </c>
      <c r="AD74" s="35">
        <f t="shared" si="68"/>
        <v>1.9294189257142926</v>
      </c>
      <c r="AE74" s="48">
        <v>28.2</v>
      </c>
      <c r="AF74" s="48">
        <f t="shared" si="69"/>
        <v>1.4502491083193612</v>
      </c>
      <c r="AG74" s="43">
        <v>34.298950279384798</v>
      </c>
      <c r="AH74" s="43">
        <f t="shared" si="70"/>
        <v>1.5352808286478177</v>
      </c>
      <c r="AI74" s="39">
        <v>0.16</v>
      </c>
      <c r="AJ74" s="48">
        <f t="shared" si="48"/>
        <v>6.445798922691845E-2</v>
      </c>
      <c r="AK74" s="35">
        <v>14</v>
      </c>
      <c r="AL74" s="35">
        <f t="shared" si="71"/>
        <v>1.146128035678238</v>
      </c>
      <c r="AM74" s="35">
        <f t="shared" si="49"/>
        <v>0</v>
      </c>
      <c r="AN74" s="35">
        <f t="shared" si="50"/>
        <v>1</v>
      </c>
      <c r="AO74" s="35">
        <f t="shared" si="51"/>
        <v>0</v>
      </c>
      <c r="AP74" s="35">
        <f t="shared" si="52"/>
        <v>0</v>
      </c>
      <c r="AQ74" s="35">
        <f t="shared" si="53"/>
        <v>0</v>
      </c>
      <c r="AR74" s="35">
        <f t="shared" si="54"/>
        <v>0</v>
      </c>
      <c r="AS74" s="35">
        <f t="shared" si="55"/>
        <v>0</v>
      </c>
      <c r="AT74" s="35">
        <f t="shared" si="56"/>
        <v>0</v>
      </c>
      <c r="AU74" s="35">
        <f t="shared" si="57"/>
        <v>0</v>
      </c>
      <c r="AV74" s="35">
        <f t="shared" si="58"/>
        <v>0</v>
      </c>
      <c r="AW74" s="35">
        <f t="shared" si="59"/>
        <v>0</v>
      </c>
      <c r="AX74" s="35">
        <f t="shared" si="60"/>
        <v>0</v>
      </c>
      <c r="AY74" s="35">
        <f t="shared" si="61"/>
        <v>0</v>
      </c>
      <c r="AZ74" s="35">
        <f t="shared" si="62"/>
        <v>0</v>
      </c>
      <c r="BA74" s="35">
        <f t="shared" si="63"/>
        <v>0</v>
      </c>
      <c r="BB74" s="35">
        <f t="shared" si="64"/>
        <v>0</v>
      </c>
      <c r="BC74" s="35">
        <f t="shared" si="65"/>
        <v>0</v>
      </c>
    </row>
    <row r="75" spans="1:55" s="35" customFormat="1" x14ac:dyDescent="0.35">
      <c r="A75" s="36">
        <v>36829</v>
      </c>
      <c r="B75" s="35" t="s">
        <v>1158</v>
      </c>
      <c r="C75" s="35" t="s">
        <v>45</v>
      </c>
      <c r="D75" s="35" t="s">
        <v>602</v>
      </c>
      <c r="E75" s="35" t="s">
        <v>47</v>
      </c>
      <c r="F75" s="139">
        <f t="shared" si="37"/>
        <v>0</v>
      </c>
      <c r="G75" s="35">
        <v>67500000</v>
      </c>
      <c r="H75" s="139">
        <f t="shared" si="38"/>
        <v>7.8293037728310253</v>
      </c>
      <c r="I75" s="35">
        <f t="shared" si="39"/>
        <v>67500000</v>
      </c>
      <c r="J75" s="35">
        <v>0</v>
      </c>
      <c r="K75" s="36">
        <v>39265</v>
      </c>
      <c r="L75" s="35">
        <v>92000000</v>
      </c>
      <c r="M75" s="21">
        <f t="shared" si="40"/>
        <v>6.6739726027397257</v>
      </c>
      <c r="N75" s="21">
        <f t="shared" si="66"/>
        <v>0.82438441950436303</v>
      </c>
      <c r="O75" s="35">
        <v>0</v>
      </c>
      <c r="P75" s="35">
        <f t="shared" si="41"/>
        <v>0</v>
      </c>
      <c r="Q75" s="35">
        <v>11</v>
      </c>
      <c r="R75" s="35">
        <f t="shared" si="42"/>
        <v>1.0791812460476249</v>
      </c>
      <c r="S75" s="45">
        <v>2.95</v>
      </c>
      <c r="T75" s="45">
        <f t="shared" si="67"/>
        <v>0.46982201597816303</v>
      </c>
      <c r="U75" s="175">
        <f t="shared" si="43"/>
        <v>0.36296296296296293</v>
      </c>
      <c r="V75" s="48">
        <f t="shared" si="44"/>
        <v>0.13448405451453033</v>
      </c>
      <c r="W75" s="35">
        <v>1246.953</v>
      </c>
      <c r="X75" s="35">
        <f t="shared" si="45"/>
        <v>3.0958500844125241</v>
      </c>
      <c r="Y75" s="35">
        <v>3219.7179999999998</v>
      </c>
      <c r="Z75" s="35">
        <f t="shared" si="46"/>
        <v>3.5078178355445662</v>
      </c>
      <c r="AA75" s="35">
        <v>0</v>
      </c>
      <c r="AB75" s="37">
        <f t="shared" si="47"/>
        <v>0</v>
      </c>
      <c r="AC75" s="35">
        <v>85</v>
      </c>
      <c r="AD75" s="35">
        <f t="shared" si="68"/>
        <v>1.9294189257142926</v>
      </c>
      <c r="AE75" s="48">
        <v>28.2</v>
      </c>
      <c r="AF75" s="48">
        <f t="shared" si="69"/>
        <v>1.4502491083193612</v>
      </c>
      <c r="AG75" s="43">
        <v>34.298950279384798</v>
      </c>
      <c r="AH75" s="43">
        <f t="shared" si="70"/>
        <v>1.5352808286478177</v>
      </c>
      <c r="AI75" s="39">
        <v>0.47</v>
      </c>
      <c r="AJ75" s="48">
        <f t="shared" si="48"/>
        <v>0.16731733474817609</v>
      </c>
      <c r="AK75" s="35">
        <v>13</v>
      </c>
      <c r="AL75" s="35">
        <f t="shared" si="71"/>
        <v>1.1139433523068367</v>
      </c>
      <c r="AM75" s="35">
        <f t="shared" si="49"/>
        <v>0</v>
      </c>
      <c r="AN75" s="35">
        <f t="shared" si="50"/>
        <v>1</v>
      </c>
      <c r="AO75" s="35">
        <f t="shared" si="51"/>
        <v>0</v>
      </c>
      <c r="AP75" s="35">
        <f t="shared" si="52"/>
        <v>0</v>
      </c>
      <c r="AQ75" s="35">
        <f t="shared" si="53"/>
        <v>0</v>
      </c>
      <c r="AR75" s="35">
        <f t="shared" si="54"/>
        <v>0</v>
      </c>
      <c r="AS75" s="35">
        <f t="shared" si="55"/>
        <v>0</v>
      </c>
      <c r="AT75" s="35">
        <f t="shared" si="56"/>
        <v>0</v>
      </c>
      <c r="AU75" s="35">
        <f t="shared" si="57"/>
        <v>0</v>
      </c>
      <c r="AV75" s="35">
        <f t="shared" si="58"/>
        <v>0</v>
      </c>
      <c r="AW75" s="35">
        <f t="shared" si="59"/>
        <v>0</v>
      </c>
      <c r="AX75" s="35">
        <f t="shared" si="60"/>
        <v>0</v>
      </c>
      <c r="AY75" s="35">
        <f t="shared" si="61"/>
        <v>0</v>
      </c>
      <c r="AZ75" s="35">
        <f t="shared" si="62"/>
        <v>0</v>
      </c>
      <c r="BA75" s="35">
        <f t="shared" si="63"/>
        <v>0</v>
      </c>
      <c r="BB75" s="35">
        <f t="shared" si="64"/>
        <v>0</v>
      </c>
      <c r="BC75" s="35">
        <f t="shared" si="65"/>
        <v>0</v>
      </c>
    </row>
    <row r="76" spans="1:55" s="35" customFormat="1" x14ac:dyDescent="0.35">
      <c r="A76" s="36">
        <v>36852</v>
      </c>
      <c r="B76" s="35" t="s">
        <v>1226</v>
      </c>
      <c r="C76" s="35" t="s">
        <v>45</v>
      </c>
      <c r="D76" s="35" t="s">
        <v>602</v>
      </c>
      <c r="E76" s="35" t="s">
        <v>64</v>
      </c>
      <c r="F76" s="139">
        <f t="shared" si="37"/>
        <v>1</v>
      </c>
      <c r="G76" s="35">
        <v>2000000000</v>
      </c>
      <c r="H76" s="139">
        <f t="shared" si="38"/>
        <v>9.3010299956639813</v>
      </c>
      <c r="I76" s="35">
        <f t="shared" si="39"/>
        <v>2000000000</v>
      </c>
      <c r="J76" s="35">
        <v>0</v>
      </c>
      <c r="K76" s="36">
        <v>39288</v>
      </c>
      <c r="L76" s="35">
        <v>2630700000</v>
      </c>
      <c r="M76" s="21">
        <f t="shared" si="40"/>
        <v>6.6739726027397257</v>
      </c>
      <c r="N76" s="21">
        <f t="shared" si="66"/>
        <v>0.82438441950436303</v>
      </c>
      <c r="O76" s="35">
        <v>0</v>
      </c>
      <c r="P76" s="35">
        <f t="shared" si="41"/>
        <v>0</v>
      </c>
      <c r="Q76" s="35">
        <v>21</v>
      </c>
      <c r="R76" s="35">
        <f t="shared" si="42"/>
        <v>1.3424226808222062</v>
      </c>
      <c r="S76" s="45">
        <v>2.95</v>
      </c>
      <c r="T76" s="45">
        <f t="shared" si="67"/>
        <v>0.46982201597816303</v>
      </c>
      <c r="U76" s="175">
        <f t="shared" si="43"/>
        <v>0.31535000000000002</v>
      </c>
      <c r="V76" s="48">
        <f t="shared" si="44"/>
        <v>0.11904132913278011</v>
      </c>
      <c r="W76" s="35">
        <v>1455.046</v>
      </c>
      <c r="X76" s="35">
        <f t="shared" si="45"/>
        <v>3.1628767233771686</v>
      </c>
      <c r="Y76" s="35">
        <v>4062.5129999999999</v>
      </c>
      <c r="Z76" s="35">
        <f t="shared" si="46"/>
        <v>3.6087947637270492</v>
      </c>
      <c r="AA76" s="35">
        <v>0</v>
      </c>
      <c r="AB76" s="37">
        <f t="shared" si="47"/>
        <v>0</v>
      </c>
      <c r="AC76" s="35">
        <v>85</v>
      </c>
      <c r="AD76" s="35">
        <f t="shared" si="68"/>
        <v>1.9294189257142926</v>
      </c>
      <c r="AE76" s="48">
        <v>28.2</v>
      </c>
      <c r="AF76" s="48">
        <f t="shared" si="69"/>
        <v>1.4502491083193612</v>
      </c>
      <c r="AG76" s="43">
        <v>34.298950279384798</v>
      </c>
      <c r="AH76" s="43">
        <f t="shared" si="70"/>
        <v>1.5352808286478177</v>
      </c>
      <c r="AI76" s="39">
        <v>0.34</v>
      </c>
      <c r="AJ76" s="48">
        <f t="shared" si="48"/>
        <v>0.12710479836480765</v>
      </c>
      <c r="AK76" s="35">
        <v>7</v>
      </c>
      <c r="AL76" s="35">
        <f t="shared" si="71"/>
        <v>0.84509804001425681</v>
      </c>
      <c r="AM76" s="35">
        <f t="shared" si="49"/>
        <v>0</v>
      </c>
      <c r="AN76" s="35">
        <f t="shared" si="50"/>
        <v>1</v>
      </c>
      <c r="AO76" s="35">
        <f t="shared" si="51"/>
        <v>0</v>
      </c>
      <c r="AP76" s="35">
        <f t="shared" si="52"/>
        <v>0</v>
      </c>
      <c r="AQ76" s="35">
        <f t="shared" si="53"/>
        <v>0</v>
      </c>
      <c r="AR76" s="35">
        <f t="shared" si="54"/>
        <v>0</v>
      </c>
      <c r="AS76" s="35">
        <f t="shared" si="55"/>
        <v>0</v>
      </c>
      <c r="AT76" s="35">
        <f t="shared" si="56"/>
        <v>0</v>
      </c>
      <c r="AU76" s="35">
        <f t="shared" si="57"/>
        <v>0</v>
      </c>
      <c r="AV76" s="35">
        <f t="shared" si="58"/>
        <v>0</v>
      </c>
      <c r="AW76" s="35">
        <f t="shared" si="59"/>
        <v>0</v>
      </c>
      <c r="AX76" s="35">
        <f t="shared" si="60"/>
        <v>0</v>
      </c>
      <c r="AY76" s="35">
        <f t="shared" si="61"/>
        <v>0</v>
      </c>
      <c r="AZ76" s="35">
        <f t="shared" si="62"/>
        <v>0</v>
      </c>
      <c r="BA76" s="35">
        <f t="shared" si="63"/>
        <v>0</v>
      </c>
      <c r="BB76" s="35">
        <f t="shared" si="64"/>
        <v>0</v>
      </c>
      <c r="BC76" s="35">
        <f t="shared" si="65"/>
        <v>0</v>
      </c>
    </row>
    <row r="77" spans="1:55" s="35" customFormat="1" x14ac:dyDescent="0.35">
      <c r="A77" s="36">
        <v>36860</v>
      </c>
      <c r="B77" s="139" t="s">
        <v>76</v>
      </c>
      <c r="C77" s="139" t="s">
        <v>59</v>
      </c>
      <c r="D77" s="139" t="s">
        <v>59</v>
      </c>
      <c r="E77" s="139" t="s">
        <v>47</v>
      </c>
      <c r="F77" s="139">
        <f t="shared" si="37"/>
        <v>0</v>
      </c>
      <c r="G77" s="139">
        <v>19000000</v>
      </c>
      <c r="H77" s="139">
        <f t="shared" si="38"/>
        <v>7.2787536009528289</v>
      </c>
      <c r="I77" s="139">
        <v>19000000</v>
      </c>
      <c r="J77" s="139">
        <v>0</v>
      </c>
      <c r="K77" s="18">
        <v>38180</v>
      </c>
      <c r="L77" s="139">
        <v>13511660</v>
      </c>
      <c r="M77" s="21">
        <f t="shared" si="40"/>
        <v>3.6164383561643834</v>
      </c>
      <c r="N77" s="21">
        <f t="shared" si="66"/>
        <v>0.55828106674937517</v>
      </c>
      <c r="O77" s="35">
        <v>0</v>
      </c>
      <c r="P77" s="35">
        <f t="shared" si="41"/>
        <v>0</v>
      </c>
      <c r="Q77" s="35">
        <v>13</v>
      </c>
      <c r="R77" s="35">
        <f t="shared" si="42"/>
        <v>1.146128035678238</v>
      </c>
      <c r="S77" s="45">
        <v>3.29</v>
      </c>
      <c r="T77" s="45">
        <f t="shared" si="67"/>
        <v>0.51719589794997434</v>
      </c>
      <c r="U77" s="175">
        <f t="shared" si="43"/>
        <v>-0.28886000000000001</v>
      </c>
      <c r="V77" s="48">
        <f t="shared" si="44"/>
        <v>-0.14804489260047846</v>
      </c>
      <c r="W77" s="35">
        <v>2160.6648199445985</v>
      </c>
      <c r="X77" s="35">
        <f t="shared" si="45"/>
        <v>3.3345874007848226</v>
      </c>
      <c r="Y77" s="35">
        <v>9487.5346260387796</v>
      </c>
      <c r="Z77" s="35">
        <f t="shared" si="46"/>
        <v>3.9771533739227865</v>
      </c>
      <c r="AA77" s="37">
        <v>0</v>
      </c>
      <c r="AB77" s="37">
        <f t="shared" si="47"/>
        <v>0</v>
      </c>
      <c r="AC77" s="35">
        <v>85</v>
      </c>
      <c r="AD77" s="35">
        <f t="shared" si="68"/>
        <v>1.9294189257142926</v>
      </c>
      <c r="AE77" s="48">
        <v>32.9</v>
      </c>
      <c r="AF77" s="48">
        <f t="shared" si="69"/>
        <v>1.5171958979499742</v>
      </c>
      <c r="AG77" s="43">
        <v>35.433808146393098</v>
      </c>
      <c r="AH77" s="43">
        <f t="shared" si="70"/>
        <v>1.5494178293890581</v>
      </c>
      <c r="AI77" s="39">
        <v>0.17</v>
      </c>
      <c r="AJ77" s="48">
        <f t="shared" si="48"/>
        <v>6.8185861746161619E-2</v>
      </c>
      <c r="AK77" s="35">
        <v>23</v>
      </c>
      <c r="AL77" s="35">
        <f t="shared" si="71"/>
        <v>1.3617278360175928</v>
      </c>
      <c r="AM77" s="35">
        <f t="shared" si="49"/>
        <v>0</v>
      </c>
      <c r="AN77" s="35">
        <f t="shared" si="50"/>
        <v>0</v>
      </c>
      <c r="AO77" s="35">
        <f t="shared" si="51"/>
        <v>1</v>
      </c>
      <c r="AP77" s="35">
        <f t="shared" si="52"/>
        <v>0</v>
      </c>
      <c r="AQ77" s="35">
        <f t="shared" si="53"/>
        <v>0</v>
      </c>
      <c r="AR77" s="35">
        <f t="shared" si="54"/>
        <v>0</v>
      </c>
      <c r="AS77" s="35">
        <f t="shared" si="55"/>
        <v>0</v>
      </c>
      <c r="AT77" s="35">
        <f t="shared" si="56"/>
        <v>0</v>
      </c>
      <c r="AU77" s="35">
        <f t="shared" si="57"/>
        <v>0</v>
      </c>
      <c r="AV77" s="35">
        <f t="shared" si="58"/>
        <v>0</v>
      </c>
      <c r="AW77" s="35">
        <f t="shared" si="59"/>
        <v>0</v>
      </c>
      <c r="AX77" s="35">
        <f t="shared" si="60"/>
        <v>0</v>
      </c>
      <c r="AY77" s="35">
        <f t="shared" si="61"/>
        <v>0</v>
      </c>
      <c r="AZ77" s="35">
        <f t="shared" si="62"/>
        <v>0</v>
      </c>
      <c r="BA77" s="35">
        <f t="shared" si="63"/>
        <v>0</v>
      </c>
      <c r="BB77" s="35">
        <f t="shared" si="64"/>
        <v>0</v>
      </c>
      <c r="BC77" s="35">
        <f t="shared" si="65"/>
        <v>0</v>
      </c>
    </row>
    <row r="78" spans="1:55" s="35" customFormat="1" x14ac:dyDescent="0.35">
      <c r="A78" s="36">
        <v>36864</v>
      </c>
      <c r="B78" s="35" t="s">
        <v>863</v>
      </c>
      <c r="C78" s="35" t="s">
        <v>45</v>
      </c>
      <c r="D78" s="35" t="s">
        <v>497</v>
      </c>
      <c r="E78" s="35" t="s">
        <v>64</v>
      </c>
      <c r="F78" s="139">
        <f t="shared" si="37"/>
        <v>1</v>
      </c>
      <c r="G78" s="35">
        <v>150000000</v>
      </c>
      <c r="H78" s="139">
        <f t="shared" si="38"/>
        <v>8.1760912590556813</v>
      </c>
      <c r="I78" s="35">
        <f>G78</f>
        <v>150000000</v>
      </c>
      <c r="J78" s="35">
        <v>0</v>
      </c>
      <c r="K78" s="36">
        <v>38055</v>
      </c>
      <c r="L78" s="35">
        <v>363110000</v>
      </c>
      <c r="M78" s="21">
        <f t="shared" si="40"/>
        <v>3.2630136986301368</v>
      </c>
      <c r="N78" s="21">
        <f t="shared" si="66"/>
        <v>0.51361889702630281</v>
      </c>
      <c r="O78" s="35">
        <v>5441.73</v>
      </c>
      <c r="P78" s="35">
        <f t="shared" si="41"/>
        <v>3.7358167906061537</v>
      </c>
      <c r="Q78" s="35">
        <v>108</v>
      </c>
      <c r="R78" s="35">
        <f t="shared" si="42"/>
        <v>2.0374264979406238</v>
      </c>
      <c r="S78" s="45">
        <v>2.81</v>
      </c>
      <c r="T78" s="45">
        <f t="shared" si="67"/>
        <v>0.44870631990507992</v>
      </c>
      <c r="U78" s="175">
        <f t="shared" si="43"/>
        <v>1.4207333333333332</v>
      </c>
      <c r="V78" s="48">
        <f t="shared" si="44"/>
        <v>0.38394695043285532</v>
      </c>
      <c r="W78" s="35">
        <v>2445.7102171591318</v>
      </c>
      <c r="X78" s="35">
        <f t="shared" si="45"/>
        <v>3.3884049978579722</v>
      </c>
      <c r="Y78" s="35">
        <v>7210.2229667110805</v>
      </c>
      <c r="Z78" s="35">
        <f t="shared" si="46"/>
        <v>3.8579486949156889</v>
      </c>
      <c r="AA78" s="37">
        <v>125.833333333333</v>
      </c>
      <c r="AB78" s="37">
        <f t="shared" si="47"/>
        <v>2.103233406386928</v>
      </c>
      <c r="AC78" s="35">
        <v>85</v>
      </c>
      <c r="AD78" s="35">
        <f t="shared" si="68"/>
        <v>1.9294189257142926</v>
      </c>
      <c r="AE78" s="48">
        <v>28.2</v>
      </c>
      <c r="AF78" s="48">
        <f t="shared" si="69"/>
        <v>1.4502491083193612</v>
      </c>
      <c r="AG78" s="43">
        <v>34.298950279384798</v>
      </c>
      <c r="AH78" s="43">
        <f t="shared" si="70"/>
        <v>1.5352808286478177</v>
      </c>
      <c r="AI78" s="39">
        <v>0.47</v>
      </c>
      <c r="AJ78" s="48">
        <f t="shared" si="48"/>
        <v>0.16731733474817609</v>
      </c>
      <c r="AK78" s="35">
        <v>28</v>
      </c>
      <c r="AL78" s="35">
        <f t="shared" si="71"/>
        <v>1.4471580313422192</v>
      </c>
      <c r="AM78" s="35">
        <f t="shared" si="49"/>
        <v>0</v>
      </c>
      <c r="AN78" s="35">
        <f t="shared" si="50"/>
        <v>1</v>
      </c>
      <c r="AO78" s="35">
        <f t="shared" si="51"/>
        <v>0</v>
      </c>
      <c r="AP78" s="35">
        <f t="shared" si="52"/>
        <v>0</v>
      </c>
      <c r="AQ78" s="35">
        <f t="shared" si="53"/>
        <v>0</v>
      </c>
      <c r="AR78" s="35">
        <f t="shared" si="54"/>
        <v>0</v>
      </c>
      <c r="AS78" s="35">
        <f t="shared" si="55"/>
        <v>0</v>
      </c>
      <c r="AT78" s="35">
        <f t="shared" si="56"/>
        <v>0</v>
      </c>
      <c r="AU78" s="35">
        <f t="shared" si="57"/>
        <v>0</v>
      </c>
      <c r="AV78" s="35">
        <f t="shared" si="58"/>
        <v>0</v>
      </c>
      <c r="AW78" s="35">
        <f t="shared" si="59"/>
        <v>0</v>
      </c>
      <c r="AX78" s="35">
        <f t="shared" si="60"/>
        <v>0</v>
      </c>
      <c r="AY78" s="35">
        <f t="shared" si="61"/>
        <v>0</v>
      </c>
      <c r="AZ78" s="35">
        <f t="shared" si="62"/>
        <v>0</v>
      </c>
      <c r="BA78" s="35">
        <f t="shared" si="63"/>
        <v>0</v>
      </c>
      <c r="BB78" s="35">
        <f t="shared" si="64"/>
        <v>0</v>
      </c>
      <c r="BC78" s="35">
        <f t="shared" si="65"/>
        <v>0</v>
      </c>
    </row>
    <row r="79" spans="1:55" s="35" customFormat="1" x14ac:dyDescent="0.35">
      <c r="A79" s="36">
        <v>36871</v>
      </c>
      <c r="B79" s="35" t="s">
        <v>1141</v>
      </c>
      <c r="C79" s="35" t="s">
        <v>5</v>
      </c>
      <c r="D79" s="35" t="s">
        <v>577</v>
      </c>
      <c r="E79" s="35" t="s">
        <v>64</v>
      </c>
      <c r="F79" s="139">
        <f t="shared" si="37"/>
        <v>1</v>
      </c>
      <c r="G79" s="35">
        <v>72250000</v>
      </c>
      <c r="H79" s="139">
        <f t="shared" si="38"/>
        <v>7.8588378514285857</v>
      </c>
      <c r="I79" s="35">
        <f>G79</f>
        <v>72250000</v>
      </c>
      <c r="J79" s="35">
        <v>0</v>
      </c>
      <c r="K79" s="36">
        <v>38331</v>
      </c>
      <c r="L79" s="35">
        <v>238422104</v>
      </c>
      <c r="M79" s="21">
        <f t="shared" si="40"/>
        <v>4</v>
      </c>
      <c r="N79" s="21">
        <f t="shared" si="66"/>
        <v>0.6020599913279624</v>
      </c>
      <c r="O79" s="35">
        <v>357.29</v>
      </c>
      <c r="P79" s="35">
        <f t="shared" si="41"/>
        <v>2.5542346870234227</v>
      </c>
      <c r="Q79" s="35">
        <v>11</v>
      </c>
      <c r="R79" s="35">
        <f t="shared" si="42"/>
        <v>1.0791812460476249</v>
      </c>
      <c r="S79" s="45">
        <v>3.16</v>
      </c>
      <c r="T79" s="45">
        <f t="shared" si="67"/>
        <v>0.49968708261840383</v>
      </c>
      <c r="U79" s="175">
        <f t="shared" si="43"/>
        <v>2.2999599169550171</v>
      </c>
      <c r="V79" s="48">
        <f t="shared" si="44"/>
        <v>0.51850866474122814</v>
      </c>
      <c r="W79" s="35">
        <v>1801.1079999999999</v>
      </c>
      <c r="X79" s="35">
        <f t="shared" si="45"/>
        <v>3.2555397552391718</v>
      </c>
      <c r="Y79" s="35">
        <v>8416.6209999999992</v>
      </c>
      <c r="Z79" s="35">
        <f t="shared" si="46"/>
        <v>3.9251377713585649</v>
      </c>
      <c r="AA79" s="37">
        <v>971</v>
      </c>
      <c r="AB79" s="37">
        <f t="shared" si="47"/>
        <v>2.9876662649262746</v>
      </c>
      <c r="AC79" s="35">
        <v>70</v>
      </c>
      <c r="AD79" s="35">
        <f t="shared" si="68"/>
        <v>1.8450980400142569</v>
      </c>
      <c r="AE79" s="48">
        <v>36.9</v>
      </c>
      <c r="AF79" s="48">
        <f t="shared" si="69"/>
        <v>1.5670263661590604</v>
      </c>
      <c r="AG79" s="43">
        <v>42.177001683602199</v>
      </c>
      <c r="AH79" s="43">
        <f t="shared" si="70"/>
        <v>1.6250757029864513</v>
      </c>
      <c r="AI79" s="39">
        <v>0.28999999999999998</v>
      </c>
      <c r="AJ79" s="48">
        <f t="shared" si="48"/>
        <v>0.11058971029924898</v>
      </c>
      <c r="AK79" s="35">
        <v>19</v>
      </c>
      <c r="AL79" s="35">
        <f t="shared" si="71"/>
        <v>1.2787536009528289</v>
      </c>
      <c r="AM79" s="35">
        <f t="shared" si="49"/>
        <v>0</v>
      </c>
      <c r="AN79" s="35">
        <f t="shared" si="50"/>
        <v>0</v>
      </c>
      <c r="AO79" s="35">
        <f t="shared" si="51"/>
        <v>0</v>
      </c>
      <c r="AP79" s="35">
        <f t="shared" si="52"/>
        <v>0</v>
      </c>
      <c r="AQ79" s="35">
        <f t="shared" si="53"/>
        <v>0</v>
      </c>
      <c r="AR79" s="35">
        <f t="shared" si="54"/>
        <v>0</v>
      </c>
      <c r="AS79" s="35">
        <f t="shared" si="55"/>
        <v>1</v>
      </c>
      <c r="AT79" s="35">
        <f t="shared" si="56"/>
        <v>0</v>
      </c>
      <c r="AU79" s="35">
        <f t="shared" si="57"/>
        <v>0</v>
      </c>
      <c r="AV79" s="35">
        <f t="shared" si="58"/>
        <v>0</v>
      </c>
      <c r="AW79" s="35">
        <f t="shared" si="59"/>
        <v>0</v>
      </c>
      <c r="AX79" s="35">
        <f t="shared" si="60"/>
        <v>0</v>
      </c>
      <c r="AY79" s="35">
        <f t="shared" si="61"/>
        <v>0</v>
      </c>
      <c r="AZ79" s="35">
        <f t="shared" si="62"/>
        <v>0</v>
      </c>
      <c r="BA79" s="35">
        <f t="shared" si="63"/>
        <v>0</v>
      </c>
      <c r="BB79" s="35">
        <f t="shared" si="64"/>
        <v>0</v>
      </c>
      <c r="BC79" s="35">
        <f t="shared" si="65"/>
        <v>0</v>
      </c>
    </row>
    <row r="80" spans="1:55" s="35" customFormat="1" x14ac:dyDescent="0.35">
      <c r="A80" s="36">
        <v>36881</v>
      </c>
      <c r="B80" s="90" t="s">
        <v>919</v>
      </c>
      <c r="C80" s="35" t="s">
        <v>59</v>
      </c>
      <c r="D80" s="35" t="s">
        <v>59</v>
      </c>
      <c r="E80" s="35" t="s">
        <v>47</v>
      </c>
      <c r="F80" s="139">
        <f t="shared" si="37"/>
        <v>0</v>
      </c>
      <c r="G80" s="35">
        <v>175750000</v>
      </c>
      <c r="H80" s="139">
        <f t="shared" si="38"/>
        <v>8.2448953336918613</v>
      </c>
      <c r="I80" s="35">
        <f>G80</f>
        <v>175750000</v>
      </c>
      <c r="J80" s="35">
        <v>0</v>
      </c>
      <c r="K80" s="36">
        <v>38394</v>
      </c>
      <c r="L80" s="35">
        <v>950000000</v>
      </c>
      <c r="M80" s="21">
        <f t="shared" si="40"/>
        <v>4.1452054794520548</v>
      </c>
      <c r="N80" s="21">
        <f t="shared" si="66"/>
        <v>0.61754606356671204</v>
      </c>
      <c r="O80" s="35">
        <v>0</v>
      </c>
      <c r="P80" s="35">
        <f t="shared" si="41"/>
        <v>0</v>
      </c>
      <c r="Q80" s="35">
        <v>146</v>
      </c>
      <c r="R80" s="35">
        <f t="shared" si="42"/>
        <v>2.167317334748176</v>
      </c>
      <c r="S80" s="45">
        <v>3.29</v>
      </c>
      <c r="T80" s="45">
        <f t="shared" si="67"/>
        <v>0.51719589794997434</v>
      </c>
      <c r="U80" s="175">
        <f t="shared" si="43"/>
        <v>4.4054054054054053</v>
      </c>
      <c r="V80" s="48">
        <f t="shared" si="44"/>
        <v>0.73282827159698616</v>
      </c>
      <c r="W80" s="35">
        <v>3425.6694367497698</v>
      </c>
      <c r="X80" s="35">
        <f t="shared" si="45"/>
        <v>3.5347454529897258</v>
      </c>
      <c r="Y80" s="35">
        <v>9322.8685749461365</v>
      </c>
      <c r="Z80" s="35">
        <f t="shared" si="46"/>
        <v>3.9695495619878729</v>
      </c>
      <c r="AA80" s="37">
        <v>0</v>
      </c>
      <c r="AB80" s="37">
        <f t="shared" si="47"/>
        <v>0</v>
      </c>
      <c r="AC80" s="35">
        <v>85</v>
      </c>
      <c r="AD80" s="35">
        <f t="shared" si="68"/>
        <v>1.9294189257142926</v>
      </c>
      <c r="AE80" s="48">
        <v>32.9</v>
      </c>
      <c r="AF80" s="48">
        <f t="shared" si="69"/>
        <v>1.5171958979499742</v>
      </c>
      <c r="AG80" s="43">
        <v>35.433808146393098</v>
      </c>
      <c r="AH80" s="43">
        <f t="shared" si="70"/>
        <v>1.5494178293890581</v>
      </c>
      <c r="AI80" s="39">
        <v>0.11</v>
      </c>
      <c r="AJ80" s="48">
        <f t="shared" si="48"/>
        <v>4.5322978786657475E-2</v>
      </c>
      <c r="AK80" s="35">
        <v>18</v>
      </c>
      <c r="AL80" s="35">
        <f t="shared" si="71"/>
        <v>1.255272505103306</v>
      </c>
      <c r="AM80" s="35">
        <f t="shared" si="49"/>
        <v>0</v>
      </c>
      <c r="AN80" s="35">
        <f t="shared" si="50"/>
        <v>0</v>
      </c>
      <c r="AO80" s="35">
        <f t="shared" si="51"/>
        <v>1</v>
      </c>
      <c r="AP80" s="35">
        <f t="shared" si="52"/>
        <v>0</v>
      </c>
      <c r="AQ80" s="35">
        <f t="shared" si="53"/>
        <v>0</v>
      </c>
      <c r="AR80" s="35">
        <f t="shared" si="54"/>
        <v>0</v>
      </c>
      <c r="AS80" s="35">
        <f t="shared" si="55"/>
        <v>0</v>
      </c>
      <c r="AT80" s="35">
        <f t="shared" si="56"/>
        <v>0</v>
      </c>
      <c r="AU80" s="35">
        <f t="shared" si="57"/>
        <v>0</v>
      </c>
      <c r="AV80" s="35">
        <f t="shared" si="58"/>
        <v>0</v>
      </c>
      <c r="AW80" s="35">
        <f t="shared" si="59"/>
        <v>0</v>
      </c>
      <c r="AX80" s="35">
        <f t="shared" si="60"/>
        <v>0</v>
      </c>
      <c r="AY80" s="35">
        <f t="shared" si="61"/>
        <v>0</v>
      </c>
      <c r="AZ80" s="35">
        <f t="shared" si="62"/>
        <v>0</v>
      </c>
      <c r="BA80" s="35">
        <f t="shared" si="63"/>
        <v>0</v>
      </c>
      <c r="BB80" s="35">
        <f t="shared" si="64"/>
        <v>0</v>
      </c>
      <c r="BC80" s="35">
        <f t="shared" si="65"/>
        <v>0</v>
      </c>
    </row>
    <row r="81" spans="1:55" s="35" customFormat="1" x14ac:dyDescent="0.35">
      <c r="A81" s="36">
        <v>36889</v>
      </c>
      <c r="B81" s="35" t="s">
        <v>1014</v>
      </c>
      <c r="C81" s="35" t="s">
        <v>5</v>
      </c>
      <c r="D81" s="35" t="s">
        <v>45</v>
      </c>
      <c r="E81" s="35" t="s">
        <v>64</v>
      </c>
      <c r="F81" s="139">
        <f t="shared" si="37"/>
        <v>1</v>
      </c>
      <c r="G81" s="35">
        <v>74207250</v>
      </c>
      <c r="H81" s="139">
        <f t="shared" si="38"/>
        <v>7.8704463376399296</v>
      </c>
      <c r="I81" s="35">
        <f>G81</f>
        <v>74207250</v>
      </c>
      <c r="J81" s="35">
        <v>0</v>
      </c>
      <c r="K81" s="36">
        <v>38008</v>
      </c>
      <c r="L81" s="35">
        <v>146570304</v>
      </c>
      <c r="M81" s="21">
        <f t="shared" si="40"/>
        <v>3.0657534246575344</v>
      </c>
      <c r="N81" s="21">
        <f t="shared" si="66"/>
        <v>0.48653722207187539</v>
      </c>
      <c r="O81" s="35">
        <v>6188.89</v>
      </c>
      <c r="P81" s="35">
        <f t="shared" si="41"/>
        <v>3.7916829312790057</v>
      </c>
      <c r="Q81" s="35">
        <v>111</v>
      </c>
      <c r="R81" s="35">
        <f t="shared" si="42"/>
        <v>2.0492180226701815</v>
      </c>
      <c r="S81" s="45">
        <v>2.72</v>
      </c>
      <c r="T81" s="45">
        <f t="shared" si="67"/>
        <v>0.43456890403419873</v>
      </c>
      <c r="U81" s="175">
        <f t="shared" si="43"/>
        <v>0.97514803472706513</v>
      </c>
      <c r="V81" s="48">
        <f t="shared" si="44"/>
        <v>0.29559965097806595</v>
      </c>
      <c r="W81" s="35">
        <v>4192.5515477649324</v>
      </c>
      <c r="X81" s="35">
        <f t="shared" si="45"/>
        <v>3.6224784109972026</v>
      </c>
      <c r="Y81" s="35">
        <v>6098.886461718791</v>
      </c>
      <c r="Z81" s="35">
        <f t="shared" si="46"/>
        <v>3.7852505485064163</v>
      </c>
      <c r="AA81" s="37">
        <v>1084.3333333333301</v>
      </c>
      <c r="AB81" s="37">
        <f t="shared" si="47"/>
        <v>3.0355631414974997</v>
      </c>
      <c r="AC81" s="35">
        <v>70</v>
      </c>
      <c r="AD81" s="35">
        <f t="shared" si="68"/>
        <v>1.8450980400142569</v>
      </c>
      <c r="AE81" s="48">
        <v>36.9</v>
      </c>
      <c r="AF81" s="48">
        <f t="shared" si="69"/>
        <v>1.5670263661590604</v>
      </c>
      <c r="AG81" s="43">
        <v>42.177001683602199</v>
      </c>
      <c r="AH81" s="43">
        <f t="shared" si="70"/>
        <v>1.6250757029864513</v>
      </c>
      <c r="AI81" s="39">
        <v>0.26</v>
      </c>
      <c r="AJ81" s="48">
        <f t="shared" si="48"/>
        <v>0.10037054511756291</v>
      </c>
      <c r="AK81" s="35">
        <v>20</v>
      </c>
      <c r="AL81" s="35">
        <f t="shared" si="71"/>
        <v>1.3010299956639813</v>
      </c>
      <c r="AM81" s="35">
        <f t="shared" si="49"/>
        <v>0</v>
      </c>
      <c r="AN81" s="35">
        <f t="shared" si="50"/>
        <v>0</v>
      </c>
      <c r="AO81" s="35">
        <f t="shared" si="51"/>
        <v>0</v>
      </c>
      <c r="AP81" s="35">
        <f t="shared" si="52"/>
        <v>0</v>
      </c>
      <c r="AQ81" s="35">
        <f t="shared" si="53"/>
        <v>0</v>
      </c>
      <c r="AR81" s="35">
        <f t="shared" si="54"/>
        <v>0</v>
      </c>
      <c r="AS81" s="35">
        <f t="shared" si="55"/>
        <v>1</v>
      </c>
      <c r="AT81" s="35">
        <f t="shared" si="56"/>
        <v>0</v>
      </c>
      <c r="AU81" s="35">
        <f t="shared" si="57"/>
        <v>0</v>
      </c>
      <c r="AV81" s="35">
        <f t="shared" si="58"/>
        <v>0</v>
      </c>
      <c r="AW81" s="35">
        <f t="shared" si="59"/>
        <v>0</v>
      </c>
      <c r="AX81" s="35">
        <f t="shared" si="60"/>
        <v>0</v>
      </c>
      <c r="AY81" s="35">
        <f t="shared" si="61"/>
        <v>0</v>
      </c>
      <c r="AZ81" s="35">
        <f t="shared" si="62"/>
        <v>0</v>
      </c>
      <c r="BA81" s="35">
        <f t="shared" si="63"/>
        <v>0</v>
      </c>
      <c r="BB81" s="35">
        <f t="shared" si="64"/>
        <v>0</v>
      </c>
      <c r="BC81" s="35">
        <f t="shared" si="65"/>
        <v>0</v>
      </c>
    </row>
    <row r="82" spans="1:55" s="35" customFormat="1" x14ac:dyDescent="0.35">
      <c r="A82" s="36">
        <v>36890</v>
      </c>
      <c r="B82" s="139" t="s">
        <v>79</v>
      </c>
      <c r="C82" s="139" t="s">
        <v>59</v>
      </c>
      <c r="D82" s="139" t="s">
        <v>59</v>
      </c>
      <c r="E82" s="139" t="s">
        <v>47</v>
      </c>
      <c r="F82" s="139">
        <f t="shared" si="37"/>
        <v>0</v>
      </c>
      <c r="G82" s="139">
        <v>10000000</v>
      </c>
      <c r="H82" s="139">
        <f t="shared" si="38"/>
        <v>7</v>
      </c>
      <c r="I82" s="139">
        <v>10000000</v>
      </c>
      <c r="J82" s="139">
        <v>0</v>
      </c>
      <c r="K82" s="18">
        <v>38167</v>
      </c>
      <c r="L82" s="139">
        <v>43120332</v>
      </c>
      <c r="M82" s="21">
        <f t="shared" si="40"/>
        <v>3.4986301369863013</v>
      </c>
      <c r="N82" s="21">
        <f t="shared" si="66"/>
        <v>0.5438980328069406</v>
      </c>
      <c r="O82" s="35">
        <v>0</v>
      </c>
      <c r="P82" s="35">
        <f t="shared" si="41"/>
        <v>0</v>
      </c>
      <c r="Q82" s="35">
        <v>0</v>
      </c>
      <c r="R82" s="35">
        <f t="shared" si="42"/>
        <v>0</v>
      </c>
      <c r="S82" s="45">
        <v>3.29</v>
      </c>
      <c r="T82" s="45">
        <f t="shared" si="67"/>
        <v>0.51719589794997434</v>
      </c>
      <c r="U82" s="175">
        <f t="shared" si="43"/>
        <v>3.3120332000000001</v>
      </c>
      <c r="V82" s="48">
        <f t="shared" si="44"/>
        <v>0.63468209599159786</v>
      </c>
      <c r="W82" s="35">
        <v>2636.4234056541745</v>
      </c>
      <c r="X82" s="35">
        <f t="shared" si="45"/>
        <v>3.421015158567184</v>
      </c>
      <c r="Y82" s="35">
        <v>9500.3287310979595</v>
      </c>
      <c r="Z82" s="35">
        <f t="shared" si="46"/>
        <v>3.9777386330395683</v>
      </c>
      <c r="AA82" s="37">
        <v>0</v>
      </c>
      <c r="AB82" s="37">
        <f t="shared" si="47"/>
        <v>0</v>
      </c>
      <c r="AC82" s="35">
        <v>85</v>
      </c>
      <c r="AD82" s="35">
        <f t="shared" si="68"/>
        <v>1.9294189257142926</v>
      </c>
      <c r="AE82" s="48">
        <v>32.9</v>
      </c>
      <c r="AF82" s="48">
        <f t="shared" si="69"/>
        <v>1.5171958979499742</v>
      </c>
      <c r="AG82" s="43">
        <v>35.433808146393098</v>
      </c>
      <c r="AH82" s="43">
        <f t="shared" si="70"/>
        <v>1.5494178293890581</v>
      </c>
      <c r="AI82" s="39">
        <v>-0.04</v>
      </c>
      <c r="AJ82" s="48">
        <f t="shared" si="48"/>
        <v>-1.7728766960431602E-2</v>
      </c>
      <c r="AK82" s="35">
        <v>23</v>
      </c>
      <c r="AL82" s="35">
        <f t="shared" si="71"/>
        <v>1.3617278360175928</v>
      </c>
      <c r="AM82" s="35">
        <f t="shared" si="49"/>
        <v>0</v>
      </c>
      <c r="AN82" s="35">
        <f t="shared" si="50"/>
        <v>0</v>
      </c>
      <c r="AO82" s="35">
        <f t="shared" si="51"/>
        <v>1</v>
      </c>
      <c r="AP82" s="35">
        <f t="shared" si="52"/>
        <v>0</v>
      </c>
      <c r="AQ82" s="35">
        <f t="shared" si="53"/>
        <v>0</v>
      </c>
      <c r="AR82" s="35">
        <f t="shared" si="54"/>
        <v>0</v>
      </c>
      <c r="AS82" s="35">
        <f t="shared" si="55"/>
        <v>0</v>
      </c>
      <c r="AT82" s="35">
        <f t="shared" si="56"/>
        <v>0</v>
      </c>
      <c r="AU82" s="35">
        <f t="shared" si="57"/>
        <v>0</v>
      </c>
      <c r="AV82" s="35">
        <f t="shared" si="58"/>
        <v>0</v>
      </c>
      <c r="AW82" s="35">
        <f t="shared" si="59"/>
        <v>0</v>
      </c>
      <c r="AX82" s="35">
        <f t="shared" si="60"/>
        <v>0</v>
      </c>
      <c r="AY82" s="35">
        <f t="shared" si="61"/>
        <v>0</v>
      </c>
      <c r="AZ82" s="35">
        <f t="shared" si="62"/>
        <v>0</v>
      </c>
      <c r="BA82" s="35">
        <f t="shared" si="63"/>
        <v>0</v>
      </c>
      <c r="BB82" s="35">
        <f t="shared" si="64"/>
        <v>0</v>
      </c>
      <c r="BC82" s="35">
        <f t="shared" si="65"/>
        <v>0</v>
      </c>
    </row>
    <row r="83" spans="1:55" s="35" customFormat="1" x14ac:dyDescent="0.35">
      <c r="A83" s="36">
        <v>36891</v>
      </c>
      <c r="B83" s="35" t="s">
        <v>761</v>
      </c>
      <c r="C83" s="35" t="s">
        <v>163</v>
      </c>
      <c r="D83" s="35" t="s">
        <v>577</v>
      </c>
      <c r="E83" s="35" t="s">
        <v>64</v>
      </c>
      <c r="F83" s="139">
        <f t="shared" si="37"/>
        <v>1</v>
      </c>
      <c r="G83" s="35">
        <v>266804219</v>
      </c>
      <c r="H83" s="139">
        <f t="shared" si="38"/>
        <v>8.4261926928379598</v>
      </c>
      <c r="I83" s="35">
        <f t="shared" ref="I83:I94" si="72">G83</f>
        <v>266804219</v>
      </c>
      <c r="J83" s="35">
        <v>0</v>
      </c>
      <c r="K83" s="36">
        <v>38379</v>
      </c>
      <c r="L83" s="35">
        <v>453212477</v>
      </c>
      <c r="M83" s="21">
        <f t="shared" si="40"/>
        <v>4.0767123287671234</v>
      </c>
      <c r="N83" s="21">
        <f t="shared" si="66"/>
        <v>0.61031006675338517</v>
      </c>
      <c r="O83" s="35">
        <v>342.74</v>
      </c>
      <c r="P83" s="35">
        <f t="shared" si="41"/>
        <v>2.5362300726332561</v>
      </c>
      <c r="Q83" s="35">
        <v>40</v>
      </c>
      <c r="R83" s="35">
        <f t="shared" si="42"/>
        <v>1.6127838567197355</v>
      </c>
      <c r="S83" s="45">
        <v>2.3199999999999998</v>
      </c>
      <c r="T83" s="45">
        <f t="shared" si="67"/>
        <v>0.36548798489089962</v>
      </c>
      <c r="U83" s="175">
        <f t="shared" si="43"/>
        <v>0.69867057836892754</v>
      </c>
      <c r="V83" s="48">
        <f t="shared" si="44"/>
        <v>0.23010916470304998</v>
      </c>
      <c r="W83" s="35">
        <v>1801.108033240997</v>
      </c>
      <c r="X83" s="35">
        <f t="shared" si="45"/>
        <v>3.25553976325445</v>
      </c>
      <c r="Y83" s="35">
        <v>8416.6204986149605</v>
      </c>
      <c r="Z83" s="35">
        <f t="shared" si="46"/>
        <v>3.9251377454872847</v>
      </c>
      <c r="AA83" s="37">
        <v>569.16666666666697</v>
      </c>
      <c r="AB83" s="37">
        <f t="shared" si="47"/>
        <v>2.756001823801419</v>
      </c>
      <c r="AC83" s="35">
        <v>70</v>
      </c>
      <c r="AD83" s="35">
        <f t="shared" si="68"/>
        <v>1.8450980400142569</v>
      </c>
      <c r="AE83" s="48">
        <v>43.4</v>
      </c>
      <c r="AF83" s="48">
        <f t="shared" si="69"/>
        <v>1.6374897295125106</v>
      </c>
      <c r="AG83" s="43">
        <v>51.652289181886701</v>
      </c>
      <c r="AH83" s="43">
        <f t="shared" si="70"/>
        <v>1.7130895738136374</v>
      </c>
      <c r="AI83" s="39">
        <v>0.74</v>
      </c>
      <c r="AJ83" s="48">
        <f t="shared" si="48"/>
        <v>0.24054924828259971</v>
      </c>
      <c r="AK83" s="35">
        <v>24</v>
      </c>
      <c r="AL83" s="35">
        <f t="shared" si="71"/>
        <v>1.3802112417116059</v>
      </c>
      <c r="AM83" s="35">
        <f t="shared" si="49"/>
        <v>0</v>
      </c>
      <c r="AN83" s="35">
        <f t="shared" si="50"/>
        <v>0</v>
      </c>
      <c r="AO83" s="35">
        <f t="shared" si="51"/>
        <v>0</v>
      </c>
      <c r="AP83" s="35">
        <f t="shared" si="52"/>
        <v>0</v>
      </c>
      <c r="AQ83" s="35">
        <f t="shared" si="53"/>
        <v>0</v>
      </c>
      <c r="AR83" s="35">
        <f t="shared" si="54"/>
        <v>0</v>
      </c>
      <c r="AS83" s="35">
        <f t="shared" si="55"/>
        <v>0</v>
      </c>
      <c r="AT83" s="35">
        <f t="shared" si="56"/>
        <v>1</v>
      </c>
      <c r="AU83" s="35">
        <f t="shared" si="57"/>
        <v>0</v>
      </c>
      <c r="AV83" s="35">
        <f t="shared" si="58"/>
        <v>0</v>
      </c>
      <c r="AW83" s="35">
        <f t="shared" si="59"/>
        <v>0</v>
      </c>
      <c r="AX83" s="35">
        <f t="shared" si="60"/>
        <v>0</v>
      </c>
      <c r="AY83" s="35">
        <f t="shared" si="61"/>
        <v>0</v>
      </c>
      <c r="AZ83" s="35">
        <f t="shared" si="62"/>
        <v>0</v>
      </c>
      <c r="BA83" s="35">
        <f t="shared" si="63"/>
        <v>0</v>
      </c>
      <c r="BB83" s="35">
        <f t="shared" si="64"/>
        <v>0</v>
      </c>
      <c r="BC83" s="35">
        <f t="shared" si="65"/>
        <v>0</v>
      </c>
    </row>
    <row r="84" spans="1:55" s="35" customFormat="1" x14ac:dyDescent="0.35">
      <c r="A84" s="36">
        <v>36891</v>
      </c>
      <c r="B84" s="35" t="s">
        <v>896</v>
      </c>
      <c r="C84" s="35" t="s">
        <v>59</v>
      </c>
      <c r="D84" s="35" t="s">
        <v>59</v>
      </c>
      <c r="E84" s="35" t="s">
        <v>47</v>
      </c>
      <c r="F84" s="139">
        <f t="shared" si="37"/>
        <v>0</v>
      </c>
      <c r="G84" s="35">
        <v>23000000</v>
      </c>
      <c r="H84" s="139">
        <f t="shared" si="38"/>
        <v>7.3617278360175931</v>
      </c>
      <c r="I84" s="35">
        <f t="shared" si="72"/>
        <v>23000000</v>
      </c>
      <c r="J84" s="35">
        <v>0</v>
      </c>
      <c r="K84" s="36">
        <v>38460</v>
      </c>
      <c r="L84" s="35">
        <v>520000000</v>
      </c>
      <c r="M84" s="21">
        <f t="shared" si="40"/>
        <v>4.2986301369863016</v>
      </c>
      <c r="N84" s="21">
        <f t="shared" si="66"/>
        <v>0.63333007913046202</v>
      </c>
      <c r="O84" s="35">
        <v>0</v>
      </c>
      <c r="P84" s="35">
        <f t="shared" si="41"/>
        <v>0</v>
      </c>
      <c r="Q84" s="35">
        <v>136</v>
      </c>
      <c r="R84" s="35">
        <f t="shared" si="42"/>
        <v>2.1367205671564067</v>
      </c>
      <c r="S84" s="45">
        <v>3.29</v>
      </c>
      <c r="T84" s="45">
        <f t="shared" si="67"/>
        <v>0.51719589794997434</v>
      </c>
      <c r="U84" s="175">
        <f t="shared" si="43"/>
        <v>21.608695652173914</v>
      </c>
      <c r="V84" s="48">
        <f t="shared" si="44"/>
        <v>1.3542755076172064</v>
      </c>
      <c r="W84" s="35">
        <v>2417.5229853975125</v>
      </c>
      <c r="X84" s="35">
        <f t="shared" si="45"/>
        <v>3.3833706119727633</v>
      </c>
      <c r="Y84" s="35">
        <v>9545.7003785830148</v>
      </c>
      <c r="Z84" s="35">
        <f t="shared" si="46"/>
        <v>3.9798077985646683</v>
      </c>
      <c r="AA84" s="37">
        <v>0</v>
      </c>
      <c r="AB84" s="37">
        <f t="shared" si="47"/>
        <v>0</v>
      </c>
      <c r="AC84" s="35">
        <v>85</v>
      </c>
      <c r="AD84" s="35">
        <f t="shared" si="68"/>
        <v>1.9294189257142926</v>
      </c>
      <c r="AE84" s="48">
        <v>32.9</v>
      </c>
      <c r="AF84" s="48">
        <f t="shared" si="69"/>
        <v>1.5171958979499742</v>
      </c>
      <c r="AG84" s="43">
        <v>35.433808146393098</v>
      </c>
      <c r="AH84" s="43">
        <f t="shared" si="70"/>
        <v>1.5494178293890581</v>
      </c>
      <c r="AI84" s="39">
        <v>0.14000000000000001</v>
      </c>
      <c r="AJ84" s="48">
        <f t="shared" si="48"/>
        <v>5.6904851336472641E-2</v>
      </c>
      <c r="AK84" s="35">
        <v>15</v>
      </c>
      <c r="AL84" s="35">
        <f t="shared" si="71"/>
        <v>1.1760912590556813</v>
      </c>
      <c r="AM84" s="35">
        <f t="shared" si="49"/>
        <v>0</v>
      </c>
      <c r="AN84" s="35">
        <f t="shared" si="50"/>
        <v>0</v>
      </c>
      <c r="AO84" s="35">
        <f t="shared" si="51"/>
        <v>1</v>
      </c>
      <c r="AP84" s="35">
        <f t="shared" si="52"/>
        <v>0</v>
      </c>
      <c r="AQ84" s="35">
        <f t="shared" si="53"/>
        <v>0</v>
      </c>
      <c r="AR84" s="35">
        <f t="shared" si="54"/>
        <v>0</v>
      </c>
      <c r="AS84" s="35">
        <f t="shared" si="55"/>
        <v>0</v>
      </c>
      <c r="AT84" s="35">
        <f t="shared" si="56"/>
        <v>0</v>
      </c>
      <c r="AU84" s="35">
        <f t="shared" si="57"/>
        <v>0</v>
      </c>
      <c r="AV84" s="35">
        <f t="shared" si="58"/>
        <v>0</v>
      </c>
      <c r="AW84" s="35">
        <f t="shared" si="59"/>
        <v>0</v>
      </c>
      <c r="AX84" s="35">
        <f t="shared" si="60"/>
        <v>0</v>
      </c>
      <c r="AY84" s="35">
        <f t="shared" si="61"/>
        <v>0</v>
      </c>
      <c r="AZ84" s="35">
        <f t="shared" si="62"/>
        <v>0</v>
      </c>
      <c r="BA84" s="35">
        <f t="shared" si="63"/>
        <v>0</v>
      </c>
      <c r="BB84" s="35">
        <f t="shared" si="64"/>
        <v>0</v>
      </c>
      <c r="BC84" s="35">
        <f t="shared" si="65"/>
        <v>0</v>
      </c>
    </row>
    <row r="85" spans="1:55" s="35" customFormat="1" x14ac:dyDescent="0.35">
      <c r="A85" s="36">
        <v>36913</v>
      </c>
      <c r="B85" s="35" t="s">
        <v>1140</v>
      </c>
      <c r="C85" s="35" t="s">
        <v>59</v>
      </c>
      <c r="D85" s="35" t="s">
        <v>577</v>
      </c>
      <c r="E85" s="35" t="s">
        <v>47</v>
      </c>
      <c r="F85" s="139">
        <f t="shared" si="37"/>
        <v>0</v>
      </c>
      <c r="G85" s="35">
        <v>111000000</v>
      </c>
      <c r="H85" s="139">
        <f t="shared" si="38"/>
        <v>8.0453229787866576</v>
      </c>
      <c r="I85" s="35">
        <f t="shared" si="72"/>
        <v>111000000</v>
      </c>
      <c r="J85" s="35">
        <v>0</v>
      </c>
      <c r="K85" s="36">
        <v>39393</v>
      </c>
      <c r="L85" s="35">
        <v>600000000</v>
      </c>
      <c r="M85" s="21">
        <f t="shared" si="40"/>
        <v>6.7945205479452051</v>
      </c>
      <c r="N85" s="21">
        <f t="shared" si="66"/>
        <v>0.83215881636974154</v>
      </c>
      <c r="O85" s="35">
        <v>0</v>
      </c>
      <c r="P85" s="35">
        <f t="shared" si="41"/>
        <v>0</v>
      </c>
      <c r="Q85" s="35">
        <v>12</v>
      </c>
      <c r="R85" s="35">
        <f t="shared" si="42"/>
        <v>1.1139433523068367</v>
      </c>
      <c r="S85" s="45">
        <v>3.29</v>
      </c>
      <c r="T85" s="45">
        <f t="shared" si="67"/>
        <v>0.51719589794997434</v>
      </c>
      <c r="U85" s="175">
        <f t="shared" si="43"/>
        <v>4.4054054054054053</v>
      </c>
      <c r="V85" s="48">
        <f t="shared" si="44"/>
        <v>0.73282827159698616</v>
      </c>
      <c r="W85" s="35">
        <v>1801.1079999999999</v>
      </c>
      <c r="X85" s="35">
        <f t="shared" si="45"/>
        <v>3.2555397552391718</v>
      </c>
      <c r="Y85" s="35">
        <v>8416.6209999999992</v>
      </c>
      <c r="Z85" s="35">
        <f t="shared" si="46"/>
        <v>3.9251377713585649</v>
      </c>
      <c r="AA85" s="37">
        <v>0</v>
      </c>
      <c r="AB85" s="37">
        <f t="shared" si="47"/>
        <v>0</v>
      </c>
      <c r="AC85" s="35">
        <v>85</v>
      </c>
      <c r="AD85" s="35">
        <f t="shared" si="68"/>
        <v>1.9294189257142926</v>
      </c>
      <c r="AE85" s="48">
        <v>32.6</v>
      </c>
      <c r="AF85" s="48">
        <f t="shared" si="69"/>
        <v>1.5132176000679389</v>
      </c>
      <c r="AG85" s="43">
        <v>36.544739309553499</v>
      </c>
      <c r="AH85" s="43">
        <f t="shared" si="70"/>
        <v>1.5628248682086028</v>
      </c>
      <c r="AI85" s="39">
        <v>0.84</v>
      </c>
      <c r="AJ85" s="48">
        <f t="shared" si="48"/>
        <v>0.26481782300953643</v>
      </c>
      <c r="AK85" s="35">
        <v>16</v>
      </c>
      <c r="AL85" s="35">
        <f t="shared" si="71"/>
        <v>1.2041199826559248</v>
      </c>
      <c r="AM85" s="35">
        <f t="shared" si="49"/>
        <v>0</v>
      </c>
      <c r="AN85" s="35">
        <f t="shared" si="50"/>
        <v>0</v>
      </c>
      <c r="AO85" s="35">
        <f t="shared" si="51"/>
        <v>1</v>
      </c>
      <c r="AP85" s="35">
        <f t="shared" si="52"/>
        <v>0</v>
      </c>
      <c r="AQ85" s="35">
        <f t="shared" si="53"/>
        <v>0</v>
      </c>
      <c r="AR85" s="35">
        <f t="shared" si="54"/>
        <v>0</v>
      </c>
      <c r="AS85" s="35">
        <f t="shared" si="55"/>
        <v>0</v>
      </c>
      <c r="AT85" s="35">
        <f t="shared" si="56"/>
        <v>0</v>
      </c>
      <c r="AU85" s="35">
        <f t="shared" si="57"/>
        <v>0</v>
      </c>
      <c r="AV85" s="35">
        <f t="shared" si="58"/>
        <v>0</v>
      </c>
      <c r="AW85" s="35">
        <f t="shared" si="59"/>
        <v>0</v>
      </c>
      <c r="AX85" s="35">
        <f t="shared" si="60"/>
        <v>0</v>
      </c>
      <c r="AY85" s="35">
        <f t="shared" si="61"/>
        <v>0</v>
      </c>
      <c r="AZ85" s="35">
        <f t="shared" si="62"/>
        <v>0</v>
      </c>
      <c r="BA85" s="35">
        <f t="shared" si="63"/>
        <v>0</v>
      </c>
      <c r="BB85" s="35">
        <f t="shared" si="64"/>
        <v>0</v>
      </c>
      <c r="BC85" s="35">
        <f t="shared" si="65"/>
        <v>0</v>
      </c>
    </row>
    <row r="86" spans="1:55" s="35" customFormat="1" x14ac:dyDescent="0.35">
      <c r="A86" s="36">
        <v>36950</v>
      </c>
      <c r="B86" s="35" t="s">
        <v>862</v>
      </c>
      <c r="C86" s="35" t="s">
        <v>45</v>
      </c>
      <c r="D86" s="35" t="s">
        <v>497</v>
      </c>
      <c r="E86" s="35" t="s">
        <v>64</v>
      </c>
      <c r="F86" s="139">
        <f t="shared" si="37"/>
        <v>1</v>
      </c>
      <c r="G86" s="35">
        <v>1372000000</v>
      </c>
      <c r="H86" s="139">
        <f t="shared" si="38"/>
        <v>9.1373541113707333</v>
      </c>
      <c r="I86" s="35">
        <f t="shared" si="72"/>
        <v>1372000000</v>
      </c>
      <c r="J86" s="35">
        <v>0</v>
      </c>
      <c r="K86" s="36">
        <v>38141</v>
      </c>
      <c r="L86" s="35">
        <v>1840000000</v>
      </c>
      <c r="M86" s="21">
        <f t="shared" si="40"/>
        <v>3.2630136986301368</v>
      </c>
      <c r="N86" s="21">
        <f t="shared" si="66"/>
        <v>0.51361889702630281</v>
      </c>
      <c r="O86" s="35">
        <v>5441.73</v>
      </c>
      <c r="P86" s="35">
        <f t="shared" si="41"/>
        <v>3.7358167906061537</v>
      </c>
      <c r="Q86" s="35">
        <v>1</v>
      </c>
      <c r="R86" s="35">
        <f t="shared" si="42"/>
        <v>0.3010299956639812</v>
      </c>
      <c r="S86" s="45">
        <v>2.81</v>
      </c>
      <c r="T86" s="45">
        <f t="shared" si="67"/>
        <v>0.44870631990507992</v>
      </c>
      <c r="U86" s="175">
        <f t="shared" si="43"/>
        <v>0.34110787172011658</v>
      </c>
      <c r="V86" s="48">
        <f t="shared" si="44"/>
        <v>0.12746371163880357</v>
      </c>
      <c r="W86" s="35">
        <v>2445.7102171591318</v>
      </c>
      <c r="X86" s="35">
        <f t="shared" si="45"/>
        <v>3.3884049978579722</v>
      </c>
      <c r="Y86" s="35">
        <v>7210.2229667110805</v>
      </c>
      <c r="Z86" s="35">
        <f t="shared" si="46"/>
        <v>3.8579486949156889</v>
      </c>
      <c r="AA86" s="37">
        <v>125.833333333333</v>
      </c>
      <c r="AB86" s="37">
        <f t="shared" si="47"/>
        <v>2.103233406386928</v>
      </c>
      <c r="AC86" s="35">
        <v>85</v>
      </c>
      <c r="AD86" s="35">
        <f t="shared" si="68"/>
        <v>1.9294189257142926</v>
      </c>
      <c r="AE86" s="48">
        <v>27.2</v>
      </c>
      <c r="AF86" s="48">
        <f t="shared" si="69"/>
        <v>1.4345689040341987</v>
      </c>
      <c r="AG86" s="43">
        <v>35.608384832026097</v>
      </c>
      <c r="AH86" s="43">
        <f t="shared" si="70"/>
        <v>1.5515522748692276</v>
      </c>
      <c r="AI86" s="39">
        <v>0.36</v>
      </c>
      <c r="AJ86" s="48">
        <f t="shared" si="48"/>
        <v>0.13353890837021748</v>
      </c>
      <c r="AK86" s="35">
        <v>12</v>
      </c>
      <c r="AL86" s="35">
        <f t="shared" si="71"/>
        <v>1.0791812460476249</v>
      </c>
      <c r="AM86" s="35">
        <f t="shared" si="49"/>
        <v>0</v>
      </c>
      <c r="AN86" s="35">
        <f t="shared" si="50"/>
        <v>1</v>
      </c>
      <c r="AO86" s="35">
        <f t="shared" si="51"/>
        <v>0</v>
      </c>
      <c r="AP86" s="35">
        <f t="shared" si="52"/>
        <v>0</v>
      </c>
      <c r="AQ86" s="35">
        <f t="shared" si="53"/>
        <v>0</v>
      </c>
      <c r="AR86" s="35">
        <f t="shared" si="54"/>
        <v>0</v>
      </c>
      <c r="AS86" s="35">
        <f t="shared" si="55"/>
        <v>0</v>
      </c>
      <c r="AT86" s="35">
        <f t="shared" si="56"/>
        <v>0</v>
      </c>
      <c r="AU86" s="35">
        <f t="shared" si="57"/>
        <v>0</v>
      </c>
      <c r="AV86" s="35">
        <f t="shared" si="58"/>
        <v>0</v>
      </c>
      <c r="AW86" s="35">
        <f t="shared" si="59"/>
        <v>0</v>
      </c>
      <c r="AX86" s="35">
        <f t="shared" si="60"/>
        <v>0</v>
      </c>
      <c r="AY86" s="35">
        <f t="shared" si="61"/>
        <v>0</v>
      </c>
      <c r="AZ86" s="35">
        <f t="shared" si="62"/>
        <v>0</v>
      </c>
      <c r="BA86" s="35">
        <f t="shared" si="63"/>
        <v>0</v>
      </c>
      <c r="BB86" s="35">
        <f t="shared" si="64"/>
        <v>0</v>
      </c>
      <c r="BC86" s="35">
        <f t="shared" si="65"/>
        <v>0</v>
      </c>
    </row>
    <row r="87" spans="1:55" s="35" customFormat="1" x14ac:dyDescent="0.35">
      <c r="A87" s="36">
        <v>36971</v>
      </c>
      <c r="B87" s="35" t="s">
        <v>422</v>
      </c>
      <c r="C87" s="35" t="s">
        <v>419</v>
      </c>
      <c r="D87" s="35" t="s">
        <v>4</v>
      </c>
      <c r="E87" s="35" t="s">
        <v>125</v>
      </c>
      <c r="F87" s="139">
        <f t="shared" si="37"/>
        <v>1</v>
      </c>
      <c r="G87" s="35">
        <v>16818793</v>
      </c>
      <c r="H87" s="139">
        <f t="shared" si="38"/>
        <v>7.2257948254542494</v>
      </c>
      <c r="I87" s="35">
        <f t="shared" si="72"/>
        <v>16818793</v>
      </c>
      <c r="J87" s="35">
        <v>0</v>
      </c>
      <c r="K87" s="36">
        <v>39355</v>
      </c>
      <c r="L87" s="35">
        <v>133000000</v>
      </c>
      <c r="M87" s="21">
        <f t="shared" si="40"/>
        <v>6.5315068493150683</v>
      </c>
      <c r="N87" s="21">
        <f t="shared" si="66"/>
        <v>0.81501338661172407</v>
      </c>
      <c r="O87" s="35">
        <v>395.92</v>
      </c>
      <c r="P87" s="35">
        <f t="shared" si="41"/>
        <v>2.5987029826834349</v>
      </c>
      <c r="Q87" s="35">
        <v>16</v>
      </c>
      <c r="R87" s="35">
        <f t="shared" si="42"/>
        <v>1.2304489213782739</v>
      </c>
      <c r="S87" s="45">
        <v>3.35</v>
      </c>
      <c r="T87" s="45">
        <f t="shared" si="67"/>
        <v>0.5250448070368452</v>
      </c>
      <c r="U87" s="175">
        <f t="shared" si="43"/>
        <v>6.9078207336281503</v>
      </c>
      <c r="V87" s="48">
        <f t="shared" si="44"/>
        <v>0.89805681551283612</v>
      </c>
      <c r="W87" s="35">
        <v>1630.2786555587475</v>
      </c>
      <c r="X87" s="35">
        <f t="shared" si="45"/>
        <v>3.212261842580872</v>
      </c>
      <c r="Y87" s="35">
        <v>8569.3766159149673</v>
      </c>
      <c r="Z87" s="35">
        <f t="shared" si="46"/>
        <v>3.9329492300777744</v>
      </c>
      <c r="AA87" s="37">
        <v>345.83333333333297</v>
      </c>
      <c r="AB87" s="37">
        <f t="shared" si="47"/>
        <v>2.5401208298279827</v>
      </c>
      <c r="AC87" s="35">
        <v>70</v>
      </c>
      <c r="AD87" s="35">
        <f t="shared" si="68"/>
        <v>1.8450980400142569</v>
      </c>
      <c r="AE87" s="48">
        <v>43.2</v>
      </c>
      <c r="AF87" s="48">
        <f t="shared" si="69"/>
        <v>1.6354837468149122</v>
      </c>
      <c r="AG87" s="43">
        <v>47.338285896273099</v>
      </c>
      <c r="AH87" s="43">
        <f t="shared" si="70"/>
        <v>1.6752125282177461</v>
      </c>
      <c r="AI87" s="39">
        <v>-0.02</v>
      </c>
      <c r="AJ87" s="48">
        <f t="shared" si="48"/>
        <v>-8.7739243075051505E-3</v>
      </c>
      <c r="AK87" s="35">
        <v>0</v>
      </c>
      <c r="AL87" s="35">
        <f t="shared" si="71"/>
        <v>0</v>
      </c>
      <c r="AM87" s="35">
        <f t="shared" si="49"/>
        <v>0</v>
      </c>
      <c r="AN87" s="35">
        <f t="shared" si="50"/>
        <v>0</v>
      </c>
      <c r="AO87" s="35">
        <f t="shared" si="51"/>
        <v>0</v>
      </c>
      <c r="AP87" s="35">
        <f t="shared" si="52"/>
        <v>0</v>
      </c>
      <c r="AQ87" s="35">
        <f t="shared" si="53"/>
        <v>0</v>
      </c>
      <c r="AR87" s="35">
        <f t="shared" si="54"/>
        <v>0</v>
      </c>
      <c r="AS87" s="35">
        <f t="shared" si="55"/>
        <v>0</v>
      </c>
      <c r="AT87" s="35">
        <f t="shared" si="56"/>
        <v>0</v>
      </c>
      <c r="AU87" s="35">
        <f t="shared" si="57"/>
        <v>0</v>
      </c>
      <c r="AV87" s="35">
        <f t="shared" si="58"/>
        <v>0</v>
      </c>
      <c r="AW87" s="35">
        <f t="shared" si="59"/>
        <v>0</v>
      </c>
      <c r="AX87" s="35">
        <f t="shared" si="60"/>
        <v>0</v>
      </c>
      <c r="AY87" s="35">
        <f t="shared" si="61"/>
        <v>0</v>
      </c>
      <c r="AZ87" s="35">
        <f t="shared" si="62"/>
        <v>0</v>
      </c>
      <c r="BA87" s="35">
        <f t="shared" si="63"/>
        <v>0</v>
      </c>
      <c r="BB87" s="35">
        <f t="shared" si="64"/>
        <v>0</v>
      </c>
      <c r="BC87" s="35">
        <f t="shared" si="65"/>
        <v>1</v>
      </c>
    </row>
    <row r="88" spans="1:55" s="35" customFormat="1" x14ac:dyDescent="0.35">
      <c r="A88" s="36">
        <v>36981</v>
      </c>
      <c r="B88" s="35" t="s">
        <v>860</v>
      </c>
      <c r="C88" s="35" t="s">
        <v>59</v>
      </c>
      <c r="D88" s="35" t="s">
        <v>497</v>
      </c>
      <c r="E88" s="35" t="s">
        <v>64</v>
      </c>
      <c r="F88" s="139">
        <f t="shared" si="37"/>
        <v>1</v>
      </c>
      <c r="G88" s="35">
        <v>68000000</v>
      </c>
      <c r="H88" s="139">
        <f t="shared" si="38"/>
        <v>7.8325089127062366</v>
      </c>
      <c r="I88" s="35">
        <f t="shared" si="72"/>
        <v>68000000</v>
      </c>
      <c r="J88" s="35">
        <v>0</v>
      </c>
      <c r="K88" s="36">
        <v>37959</v>
      </c>
      <c r="L88" s="35">
        <v>406650000</v>
      </c>
      <c r="M88" s="21">
        <f t="shared" si="40"/>
        <v>2.6794520547945204</v>
      </c>
      <c r="N88" s="21">
        <f t="shared" si="66"/>
        <v>0.42804599033112672</v>
      </c>
      <c r="O88" s="35">
        <v>463.97</v>
      </c>
      <c r="P88" s="35">
        <f t="shared" si="41"/>
        <v>2.6674249329872439</v>
      </c>
      <c r="Q88" s="35">
        <v>14</v>
      </c>
      <c r="R88" s="35">
        <f t="shared" si="42"/>
        <v>1.1760912590556813</v>
      </c>
      <c r="S88" s="45">
        <v>2.81</v>
      </c>
      <c r="T88" s="45">
        <f t="shared" si="67"/>
        <v>0.44870631990507992</v>
      </c>
      <c r="U88" s="175">
        <f t="shared" si="43"/>
        <v>4.9801470588235297</v>
      </c>
      <c r="V88" s="48">
        <f t="shared" si="44"/>
        <v>0.77671186392993052</v>
      </c>
      <c r="W88" s="35">
        <v>2445.7102171591318</v>
      </c>
      <c r="X88" s="35">
        <f t="shared" si="45"/>
        <v>3.3884049978579722</v>
      </c>
      <c r="Y88" s="35">
        <v>7210.2229667110805</v>
      </c>
      <c r="Z88" s="35">
        <f t="shared" si="46"/>
        <v>3.8579486949156889</v>
      </c>
      <c r="AA88" s="37">
        <v>193.166666666667</v>
      </c>
      <c r="AB88" s="37">
        <f t="shared" si="47"/>
        <v>2.2881746749783951</v>
      </c>
      <c r="AC88" s="35">
        <v>85</v>
      </c>
      <c r="AD88" s="35">
        <f t="shared" si="68"/>
        <v>1.9294189257142926</v>
      </c>
      <c r="AE88" s="48">
        <v>32.6</v>
      </c>
      <c r="AF88" s="48">
        <f t="shared" si="69"/>
        <v>1.5132176000679389</v>
      </c>
      <c r="AG88" s="43">
        <v>36.544739309553499</v>
      </c>
      <c r="AH88" s="43">
        <f t="shared" si="70"/>
        <v>1.5628248682086028</v>
      </c>
      <c r="AI88" s="39">
        <v>1.41</v>
      </c>
      <c r="AJ88" s="48">
        <f t="shared" si="48"/>
        <v>0.3820170425748684</v>
      </c>
      <c r="AK88" s="35">
        <v>0</v>
      </c>
      <c r="AL88" s="35">
        <f t="shared" si="71"/>
        <v>0</v>
      </c>
      <c r="AM88" s="35">
        <f t="shared" si="49"/>
        <v>0</v>
      </c>
      <c r="AN88" s="35">
        <f t="shared" si="50"/>
        <v>0</v>
      </c>
      <c r="AO88" s="35">
        <f t="shared" si="51"/>
        <v>1</v>
      </c>
      <c r="AP88" s="35">
        <f t="shared" si="52"/>
        <v>0</v>
      </c>
      <c r="AQ88" s="35">
        <f t="shared" si="53"/>
        <v>0</v>
      </c>
      <c r="AR88" s="35">
        <f t="shared" si="54"/>
        <v>0</v>
      </c>
      <c r="AS88" s="35">
        <f t="shared" si="55"/>
        <v>0</v>
      </c>
      <c r="AT88" s="35">
        <f t="shared" si="56"/>
        <v>0</v>
      </c>
      <c r="AU88" s="35">
        <f t="shared" si="57"/>
        <v>0</v>
      </c>
      <c r="AV88" s="35">
        <f t="shared" si="58"/>
        <v>0</v>
      </c>
      <c r="AW88" s="35">
        <f t="shared" si="59"/>
        <v>0</v>
      </c>
      <c r="AX88" s="35">
        <f t="shared" si="60"/>
        <v>0</v>
      </c>
      <c r="AY88" s="35">
        <f t="shared" si="61"/>
        <v>0</v>
      </c>
      <c r="AZ88" s="35">
        <f t="shared" si="62"/>
        <v>0</v>
      </c>
      <c r="BA88" s="35">
        <f t="shared" si="63"/>
        <v>0</v>
      </c>
      <c r="BB88" s="35">
        <f t="shared" si="64"/>
        <v>0</v>
      </c>
      <c r="BC88" s="35">
        <f t="shared" si="65"/>
        <v>0</v>
      </c>
    </row>
    <row r="89" spans="1:55" s="35" customFormat="1" x14ac:dyDescent="0.35">
      <c r="A89" s="36">
        <v>36991</v>
      </c>
      <c r="B89" s="35" t="s">
        <v>1284</v>
      </c>
      <c r="C89" s="35" t="s">
        <v>45</v>
      </c>
      <c r="D89" s="35" t="s">
        <v>602</v>
      </c>
      <c r="E89" s="35" t="s">
        <v>47</v>
      </c>
      <c r="F89" s="139">
        <f t="shared" si="37"/>
        <v>0</v>
      </c>
      <c r="G89" s="35">
        <v>275000000</v>
      </c>
      <c r="H89" s="139">
        <f t="shared" si="38"/>
        <v>8.4393326938302629</v>
      </c>
      <c r="I89" s="35">
        <f t="shared" si="72"/>
        <v>275000000</v>
      </c>
      <c r="J89" s="35">
        <v>0</v>
      </c>
      <c r="K89" s="36">
        <v>38567</v>
      </c>
      <c r="L89" s="35">
        <v>0</v>
      </c>
      <c r="M89" s="21">
        <f t="shared" si="40"/>
        <v>4.3178082191780822</v>
      </c>
      <c r="N89" s="21">
        <f t="shared" si="66"/>
        <v>0.6352633486970618</v>
      </c>
      <c r="O89" s="35">
        <v>0</v>
      </c>
      <c r="P89" s="35">
        <f t="shared" si="41"/>
        <v>0</v>
      </c>
      <c r="Q89" s="35">
        <v>2</v>
      </c>
      <c r="R89" s="35">
        <f t="shared" si="42"/>
        <v>0.47712125471966244</v>
      </c>
      <c r="S89" s="45">
        <v>2.95</v>
      </c>
      <c r="T89" s="45">
        <f t="shared" si="67"/>
        <v>0.46982201597816303</v>
      </c>
      <c r="U89" s="175">
        <f t="shared" si="43"/>
        <v>-1</v>
      </c>
      <c r="V89" s="48">
        <f t="shared" si="44"/>
        <v>-1</v>
      </c>
      <c r="W89" s="35">
        <v>1246.953</v>
      </c>
      <c r="X89" s="35">
        <f t="shared" si="45"/>
        <v>3.0958500844125241</v>
      </c>
      <c r="Y89" s="35">
        <v>3219.7179999999998</v>
      </c>
      <c r="Z89" s="35">
        <f t="shared" si="46"/>
        <v>3.5078178355445662</v>
      </c>
      <c r="AA89" s="35">
        <v>0</v>
      </c>
      <c r="AB89" s="37">
        <f t="shared" si="47"/>
        <v>0</v>
      </c>
      <c r="AC89" s="35">
        <v>85</v>
      </c>
      <c r="AD89" s="35">
        <f t="shared" si="68"/>
        <v>1.9294189257142926</v>
      </c>
      <c r="AE89" s="48">
        <v>27.2</v>
      </c>
      <c r="AF89" s="48">
        <f t="shared" si="69"/>
        <v>1.4345689040341987</v>
      </c>
      <c r="AG89" s="43">
        <v>35.608384832026097</v>
      </c>
      <c r="AH89" s="43">
        <f t="shared" si="70"/>
        <v>1.5515522748692276</v>
      </c>
      <c r="AI89" s="39">
        <v>1.1100000000000001</v>
      </c>
      <c r="AJ89" s="48">
        <f t="shared" si="48"/>
        <v>0.32428245529769273</v>
      </c>
      <c r="AK89" s="35">
        <v>6</v>
      </c>
      <c r="AL89" s="35">
        <f t="shared" si="71"/>
        <v>0.77815125038364363</v>
      </c>
      <c r="AM89" s="35">
        <f t="shared" si="49"/>
        <v>1</v>
      </c>
      <c r="AN89" s="35">
        <f t="shared" si="50"/>
        <v>1</v>
      </c>
      <c r="AO89" s="35">
        <f t="shared" si="51"/>
        <v>0</v>
      </c>
      <c r="AP89" s="35">
        <f t="shared" si="52"/>
        <v>0</v>
      </c>
      <c r="AQ89" s="35">
        <f t="shared" si="53"/>
        <v>0</v>
      </c>
      <c r="AR89" s="35">
        <f t="shared" si="54"/>
        <v>0</v>
      </c>
      <c r="AS89" s="35">
        <f t="shared" si="55"/>
        <v>0</v>
      </c>
      <c r="AT89" s="35">
        <f t="shared" si="56"/>
        <v>0</v>
      </c>
      <c r="AU89" s="35">
        <f t="shared" si="57"/>
        <v>0</v>
      </c>
      <c r="AV89" s="35">
        <f t="shared" si="58"/>
        <v>0</v>
      </c>
      <c r="AW89" s="35">
        <f t="shared" si="59"/>
        <v>0</v>
      </c>
      <c r="AX89" s="35">
        <f t="shared" si="60"/>
        <v>0</v>
      </c>
      <c r="AY89" s="35">
        <f t="shared" si="61"/>
        <v>0</v>
      </c>
      <c r="AZ89" s="35">
        <f t="shared" si="62"/>
        <v>0</v>
      </c>
      <c r="BA89" s="35">
        <f t="shared" si="63"/>
        <v>0</v>
      </c>
      <c r="BB89" s="35">
        <f t="shared" si="64"/>
        <v>0</v>
      </c>
      <c r="BC89" s="35">
        <f t="shared" si="65"/>
        <v>0</v>
      </c>
    </row>
    <row r="90" spans="1:55" s="35" customFormat="1" x14ac:dyDescent="0.35">
      <c r="A90" s="36">
        <v>37026</v>
      </c>
      <c r="B90" s="35" t="s">
        <v>530</v>
      </c>
      <c r="C90" s="35" t="s">
        <v>163</v>
      </c>
      <c r="D90" s="35" t="s">
        <v>59</v>
      </c>
      <c r="E90" s="35" t="s">
        <v>125</v>
      </c>
      <c r="F90" s="139">
        <f t="shared" si="37"/>
        <v>1</v>
      </c>
      <c r="G90" s="35">
        <v>756000000</v>
      </c>
      <c r="H90" s="139">
        <f t="shared" si="38"/>
        <v>8.8785217955012072</v>
      </c>
      <c r="I90" s="35">
        <f t="shared" si="72"/>
        <v>756000000</v>
      </c>
      <c r="J90" s="35">
        <v>0</v>
      </c>
      <c r="K90" s="36">
        <v>39082</v>
      </c>
      <c r="L90" s="35">
        <v>1100000000</v>
      </c>
      <c r="M90" s="21">
        <f t="shared" si="40"/>
        <v>5.6328767123287671</v>
      </c>
      <c r="N90" s="21">
        <f t="shared" si="66"/>
        <v>0.7507302458667634</v>
      </c>
      <c r="O90" s="35">
        <v>342.74</v>
      </c>
      <c r="P90" s="35">
        <f t="shared" si="41"/>
        <v>2.5362300726332561</v>
      </c>
      <c r="Q90" s="35">
        <v>12</v>
      </c>
      <c r="R90" s="35">
        <f t="shared" si="42"/>
        <v>1.1139433523068367</v>
      </c>
      <c r="S90" s="45">
        <v>2.3199999999999998</v>
      </c>
      <c r="T90" s="45">
        <f t="shared" si="67"/>
        <v>0.36548798489089962</v>
      </c>
      <c r="U90" s="175">
        <f t="shared" si="43"/>
        <v>0.45502645502645511</v>
      </c>
      <c r="V90" s="48">
        <f t="shared" si="44"/>
        <v>0.16287088965701854</v>
      </c>
      <c r="W90" s="35">
        <v>2144.9704142011828</v>
      </c>
      <c r="X90" s="35">
        <f t="shared" si="45"/>
        <v>3.3314213062933389</v>
      </c>
      <c r="Y90" s="35">
        <v>7670.1183431952677</v>
      </c>
      <c r="Z90" s="35">
        <f t="shared" si="46"/>
        <v>3.884802064783424</v>
      </c>
      <c r="AA90" s="37">
        <v>569.16666666666697</v>
      </c>
      <c r="AB90" s="37">
        <f t="shared" si="47"/>
        <v>2.756001823801419</v>
      </c>
      <c r="AC90" s="35">
        <v>70</v>
      </c>
      <c r="AD90" s="35">
        <f t="shared" si="68"/>
        <v>1.8450980400142569</v>
      </c>
      <c r="AE90" s="48">
        <v>43.1</v>
      </c>
      <c r="AF90" s="48">
        <f t="shared" si="69"/>
        <v>1.6344772701607315</v>
      </c>
      <c r="AG90" s="43">
        <v>51.718307112209096</v>
      </c>
      <c r="AH90" s="43">
        <f t="shared" si="70"/>
        <v>1.7136443007431839</v>
      </c>
      <c r="AI90" s="39">
        <v>-0.18</v>
      </c>
      <c r="AJ90" s="48">
        <f t="shared" si="48"/>
        <v>-8.6186147616283279E-2</v>
      </c>
      <c r="AK90" s="35">
        <v>55</v>
      </c>
      <c r="AL90" s="35">
        <f t="shared" si="71"/>
        <v>1.7403626894942439</v>
      </c>
      <c r="AM90" s="35">
        <f t="shared" si="49"/>
        <v>0</v>
      </c>
      <c r="AN90" s="35">
        <f t="shared" si="50"/>
        <v>0</v>
      </c>
      <c r="AO90" s="35">
        <f t="shared" si="51"/>
        <v>0</v>
      </c>
      <c r="AP90" s="35">
        <f t="shared" si="52"/>
        <v>0</v>
      </c>
      <c r="AQ90" s="35">
        <f t="shared" si="53"/>
        <v>0</v>
      </c>
      <c r="AR90" s="35">
        <f t="shared" si="54"/>
        <v>0</v>
      </c>
      <c r="AS90" s="35">
        <f t="shared" si="55"/>
        <v>0</v>
      </c>
      <c r="AT90" s="35">
        <f t="shared" si="56"/>
        <v>1</v>
      </c>
      <c r="AU90" s="35">
        <f t="shared" si="57"/>
        <v>0</v>
      </c>
      <c r="AV90" s="35">
        <f t="shared" si="58"/>
        <v>0</v>
      </c>
      <c r="AW90" s="35">
        <f t="shared" si="59"/>
        <v>0</v>
      </c>
      <c r="AX90" s="35">
        <f t="shared" si="60"/>
        <v>0</v>
      </c>
      <c r="AY90" s="35">
        <f t="shared" si="61"/>
        <v>0</v>
      </c>
      <c r="AZ90" s="35">
        <f t="shared" si="62"/>
        <v>0</v>
      </c>
      <c r="BA90" s="35">
        <f t="shared" si="63"/>
        <v>0</v>
      </c>
      <c r="BB90" s="35">
        <f t="shared" si="64"/>
        <v>0</v>
      </c>
      <c r="BC90" s="35">
        <f t="shared" si="65"/>
        <v>0</v>
      </c>
    </row>
    <row r="91" spans="1:55" s="35" customFormat="1" x14ac:dyDescent="0.35">
      <c r="A91" s="36">
        <v>37054</v>
      </c>
      <c r="B91" s="35" t="s">
        <v>575</v>
      </c>
      <c r="C91" s="35" t="s">
        <v>163</v>
      </c>
      <c r="D91" s="35" t="s">
        <v>577</v>
      </c>
      <c r="E91" s="35" t="s">
        <v>125</v>
      </c>
      <c r="F91" s="139">
        <f t="shared" si="37"/>
        <v>1</v>
      </c>
      <c r="G91" s="35">
        <v>273500000</v>
      </c>
      <c r="H91" s="139">
        <f t="shared" si="38"/>
        <v>8.4369573306694488</v>
      </c>
      <c r="I91" s="35">
        <f t="shared" si="72"/>
        <v>273500000</v>
      </c>
      <c r="J91" s="35">
        <v>0</v>
      </c>
      <c r="K91" s="36">
        <v>38169</v>
      </c>
      <c r="L91" s="35">
        <v>300000000</v>
      </c>
      <c r="M91" s="21">
        <f t="shared" si="40"/>
        <v>3.0547945205479454</v>
      </c>
      <c r="N91" s="21">
        <f t="shared" si="66"/>
        <v>0.48498200292770483</v>
      </c>
      <c r="O91" s="35">
        <v>1341.63</v>
      </c>
      <c r="P91" s="35">
        <f t="shared" si="41"/>
        <v>3.127956346922264</v>
      </c>
      <c r="Q91" s="35">
        <v>189</v>
      </c>
      <c r="R91" s="35">
        <f t="shared" si="42"/>
        <v>2.2787536009528289</v>
      </c>
      <c r="S91" s="45">
        <v>2.93</v>
      </c>
      <c r="T91" s="45">
        <f t="shared" si="67"/>
        <v>0.4668676203541095</v>
      </c>
      <c r="U91" s="175">
        <f t="shared" si="43"/>
        <v>9.6892138939670858E-2</v>
      </c>
      <c r="V91" s="48">
        <f t="shared" si="44"/>
        <v>4.0163924050212831E-2</v>
      </c>
      <c r="W91" s="35">
        <v>1895.918367346939</v>
      </c>
      <c r="X91" s="35">
        <f t="shared" si="45"/>
        <v>3.277819633965128</v>
      </c>
      <c r="Y91" s="35">
        <v>8519.3877551020414</v>
      </c>
      <c r="Z91" s="35">
        <f t="shared" si="46"/>
        <v>3.9304083853612104</v>
      </c>
      <c r="AA91" s="37">
        <v>202</v>
      </c>
      <c r="AB91" s="37">
        <f t="shared" si="47"/>
        <v>2.307496037913213</v>
      </c>
      <c r="AC91" s="35">
        <v>70</v>
      </c>
      <c r="AD91" s="35">
        <f t="shared" si="68"/>
        <v>1.8450980400142569</v>
      </c>
      <c r="AE91" s="48">
        <v>43.1</v>
      </c>
      <c r="AF91" s="48">
        <f t="shared" si="69"/>
        <v>1.6344772701607315</v>
      </c>
      <c r="AG91" s="43">
        <v>51.718307112209096</v>
      </c>
      <c r="AH91" s="43">
        <f t="shared" si="70"/>
        <v>1.7136443007431839</v>
      </c>
      <c r="AI91" s="39">
        <v>0.41</v>
      </c>
      <c r="AJ91" s="48">
        <f t="shared" si="48"/>
        <v>0.14921911265537988</v>
      </c>
      <c r="AK91" s="35">
        <v>21</v>
      </c>
      <c r="AL91" s="35">
        <f t="shared" si="71"/>
        <v>1.3222192947339193</v>
      </c>
      <c r="AM91" s="35">
        <f t="shared" si="49"/>
        <v>0</v>
      </c>
      <c r="AN91" s="35">
        <f t="shared" si="50"/>
        <v>0</v>
      </c>
      <c r="AO91" s="35">
        <f t="shared" si="51"/>
        <v>0</v>
      </c>
      <c r="AP91" s="35">
        <f t="shared" si="52"/>
        <v>0</v>
      </c>
      <c r="AQ91" s="35">
        <f t="shared" si="53"/>
        <v>0</v>
      </c>
      <c r="AR91" s="35">
        <f t="shared" si="54"/>
        <v>0</v>
      </c>
      <c r="AS91" s="35">
        <f t="shared" si="55"/>
        <v>0</v>
      </c>
      <c r="AT91" s="35">
        <f t="shared" si="56"/>
        <v>1</v>
      </c>
      <c r="AU91" s="35">
        <f t="shared" si="57"/>
        <v>0</v>
      </c>
      <c r="AV91" s="35">
        <f t="shared" si="58"/>
        <v>0</v>
      </c>
      <c r="AW91" s="35">
        <f t="shared" si="59"/>
        <v>0</v>
      </c>
      <c r="AX91" s="35">
        <f t="shared" si="60"/>
        <v>0</v>
      </c>
      <c r="AY91" s="35">
        <f t="shared" si="61"/>
        <v>0</v>
      </c>
      <c r="AZ91" s="35">
        <f t="shared" si="62"/>
        <v>0</v>
      </c>
      <c r="BA91" s="35">
        <f t="shared" si="63"/>
        <v>0</v>
      </c>
      <c r="BB91" s="35">
        <f t="shared" si="64"/>
        <v>0</v>
      </c>
      <c r="BC91" s="35">
        <f t="shared" si="65"/>
        <v>0</v>
      </c>
    </row>
    <row r="92" spans="1:55" s="35" customFormat="1" x14ac:dyDescent="0.35">
      <c r="A92" s="36">
        <v>37109</v>
      </c>
      <c r="B92" s="35" t="s">
        <v>1161</v>
      </c>
      <c r="C92" s="35" t="s">
        <v>45</v>
      </c>
      <c r="D92" s="35" t="s">
        <v>602</v>
      </c>
      <c r="E92" s="35" t="s">
        <v>47</v>
      </c>
      <c r="F92" s="139">
        <f t="shared" si="37"/>
        <v>0</v>
      </c>
      <c r="G92" s="35">
        <v>20000000</v>
      </c>
      <c r="H92" s="139">
        <f t="shared" si="38"/>
        <v>7.3010299956639813</v>
      </c>
      <c r="I92" s="35">
        <f t="shared" si="72"/>
        <v>20000000</v>
      </c>
      <c r="J92" s="35">
        <v>0</v>
      </c>
      <c r="K92" s="36">
        <v>38918</v>
      </c>
      <c r="L92" s="35">
        <v>0</v>
      </c>
      <c r="M92" s="21">
        <f t="shared" si="40"/>
        <v>4.956164383561644</v>
      </c>
      <c r="N92" s="21">
        <f t="shared" si="66"/>
        <v>0.69514570240333906</v>
      </c>
      <c r="O92" s="35">
        <v>0</v>
      </c>
      <c r="P92" s="35">
        <f t="shared" si="41"/>
        <v>0</v>
      </c>
      <c r="Q92" s="35">
        <v>3</v>
      </c>
      <c r="R92" s="35">
        <f t="shared" si="42"/>
        <v>0.6020599913279624</v>
      </c>
      <c r="S92" s="45">
        <v>2.95</v>
      </c>
      <c r="T92" s="45">
        <f t="shared" si="67"/>
        <v>0.46982201597816303</v>
      </c>
      <c r="U92" s="175">
        <f t="shared" si="43"/>
        <v>-1</v>
      </c>
      <c r="V92" s="48">
        <f t="shared" si="44"/>
        <v>-1</v>
      </c>
      <c r="W92" s="35">
        <v>1246.953</v>
      </c>
      <c r="X92" s="35">
        <f t="shared" si="45"/>
        <v>3.0958500844125241</v>
      </c>
      <c r="Y92" s="35">
        <v>3219.7179999999998</v>
      </c>
      <c r="Z92" s="35">
        <f t="shared" si="46"/>
        <v>3.5078178355445662</v>
      </c>
      <c r="AA92" s="35">
        <v>0</v>
      </c>
      <c r="AB92" s="37">
        <f t="shared" si="47"/>
        <v>0</v>
      </c>
      <c r="AC92" s="35">
        <v>85</v>
      </c>
      <c r="AD92" s="35">
        <f t="shared" si="68"/>
        <v>1.9294189257142926</v>
      </c>
      <c r="AE92" s="48">
        <v>27.2</v>
      </c>
      <c r="AF92" s="48">
        <f t="shared" si="69"/>
        <v>1.4345689040341987</v>
      </c>
      <c r="AG92" s="43">
        <v>35.608384832026097</v>
      </c>
      <c r="AH92" s="43">
        <f t="shared" si="70"/>
        <v>1.5515522748692276</v>
      </c>
      <c r="AI92" s="39">
        <v>-0.08</v>
      </c>
      <c r="AJ92" s="48">
        <f t="shared" si="48"/>
        <v>-3.6212172654444715E-2</v>
      </c>
      <c r="AK92" s="35">
        <v>30</v>
      </c>
      <c r="AL92" s="35">
        <f t="shared" si="71"/>
        <v>1.4771212547196624</v>
      </c>
      <c r="AM92" s="35">
        <f t="shared" si="49"/>
        <v>1</v>
      </c>
      <c r="AN92" s="35">
        <f t="shared" si="50"/>
        <v>1</v>
      </c>
      <c r="AO92" s="35">
        <f t="shared" si="51"/>
        <v>0</v>
      </c>
      <c r="AP92" s="35">
        <f t="shared" si="52"/>
        <v>0</v>
      </c>
      <c r="AQ92" s="35">
        <f t="shared" si="53"/>
        <v>0</v>
      </c>
      <c r="AR92" s="35">
        <f t="shared" si="54"/>
        <v>0</v>
      </c>
      <c r="AS92" s="35">
        <f t="shared" si="55"/>
        <v>0</v>
      </c>
      <c r="AT92" s="35">
        <f t="shared" si="56"/>
        <v>0</v>
      </c>
      <c r="AU92" s="35">
        <f t="shared" si="57"/>
        <v>0</v>
      </c>
      <c r="AV92" s="35">
        <f t="shared" si="58"/>
        <v>0</v>
      </c>
      <c r="AW92" s="35">
        <f t="shared" si="59"/>
        <v>0</v>
      </c>
      <c r="AX92" s="35">
        <f t="shared" si="60"/>
        <v>0</v>
      </c>
      <c r="AY92" s="35">
        <f t="shared" si="61"/>
        <v>0</v>
      </c>
      <c r="AZ92" s="35">
        <f t="shared" si="62"/>
        <v>0</v>
      </c>
      <c r="BA92" s="35">
        <f t="shared" si="63"/>
        <v>0</v>
      </c>
      <c r="BB92" s="35">
        <f t="shared" si="64"/>
        <v>0</v>
      </c>
      <c r="BC92" s="35">
        <f t="shared" si="65"/>
        <v>0</v>
      </c>
    </row>
    <row r="93" spans="1:55" s="35" customFormat="1" x14ac:dyDescent="0.35">
      <c r="A93" s="36">
        <v>37109</v>
      </c>
      <c r="B93" s="35" t="s">
        <v>1161</v>
      </c>
      <c r="C93" s="35" t="s">
        <v>45</v>
      </c>
      <c r="D93" s="35" t="s">
        <v>602</v>
      </c>
      <c r="E93" s="35" t="s">
        <v>47</v>
      </c>
      <c r="F93" s="139">
        <f t="shared" si="37"/>
        <v>0</v>
      </c>
      <c r="G93" s="35">
        <v>20000000</v>
      </c>
      <c r="H93" s="139">
        <f t="shared" si="38"/>
        <v>7.3010299956639813</v>
      </c>
      <c r="I93" s="35">
        <f t="shared" si="72"/>
        <v>20000000</v>
      </c>
      <c r="J93" s="35">
        <v>0</v>
      </c>
      <c r="K93" s="36">
        <v>38918</v>
      </c>
      <c r="L93" s="35">
        <v>0</v>
      </c>
      <c r="M93" s="21">
        <f t="shared" si="40"/>
        <v>4.956164383561644</v>
      </c>
      <c r="N93" s="21">
        <f t="shared" si="66"/>
        <v>0.69514570240333906</v>
      </c>
      <c r="O93" s="35">
        <v>0</v>
      </c>
      <c r="P93" s="35">
        <f t="shared" si="41"/>
        <v>0</v>
      </c>
      <c r="Q93" s="35">
        <v>3</v>
      </c>
      <c r="R93" s="35">
        <f t="shared" si="42"/>
        <v>0.6020599913279624</v>
      </c>
      <c r="S93" s="45">
        <v>2.95</v>
      </c>
      <c r="T93" s="45">
        <f t="shared" si="67"/>
        <v>0.46982201597816303</v>
      </c>
      <c r="U93" s="175">
        <f t="shared" si="43"/>
        <v>-1</v>
      </c>
      <c r="V93" s="48">
        <f t="shared" si="44"/>
        <v>-1</v>
      </c>
      <c r="W93" s="35">
        <v>1246.953</v>
      </c>
      <c r="X93" s="35">
        <f t="shared" si="45"/>
        <v>3.0958500844125241</v>
      </c>
      <c r="Y93" s="35">
        <v>3219.7179999999998</v>
      </c>
      <c r="Z93" s="35">
        <f t="shared" si="46"/>
        <v>3.5078178355445662</v>
      </c>
      <c r="AA93" s="35">
        <v>0</v>
      </c>
      <c r="AB93" s="37">
        <f t="shared" si="47"/>
        <v>0</v>
      </c>
      <c r="AC93" s="35">
        <v>85</v>
      </c>
      <c r="AD93" s="35">
        <f t="shared" si="68"/>
        <v>1.9294189257142926</v>
      </c>
      <c r="AE93" s="48">
        <v>27.2</v>
      </c>
      <c r="AF93" s="48">
        <f t="shared" si="69"/>
        <v>1.4345689040341987</v>
      </c>
      <c r="AG93" s="43">
        <v>35.608384832026097</v>
      </c>
      <c r="AH93" s="43">
        <f t="shared" si="70"/>
        <v>1.5515522748692276</v>
      </c>
      <c r="AI93" s="39">
        <v>0.18</v>
      </c>
      <c r="AJ93" s="48">
        <f t="shared" si="48"/>
        <v>7.1882007306125359E-2</v>
      </c>
      <c r="AK93" s="35">
        <v>29</v>
      </c>
      <c r="AL93" s="35">
        <f t="shared" si="71"/>
        <v>1.4623979978989561</v>
      </c>
      <c r="AM93" s="35">
        <f t="shared" si="49"/>
        <v>1</v>
      </c>
      <c r="AN93" s="35">
        <f t="shared" si="50"/>
        <v>1</v>
      </c>
      <c r="AO93" s="35">
        <f t="shared" si="51"/>
        <v>0</v>
      </c>
      <c r="AP93" s="35">
        <f t="shared" si="52"/>
        <v>0</v>
      </c>
      <c r="AQ93" s="35">
        <f t="shared" si="53"/>
        <v>0</v>
      </c>
      <c r="AR93" s="35">
        <f t="shared" si="54"/>
        <v>0</v>
      </c>
      <c r="AS93" s="35">
        <f t="shared" si="55"/>
        <v>0</v>
      </c>
      <c r="AT93" s="35">
        <f t="shared" si="56"/>
        <v>0</v>
      </c>
      <c r="AU93" s="35">
        <f t="shared" si="57"/>
        <v>0</v>
      </c>
      <c r="AV93" s="35">
        <f t="shared" si="58"/>
        <v>0</v>
      </c>
      <c r="AW93" s="35">
        <f t="shared" si="59"/>
        <v>0</v>
      </c>
      <c r="AX93" s="35">
        <f t="shared" si="60"/>
        <v>0</v>
      </c>
      <c r="AY93" s="35">
        <f t="shared" si="61"/>
        <v>0</v>
      </c>
      <c r="AZ93" s="35">
        <f t="shared" si="62"/>
        <v>0</v>
      </c>
      <c r="BA93" s="35">
        <f t="shared" si="63"/>
        <v>0</v>
      </c>
      <c r="BB93" s="35">
        <f t="shared" si="64"/>
        <v>0</v>
      </c>
      <c r="BC93" s="35">
        <f t="shared" si="65"/>
        <v>0</v>
      </c>
    </row>
    <row r="94" spans="1:55" s="35" customFormat="1" x14ac:dyDescent="0.35">
      <c r="A94" s="36">
        <v>37125</v>
      </c>
      <c r="B94" s="90" t="s">
        <v>550</v>
      </c>
      <c r="C94" s="35" t="s">
        <v>497</v>
      </c>
      <c r="D94" s="35" t="s">
        <v>59</v>
      </c>
      <c r="E94" s="35" t="s">
        <v>125</v>
      </c>
      <c r="F94" s="139">
        <f t="shared" si="37"/>
        <v>1</v>
      </c>
      <c r="G94" s="35">
        <v>17500000</v>
      </c>
      <c r="H94" s="139">
        <f t="shared" si="38"/>
        <v>7.2430380486862944</v>
      </c>
      <c r="I94" s="35">
        <f t="shared" si="72"/>
        <v>17500000</v>
      </c>
      <c r="J94" s="35">
        <v>0</v>
      </c>
      <c r="K94" s="36">
        <v>39813</v>
      </c>
      <c r="L94" s="35">
        <v>100000000</v>
      </c>
      <c r="M94" s="21">
        <f t="shared" si="40"/>
        <v>7.3643835616438356</v>
      </c>
      <c r="N94" s="21">
        <f t="shared" si="66"/>
        <v>0.86713639992531288</v>
      </c>
      <c r="O94" s="35">
        <v>463.97</v>
      </c>
      <c r="P94" s="35">
        <f t="shared" si="41"/>
        <v>2.6674249329872439</v>
      </c>
      <c r="Q94" s="35">
        <v>2</v>
      </c>
      <c r="R94" s="35">
        <f t="shared" si="42"/>
        <v>0.47712125471966244</v>
      </c>
      <c r="S94" s="45">
        <v>2.61</v>
      </c>
      <c r="T94" s="45">
        <f t="shared" si="67"/>
        <v>0.41664050733828095</v>
      </c>
      <c r="U94" s="175">
        <f t="shared" si="43"/>
        <v>4.7142857142857144</v>
      </c>
      <c r="V94" s="48">
        <f t="shared" si="44"/>
        <v>0.75696195131370558</v>
      </c>
      <c r="W94" s="35">
        <v>1932.09461208012</v>
      </c>
      <c r="X94" s="35">
        <f t="shared" si="45"/>
        <v>3.2860283894181141</v>
      </c>
      <c r="Y94" s="35">
        <v>8126.3909735520938</v>
      </c>
      <c r="Z94" s="35">
        <f t="shared" si="46"/>
        <v>3.9098977130890344</v>
      </c>
      <c r="AA94" s="37">
        <v>193.166666666667</v>
      </c>
      <c r="AB94" s="37">
        <f t="shared" si="47"/>
        <v>2.2881746749783951</v>
      </c>
      <c r="AC94" s="35">
        <v>85</v>
      </c>
      <c r="AD94" s="35">
        <f t="shared" si="68"/>
        <v>1.9294189257142926</v>
      </c>
      <c r="AE94" s="48">
        <v>28.6</v>
      </c>
      <c r="AF94" s="48">
        <f t="shared" si="69"/>
        <v>1.4563660331290431</v>
      </c>
      <c r="AG94" s="43">
        <v>32.513676738539097</v>
      </c>
      <c r="AH94" s="43">
        <f t="shared" si="70"/>
        <v>1.5120660835216855</v>
      </c>
      <c r="AI94" s="39">
        <v>0.55000000000000004</v>
      </c>
      <c r="AJ94" s="48">
        <f t="shared" si="48"/>
        <v>0.1903316981702915</v>
      </c>
      <c r="AK94" s="35">
        <v>36</v>
      </c>
      <c r="AL94" s="35">
        <f t="shared" si="71"/>
        <v>1.5563025007672873</v>
      </c>
      <c r="AM94" s="35">
        <f t="shared" si="49"/>
        <v>0</v>
      </c>
      <c r="AN94" s="35">
        <f t="shared" si="50"/>
        <v>0</v>
      </c>
      <c r="AO94" s="35">
        <f t="shared" si="51"/>
        <v>0</v>
      </c>
      <c r="AP94" s="35">
        <f t="shared" si="52"/>
        <v>0</v>
      </c>
      <c r="AQ94" s="35">
        <f t="shared" si="53"/>
        <v>0</v>
      </c>
      <c r="AR94" s="35">
        <f t="shared" si="54"/>
        <v>0</v>
      </c>
      <c r="AS94" s="35">
        <f t="shared" si="55"/>
        <v>0</v>
      </c>
      <c r="AT94" s="35">
        <f t="shared" si="56"/>
        <v>0</v>
      </c>
      <c r="AU94" s="35">
        <f t="shared" si="57"/>
        <v>0</v>
      </c>
      <c r="AV94" s="35">
        <f t="shared" si="58"/>
        <v>0</v>
      </c>
      <c r="AW94" s="35">
        <f t="shared" si="59"/>
        <v>0</v>
      </c>
      <c r="AX94" s="35">
        <f t="shared" si="60"/>
        <v>0</v>
      </c>
      <c r="AY94" s="35">
        <f t="shared" si="61"/>
        <v>0</v>
      </c>
      <c r="AZ94" s="35">
        <f t="shared" si="62"/>
        <v>0</v>
      </c>
      <c r="BA94" s="35">
        <f t="shared" si="63"/>
        <v>0</v>
      </c>
      <c r="BB94" s="35">
        <f t="shared" si="64"/>
        <v>1</v>
      </c>
      <c r="BC94" s="35">
        <f t="shared" si="65"/>
        <v>0</v>
      </c>
    </row>
    <row r="95" spans="1:55" s="35" customFormat="1" x14ac:dyDescent="0.35">
      <c r="A95" s="36">
        <v>37165</v>
      </c>
      <c r="B95" s="35" t="s">
        <v>291</v>
      </c>
      <c r="C95" s="35" t="s">
        <v>5</v>
      </c>
      <c r="D95" s="35" t="s">
        <v>5</v>
      </c>
      <c r="E95" s="35" t="s">
        <v>102</v>
      </c>
      <c r="F95" s="139">
        <f t="shared" si="37"/>
        <v>0</v>
      </c>
      <c r="G95" s="35">
        <v>40929600</v>
      </c>
      <c r="H95" s="139">
        <f t="shared" si="38"/>
        <v>7.6120375003588876</v>
      </c>
      <c r="I95" s="35">
        <v>40929600</v>
      </c>
      <c r="J95" s="35">
        <v>0</v>
      </c>
      <c r="K95" s="36">
        <v>42087</v>
      </c>
      <c r="L95" s="35">
        <v>97000000</v>
      </c>
      <c r="M95" s="21">
        <f t="shared" si="40"/>
        <v>13.484931506849316</v>
      </c>
      <c r="N95" s="21">
        <f t="shared" si="66"/>
        <v>1.129848744910309</v>
      </c>
      <c r="O95" s="35">
        <v>0</v>
      </c>
      <c r="P95" s="35">
        <f t="shared" si="41"/>
        <v>0</v>
      </c>
      <c r="Q95" s="35">
        <v>41</v>
      </c>
      <c r="R95" s="35">
        <f t="shared" si="42"/>
        <v>1.6232492903979006</v>
      </c>
      <c r="S95" s="45">
        <v>3.28</v>
      </c>
      <c r="T95" s="45">
        <f t="shared" si="67"/>
        <v>0.5158738437116791</v>
      </c>
      <c r="U95" s="175">
        <f t="shared" si="43"/>
        <v>1.369922989718932</v>
      </c>
      <c r="V95" s="48">
        <f t="shared" si="44"/>
        <v>0.37473423390735744</v>
      </c>
      <c r="W95" s="35">
        <v>2366.2306777645658</v>
      </c>
      <c r="X95" s="35">
        <f t="shared" si="45"/>
        <v>3.3740570806117947</v>
      </c>
      <c r="Y95" s="14">
        <v>9334.126040428062</v>
      </c>
      <c r="Z95" s="35">
        <f t="shared" si="46"/>
        <v>3.9700736609473402</v>
      </c>
      <c r="AA95" s="37">
        <v>0</v>
      </c>
      <c r="AB95" s="37">
        <f t="shared" si="47"/>
        <v>0</v>
      </c>
      <c r="AC95" s="35">
        <v>70</v>
      </c>
      <c r="AD95" s="35">
        <f t="shared" si="68"/>
        <v>1.8450980400142569</v>
      </c>
      <c r="AE95" s="48">
        <v>35.6</v>
      </c>
      <c r="AF95" s="48">
        <f t="shared" si="69"/>
        <v>1.5514499979728751</v>
      </c>
      <c r="AG95" s="43">
        <v>42.882578893959298</v>
      </c>
      <c r="AH95" s="43">
        <f t="shared" si="70"/>
        <v>1.6322808952886716</v>
      </c>
      <c r="AI95" s="39">
        <v>0.72</v>
      </c>
      <c r="AJ95" s="48">
        <f t="shared" si="48"/>
        <v>0.2355284469075489</v>
      </c>
      <c r="AK95" s="35">
        <v>34</v>
      </c>
      <c r="AL95" s="35">
        <f t="shared" si="71"/>
        <v>1.5314789170422551</v>
      </c>
      <c r="AM95" s="35">
        <f t="shared" si="49"/>
        <v>0</v>
      </c>
      <c r="AN95" s="35">
        <f t="shared" si="50"/>
        <v>0</v>
      </c>
      <c r="AO95" s="35">
        <f t="shared" si="51"/>
        <v>0</v>
      </c>
      <c r="AP95" s="35">
        <f t="shared" si="52"/>
        <v>0</v>
      </c>
      <c r="AQ95" s="35">
        <f t="shared" si="53"/>
        <v>0</v>
      </c>
      <c r="AR95" s="35">
        <f t="shared" si="54"/>
        <v>0</v>
      </c>
      <c r="AS95" s="35">
        <f t="shared" si="55"/>
        <v>1</v>
      </c>
      <c r="AT95" s="35">
        <f t="shared" si="56"/>
        <v>0</v>
      </c>
      <c r="AU95" s="35">
        <f t="shared" si="57"/>
        <v>0</v>
      </c>
      <c r="AV95" s="35">
        <f t="shared" si="58"/>
        <v>0</v>
      </c>
      <c r="AW95" s="35">
        <f t="shared" si="59"/>
        <v>0</v>
      </c>
      <c r="AX95" s="35">
        <f t="shared" si="60"/>
        <v>0</v>
      </c>
      <c r="AY95" s="35">
        <f t="shared" si="61"/>
        <v>0</v>
      </c>
      <c r="AZ95" s="35">
        <f t="shared" si="62"/>
        <v>0</v>
      </c>
      <c r="BA95" s="35">
        <f t="shared" si="63"/>
        <v>0</v>
      </c>
      <c r="BB95" s="35">
        <f t="shared" si="64"/>
        <v>0</v>
      </c>
      <c r="BC95" s="35">
        <f t="shared" si="65"/>
        <v>0</v>
      </c>
    </row>
    <row r="96" spans="1:55" s="35" customFormat="1" x14ac:dyDescent="0.35">
      <c r="A96" s="36">
        <v>37165</v>
      </c>
      <c r="B96" s="35" t="s">
        <v>1159</v>
      </c>
      <c r="C96" s="35" t="s">
        <v>45</v>
      </c>
      <c r="D96" s="35" t="s">
        <v>602</v>
      </c>
      <c r="E96" s="35" t="s">
        <v>47</v>
      </c>
      <c r="F96" s="139">
        <f t="shared" si="37"/>
        <v>0</v>
      </c>
      <c r="G96" s="35">
        <v>408000000</v>
      </c>
      <c r="H96" s="139">
        <f t="shared" si="38"/>
        <v>8.6106601630898805</v>
      </c>
      <c r="I96" s="35">
        <f>G96</f>
        <v>408000000</v>
      </c>
      <c r="J96" s="35">
        <v>0</v>
      </c>
      <c r="K96" s="36">
        <v>39316</v>
      </c>
      <c r="L96" s="35">
        <v>794450000</v>
      </c>
      <c r="M96" s="21">
        <f t="shared" si="40"/>
        <v>5.8931506849315065</v>
      </c>
      <c r="N96" s="21">
        <f t="shared" si="66"/>
        <v>0.77034754593098786</v>
      </c>
      <c r="O96" s="35">
        <v>0</v>
      </c>
      <c r="P96" s="35">
        <f t="shared" si="41"/>
        <v>0</v>
      </c>
      <c r="Q96" s="35">
        <v>0</v>
      </c>
      <c r="R96" s="35">
        <f t="shared" si="42"/>
        <v>0</v>
      </c>
      <c r="S96" s="45">
        <v>2.95</v>
      </c>
      <c r="T96" s="45">
        <f t="shared" si="67"/>
        <v>0.46982201597816303</v>
      </c>
      <c r="U96" s="175">
        <f t="shared" si="43"/>
        <v>0.94718137254901968</v>
      </c>
      <c r="V96" s="48">
        <f t="shared" si="44"/>
        <v>0.28940640628560588</v>
      </c>
      <c r="W96" s="35">
        <v>1246.953</v>
      </c>
      <c r="X96" s="35">
        <f t="shared" si="45"/>
        <v>3.0958500844125241</v>
      </c>
      <c r="Y96" s="35">
        <v>3219.7179999999998</v>
      </c>
      <c r="Z96" s="35">
        <f t="shared" si="46"/>
        <v>3.5078178355445662</v>
      </c>
      <c r="AA96" s="35">
        <v>0</v>
      </c>
      <c r="AB96" s="37">
        <f t="shared" si="47"/>
        <v>0</v>
      </c>
      <c r="AC96" s="35">
        <v>85</v>
      </c>
      <c r="AD96" s="35">
        <f t="shared" si="68"/>
        <v>1.9294189257142926</v>
      </c>
      <c r="AE96" s="48">
        <v>27.2</v>
      </c>
      <c r="AF96" s="48">
        <f t="shared" si="69"/>
        <v>1.4345689040341987</v>
      </c>
      <c r="AG96" s="43">
        <v>35.608384832026097</v>
      </c>
      <c r="AH96" s="43">
        <f t="shared" si="70"/>
        <v>1.5515522748692276</v>
      </c>
      <c r="AI96" s="39">
        <v>0.75</v>
      </c>
      <c r="AJ96" s="48">
        <f t="shared" si="48"/>
        <v>0.24303804868629444</v>
      </c>
      <c r="AK96" s="35">
        <v>33</v>
      </c>
      <c r="AL96" s="35">
        <f t="shared" si="71"/>
        <v>1.5185139398778875</v>
      </c>
      <c r="AM96" s="35">
        <f t="shared" si="49"/>
        <v>0</v>
      </c>
      <c r="AN96" s="35">
        <f t="shared" si="50"/>
        <v>1</v>
      </c>
      <c r="AO96" s="35">
        <f t="shared" si="51"/>
        <v>0</v>
      </c>
      <c r="AP96" s="35">
        <f t="shared" si="52"/>
        <v>0</v>
      </c>
      <c r="AQ96" s="35">
        <f t="shared" si="53"/>
        <v>0</v>
      </c>
      <c r="AR96" s="35">
        <f t="shared" si="54"/>
        <v>0</v>
      </c>
      <c r="AS96" s="35">
        <f t="shared" si="55"/>
        <v>0</v>
      </c>
      <c r="AT96" s="35">
        <f t="shared" si="56"/>
        <v>0</v>
      </c>
      <c r="AU96" s="35">
        <f t="shared" si="57"/>
        <v>0</v>
      </c>
      <c r="AV96" s="35">
        <f t="shared" si="58"/>
        <v>0</v>
      </c>
      <c r="AW96" s="35">
        <f t="shared" si="59"/>
        <v>0</v>
      </c>
      <c r="AX96" s="35">
        <f t="shared" si="60"/>
        <v>0</v>
      </c>
      <c r="AY96" s="35">
        <f t="shared" si="61"/>
        <v>0</v>
      </c>
      <c r="AZ96" s="35">
        <f t="shared" si="62"/>
        <v>0</v>
      </c>
      <c r="BA96" s="35">
        <f t="shared" si="63"/>
        <v>0</v>
      </c>
      <c r="BB96" s="35">
        <f t="shared" si="64"/>
        <v>0</v>
      </c>
      <c r="BC96" s="35">
        <f t="shared" si="65"/>
        <v>0</v>
      </c>
    </row>
    <row r="97" spans="1:55" s="35" customFormat="1" x14ac:dyDescent="0.35">
      <c r="A97" s="36">
        <v>37165</v>
      </c>
      <c r="B97" s="35" t="s">
        <v>1159</v>
      </c>
      <c r="C97" s="35" t="s">
        <v>45</v>
      </c>
      <c r="D97" s="35" t="s">
        <v>602</v>
      </c>
      <c r="E97" s="35" t="s">
        <v>47</v>
      </c>
      <c r="F97" s="139">
        <f t="shared" si="37"/>
        <v>0</v>
      </c>
      <c r="G97" s="35">
        <v>408000000</v>
      </c>
      <c r="H97" s="139">
        <f t="shared" si="38"/>
        <v>8.6106601630898805</v>
      </c>
      <c r="I97" s="35">
        <f>G97</f>
        <v>408000000</v>
      </c>
      <c r="J97" s="35">
        <v>0</v>
      </c>
      <c r="K97" s="36">
        <v>39316</v>
      </c>
      <c r="L97" s="35">
        <v>794450000</v>
      </c>
      <c r="M97" s="21">
        <f t="shared" si="40"/>
        <v>5.8931506849315065</v>
      </c>
      <c r="N97" s="21">
        <f t="shared" si="66"/>
        <v>0.77034754593098786</v>
      </c>
      <c r="O97" s="35">
        <v>0</v>
      </c>
      <c r="P97" s="35">
        <f t="shared" si="41"/>
        <v>0</v>
      </c>
      <c r="Q97" s="35">
        <v>0</v>
      </c>
      <c r="R97" s="35">
        <f t="shared" si="42"/>
        <v>0</v>
      </c>
      <c r="S97" s="45">
        <v>2.95</v>
      </c>
      <c r="T97" s="45">
        <f t="shared" si="67"/>
        <v>0.46982201597816303</v>
      </c>
      <c r="U97" s="175">
        <f t="shared" si="43"/>
        <v>0.94718137254901968</v>
      </c>
      <c r="V97" s="48">
        <f t="shared" si="44"/>
        <v>0.28940640628560588</v>
      </c>
      <c r="W97" s="35">
        <v>1246.953</v>
      </c>
      <c r="X97" s="35">
        <f t="shared" si="45"/>
        <v>3.0958500844125241</v>
      </c>
      <c r="Y97" s="35">
        <v>3219.7179999999998</v>
      </c>
      <c r="Z97" s="35">
        <f t="shared" si="46"/>
        <v>3.5078178355445662</v>
      </c>
      <c r="AA97" s="35">
        <v>0</v>
      </c>
      <c r="AB97" s="37">
        <f t="shared" si="47"/>
        <v>0</v>
      </c>
      <c r="AC97" s="35">
        <v>85</v>
      </c>
      <c r="AD97" s="35">
        <f t="shared" si="68"/>
        <v>1.9294189257142926</v>
      </c>
      <c r="AE97" s="48">
        <v>27.2</v>
      </c>
      <c r="AF97" s="48">
        <f t="shared" si="69"/>
        <v>1.4345689040341987</v>
      </c>
      <c r="AG97" s="43">
        <v>35.608384832026097</v>
      </c>
      <c r="AH97" s="43">
        <f t="shared" si="70"/>
        <v>1.5515522748692276</v>
      </c>
      <c r="AI97" s="39">
        <v>0.55000000000000004</v>
      </c>
      <c r="AJ97" s="48">
        <f t="shared" si="48"/>
        <v>0.1903316981702915</v>
      </c>
      <c r="AK97" s="35">
        <v>28</v>
      </c>
      <c r="AL97" s="35">
        <f t="shared" si="71"/>
        <v>1.4471580313422192</v>
      </c>
      <c r="AM97" s="35">
        <f t="shared" si="49"/>
        <v>0</v>
      </c>
      <c r="AN97" s="35">
        <f t="shared" si="50"/>
        <v>1</v>
      </c>
      <c r="AO97" s="35">
        <f t="shared" si="51"/>
        <v>0</v>
      </c>
      <c r="AP97" s="35">
        <f t="shared" si="52"/>
        <v>0</v>
      </c>
      <c r="AQ97" s="35">
        <f t="shared" si="53"/>
        <v>0</v>
      </c>
      <c r="AR97" s="35">
        <f t="shared" si="54"/>
        <v>0</v>
      </c>
      <c r="AS97" s="35">
        <f t="shared" si="55"/>
        <v>0</v>
      </c>
      <c r="AT97" s="35">
        <f t="shared" si="56"/>
        <v>0</v>
      </c>
      <c r="AU97" s="35">
        <f t="shared" si="57"/>
        <v>0</v>
      </c>
      <c r="AV97" s="35">
        <f t="shared" si="58"/>
        <v>0</v>
      </c>
      <c r="AW97" s="35">
        <f t="shared" si="59"/>
        <v>0</v>
      </c>
      <c r="AX97" s="35">
        <f t="shared" si="60"/>
        <v>0</v>
      </c>
      <c r="AY97" s="35">
        <f t="shared" si="61"/>
        <v>0</v>
      </c>
      <c r="AZ97" s="35">
        <f t="shared" si="62"/>
        <v>0</v>
      </c>
      <c r="BA97" s="35">
        <f t="shared" si="63"/>
        <v>0</v>
      </c>
      <c r="BB97" s="35">
        <f t="shared" si="64"/>
        <v>0</v>
      </c>
      <c r="BC97" s="35">
        <f t="shared" si="65"/>
        <v>0</v>
      </c>
    </row>
    <row r="98" spans="1:55" s="35" customFormat="1" x14ac:dyDescent="0.35">
      <c r="A98" s="36">
        <v>37180</v>
      </c>
      <c r="B98" s="35" t="s">
        <v>407</v>
      </c>
      <c r="C98" s="35" t="s">
        <v>1</v>
      </c>
      <c r="D98" s="35" t="s">
        <v>4</v>
      </c>
      <c r="E98" s="35" t="s">
        <v>125</v>
      </c>
      <c r="F98" s="139">
        <f t="shared" si="37"/>
        <v>1</v>
      </c>
      <c r="G98" s="35">
        <v>163662957</v>
      </c>
      <c r="H98" s="139">
        <f t="shared" si="38"/>
        <v>8.213950393578326</v>
      </c>
      <c r="I98" s="35">
        <f>G98</f>
        <v>163662957</v>
      </c>
      <c r="J98" s="35">
        <v>0</v>
      </c>
      <c r="K98" s="36">
        <v>38443</v>
      </c>
      <c r="L98" s="35">
        <v>301656500</v>
      </c>
      <c r="M98" s="21">
        <f t="shared" si="40"/>
        <v>3.4602739726027396</v>
      </c>
      <c r="N98" s="21">
        <f t="shared" si="66"/>
        <v>0.53911048609885603</v>
      </c>
      <c r="O98" s="35">
        <v>416.73</v>
      </c>
      <c r="P98" s="35">
        <f t="shared" si="41"/>
        <v>2.6208956659919629</v>
      </c>
      <c r="Q98" s="35">
        <v>15</v>
      </c>
      <c r="R98" s="35">
        <f t="shared" si="42"/>
        <v>1.2041199826559248</v>
      </c>
      <c r="S98" s="45">
        <v>3.65</v>
      </c>
      <c r="T98" s="45">
        <f t="shared" si="67"/>
        <v>0.56229286445647475</v>
      </c>
      <c r="U98" s="175">
        <f t="shared" si="43"/>
        <v>0.84315684825369486</v>
      </c>
      <c r="V98" s="48">
        <f t="shared" si="44"/>
        <v>0.26556229421670802</v>
      </c>
      <c r="W98" s="35">
        <v>1630.2786555587475</v>
      </c>
      <c r="X98" s="35">
        <f t="shared" si="45"/>
        <v>3.212261842580872</v>
      </c>
      <c r="Y98" s="35">
        <v>8569.3766159149673</v>
      </c>
      <c r="Z98" s="35">
        <f t="shared" si="46"/>
        <v>3.9329492300777744</v>
      </c>
      <c r="AA98" s="37">
        <v>217.833333333333</v>
      </c>
      <c r="AB98" s="37">
        <f t="shared" si="47"/>
        <v>2.3401134757058348</v>
      </c>
      <c r="AC98" s="35">
        <v>70</v>
      </c>
      <c r="AD98" s="35">
        <f t="shared" si="68"/>
        <v>1.8450980400142569</v>
      </c>
      <c r="AE98" s="48">
        <v>42.1</v>
      </c>
      <c r="AF98" s="48">
        <f t="shared" si="69"/>
        <v>1.6242820958356683</v>
      </c>
      <c r="AG98" s="43">
        <v>43.801966655694599</v>
      </c>
      <c r="AH98" s="43">
        <f t="shared" si="70"/>
        <v>1.6414936102424893</v>
      </c>
      <c r="AI98" s="39">
        <v>0.2</v>
      </c>
      <c r="AJ98" s="48">
        <f t="shared" si="48"/>
        <v>7.9181246047624818E-2</v>
      </c>
      <c r="AK98" s="35">
        <v>27</v>
      </c>
      <c r="AL98" s="35">
        <f t="shared" si="71"/>
        <v>1.4313637641589874</v>
      </c>
      <c r="AM98" s="35">
        <f t="shared" si="49"/>
        <v>0</v>
      </c>
      <c r="AN98" s="35">
        <f t="shared" si="50"/>
        <v>0</v>
      </c>
      <c r="AO98" s="35">
        <f t="shared" si="51"/>
        <v>0</v>
      </c>
      <c r="AP98" s="35">
        <f t="shared" si="52"/>
        <v>1</v>
      </c>
      <c r="AQ98" s="35">
        <f t="shared" si="53"/>
        <v>0</v>
      </c>
      <c r="AR98" s="35">
        <f t="shared" si="54"/>
        <v>0</v>
      </c>
      <c r="AS98" s="35">
        <f t="shared" si="55"/>
        <v>0</v>
      </c>
      <c r="AT98" s="35">
        <f t="shared" si="56"/>
        <v>0</v>
      </c>
      <c r="AU98" s="35">
        <f t="shared" si="57"/>
        <v>0</v>
      </c>
      <c r="AV98" s="35">
        <f t="shared" si="58"/>
        <v>0</v>
      </c>
      <c r="AW98" s="35">
        <f t="shared" si="59"/>
        <v>0</v>
      </c>
      <c r="AX98" s="35">
        <f t="shared" si="60"/>
        <v>0</v>
      </c>
      <c r="AY98" s="35">
        <f t="shared" si="61"/>
        <v>0</v>
      </c>
      <c r="AZ98" s="35">
        <f t="shared" si="62"/>
        <v>0</v>
      </c>
      <c r="BA98" s="35">
        <f t="shared" si="63"/>
        <v>0</v>
      </c>
      <c r="BB98" s="35">
        <f t="shared" si="64"/>
        <v>0</v>
      </c>
      <c r="BC98" s="35">
        <f t="shared" si="65"/>
        <v>0</v>
      </c>
    </row>
    <row r="99" spans="1:55" s="35" customFormat="1" x14ac:dyDescent="0.35">
      <c r="A99" s="36">
        <v>37186</v>
      </c>
      <c r="B99" s="35" t="s">
        <v>227</v>
      </c>
      <c r="C99" s="35" t="s">
        <v>2</v>
      </c>
      <c r="D99" s="35" t="s">
        <v>45</v>
      </c>
      <c r="E99" s="35" t="s">
        <v>64</v>
      </c>
      <c r="F99" s="139">
        <f t="shared" si="37"/>
        <v>1</v>
      </c>
      <c r="G99" s="35">
        <v>925000000</v>
      </c>
      <c r="H99" s="139">
        <f t="shared" si="38"/>
        <v>8.9661417327390325</v>
      </c>
      <c r="I99" s="35">
        <f>G99</f>
        <v>925000000</v>
      </c>
      <c r="J99" s="35">
        <v>0</v>
      </c>
      <c r="K99" s="36">
        <v>39261</v>
      </c>
      <c r="L99" s="35">
        <v>1300000000</v>
      </c>
      <c r="M99" s="21">
        <f t="shared" si="40"/>
        <v>5.6849315068493151</v>
      </c>
      <c r="N99" s="21">
        <f t="shared" si="66"/>
        <v>0.75472523659163682</v>
      </c>
      <c r="O99" s="35">
        <v>6815.73</v>
      </c>
      <c r="P99" s="35">
        <f t="shared" si="41"/>
        <v>3.8335760926148099</v>
      </c>
      <c r="Q99" s="35">
        <v>36</v>
      </c>
      <c r="R99" s="35">
        <f t="shared" si="42"/>
        <v>1.568201724066995</v>
      </c>
      <c r="S99" s="45">
        <v>2.85</v>
      </c>
      <c r="T99" s="45">
        <f t="shared" si="67"/>
        <v>0.45484486000851021</v>
      </c>
      <c r="U99" s="175">
        <f t="shared" si="43"/>
        <v>0.40540540540540548</v>
      </c>
      <c r="V99" s="48">
        <f t="shared" si="44"/>
        <v>0.14780161956780419</v>
      </c>
      <c r="W99" s="35">
        <v>2232.1428571428569</v>
      </c>
      <c r="X99" s="35">
        <f t="shared" si="45"/>
        <v>3.348721986001856</v>
      </c>
      <c r="Y99" s="35">
        <v>5650.5102040816337</v>
      </c>
      <c r="Z99" s="35">
        <f t="shared" si="46"/>
        <v>3.7520876635386311</v>
      </c>
      <c r="AA99" s="37">
        <v>819</v>
      </c>
      <c r="AB99" s="37">
        <f t="shared" si="47"/>
        <v>2.9138138523837167</v>
      </c>
      <c r="AC99" s="35">
        <v>70</v>
      </c>
      <c r="AD99" s="35">
        <f t="shared" si="68"/>
        <v>1.8450980400142569</v>
      </c>
      <c r="AE99" s="48">
        <v>35</v>
      </c>
      <c r="AF99" s="48">
        <f t="shared" si="69"/>
        <v>1.5440680443502757</v>
      </c>
      <c r="AG99" s="43">
        <v>46.908044131476899</v>
      </c>
      <c r="AH99" s="43">
        <f t="shared" si="70"/>
        <v>1.6712473250679141</v>
      </c>
      <c r="AI99" s="39">
        <v>-0.28999999999999998</v>
      </c>
      <c r="AJ99" s="48">
        <f t="shared" si="48"/>
        <v>-0.14874165128092473</v>
      </c>
      <c r="AK99" s="35">
        <v>23</v>
      </c>
      <c r="AL99" s="35">
        <f t="shared" si="71"/>
        <v>1.3617278360175928</v>
      </c>
      <c r="AM99" s="35">
        <f t="shared" si="49"/>
        <v>0</v>
      </c>
      <c r="AN99" s="35">
        <f t="shared" si="50"/>
        <v>0</v>
      </c>
      <c r="AO99" s="35">
        <f t="shared" si="51"/>
        <v>0</v>
      </c>
      <c r="AP99" s="35">
        <f t="shared" si="52"/>
        <v>0</v>
      </c>
      <c r="AQ99" s="35">
        <f t="shared" si="53"/>
        <v>0</v>
      </c>
      <c r="AR99" s="35">
        <f t="shared" si="54"/>
        <v>0</v>
      </c>
      <c r="AS99" s="35">
        <f t="shared" si="55"/>
        <v>0</v>
      </c>
      <c r="AT99" s="35">
        <f t="shared" si="56"/>
        <v>0</v>
      </c>
      <c r="AU99" s="35">
        <f t="shared" si="57"/>
        <v>0</v>
      </c>
      <c r="AV99" s="35">
        <f t="shared" si="58"/>
        <v>1</v>
      </c>
      <c r="AW99" s="35">
        <f t="shared" si="59"/>
        <v>0</v>
      </c>
      <c r="AX99" s="35">
        <f t="shared" si="60"/>
        <v>0</v>
      </c>
      <c r="AY99" s="35">
        <f t="shared" si="61"/>
        <v>0</v>
      </c>
      <c r="AZ99" s="35">
        <f t="shared" si="62"/>
        <v>0</v>
      </c>
      <c r="BA99" s="35">
        <f t="shared" si="63"/>
        <v>0</v>
      </c>
      <c r="BB99" s="35">
        <f t="shared" si="64"/>
        <v>0</v>
      </c>
      <c r="BC99" s="35">
        <f t="shared" si="65"/>
        <v>0</v>
      </c>
    </row>
    <row r="100" spans="1:55" s="35" customFormat="1" x14ac:dyDescent="0.35">
      <c r="A100" s="36">
        <v>37201</v>
      </c>
      <c r="B100" s="35" t="s">
        <v>303</v>
      </c>
      <c r="C100" s="35" t="s">
        <v>45</v>
      </c>
      <c r="D100" s="35" t="s">
        <v>45</v>
      </c>
      <c r="E100" s="35" t="s">
        <v>102</v>
      </c>
      <c r="F100" s="139">
        <f t="shared" si="37"/>
        <v>0</v>
      </c>
      <c r="G100" s="35">
        <v>110000000</v>
      </c>
      <c r="H100" s="139">
        <f t="shared" si="38"/>
        <v>8.0413926851582254</v>
      </c>
      <c r="I100" s="35">
        <v>110000000</v>
      </c>
      <c r="J100" s="35">
        <v>0</v>
      </c>
      <c r="K100" s="36">
        <v>38160</v>
      </c>
      <c r="L100" s="35">
        <v>122100000</v>
      </c>
      <c r="M100" s="21">
        <f t="shared" si="40"/>
        <v>2.6273972602739728</v>
      </c>
      <c r="N100" s="21">
        <f t="shared" si="66"/>
        <v>0.41952574271418891</v>
      </c>
      <c r="O100" s="35">
        <v>0</v>
      </c>
      <c r="P100" s="35">
        <f t="shared" si="41"/>
        <v>0</v>
      </c>
      <c r="Q100" s="35">
        <v>3</v>
      </c>
      <c r="R100" s="35">
        <f t="shared" si="42"/>
        <v>0.6020599913279624</v>
      </c>
      <c r="S100" s="45">
        <v>2.95</v>
      </c>
      <c r="T100" s="45">
        <f t="shared" si="67"/>
        <v>0.46982201597816303</v>
      </c>
      <c r="U100" s="175">
        <f t="shared" si="43"/>
        <v>0.1100000000000001</v>
      </c>
      <c r="V100" s="48">
        <f t="shared" si="44"/>
        <v>4.5322978786657475E-2</v>
      </c>
      <c r="W100" s="35">
        <v>8291.8367346938758</v>
      </c>
      <c r="X100" s="35">
        <f t="shared" si="45"/>
        <v>3.9186507422978978</v>
      </c>
      <c r="Y100" s="35">
        <v>9858.1632653061242</v>
      </c>
      <c r="Z100" s="35">
        <f t="shared" si="46"/>
        <v>3.9937960064170404</v>
      </c>
      <c r="AA100" s="37">
        <v>0</v>
      </c>
      <c r="AB100" s="37">
        <f t="shared" si="47"/>
        <v>0</v>
      </c>
      <c r="AC100" s="35">
        <v>85</v>
      </c>
      <c r="AD100" s="35">
        <f t="shared" si="68"/>
        <v>1.9294189257142926</v>
      </c>
      <c r="AE100" s="48">
        <v>27.2</v>
      </c>
      <c r="AF100" s="48">
        <f t="shared" si="69"/>
        <v>1.4345689040341987</v>
      </c>
      <c r="AG100" s="43">
        <v>35.608384832026097</v>
      </c>
      <c r="AH100" s="43">
        <f t="shared" si="70"/>
        <v>1.5515522748692276</v>
      </c>
      <c r="AI100" s="39">
        <v>0</v>
      </c>
      <c r="AJ100" s="48">
        <f t="shared" si="48"/>
        <v>0</v>
      </c>
      <c r="AK100" s="35">
        <v>27</v>
      </c>
      <c r="AL100" s="35">
        <f t="shared" si="71"/>
        <v>1.4313637641589874</v>
      </c>
      <c r="AM100" s="35">
        <f t="shared" si="49"/>
        <v>0</v>
      </c>
      <c r="AN100" s="35">
        <f t="shared" si="50"/>
        <v>1</v>
      </c>
      <c r="AO100" s="35">
        <f t="shared" si="51"/>
        <v>0</v>
      </c>
      <c r="AP100" s="35">
        <f t="shared" si="52"/>
        <v>0</v>
      </c>
      <c r="AQ100" s="35">
        <f t="shared" si="53"/>
        <v>0</v>
      </c>
      <c r="AR100" s="35">
        <f t="shared" si="54"/>
        <v>0</v>
      </c>
      <c r="AS100" s="35">
        <f t="shared" si="55"/>
        <v>0</v>
      </c>
      <c r="AT100" s="35">
        <f t="shared" si="56"/>
        <v>0</v>
      </c>
      <c r="AU100" s="35">
        <f t="shared" si="57"/>
        <v>0</v>
      </c>
      <c r="AV100" s="35">
        <f t="shared" si="58"/>
        <v>0</v>
      </c>
      <c r="AW100" s="35">
        <f t="shared" si="59"/>
        <v>0</v>
      </c>
      <c r="AX100" s="35">
        <f t="shared" si="60"/>
        <v>0</v>
      </c>
      <c r="AY100" s="35">
        <f t="shared" si="61"/>
        <v>0</v>
      </c>
      <c r="AZ100" s="35">
        <f t="shared" si="62"/>
        <v>0</v>
      </c>
      <c r="BA100" s="35">
        <f t="shared" si="63"/>
        <v>0</v>
      </c>
      <c r="BB100" s="35">
        <f t="shared" si="64"/>
        <v>0</v>
      </c>
      <c r="BC100" s="35">
        <f t="shared" si="65"/>
        <v>0</v>
      </c>
    </row>
    <row r="101" spans="1:55" s="35" customFormat="1" x14ac:dyDescent="0.35">
      <c r="A101" s="36">
        <v>37224</v>
      </c>
      <c r="B101" s="90" t="s">
        <v>1064</v>
      </c>
      <c r="C101" s="35" t="s">
        <v>447</v>
      </c>
      <c r="D101" s="35" t="s">
        <v>45</v>
      </c>
      <c r="E101" s="35" t="s">
        <v>64</v>
      </c>
      <c r="F101" s="139">
        <f t="shared" si="37"/>
        <v>1</v>
      </c>
      <c r="G101" s="35">
        <v>99200000</v>
      </c>
      <c r="H101" s="139">
        <f t="shared" si="38"/>
        <v>7.9965116721541785</v>
      </c>
      <c r="I101" s="35">
        <f>G101</f>
        <v>99200000</v>
      </c>
      <c r="J101" s="35">
        <v>0</v>
      </c>
      <c r="K101" s="36">
        <v>38107</v>
      </c>
      <c r="L101" s="35">
        <v>455700000</v>
      </c>
      <c r="M101" s="21">
        <f t="shared" si="40"/>
        <v>2.419178082191781</v>
      </c>
      <c r="N101" s="21">
        <f t="shared" si="66"/>
        <v>0.38366783912109392</v>
      </c>
      <c r="O101" s="35">
        <v>6087.84</v>
      </c>
      <c r="P101" s="35">
        <f t="shared" si="41"/>
        <v>3.7845345619950592</v>
      </c>
      <c r="Q101" s="35">
        <v>21</v>
      </c>
      <c r="R101" s="35">
        <f t="shared" si="42"/>
        <v>1.3424226808222062</v>
      </c>
      <c r="S101" s="45">
        <v>2.81</v>
      </c>
      <c r="T101" s="45">
        <f t="shared" si="67"/>
        <v>0.44870631990507992</v>
      </c>
      <c r="U101" s="175">
        <f t="shared" si="43"/>
        <v>3.59375</v>
      </c>
      <c r="V101" s="48">
        <f t="shared" si="44"/>
        <v>0.66216735642827007</v>
      </c>
      <c r="W101" s="35">
        <v>2387.5432525951551</v>
      </c>
      <c r="X101" s="35">
        <f t="shared" si="45"/>
        <v>3.3779512479807074</v>
      </c>
      <c r="Y101" s="35">
        <v>5847.7508650519039</v>
      </c>
      <c r="Z101" s="35">
        <f t="shared" si="46"/>
        <v>3.7669888618571257</v>
      </c>
      <c r="AA101" s="37">
        <v>824.83333333333303</v>
      </c>
      <c r="AB101" s="37">
        <f t="shared" si="47"/>
        <v>2.9168924084376502</v>
      </c>
      <c r="AC101" s="35">
        <v>70</v>
      </c>
      <c r="AD101" s="35">
        <f t="shared" si="68"/>
        <v>1.8450980400142569</v>
      </c>
      <c r="AE101" s="48">
        <v>32.840000000000003</v>
      </c>
      <c r="AF101" s="48">
        <f t="shared" si="69"/>
        <v>1.5164031484474032</v>
      </c>
      <c r="AG101" s="43">
        <v>38.458217540970502</v>
      </c>
      <c r="AH101" s="43">
        <f t="shared" si="70"/>
        <v>1.5849891517157813</v>
      </c>
      <c r="AI101" s="39">
        <v>0.52</v>
      </c>
      <c r="AJ101" s="48">
        <f t="shared" si="48"/>
        <v>0.18184358794477254</v>
      </c>
      <c r="AK101" s="35">
        <v>37</v>
      </c>
      <c r="AL101" s="35">
        <f t="shared" si="71"/>
        <v>1.568201724066995</v>
      </c>
      <c r="AM101" s="35">
        <f t="shared" si="49"/>
        <v>0</v>
      </c>
      <c r="AN101" s="35">
        <f t="shared" si="50"/>
        <v>0</v>
      </c>
      <c r="AO101" s="35">
        <f t="shared" si="51"/>
        <v>0</v>
      </c>
      <c r="AP101" s="35">
        <f t="shared" si="52"/>
        <v>0</v>
      </c>
      <c r="AQ101" s="35">
        <f t="shared" si="53"/>
        <v>0</v>
      </c>
      <c r="AR101" s="35">
        <f t="shared" si="54"/>
        <v>0</v>
      </c>
      <c r="AS101" s="35">
        <f t="shared" si="55"/>
        <v>0</v>
      </c>
      <c r="AT101" s="35">
        <f t="shared" si="56"/>
        <v>0</v>
      </c>
      <c r="AU101" s="35">
        <f t="shared" si="57"/>
        <v>0</v>
      </c>
      <c r="AV101" s="35">
        <f t="shared" si="58"/>
        <v>0</v>
      </c>
      <c r="AW101" s="35">
        <f t="shared" si="59"/>
        <v>0</v>
      </c>
      <c r="AX101" s="35">
        <f t="shared" si="60"/>
        <v>1</v>
      </c>
      <c r="AY101" s="35">
        <f t="shared" si="61"/>
        <v>0</v>
      </c>
      <c r="AZ101" s="35">
        <f t="shared" si="62"/>
        <v>0</v>
      </c>
      <c r="BA101" s="35">
        <f t="shared" si="63"/>
        <v>0</v>
      </c>
      <c r="BB101" s="35">
        <f t="shared" si="64"/>
        <v>0</v>
      </c>
      <c r="BC101" s="35">
        <f t="shared" si="65"/>
        <v>0</v>
      </c>
    </row>
    <row r="102" spans="1:55" s="35" customFormat="1" x14ac:dyDescent="0.35">
      <c r="A102" s="36">
        <v>37287</v>
      </c>
      <c r="B102" s="90" t="s">
        <v>574</v>
      </c>
      <c r="C102" s="35" t="s">
        <v>4</v>
      </c>
      <c r="D102" s="35" t="s">
        <v>419</v>
      </c>
      <c r="E102" s="35" t="s">
        <v>125</v>
      </c>
      <c r="F102" s="139">
        <f t="shared" si="37"/>
        <v>1</v>
      </c>
      <c r="G102" s="35">
        <v>2177000</v>
      </c>
      <c r="H102" s="139">
        <f t="shared" si="38"/>
        <v>6.337858429041094</v>
      </c>
      <c r="I102" s="35">
        <f>G102</f>
        <v>2177000</v>
      </c>
      <c r="J102" s="35">
        <v>0</v>
      </c>
      <c r="K102" s="36">
        <v>39280</v>
      </c>
      <c r="L102" s="35">
        <v>35453000</v>
      </c>
      <c r="M102" s="21">
        <f t="shared" si="40"/>
        <v>5.4602739726027396</v>
      </c>
      <c r="N102" s="21">
        <f t="shared" si="66"/>
        <v>0.7372144342440129</v>
      </c>
      <c r="O102" s="35">
        <v>395.92</v>
      </c>
      <c r="P102" s="35">
        <f t="shared" si="41"/>
        <v>2.5987029826834349</v>
      </c>
      <c r="Q102" s="35">
        <v>18</v>
      </c>
      <c r="R102" s="35">
        <f t="shared" si="42"/>
        <v>1.2787536009528289</v>
      </c>
      <c r="S102" s="45">
        <v>3.35</v>
      </c>
      <c r="T102" s="45">
        <f t="shared" si="67"/>
        <v>0.5250448070368452</v>
      </c>
      <c r="U102" s="175">
        <f t="shared" si="43"/>
        <v>15.285254937988057</v>
      </c>
      <c r="V102" s="48">
        <f t="shared" si="44"/>
        <v>1.2117945616294652</v>
      </c>
      <c r="W102" s="35">
        <v>1895.918367346939</v>
      </c>
      <c r="X102" s="35">
        <f t="shared" si="45"/>
        <v>3.277819633965128</v>
      </c>
      <c r="Y102" s="35">
        <v>8519.3877551020414</v>
      </c>
      <c r="Z102" s="35">
        <f t="shared" si="46"/>
        <v>3.9304083853612104</v>
      </c>
      <c r="AA102" s="37">
        <v>345.83333333333297</v>
      </c>
      <c r="AB102" s="37">
        <f t="shared" si="47"/>
        <v>2.5401208298279827</v>
      </c>
      <c r="AC102" s="35">
        <v>70</v>
      </c>
      <c r="AD102" s="35">
        <f t="shared" si="68"/>
        <v>1.8450980400142569</v>
      </c>
      <c r="AE102" s="48">
        <v>45.2</v>
      </c>
      <c r="AF102" s="48">
        <f t="shared" si="69"/>
        <v>1.6551384348113822</v>
      </c>
      <c r="AG102" s="43">
        <v>53.8530722517336</v>
      </c>
      <c r="AH102" s="43">
        <f t="shared" si="70"/>
        <v>1.7312104843083773</v>
      </c>
      <c r="AI102" s="39">
        <v>0.11</v>
      </c>
      <c r="AJ102" s="48">
        <f t="shared" si="48"/>
        <v>4.5322978786657475E-2</v>
      </c>
      <c r="AK102" s="35">
        <v>22</v>
      </c>
      <c r="AL102" s="35">
        <f t="shared" si="71"/>
        <v>1.3424226808222062</v>
      </c>
      <c r="AM102" s="35">
        <f t="shared" si="49"/>
        <v>0</v>
      </c>
      <c r="AN102" s="35">
        <f t="shared" si="50"/>
        <v>0</v>
      </c>
      <c r="AO102" s="35">
        <f t="shared" si="51"/>
        <v>0</v>
      </c>
      <c r="AP102" s="35">
        <f t="shared" si="52"/>
        <v>0</v>
      </c>
      <c r="AQ102" s="35">
        <f t="shared" si="53"/>
        <v>0</v>
      </c>
      <c r="AR102" s="35">
        <f t="shared" si="54"/>
        <v>1</v>
      </c>
      <c r="AS102" s="35">
        <f t="shared" si="55"/>
        <v>0</v>
      </c>
      <c r="AT102" s="35">
        <f t="shared" si="56"/>
        <v>0</v>
      </c>
      <c r="AU102" s="35">
        <f t="shared" si="57"/>
        <v>0</v>
      </c>
      <c r="AV102" s="35">
        <f t="shared" si="58"/>
        <v>0</v>
      </c>
      <c r="AW102" s="35">
        <f t="shared" si="59"/>
        <v>0</v>
      </c>
      <c r="AX102" s="35">
        <f t="shared" si="60"/>
        <v>0</v>
      </c>
      <c r="AY102" s="35">
        <f t="shared" si="61"/>
        <v>0</v>
      </c>
      <c r="AZ102" s="35">
        <f t="shared" si="62"/>
        <v>0</v>
      </c>
      <c r="BA102" s="35">
        <f t="shared" si="63"/>
        <v>0</v>
      </c>
      <c r="BB102" s="35">
        <f t="shared" si="64"/>
        <v>0</v>
      </c>
      <c r="BC102" s="35">
        <f t="shared" si="65"/>
        <v>0</v>
      </c>
    </row>
    <row r="103" spans="1:55" s="35" customFormat="1" x14ac:dyDescent="0.35">
      <c r="A103" s="36">
        <v>37294</v>
      </c>
      <c r="B103" s="35" t="s">
        <v>488</v>
      </c>
      <c r="C103" s="35" t="s">
        <v>489</v>
      </c>
      <c r="D103" s="35" t="s">
        <v>59</v>
      </c>
      <c r="E103" s="35" t="s">
        <v>125</v>
      </c>
      <c r="F103" s="139">
        <f t="shared" si="37"/>
        <v>1</v>
      </c>
      <c r="G103" s="35">
        <v>580000000</v>
      </c>
      <c r="H103" s="139">
        <f t="shared" si="38"/>
        <v>8.7634279935629369</v>
      </c>
      <c r="I103" s="35">
        <f>G103</f>
        <v>580000000</v>
      </c>
      <c r="J103" s="35">
        <v>0</v>
      </c>
      <c r="K103" s="36">
        <v>38635</v>
      </c>
      <c r="L103" s="35">
        <v>646000000</v>
      </c>
      <c r="M103" s="21">
        <f t="shared" si="40"/>
        <v>3.6739726027397261</v>
      </c>
      <c r="N103" s="21">
        <f t="shared" si="66"/>
        <v>0.56513591339512426</v>
      </c>
      <c r="O103" s="35">
        <v>776.05</v>
      </c>
      <c r="P103" s="35">
        <f t="shared" si="41"/>
        <v>2.8904489647796185</v>
      </c>
      <c r="Q103" s="35">
        <v>6</v>
      </c>
      <c r="R103" s="35">
        <f t="shared" si="42"/>
        <v>0.84509804001425681</v>
      </c>
      <c r="S103" s="45">
        <v>3.18</v>
      </c>
      <c r="T103" s="45">
        <f t="shared" si="67"/>
        <v>0.50242711998443268</v>
      </c>
      <c r="U103" s="175">
        <f t="shared" si="43"/>
        <v>0.11379310344827576</v>
      </c>
      <c r="V103" s="48">
        <f t="shared" si="44"/>
        <v>4.6804524432146763E-2</v>
      </c>
      <c r="W103" s="176">
        <v>1709.090909090909</v>
      </c>
      <c r="X103" s="35">
        <f t="shared" si="45"/>
        <v>3.2327651641054547</v>
      </c>
      <c r="Y103" s="35">
        <v>8968.5950413223145</v>
      </c>
      <c r="Z103" s="35">
        <f t="shared" si="46"/>
        <v>3.9527244147731087</v>
      </c>
      <c r="AA103" s="37">
        <v>254.166666666667</v>
      </c>
      <c r="AB103" s="37">
        <f t="shared" si="47"/>
        <v>2.4068239403146179</v>
      </c>
      <c r="AC103" s="35">
        <v>70</v>
      </c>
      <c r="AD103" s="35">
        <f t="shared" si="68"/>
        <v>1.8450980400142569</v>
      </c>
      <c r="AE103" s="48">
        <v>27.63</v>
      </c>
      <c r="AF103" s="48">
        <f t="shared" si="69"/>
        <v>1.4413808849165113</v>
      </c>
      <c r="AG103" s="43">
        <v>49.329709120205997</v>
      </c>
      <c r="AH103" s="43">
        <f t="shared" si="70"/>
        <v>1.6931085545892062</v>
      </c>
      <c r="AI103" s="39">
        <v>-0.42</v>
      </c>
      <c r="AJ103" s="48">
        <f t="shared" si="48"/>
        <v>-0.23657200643706267</v>
      </c>
      <c r="AK103" s="35">
        <v>30</v>
      </c>
      <c r="AL103" s="35">
        <f t="shared" si="71"/>
        <v>1.4771212547196624</v>
      </c>
      <c r="AM103" s="35">
        <f t="shared" si="49"/>
        <v>0</v>
      </c>
      <c r="AN103" s="35">
        <f t="shared" si="50"/>
        <v>0</v>
      </c>
      <c r="AO103" s="35">
        <f t="shared" si="51"/>
        <v>0</v>
      </c>
      <c r="AP103" s="35">
        <f t="shared" si="52"/>
        <v>0</v>
      </c>
      <c r="AQ103" s="35">
        <f t="shared" si="53"/>
        <v>0</v>
      </c>
      <c r="AR103" s="35">
        <f t="shared" si="54"/>
        <v>0</v>
      </c>
      <c r="AS103" s="35">
        <f t="shared" si="55"/>
        <v>0</v>
      </c>
      <c r="AT103" s="35">
        <f t="shared" si="56"/>
        <v>0</v>
      </c>
      <c r="AU103" s="35">
        <f t="shared" si="57"/>
        <v>0</v>
      </c>
      <c r="AV103" s="35">
        <f t="shared" si="58"/>
        <v>0</v>
      </c>
      <c r="AW103" s="35">
        <f t="shared" si="59"/>
        <v>0</v>
      </c>
      <c r="AX103" s="35">
        <f t="shared" si="60"/>
        <v>0</v>
      </c>
      <c r="AY103" s="35">
        <f t="shared" si="61"/>
        <v>0</v>
      </c>
      <c r="AZ103" s="35">
        <f t="shared" si="62"/>
        <v>0</v>
      </c>
      <c r="BA103" s="35">
        <f t="shared" si="63"/>
        <v>1</v>
      </c>
      <c r="BB103" s="35">
        <f t="shared" si="64"/>
        <v>0</v>
      </c>
      <c r="BC103" s="35">
        <f t="shared" si="65"/>
        <v>0</v>
      </c>
    </row>
    <row r="104" spans="1:55" s="35" customFormat="1" x14ac:dyDescent="0.35">
      <c r="A104" s="36">
        <v>37314</v>
      </c>
      <c r="B104" s="90" t="s">
        <v>1073</v>
      </c>
      <c r="C104" s="35" t="s">
        <v>7</v>
      </c>
      <c r="D104" s="35" t="s">
        <v>45</v>
      </c>
      <c r="E104" s="35" t="s">
        <v>64</v>
      </c>
      <c r="F104" s="139">
        <f t="shared" si="37"/>
        <v>1</v>
      </c>
      <c r="G104" s="35">
        <v>550000000</v>
      </c>
      <c r="H104" s="139">
        <f t="shared" si="38"/>
        <v>8.7403626894942441</v>
      </c>
      <c r="I104" s="35">
        <f>G104</f>
        <v>550000000</v>
      </c>
      <c r="J104" s="35">
        <v>0</v>
      </c>
      <c r="K104" s="36">
        <v>38796</v>
      </c>
      <c r="L104" s="35">
        <v>643000000</v>
      </c>
      <c r="M104" s="21">
        <f t="shared" si="40"/>
        <v>4.0602739726027401</v>
      </c>
      <c r="N104" s="21">
        <f t="shared" si="66"/>
        <v>0.60855533918683469</v>
      </c>
      <c r="O104" s="35">
        <v>6385.66</v>
      </c>
      <c r="P104" s="35">
        <f t="shared" si="41"/>
        <v>3.8052737966880943</v>
      </c>
      <c r="Q104" s="35">
        <v>1</v>
      </c>
      <c r="R104" s="35">
        <f t="shared" si="42"/>
        <v>0.3010299956639812</v>
      </c>
      <c r="S104" s="45">
        <v>2.99</v>
      </c>
      <c r="T104" s="45">
        <f t="shared" si="67"/>
        <v>0.47567118832442967</v>
      </c>
      <c r="U104" s="175">
        <f t="shared" si="43"/>
        <v>0.16909090909090918</v>
      </c>
      <c r="V104" s="48">
        <f t="shared" si="44"/>
        <v>6.7848283429978257E-2</v>
      </c>
      <c r="W104" s="35">
        <v>1989.0260631001368</v>
      </c>
      <c r="X104" s="35">
        <f t="shared" si="45"/>
        <v>3.2986404739170001</v>
      </c>
      <c r="Y104" s="35">
        <v>5994.5130315500692</v>
      </c>
      <c r="Z104" s="35">
        <f t="shared" si="46"/>
        <v>3.7777539086524472</v>
      </c>
      <c r="AA104" s="37">
        <v>693.16666666666697</v>
      </c>
      <c r="AB104" s="37">
        <f t="shared" si="47"/>
        <v>2.8414637553591628</v>
      </c>
      <c r="AC104" s="35">
        <v>85</v>
      </c>
      <c r="AD104" s="35">
        <f t="shared" si="68"/>
        <v>1.9294189257142926</v>
      </c>
      <c r="AE104" s="48">
        <v>37.4</v>
      </c>
      <c r="AF104" s="48">
        <f t="shared" si="69"/>
        <v>1.5728716022004801</v>
      </c>
      <c r="AG104" s="43">
        <v>41.359233027230303</v>
      </c>
      <c r="AH104" s="43">
        <f t="shared" si="70"/>
        <v>1.6165724765285823</v>
      </c>
      <c r="AI104" s="39">
        <v>0.2</v>
      </c>
      <c r="AJ104" s="48">
        <f t="shared" si="48"/>
        <v>7.9181246047624818E-2</v>
      </c>
      <c r="AK104" s="35">
        <v>29</v>
      </c>
      <c r="AL104" s="35">
        <f t="shared" si="71"/>
        <v>1.4623979978989561</v>
      </c>
      <c r="AM104" s="35">
        <f t="shared" si="49"/>
        <v>0</v>
      </c>
      <c r="AN104" s="35">
        <f t="shared" si="50"/>
        <v>0</v>
      </c>
      <c r="AO104" s="35">
        <f t="shared" si="51"/>
        <v>0</v>
      </c>
      <c r="AP104" s="35">
        <f t="shared" si="52"/>
        <v>0</v>
      </c>
      <c r="AQ104" s="35">
        <f t="shared" si="53"/>
        <v>0</v>
      </c>
      <c r="AR104" s="35">
        <f t="shared" si="54"/>
        <v>0</v>
      </c>
      <c r="AS104" s="35">
        <f t="shared" si="55"/>
        <v>0</v>
      </c>
      <c r="AT104" s="35">
        <f t="shared" si="56"/>
        <v>0</v>
      </c>
      <c r="AU104" s="35">
        <f t="shared" si="57"/>
        <v>0</v>
      </c>
      <c r="AV104" s="35">
        <f t="shared" si="58"/>
        <v>0</v>
      </c>
      <c r="AW104" s="35">
        <f t="shared" si="59"/>
        <v>0</v>
      </c>
      <c r="AX104" s="35">
        <f t="shared" si="60"/>
        <v>0</v>
      </c>
      <c r="AY104" s="35">
        <f t="shared" si="61"/>
        <v>1</v>
      </c>
      <c r="AZ104" s="35">
        <f t="shared" si="62"/>
        <v>0</v>
      </c>
      <c r="BA104" s="35">
        <f t="shared" si="63"/>
        <v>0</v>
      </c>
      <c r="BB104" s="35">
        <f t="shared" si="64"/>
        <v>0</v>
      </c>
      <c r="BC104" s="35">
        <f t="shared" si="65"/>
        <v>0</v>
      </c>
    </row>
    <row r="105" spans="1:55" s="35" customFormat="1" x14ac:dyDescent="0.35">
      <c r="A105" s="36">
        <v>37316</v>
      </c>
      <c r="B105" s="35" t="s">
        <v>1163</v>
      </c>
      <c r="C105" s="35" t="s">
        <v>45</v>
      </c>
      <c r="D105" s="35" t="s">
        <v>602</v>
      </c>
      <c r="E105" s="35" t="s">
        <v>47</v>
      </c>
      <c r="F105" s="139">
        <f t="shared" si="37"/>
        <v>0</v>
      </c>
      <c r="G105" s="35">
        <v>52000000</v>
      </c>
      <c r="H105" s="139">
        <f t="shared" si="38"/>
        <v>7.7160033436347994</v>
      </c>
      <c r="I105" s="35">
        <f>G105</f>
        <v>52000000</v>
      </c>
      <c r="J105" s="35">
        <v>0</v>
      </c>
      <c r="K105" s="36">
        <v>39133</v>
      </c>
      <c r="L105" s="35">
        <v>260000000</v>
      </c>
      <c r="M105" s="21">
        <f t="shared" si="40"/>
        <v>4.978082191780822</v>
      </c>
      <c r="N105" s="21">
        <f t="shared" si="66"/>
        <v>0.69706206285155958</v>
      </c>
      <c r="O105" s="35">
        <v>0</v>
      </c>
      <c r="P105" s="35">
        <f t="shared" si="41"/>
        <v>0</v>
      </c>
      <c r="Q105" s="35">
        <v>0</v>
      </c>
      <c r="R105" s="35">
        <f t="shared" si="42"/>
        <v>0</v>
      </c>
      <c r="S105" s="45">
        <v>2.95</v>
      </c>
      <c r="T105" s="45">
        <f t="shared" si="67"/>
        <v>0.46982201597816303</v>
      </c>
      <c r="U105" s="175">
        <f t="shared" si="43"/>
        <v>4</v>
      </c>
      <c r="V105" s="48">
        <f t="shared" si="44"/>
        <v>0.69897000433601886</v>
      </c>
      <c r="W105" s="35">
        <v>1246.953</v>
      </c>
      <c r="X105" s="35">
        <f t="shared" si="45"/>
        <v>3.0958500844125241</v>
      </c>
      <c r="Y105" s="35">
        <v>3219.7179999999998</v>
      </c>
      <c r="Z105" s="35">
        <f t="shared" si="46"/>
        <v>3.5078178355445662</v>
      </c>
      <c r="AA105" s="35">
        <v>0</v>
      </c>
      <c r="AB105" s="37">
        <f t="shared" si="47"/>
        <v>0</v>
      </c>
      <c r="AC105" s="35">
        <v>85</v>
      </c>
      <c r="AD105" s="35">
        <f t="shared" si="68"/>
        <v>1.9294189257142926</v>
      </c>
      <c r="AE105" s="48">
        <v>24.9</v>
      </c>
      <c r="AF105" s="48">
        <f t="shared" si="69"/>
        <v>1.3961993470957363</v>
      </c>
      <c r="AG105" s="43">
        <v>36.710134890601303</v>
      </c>
      <c r="AH105" s="43">
        <f t="shared" si="70"/>
        <v>1.564785980312654</v>
      </c>
      <c r="AI105" s="39">
        <v>-0.14000000000000001</v>
      </c>
      <c r="AJ105" s="48">
        <f t="shared" si="48"/>
        <v>-6.5501548756432285E-2</v>
      </c>
      <c r="AK105" s="35">
        <v>27</v>
      </c>
      <c r="AL105" s="35">
        <f t="shared" si="71"/>
        <v>1.4313637641589874</v>
      </c>
      <c r="AM105" s="35">
        <f t="shared" si="49"/>
        <v>0</v>
      </c>
      <c r="AN105" s="35">
        <f t="shared" si="50"/>
        <v>1</v>
      </c>
      <c r="AO105" s="35">
        <f t="shared" si="51"/>
        <v>0</v>
      </c>
      <c r="AP105" s="35">
        <f t="shared" si="52"/>
        <v>0</v>
      </c>
      <c r="AQ105" s="35">
        <f t="shared" si="53"/>
        <v>0</v>
      </c>
      <c r="AR105" s="35">
        <f t="shared" si="54"/>
        <v>0</v>
      </c>
      <c r="AS105" s="35">
        <f t="shared" si="55"/>
        <v>0</v>
      </c>
      <c r="AT105" s="35">
        <f t="shared" si="56"/>
        <v>0</v>
      </c>
      <c r="AU105" s="35">
        <f t="shared" si="57"/>
        <v>0</v>
      </c>
      <c r="AV105" s="35">
        <f t="shared" si="58"/>
        <v>0</v>
      </c>
      <c r="AW105" s="35">
        <f t="shared" si="59"/>
        <v>0</v>
      </c>
      <c r="AX105" s="35">
        <f t="shared" si="60"/>
        <v>0</v>
      </c>
      <c r="AY105" s="35">
        <f t="shared" si="61"/>
        <v>0</v>
      </c>
      <c r="AZ105" s="35">
        <f t="shared" si="62"/>
        <v>0</v>
      </c>
      <c r="BA105" s="35">
        <f t="shared" si="63"/>
        <v>0</v>
      </c>
      <c r="BB105" s="35">
        <f t="shared" si="64"/>
        <v>0</v>
      </c>
      <c r="BC105" s="35">
        <f t="shared" si="65"/>
        <v>0</v>
      </c>
    </row>
    <row r="106" spans="1:55" s="35" customFormat="1" x14ac:dyDescent="0.35">
      <c r="A106" s="36">
        <v>37319</v>
      </c>
      <c r="B106" s="35" t="s">
        <v>242</v>
      </c>
      <c r="C106" s="35" t="s">
        <v>163</v>
      </c>
      <c r="D106" s="35" t="s">
        <v>59</v>
      </c>
      <c r="E106" s="35" t="s">
        <v>125</v>
      </c>
      <c r="F106" s="139">
        <f t="shared" si="37"/>
        <v>1</v>
      </c>
      <c r="G106" s="35">
        <v>300000000</v>
      </c>
      <c r="H106" s="139">
        <f t="shared" si="38"/>
        <v>8.4771212547196626</v>
      </c>
      <c r="I106" s="35">
        <v>300000000</v>
      </c>
      <c r="J106" s="35">
        <v>0</v>
      </c>
      <c r="K106" s="36">
        <v>38734</v>
      </c>
      <c r="L106" s="35">
        <v>400000000</v>
      </c>
      <c r="M106" s="21">
        <f t="shared" si="40"/>
        <v>3.8767123287671232</v>
      </c>
      <c r="N106" s="21">
        <f t="shared" si="66"/>
        <v>0.58846357540383432</v>
      </c>
      <c r="O106" s="35">
        <v>342.74</v>
      </c>
      <c r="P106" s="35">
        <f t="shared" si="41"/>
        <v>2.5362300726332561</v>
      </c>
      <c r="Q106" s="35">
        <v>63</v>
      </c>
      <c r="R106" s="35">
        <f t="shared" si="42"/>
        <v>1.8061799739838871</v>
      </c>
      <c r="S106" s="45">
        <v>2.3199999999999998</v>
      </c>
      <c r="T106" s="45">
        <f t="shared" si="67"/>
        <v>0.36548798489089962</v>
      </c>
      <c r="U106" s="175">
        <f t="shared" si="43"/>
        <v>0.33333333333333326</v>
      </c>
      <c r="V106" s="48">
        <f t="shared" si="44"/>
        <v>0.12493873660829993</v>
      </c>
      <c r="W106" s="35">
        <v>1669.0315000000001</v>
      </c>
      <c r="X106" s="35">
        <f t="shared" si="45"/>
        <v>3.2224645332922388</v>
      </c>
      <c r="Y106" s="35">
        <v>5094.7950000000001</v>
      </c>
      <c r="Z106" s="35">
        <f t="shared" si="46"/>
        <v>3.707126713924402</v>
      </c>
      <c r="AA106" s="37">
        <v>569.16666666666697</v>
      </c>
      <c r="AB106" s="37">
        <f t="shared" si="47"/>
        <v>2.756001823801419</v>
      </c>
      <c r="AC106" s="35">
        <v>70</v>
      </c>
      <c r="AD106" s="35">
        <f t="shared" si="68"/>
        <v>1.8450980400142569</v>
      </c>
      <c r="AE106" s="48">
        <v>42.4</v>
      </c>
      <c r="AF106" s="48">
        <f t="shared" si="69"/>
        <v>1.6273658565927327</v>
      </c>
      <c r="AG106" s="43">
        <v>52.795294707427601</v>
      </c>
      <c r="AH106" s="43">
        <f t="shared" si="70"/>
        <v>1.7225952184872551</v>
      </c>
      <c r="AI106" s="39">
        <v>0.14000000000000001</v>
      </c>
      <c r="AJ106" s="48">
        <f t="shared" si="48"/>
        <v>5.6904851336472641E-2</v>
      </c>
      <c r="AK106" s="35">
        <v>26</v>
      </c>
      <c r="AL106" s="35">
        <f t="shared" si="71"/>
        <v>1.414973347970818</v>
      </c>
      <c r="AM106" s="35">
        <f t="shared" si="49"/>
        <v>0</v>
      </c>
      <c r="AN106" s="35">
        <f t="shared" si="50"/>
        <v>0</v>
      </c>
      <c r="AO106" s="35">
        <f t="shared" si="51"/>
        <v>0</v>
      </c>
      <c r="AP106" s="35">
        <f t="shared" si="52"/>
        <v>0</v>
      </c>
      <c r="AQ106" s="35">
        <f t="shared" si="53"/>
        <v>0</v>
      </c>
      <c r="AR106" s="35">
        <f t="shared" si="54"/>
        <v>0</v>
      </c>
      <c r="AS106" s="35">
        <f t="shared" si="55"/>
        <v>0</v>
      </c>
      <c r="AT106" s="35">
        <f t="shared" si="56"/>
        <v>1</v>
      </c>
      <c r="AU106" s="35">
        <f t="shared" si="57"/>
        <v>0</v>
      </c>
      <c r="AV106" s="35">
        <f t="shared" si="58"/>
        <v>0</v>
      </c>
      <c r="AW106" s="35">
        <f t="shared" si="59"/>
        <v>0</v>
      </c>
      <c r="AX106" s="35">
        <f t="shared" si="60"/>
        <v>0</v>
      </c>
      <c r="AY106" s="35">
        <f t="shared" si="61"/>
        <v>0</v>
      </c>
      <c r="AZ106" s="35">
        <f t="shared" si="62"/>
        <v>0</v>
      </c>
      <c r="BA106" s="35">
        <f t="shared" si="63"/>
        <v>0</v>
      </c>
      <c r="BB106" s="35">
        <f t="shared" si="64"/>
        <v>0</v>
      </c>
      <c r="BC106" s="35">
        <f t="shared" si="65"/>
        <v>0</v>
      </c>
    </row>
    <row r="107" spans="1:55" s="35" customFormat="1" x14ac:dyDescent="0.35">
      <c r="A107" s="36">
        <v>37319</v>
      </c>
      <c r="B107" s="35" t="s">
        <v>636</v>
      </c>
      <c r="C107" s="35" t="s">
        <v>59</v>
      </c>
      <c r="D107" s="35" t="s">
        <v>602</v>
      </c>
      <c r="E107" s="35" t="s">
        <v>64</v>
      </c>
      <c r="F107" s="139">
        <f t="shared" si="37"/>
        <v>1</v>
      </c>
      <c r="G107" s="35">
        <v>6900000</v>
      </c>
      <c r="H107" s="139">
        <f t="shared" si="38"/>
        <v>6.8388490907372557</v>
      </c>
      <c r="I107" s="35">
        <f>G107</f>
        <v>6900000</v>
      </c>
      <c r="J107" s="35">
        <v>0</v>
      </c>
      <c r="K107" s="36">
        <v>38448</v>
      </c>
      <c r="L107" s="35">
        <v>14980000</v>
      </c>
      <c r="M107" s="21">
        <f t="shared" si="40"/>
        <v>3.0931506849315067</v>
      </c>
      <c r="N107" s="21">
        <f t="shared" si="66"/>
        <v>0.49040107746849315</v>
      </c>
      <c r="O107" s="35">
        <v>5897.96</v>
      </c>
      <c r="P107" s="35">
        <f t="shared" si="41"/>
        <v>3.7707754512906644</v>
      </c>
      <c r="Q107" s="35">
        <v>3</v>
      </c>
      <c r="R107" s="35">
        <f t="shared" si="42"/>
        <v>0.6020599913279624</v>
      </c>
      <c r="S107" s="45">
        <v>2.3199999999999998</v>
      </c>
      <c r="T107" s="45">
        <f t="shared" si="67"/>
        <v>0.36548798489089962</v>
      </c>
      <c r="U107" s="175">
        <f t="shared" si="43"/>
        <v>1.1710144927536232</v>
      </c>
      <c r="V107" s="48">
        <f t="shared" si="44"/>
        <v>0.33666272262619235</v>
      </c>
      <c r="W107" s="35">
        <v>1246.953</v>
      </c>
      <c r="X107" s="35">
        <f t="shared" si="45"/>
        <v>3.0958500844125241</v>
      </c>
      <c r="Y107" s="35">
        <v>3219.7179999999998</v>
      </c>
      <c r="Z107" s="35">
        <f t="shared" si="46"/>
        <v>3.5078178355445662</v>
      </c>
      <c r="AA107" s="37">
        <v>132</v>
      </c>
      <c r="AB107" s="37">
        <f t="shared" si="47"/>
        <v>2.1238516409670858</v>
      </c>
      <c r="AC107" s="35">
        <v>85</v>
      </c>
      <c r="AD107" s="35">
        <f t="shared" si="68"/>
        <v>1.9294189257142926</v>
      </c>
      <c r="AE107" s="48">
        <v>31.5</v>
      </c>
      <c r="AF107" s="48">
        <f t="shared" si="69"/>
        <v>1.4983105537896004</v>
      </c>
      <c r="AG107" s="43">
        <v>37.589394702761602</v>
      </c>
      <c r="AH107" s="43">
        <f t="shared" si="70"/>
        <v>1.575065332381355</v>
      </c>
      <c r="AI107" s="39">
        <v>0.25</v>
      </c>
      <c r="AJ107" s="48">
        <f t="shared" si="48"/>
        <v>9.691001300805642E-2</v>
      </c>
      <c r="AK107" s="35">
        <v>24</v>
      </c>
      <c r="AL107" s="35">
        <f t="shared" si="71"/>
        <v>1.3802112417116059</v>
      </c>
      <c r="AM107" s="35">
        <f t="shared" si="49"/>
        <v>0</v>
      </c>
      <c r="AN107" s="35">
        <f t="shared" si="50"/>
        <v>0</v>
      </c>
      <c r="AO107" s="35">
        <f t="shared" si="51"/>
        <v>1</v>
      </c>
      <c r="AP107" s="35">
        <f t="shared" si="52"/>
        <v>0</v>
      </c>
      <c r="AQ107" s="35">
        <f t="shared" si="53"/>
        <v>0</v>
      </c>
      <c r="AR107" s="35">
        <f t="shared" si="54"/>
        <v>0</v>
      </c>
      <c r="AS107" s="35">
        <f t="shared" si="55"/>
        <v>0</v>
      </c>
      <c r="AT107" s="35">
        <f t="shared" si="56"/>
        <v>0</v>
      </c>
      <c r="AU107" s="35">
        <f t="shared" si="57"/>
        <v>0</v>
      </c>
      <c r="AV107" s="35">
        <f t="shared" si="58"/>
        <v>0</v>
      </c>
      <c r="AW107" s="35">
        <f t="shared" si="59"/>
        <v>0</v>
      </c>
      <c r="AX107" s="35">
        <f t="shared" si="60"/>
        <v>0</v>
      </c>
      <c r="AY107" s="35">
        <f t="shared" si="61"/>
        <v>0</v>
      </c>
      <c r="AZ107" s="35">
        <f t="shared" si="62"/>
        <v>0</v>
      </c>
      <c r="BA107" s="35">
        <f t="shared" si="63"/>
        <v>0</v>
      </c>
      <c r="BB107" s="35">
        <f t="shared" si="64"/>
        <v>0</v>
      </c>
      <c r="BC107" s="35">
        <f t="shared" si="65"/>
        <v>0</v>
      </c>
    </row>
    <row r="108" spans="1:55" s="35" customFormat="1" x14ac:dyDescent="0.35">
      <c r="A108" s="36">
        <v>37328</v>
      </c>
      <c r="B108" s="35" t="s">
        <v>180</v>
      </c>
      <c r="C108" s="35" t="s">
        <v>45</v>
      </c>
      <c r="D108" s="35" t="s">
        <v>45</v>
      </c>
      <c r="E108" s="35" t="s">
        <v>47</v>
      </c>
      <c r="F108" s="139">
        <f t="shared" si="37"/>
        <v>0</v>
      </c>
      <c r="G108" s="35">
        <v>743830000</v>
      </c>
      <c r="H108" s="139">
        <f t="shared" si="38"/>
        <v>8.8714736902527402</v>
      </c>
      <c r="I108" s="35">
        <v>262420000</v>
      </c>
      <c r="J108" s="35">
        <v>481410000</v>
      </c>
      <c r="K108" s="36">
        <v>42087</v>
      </c>
      <c r="L108" s="35">
        <v>1350000000</v>
      </c>
      <c r="M108" s="21">
        <f t="shared" si="40"/>
        <v>13.038356164383561</v>
      </c>
      <c r="N108" s="21">
        <f t="shared" si="66"/>
        <v>1.1152228403422828</v>
      </c>
      <c r="O108" s="35">
        <v>0</v>
      </c>
      <c r="P108" s="35">
        <f t="shared" si="41"/>
        <v>0</v>
      </c>
      <c r="Q108" s="35">
        <v>5</v>
      </c>
      <c r="R108" s="35">
        <f t="shared" si="42"/>
        <v>0.77815125038364363</v>
      </c>
      <c r="S108" s="45">
        <v>2.95</v>
      </c>
      <c r="T108" s="45">
        <f t="shared" si="67"/>
        <v>0.46982201597816303</v>
      </c>
      <c r="U108" s="175">
        <f t="shared" si="43"/>
        <v>0.81493083096944186</v>
      </c>
      <c r="V108" s="48">
        <f t="shared" si="44"/>
        <v>0.25886007824226553</v>
      </c>
      <c r="W108" s="35">
        <v>1518.5350000000001</v>
      </c>
      <c r="X108" s="35">
        <f t="shared" si="45"/>
        <v>3.1814248062191788</v>
      </c>
      <c r="Y108" s="35">
        <v>5363.16</v>
      </c>
      <c r="Z108" s="35">
        <f t="shared" si="46"/>
        <v>3.7294207535322617</v>
      </c>
      <c r="AA108" s="37">
        <v>0</v>
      </c>
      <c r="AB108" s="37">
        <f t="shared" si="47"/>
        <v>0</v>
      </c>
      <c r="AC108" s="35">
        <v>85</v>
      </c>
      <c r="AD108" s="35">
        <f t="shared" si="68"/>
        <v>1.9294189257142926</v>
      </c>
      <c r="AE108" s="48">
        <v>24.9</v>
      </c>
      <c r="AF108" s="48">
        <f t="shared" si="69"/>
        <v>1.3961993470957363</v>
      </c>
      <c r="AG108" s="43">
        <v>36.710134890601303</v>
      </c>
      <c r="AH108" s="43">
        <f t="shared" si="70"/>
        <v>1.564785980312654</v>
      </c>
      <c r="AI108" s="39">
        <v>0.33</v>
      </c>
      <c r="AJ108" s="48">
        <f t="shared" si="48"/>
        <v>0.12385164096708581</v>
      </c>
      <c r="AK108" s="35">
        <v>24</v>
      </c>
      <c r="AL108" s="35">
        <f t="shared" si="71"/>
        <v>1.3802112417116059</v>
      </c>
      <c r="AM108" s="35">
        <f t="shared" si="49"/>
        <v>0</v>
      </c>
      <c r="AN108" s="35">
        <f t="shared" si="50"/>
        <v>1</v>
      </c>
      <c r="AO108" s="35">
        <f t="shared" si="51"/>
        <v>0</v>
      </c>
      <c r="AP108" s="35">
        <f t="shared" si="52"/>
        <v>0</v>
      </c>
      <c r="AQ108" s="35">
        <f t="shared" si="53"/>
        <v>0</v>
      </c>
      <c r="AR108" s="35">
        <f t="shared" si="54"/>
        <v>0</v>
      </c>
      <c r="AS108" s="35">
        <f t="shared" si="55"/>
        <v>0</v>
      </c>
      <c r="AT108" s="35">
        <f t="shared" si="56"/>
        <v>0</v>
      </c>
      <c r="AU108" s="35">
        <f t="shared" si="57"/>
        <v>0</v>
      </c>
      <c r="AV108" s="35">
        <f t="shared" si="58"/>
        <v>0</v>
      </c>
      <c r="AW108" s="35">
        <f t="shared" si="59"/>
        <v>0</v>
      </c>
      <c r="AX108" s="35">
        <f t="shared" si="60"/>
        <v>0</v>
      </c>
      <c r="AY108" s="35">
        <f t="shared" si="61"/>
        <v>0</v>
      </c>
      <c r="AZ108" s="35">
        <f t="shared" si="62"/>
        <v>0</v>
      </c>
      <c r="BA108" s="35">
        <f t="shared" si="63"/>
        <v>0</v>
      </c>
      <c r="BB108" s="35">
        <f t="shared" si="64"/>
        <v>0</v>
      </c>
      <c r="BC108" s="35">
        <f t="shared" si="65"/>
        <v>0</v>
      </c>
    </row>
    <row r="109" spans="1:55" s="35" customFormat="1" x14ac:dyDescent="0.35">
      <c r="A109" s="36">
        <v>37328</v>
      </c>
      <c r="B109" s="35" t="s">
        <v>1139</v>
      </c>
      <c r="C109" s="35" t="s">
        <v>59</v>
      </c>
      <c r="D109" s="35" t="s">
        <v>577</v>
      </c>
      <c r="E109" s="35" t="s">
        <v>47</v>
      </c>
      <c r="F109" s="139">
        <f t="shared" si="37"/>
        <v>0</v>
      </c>
      <c r="G109" s="35">
        <v>15000000</v>
      </c>
      <c r="H109" s="139">
        <f t="shared" si="38"/>
        <v>7.1760912590556813</v>
      </c>
      <c r="I109" s="35">
        <f>G109</f>
        <v>15000000</v>
      </c>
      <c r="J109" s="35">
        <v>0</v>
      </c>
      <c r="K109" s="36">
        <v>38798</v>
      </c>
      <c r="L109" s="35">
        <v>106000000</v>
      </c>
      <c r="M109" s="21">
        <f t="shared" si="40"/>
        <v>4.0273972602739727</v>
      </c>
      <c r="N109" s="21">
        <f t="shared" si="66"/>
        <v>0.60502447029170137</v>
      </c>
      <c r="O109" s="35">
        <v>0</v>
      </c>
      <c r="P109" s="35">
        <f t="shared" si="41"/>
        <v>0</v>
      </c>
      <c r="Q109" s="35">
        <v>6</v>
      </c>
      <c r="R109" s="35">
        <f t="shared" si="42"/>
        <v>0.84509804001425681</v>
      </c>
      <c r="S109" s="45">
        <v>3.29</v>
      </c>
      <c r="T109" s="45">
        <f t="shared" si="67"/>
        <v>0.51719589794997434</v>
      </c>
      <c r="U109" s="175">
        <f t="shared" si="43"/>
        <v>6.0666666666666664</v>
      </c>
      <c r="V109" s="48">
        <f t="shared" si="44"/>
        <v>0.84921460620908895</v>
      </c>
      <c r="W109" s="35">
        <v>1801.1079999999999</v>
      </c>
      <c r="X109" s="35">
        <f t="shared" si="45"/>
        <v>3.2555397552391718</v>
      </c>
      <c r="Y109" s="35">
        <v>8416.6209999999992</v>
      </c>
      <c r="Z109" s="35">
        <f t="shared" si="46"/>
        <v>3.9251377713585649</v>
      </c>
      <c r="AA109" s="37">
        <v>0</v>
      </c>
      <c r="AB109" s="37">
        <f t="shared" si="47"/>
        <v>0</v>
      </c>
      <c r="AC109" s="35">
        <v>85</v>
      </c>
      <c r="AD109" s="35">
        <f t="shared" si="68"/>
        <v>1.9294189257142926</v>
      </c>
      <c r="AE109" s="48">
        <v>31.5</v>
      </c>
      <c r="AF109" s="48">
        <f t="shared" si="69"/>
        <v>1.4983105537896004</v>
      </c>
      <c r="AG109" s="43">
        <v>37.589394702761602</v>
      </c>
      <c r="AH109" s="43">
        <f t="shared" si="70"/>
        <v>1.575065332381355</v>
      </c>
      <c r="AI109" s="39">
        <v>1.1499999999999999</v>
      </c>
      <c r="AJ109" s="48">
        <f t="shared" si="48"/>
        <v>0.33243845991560533</v>
      </c>
      <c r="AK109" s="35">
        <v>24</v>
      </c>
      <c r="AL109" s="35">
        <f t="shared" si="71"/>
        <v>1.3802112417116059</v>
      </c>
      <c r="AM109" s="35">
        <f t="shared" si="49"/>
        <v>0</v>
      </c>
      <c r="AN109" s="35">
        <f t="shared" si="50"/>
        <v>0</v>
      </c>
      <c r="AO109" s="35">
        <f t="shared" si="51"/>
        <v>1</v>
      </c>
      <c r="AP109" s="35">
        <f t="shared" si="52"/>
        <v>0</v>
      </c>
      <c r="AQ109" s="35">
        <f t="shared" si="53"/>
        <v>0</v>
      </c>
      <c r="AR109" s="35">
        <f t="shared" si="54"/>
        <v>0</v>
      </c>
      <c r="AS109" s="35">
        <f t="shared" si="55"/>
        <v>0</v>
      </c>
      <c r="AT109" s="35">
        <f t="shared" si="56"/>
        <v>0</v>
      </c>
      <c r="AU109" s="35">
        <f t="shared" si="57"/>
        <v>0</v>
      </c>
      <c r="AV109" s="35">
        <f t="shared" si="58"/>
        <v>0</v>
      </c>
      <c r="AW109" s="35">
        <f t="shared" si="59"/>
        <v>0</v>
      </c>
      <c r="AX109" s="35">
        <f t="shared" si="60"/>
        <v>0</v>
      </c>
      <c r="AY109" s="35">
        <f t="shared" si="61"/>
        <v>0</v>
      </c>
      <c r="AZ109" s="35">
        <f t="shared" si="62"/>
        <v>0</v>
      </c>
      <c r="BA109" s="35">
        <f t="shared" si="63"/>
        <v>0</v>
      </c>
      <c r="BB109" s="35">
        <f t="shared" si="64"/>
        <v>0</v>
      </c>
      <c r="BC109" s="35">
        <f t="shared" si="65"/>
        <v>0</v>
      </c>
    </row>
    <row r="110" spans="1:55" s="35" customFormat="1" x14ac:dyDescent="0.35">
      <c r="A110" s="36">
        <v>37328</v>
      </c>
      <c r="B110" s="35" t="s">
        <v>1286</v>
      </c>
      <c r="C110" s="35" t="s">
        <v>45</v>
      </c>
      <c r="D110" s="35" t="s">
        <v>602</v>
      </c>
      <c r="E110" s="35" t="s">
        <v>47</v>
      </c>
      <c r="F110" s="139">
        <f t="shared" si="37"/>
        <v>0</v>
      </c>
      <c r="G110" s="35">
        <v>41600000</v>
      </c>
      <c r="H110" s="139">
        <f t="shared" si="38"/>
        <v>7.6190933306267423</v>
      </c>
      <c r="I110" s="35">
        <f>G110</f>
        <v>41600000</v>
      </c>
      <c r="J110" s="35">
        <v>0</v>
      </c>
      <c r="K110" s="36">
        <v>38534</v>
      </c>
      <c r="L110" s="35">
        <v>223350600</v>
      </c>
      <c r="M110" s="21">
        <f t="shared" si="40"/>
        <v>3.3041095890410959</v>
      </c>
      <c r="N110" s="21">
        <f t="shared" si="66"/>
        <v>0.51905444334765782</v>
      </c>
      <c r="O110" s="35">
        <v>0</v>
      </c>
      <c r="P110" s="35">
        <f t="shared" si="41"/>
        <v>0</v>
      </c>
      <c r="Q110" s="35">
        <v>3</v>
      </c>
      <c r="R110" s="35">
        <f t="shared" si="42"/>
        <v>0.6020599913279624</v>
      </c>
      <c r="S110" s="45">
        <v>2.95</v>
      </c>
      <c r="T110" s="45">
        <f t="shared" si="67"/>
        <v>0.46982201597816303</v>
      </c>
      <c r="U110" s="175">
        <f t="shared" si="43"/>
        <v>4.369004807692308</v>
      </c>
      <c r="V110" s="48">
        <f t="shared" si="44"/>
        <v>0.72989379285377709</v>
      </c>
      <c r="W110" s="35">
        <v>1246.953</v>
      </c>
      <c r="X110" s="35">
        <f t="shared" si="45"/>
        <v>3.0958500844125241</v>
      </c>
      <c r="Y110" s="35">
        <v>3219.7179999999998</v>
      </c>
      <c r="Z110" s="35">
        <f t="shared" si="46"/>
        <v>3.5078178355445662</v>
      </c>
      <c r="AA110" s="35">
        <v>0</v>
      </c>
      <c r="AB110" s="37">
        <f t="shared" si="47"/>
        <v>0</v>
      </c>
      <c r="AC110" s="35">
        <v>85</v>
      </c>
      <c r="AD110" s="35">
        <f t="shared" si="68"/>
        <v>1.9294189257142926</v>
      </c>
      <c r="AE110" s="48">
        <v>24.9</v>
      </c>
      <c r="AF110" s="48">
        <f t="shared" si="69"/>
        <v>1.3961993470957363</v>
      </c>
      <c r="AG110" s="43">
        <v>36.710134890601303</v>
      </c>
      <c r="AH110" s="43">
        <f t="shared" si="70"/>
        <v>1.564785980312654</v>
      </c>
      <c r="AI110" s="39">
        <v>0.3</v>
      </c>
      <c r="AJ110" s="48">
        <f t="shared" si="48"/>
        <v>0.11394335230683679</v>
      </c>
      <c r="AK110" s="35">
        <v>24</v>
      </c>
      <c r="AL110" s="35">
        <f t="shared" si="71"/>
        <v>1.3802112417116059</v>
      </c>
      <c r="AM110" s="35">
        <f t="shared" si="49"/>
        <v>0</v>
      </c>
      <c r="AN110" s="35">
        <f t="shared" si="50"/>
        <v>1</v>
      </c>
      <c r="AO110" s="35">
        <f t="shared" si="51"/>
        <v>0</v>
      </c>
      <c r="AP110" s="35">
        <f t="shared" si="52"/>
        <v>0</v>
      </c>
      <c r="AQ110" s="35">
        <f t="shared" si="53"/>
        <v>0</v>
      </c>
      <c r="AR110" s="35">
        <f t="shared" si="54"/>
        <v>0</v>
      </c>
      <c r="AS110" s="35">
        <f t="shared" si="55"/>
        <v>0</v>
      </c>
      <c r="AT110" s="35">
        <f t="shared" si="56"/>
        <v>0</v>
      </c>
      <c r="AU110" s="35">
        <f t="shared" si="57"/>
        <v>0</v>
      </c>
      <c r="AV110" s="35">
        <f t="shared" si="58"/>
        <v>0</v>
      </c>
      <c r="AW110" s="35">
        <f t="shared" si="59"/>
        <v>0</v>
      </c>
      <c r="AX110" s="35">
        <f t="shared" si="60"/>
        <v>0</v>
      </c>
      <c r="AY110" s="35">
        <f t="shared" si="61"/>
        <v>0</v>
      </c>
      <c r="AZ110" s="35">
        <f t="shared" si="62"/>
        <v>0</v>
      </c>
      <c r="BA110" s="35">
        <f t="shared" si="63"/>
        <v>0</v>
      </c>
      <c r="BB110" s="35">
        <f t="shared" si="64"/>
        <v>0</v>
      </c>
      <c r="BC110" s="35">
        <f t="shared" si="65"/>
        <v>0</v>
      </c>
    </row>
    <row r="111" spans="1:55" s="35" customFormat="1" x14ac:dyDescent="0.35">
      <c r="A111" s="36">
        <v>37346</v>
      </c>
      <c r="B111" s="35" t="s">
        <v>1110</v>
      </c>
      <c r="C111" s="35" t="s">
        <v>59</v>
      </c>
      <c r="D111" s="35" t="s">
        <v>577</v>
      </c>
      <c r="E111" s="35" t="s">
        <v>47</v>
      </c>
      <c r="F111" s="139">
        <f t="shared" si="37"/>
        <v>0</v>
      </c>
      <c r="G111" s="35">
        <v>112090000</v>
      </c>
      <c r="H111" s="139">
        <f t="shared" si="38"/>
        <v>8.0495668691646518</v>
      </c>
      <c r="I111" s="35">
        <f>G111</f>
        <v>112090000</v>
      </c>
      <c r="J111" s="35">
        <v>0</v>
      </c>
      <c r="K111" s="36">
        <v>38630</v>
      </c>
      <c r="L111" s="35">
        <v>134500000</v>
      </c>
      <c r="M111" s="21">
        <f t="shared" si="40"/>
        <v>3.5178082191780824</v>
      </c>
      <c r="N111" s="21">
        <f t="shared" si="66"/>
        <v>0.54627215927635975</v>
      </c>
      <c r="O111" s="35">
        <v>0</v>
      </c>
      <c r="P111" s="35">
        <f t="shared" si="41"/>
        <v>0</v>
      </c>
      <c r="Q111" s="35">
        <v>4</v>
      </c>
      <c r="R111" s="35">
        <f t="shared" si="42"/>
        <v>0.69897000433601886</v>
      </c>
      <c r="S111" s="45">
        <v>3.29</v>
      </c>
      <c r="T111" s="45">
        <f t="shared" si="67"/>
        <v>0.51719589794997434</v>
      </c>
      <c r="U111" s="175">
        <f t="shared" si="43"/>
        <v>0.19992862878044426</v>
      </c>
      <c r="V111" s="48">
        <f t="shared" si="44"/>
        <v>7.9155415173775334E-2</v>
      </c>
      <c r="W111" s="35">
        <v>1801.1079999999999</v>
      </c>
      <c r="X111" s="35">
        <f t="shared" si="45"/>
        <v>3.2555397552391718</v>
      </c>
      <c r="Y111" s="35">
        <v>8416.6209999999992</v>
      </c>
      <c r="Z111" s="35">
        <f t="shared" si="46"/>
        <v>3.9251377713585649</v>
      </c>
      <c r="AA111" s="37">
        <v>0</v>
      </c>
      <c r="AB111" s="37">
        <f t="shared" si="47"/>
        <v>0</v>
      </c>
      <c r="AC111" s="35">
        <v>85</v>
      </c>
      <c r="AD111" s="35">
        <f t="shared" si="68"/>
        <v>1.9294189257142926</v>
      </c>
      <c r="AE111" s="48">
        <v>31.5</v>
      </c>
      <c r="AF111" s="48">
        <f t="shared" si="69"/>
        <v>1.4983105537896004</v>
      </c>
      <c r="AG111" s="43">
        <v>37.589394702761602</v>
      </c>
      <c r="AH111" s="43">
        <f t="shared" si="70"/>
        <v>1.575065332381355</v>
      </c>
      <c r="AI111" s="39">
        <v>0.34</v>
      </c>
      <c r="AJ111" s="48">
        <f t="shared" si="48"/>
        <v>0.12710479836480765</v>
      </c>
      <c r="AK111" s="35">
        <v>23</v>
      </c>
      <c r="AL111" s="35">
        <f t="shared" si="71"/>
        <v>1.3617278360175928</v>
      </c>
      <c r="AM111" s="35">
        <f t="shared" si="49"/>
        <v>0</v>
      </c>
      <c r="AN111" s="35">
        <f t="shared" si="50"/>
        <v>0</v>
      </c>
      <c r="AO111" s="35">
        <f t="shared" si="51"/>
        <v>1</v>
      </c>
      <c r="AP111" s="35">
        <f t="shared" si="52"/>
        <v>0</v>
      </c>
      <c r="AQ111" s="35">
        <f t="shared" si="53"/>
        <v>0</v>
      </c>
      <c r="AR111" s="35">
        <f t="shared" si="54"/>
        <v>0</v>
      </c>
      <c r="AS111" s="35">
        <f t="shared" si="55"/>
        <v>0</v>
      </c>
      <c r="AT111" s="35">
        <f t="shared" si="56"/>
        <v>0</v>
      </c>
      <c r="AU111" s="35">
        <f t="shared" si="57"/>
        <v>0</v>
      </c>
      <c r="AV111" s="35">
        <f t="shared" si="58"/>
        <v>0</v>
      </c>
      <c r="AW111" s="35">
        <f t="shared" si="59"/>
        <v>0</v>
      </c>
      <c r="AX111" s="35">
        <f t="shared" si="60"/>
        <v>0</v>
      </c>
      <c r="AY111" s="35">
        <f t="shared" si="61"/>
        <v>0</v>
      </c>
      <c r="AZ111" s="35">
        <f t="shared" si="62"/>
        <v>0</v>
      </c>
      <c r="BA111" s="35">
        <f t="shared" si="63"/>
        <v>0</v>
      </c>
      <c r="BB111" s="35">
        <f t="shared" si="64"/>
        <v>0</v>
      </c>
      <c r="BC111" s="35">
        <f t="shared" si="65"/>
        <v>0</v>
      </c>
    </row>
    <row r="112" spans="1:55" s="35" customFormat="1" x14ac:dyDescent="0.35">
      <c r="A112" s="36">
        <v>37355</v>
      </c>
      <c r="B112" s="90" t="s">
        <v>834</v>
      </c>
      <c r="C112" s="35" t="s">
        <v>489</v>
      </c>
      <c r="D112" s="35" t="s">
        <v>489</v>
      </c>
      <c r="E112" s="35" t="s">
        <v>47</v>
      </c>
      <c r="F112" s="139">
        <f t="shared" si="37"/>
        <v>0</v>
      </c>
      <c r="G112" s="35">
        <v>10000000</v>
      </c>
      <c r="H112" s="139">
        <f t="shared" si="38"/>
        <v>7</v>
      </c>
      <c r="I112" s="35">
        <f>G112</f>
        <v>10000000</v>
      </c>
      <c r="J112" s="35">
        <v>0</v>
      </c>
      <c r="K112" s="36">
        <v>38623</v>
      </c>
      <c r="L112" s="35">
        <v>81020000</v>
      </c>
      <c r="M112" s="21">
        <f t="shared" si="40"/>
        <v>3.473972602739726</v>
      </c>
      <c r="N112" s="21">
        <f t="shared" si="66"/>
        <v>0.54082638908923919</v>
      </c>
      <c r="O112" s="35">
        <v>0</v>
      </c>
      <c r="P112" s="35">
        <f t="shared" si="41"/>
        <v>0</v>
      </c>
      <c r="Q112" s="35">
        <v>3</v>
      </c>
      <c r="R112" s="35">
        <f t="shared" si="42"/>
        <v>0.6020599913279624</v>
      </c>
      <c r="S112" s="14">
        <v>0</v>
      </c>
      <c r="T112" s="45" t="e">
        <f t="shared" si="67"/>
        <v>#NUM!</v>
      </c>
      <c r="U112" s="175">
        <f t="shared" si="43"/>
        <v>7.1020000000000003</v>
      </c>
      <c r="V112" s="48">
        <f t="shared" si="44"/>
        <v>0.90859223884756946</v>
      </c>
      <c r="W112" s="35">
        <v>1423.0371900826444</v>
      </c>
      <c r="X112" s="35">
        <f t="shared" si="45"/>
        <v>3.1532162502154288</v>
      </c>
      <c r="Y112" s="35">
        <v>3292.8719008264461</v>
      </c>
      <c r="Z112" s="35">
        <f t="shared" si="46"/>
        <v>3.5175748361336181</v>
      </c>
      <c r="AA112" s="37">
        <v>0</v>
      </c>
      <c r="AB112" s="37">
        <f t="shared" si="47"/>
        <v>0</v>
      </c>
      <c r="AC112" s="35">
        <v>70</v>
      </c>
      <c r="AD112" s="35">
        <f t="shared" si="68"/>
        <v>1.8450980400142569</v>
      </c>
      <c r="AE112" s="48">
        <v>27.63</v>
      </c>
      <c r="AF112" s="48">
        <f t="shared" si="69"/>
        <v>1.4413808849165113</v>
      </c>
      <c r="AG112" s="43">
        <v>49.329709120205997</v>
      </c>
      <c r="AH112" s="43">
        <f t="shared" si="70"/>
        <v>1.6931085545892062</v>
      </c>
      <c r="AI112" s="39">
        <v>0.87</v>
      </c>
      <c r="AJ112" s="48">
        <f t="shared" si="48"/>
        <v>0.27184160653649897</v>
      </c>
      <c r="AK112" s="35">
        <v>23</v>
      </c>
      <c r="AL112" s="35">
        <f t="shared" si="71"/>
        <v>1.3617278360175928</v>
      </c>
      <c r="AM112" s="35">
        <f t="shared" si="49"/>
        <v>0</v>
      </c>
      <c r="AN112" s="35">
        <f t="shared" si="50"/>
        <v>0</v>
      </c>
      <c r="AO112" s="35">
        <f t="shared" si="51"/>
        <v>0</v>
      </c>
      <c r="AP112" s="35">
        <f t="shared" si="52"/>
        <v>0</v>
      </c>
      <c r="AQ112" s="35">
        <f t="shared" si="53"/>
        <v>0</v>
      </c>
      <c r="AR112" s="35">
        <f t="shared" si="54"/>
        <v>0</v>
      </c>
      <c r="AS112" s="35">
        <f t="shared" si="55"/>
        <v>0</v>
      </c>
      <c r="AT112" s="35">
        <f t="shared" si="56"/>
        <v>0</v>
      </c>
      <c r="AU112" s="35">
        <f t="shared" si="57"/>
        <v>0</v>
      </c>
      <c r="AV112" s="35">
        <f t="shared" si="58"/>
        <v>0</v>
      </c>
      <c r="AW112" s="35">
        <f t="shared" si="59"/>
        <v>0</v>
      </c>
      <c r="AX112" s="35">
        <f t="shared" si="60"/>
        <v>0</v>
      </c>
      <c r="AY112" s="35">
        <f t="shared" si="61"/>
        <v>0</v>
      </c>
      <c r="AZ112" s="35">
        <f t="shared" si="62"/>
        <v>0</v>
      </c>
      <c r="BA112" s="35">
        <f t="shared" si="63"/>
        <v>1</v>
      </c>
      <c r="BB112" s="35">
        <f t="shared" si="64"/>
        <v>0</v>
      </c>
      <c r="BC112" s="35">
        <f t="shared" si="65"/>
        <v>0</v>
      </c>
    </row>
    <row r="113" spans="1:55" s="35" customFormat="1" x14ac:dyDescent="0.35">
      <c r="A113" s="36">
        <v>37358</v>
      </c>
      <c r="B113" s="35" t="s">
        <v>1300</v>
      </c>
      <c r="C113" s="35" t="s">
        <v>45</v>
      </c>
      <c r="D113" s="35" t="s">
        <v>602</v>
      </c>
      <c r="E113" s="35" t="s">
        <v>47</v>
      </c>
      <c r="F113" s="139">
        <f t="shared" si="37"/>
        <v>0</v>
      </c>
      <c r="G113" s="35">
        <v>265170000</v>
      </c>
      <c r="H113" s="139">
        <f t="shared" si="38"/>
        <v>8.4235243886187163</v>
      </c>
      <c r="I113" s="35">
        <v>18620000</v>
      </c>
      <c r="J113" s="35">
        <v>246550000</v>
      </c>
      <c r="K113" s="36">
        <v>38356</v>
      </c>
      <c r="L113" s="35">
        <v>150000000</v>
      </c>
      <c r="M113" s="21">
        <f t="shared" si="40"/>
        <v>2.7342465753424658</v>
      </c>
      <c r="N113" s="21">
        <f t="shared" si="66"/>
        <v>0.43683767683089642</v>
      </c>
      <c r="O113" s="35">
        <v>0</v>
      </c>
      <c r="P113" s="35">
        <f t="shared" si="41"/>
        <v>0</v>
      </c>
      <c r="Q113" s="35">
        <v>306</v>
      </c>
      <c r="R113" s="35">
        <f t="shared" si="42"/>
        <v>2.4871383754771865</v>
      </c>
      <c r="S113" s="45">
        <v>2.95</v>
      </c>
      <c r="T113" s="45">
        <f t="shared" si="67"/>
        <v>0.46982201597816303</v>
      </c>
      <c r="U113" s="175">
        <f t="shared" si="43"/>
        <v>-0.43432514990383531</v>
      </c>
      <c r="V113" s="48">
        <f t="shared" si="44"/>
        <v>-0.24743312956303581</v>
      </c>
      <c r="W113" s="35">
        <v>3153.6123909420644</v>
      </c>
      <c r="X113" s="35">
        <f t="shared" si="45"/>
        <v>3.4988083133366845</v>
      </c>
      <c r="Y113" s="35">
        <v>4253.5045583766305</v>
      </c>
      <c r="Z113" s="35">
        <f t="shared" si="46"/>
        <v>3.6287469025639267</v>
      </c>
      <c r="AA113" s="35">
        <v>0</v>
      </c>
      <c r="AB113" s="37">
        <f t="shared" si="47"/>
        <v>0</v>
      </c>
      <c r="AC113" s="35">
        <v>85</v>
      </c>
      <c r="AD113" s="35">
        <f t="shared" si="68"/>
        <v>1.9294189257142926</v>
      </c>
      <c r="AE113" s="48">
        <v>24.9</v>
      </c>
      <c r="AF113" s="48">
        <f t="shared" si="69"/>
        <v>1.3961993470957363</v>
      </c>
      <c r="AG113" s="43">
        <v>36.710134890601303</v>
      </c>
      <c r="AH113" s="43">
        <f t="shared" si="70"/>
        <v>1.564785980312654</v>
      </c>
      <c r="AI113" s="39">
        <v>0.46</v>
      </c>
      <c r="AJ113" s="48">
        <f t="shared" si="48"/>
        <v>0.16435285578443709</v>
      </c>
      <c r="AK113" s="35">
        <v>23</v>
      </c>
      <c r="AL113" s="35">
        <f t="shared" si="71"/>
        <v>1.3617278360175928</v>
      </c>
      <c r="AM113" s="35">
        <f t="shared" si="49"/>
        <v>0</v>
      </c>
      <c r="AN113" s="35">
        <f t="shared" si="50"/>
        <v>1</v>
      </c>
      <c r="AO113" s="35">
        <f t="shared" si="51"/>
        <v>0</v>
      </c>
      <c r="AP113" s="35">
        <f t="shared" si="52"/>
        <v>0</v>
      </c>
      <c r="AQ113" s="35">
        <f t="shared" si="53"/>
        <v>0</v>
      </c>
      <c r="AR113" s="35">
        <f t="shared" si="54"/>
        <v>0</v>
      </c>
      <c r="AS113" s="35">
        <f t="shared" si="55"/>
        <v>0</v>
      </c>
      <c r="AT113" s="35">
        <f t="shared" si="56"/>
        <v>0</v>
      </c>
      <c r="AU113" s="35">
        <f t="shared" si="57"/>
        <v>0</v>
      </c>
      <c r="AV113" s="35">
        <f t="shared" si="58"/>
        <v>0</v>
      </c>
      <c r="AW113" s="35">
        <f t="shared" si="59"/>
        <v>0</v>
      </c>
      <c r="AX113" s="35">
        <f t="shared" si="60"/>
        <v>0</v>
      </c>
      <c r="AY113" s="35">
        <f t="shared" si="61"/>
        <v>0</v>
      </c>
      <c r="AZ113" s="35">
        <f t="shared" si="62"/>
        <v>0</v>
      </c>
      <c r="BA113" s="35">
        <f t="shared" si="63"/>
        <v>0</v>
      </c>
      <c r="BB113" s="35">
        <f t="shared" si="64"/>
        <v>0</v>
      </c>
      <c r="BC113" s="35">
        <f t="shared" si="65"/>
        <v>0</v>
      </c>
    </row>
    <row r="114" spans="1:55" s="35" customFormat="1" x14ac:dyDescent="0.35">
      <c r="A114" s="36">
        <v>37382</v>
      </c>
      <c r="B114" s="35" t="s">
        <v>232</v>
      </c>
      <c r="C114" s="35" t="s">
        <v>6</v>
      </c>
      <c r="D114" s="35" t="s">
        <v>59</v>
      </c>
      <c r="E114" s="35" t="s">
        <v>125</v>
      </c>
      <c r="F114" s="139">
        <f t="shared" si="37"/>
        <v>1</v>
      </c>
      <c r="G114" s="35">
        <v>250000000</v>
      </c>
      <c r="H114" s="139">
        <f t="shared" si="38"/>
        <v>8.3979400086720375</v>
      </c>
      <c r="I114" s="35">
        <v>250000000</v>
      </c>
      <c r="J114" s="35">
        <v>0</v>
      </c>
      <c r="K114" s="36">
        <v>39119</v>
      </c>
      <c r="L114" s="35">
        <v>590000000</v>
      </c>
      <c r="M114" s="21">
        <f t="shared" si="40"/>
        <v>4.7589041095890412</v>
      </c>
      <c r="N114" s="21">
        <f t="shared" si="66"/>
        <v>0.67750695399062388</v>
      </c>
      <c r="O114" s="35">
        <v>320.77</v>
      </c>
      <c r="P114" s="35">
        <f t="shared" si="41"/>
        <v>2.5075455505094206</v>
      </c>
      <c r="Q114" s="35">
        <v>76</v>
      </c>
      <c r="R114" s="35">
        <f t="shared" si="42"/>
        <v>1.8864907251724818</v>
      </c>
      <c r="S114" s="45">
        <v>2.91</v>
      </c>
      <c r="T114" s="45">
        <f t="shared" si="67"/>
        <v>0.46389298898590731</v>
      </c>
      <c r="U114" s="175">
        <f t="shared" si="43"/>
        <v>1.3599999999999999</v>
      </c>
      <c r="V114" s="48">
        <f t="shared" si="44"/>
        <v>0.37291200297010657</v>
      </c>
      <c r="W114" s="35">
        <v>1669.0315000000001</v>
      </c>
      <c r="X114" s="35">
        <f t="shared" si="45"/>
        <v>3.2224645332922388</v>
      </c>
      <c r="Y114" s="35">
        <v>5094.7950000000001</v>
      </c>
      <c r="Z114" s="35">
        <f t="shared" si="46"/>
        <v>3.707126713924402</v>
      </c>
      <c r="AA114" s="37">
        <v>447.5</v>
      </c>
      <c r="AB114" s="37">
        <f t="shared" si="47"/>
        <v>2.6517624473801109</v>
      </c>
      <c r="AC114" s="35">
        <v>70</v>
      </c>
      <c r="AD114" s="35">
        <f t="shared" si="68"/>
        <v>1.8450980400142569</v>
      </c>
      <c r="AE114" s="48">
        <v>43.6</v>
      </c>
      <c r="AF114" s="48">
        <f t="shared" si="69"/>
        <v>1.6394864892685861</v>
      </c>
      <c r="AG114" s="43">
        <v>49.506498643412101</v>
      </c>
      <c r="AH114" s="43">
        <f t="shared" si="70"/>
        <v>1.6946622118572952</v>
      </c>
      <c r="AI114" s="39">
        <v>0.1</v>
      </c>
      <c r="AJ114" s="48">
        <f t="shared" si="48"/>
        <v>4.1392685158225077E-2</v>
      </c>
      <c r="AK114" s="35">
        <v>22</v>
      </c>
      <c r="AL114" s="35">
        <f t="shared" si="71"/>
        <v>1.3424226808222062</v>
      </c>
      <c r="AM114" s="35">
        <f t="shared" si="49"/>
        <v>0</v>
      </c>
      <c r="AN114" s="35">
        <f t="shared" si="50"/>
        <v>0</v>
      </c>
      <c r="AO114" s="35">
        <f t="shared" si="51"/>
        <v>0</v>
      </c>
      <c r="AP114" s="35">
        <f t="shared" si="52"/>
        <v>0</v>
      </c>
      <c r="AQ114" s="35">
        <f t="shared" si="53"/>
        <v>0</v>
      </c>
      <c r="AR114" s="35">
        <f t="shared" si="54"/>
        <v>0</v>
      </c>
      <c r="AS114" s="35">
        <f t="shared" si="55"/>
        <v>0</v>
      </c>
      <c r="AT114" s="35">
        <f t="shared" si="56"/>
        <v>0</v>
      </c>
      <c r="AU114" s="35">
        <f t="shared" si="57"/>
        <v>1</v>
      </c>
      <c r="AV114" s="35">
        <f t="shared" si="58"/>
        <v>0</v>
      </c>
      <c r="AW114" s="35">
        <f t="shared" si="59"/>
        <v>0</v>
      </c>
      <c r="AX114" s="35">
        <f t="shared" si="60"/>
        <v>0</v>
      </c>
      <c r="AY114" s="35">
        <f t="shared" si="61"/>
        <v>0</v>
      </c>
      <c r="AZ114" s="35">
        <f t="shared" si="62"/>
        <v>0</v>
      </c>
      <c r="BA114" s="35">
        <f t="shared" si="63"/>
        <v>0</v>
      </c>
      <c r="BB114" s="35">
        <f t="shared" si="64"/>
        <v>0</v>
      </c>
      <c r="BC114" s="35">
        <f t="shared" si="65"/>
        <v>0</v>
      </c>
    </row>
    <row r="115" spans="1:55" s="35" customFormat="1" x14ac:dyDescent="0.35">
      <c r="A115" s="36">
        <v>37390</v>
      </c>
      <c r="B115" s="35" t="s">
        <v>581</v>
      </c>
      <c r="C115" s="35" t="s">
        <v>2</v>
      </c>
      <c r="D115" s="35" t="s">
        <v>577</v>
      </c>
      <c r="E115" s="35" t="s">
        <v>125</v>
      </c>
      <c r="F115" s="139">
        <f t="shared" si="37"/>
        <v>1</v>
      </c>
      <c r="G115" s="35">
        <v>57890000</v>
      </c>
      <c r="H115" s="139">
        <f t="shared" si="38"/>
        <v>7.7626035495668031</v>
      </c>
      <c r="I115" s="35">
        <v>27490000</v>
      </c>
      <c r="J115" s="35">
        <v>30400000</v>
      </c>
      <c r="K115" s="36">
        <v>39082</v>
      </c>
      <c r="L115" s="35">
        <v>559326000</v>
      </c>
      <c r="M115" s="21">
        <f t="shared" si="40"/>
        <v>4.6356164383561644</v>
      </c>
      <c r="N115" s="21">
        <f t="shared" si="66"/>
        <v>0.66610749424653004</v>
      </c>
      <c r="O115" s="35">
        <v>1310.4100000000001</v>
      </c>
      <c r="P115" s="35">
        <f t="shared" si="41"/>
        <v>3.1177384910037165</v>
      </c>
      <c r="Q115" s="35">
        <v>41</v>
      </c>
      <c r="R115" s="35">
        <f t="shared" si="42"/>
        <v>1.6232492903979006</v>
      </c>
      <c r="S115" s="45">
        <v>2.99</v>
      </c>
      <c r="T115" s="45">
        <f t="shared" si="67"/>
        <v>0.47567118832442967</v>
      </c>
      <c r="U115" s="175">
        <f t="shared" si="43"/>
        <v>8.6618759716704101</v>
      </c>
      <c r="V115" s="48">
        <f t="shared" si="44"/>
        <v>0.98506145820071134</v>
      </c>
      <c r="W115" s="35">
        <v>1895.918367346939</v>
      </c>
      <c r="X115" s="35">
        <f t="shared" si="45"/>
        <v>3.277819633965128</v>
      </c>
      <c r="Y115" s="35">
        <v>8519.3877551020414</v>
      </c>
      <c r="Z115" s="35">
        <f t="shared" si="46"/>
        <v>3.9304083853612104</v>
      </c>
      <c r="AA115" s="37">
        <v>787.83333333333303</v>
      </c>
      <c r="AB115" s="37">
        <f t="shared" si="47"/>
        <v>2.8969852540843504</v>
      </c>
      <c r="AC115" s="35">
        <v>70</v>
      </c>
      <c r="AD115" s="35">
        <f t="shared" si="68"/>
        <v>1.8450980400142569</v>
      </c>
      <c r="AE115" s="48">
        <v>34.4</v>
      </c>
      <c r="AF115" s="48">
        <f t="shared" si="69"/>
        <v>1.5365584425715302</v>
      </c>
      <c r="AG115" s="43">
        <v>47.264053157349203</v>
      </c>
      <c r="AH115" s="43">
        <f t="shared" si="70"/>
        <v>1.6745309620782511</v>
      </c>
      <c r="AI115" s="39">
        <v>0.05</v>
      </c>
      <c r="AJ115" s="48">
        <f t="shared" si="48"/>
        <v>2.1189299069938092E-2</v>
      </c>
      <c r="AK115" s="35">
        <v>21</v>
      </c>
      <c r="AL115" s="35">
        <f t="shared" si="71"/>
        <v>1.3222192947339193</v>
      </c>
      <c r="AM115" s="35">
        <f t="shared" si="49"/>
        <v>0</v>
      </c>
      <c r="AN115" s="35">
        <f t="shared" si="50"/>
        <v>0</v>
      </c>
      <c r="AO115" s="35">
        <f t="shared" si="51"/>
        <v>0</v>
      </c>
      <c r="AP115" s="35">
        <f t="shared" si="52"/>
        <v>0</v>
      </c>
      <c r="AQ115" s="35">
        <f t="shared" si="53"/>
        <v>0</v>
      </c>
      <c r="AR115" s="35">
        <f t="shared" si="54"/>
        <v>0</v>
      </c>
      <c r="AS115" s="35">
        <f t="shared" si="55"/>
        <v>0</v>
      </c>
      <c r="AT115" s="35">
        <f t="shared" si="56"/>
        <v>0</v>
      </c>
      <c r="AU115" s="35">
        <f t="shared" si="57"/>
        <v>0</v>
      </c>
      <c r="AV115" s="35">
        <f t="shared" si="58"/>
        <v>1</v>
      </c>
      <c r="AW115" s="35">
        <f t="shared" si="59"/>
        <v>0</v>
      </c>
      <c r="AX115" s="35">
        <f t="shared" si="60"/>
        <v>0</v>
      </c>
      <c r="AY115" s="35">
        <f t="shared" si="61"/>
        <v>0</v>
      </c>
      <c r="AZ115" s="35">
        <f t="shared" si="62"/>
        <v>0</v>
      </c>
      <c r="BA115" s="35">
        <f t="shared" si="63"/>
        <v>0</v>
      </c>
      <c r="BB115" s="35">
        <f t="shared" si="64"/>
        <v>0</v>
      </c>
      <c r="BC115" s="35">
        <f t="shared" si="65"/>
        <v>0</v>
      </c>
    </row>
    <row r="116" spans="1:55" s="35" customFormat="1" x14ac:dyDescent="0.35">
      <c r="A116" s="36">
        <v>37391</v>
      </c>
      <c r="B116" s="35" t="s">
        <v>858</v>
      </c>
      <c r="C116" s="35" t="s">
        <v>45</v>
      </c>
      <c r="D116" s="35" t="s">
        <v>497</v>
      </c>
      <c r="E116" s="35" t="s">
        <v>64</v>
      </c>
      <c r="F116" s="139">
        <f t="shared" si="37"/>
        <v>1</v>
      </c>
      <c r="G116" s="35">
        <v>60390000</v>
      </c>
      <c r="H116" s="139">
        <f t="shared" si="38"/>
        <v>7.7809650296083168</v>
      </c>
      <c r="I116" s="35">
        <v>110960000</v>
      </c>
      <c r="J116" s="35">
        <v>-50570000</v>
      </c>
      <c r="K116" s="36">
        <v>38868</v>
      </c>
      <c r="L116" s="35">
        <v>600000000</v>
      </c>
      <c r="M116" s="21">
        <f t="shared" si="40"/>
        <v>4.0465753424657533</v>
      </c>
      <c r="N116" s="21">
        <f t="shared" si="66"/>
        <v>0.60708763085547479</v>
      </c>
      <c r="O116" s="35">
        <v>5441.73</v>
      </c>
      <c r="P116" s="35">
        <f t="shared" si="41"/>
        <v>3.7358167906061537</v>
      </c>
      <c r="Q116" s="35">
        <v>19</v>
      </c>
      <c r="R116" s="35">
        <f t="shared" si="42"/>
        <v>1.3010299956639813</v>
      </c>
      <c r="S116" s="45">
        <v>2.81</v>
      </c>
      <c r="T116" s="45">
        <f t="shared" si="67"/>
        <v>0.44870631990507992</v>
      </c>
      <c r="U116" s="175">
        <f t="shared" si="43"/>
        <v>8.9354197714853445</v>
      </c>
      <c r="V116" s="48">
        <f t="shared" si="44"/>
        <v>0.9971862207753267</v>
      </c>
      <c r="W116" s="35">
        <v>2445.7102171591318</v>
      </c>
      <c r="X116" s="35">
        <f t="shared" si="45"/>
        <v>3.3884049978579722</v>
      </c>
      <c r="Y116" s="35">
        <v>7210.2229667110805</v>
      </c>
      <c r="Z116" s="35">
        <f t="shared" si="46"/>
        <v>3.8579486949156889</v>
      </c>
      <c r="AA116" s="37">
        <v>125.833333333333</v>
      </c>
      <c r="AB116" s="37">
        <f t="shared" si="47"/>
        <v>2.103233406386928</v>
      </c>
      <c r="AC116" s="35">
        <v>85</v>
      </c>
      <c r="AD116" s="35">
        <f t="shared" si="68"/>
        <v>1.9294189257142926</v>
      </c>
      <c r="AE116" s="48">
        <v>24.9</v>
      </c>
      <c r="AF116" s="48">
        <f t="shared" si="69"/>
        <v>1.3961993470957363</v>
      </c>
      <c r="AG116" s="43">
        <v>36.710134890601303</v>
      </c>
      <c r="AH116" s="43">
        <f t="shared" si="70"/>
        <v>1.564785980312654</v>
      </c>
      <c r="AI116" s="39">
        <v>0.03</v>
      </c>
      <c r="AJ116" s="48">
        <f t="shared" si="48"/>
        <v>1.2837224705172217E-2</v>
      </c>
      <c r="AK116" s="35">
        <v>20</v>
      </c>
      <c r="AL116" s="35">
        <f t="shared" si="71"/>
        <v>1.3010299956639813</v>
      </c>
      <c r="AM116" s="35">
        <f t="shared" si="49"/>
        <v>0</v>
      </c>
      <c r="AN116" s="35">
        <f t="shared" si="50"/>
        <v>1</v>
      </c>
      <c r="AO116" s="35">
        <f t="shared" si="51"/>
        <v>0</v>
      </c>
      <c r="AP116" s="35">
        <f t="shared" si="52"/>
        <v>0</v>
      </c>
      <c r="AQ116" s="35">
        <f t="shared" si="53"/>
        <v>0</v>
      </c>
      <c r="AR116" s="35">
        <f t="shared" si="54"/>
        <v>0</v>
      </c>
      <c r="AS116" s="35">
        <f t="shared" si="55"/>
        <v>0</v>
      </c>
      <c r="AT116" s="35">
        <f t="shared" si="56"/>
        <v>0</v>
      </c>
      <c r="AU116" s="35">
        <f t="shared" si="57"/>
        <v>0</v>
      </c>
      <c r="AV116" s="35">
        <f t="shared" si="58"/>
        <v>0</v>
      </c>
      <c r="AW116" s="35">
        <f t="shared" si="59"/>
        <v>0</v>
      </c>
      <c r="AX116" s="35">
        <f t="shared" si="60"/>
        <v>0</v>
      </c>
      <c r="AY116" s="35">
        <f t="shared" si="61"/>
        <v>0</v>
      </c>
      <c r="AZ116" s="35">
        <f t="shared" si="62"/>
        <v>0</v>
      </c>
      <c r="BA116" s="35">
        <f t="shared" si="63"/>
        <v>0</v>
      </c>
      <c r="BB116" s="35">
        <f t="shared" si="64"/>
        <v>0</v>
      </c>
      <c r="BC116" s="35">
        <f t="shared" si="65"/>
        <v>0</v>
      </c>
    </row>
    <row r="117" spans="1:55" s="35" customFormat="1" x14ac:dyDescent="0.35">
      <c r="A117" s="36">
        <v>37399</v>
      </c>
      <c r="B117" s="35" t="s">
        <v>402</v>
      </c>
      <c r="C117" s="35" t="s">
        <v>2</v>
      </c>
      <c r="D117" s="35" t="s">
        <v>45</v>
      </c>
      <c r="E117" s="35" t="s">
        <v>125</v>
      </c>
      <c r="F117" s="139">
        <f t="shared" si="37"/>
        <v>1</v>
      </c>
      <c r="G117" s="35">
        <v>375000000</v>
      </c>
      <c r="H117" s="139">
        <f t="shared" si="38"/>
        <v>8.5740312677277188</v>
      </c>
      <c r="I117" s="35">
        <v>375000000</v>
      </c>
      <c r="J117" s="35">
        <v>0</v>
      </c>
      <c r="K117" s="36">
        <v>38572</v>
      </c>
      <c r="L117" s="35">
        <v>587956900</v>
      </c>
      <c r="M117" s="21">
        <f t="shared" si="40"/>
        <v>3.2136986301369861</v>
      </c>
      <c r="N117" s="21">
        <f t="shared" si="66"/>
        <v>0.50700514765905447</v>
      </c>
      <c r="O117" s="35">
        <v>6815.73</v>
      </c>
      <c r="P117" s="35">
        <f t="shared" si="41"/>
        <v>3.8335760926148099</v>
      </c>
      <c r="Q117" s="35">
        <v>22</v>
      </c>
      <c r="R117" s="35">
        <f t="shared" si="42"/>
        <v>1.3617278360175928</v>
      </c>
      <c r="S117" s="45">
        <v>2.85</v>
      </c>
      <c r="T117" s="45">
        <f t="shared" si="67"/>
        <v>0.45484486000851021</v>
      </c>
      <c r="U117" s="175">
        <f t="shared" si="43"/>
        <v>0.5678850666666666</v>
      </c>
      <c r="V117" s="48">
        <f t="shared" si="44"/>
        <v>0.19531422369159093</v>
      </c>
      <c r="W117" s="35">
        <v>1248.0746999999999</v>
      </c>
      <c r="X117" s="35">
        <f t="shared" si="45"/>
        <v>3.0962405795987471</v>
      </c>
      <c r="Y117" s="35">
        <v>2518.2170000000001</v>
      </c>
      <c r="Z117" s="35">
        <f t="shared" si="46"/>
        <v>3.4010931514437841</v>
      </c>
      <c r="AA117" s="37">
        <v>819</v>
      </c>
      <c r="AB117" s="37">
        <f t="shared" si="47"/>
        <v>2.9138138523837167</v>
      </c>
      <c r="AC117" s="35">
        <v>70</v>
      </c>
      <c r="AD117" s="35">
        <f t="shared" si="68"/>
        <v>1.8450980400142569</v>
      </c>
      <c r="AE117" s="48">
        <v>34.4</v>
      </c>
      <c r="AF117" s="48">
        <f t="shared" si="69"/>
        <v>1.5365584425715302</v>
      </c>
      <c r="AG117" s="43">
        <v>47.264053157349203</v>
      </c>
      <c r="AH117" s="43">
        <f t="shared" si="70"/>
        <v>1.6745309620782511</v>
      </c>
      <c r="AI117" s="39">
        <v>-0.26</v>
      </c>
      <c r="AJ117" s="48">
        <f t="shared" si="48"/>
        <v>-0.13076828026902382</v>
      </c>
      <c r="AK117" s="35">
        <v>19</v>
      </c>
      <c r="AL117" s="35">
        <f t="shared" si="71"/>
        <v>1.2787536009528289</v>
      </c>
      <c r="AM117" s="35">
        <f t="shared" si="49"/>
        <v>0</v>
      </c>
      <c r="AN117" s="35">
        <f t="shared" si="50"/>
        <v>0</v>
      </c>
      <c r="AO117" s="35">
        <f t="shared" si="51"/>
        <v>0</v>
      </c>
      <c r="AP117" s="35">
        <f t="shared" si="52"/>
        <v>0</v>
      </c>
      <c r="AQ117" s="35">
        <f t="shared" si="53"/>
        <v>0</v>
      </c>
      <c r="AR117" s="35">
        <f t="shared" si="54"/>
        <v>0</v>
      </c>
      <c r="AS117" s="35">
        <f t="shared" si="55"/>
        <v>0</v>
      </c>
      <c r="AT117" s="35">
        <f t="shared" si="56"/>
        <v>0</v>
      </c>
      <c r="AU117" s="35">
        <f t="shared" si="57"/>
        <v>0</v>
      </c>
      <c r="AV117" s="35">
        <f t="shared" si="58"/>
        <v>1</v>
      </c>
      <c r="AW117" s="35">
        <f t="shared" si="59"/>
        <v>0</v>
      </c>
      <c r="AX117" s="35">
        <f t="shared" si="60"/>
        <v>0</v>
      </c>
      <c r="AY117" s="35">
        <f t="shared" si="61"/>
        <v>0</v>
      </c>
      <c r="AZ117" s="35">
        <f t="shared" si="62"/>
        <v>0</v>
      </c>
      <c r="BA117" s="35">
        <f t="shared" si="63"/>
        <v>0</v>
      </c>
      <c r="BB117" s="35">
        <f t="shared" si="64"/>
        <v>0</v>
      </c>
      <c r="BC117" s="35">
        <f t="shared" si="65"/>
        <v>0</v>
      </c>
    </row>
    <row r="118" spans="1:55" s="35" customFormat="1" x14ac:dyDescent="0.35">
      <c r="A118" s="36">
        <v>37404</v>
      </c>
      <c r="B118" s="139" t="s">
        <v>52</v>
      </c>
      <c r="C118" s="139" t="s">
        <v>45</v>
      </c>
      <c r="D118" s="139" t="s">
        <v>45</v>
      </c>
      <c r="E118" s="139" t="s">
        <v>47</v>
      </c>
      <c r="F118" s="139">
        <f t="shared" si="37"/>
        <v>0</v>
      </c>
      <c r="G118" s="139">
        <v>837500000</v>
      </c>
      <c r="H118" s="139">
        <f t="shared" si="38"/>
        <v>8.9229848157088831</v>
      </c>
      <c r="I118" s="139">
        <v>837500000</v>
      </c>
      <c r="J118" s="139">
        <v>0</v>
      </c>
      <c r="K118" s="18">
        <v>37529</v>
      </c>
      <c r="L118" s="139">
        <v>2250000000</v>
      </c>
      <c r="M118" s="21">
        <f t="shared" si="40"/>
        <v>0.34246575342465752</v>
      </c>
      <c r="N118" s="21">
        <f t="shared" si="66"/>
        <v>-0.46538285144841829</v>
      </c>
      <c r="O118" s="35">
        <v>0</v>
      </c>
      <c r="P118" s="35">
        <f t="shared" si="41"/>
        <v>0</v>
      </c>
      <c r="Q118" s="35">
        <v>35</v>
      </c>
      <c r="R118" s="35">
        <f t="shared" si="42"/>
        <v>1.5563025007672873</v>
      </c>
      <c r="S118" s="45">
        <v>2.95</v>
      </c>
      <c r="T118" s="45">
        <f t="shared" si="67"/>
        <v>0.46982201597816303</v>
      </c>
      <c r="U118" s="175">
        <f t="shared" si="43"/>
        <v>1.6865671641791047</v>
      </c>
      <c r="V118" s="48">
        <f t="shared" si="44"/>
        <v>0.42919770240247967</v>
      </c>
      <c r="W118" s="35">
        <v>2346.775510204081</v>
      </c>
      <c r="X118" s="35">
        <f t="shared" si="45"/>
        <v>3.3704715474841587</v>
      </c>
      <c r="Y118" s="35">
        <v>4324.8979591836742</v>
      </c>
      <c r="Z118" s="35">
        <f t="shared" si="46"/>
        <v>3.6359758652606611</v>
      </c>
      <c r="AA118" s="37">
        <v>0</v>
      </c>
      <c r="AB118" s="37">
        <f t="shared" si="47"/>
        <v>0</v>
      </c>
      <c r="AC118" s="35">
        <v>85</v>
      </c>
      <c r="AD118" s="35">
        <f t="shared" si="68"/>
        <v>1.9294189257142926</v>
      </c>
      <c r="AE118" s="48">
        <v>24.9</v>
      </c>
      <c r="AF118" s="48">
        <f t="shared" si="69"/>
        <v>1.3961993470957363</v>
      </c>
      <c r="AG118" s="43">
        <v>36.710134890601303</v>
      </c>
      <c r="AH118" s="43">
        <f t="shared" si="70"/>
        <v>1.564785980312654</v>
      </c>
      <c r="AI118" s="39">
        <v>-0.35</v>
      </c>
      <c r="AJ118" s="48">
        <f t="shared" si="48"/>
        <v>-0.18708664335714442</v>
      </c>
      <c r="AK118" s="35">
        <v>19</v>
      </c>
      <c r="AL118" s="35">
        <f t="shared" si="71"/>
        <v>1.2787536009528289</v>
      </c>
      <c r="AM118" s="35">
        <f t="shared" si="49"/>
        <v>0</v>
      </c>
      <c r="AN118" s="35">
        <f t="shared" si="50"/>
        <v>1</v>
      </c>
      <c r="AO118" s="35">
        <f t="shared" si="51"/>
        <v>0</v>
      </c>
      <c r="AP118" s="35">
        <f t="shared" si="52"/>
        <v>0</v>
      </c>
      <c r="AQ118" s="35">
        <f t="shared" si="53"/>
        <v>0</v>
      </c>
      <c r="AR118" s="35">
        <f t="shared" si="54"/>
        <v>0</v>
      </c>
      <c r="AS118" s="35">
        <f t="shared" si="55"/>
        <v>0</v>
      </c>
      <c r="AT118" s="35">
        <f t="shared" si="56"/>
        <v>0</v>
      </c>
      <c r="AU118" s="35">
        <f t="shared" si="57"/>
        <v>0</v>
      </c>
      <c r="AV118" s="35">
        <f t="shared" si="58"/>
        <v>0</v>
      </c>
      <c r="AW118" s="35">
        <f t="shared" si="59"/>
        <v>0</v>
      </c>
      <c r="AX118" s="35">
        <f t="shared" si="60"/>
        <v>0</v>
      </c>
      <c r="AY118" s="35">
        <f t="shared" si="61"/>
        <v>0</v>
      </c>
      <c r="AZ118" s="35">
        <f t="shared" si="62"/>
        <v>0</v>
      </c>
      <c r="BA118" s="35">
        <f t="shared" si="63"/>
        <v>0</v>
      </c>
      <c r="BB118" s="35">
        <f t="shared" si="64"/>
        <v>0</v>
      </c>
      <c r="BC118" s="35">
        <f t="shared" si="65"/>
        <v>0</v>
      </c>
    </row>
    <row r="119" spans="1:55" s="35" customFormat="1" x14ac:dyDescent="0.35">
      <c r="A119" s="36">
        <v>37414</v>
      </c>
      <c r="B119" s="35" t="s">
        <v>1050</v>
      </c>
      <c r="C119" s="35" t="s">
        <v>4</v>
      </c>
      <c r="D119" s="35" t="s">
        <v>45</v>
      </c>
      <c r="E119" s="35" t="s">
        <v>64</v>
      </c>
      <c r="F119" s="139">
        <f t="shared" si="37"/>
        <v>1</v>
      </c>
      <c r="G119" s="35">
        <v>328023677</v>
      </c>
      <c r="H119" s="139">
        <f t="shared" si="38"/>
        <v>8.5159051925510969</v>
      </c>
      <c r="I119" s="35">
        <f>G119</f>
        <v>328023677</v>
      </c>
      <c r="J119" s="35">
        <v>0</v>
      </c>
      <c r="K119" s="36">
        <v>42767</v>
      </c>
      <c r="L119" s="35">
        <v>306130000</v>
      </c>
      <c r="M119" s="21">
        <f t="shared" si="40"/>
        <v>14.665753424657535</v>
      </c>
      <c r="N119" s="21">
        <f t="shared" si="66"/>
        <v>1.1663043789269569</v>
      </c>
      <c r="O119" s="35">
        <v>6635.86</v>
      </c>
      <c r="P119" s="35">
        <f t="shared" si="41"/>
        <v>3.8219626565950726</v>
      </c>
      <c r="Q119" s="35">
        <v>89</v>
      </c>
      <c r="R119" s="35">
        <f t="shared" si="42"/>
        <v>1.954242509439325</v>
      </c>
      <c r="S119" s="45">
        <v>3.03</v>
      </c>
      <c r="T119" s="45">
        <f t="shared" si="67"/>
        <v>0.48144262850230496</v>
      </c>
      <c r="U119" s="175">
        <f t="shared" si="43"/>
        <v>-6.6744197248907788E-2</v>
      </c>
      <c r="V119" s="48">
        <f t="shared" si="44"/>
        <v>-2.9999301058829555E-2</v>
      </c>
      <c r="W119" s="35">
        <v>2914.7429978454898</v>
      </c>
      <c r="X119" s="35">
        <f t="shared" si="45"/>
        <v>3.4646002676582905</v>
      </c>
      <c r="Y119" s="35">
        <v>9322.8685749461365</v>
      </c>
      <c r="Z119" s="35">
        <f t="shared" si="46"/>
        <v>3.9695495619878729</v>
      </c>
      <c r="AA119" s="37">
        <v>808</v>
      </c>
      <c r="AB119" s="37">
        <f t="shared" si="47"/>
        <v>2.9079485216122722</v>
      </c>
      <c r="AC119" s="35">
        <v>70</v>
      </c>
      <c r="AD119" s="35">
        <f t="shared" si="68"/>
        <v>1.8450980400142569</v>
      </c>
      <c r="AE119" s="48">
        <v>45.2</v>
      </c>
      <c r="AF119" s="48">
        <f t="shared" si="69"/>
        <v>1.6551384348113822</v>
      </c>
      <c r="AG119" s="43">
        <v>53.8530722517336</v>
      </c>
      <c r="AH119" s="43">
        <f t="shared" si="70"/>
        <v>1.7312104843083773</v>
      </c>
      <c r="AI119" s="39">
        <v>-0.17</v>
      </c>
      <c r="AJ119" s="48">
        <f t="shared" si="48"/>
        <v>-8.092190762392612E-2</v>
      </c>
      <c r="AK119" s="35">
        <v>19</v>
      </c>
      <c r="AL119" s="35">
        <f t="shared" si="71"/>
        <v>1.2787536009528289</v>
      </c>
      <c r="AM119" s="35">
        <f t="shared" si="49"/>
        <v>0</v>
      </c>
      <c r="AN119" s="35">
        <f t="shared" si="50"/>
        <v>0</v>
      </c>
      <c r="AO119" s="35">
        <f t="shared" si="51"/>
        <v>0</v>
      </c>
      <c r="AP119" s="35">
        <f t="shared" si="52"/>
        <v>0</v>
      </c>
      <c r="AQ119" s="35">
        <f t="shared" si="53"/>
        <v>0</v>
      </c>
      <c r="AR119" s="35">
        <f t="shared" si="54"/>
        <v>1</v>
      </c>
      <c r="AS119" s="35">
        <f t="shared" si="55"/>
        <v>0</v>
      </c>
      <c r="AT119" s="35">
        <f t="shared" si="56"/>
        <v>0</v>
      </c>
      <c r="AU119" s="35">
        <f t="shared" si="57"/>
        <v>0</v>
      </c>
      <c r="AV119" s="35">
        <f t="shared" si="58"/>
        <v>0</v>
      </c>
      <c r="AW119" s="35">
        <f t="shared" si="59"/>
        <v>0</v>
      </c>
      <c r="AX119" s="35">
        <f t="shared" si="60"/>
        <v>0</v>
      </c>
      <c r="AY119" s="35">
        <f t="shared" si="61"/>
        <v>0</v>
      </c>
      <c r="AZ119" s="35">
        <f t="shared" si="62"/>
        <v>0</v>
      </c>
      <c r="BA119" s="35">
        <f t="shared" si="63"/>
        <v>0</v>
      </c>
      <c r="BB119" s="35">
        <f t="shared" si="64"/>
        <v>0</v>
      </c>
      <c r="BC119" s="35">
        <f t="shared" si="65"/>
        <v>0</v>
      </c>
    </row>
    <row r="120" spans="1:55" s="35" customFormat="1" x14ac:dyDescent="0.35">
      <c r="A120" s="36">
        <v>37448</v>
      </c>
      <c r="B120" s="35" t="s">
        <v>225</v>
      </c>
      <c r="C120" s="35" t="s">
        <v>45</v>
      </c>
      <c r="D120" s="35" t="s">
        <v>45</v>
      </c>
      <c r="E120" s="139" t="s">
        <v>47</v>
      </c>
      <c r="F120" s="139">
        <f t="shared" si="37"/>
        <v>0</v>
      </c>
      <c r="G120" s="35">
        <v>1700000000</v>
      </c>
      <c r="H120" s="139">
        <f t="shared" si="38"/>
        <v>9.2304489213782741</v>
      </c>
      <c r="I120" s="35">
        <v>1700000000</v>
      </c>
      <c r="J120" s="35">
        <v>0</v>
      </c>
      <c r="K120" s="36">
        <v>39050</v>
      </c>
      <c r="L120" s="35">
        <v>3360000000</v>
      </c>
      <c r="M120" s="21">
        <f t="shared" si="40"/>
        <v>4.3890410958904109</v>
      </c>
      <c r="N120" s="21">
        <f t="shared" si="66"/>
        <v>0.64236964729174417</v>
      </c>
      <c r="O120" s="35">
        <v>0</v>
      </c>
      <c r="P120" s="35">
        <f t="shared" si="41"/>
        <v>0</v>
      </c>
      <c r="Q120" s="35">
        <v>83</v>
      </c>
      <c r="R120" s="35">
        <f t="shared" si="42"/>
        <v>1.9242792860618816</v>
      </c>
      <c r="S120" s="45">
        <v>2.95</v>
      </c>
      <c r="T120" s="45">
        <f t="shared" si="67"/>
        <v>0.46982201597816303</v>
      </c>
      <c r="U120" s="175">
        <f t="shared" si="43"/>
        <v>0.9764705882352942</v>
      </c>
      <c r="V120" s="48">
        <f t="shared" si="44"/>
        <v>0.29589035601157015</v>
      </c>
      <c r="W120" s="35">
        <v>2315.9650000000001</v>
      </c>
      <c r="X120" s="35">
        <f t="shared" si="45"/>
        <v>3.3647319918335836</v>
      </c>
      <c r="Y120" s="35">
        <v>3703.9029999999998</v>
      </c>
      <c r="Z120" s="35">
        <f t="shared" si="46"/>
        <v>3.568659604598353</v>
      </c>
      <c r="AA120" s="37">
        <v>0</v>
      </c>
      <c r="AB120" s="37">
        <f t="shared" si="47"/>
        <v>0</v>
      </c>
      <c r="AC120" s="35">
        <v>85</v>
      </c>
      <c r="AD120" s="35">
        <f t="shared" si="68"/>
        <v>1.9294189257142926</v>
      </c>
      <c r="AE120" s="48">
        <v>24.9</v>
      </c>
      <c r="AF120" s="48">
        <f t="shared" si="69"/>
        <v>1.3961993470957363</v>
      </c>
      <c r="AG120" s="43">
        <v>36.710134890601303</v>
      </c>
      <c r="AH120" s="43">
        <f t="shared" si="70"/>
        <v>1.564785980312654</v>
      </c>
      <c r="AI120" s="39">
        <v>-0.14000000000000001</v>
      </c>
      <c r="AJ120" s="48">
        <f t="shared" si="48"/>
        <v>-6.5501548756432285E-2</v>
      </c>
      <c r="AK120" s="35">
        <v>19</v>
      </c>
      <c r="AL120" s="35">
        <f t="shared" si="71"/>
        <v>1.2787536009528289</v>
      </c>
      <c r="AM120" s="35">
        <f t="shared" si="49"/>
        <v>0</v>
      </c>
      <c r="AN120" s="35">
        <f t="shared" si="50"/>
        <v>1</v>
      </c>
      <c r="AO120" s="35">
        <f t="shared" si="51"/>
        <v>0</v>
      </c>
      <c r="AP120" s="35">
        <f t="shared" si="52"/>
        <v>0</v>
      </c>
      <c r="AQ120" s="35">
        <f t="shared" si="53"/>
        <v>0</v>
      </c>
      <c r="AR120" s="35">
        <f t="shared" si="54"/>
        <v>0</v>
      </c>
      <c r="AS120" s="35">
        <f t="shared" si="55"/>
        <v>0</v>
      </c>
      <c r="AT120" s="35">
        <f t="shared" si="56"/>
        <v>0</v>
      </c>
      <c r="AU120" s="35">
        <f t="shared" si="57"/>
        <v>0</v>
      </c>
      <c r="AV120" s="35">
        <f t="shared" si="58"/>
        <v>0</v>
      </c>
      <c r="AW120" s="35">
        <f t="shared" si="59"/>
        <v>0</v>
      </c>
      <c r="AX120" s="35">
        <f t="shared" si="60"/>
        <v>0</v>
      </c>
      <c r="AY120" s="35">
        <f t="shared" si="61"/>
        <v>0</v>
      </c>
      <c r="AZ120" s="35">
        <f t="shared" si="62"/>
        <v>0</v>
      </c>
      <c r="BA120" s="35">
        <f t="shared" si="63"/>
        <v>0</v>
      </c>
      <c r="BB120" s="35">
        <f t="shared" si="64"/>
        <v>0</v>
      </c>
      <c r="BC120" s="35">
        <f t="shared" si="65"/>
        <v>0</v>
      </c>
    </row>
    <row r="121" spans="1:55" s="35" customFormat="1" x14ac:dyDescent="0.35">
      <c r="A121" s="36">
        <v>37453</v>
      </c>
      <c r="B121" s="35" t="s">
        <v>734</v>
      </c>
      <c r="C121" s="35" t="s">
        <v>163</v>
      </c>
      <c r="D121" s="35" t="s">
        <v>163</v>
      </c>
      <c r="E121" s="35" t="s">
        <v>47</v>
      </c>
      <c r="F121" s="139">
        <f t="shared" si="37"/>
        <v>0</v>
      </c>
      <c r="G121" s="35">
        <v>1500000000</v>
      </c>
      <c r="H121" s="139">
        <f t="shared" si="38"/>
        <v>9.1760912590556813</v>
      </c>
      <c r="I121" s="35">
        <f>G121</f>
        <v>1500000000</v>
      </c>
      <c r="J121" s="35">
        <v>0</v>
      </c>
      <c r="K121" s="36">
        <v>39359</v>
      </c>
      <c r="L121" s="35">
        <v>2280000000</v>
      </c>
      <c r="M121" s="21">
        <f t="shared" si="40"/>
        <v>5.2219178082191782</v>
      </c>
      <c r="N121" s="21">
        <f t="shared" si="66"/>
        <v>0.71783003184583294</v>
      </c>
      <c r="O121" s="35">
        <v>0</v>
      </c>
      <c r="P121" s="35">
        <f t="shared" si="41"/>
        <v>0</v>
      </c>
      <c r="Q121" s="35">
        <v>33</v>
      </c>
      <c r="R121" s="35">
        <f t="shared" si="42"/>
        <v>1.5314789170422551</v>
      </c>
      <c r="S121" s="45">
        <v>3.18</v>
      </c>
      <c r="T121" s="45">
        <f t="shared" si="67"/>
        <v>0.50242711998443268</v>
      </c>
      <c r="U121" s="175">
        <f t="shared" si="43"/>
        <v>0.52</v>
      </c>
      <c r="V121" s="48">
        <f t="shared" si="44"/>
        <v>0.18184358794477254</v>
      </c>
      <c r="W121" s="35">
        <v>1682.164</v>
      </c>
      <c r="X121" s="35">
        <f t="shared" si="45"/>
        <v>3.2258683344006376</v>
      </c>
      <c r="Y121" s="35">
        <v>9152.2764999999999</v>
      </c>
      <c r="Z121" s="35">
        <f t="shared" si="46"/>
        <v>3.9615291321450066</v>
      </c>
      <c r="AA121" s="37">
        <v>0</v>
      </c>
      <c r="AB121" s="37">
        <f t="shared" si="47"/>
        <v>0</v>
      </c>
      <c r="AC121" s="35">
        <v>70</v>
      </c>
      <c r="AD121" s="35">
        <f t="shared" si="68"/>
        <v>1.8450980400142569</v>
      </c>
      <c r="AE121" s="48">
        <v>42.4</v>
      </c>
      <c r="AF121" s="48">
        <f t="shared" si="69"/>
        <v>1.6273658565927327</v>
      </c>
      <c r="AG121" s="43">
        <v>52.795294707427601</v>
      </c>
      <c r="AH121" s="43">
        <f t="shared" si="70"/>
        <v>1.7225952184872551</v>
      </c>
      <c r="AI121" s="39">
        <v>-0.27</v>
      </c>
      <c r="AJ121" s="48">
        <f t="shared" si="48"/>
        <v>-0.13667713987954411</v>
      </c>
      <c r="AK121" s="35">
        <v>19</v>
      </c>
      <c r="AL121" s="35">
        <f t="shared" si="71"/>
        <v>1.2787536009528289</v>
      </c>
      <c r="AM121" s="35">
        <f t="shared" si="49"/>
        <v>0</v>
      </c>
      <c r="AN121" s="35">
        <f t="shared" si="50"/>
        <v>0</v>
      </c>
      <c r="AO121" s="35">
        <f t="shared" si="51"/>
        <v>0</v>
      </c>
      <c r="AP121" s="35">
        <f t="shared" si="52"/>
        <v>0</v>
      </c>
      <c r="AQ121" s="35">
        <f t="shared" si="53"/>
        <v>0</v>
      </c>
      <c r="AR121" s="35">
        <f t="shared" si="54"/>
        <v>0</v>
      </c>
      <c r="AS121" s="35">
        <f t="shared" si="55"/>
        <v>0</v>
      </c>
      <c r="AT121" s="35">
        <f t="shared" si="56"/>
        <v>1</v>
      </c>
      <c r="AU121" s="35">
        <f t="shared" si="57"/>
        <v>0</v>
      </c>
      <c r="AV121" s="35">
        <f t="shared" si="58"/>
        <v>0</v>
      </c>
      <c r="AW121" s="35">
        <f t="shared" si="59"/>
        <v>0</v>
      </c>
      <c r="AX121" s="35">
        <f t="shared" si="60"/>
        <v>0</v>
      </c>
      <c r="AY121" s="35">
        <f t="shared" si="61"/>
        <v>0</v>
      </c>
      <c r="AZ121" s="35">
        <f t="shared" si="62"/>
        <v>0</v>
      </c>
      <c r="BA121" s="35">
        <f t="shared" si="63"/>
        <v>0</v>
      </c>
      <c r="BB121" s="35">
        <f t="shared" si="64"/>
        <v>0</v>
      </c>
      <c r="BC121" s="35">
        <f t="shared" si="65"/>
        <v>0</v>
      </c>
    </row>
    <row r="122" spans="1:55" s="35" customFormat="1" x14ac:dyDescent="0.35">
      <c r="A122" s="36">
        <v>37481</v>
      </c>
      <c r="B122" s="35" t="s">
        <v>1031</v>
      </c>
      <c r="C122" s="35" t="s">
        <v>2</v>
      </c>
      <c r="D122" s="35" t="s">
        <v>45</v>
      </c>
      <c r="E122" s="35" t="s">
        <v>64</v>
      </c>
      <c r="F122" s="139">
        <f t="shared" si="37"/>
        <v>1</v>
      </c>
      <c r="G122" s="35">
        <v>29250000</v>
      </c>
      <c r="H122" s="139">
        <f t="shared" si="38"/>
        <v>7.4661258704181996</v>
      </c>
      <c r="I122" s="35">
        <f>G122</f>
        <v>29250000</v>
      </c>
      <c r="J122" s="35">
        <v>0</v>
      </c>
      <c r="K122" s="36">
        <v>38041</v>
      </c>
      <c r="L122" s="35">
        <v>34273704</v>
      </c>
      <c r="M122" s="21">
        <f t="shared" si="40"/>
        <v>1.5342465753424657</v>
      </c>
      <c r="N122" s="21">
        <f t="shared" si="66"/>
        <v>0.18589516254972568</v>
      </c>
      <c r="O122" s="35">
        <v>6815.73</v>
      </c>
      <c r="P122" s="35">
        <f t="shared" si="41"/>
        <v>3.8335760926148099</v>
      </c>
      <c r="Q122" s="35">
        <v>8</v>
      </c>
      <c r="R122" s="35">
        <f t="shared" si="42"/>
        <v>0.95424250943932487</v>
      </c>
      <c r="S122" s="45">
        <v>2.85</v>
      </c>
      <c r="T122" s="45">
        <f t="shared" si="67"/>
        <v>0.45484486000851021</v>
      </c>
      <c r="U122" s="175">
        <f t="shared" si="43"/>
        <v>0.17175056410256406</v>
      </c>
      <c r="V122" s="48">
        <f t="shared" si="44"/>
        <v>6.8835171269757328E-2</v>
      </c>
      <c r="W122" s="35">
        <v>2162.0762565470354</v>
      </c>
      <c r="X122" s="35">
        <f t="shared" si="45"/>
        <v>3.3348710074773962</v>
      </c>
      <c r="Y122" s="35">
        <v>3168.4194524674895</v>
      </c>
      <c r="Z122" s="35">
        <f t="shared" si="46"/>
        <v>3.5008426709709495</v>
      </c>
      <c r="AA122" s="37">
        <v>819</v>
      </c>
      <c r="AB122" s="37">
        <f t="shared" si="47"/>
        <v>2.9138138523837167</v>
      </c>
      <c r="AC122" s="35">
        <v>70</v>
      </c>
      <c r="AD122" s="35">
        <f t="shared" si="68"/>
        <v>1.8450980400142569</v>
      </c>
      <c r="AE122" s="48">
        <v>34.4</v>
      </c>
      <c r="AF122" s="48">
        <f t="shared" si="69"/>
        <v>1.5365584425715302</v>
      </c>
      <c r="AG122" s="43">
        <v>47.264053157349203</v>
      </c>
      <c r="AH122" s="43">
        <f t="shared" si="70"/>
        <v>1.6745309620782511</v>
      </c>
      <c r="AI122" s="39">
        <v>0.06</v>
      </c>
      <c r="AJ122" s="48">
        <f t="shared" si="48"/>
        <v>2.5305865264770262E-2</v>
      </c>
      <c r="AK122" s="35">
        <v>18</v>
      </c>
      <c r="AL122" s="35">
        <f t="shared" si="71"/>
        <v>1.255272505103306</v>
      </c>
      <c r="AM122" s="35">
        <f t="shared" si="49"/>
        <v>0</v>
      </c>
      <c r="AN122" s="35">
        <f t="shared" si="50"/>
        <v>0</v>
      </c>
      <c r="AO122" s="35">
        <f t="shared" si="51"/>
        <v>0</v>
      </c>
      <c r="AP122" s="35">
        <f t="shared" si="52"/>
        <v>0</v>
      </c>
      <c r="AQ122" s="35">
        <f t="shared" si="53"/>
        <v>0</v>
      </c>
      <c r="AR122" s="35">
        <f t="shared" si="54"/>
        <v>0</v>
      </c>
      <c r="AS122" s="35">
        <f t="shared" si="55"/>
        <v>0</v>
      </c>
      <c r="AT122" s="35">
        <f t="shared" si="56"/>
        <v>0</v>
      </c>
      <c r="AU122" s="35">
        <f t="shared" si="57"/>
        <v>0</v>
      </c>
      <c r="AV122" s="35">
        <f t="shared" si="58"/>
        <v>1</v>
      </c>
      <c r="AW122" s="35">
        <f t="shared" si="59"/>
        <v>0</v>
      </c>
      <c r="AX122" s="35">
        <f t="shared" si="60"/>
        <v>0</v>
      </c>
      <c r="AY122" s="35">
        <f t="shared" si="61"/>
        <v>0</v>
      </c>
      <c r="AZ122" s="35">
        <f t="shared" si="62"/>
        <v>0</v>
      </c>
      <c r="BA122" s="35">
        <f t="shared" si="63"/>
        <v>0</v>
      </c>
      <c r="BB122" s="35">
        <f t="shared" si="64"/>
        <v>0</v>
      </c>
      <c r="BC122" s="35">
        <f t="shared" si="65"/>
        <v>0</v>
      </c>
    </row>
    <row r="123" spans="1:55" s="35" customFormat="1" x14ac:dyDescent="0.35">
      <c r="A123" s="36">
        <v>37508</v>
      </c>
      <c r="B123" s="35" t="s">
        <v>656</v>
      </c>
      <c r="C123" s="35" t="s">
        <v>2</v>
      </c>
      <c r="D123" s="35" t="s">
        <v>45</v>
      </c>
      <c r="E123" s="35" t="s">
        <v>64</v>
      </c>
      <c r="F123" s="139">
        <f t="shared" si="37"/>
        <v>1</v>
      </c>
      <c r="G123" s="35">
        <v>62900000</v>
      </c>
      <c r="H123" s="139">
        <f t="shared" si="38"/>
        <v>7.7986506454452691</v>
      </c>
      <c r="I123" s="35">
        <f>G123</f>
        <v>62900000</v>
      </c>
      <c r="J123" s="35">
        <v>0</v>
      </c>
      <c r="K123" s="36">
        <v>38503</v>
      </c>
      <c r="L123" s="35">
        <v>123200000</v>
      </c>
      <c r="M123" s="21">
        <f t="shared" si="40"/>
        <v>2.7260273972602738</v>
      </c>
      <c r="N123" s="21">
        <f t="shared" si="66"/>
        <v>0.4355302162892507</v>
      </c>
      <c r="O123" s="35">
        <v>6815.73</v>
      </c>
      <c r="P123" s="35">
        <f t="shared" si="41"/>
        <v>3.8335760926148099</v>
      </c>
      <c r="Q123" s="35">
        <v>21</v>
      </c>
      <c r="R123" s="35">
        <f t="shared" si="42"/>
        <v>1.3424226808222062</v>
      </c>
      <c r="S123" s="45">
        <v>2.85</v>
      </c>
      <c r="T123" s="45">
        <f t="shared" si="67"/>
        <v>0.45484486000851021</v>
      </c>
      <c r="U123" s="175">
        <f t="shared" si="43"/>
        <v>0.95866454689984093</v>
      </c>
      <c r="V123" s="48">
        <f t="shared" si="44"/>
        <v>0.29196006238313771</v>
      </c>
      <c r="W123" s="35">
        <v>1618.5219999999999</v>
      </c>
      <c r="X123" s="35">
        <f t="shared" si="45"/>
        <v>3.20911860699078</v>
      </c>
      <c r="Y123" s="35">
        <v>3845.9059999999999</v>
      </c>
      <c r="Z123" s="35">
        <f t="shared" si="46"/>
        <v>3.5849986651910224</v>
      </c>
      <c r="AA123" s="37">
        <v>819</v>
      </c>
      <c r="AB123" s="37">
        <f t="shared" si="47"/>
        <v>2.9138138523837167</v>
      </c>
      <c r="AC123" s="35">
        <v>70</v>
      </c>
      <c r="AD123" s="35">
        <f t="shared" si="68"/>
        <v>1.8450980400142569</v>
      </c>
      <c r="AE123" s="48">
        <v>34.4</v>
      </c>
      <c r="AF123" s="48">
        <f t="shared" si="69"/>
        <v>1.5365584425715302</v>
      </c>
      <c r="AG123" s="43">
        <v>47.264053157349203</v>
      </c>
      <c r="AH123" s="43">
        <f t="shared" si="70"/>
        <v>1.6745309620782511</v>
      </c>
      <c r="AI123" s="39">
        <v>0.37</v>
      </c>
      <c r="AJ123" s="48">
        <f t="shared" si="48"/>
        <v>0.13672056715640679</v>
      </c>
      <c r="AK123" s="35">
        <v>15</v>
      </c>
      <c r="AL123" s="35">
        <f t="shared" si="71"/>
        <v>1.1760912590556813</v>
      </c>
      <c r="AM123" s="35">
        <f t="shared" si="49"/>
        <v>0</v>
      </c>
      <c r="AN123" s="35">
        <f t="shared" si="50"/>
        <v>0</v>
      </c>
      <c r="AO123" s="35">
        <f t="shared" si="51"/>
        <v>0</v>
      </c>
      <c r="AP123" s="35">
        <f t="shared" si="52"/>
        <v>0</v>
      </c>
      <c r="AQ123" s="35">
        <f t="shared" si="53"/>
        <v>0</v>
      </c>
      <c r="AR123" s="35">
        <f t="shared" si="54"/>
        <v>0</v>
      </c>
      <c r="AS123" s="35">
        <f t="shared" si="55"/>
        <v>0</v>
      </c>
      <c r="AT123" s="35">
        <f t="shared" si="56"/>
        <v>0</v>
      </c>
      <c r="AU123" s="35">
        <f t="shared" si="57"/>
        <v>0</v>
      </c>
      <c r="AV123" s="35">
        <f t="shared" si="58"/>
        <v>1</v>
      </c>
      <c r="AW123" s="35">
        <f t="shared" si="59"/>
        <v>0</v>
      </c>
      <c r="AX123" s="35">
        <f t="shared" si="60"/>
        <v>0</v>
      </c>
      <c r="AY123" s="35">
        <f t="shared" si="61"/>
        <v>0</v>
      </c>
      <c r="AZ123" s="35">
        <f t="shared" si="62"/>
        <v>0</v>
      </c>
      <c r="BA123" s="35">
        <f t="shared" si="63"/>
        <v>0</v>
      </c>
      <c r="BB123" s="35">
        <f t="shared" si="64"/>
        <v>0</v>
      </c>
      <c r="BC123" s="35">
        <f t="shared" si="65"/>
        <v>0</v>
      </c>
    </row>
    <row r="124" spans="1:55" s="35" customFormat="1" x14ac:dyDescent="0.35">
      <c r="A124" s="36">
        <v>37512</v>
      </c>
      <c r="B124" s="35" t="s">
        <v>1093</v>
      </c>
      <c r="C124" s="35" t="s">
        <v>163</v>
      </c>
      <c r="D124" s="35" t="s">
        <v>163</v>
      </c>
      <c r="E124" s="35" t="s">
        <v>47</v>
      </c>
      <c r="F124" s="139">
        <f t="shared" si="37"/>
        <v>0</v>
      </c>
      <c r="G124" s="35">
        <v>555000000</v>
      </c>
      <c r="H124" s="139">
        <f t="shared" si="38"/>
        <v>8.7442929831226763</v>
      </c>
      <c r="I124" s="35">
        <f>G124</f>
        <v>555000000</v>
      </c>
      <c r="J124" s="35">
        <v>0</v>
      </c>
      <c r="K124" s="36">
        <v>38467</v>
      </c>
      <c r="L124" s="35">
        <v>639000000</v>
      </c>
      <c r="M124" s="21">
        <f t="shared" si="40"/>
        <v>2.6164383561643834</v>
      </c>
      <c r="N124" s="21">
        <f t="shared" si="66"/>
        <v>0.41771050712727159</v>
      </c>
      <c r="O124" s="35">
        <v>0</v>
      </c>
      <c r="P124" s="35">
        <f t="shared" si="41"/>
        <v>0</v>
      </c>
      <c r="Q124" s="35">
        <v>52</v>
      </c>
      <c r="R124" s="35">
        <f t="shared" si="42"/>
        <v>1.7242758696007889</v>
      </c>
      <c r="S124" s="45">
        <v>3.18</v>
      </c>
      <c r="T124" s="45">
        <f t="shared" si="67"/>
        <v>0.50242711998443268</v>
      </c>
      <c r="U124" s="175">
        <f t="shared" si="43"/>
        <v>0.15135135135135136</v>
      </c>
      <c r="V124" s="48">
        <f t="shared" si="44"/>
        <v>6.1207875035723926E-2</v>
      </c>
      <c r="W124" s="35">
        <v>1682.164</v>
      </c>
      <c r="X124" s="35">
        <f t="shared" si="45"/>
        <v>3.2258683344006376</v>
      </c>
      <c r="Y124" s="35">
        <v>9152.2764999999999</v>
      </c>
      <c r="Z124" s="35">
        <f t="shared" si="46"/>
        <v>3.9615291321450066</v>
      </c>
      <c r="AA124" s="37">
        <v>0</v>
      </c>
      <c r="AB124" s="37">
        <f t="shared" si="47"/>
        <v>0</v>
      </c>
      <c r="AC124" s="35">
        <v>70</v>
      </c>
      <c r="AD124" s="35">
        <f t="shared" si="68"/>
        <v>1.8450980400142569</v>
      </c>
      <c r="AE124" s="48">
        <v>42.4</v>
      </c>
      <c r="AF124" s="48">
        <f t="shared" si="69"/>
        <v>1.6273658565927327</v>
      </c>
      <c r="AG124" s="43">
        <v>52.795294707427601</v>
      </c>
      <c r="AH124" s="43">
        <f t="shared" si="70"/>
        <v>1.7225952184872551</v>
      </c>
      <c r="AI124" s="39">
        <v>2.87</v>
      </c>
      <c r="AJ124" s="48">
        <f t="shared" si="48"/>
        <v>0.5877109650189114</v>
      </c>
      <c r="AK124" s="35">
        <v>10</v>
      </c>
      <c r="AL124" s="35">
        <f t="shared" si="71"/>
        <v>1</v>
      </c>
      <c r="AM124" s="35">
        <f t="shared" si="49"/>
        <v>0</v>
      </c>
      <c r="AN124" s="35">
        <f t="shared" si="50"/>
        <v>0</v>
      </c>
      <c r="AO124" s="35">
        <f t="shared" si="51"/>
        <v>0</v>
      </c>
      <c r="AP124" s="35">
        <f t="shared" si="52"/>
        <v>0</v>
      </c>
      <c r="AQ124" s="35">
        <f t="shared" si="53"/>
        <v>0</v>
      </c>
      <c r="AR124" s="35">
        <f t="shared" si="54"/>
        <v>0</v>
      </c>
      <c r="AS124" s="35">
        <f t="shared" si="55"/>
        <v>0</v>
      </c>
      <c r="AT124" s="35">
        <f t="shared" si="56"/>
        <v>1</v>
      </c>
      <c r="AU124" s="35">
        <f t="shared" si="57"/>
        <v>0</v>
      </c>
      <c r="AV124" s="35">
        <f t="shared" si="58"/>
        <v>0</v>
      </c>
      <c r="AW124" s="35">
        <f t="shared" si="59"/>
        <v>0</v>
      </c>
      <c r="AX124" s="35">
        <f t="shared" si="60"/>
        <v>0</v>
      </c>
      <c r="AY124" s="35">
        <f t="shared" si="61"/>
        <v>0</v>
      </c>
      <c r="AZ124" s="35">
        <f t="shared" si="62"/>
        <v>0</v>
      </c>
      <c r="BA124" s="35">
        <f t="shared" si="63"/>
        <v>0</v>
      </c>
      <c r="BB124" s="35">
        <f t="shared" si="64"/>
        <v>0</v>
      </c>
      <c r="BC124" s="35">
        <f t="shared" si="65"/>
        <v>0</v>
      </c>
    </row>
    <row r="125" spans="1:55" s="35" customFormat="1" x14ac:dyDescent="0.35">
      <c r="A125" s="36">
        <v>37516</v>
      </c>
      <c r="B125" s="35" t="s">
        <v>528</v>
      </c>
      <c r="C125" s="35" t="s">
        <v>59</v>
      </c>
      <c r="D125" s="35" t="s">
        <v>59</v>
      </c>
      <c r="E125" s="35" t="s">
        <v>102</v>
      </c>
      <c r="F125" s="139">
        <f t="shared" si="37"/>
        <v>0</v>
      </c>
      <c r="G125" s="35">
        <v>856450000</v>
      </c>
      <c r="H125" s="139">
        <f t="shared" si="38"/>
        <v>8.9327020137020643</v>
      </c>
      <c r="I125" s="35">
        <f>G125</f>
        <v>856450000</v>
      </c>
      <c r="J125" s="35">
        <v>0</v>
      </c>
      <c r="K125" s="36">
        <v>38632</v>
      </c>
      <c r="L125" s="35">
        <v>2180000000</v>
      </c>
      <c r="M125" s="21">
        <f t="shared" si="40"/>
        <v>3.0575342465753423</v>
      </c>
      <c r="N125" s="21">
        <f t="shared" si="66"/>
        <v>0.48537133014508521</v>
      </c>
      <c r="O125" s="35">
        <v>0</v>
      </c>
      <c r="P125" s="35">
        <f t="shared" si="41"/>
        <v>0</v>
      </c>
      <c r="Q125" s="35">
        <v>0</v>
      </c>
      <c r="R125" s="35">
        <f t="shared" si="42"/>
        <v>0</v>
      </c>
      <c r="S125" s="45">
        <v>3.29</v>
      </c>
      <c r="T125" s="45">
        <f t="shared" si="67"/>
        <v>0.51719589794997434</v>
      </c>
      <c r="U125" s="175">
        <f t="shared" si="43"/>
        <v>1.5453908576099011</v>
      </c>
      <c r="V125" s="48">
        <f t="shared" si="44"/>
        <v>0.40575447990253999</v>
      </c>
      <c r="W125" s="35">
        <v>2144.9704142011828</v>
      </c>
      <c r="X125" s="35">
        <f t="shared" si="45"/>
        <v>3.3314213062933389</v>
      </c>
      <c r="Y125" s="35">
        <v>7670.1183431952677</v>
      </c>
      <c r="Z125" s="35">
        <f t="shared" si="46"/>
        <v>3.884802064783424</v>
      </c>
      <c r="AA125" s="37">
        <v>0</v>
      </c>
      <c r="AB125" s="37">
        <f t="shared" si="47"/>
        <v>0</v>
      </c>
      <c r="AC125" s="35">
        <v>85</v>
      </c>
      <c r="AD125" s="35">
        <f t="shared" si="68"/>
        <v>1.9294189257142926</v>
      </c>
      <c r="AE125" s="48">
        <v>31.5</v>
      </c>
      <c r="AF125" s="48">
        <f t="shared" si="69"/>
        <v>1.4983105537896004</v>
      </c>
      <c r="AG125" s="43">
        <v>37.589394702761602</v>
      </c>
      <c r="AH125" s="43">
        <f t="shared" si="70"/>
        <v>1.575065332381355</v>
      </c>
      <c r="AI125" s="39">
        <v>0.05</v>
      </c>
      <c r="AJ125" s="48">
        <f t="shared" si="48"/>
        <v>2.1189299069938092E-2</v>
      </c>
      <c r="AK125" s="35">
        <v>22</v>
      </c>
      <c r="AL125" s="35">
        <f t="shared" si="71"/>
        <v>1.3424226808222062</v>
      </c>
      <c r="AM125" s="35">
        <f t="shared" si="49"/>
        <v>0</v>
      </c>
      <c r="AN125" s="35">
        <f t="shared" si="50"/>
        <v>0</v>
      </c>
      <c r="AO125" s="35">
        <f t="shared" si="51"/>
        <v>1</v>
      </c>
      <c r="AP125" s="35">
        <f t="shared" si="52"/>
        <v>0</v>
      </c>
      <c r="AQ125" s="35">
        <f t="shared" si="53"/>
        <v>0</v>
      </c>
      <c r="AR125" s="35">
        <f t="shared" si="54"/>
        <v>0</v>
      </c>
      <c r="AS125" s="35">
        <f t="shared" si="55"/>
        <v>0</v>
      </c>
      <c r="AT125" s="35">
        <f t="shared" si="56"/>
        <v>0</v>
      </c>
      <c r="AU125" s="35">
        <f t="shared" si="57"/>
        <v>0</v>
      </c>
      <c r="AV125" s="35">
        <f t="shared" si="58"/>
        <v>0</v>
      </c>
      <c r="AW125" s="35">
        <f t="shared" si="59"/>
        <v>0</v>
      </c>
      <c r="AX125" s="35">
        <f t="shared" si="60"/>
        <v>0</v>
      </c>
      <c r="AY125" s="35">
        <f t="shared" si="61"/>
        <v>0</v>
      </c>
      <c r="AZ125" s="35">
        <f t="shared" si="62"/>
        <v>0</v>
      </c>
      <c r="BA125" s="35">
        <f t="shared" si="63"/>
        <v>0</v>
      </c>
      <c r="BB125" s="35">
        <f t="shared" si="64"/>
        <v>0</v>
      </c>
      <c r="BC125" s="35">
        <f t="shared" si="65"/>
        <v>0</v>
      </c>
    </row>
    <row r="126" spans="1:55" s="35" customFormat="1" x14ac:dyDescent="0.35">
      <c r="A126" s="36">
        <v>37522</v>
      </c>
      <c r="B126" s="35" t="s">
        <v>991</v>
      </c>
      <c r="C126" s="35" t="s">
        <v>59</v>
      </c>
      <c r="D126" s="35" t="s">
        <v>45</v>
      </c>
      <c r="E126" s="35" t="s">
        <v>64</v>
      </c>
      <c r="F126" s="139">
        <f t="shared" si="37"/>
        <v>1</v>
      </c>
      <c r="G126" s="35">
        <v>562850000</v>
      </c>
      <c r="H126" s="139">
        <f t="shared" si="38"/>
        <v>8.7503926704250539</v>
      </c>
      <c r="I126" s="35">
        <v>430650000</v>
      </c>
      <c r="J126" s="35">
        <v>132200000</v>
      </c>
      <c r="K126" s="36">
        <v>39325</v>
      </c>
      <c r="L126" s="35">
        <v>1300000000</v>
      </c>
      <c r="M126" s="21">
        <f t="shared" si="40"/>
        <v>4.9397260273972599</v>
      </c>
      <c r="N126" s="21">
        <f t="shared" si="66"/>
        <v>0.69370286226592726</v>
      </c>
      <c r="O126" s="35">
        <v>5897.96</v>
      </c>
      <c r="P126" s="35">
        <f t="shared" si="41"/>
        <v>3.7707754512906644</v>
      </c>
      <c r="Q126" s="35">
        <v>44</v>
      </c>
      <c r="R126" s="35">
        <f t="shared" si="42"/>
        <v>1.6532125137753437</v>
      </c>
      <c r="S126" s="45">
        <v>2.3199999999999998</v>
      </c>
      <c r="T126" s="45">
        <f t="shared" si="67"/>
        <v>0.36548798489089962</v>
      </c>
      <c r="U126" s="175">
        <f t="shared" si="43"/>
        <v>1.3096739806342721</v>
      </c>
      <c r="V126" s="48">
        <f t="shared" si="44"/>
        <v>0.36355068188178347</v>
      </c>
      <c r="W126" s="35">
        <v>2232.1428571428569</v>
      </c>
      <c r="X126" s="35">
        <f t="shared" si="45"/>
        <v>3.348721986001856</v>
      </c>
      <c r="Y126" s="35">
        <v>5650.5102040816337</v>
      </c>
      <c r="Z126" s="35">
        <f t="shared" si="46"/>
        <v>3.7520876635386311</v>
      </c>
      <c r="AA126" s="37">
        <v>132</v>
      </c>
      <c r="AB126" s="37">
        <f t="shared" si="47"/>
        <v>2.1238516409670858</v>
      </c>
      <c r="AC126" s="35">
        <v>85</v>
      </c>
      <c r="AD126" s="35">
        <f t="shared" si="68"/>
        <v>1.9294189257142926</v>
      </c>
      <c r="AE126" s="48">
        <v>31.5</v>
      </c>
      <c r="AF126" s="48">
        <f t="shared" si="69"/>
        <v>1.4983105537896004</v>
      </c>
      <c r="AG126" s="43">
        <v>37.589394702761602</v>
      </c>
      <c r="AH126" s="43">
        <f t="shared" si="70"/>
        <v>1.575065332381355</v>
      </c>
      <c r="AI126" s="39">
        <v>0.09</v>
      </c>
      <c r="AJ126" s="48">
        <f t="shared" si="48"/>
        <v>3.7426497940623665E-2</v>
      </c>
      <c r="AK126" s="35">
        <v>79</v>
      </c>
      <c r="AL126" s="35">
        <f t="shared" si="71"/>
        <v>1.8976270912904414</v>
      </c>
      <c r="AM126" s="35">
        <f t="shared" si="49"/>
        <v>0</v>
      </c>
      <c r="AN126" s="35">
        <f t="shared" si="50"/>
        <v>0</v>
      </c>
      <c r="AO126" s="35">
        <f t="shared" si="51"/>
        <v>1</v>
      </c>
      <c r="AP126" s="35">
        <f t="shared" si="52"/>
        <v>0</v>
      </c>
      <c r="AQ126" s="35">
        <f t="shared" si="53"/>
        <v>0</v>
      </c>
      <c r="AR126" s="35">
        <f t="shared" si="54"/>
        <v>0</v>
      </c>
      <c r="AS126" s="35">
        <f t="shared" si="55"/>
        <v>0</v>
      </c>
      <c r="AT126" s="35">
        <f t="shared" si="56"/>
        <v>0</v>
      </c>
      <c r="AU126" s="35">
        <f t="shared" si="57"/>
        <v>0</v>
      </c>
      <c r="AV126" s="35">
        <f t="shared" si="58"/>
        <v>0</v>
      </c>
      <c r="AW126" s="35">
        <f t="shared" si="59"/>
        <v>0</v>
      </c>
      <c r="AX126" s="35">
        <f t="shared" si="60"/>
        <v>0</v>
      </c>
      <c r="AY126" s="35">
        <f t="shared" si="61"/>
        <v>0</v>
      </c>
      <c r="AZ126" s="35">
        <f t="shared" si="62"/>
        <v>0</v>
      </c>
      <c r="BA126" s="35">
        <f t="shared" si="63"/>
        <v>0</v>
      </c>
      <c r="BB126" s="35">
        <f t="shared" si="64"/>
        <v>0</v>
      </c>
      <c r="BC126" s="35">
        <f t="shared" si="65"/>
        <v>0</v>
      </c>
    </row>
    <row r="127" spans="1:55" s="35" customFormat="1" x14ac:dyDescent="0.35">
      <c r="A127" s="36">
        <v>37522</v>
      </c>
      <c r="B127" s="35" t="s">
        <v>991</v>
      </c>
      <c r="C127" s="35" t="s">
        <v>59</v>
      </c>
      <c r="D127" s="35" t="s">
        <v>45</v>
      </c>
      <c r="E127" s="35" t="s">
        <v>64</v>
      </c>
      <c r="F127" s="139">
        <f t="shared" si="37"/>
        <v>1</v>
      </c>
      <c r="G127" s="35">
        <v>562850000</v>
      </c>
      <c r="H127" s="139">
        <f t="shared" si="38"/>
        <v>8.7503926704250539</v>
      </c>
      <c r="I127" s="35">
        <v>430650000</v>
      </c>
      <c r="J127" s="35">
        <v>132200000</v>
      </c>
      <c r="K127" s="36">
        <v>39325</v>
      </c>
      <c r="L127" s="35">
        <v>1300000000</v>
      </c>
      <c r="M127" s="21">
        <f t="shared" si="40"/>
        <v>4.9397260273972599</v>
      </c>
      <c r="N127" s="21">
        <f t="shared" si="66"/>
        <v>0.69370286226592726</v>
      </c>
      <c r="O127" s="35">
        <v>5897.96</v>
      </c>
      <c r="P127" s="35">
        <f t="shared" si="41"/>
        <v>3.7707754512906644</v>
      </c>
      <c r="Q127" s="35">
        <v>44</v>
      </c>
      <c r="R127" s="35">
        <f t="shared" si="42"/>
        <v>1.6532125137753437</v>
      </c>
      <c r="S127" s="45">
        <v>2.3199999999999998</v>
      </c>
      <c r="T127" s="45">
        <f t="shared" si="67"/>
        <v>0.36548798489089962</v>
      </c>
      <c r="U127" s="175">
        <f t="shared" si="43"/>
        <v>1.3096739806342721</v>
      </c>
      <c r="V127" s="48">
        <f t="shared" si="44"/>
        <v>0.36355068188178347</v>
      </c>
      <c r="W127" s="35">
        <v>2030.3304662743317</v>
      </c>
      <c r="X127" s="35">
        <f t="shared" si="45"/>
        <v>3.3075667315086759</v>
      </c>
      <c r="Y127" s="35">
        <v>6774.5586238116803</v>
      </c>
      <c r="Z127" s="35">
        <f t="shared" si="46"/>
        <v>3.8308810053047755</v>
      </c>
      <c r="AA127" s="37">
        <v>132</v>
      </c>
      <c r="AB127" s="37">
        <f t="shared" si="47"/>
        <v>2.1238516409670858</v>
      </c>
      <c r="AC127" s="35">
        <v>85</v>
      </c>
      <c r="AD127" s="35">
        <f t="shared" si="68"/>
        <v>1.9294189257142926</v>
      </c>
      <c r="AE127" s="48">
        <v>31.5</v>
      </c>
      <c r="AF127" s="48">
        <f t="shared" si="69"/>
        <v>1.4983105537896004</v>
      </c>
      <c r="AG127" s="43">
        <v>37.589394702761602</v>
      </c>
      <c r="AH127" s="43">
        <f t="shared" si="70"/>
        <v>1.575065332381355</v>
      </c>
      <c r="AI127" s="39">
        <v>0.13</v>
      </c>
      <c r="AJ127" s="48">
        <f t="shared" si="48"/>
        <v>5.3078443483419682E-2</v>
      </c>
      <c r="AK127" s="35">
        <v>79</v>
      </c>
      <c r="AL127" s="35">
        <f t="shared" si="71"/>
        <v>1.8976270912904414</v>
      </c>
      <c r="AM127" s="35">
        <f t="shared" si="49"/>
        <v>0</v>
      </c>
      <c r="AN127" s="35">
        <f t="shared" si="50"/>
        <v>0</v>
      </c>
      <c r="AO127" s="35">
        <f t="shared" si="51"/>
        <v>1</v>
      </c>
      <c r="AP127" s="35">
        <f t="shared" si="52"/>
        <v>0</v>
      </c>
      <c r="AQ127" s="35">
        <f t="shared" si="53"/>
        <v>0</v>
      </c>
      <c r="AR127" s="35">
        <f t="shared" si="54"/>
        <v>0</v>
      </c>
      <c r="AS127" s="35">
        <f t="shared" si="55"/>
        <v>0</v>
      </c>
      <c r="AT127" s="35">
        <f t="shared" si="56"/>
        <v>0</v>
      </c>
      <c r="AU127" s="35">
        <f t="shared" si="57"/>
        <v>0</v>
      </c>
      <c r="AV127" s="35">
        <f t="shared" si="58"/>
        <v>0</v>
      </c>
      <c r="AW127" s="35">
        <f t="shared" si="59"/>
        <v>0</v>
      </c>
      <c r="AX127" s="35">
        <f t="shared" si="60"/>
        <v>0</v>
      </c>
      <c r="AY127" s="35">
        <f t="shared" si="61"/>
        <v>0</v>
      </c>
      <c r="AZ127" s="35">
        <f t="shared" si="62"/>
        <v>0</v>
      </c>
      <c r="BA127" s="35">
        <f t="shared" si="63"/>
        <v>0</v>
      </c>
      <c r="BB127" s="35">
        <f t="shared" si="64"/>
        <v>0</v>
      </c>
      <c r="BC127" s="35">
        <f t="shared" si="65"/>
        <v>0</v>
      </c>
    </row>
    <row r="128" spans="1:55" s="35" customFormat="1" x14ac:dyDescent="0.35">
      <c r="A128" s="36">
        <v>37522</v>
      </c>
      <c r="B128" s="35" t="s">
        <v>1138</v>
      </c>
      <c r="C128" s="35" t="s">
        <v>59</v>
      </c>
      <c r="D128" s="35" t="s">
        <v>577</v>
      </c>
      <c r="E128" s="35" t="s">
        <v>47</v>
      </c>
      <c r="F128" s="139">
        <f t="shared" si="37"/>
        <v>0</v>
      </c>
      <c r="G128" s="35">
        <v>53000000</v>
      </c>
      <c r="H128" s="139">
        <f t="shared" si="38"/>
        <v>7.7242758696007892</v>
      </c>
      <c r="I128" s="35">
        <f>G128</f>
        <v>53000000</v>
      </c>
      <c r="J128" s="35">
        <v>0</v>
      </c>
      <c r="K128" s="36">
        <v>38198</v>
      </c>
      <c r="L128" s="35">
        <v>23940000</v>
      </c>
      <c r="M128" s="21">
        <f t="shared" si="40"/>
        <v>1.8520547945205479</v>
      </c>
      <c r="N128" s="21">
        <f t="shared" si="66"/>
        <v>0.2676538314851612</v>
      </c>
      <c r="O128" s="35">
        <v>0</v>
      </c>
      <c r="P128" s="35">
        <f t="shared" si="41"/>
        <v>0</v>
      </c>
      <c r="Q128" s="35">
        <v>22</v>
      </c>
      <c r="R128" s="35">
        <f t="shared" si="42"/>
        <v>1.3617278360175928</v>
      </c>
      <c r="S128" s="45">
        <v>3.29</v>
      </c>
      <c r="T128" s="45">
        <f t="shared" si="67"/>
        <v>0.51719589794997434</v>
      </c>
      <c r="U128" s="175">
        <f t="shared" si="43"/>
        <v>-0.54830188679245284</v>
      </c>
      <c r="V128" s="48">
        <f t="shared" si="44"/>
        <v>-0.34515172353039719</v>
      </c>
      <c r="W128" s="35">
        <v>1801.1079999999999</v>
      </c>
      <c r="X128" s="35">
        <f t="shared" si="45"/>
        <v>3.2555397552391718</v>
      </c>
      <c r="Y128" s="35">
        <v>8416.6209999999992</v>
      </c>
      <c r="Z128" s="35">
        <f t="shared" si="46"/>
        <v>3.9251377713585649</v>
      </c>
      <c r="AA128" s="37">
        <v>0</v>
      </c>
      <c r="AB128" s="37">
        <f t="shared" si="47"/>
        <v>0</v>
      </c>
      <c r="AC128" s="35">
        <v>85</v>
      </c>
      <c r="AD128" s="35">
        <f t="shared" si="68"/>
        <v>1.9294189257142926</v>
      </c>
      <c r="AE128" s="48">
        <v>31.5</v>
      </c>
      <c r="AF128" s="48">
        <f t="shared" si="69"/>
        <v>1.4983105537896004</v>
      </c>
      <c r="AG128" s="43">
        <v>37.589394702761602</v>
      </c>
      <c r="AH128" s="43">
        <f t="shared" si="70"/>
        <v>1.575065332381355</v>
      </c>
      <c r="AI128" s="39">
        <v>0.56999999999999995</v>
      </c>
      <c r="AJ128" s="48">
        <f t="shared" si="48"/>
        <v>0.19589965240923368</v>
      </c>
      <c r="AK128" s="35">
        <v>77</v>
      </c>
      <c r="AL128" s="35">
        <f t="shared" si="71"/>
        <v>1.8864907251724818</v>
      </c>
      <c r="AM128" s="35">
        <f t="shared" si="49"/>
        <v>0</v>
      </c>
      <c r="AN128" s="35">
        <f t="shared" si="50"/>
        <v>0</v>
      </c>
      <c r="AO128" s="35">
        <f t="shared" si="51"/>
        <v>1</v>
      </c>
      <c r="AP128" s="35">
        <f t="shared" si="52"/>
        <v>0</v>
      </c>
      <c r="AQ128" s="35">
        <f t="shared" si="53"/>
        <v>0</v>
      </c>
      <c r="AR128" s="35">
        <f t="shared" si="54"/>
        <v>0</v>
      </c>
      <c r="AS128" s="35">
        <f t="shared" si="55"/>
        <v>0</v>
      </c>
      <c r="AT128" s="35">
        <f t="shared" si="56"/>
        <v>0</v>
      </c>
      <c r="AU128" s="35">
        <f t="shared" si="57"/>
        <v>0</v>
      </c>
      <c r="AV128" s="35">
        <f t="shared" si="58"/>
        <v>0</v>
      </c>
      <c r="AW128" s="35">
        <f t="shared" si="59"/>
        <v>0</v>
      </c>
      <c r="AX128" s="35">
        <f t="shared" si="60"/>
        <v>0</v>
      </c>
      <c r="AY128" s="35">
        <f t="shared" si="61"/>
        <v>0</v>
      </c>
      <c r="AZ128" s="35">
        <f t="shared" si="62"/>
        <v>0</v>
      </c>
      <c r="BA128" s="35">
        <f t="shared" si="63"/>
        <v>0</v>
      </c>
      <c r="BB128" s="35">
        <f t="shared" si="64"/>
        <v>0</v>
      </c>
      <c r="BC128" s="35">
        <f t="shared" si="65"/>
        <v>0</v>
      </c>
    </row>
    <row r="129" spans="1:55" s="35" customFormat="1" x14ac:dyDescent="0.35">
      <c r="A129" s="36">
        <v>37529</v>
      </c>
      <c r="B129" s="35" t="s">
        <v>546</v>
      </c>
      <c r="C129" s="35" t="s">
        <v>434</v>
      </c>
      <c r="D129" s="35" t="s">
        <v>45</v>
      </c>
      <c r="E129" s="35" t="s">
        <v>125</v>
      </c>
      <c r="F129" s="139">
        <f t="shared" si="37"/>
        <v>1</v>
      </c>
      <c r="G129" s="35">
        <v>460000000</v>
      </c>
      <c r="H129" s="139">
        <f t="shared" si="38"/>
        <v>8.6627578316815743</v>
      </c>
      <c r="I129" s="35">
        <f>G129</f>
        <v>460000000</v>
      </c>
      <c r="J129" s="35">
        <v>0</v>
      </c>
      <c r="K129" s="36">
        <v>39183</v>
      </c>
      <c r="L129" s="35">
        <v>470100000</v>
      </c>
      <c r="M129" s="21">
        <f t="shared" si="40"/>
        <v>4.5315068493150683</v>
      </c>
      <c r="N129" s="21">
        <f t="shared" si="66"/>
        <v>0.65624264076005312</v>
      </c>
      <c r="O129" s="35">
        <v>7216.98</v>
      </c>
      <c r="P129" s="35">
        <f t="shared" si="41"/>
        <v>3.8584156743566731</v>
      </c>
      <c r="Q129" s="35">
        <v>24</v>
      </c>
      <c r="R129" s="35">
        <f t="shared" si="42"/>
        <v>1.3979400086720377</v>
      </c>
      <c r="S129" s="45">
        <v>2.66</v>
      </c>
      <c r="T129" s="45">
        <f t="shared" si="67"/>
        <v>0.42488163663106698</v>
      </c>
      <c r="U129" s="175">
        <f t="shared" si="43"/>
        <v>2.195652173913043E-2</v>
      </c>
      <c r="V129" s="48">
        <f t="shared" si="44"/>
        <v>9.4324195066784917E-3</v>
      </c>
      <c r="W129" s="35">
        <v>2232.1428571428569</v>
      </c>
      <c r="X129" s="35">
        <f t="shared" si="45"/>
        <v>3.348721986001856</v>
      </c>
      <c r="Y129" s="35">
        <v>5650.5102040816337</v>
      </c>
      <c r="Z129" s="35">
        <f t="shared" si="46"/>
        <v>3.7520876635386311</v>
      </c>
      <c r="AA129" s="37">
        <v>649.83333333333303</v>
      </c>
      <c r="AB129" s="37">
        <f t="shared" si="47"/>
        <v>2.8134697878296753</v>
      </c>
      <c r="AC129" s="35">
        <v>70</v>
      </c>
      <c r="AD129" s="35">
        <f t="shared" si="68"/>
        <v>1.8450980400142569</v>
      </c>
      <c r="AE129" s="48">
        <v>39.75</v>
      </c>
      <c r="AF129" s="48">
        <f t="shared" si="69"/>
        <v>1.599337132992489</v>
      </c>
      <c r="AG129" s="43">
        <v>46.7864254430581</v>
      </c>
      <c r="AH129" s="43">
        <f t="shared" si="70"/>
        <v>1.6701198656739731</v>
      </c>
      <c r="AI129" s="39">
        <v>0.59</v>
      </c>
      <c r="AJ129" s="48">
        <f t="shared" si="48"/>
        <v>0.20139712432045145</v>
      </c>
      <c r="AK129" s="35">
        <v>77</v>
      </c>
      <c r="AL129" s="35">
        <f t="shared" si="71"/>
        <v>1.8864907251724818</v>
      </c>
      <c r="AM129" s="35">
        <f t="shared" si="49"/>
        <v>0</v>
      </c>
      <c r="AN129" s="35">
        <f t="shared" si="50"/>
        <v>0</v>
      </c>
      <c r="AO129" s="35">
        <f t="shared" si="51"/>
        <v>0</v>
      </c>
      <c r="AP129" s="35">
        <f t="shared" si="52"/>
        <v>0</v>
      </c>
      <c r="AQ129" s="35">
        <f t="shared" si="53"/>
        <v>0</v>
      </c>
      <c r="AR129" s="35">
        <f t="shared" si="54"/>
        <v>0</v>
      </c>
      <c r="AS129" s="35">
        <f t="shared" si="55"/>
        <v>0</v>
      </c>
      <c r="AT129" s="35">
        <f t="shared" si="56"/>
        <v>0</v>
      </c>
      <c r="AU129" s="35">
        <f t="shared" si="57"/>
        <v>0</v>
      </c>
      <c r="AV129" s="35">
        <f t="shared" si="58"/>
        <v>0</v>
      </c>
      <c r="AW129" s="35">
        <f t="shared" si="59"/>
        <v>1</v>
      </c>
      <c r="AX129" s="35">
        <f t="shared" si="60"/>
        <v>0</v>
      </c>
      <c r="AY129" s="35">
        <f t="shared" si="61"/>
        <v>0</v>
      </c>
      <c r="AZ129" s="35">
        <f t="shared" si="62"/>
        <v>0</v>
      </c>
      <c r="BA129" s="35">
        <f t="shared" si="63"/>
        <v>0</v>
      </c>
      <c r="BB129" s="35">
        <f t="shared" si="64"/>
        <v>0</v>
      </c>
      <c r="BC129" s="35">
        <f t="shared" si="65"/>
        <v>0</v>
      </c>
    </row>
    <row r="130" spans="1:55" s="35" customFormat="1" x14ac:dyDescent="0.35">
      <c r="A130" s="36">
        <v>37540</v>
      </c>
      <c r="B130" s="139" t="s">
        <v>85</v>
      </c>
      <c r="C130" s="139" t="s">
        <v>45</v>
      </c>
      <c r="D130" s="139" t="s">
        <v>45</v>
      </c>
      <c r="E130" s="139" t="s">
        <v>47</v>
      </c>
      <c r="F130" s="139">
        <f t="shared" ref="F130:F193" si="73">IF(E130="domestic",0,1)</f>
        <v>0</v>
      </c>
      <c r="G130" s="139">
        <v>350000000</v>
      </c>
      <c r="H130" s="139">
        <f t="shared" ref="H130:H193" si="74">LOG(G130)</f>
        <v>8.5440680443502757</v>
      </c>
      <c r="I130" s="139">
        <v>300000000</v>
      </c>
      <c r="J130" s="139">
        <v>50000000</v>
      </c>
      <c r="K130" s="18">
        <v>38308</v>
      </c>
      <c r="L130" s="139">
        <v>448713396</v>
      </c>
      <c r="M130" s="21">
        <f t="shared" ref="M130:M193" si="75">YEARFRAC(A130,K130,3)</f>
        <v>2.1041095890410957</v>
      </c>
      <c r="N130" s="21">
        <f t="shared" si="66"/>
        <v>0.32306835557503727</v>
      </c>
      <c r="O130" s="35">
        <v>0</v>
      </c>
      <c r="P130" s="35">
        <f t="shared" ref="P130:P193" si="76">LOG(1+O130)</f>
        <v>0</v>
      </c>
      <c r="Q130" s="35">
        <v>121</v>
      </c>
      <c r="R130" s="35">
        <f t="shared" ref="R130:R193" si="77">LOG(1+Q130)</f>
        <v>2.0863598306747484</v>
      </c>
      <c r="S130" s="45">
        <v>2.95</v>
      </c>
      <c r="T130" s="45">
        <f t="shared" si="67"/>
        <v>0.46982201597816303</v>
      </c>
      <c r="U130" s="175">
        <f t="shared" ref="U130:U193" si="78">(L130/G130)-1</f>
        <v>0.28203827428571437</v>
      </c>
      <c r="V130" s="48">
        <f t="shared" ref="V130:V193" si="79">IF(U130=-1,LOG(0.1),LOG(1+U130))</f>
        <v>0.10790099091053558</v>
      </c>
      <c r="W130" s="35">
        <v>2446.451</v>
      </c>
      <c r="X130" s="35">
        <f t="shared" ref="X130:X193" si="80">LOG(W130)</f>
        <v>3.388536521693045</v>
      </c>
      <c r="Y130" s="35">
        <v>6578.8239999999996</v>
      </c>
      <c r="Z130" s="35">
        <f t="shared" ref="Z130:Z193" si="81">LOG(Y130)</f>
        <v>3.8181482680887449</v>
      </c>
      <c r="AA130" s="37">
        <v>0</v>
      </c>
      <c r="AB130" s="37">
        <f t="shared" ref="AB130:AB193" si="82">IF(AA130=0,0,LOG(1+AA130))</f>
        <v>0</v>
      </c>
      <c r="AC130" s="35">
        <v>85</v>
      </c>
      <c r="AD130" s="35">
        <f t="shared" si="68"/>
        <v>1.9294189257142926</v>
      </c>
      <c r="AE130" s="48">
        <v>24.9</v>
      </c>
      <c r="AF130" s="48">
        <f t="shared" si="69"/>
        <v>1.3961993470957363</v>
      </c>
      <c r="AG130" s="43">
        <v>36.710134890601303</v>
      </c>
      <c r="AH130" s="43">
        <f t="shared" si="70"/>
        <v>1.564785980312654</v>
      </c>
      <c r="AI130" s="39">
        <v>0.21</v>
      </c>
      <c r="AJ130" s="48">
        <f t="shared" ref="AJ130:AJ193" si="83">LOG(1+AI130)</f>
        <v>8.2785370316450071E-2</v>
      </c>
      <c r="AK130" s="35">
        <v>73</v>
      </c>
      <c r="AL130" s="35">
        <f t="shared" si="71"/>
        <v>1.8633228601204559</v>
      </c>
      <c r="AM130" s="35">
        <f t="shared" ref="AM130:AM193" si="84">IF(V130=-1,1,0)</f>
        <v>0</v>
      </c>
      <c r="AN130" s="35">
        <f t="shared" ref="AN130:AN193" si="85">IF($C130="US",1,0)</f>
        <v>1</v>
      </c>
      <c r="AO130" s="35">
        <f t="shared" ref="AO130:AO193" si="86">IF($C130="UK",1,0)</f>
        <v>0</v>
      </c>
      <c r="AP130" s="35">
        <f t="shared" ref="AP130:AP193" si="87">IF($C130="Norway",1,0)</f>
        <v>0</v>
      </c>
      <c r="AQ130" s="35">
        <f t="shared" ref="AQ130:AQ193" si="88">IF($C130="Denmark",1,0)</f>
        <v>0</v>
      </c>
      <c r="AR130" s="35">
        <f t="shared" ref="AR130:AR193" si="89">IF($C130="Sweden",1,0)</f>
        <v>0</v>
      </c>
      <c r="AS130" s="35">
        <f t="shared" ref="AS130:AS193" si="90">IF($C130="Netherlands",1,0)</f>
        <v>0</v>
      </c>
      <c r="AT130" s="35">
        <f t="shared" ref="AT130:AT193" si="91">IF($C130="France",1,0)</f>
        <v>0</v>
      </c>
      <c r="AU130" s="35">
        <f t="shared" ref="AU130:AU193" si="92">IF($C130="Belgium",1,0)</f>
        <v>0</v>
      </c>
      <c r="AV130" s="35">
        <f t="shared" ref="AV130:AV193" si="93">IF($C130="Germany",1,0)</f>
        <v>0</v>
      </c>
      <c r="AW130" s="35">
        <f t="shared" ref="AW130:AW193" si="94">IF($C130="Italy",1,0)</f>
        <v>0</v>
      </c>
      <c r="AX130" s="35">
        <f t="shared" ref="AX130:AX193" si="95">IF($C130="Spain",1,0)</f>
        <v>0</v>
      </c>
      <c r="AY130" s="35">
        <f t="shared" ref="AY130:AY193" si="96">IF($C130="Luxembourg",1,0)</f>
        <v>0</v>
      </c>
      <c r="AZ130" s="35">
        <f t="shared" ref="AZ130:AZ193" si="97">IF($C130="Portugal",1,0)</f>
        <v>0</v>
      </c>
      <c r="BA130" s="35">
        <f t="shared" ref="BA130:BA193" si="98">IF($C130="Switzerland",1,0)</f>
        <v>0</v>
      </c>
      <c r="BB130" s="35">
        <f t="shared" ref="BB130:BB193" si="99">IF($C130="Ireland",1,0)</f>
        <v>0</v>
      </c>
      <c r="BC130" s="35">
        <f t="shared" ref="BC130:BC193" si="100">IF($C130="Finland",1,0)</f>
        <v>0</v>
      </c>
    </row>
    <row r="131" spans="1:55" s="35" customFormat="1" x14ac:dyDescent="0.35">
      <c r="A131" s="36">
        <v>37552</v>
      </c>
      <c r="B131" s="35" t="s">
        <v>1250</v>
      </c>
      <c r="C131" s="35" t="s">
        <v>45</v>
      </c>
      <c r="D131" s="35" t="s">
        <v>602</v>
      </c>
      <c r="E131" s="35" t="s">
        <v>47</v>
      </c>
      <c r="F131" s="139">
        <f t="shared" si="73"/>
        <v>0</v>
      </c>
      <c r="G131" s="35">
        <v>15000000</v>
      </c>
      <c r="H131" s="139">
        <f t="shared" si="74"/>
        <v>7.1760912590556813</v>
      </c>
      <c r="I131" s="35">
        <f t="shared" ref="I131:I136" si="101">G131</f>
        <v>15000000</v>
      </c>
      <c r="J131" s="35">
        <v>0</v>
      </c>
      <c r="K131" s="36">
        <v>38325</v>
      </c>
      <c r="L131" s="35">
        <v>0</v>
      </c>
      <c r="M131" s="21">
        <f t="shared" si="75"/>
        <v>2.117808219178082</v>
      </c>
      <c r="N131" s="21">
        <f t="shared" ref="N131:N194" si="102">IF(M131=0,0,LOG(M131))</f>
        <v>0.32588662946185015</v>
      </c>
      <c r="O131" s="35">
        <v>0</v>
      </c>
      <c r="P131" s="35">
        <f t="shared" si="76"/>
        <v>0</v>
      </c>
      <c r="Q131" s="35">
        <v>61</v>
      </c>
      <c r="R131" s="35">
        <f t="shared" si="77"/>
        <v>1.7923916894982539</v>
      </c>
      <c r="S131" s="45">
        <v>2.95</v>
      </c>
      <c r="T131" s="45">
        <f t="shared" ref="T131:T194" si="103">LOG(S131)</f>
        <v>0.46982201597816303</v>
      </c>
      <c r="U131" s="175">
        <f t="shared" si="78"/>
        <v>-1</v>
      </c>
      <c r="V131" s="48">
        <f t="shared" si="79"/>
        <v>-1</v>
      </c>
      <c r="W131" s="35">
        <v>1246.953</v>
      </c>
      <c r="X131" s="35">
        <f t="shared" si="80"/>
        <v>3.0958500844125241</v>
      </c>
      <c r="Y131" s="35">
        <v>3219.7179999999998</v>
      </c>
      <c r="Z131" s="35">
        <f t="shared" si="81"/>
        <v>3.5078178355445662</v>
      </c>
      <c r="AA131" s="35">
        <v>0</v>
      </c>
      <c r="AB131" s="37">
        <f t="shared" si="82"/>
        <v>0</v>
      </c>
      <c r="AC131" s="35">
        <v>85</v>
      </c>
      <c r="AD131" s="35">
        <f t="shared" ref="AD131:AD194" si="104">LOG(AC131)</f>
        <v>1.9294189257142926</v>
      </c>
      <c r="AE131" s="48">
        <v>24.9</v>
      </c>
      <c r="AF131" s="48">
        <f t="shared" ref="AF131:AF194" si="105">LOG(AE131)</f>
        <v>1.3961993470957363</v>
      </c>
      <c r="AG131" s="43">
        <v>36.710134890601303</v>
      </c>
      <c r="AH131" s="43">
        <f t="shared" ref="AH131:AH194" si="106">LOG(AG131)</f>
        <v>1.564785980312654</v>
      </c>
      <c r="AI131" s="39">
        <v>7.0000000000000007E-2</v>
      </c>
      <c r="AJ131" s="48">
        <f t="shared" si="83"/>
        <v>2.9383777685209667E-2</v>
      </c>
      <c r="AK131" s="35">
        <v>71</v>
      </c>
      <c r="AL131" s="35">
        <f t="shared" ref="AL131:AL194" si="107">IF(AK131=0,0,LOG(AK131))</f>
        <v>1.8512583487190752</v>
      </c>
      <c r="AM131" s="35">
        <f t="shared" si="84"/>
        <v>1</v>
      </c>
      <c r="AN131" s="35">
        <f t="shared" si="85"/>
        <v>1</v>
      </c>
      <c r="AO131" s="35">
        <f t="shared" si="86"/>
        <v>0</v>
      </c>
      <c r="AP131" s="35">
        <f t="shared" si="87"/>
        <v>0</v>
      </c>
      <c r="AQ131" s="35">
        <f t="shared" si="88"/>
        <v>0</v>
      </c>
      <c r="AR131" s="35">
        <f t="shared" si="89"/>
        <v>0</v>
      </c>
      <c r="AS131" s="35">
        <f t="shared" si="90"/>
        <v>0</v>
      </c>
      <c r="AT131" s="35">
        <f t="shared" si="91"/>
        <v>0</v>
      </c>
      <c r="AU131" s="35">
        <f t="shared" si="92"/>
        <v>0</v>
      </c>
      <c r="AV131" s="35">
        <f t="shared" si="93"/>
        <v>0</v>
      </c>
      <c r="AW131" s="35">
        <f t="shared" si="94"/>
        <v>0</v>
      </c>
      <c r="AX131" s="35">
        <f t="shared" si="95"/>
        <v>0</v>
      </c>
      <c r="AY131" s="35">
        <f t="shared" si="96"/>
        <v>0</v>
      </c>
      <c r="AZ131" s="35">
        <f t="shared" si="97"/>
        <v>0</v>
      </c>
      <c r="BA131" s="35">
        <f t="shared" si="98"/>
        <v>0</v>
      </c>
      <c r="BB131" s="35">
        <f t="shared" si="99"/>
        <v>0</v>
      </c>
      <c r="BC131" s="35">
        <f t="shared" si="100"/>
        <v>0</v>
      </c>
    </row>
    <row r="132" spans="1:55" s="35" customFormat="1" x14ac:dyDescent="0.35">
      <c r="A132" s="36">
        <v>37573</v>
      </c>
      <c r="B132" s="90" t="s">
        <v>571</v>
      </c>
      <c r="C132" s="35" t="s">
        <v>4</v>
      </c>
      <c r="D132" s="35" t="s">
        <v>419</v>
      </c>
      <c r="E132" s="35" t="s">
        <v>125</v>
      </c>
      <c r="F132" s="139">
        <f t="shared" si="73"/>
        <v>1</v>
      </c>
      <c r="G132" s="35">
        <v>2210000</v>
      </c>
      <c r="H132" s="139">
        <f t="shared" si="74"/>
        <v>6.344392273685111</v>
      </c>
      <c r="I132" s="35">
        <f t="shared" si="101"/>
        <v>2210000</v>
      </c>
      <c r="J132" s="35">
        <v>0</v>
      </c>
      <c r="K132" s="36">
        <v>41106</v>
      </c>
      <c r="L132" s="35">
        <v>15500000</v>
      </c>
      <c r="M132" s="21">
        <f t="shared" si="75"/>
        <v>9.6794520547945204</v>
      </c>
      <c r="N132" s="21">
        <f t="shared" si="102"/>
        <v>0.98585077297837076</v>
      </c>
      <c r="O132" s="35">
        <v>395.92</v>
      </c>
      <c r="P132" s="35">
        <f t="shared" si="76"/>
        <v>2.5987029826834349</v>
      </c>
      <c r="Q132" s="35">
        <v>5</v>
      </c>
      <c r="R132" s="35">
        <f t="shared" si="77"/>
        <v>0.77815125038364363</v>
      </c>
      <c r="S132" s="45">
        <v>3.35</v>
      </c>
      <c r="T132" s="45">
        <f t="shared" si="103"/>
        <v>0.5250448070368452</v>
      </c>
      <c r="U132" s="175">
        <f t="shared" si="78"/>
        <v>6.0135746606334841</v>
      </c>
      <c r="V132" s="48">
        <f t="shared" si="79"/>
        <v>0.84593942448518078</v>
      </c>
      <c r="W132" s="35">
        <v>1895.918367346939</v>
      </c>
      <c r="X132" s="35">
        <f t="shared" si="80"/>
        <v>3.277819633965128</v>
      </c>
      <c r="Y132" s="35">
        <v>8519.3877551020414</v>
      </c>
      <c r="Z132" s="35">
        <f t="shared" si="81"/>
        <v>3.9304083853612104</v>
      </c>
      <c r="AA132" s="37">
        <v>345.83333333333297</v>
      </c>
      <c r="AB132" s="37">
        <f t="shared" si="82"/>
        <v>2.5401208298279827</v>
      </c>
      <c r="AC132" s="35">
        <v>70</v>
      </c>
      <c r="AD132" s="35">
        <f t="shared" si="104"/>
        <v>1.8450980400142569</v>
      </c>
      <c r="AE132" s="48">
        <v>45.2</v>
      </c>
      <c r="AF132" s="48">
        <f t="shared" si="105"/>
        <v>1.6551384348113822</v>
      </c>
      <c r="AG132" s="43">
        <v>53.8530722517336</v>
      </c>
      <c r="AH132" s="43">
        <f t="shared" si="106"/>
        <v>1.7312104843083773</v>
      </c>
      <c r="AI132" s="39">
        <v>0.38</v>
      </c>
      <c r="AJ132" s="48">
        <f t="shared" si="83"/>
        <v>0.13987908640123647</v>
      </c>
      <c r="AK132" s="35">
        <v>71</v>
      </c>
      <c r="AL132" s="35">
        <f t="shared" si="107"/>
        <v>1.8512583487190752</v>
      </c>
      <c r="AM132" s="35">
        <f t="shared" si="84"/>
        <v>0</v>
      </c>
      <c r="AN132" s="35">
        <f t="shared" si="85"/>
        <v>0</v>
      </c>
      <c r="AO132" s="35">
        <f t="shared" si="86"/>
        <v>0</v>
      </c>
      <c r="AP132" s="35">
        <f t="shared" si="87"/>
        <v>0</v>
      </c>
      <c r="AQ132" s="35">
        <f t="shared" si="88"/>
        <v>0</v>
      </c>
      <c r="AR132" s="35">
        <f t="shared" si="89"/>
        <v>1</v>
      </c>
      <c r="AS132" s="35">
        <f t="shared" si="90"/>
        <v>0</v>
      </c>
      <c r="AT132" s="35">
        <f t="shared" si="91"/>
        <v>0</v>
      </c>
      <c r="AU132" s="35">
        <f t="shared" si="92"/>
        <v>0</v>
      </c>
      <c r="AV132" s="35">
        <f t="shared" si="93"/>
        <v>0</v>
      </c>
      <c r="AW132" s="35">
        <f t="shared" si="94"/>
        <v>0</v>
      </c>
      <c r="AX132" s="35">
        <f t="shared" si="95"/>
        <v>0</v>
      </c>
      <c r="AY132" s="35">
        <f t="shared" si="96"/>
        <v>0</v>
      </c>
      <c r="AZ132" s="35">
        <f t="shared" si="97"/>
        <v>0</v>
      </c>
      <c r="BA132" s="35">
        <f t="shared" si="98"/>
        <v>0</v>
      </c>
      <c r="BB132" s="35">
        <f t="shared" si="99"/>
        <v>0</v>
      </c>
      <c r="BC132" s="35">
        <f t="shared" si="100"/>
        <v>0</v>
      </c>
    </row>
    <row r="133" spans="1:55" s="35" customFormat="1" x14ac:dyDescent="0.35">
      <c r="A133" s="36">
        <v>37575</v>
      </c>
      <c r="B133" s="90" t="s">
        <v>903</v>
      </c>
      <c r="C133" s="35" t="s">
        <v>59</v>
      </c>
      <c r="D133" s="35" t="s">
        <v>59</v>
      </c>
      <c r="E133" s="35" t="s">
        <v>47</v>
      </c>
      <c r="F133" s="139">
        <f t="shared" si="73"/>
        <v>0</v>
      </c>
      <c r="G133" s="35">
        <v>23000000</v>
      </c>
      <c r="H133" s="139">
        <f t="shared" si="74"/>
        <v>7.3617278360175931</v>
      </c>
      <c r="I133" s="35">
        <f t="shared" si="101"/>
        <v>23000000</v>
      </c>
      <c r="J133" s="35">
        <v>0</v>
      </c>
      <c r="K133" s="36">
        <v>38990</v>
      </c>
      <c r="L133" s="35">
        <v>265000000</v>
      </c>
      <c r="M133" s="21">
        <f t="shared" si="75"/>
        <v>3.8767123287671232</v>
      </c>
      <c r="N133" s="21">
        <f t="shared" si="102"/>
        <v>0.58846357540383432</v>
      </c>
      <c r="O133" s="35">
        <v>0</v>
      </c>
      <c r="P133" s="35">
        <f t="shared" si="76"/>
        <v>0</v>
      </c>
      <c r="Q133" s="35">
        <v>10</v>
      </c>
      <c r="R133" s="35">
        <f t="shared" si="77"/>
        <v>1.0413926851582251</v>
      </c>
      <c r="S133" s="45">
        <v>3.29</v>
      </c>
      <c r="T133" s="45">
        <f t="shared" si="103"/>
        <v>0.51719589794997434</v>
      </c>
      <c r="U133" s="175">
        <f t="shared" si="78"/>
        <v>10.521739130434783</v>
      </c>
      <c r="V133" s="48">
        <f t="shared" si="79"/>
        <v>1.0615180379192151</v>
      </c>
      <c r="W133" s="35">
        <v>1954.7325102880657</v>
      </c>
      <c r="X133" s="35">
        <f t="shared" si="80"/>
        <v>3.2910873360265542</v>
      </c>
      <c r="Y133" s="35">
        <v>6872.4279835390944</v>
      </c>
      <c r="Z133" s="35">
        <f t="shared" si="81"/>
        <v>3.8371101975492712</v>
      </c>
      <c r="AA133" s="37">
        <v>0</v>
      </c>
      <c r="AB133" s="37">
        <f t="shared" si="82"/>
        <v>0</v>
      </c>
      <c r="AC133" s="35">
        <v>85</v>
      </c>
      <c r="AD133" s="35">
        <f t="shared" si="104"/>
        <v>1.9294189257142926</v>
      </c>
      <c r="AE133" s="48">
        <v>31.5</v>
      </c>
      <c r="AF133" s="48">
        <f t="shared" si="105"/>
        <v>1.4983105537896004</v>
      </c>
      <c r="AG133" s="43">
        <v>37.589394702761602</v>
      </c>
      <c r="AH133" s="43">
        <f t="shared" si="106"/>
        <v>1.575065332381355</v>
      </c>
      <c r="AI133" s="39">
        <v>0.16</v>
      </c>
      <c r="AJ133" s="48">
        <f t="shared" si="83"/>
        <v>6.445798922691845E-2</v>
      </c>
      <c r="AK133" s="35">
        <v>70</v>
      </c>
      <c r="AL133" s="35">
        <f t="shared" si="107"/>
        <v>1.8450980400142569</v>
      </c>
      <c r="AM133" s="35">
        <f t="shared" si="84"/>
        <v>0</v>
      </c>
      <c r="AN133" s="35">
        <f t="shared" si="85"/>
        <v>0</v>
      </c>
      <c r="AO133" s="35">
        <f t="shared" si="86"/>
        <v>1</v>
      </c>
      <c r="AP133" s="35">
        <f t="shared" si="87"/>
        <v>0</v>
      </c>
      <c r="AQ133" s="35">
        <f t="shared" si="88"/>
        <v>0</v>
      </c>
      <c r="AR133" s="35">
        <f t="shared" si="89"/>
        <v>0</v>
      </c>
      <c r="AS133" s="35">
        <f t="shared" si="90"/>
        <v>0</v>
      </c>
      <c r="AT133" s="35">
        <f t="shared" si="91"/>
        <v>0</v>
      </c>
      <c r="AU133" s="35">
        <f t="shared" si="92"/>
        <v>0</v>
      </c>
      <c r="AV133" s="35">
        <f t="shared" si="93"/>
        <v>0</v>
      </c>
      <c r="AW133" s="35">
        <f t="shared" si="94"/>
        <v>0</v>
      </c>
      <c r="AX133" s="35">
        <f t="shared" si="95"/>
        <v>0</v>
      </c>
      <c r="AY133" s="35">
        <f t="shared" si="96"/>
        <v>0</v>
      </c>
      <c r="AZ133" s="35">
        <f t="shared" si="97"/>
        <v>0</v>
      </c>
      <c r="BA133" s="35">
        <f t="shared" si="98"/>
        <v>0</v>
      </c>
      <c r="BB133" s="35">
        <f t="shared" si="99"/>
        <v>0</v>
      </c>
      <c r="BC133" s="35">
        <f t="shared" si="100"/>
        <v>0</v>
      </c>
    </row>
    <row r="134" spans="1:55" s="35" customFormat="1" x14ac:dyDescent="0.35">
      <c r="A134" s="36">
        <v>37585</v>
      </c>
      <c r="B134" s="35" t="s">
        <v>1162</v>
      </c>
      <c r="C134" s="35" t="s">
        <v>45</v>
      </c>
      <c r="D134" s="35" t="s">
        <v>602</v>
      </c>
      <c r="E134" s="35" t="s">
        <v>47</v>
      </c>
      <c r="F134" s="139">
        <f t="shared" si="73"/>
        <v>0</v>
      </c>
      <c r="G134" s="35">
        <v>914180000</v>
      </c>
      <c r="H134" s="139">
        <f t="shared" si="74"/>
        <v>8.9610317157668646</v>
      </c>
      <c r="I134" s="35">
        <f t="shared" si="101"/>
        <v>914180000</v>
      </c>
      <c r="J134" s="35">
        <v>0</v>
      </c>
      <c r="K134" s="36">
        <v>38990</v>
      </c>
      <c r="L134" s="35">
        <v>1825000000</v>
      </c>
      <c r="M134" s="21">
        <f t="shared" si="75"/>
        <v>3.8493150684931505</v>
      </c>
      <c r="N134" s="21">
        <f t="shared" si="102"/>
        <v>0.58538345978462403</v>
      </c>
      <c r="O134" s="35">
        <v>0</v>
      </c>
      <c r="P134" s="35">
        <f t="shared" si="76"/>
        <v>0</v>
      </c>
      <c r="Q134" s="35">
        <v>0</v>
      </c>
      <c r="R134" s="35">
        <f t="shared" si="77"/>
        <v>0</v>
      </c>
      <c r="S134" s="45">
        <v>2.95</v>
      </c>
      <c r="T134" s="45">
        <f t="shared" si="103"/>
        <v>0.46982201597816303</v>
      </c>
      <c r="U134" s="175">
        <f t="shared" si="78"/>
        <v>0.99632457502898775</v>
      </c>
      <c r="V134" s="48">
        <f t="shared" si="79"/>
        <v>0.30023115302562903</v>
      </c>
      <c r="W134" s="35">
        <v>1246.953</v>
      </c>
      <c r="X134" s="35">
        <f t="shared" si="80"/>
        <v>3.0958500844125241</v>
      </c>
      <c r="Y134" s="35">
        <v>3219.7179999999998</v>
      </c>
      <c r="Z134" s="35">
        <f t="shared" si="81"/>
        <v>3.5078178355445662</v>
      </c>
      <c r="AA134" s="35">
        <v>0</v>
      </c>
      <c r="AB134" s="37">
        <f t="shared" si="82"/>
        <v>0</v>
      </c>
      <c r="AC134" s="35">
        <v>85</v>
      </c>
      <c r="AD134" s="35">
        <f t="shared" si="104"/>
        <v>1.9294189257142926</v>
      </c>
      <c r="AE134" s="48">
        <v>24.9</v>
      </c>
      <c r="AF134" s="48">
        <f t="shared" si="105"/>
        <v>1.3961993470957363</v>
      </c>
      <c r="AG134" s="43">
        <v>36.710134890601303</v>
      </c>
      <c r="AH134" s="43">
        <f t="shared" si="106"/>
        <v>1.564785980312654</v>
      </c>
      <c r="AI134" s="39">
        <v>1.32</v>
      </c>
      <c r="AJ134" s="48">
        <f t="shared" si="83"/>
        <v>0.36548798489089973</v>
      </c>
      <c r="AK134" s="35">
        <v>68</v>
      </c>
      <c r="AL134" s="35">
        <f t="shared" si="107"/>
        <v>1.8325089127062364</v>
      </c>
      <c r="AM134" s="35">
        <f t="shared" si="84"/>
        <v>0</v>
      </c>
      <c r="AN134" s="35">
        <f t="shared" si="85"/>
        <v>1</v>
      </c>
      <c r="AO134" s="35">
        <f t="shared" si="86"/>
        <v>0</v>
      </c>
      <c r="AP134" s="35">
        <f t="shared" si="87"/>
        <v>0</v>
      </c>
      <c r="AQ134" s="35">
        <f t="shared" si="88"/>
        <v>0</v>
      </c>
      <c r="AR134" s="35">
        <f t="shared" si="89"/>
        <v>0</v>
      </c>
      <c r="AS134" s="35">
        <f t="shared" si="90"/>
        <v>0</v>
      </c>
      <c r="AT134" s="35">
        <f t="shared" si="91"/>
        <v>0</v>
      </c>
      <c r="AU134" s="35">
        <f t="shared" si="92"/>
        <v>0</v>
      </c>
      <c r="AV134" s="35">
        <f t="shared" si="93"/>
        <v>0</v>
      </c>
      <c r="AW134" s="35">
        <f t="shared" si="94"/>
        <v>0</v>
      </c>
      <c r="AX134" s="35">
        <f t="shared" si="95"/>
        <v>0</v>
      </c>
      <c r="AY134" s="35">
        <f t="shared" si="96"/>
        <v>0</v>
      </c>
      <c r="AZ134" s="35">
        <f t="shared" si="97"/>
        <v>0</v>
      </c>
      <c r="BA134" s="35">
        <f t="shared" si="98"/>
        <v>0</v>
      </c>
      <c r="BB134" s="35">
        <f t="shared" si="99"/>
        <v>0</v>
      </c>
      <c r="BC134" s="35">
        <f t="shared" si="100"/>
        <v>0</v>
      </c>
    </row>
    <row r="135" spans="1:55" s="35" customFormat="1" x14ac:dyDescent="0.35">
      <c r="A135" s="36">
        <v>37585</v>
      </c>
      <c r="B135" s="35" t="s">
        <v>1162</v>
      </c>
      <c r="C135" s="35" t="s">
        <v>45</v>
      </c>
      <c r="D135" s="35" t="s">
        <v>602</v>
      </c>
      <c r="E135" s="35" t="s">
        <v>47</v>
      </c>
      <c r="F135" s="139">
        <f t="shared" si="73"/>
        <v>0</v>
      </c>
      <c r="G135" s="35">
        <v>586800000</v>
      </c>
      <c r="H135" s="139">
        <f t="shared" si="74"/>
        <v>8.7684901051712458</v>
      </c>
      <c r="I135" s="35">
        <f t="shared" si="101"/>
        <v>586800000</v>
      </c>
      <c r="J135" s="35">
        <v>0</v>
      </c>
      <c r="K135" s="36">
        <v>38990</v>
      </c>
      <c r="L135" s="35">
        <v>1825000000</v>
      </c>
      <c r="M135" s="21">
        <f t="shared" si="75"/>
        <v>3.8493150684931505</v>
      </c>
      <c r="N135" s="21">
        <f t="shared" si="102"/>
        <v>0.58538345978462403</v>
      </c>
      <c r="O135" s="35">
        <v>0</v>
      </c>
      <c r="P135" s="35">
        <f t="shared" si="76"/>
        <v>0</v>
      </c>
      <c r="Q135" s="35">
        <v>0</v>
      </c>
      <c r="R135" s="35">
        <f t="shared" si="77"/>
        <v>0</v>
      </c>
      <c r="S135" s="45">
        <v>2.95</v>
      </c>
      <c r="T135" s="45">
        <f t="shared" si="103"/>
        <v>0.46982201597816303</v>
      </c>
      <c r="U135" s="175">
        <f t="shared" si="78"/>
        <v>2.1100886162235857</v>
      </c>
      <c r="V135" s="48">
        <f t="shared" si="79"/>
        <v>0.49277276362124844</v>
      </c>
      <c r="W135" s="35">
        <v>1246.953</v>
      </c>
      <c r="X135" s="35">
        <f t="shared" si="80"/>
        <v>3.0958500844125241</v>
      </c>
      <c r="Y135" s="35">
        <v>3219.7179999999998</v>
      </c>
      <c r="Z135" s="35">
        <f t="shared" si="81"/>
        <v>3.5078178355445662</v>
      </c>
      <c r="AA135" s="35">
        <v>0</v>
      </c>
      <c r="AB135" s="37">
        <f t="shared" si="82"/>
        <v>0</v>
      </c>
      <c r="AC135" s="35">
        <v>85</v>
      </c>
      <c r="AD135" s="35">
        <f t="shared" si="104"/>
        <v>1.9294189257142926</v>
      </c>
      <c r="AE135" s="48">
        <v>24.9</v>
      </c>
      <c r="AF135" s="48">
        <f t="shared" si="105"/>
        <v>1.3961993470957363</v>
      </c>
      <c r="AG135" s="43">
        <v>36.710134890601303</v>
      </c>
      <c r="AH135" s="43">
        <f t="shared" si="106"/>
        <v>1.564785980312654</v>
      </c>
      <c r="AI135" s="39">
        <v>0.37</v>
      </c>
      <c r="AJ135" s="48">
        <f t="shared" si="83"/>
        <v>0.13672056715640679</v>
      </c>
      <c r="AK135" s="35">
        <v>68</v>
      </c>
      <c r="AL135" s="35">
        <f t="shared" si="107"/>
        <v>1.8325089127062364</v>
      </c>
      <c r="AM135" s="35">
        <f t="shared" si="84"/>
        <v>0</v>
      </c>
      <c r="AN135" s="35">
        <f t="shared" si="85"/>
        <v>1</v>
      </c>
      <c r="AO135" s="35">
        <f t="shared" si="86"/>
        <v>0</v>
      </c>
      <c r="AP135" s="35">
        <f t="shared" si="87"/>
        <v>0</v>
      </c>
      <c r="AQ135" s="35">
        <f t="shared" si="88"/>
        <v>0</v>
      </c>
      <c r="AR135" s="35">
        <f t="shared" si="89"/>
        <v>0</v>
      </c>
      <c r="AS135" s="35">
        <f t="shared" si="90"/>
        <v>0</v>
      </c>
      <c r="AT135" s="35">
        <f t="shared" si="91"/>
        <v>0</v>
      </c>
      <c r="AU135" s="35">
        <f t="shared" si="92"/>
        <v>0</v>
      </c>
      <c r="AV135" s="35">
        <f t="shared" si="93"/>
        <v>0</v>
      </c>
      <c r="AW135" s="35">
        <f t="shared" si="94"/>
        <v>0</v>
      </c>
      <c r="AX135" s="35">
        <f t="shared" si="95"/>
        <v>0</v>
      </c>
      <c r="AY135" s="35">
        <f t="shared" si="96"/>
        <v>0</v>
      </c>
      <c r="AZ135" s="35">
        <f t="shared" si="97"/>
        <v>0</v>
      </c>
      <c r="BA135" s="35">
        <f t="shared" si="98"/>
        <v>0</v>
      </c>
      <c r="BB135" s="35">
        <f t="shared" si="99"/>
        <v>0</v>
      </c>
      <c r="BC135" s="35">
        <f t="shared" si="100"/>
        <v>0</v>
      </c>
    </row>
    <row r="136" spans="1:55" s="35" customFormat="1" ht="15.75" customHeight="1" x14ac:dyDescent="0.35">
      <c r="A136" s="36">
        <v>37589</v>
      </c>
      <c r="B136" s="35" t="s">
        <v>755</v>
      </c>
      <c r="C136" s="35" t="s">
        <v>163</v>
      </c>
      <c r="D136" s="35" t="s">
        <v>163</v>
      </c>
      <c r="E136" s="35" t="s">
        <v>47</v>
      </c>
      <c r="F136" s="139">
        <f t="shared" si="73"/>
        <v>0</v>
      </c>
      <c r="G136" s="35">
        <f>(185500000+70500000)</f>
        <v>256000000</v>
      </c>
      <c r="H136" s="139">
        <f t="shared" si="74"/>
        <v>8.40823996531185</v>
      </c>
      <c r="I136" s="35">
        <f t="shared" si="101"/>
        <v>256000000</v>
      </c>
      <c r="J136" s="35">
        <v>0</v>
      </c>
      <c r="K136" s="36">
        <v>39190</v>
      </c>
      <c r="L136" s="35">
        <v>579686000</v>
      </c>
      <c r="M136" s="21">
        <f t="shared" si="75"/>
        <v>4.3863013698630136</v>
      </c>
      <c r="N136" s="21">
        <f t="shared" si="102"/>
        <v>0.64209846746282506</v>
      </c>
      <c r="O136" s="35">
        <v>0</v>
      </c>
      <c r="P136" s="35">
        <f t="shared" si="76"/>
        <v>0</v>
      </c>
      <c r="Q136" s="35">
        <v>75</v>
      </c>
      <c r="R136" s="35">
        <f t="shared" si="77"/>
        <v>1.8808135922807914</v>
      </c>
      <c r="S136" s="45">
        <v>3.18</v>
      </c>
      <c r="T136" s="45">
        <f t="shared" si="103"/>
        <v>0.50242711998443268</v>
      </c>
      <c r="U136" s="175">
        <f t="shared" si="78"/>
        <v>1.2643984375000001</v>
      </c>
      <c r="V136" s="48">
        <f t="shared" si="79"/>
        <v>0.35495284653698561</v>
      </c>
      <c r="W136" s="35">
        <v>1682.164</v>
      </c>
      <c r="X136" s="35">
        <f t="shared" si="80"/>
        <v>3.2258683344006376</v>
      </c>
      <c r="Y136" s="35">
        <v>9152.2764999999999</v>
      </c>
      <c r="Z136" s="35">
        <f t="shared" si="81"/>
        <v>3.9615291321450066</v>
      </c>
      <c r="AA136" s="37">
        <v>0</v>
      </c>
      <c r="AB136" s="37">
        <f t="shared" si="82"/>
        <v>0</v>
      </c>
      <c r="AC136" s="35">
        <v>70</v>
      </c>
      <c r="AD136" s="35">
        <f t="shared" si="104"/>
        <v>1.8450980400142569</v>
      </c>
      <c r="AE136" s="48">
        <v>42.4</v>
      </c>
      <c r="AF136" s="48">
        <f t="shared" si="105"/>
        <v>1.6273658565927327</v>
      </c>
      <c r="AG136" s="43">
        <v>52.795294707427601</v>
      </c>
      <c r="AH136" s="43">
        <f t="shared" si="106"/>
        <v>1.7225952184872551</v>
      </c>
      <c r="AI136" s="39">
        <v>0.14000000000000001</v>
      </c>
      <c r="AJ136" s="48">
        <f t="shared" si="83"/>
        <v>5.6904851336472641E-2</v>
      </c>
      <c r="AK136" s="35">
        <v>67</v>
      </c>
      <c r="AL136" s="35">
        <f t="shared" si="107"/>
        <v>1.8260748027008264</v>
      </c>
      <c r="AM136" s="35">
        <f t="shared" si="84"/>
        <v>0</v>
      </c>
      <c r="AN136" s="35">
        <f t="shared" si="85"/>
        <v>0</v>
      </c>
      <c r="AO136" s="35">
        <f t="shared" si="86"/>
        <v>0</v>
      </c>
      <c r="AP136" s="35">
        <f t="shared" si="87"/>
        <v>0</v>
      </c>
      <c r="AQ136" s="35">
        <f t="shared" si="88"/>
        <v>0</v>
      </c>
      <c r="AR136" s="35">
        <f t="shared" si="89"/>
        <v>0</v>
      </c>
      <c r="AS136" s="35">
        <f t="shared" si="90"/>
        <v>0</v>
      </c>
      <c r="AT136" s="35">
        <f t="shared" si="91"/>
        <v>1</v>
      </c>
      <c r="AU136" s="35">
        <f t="shared" si="92"/>
        <v>0</v>
      </c>
      <c r="AV136" s="35">
        <f t="shared" si="93"/>
        <v>0</v>
      </c>
      <c r="AW136" s="35">
        <f t="shared" si="94"/>
        <v>0</v>
      </c>
      <c r="AX136" s="35">
        <f t="shared" si="95"/>
        <v>0</v>
      </c>
      <c r="AY136" s="35">
        <f t="shared" si="96"/>
        <v>0</v>
      </c>
      <c r="AZ136" s="35">
        <f t="shared" si="97"/>
        <v>0</v>
      </c>
      <c r="BA136" s="35">
        <f t="shared" si="98"/>
        <v>0</v>
      </c>
      <c r="BB136" s="35">
        <f t="shared" si="99"/>
        <v>0</v>
      </c>
      <c r="BC136" s="35">
        <f t="shared" si="100"/>
        <v>0</v>
      </c>
    </row>
    <row r="137" spans="1:55" s="35" customFormat="1" x14ac:dyDescent="0.35">
      <c r="A137" s="36">
        <v>37590</v>
      </c>
      <c r="B137" s="35" t="s">
        <v>247</v>
      </c>
      <c r="C137" s="35" t="s">
        <v>59</v>
      </c>
      <c r="D137" s="35" t="s">
        <v>59</v>
      </c>
      <c r="E137" s="35" t="s">
        <v>102</v>
      </c>
      <c r="F137" s="139">
        <f t="shared" si="73"/>
        <v>0</v>
      </c>
      <c r="G137" s="35">
        <v>333000000</v>
      </c>
      <c r="H137" s="139">
        <f t="shared" si="74"/>
        <v>8.5224442335063202</v>
      </c>
      <c r="I137" s="35">
        <v>333000000</v>
      </c>
      <c r="J137" s="35">
        <v>0</v>
      </c>
      <c r="K137" s="36">
        <v>38581</v>
      </c>
      <c r="L137" s="35">
        <v>800000000</v>
      </c>
      <c r="M137" s="21">
        <f t="shared" si="75"/>
        <v>2.7150684931506848</v>
      </c>
      <c r="N137" s="21">
        <f t="shared" si="102"/>
        <v>0.4337807900288006</v>
      </c>
      <c r="O137" s="35">
        <v>0</v>
      </c>
      <c r="P137" s="35">
        <f t="shared" si="76"/>
        <v>0</v>
      </c>
      <c r="Q137" s="35">
        <v>31</v>
      </c>
      <c r="R137" s="35">
        <f t="shared" si="77"/>
        <v>1.505149978319906</v>
      </c>
      <c r="S137" s="45">
        <v>3.29</v>
      </c>
      <c r="T137" s="45">
        <f t="shared" si="103"/>
        <v>0.51719589794997434</v>
      </c>
      <c r="U137" s="175">
        <f t="shared" si="78"/>
        <v>1.4024024024024024</v>
      </c>
      <c r="V137" s="48">
        <f t="shared" si="79"/>
        <v>0.38064575348562374</v>
      </c>
      <c r="W137" s="35">
        <v>1669.0315000000001</v>
      </c>
      <c r="X137" s="35">
        <f t="shared" si="80"/>
        <v>3.2224645332922388</v>
      </c>
      <c r="Y137" s="35">
        <v>5094.7950000000001</v>
      </c>
      <c r="Z137" s="35">
        <f t="shared" si="81"/>
        <v>3.707126713924402</v>
      </c>
      <c r="AA137" s="37">
        <v>0</v>
      </c>
      <c r="AB137" s="37">
        <f t="shared" si="82"/>
        <v>0</v>
      </c>
      <c r="AC137" s="35">
        <v>85</v>
      </c>
      <c r="AD137" s="35">
        <f t="shared" si="104"/>
        <v>1.9294189257142926</v>
      </c>
      <c r="AE137" s="48">
        <v>31.5</v>
      </c>
      <c r="AF137" s="48">
        <f t="shared" si="105"/>
        <v>1.4983105537896004</v>
      </c>
      <c r="AG137" s="43">
        <v>37.589394702761602</v>
      </c>
      <c r="AH137" s="43">
        <f t="shared" si="106"/>
        <v>1.575065332381355</v>
      </c>
      <c r="AI137" s="39">
        <v>-0.32</v>
      </c>
      <c r="AJ137" s="48">
        <f t="shared" si="83"/>
        <v>-0.16749108729376372</v>
      </c>
      <c r="AK137" s="35">
        <v>65</v>
      </c>
      <c r="AL137" s="35">
        <f t="shared" si="107"/>
        <v>1.8129133566428555</v>
      </c>
      <c r="AM137" s="35">
        <f t="shared" si="84"/>
        <v>0</v>
      </c>
      <c r="AN137" s="35">
        <f t="shared" si="85"/>
        <v>0</v>
      </c>
      <c r="AO137" s="35">
        <f t="shared" si="86"/>
        <v>1</v>
      </c>
      <c r="AP137" s="35">
        <f t="shared" si="87"/>
        <v>0</v>
      </c>
      <c r="AQ137" s="35">
        <f t="shared" si="88"/>
        <v>0</v>
      </c>
      <c r="AR137" s="35">
        <f t="shared" si="89"/>
        <v>0</v>
      </c>
      <c r="AS137" s="35">
        <f t="shared" si="90"/>
        <v>0</v>
      </c>
      <c r="AT137" s="35">
        <f t="shared" si="91"/>
        <v>0</v>
      </c>
      <c r="AU137" s="35">
        <f t="shared" si="92"/>
        <v>0</v>
      </c>
      <c r="AV137" s="35">
        <f t="shared" si="93"/>
        <v>0</v>
      </c>
      <c r="AW137" s="35">
        <f t="shared" si="94"/>
        <v>0</v>
      </c>
      <c r="AX137" s="35">
        <f t="shared" si="95"/>
        <v>0</v>
      </c>
      <c r="AY137" s="35">
        <f t="shared" si="96"/>
        <v>0</v>
      </c>
      <c r="AZ137" s="35">
        <f t="shared" si="97"/>
        <v>0</v>
      </c>
      <c r="BA137" s="35">
        <f t="shared" si="98"/>
        <v>0</v>
      </c>
      <c r="BB137" s="35">
        <f t="shared" si="99"/>
        <v>0</v>
      </c>
      <c r="BC137" s="35">
        <f t="shared" si="100"/>
        <v>0</v>
      </c>
    </row>
    <row r="138" spans="1:55" s="35" customFormat="1" x14ac:dyDescent="0.35">
      <c r="A138" s="36">
        <v>37592</v>
      </c>
      <c r="B138" s="35" t="s">
        <v>1011</v>
      </c>
      <c r="C138" s="35" t="s">
        <v>45</v>
      </c>
      <c r="D138" s="35" t="s">
        <v>45</v>
      </c>
      <c r="E138" s="35" t="s">
        <v>47</v>
      </c>
      <c r="F138" s="139">
        <f t="shared" si="73"/>
        <v>0</v>
      </c>
      <c r="G138" s="35">
        <v>1127370000</v>
      </c>
      <c r="H138" s="139">
        <f t="shared" si="74"/>
        <v>9.052066473798158</v>
      </c>
      <c r="I138" s="35">
        <f>G138</f>
        <v>1127370000</v>
      </c>
      <c r="J138" s="35">
        <v>0</v>
      </c>
      <c r="K138" s="36">
        <v>41113</v>
      </c>
      <c r="L138" s="35">
        <v>1525000000</v>
      </c>
      <c r="M138" s="21">
        <f t="shared" si="75"/>
        <v>9.6465753424657539</v>
      </c>
      <c r="N138" s="21">
        <f t="shared" si="102"/>
        <v>0.9843731606137095</v>
      </c>
      <c r="O138" s="35">
        <v>0</v>
      </c>
      <c r="P138" s="35">
        <f t="shared" si="76"/>
        <v>0</v>
      </c>
      <c r="Q138" s="35">
        <v>153</v>
      </c>
      <c r="R138" s="35">
        <f t="shared" si="77"/>
        <v>2.1875207208364631</v>
      </c>
      <c r="S138" s="45">
        <v>2.95</v>
      </c>
      <c r="T138" s="45">
        <f t="shared" si="103"/>
        <v>0.46982201597816303</v>
      </c>
      <c r="U138" s="175">
        <f t="shared" si="78"/>
        <v>0.35270585522055753</v>
      </c>
      <c r="V138" s="48">
        <f t="shared" si="79"/>
        <v>0.13120336988464582</v>
      </c>
      <c r="W138" s="35">
        <v>2908.587257617728</v>
      </c>
      <c r="X138" s="35">
        <f t="shared" si="80"/>
        <v>3.4636820971642801</v>
      </c>
      <c r="Y138" s="35">
        <v>4681.440443213296</v>
      </c>
      <c r="Z138" s="35">
        <f t="shared" si="81"/>
        <v>3.6703795027080157</v>
      </c>
      <c r="AA138" s="37">
        <v>0</v>
      </c>
      <c r="AB138" s="37">
        <f t="shared" si="82"/>
        <v>0</v>
      </c>
      <c r="AC138" s="35">
        <v>85</v>
      </c>
      <c r="AD138" s="35">
        <f t="shared" si="104"/>
        <v>1.9294189257142926</v>
      </c>
      <c r="AE138" s="48">
        <v>24.9</v>
      </c>
      <c r="AF138" s="48">
        <f t="shared" si="105"/>
        <v>1.3961993470957363</v>
      </c>
      <c r="AG138" s="43">
        <v>36.710134890601303</v>
      </c>
      <c r="AH138" s="43">
        <f t="shared" si="106"/>
        <v>1.564785980312654</v>
      </c>
      <c r="AI138" s="39">
        <v>0.11</v>
      </c>
      <c r="AJ138" s="48">
        <f t="shared" si="83"/>
        <v>4.5322978786657475E-2</v>
      </c>
      <c r="AK138" s="35">
        <v>64</v>
      </c>
      <c r="AL138" s="35">
        <f t="shared" si="107"/>
        <v>1.8061799739838871</v>
      </c>
      <c r="AM138" s="35">
        <f t="shared" si="84"/>
        <v>0</v>
      </c>
      <c r="AN138" s="35">
        <f t="shared" si="85"/>
        <v>1</v>
      </c>
      <c r="AO138" s="35">
        <f t="shared" si="86"/>
        <v>0</v>
      </c>
      <c r="AP138" s="35">
        <f t="shared" si="87"/>
        <v>0</v>
      </c>
      <c r="AQ138" s="35">
        <f t="shared" si="88"/>
        <v>0</v>
      </c>
      <c r="AR138" s="35">
        <f t="shared" si="89"/>
        <v>0</v>
      </c>
      <c r="AS138" s="35">
        <f t="shared" si="90"/>
        <v>0</v>
      </c>
      <c r="AT138" s="35">
        <f t="shared" si="91"/>
        <v>0</v>
      </c>
      <c r="AU138" s="35">
        <f t="shared" si="92"/>
        <v>0</v>
      </c>
      <c r="AV138" s="35">
        <f t="shared" si="93"/>
        <v>0</v>
      </c>
      <c r="AW138" s="35">
        <f t="shared" si="94"/>
        <v>0</v>
      </c>
      <c r="AX138" s="35">
        <f t="shared" si="95"/>
        <v>0</v>
      </c>
      <c r="AY138" s="35">
        <f t="shared" si="96"/>
        <v>0</v>
      </c>
      <c r="AZ138" s="35">
        <f t="shared" si="97"/>
        <v>0</v>
      </c>
      <c r="BA138" s="35">
        <f t="shared" si="98"/>
        <v>0</v>
      </c>
      <c r="BB138" s="35">
        <f t="shared" si="99"/>
        <v>0</v>
      </c>
      <c r="BC138" s="35">
        <f t="shared" si="100"/>
        <v>0</v>
      </c>
    </row>
    <row r="139" spans="1:55" s="35" customFormat="1" x14ac:dyDescent="0.35">
      <c r="A139" s="36">
        <v>37592</v>
      </c>
      <c r="B139" s="35" t="s">
        <v>1013</v>
      </c>
      <c r="C139" s="35" t="s">
        <v>489</v>
      </c>
      <c r="D139" s="35" t="s">
        <v>45</v>
      </c>
      <c r="E139" s="35" t="s">
        <v>64</v>
      </c>
      <c r="F139" s="139">
        <f t="shared" si="73"/>
        <v>1</v>
      </c>
      <c r="G139" s="35">
        <v>1127370000</v>
      </c>
      <c r="H139" s="139">
        <f t="shared" si="74"/>
        <v>9.052066473798158</v>
      </c>
      <c r="I139" s="35">
        <f>G139</f>
        <v>1127370000</v>
      </c>
      <c r="J139" s="35">
        <v>0</v>
      </c>
      <c r="K139" s="36">
        <v>40816</v>
      </c>
      <c r="L139" s="35">
        <v>13732800000</v>
      </c>
      <c r="M139" s="21">
        <f t="shared" si="75"/>
        <v>8.8328767123287673</v>
      </c>
      <c r="N139" s="21">
        <f t="shared" si="102"/>
        <v>0.94610216867657837</v>
      </c>
      <c r="O139" s="35">
        <v>6651.37</v>
      </c>
      <c r="P139" s="35">
        <f t="shared" si="76"/>
        <v>3.8229763963637051</v>
      </c>
      <c r="Q139" s="35">
        <v>128</v>
      </c>
      <c r="R139" s="35">
        <f t="shared" si="77"/>
        <v>2.1105897102992488</v>
      </c>
      <c r="S139" s="45">
        <v>3.03</v>
      </c>
      <c r="T139" s="45">
        <f t="shared" si="103"/>
        <v>0.48144262850230496</v>
      </c>
      <c r="U139" s="175">
        <f t="shared" si="78"/>
        <v>11.181271454801884</v>
      </c>
      <c r="V139" s="48">
        <f t="shared" si="79"/>
        <v>1.085692621382691</v>
      </c>
      <c r="W139" s="35">
        <v>2908.587257617728</v>
      </c>
      <c r="X139" s="35">
        <f t="shared" si="80"/>
        <v>3.4636820971642801</v>
      </c>
      <c r="Y139" s="35">
        <v>4681.440443213296</v>
      </c>
      <c r="Z139" s="35">
        <f t="shared" si="81"/>
        <v>3.6703795027080157</v>
      </c>
      <c r="AA139" s="37">
        <v>513.5</v>
      </c>
      <c r="AB139" s="37">
        <f t="shared" si="82"/>
        <v>2.7113853790984517</v>
      </c>
      <c r="AC139" s="35">
        <v>70</v>
      </c>
      <c r="AD139" s="35">
        <f t="shared" si="104"/>
        <v>1.8450980400142569</v>
      </c>
      <c r="AE139" s="48">
        <v>27.63</v>
      </c>
      <c r="AF139" s="48">
        <f t="shared" si="105"/>
        <v>1.4413808849165113</v>
      </c>
      <c r="AG139" s="43">
        <v>49.329709120205997</v>
      </c>
      <c r="AH139" s="43">
        <f t="shared" si="106"/>
        <v>1.6931085545892062</v>
      </c>
      <c r="AI139" s="39">
        <v>0.49</v>
      </c>
      <c r="AJ139" s="48">
        <f t="shared" si="83"/>
        <v>0.17318626841227402</v>
      </c>
      <c r="AK139" s="35">
        <v>62</v>
      </c>
      <c r="AL139" s="35">
        <f t="shared" si="107"/>
        <v>1.7923916894982539</v>
      </c>
      <c r="AM139" s="35">
        <f t="shared" si="84"/>
        <v>0</v>
      </c>
      <c r="AN139" s="35">
        <f t="shared" si="85"/>
        <v>0</v>
      </c>
      <c r="AO139" s="35">
        <f t="shared" si="86"/>
        <v>0</v>
      </c>
      <c r="AP139" s="35">
        <f t="shared" si="87"/>
        <v>0</v>
      </c>
      <c r="AQ139" s="35">
        <f t="shared" si="88"/>
        <v>0</v>
      </c>
      <c r="AR139" s="35">
        <f t="shared" si="89"/>
        <v>0</v>
      </c>
      <c r="AS139" s="35">
        <f t="shared" si="90"/>
        <v>0</v>
      </c>
      <c r="AT139" s="35">
        <f t="shared" si="91"/>
        <v>0</v>
      </c>
      <c r="AU139" s="35">
        <f t="shared" si="92"/>
        <v>0</v>
      </c>
      <c r="AV139" s="35">
        <f t="shared" si="93"/>
        <v>0</v>
      </c>
      <c r="AW139" s="35">
        <f t="shared" si="94"/>
        <v>0</v>
      </c>
      <c r="AX139" s="35">
        <f t="shared" si="95"/>
        <v>0</v>
      </c>
      <c r="AY139" s="35">
        <f t="shared" si="96"/>
        <v>0</v>
      </c>
      <c r="AZ139" s="35">
        <f t="shared" si="97"/>
        <v>0</v>
      </c>
      <c r="BA139" s="35">
        <f t="shared" si="98"/>
        <v>1</v>
      </c>
      <c r="BB139" s="35">
        <f t="shared" si="99"/>
        <v>0</v>
      </c>
      <c r="BC139" s="35">
        <f t="shared" si="100"/>
        <v>0</v>
      </c>
    </row>
    <row r="140" spans="1:55" s="35" customFormat="1" x14ac:dyDescent="0.35">
      <c r="A140" s="36">
        <v>37601</v>
      </c>
      <c r="B140" s="35" t="s">
        <v>565</v>
      </c>
      <c r="C140" s="35" t="s">
        <v>2</v>
      </c>
      <c r="D140" s="35" t="s">
        <v>59</v>
      </c>
      <c r="E140" s="35" t="s">
        <v>125</v>
      </c>
      <c r="F140" s="139">
        <f t="shared" si="73"/>
        <v>1</v>
      </c>
      <c r="G140" s="35">
        <v>150000000</v>
      </c>
      <c r="H140" s="139">
        <f t="shared" si="74"/>
        <v>8.1760912590556813</v>
      </c>
      <c r="I140" s="35">
        <f>G140</f>
        <v>150000000</v>
      </c>
      <c r="J140" s="35">
        <v>0</v>
      </c>
      <c r="K140" s="36">
        <v>38473</v>
      </c>
      <c r="L140" s="35">
        <v>492980000</v>
      </c>
      <c r="M140" s="21">
        <f t="shared" si="75"/>
        <v>2.3890410958904109</v>
      </c>
      <c r="N140" s="21">
        <f t="shared" si="102"/>
        <v>0.37822362047609248</v>
      </c>
      <c r="O140" s="35">
        <v>917.19</v>
      </c>
      <c r="P140" s="35">
        <f t="shared" si="76"/>
        <v>2.9629325585580042</v>
      </c>
      <c r="Q140" s="35">
        <v>59</v>
      </c>
      <c r="R140" s="35">
        <f t="shared" si="77"/>
        <v>1.7781512503836436</v>
      </c>
      <c r="S140" s="45">
        <v>2.62</v>
      </c>
      <c r="T140" s="45">
        <f t="shared" si="103"/>
        <v>0.41830129131974547</v>
      </c>
      <c r="U140" s="175">
        <f t="shared" si="78"/>
        <v>2.2865333333333333</v>
      </c>
      <c r="V140" s="48">
        <f t="shared" si="79"/>
        <v>0.51673804142676738</v>
      </c>
      <c r="W140" s="35">
        <v>1932.09461208012</v>
      </c>
      <c r="X140" s="35">
        <f t="shared" si="80"/>
        <v>3.2860283894181141</v>
      </c>
      <c r="Y140" s="35">
        <v>8126.3909735520938</v>
      </c>
      <c r="Z140" s="35">
        <f t="shared" si="81"/>
        <v>3.9098977130890344</v>
      </c>
      <c r="AA140" s="37">
        <v>854.66666666666697</v>
      </c>
      <c r="AB140" s="37">
        <f t="shared" si="82"/>
        <v>2.9323046139517812</v>
      </c>
      <c r="AC140" s="35">
        <v>70</v>
      </c>
      <c r="AD140" s="35">
        <f t="shared" si="104"/>
        <v>1.8450980400142569</v>
      </c>
      <c r="AE140" s="48">
        <v>34.4</v>
      </c>
      <c r="AF140" s="48">
        <f t="shared" si="105"/>
        <v>1.5365584425715302</v>
      </c>
      <c r="AG140" s="43">
        <v>47.264053157349203</v>
      </c>
      <c r="AH140" s="43">
        <f t="shared" si="106"/>
        <v>1.6745309620782511</v>
      </c>
      <c r="AI140" s="39">
        <v>0.21</v>
      </c>
      <c r="AJ140" s="48">
        <f t="shared" si="83"/>
        <v>8.2785370316450071E-2</v>
      </c>
      <c r="AK140" s="35">
        <v>4</v>
      </c>
      <c r="AL140" s="35">
        <f t="shared" si="107"/>
        <v>0.6020599913279624</v>
      </c>
      <c r="AM140" s="35">
        <f t="shared" si="84"/>
        <v>0</v>
      </c>
      <c r="AN140" s="35">
        <f t="shared" si="85"/>
        <v>0</v>
      </c>
      <c r="AO140" s="35">
        <f t="shared" si="86"/>
        <v>0</v>
      </c>
      <c r="AP140" s="35">
        <f t="shared" si="87"/>
        <v>0</v>
      </c>
      <c r="AQ140" s="35">
        <f t="shared" si="88"/>
        <v>0</v>
      </c>
      <c r="AR140" s="35">
        <f t="shared" si="89"/>
        <v>0</v>
      </c>
      <c r="AS140" s="35">
        <f t="shared" si="90"/>
        <v>0</v>
      </c>
      <c r="AT140" s="35">
        <f t="shared" si="91"/>
        <v>0</v>
      </c>
      <c r="AU140" s="35">
        <f t="shared" si="92"/>
        <v>0</v>
      </c>
      <c r="AV140" s="35">
        <f t="shared" si="93"/>
        <v>1</v>
      </c>
      <c r="AW140" s="35">
        <f t="shared" si="94"/>
        <v>0</v>
      </c>
      <c r="AX140" s="35">
        <f t="shared" si="95"/>
        <v>0</v>
      </c>
      <c r="AY140" s="35">
        <f t="shared" si="96"/>
        <v>0</v>
      </c>
      <c r="AZ140" s="35">
        <f t="shared" si="97"/>
        <v>0</v>
      </c>
      <c r="BA140" s="35">
        <f t="shared" si="98"/>
        <v>0</v>
      </c>
      <c r="BB140" s="35">
        <f t="shared" si="99"/>
        <v>0</v>
      </c>
      <c r="BC140" s="35">
        <f t="shared" si="100"/>
        <v>0</v>
      </c>
    </row>
    <row r="141" spans="1:55" s="35" customFormat="1" x14ac:dyDescent="0.35">
      <c r="A141" s="36">
        <v>37603</v>
      </c>
      <c r="B141" s="35" t="s">
        <v>527</v>
      </c>
      <c r="C141" s="35" t="s">
        <v>163</v>
      </c>
      <c r="D141" s="35" t="s">
        <v>59</v>
      </c>
      <c r="E141" s="35" t="s">
        <v>125</v>
      </c>
      <c r="F141" s="139">
        <f t="shared" si="73"/>
        <v>1</v>
      </c>
      <c r="G141" s="35">
        <v>3700000000</v>
      </c>
      <c r="H141" s="139">
        <f t="shared" si="74"/>
        <v>9.568201724066995</v>
      </c>
      <c r="I141" s="35">
        <f>G141</f>
        <v>3700000000</v>
      </c>
      <c r="J141" s="35">
        <v>0</v>
      </c>
      <c r="K141" s="36">
        <v>42094</v>
      </c>
      <c r="L141" s="35">
        <v>3560000000</v>
      </c>
      <c r="M141" s="21">
        <f t="shared" si="75"/>
        <v>12.304109589041095</v>
      </c>
      <c r="N141" s="21">
        <f t="shared" si="102"/>
        <v>1.0900501906062401</v>
      </c>
      <c r="O141" s="35">
        <v>342.74</v>
      </c>
      <c r="P141" s="35">
        <f t="shared" si="76"/>
        <v>2.5362300726332561</v>
      </c>
      <c r="Q141" s="35">
        <v>27</v>
      </c>
      <c r="R141" s="35">
        <f t="shared" si="77"/>
        <v>1.4471580313422192</v>
      </c>
      <c r="S141" s="45">
        <v>2.3199999999999998</v>
      </c>
      <c r="T141" s="45">
        <f t="shared" si="103"/>
        <v>0.36548798489089962</v>
      </c>
      <c r="U141" s="175">
        <f t="shared" si="78"/>
        <v>-3.7837837837837784E-2</v>
      </c>
      <c r="V141" s="48">
        <f t="shared" si="79"/>
        <v>-1.6751726094119797E-2</v>
      </c>
      <c r="W141" s="35">
        <v>2144.9704142011828</v>
      </c>
      <c r="X141" s="35">
        <f t="shared" si="80"/>
        <v>3.3314213062933389</v>
      </c>
      <c r="Y141" s="35">
        <v>7670.1183431952677</v>
      </c>
      <c r="Z141" s="35">
        <f t="shared" si="81"/>
        <v>3.884802064783424</v>
      </c>
      <c r="AA141" s="37">
        <v>569.16666666666697</v>
      </c>
      <c r="AB141" s="37">
        <f t="shared" si="82"/>
        <v>2.756001823801419</v>
      </c>
      <c r="AC141" s="35">
        <v>70</v>
      </c>
      <c r="AD141" s="35">
        <f t="shared" si="104"/>
        <v>1.8450980400142569</v>
      </c>
      <c r="AE141" s="48">
        <v>42.4</v>
      </c>
      <c r="AF141" s="48">
        <f t="shared" si="105"/>
        <v>1.6273658565927327</v>
      </c>
      <c r="AG141" s="43">
        <v>52.795294707427601</v>
      </c>
      <c r="AH141" s="43">
        <f t="shared" si="106"/>
        <v>1.7225952184872551</v>
      </c>
      <c r="AI141" s="39">
        <v>0.14000000000000001</v>
      </c>
      <c r="AJ141" s="48">
        <f t="shared" si="83"/>
        <v>5.6904851336472641E-2</v>
      </c>
      <c r="AK141" s="35">
        <v>4</v>
      </c>
      <c r="AL141" s="35">
        <f t="shared" si="107"/>
        <v>0.6020599913279624</v>
      </c>
      <c r="AM141" s="35">
        <f t="shared" si="84"/>
        <v>0</v>
      </c>
      <c r="AN141" s="35">
        <f t="shared" si="85"/>
        <v>0</v>
      </c>
      <c r="AO141" s="35">
        <f t="shared" si="86"/>
        <v>0</v>
      </c>
      <c r="AP141" s="35">
        <f t="shared" si="87"/>
        <v>0</v>
      </c>
      <c r="AQ141" s="35">
        <f t="shared" si="88"/>
        <v>0</v>
      </c>
      <c r="AR141" s="35">
        <f t="shared" si="89"/>
        <v>0</v>
      </c>
      <c r="AS141" s="35">
        <f t="shared" si="90"/>
        <v>0</v>
      </c>
      <c r="AT141" s="35">
        <f t="shared" si="91"/>
        <v>1</v>
      </c>
      <c r="AU141" s="35">
        <f t="shared" si="92"/>
        <v>0</v>
      </c>
      <c r="AV141" s="35">
        <f t="shared" si="93"/>
        <v>0</v>
      </c>
      <c r="AW141" s="35">
        <f t="shared" si="94"/>
        <v>0</v>
      </c>
      <c r="AX141" s="35">
        <f t="shared" si="95"/>
        <v>0</v>
      </c>
      <c r="AY141" s="35">
        <f t="shared" si="96"/>
        <v>0</v>
      </c>
      <c r="AZ141" s="35">
        <f t="shared" si="97"/>
        <v>0</v>
      </c>
      <c r="BA141" s="35">
        <f t="shared" si="98"/>
        <v>0</v>
      </c>
      <c r="BB141" s="35">
        <f t="shared" si="99"/>
        <v>0</v>
      </c>
      <c r="BC141" s="35">
        <f t="shared" si="100"/>
        <v>0</v>
      </c>
    </row>
    <row r="142" spans="1:55" s="35" customFormat="1" x14ac:dyDescent="0.35">
      <c r="A142" s="36">
        <v>37616</v>
      </c>
      <c r="B142" s="35" t="s">
        <v>204</v>
      </c>
      <c r="C142" s="35" t="s">
        <v>5</v>
      </c>
      <c r="D142" s="35" t="s">
        <v>45</v>
      </c>
      <c r="E142" s="139" t="s">
        <v>64</v>
      </c>
      <c r="F142" s="139">
        <f t="shared" si="73"/>
        <v>1</v>
      </c>
      <c r="G142" s="35">
        <v>665000000</v>
      </c>
      <c r="H142" s="139">
        <f t="shared" si="74"/>
        <v>8.8228216453031045</v>
      </c>
      <c r="I142" s="35">
        <v>665000000</v>
      </c>
      <c r="J142" s="35">
        <v>0</v>
      </c>
      <c r="K142" s="36">
        <v>38916</v>
      </c>
      <c r="L142" s="35">
        <v>2850000000</v>
      </c>
      <c r="M142" s="21">
        <f t="shared" si="75"/>
        <v>3.5616438356164384</v>
      </c>
      <c r="N142" s="21">
        <f t="shared" si="102"/>
        <v>0.55165048785036208</v>
      </c>
      <c r="O142" s="35">
        <v>6188.89</v>
      </c>
      <c r="P142" s="35">
        <f t="shared" si="76"/>
        <v>3.7916829312790057</v>
      </c>
      <c r="Q142" s="35">
        <v>32</v>
      </c>
      <c r="R142" s="35">
        <f t="shared" si="77"/>
        <v>1.5185139398778875</v>
      </c>
      <c r="S142" s="45">
        <v>2.72</v>
      </c>
      <c r="T142" s="45">
        <f t="shared" si="103"/>
        <v>0.43456890403419873</v>
      </c>
      <c r="U142" s="175">
        <f t="shared" si="78"/>
        <v>3.2857142857142856</v>
      </c>
      <c r="V142" s="48">
        <f t="shared" si="79"/>
        <v>0.63202321470540557</v>
      </c>
      <c r="W142" s="35">
        <v>1246.953</v>
      </c>
      <c r="X142" s="35">
        <f t="shared" si="80"/>
        <v>3.0958500844125241</v>
      </c>
      <c r="Y142" s="35">
        <v>3219.7179999999998</v>
      </c>
      <c r="Z142" s="35">
        <f t="shared" si="81"/>
        <v>3.5078178355445662</v>
      </c>
      <c r="AA142" s="37">
        <v>1084.3333333333301</v>
      </c>
      <c r="AB142" s="37">
        <f t="shared" si="82"/>
        <v>3.0355631414974997</v>
      </c>
      <c r="AC142" s="35">
        <v>70</v>
      </c>
      <c r="AD142" s="35">
        <f t="shared" si="104"/>
        <v>1.8450980400142569</v>
      </c>
      <c r="AE142" s="48">
        <v>35</v>
      </c>
      <c r="AF142" s="48">
        <f t="shared" si="105"/>
        <v>1.5440680443502757</v>
      </c>
      <c r="AG142" s="43">
        <v>43.580897040130701</v>
      </c>
      <c r="AH142" s="43">
        <f t="shared" si="106"/>
        <v>1.6392961652303231</v>
      </c>
      <c r="AI142" s="39">
        <v>0.63</v>
      </c>
      <c r="AJ142" s="48">
        <f t="shared" si="83"/>
        <v>0.21218760440395779</v>
      </c>
      <c r="AK142" s="35">
        <v>5</v>
      </c>
      <c r="AL142" s="35">
        <f t="shared" si="107"/>
        <v>0.69897000433601886</v>
      </c>
      <c r="AM142" s="35">
        <f t="shared" si="84"/>
        <v>0</v>
      </c>
      <c r="AN142" s="35">
        <f t="shared" si="85"/>
        <v>0</v>
      </c>
      <c r="AO142" s="35">
        <f t="shared" si="86"/>
        <v>0</v>
      </c>
      <c r="AP142" s="35">
        <f t="shared" si="87"/>
        <v>0</v>
      </c>
      <c r="AQ142" s="35">
        <f t="shared" si="88"/>
        <v>0</v>
      </c>
      <c r="AR142" s="35">
        <f t="shared" si="89"/>
        <v>0</v>
      </c>
      <c r="AS142" s="35">
        <f t="shared" si="90"/>
        <v>1</v>
      </c>
      <c r="AT142" s="35">
        <f t="shared" si="91"/>
        <v>0</v>
      </c>
      <c r="AU142" s="35">
        <f t="shared" si="92"/>
        <v>0</v>
      </c>
      <c r="AV142" s="35">
        <f t="shared" si="93"/>
        <v>0</v>
      </c>
      <c r="AW142" s="35">
        <f t="shared" si="94"/>
        <v>0</v>
      </c>
      <c r="AX142" s="35">
        <f t="shared" si="95"/>
        <v>0</v>
      </c>
      <c r="AY142" s="35">
        <f t="shared" si="96"/>
        <v>0</v>
      </c>
      <c r="AZ142" s="35">
        <f t="shared" si="97"/>
        <v>0</v>
      </c>
      <c r="BA142" s="35">
        <f t="shared" si="98"/>
        <v>0</v>
      </c>
      <c r="BB142" s="35">
        <f t="shared" si="99"/>
        <v>0</v>
      </c>
      <c r="BC142" s="35">
        <f t="shared" si="100"/>
        <v>0</v>
      </c>
    </row>
    <row r="143" spans="1:55" s="35" customFormat="1" x14ac:dyDescent="0.35">
      <c r="A143" s="36">
        <v>37617</v>
      </c>
      <c r="B143" s="35" t="s">
        <v>560</v>
      </c>
      <c r="C143" s="35" t="s">
        <v>5</v>
      </c>
      <c r="D143" s="35" t="s">
        <v>59</v>
      </c>
      <c r="E143" s="35" t="s">
        <v>125</v>
      </c>
      <c r="F143" s="139">
        <f t="shared" si="73"/>
        <v>1</v>
      </c>
      <c r="G143" s="35">
        <v>90000000</v>
      </c>
      <c r="H143" s="139">
        <f t="shared" si="74"/>
        <v>7.9542425094393252</v>
      </c>
      <c r="I143" s="35">
        <f>G143</f>
        <v>90000000</v>
      </c>
      <c r="J143" s="35">
        <v>0</v>
      </c>
      <c r="K143" s="36">
        <v>38869</v>
      </c>
      <c r="L143" s="35">
        <v>90580000</v>
      </c>
      <c r="M143" s="21">
        <f t="shared" si="75"/>
        <v>3.43013698630137</v>
      </c>
      <c r="N143" s="21">
        <f t="shared" si="102"/>
        <v>0.5353114644179362</v>
      </c>
      <c r="O143" s="35">
        <v>357.29</v>
      </c>
      <c r="P143" s="35">
        <f t="shared" si="76"/>
        <v>2.5542346870234227</v>
      </c>
      <c r="Q143" s="35">
        <v>18</v>
      </c>
      <c r="R143" s="35">
        <f t="shared" si="77"/>
        <v>1.2787536009528289</v>
      </c>
      <c r="S143" s="45">
        <v>3.16</v>
      </c>
      <c r="T143" s="45">
        <f t="shared" si="103"/>
        <v>0.49968708261840383</v>
      </c>
      <c r="U143" s="175">
        <f t="shared" si="78"/>
        <v>6.4444444444444748E-3</v>
      </c>
      <c r="V143" s="48">
        <f t="shared" si="79"/>
        <v>2.7898069076135487E-3</v>
      </c>
      <c r="W143" s="35">
        <v>1932.09461208012</v>
      </c>
      <c r="X143" s="35">
        <f t="shared" si="80"/>
        <v>3.2860283894181141</v>
      </c>
      <c r="Y143" s="35">
        <v>8126.3909735520938</v>
      </c>
      <c r="Z143" s="35">
        <f t="shared" si="81"/>
        <v>3.9098977130890344</v>
      </c>
      <c r="AA143" s="37">
        <v>971</v>
      </c>
      <c r="AB143" s="37">
        <f t="shared" si="82"/>
        <v>2.9876662649262746</v>
      </c>
      <c r="AC143" s="35">
        <v>70</v>
      </c>
      <c r="AD143" s="35">
        <f t="shared" si="104"/>
        <v>1.8450980400142569</v>
      </c>
      <c r="AE143" s="48">
        <v>35</v>
      </c>
      <c r="AF143" s="48">
        <f t="shared" si="105"/>
        <v>1.5440680443502757</v>
      </c>
      <c r="AG143" s="43">
        <v>43.580897040130701</v>
      </c>
      <c r="AH143" s="43">
        <f t="shared" si="106"/>
        <v>1.6392961652303231</v>
      </c>
      <c r="AI143" s="39">
        <v>0.33</v>
      </c>
      <c r="AJ143" s="48">
        <f t="shared" si="83"/>
        <v>0.12385164096708581</v>
      </c>
      <c r="AK143" s="35">
        <v>4</v>
      </c>
      <c r="AL143" s="35">
        <f t="shared" si="107"/>
        <v>0.6020599913279624</v>
      </c>
      <c r="AM143" s="35">
        <f t="shared" si="84"/>
        <v>0</v>
      </c>
      <c r="AN143" s="35">
        <f t="shared" si="85"/>
        <v>0</v>
      </c>
      <c r="AO143" s="35">
        <f t="shared" si="86"/>
        <v>0</v>
      </c>
      <c r="AP143" s="35">
        <f t="shared" si="87"/>
        <v>0</v>
      </c>
      <c r="AQ143" s="35">
        <f t="shared" si="88"/>
        <v>0</v>
      </c>
      <c r="AR143" s="35">
        <f t="shared" si="89"/>
        <v>0</v>
      </c>
      <c r="AS143" s="35">
        <f t="shared" si="90"/>
        <v>1</v>
      </c>
      <c r="AT143" s="35">
        <f t="shared" si="91"/>
        <v>0</v>
      </c>
      <c r="AU143" s="35">
        <f t="shared" si="92"/>
        <v>0</v>
      </c>
      <c r="AV143" s="35">
        <f t="shared" si="93"/>
        <v>0</v>
      </c>
      <c r="AW143" s="35">
        <f t="shared" si="94"/>
        <v>0</v>
      </c>
      <c r="AX143" s="35">
        <f t="shared" si="95"/>
        <v>0</v>
      </c>
      <c r="AY143" s="35">
        <f t="shared" si="96"/>
        <v>0</v>
      </c>
      <c r="AZ143" s="35">
        <f t="shared" si="97"/>
        <v>0</v>
      </c>
      <c r="BA143" s="35">
        <f t="shared" si="98"/>
        <v>0</v>
      </c>
      <c r="BB143" s="35">
        <f t="shared" si="99"/>
        <v>0</v>
      </c>
      <c r="BC143" s="35">
        <f t="shared" si="100"/>
        <v>0</v>
      </c>
    </row>
    <row r="144" spans="1:55" s="35" customFormat="1" x14ac:dyDescent="0.35">
      <c r="A144" s="36">
        <v>37624</v>
      </c>
      <c r="B144" s="35" t="s">
        <v>974</v>
      </c>
      <c r="C144" s="35" t="s">
        <v>163</v>
      </c>
      <c r="D144" s="35" t="s">
        <v>45</v>
      </c>
      <c r="E144" s="35" t="s">
        <v>64</v>
      </c>
      <c r="F144" s="139">
        <f t="shared" si="73"/>
        <v>1</v>
      </c>
      <c r="G144" s="35">
        <v>200000000</v>
      </c>
      <c r="H144" s="139">
        <f t="shared" si="74"/>
        <v>8.3010299956639813</v>
      </c>
      <c r="I144" s="35">
        <f>G144</f>
        <v>200000000</v>
      </c>
      <c r="J144" s="35">
        <v>0</v>
      </c>
      <c r="K144" s="36">
        <v>40562</v>
      </c>
      <c r="L144" s="35">
        <v>240000000</v>
      </c>
      <c r="M144" s="21">
        <f t="shared" si="75"/>
        <v>8.0493150684931507</v>
      </c>
      <c r="N144" s="21">
        <f t="shared" si="102"/>
        <v>0.90575892699776295</v>
      </c>
      <c r="O144" s="35">
        <v>6164.6</v>
      </c>
      <c r="P144" s="35">
        <f t="shared" si="76"/>
        <v>3.7899753459779522</v>
      </c>
      <c r="Q144" s="35">
        <v>0</v>
      </c>
      <c r="R144" s="35">
        <f t="shared" si="77"/>
        <v>0</v>
      </c>
      <c r="S144" s="45">
        <v>3.18</v>
      </c>
      <c r="T144" s="45">
        <f t="shared" si="103"/>
        <v>0.50242711998443268</v>
      </c>
      <c r="U144" s="175">
        <f t="shared" si="78"/>
        <v>0.19999999999999996</v>
      </c>
      <c r="V144" s="48">
        <f t="shared" si="79"/>
        <v>7.9181246047624818E-2</v>
      </c>
      <c r="W144" s="35">
        <v>1618.5219999999999</v>
      </c>
      <c r="X144" s="35">
        <f t="shared" si="80"/>
        <v>3.20911860699078</v>
      </c>
      <c r="Y144" s="35">
        <v>3845.9059999999999</v>
      </c>
      <c r="Z144" s="35">
        <f t="shared" si="81"/>
        <v>3.5849986651910224</v>
      </c>
      <c r="AA144" s="37">
        <v>583.83333333333303</v>
      </c>
      <c r="AB144" s="37">
        <f t="shared" si="82"/>
        <v>2.7670321178317625</v>
      </c>
      <c r="AC144" s="35">
        <v>70</v>
      </c>
      <c r="AD144" s="35">
        <f t="shared" si="104"/>
        <v>1.8450980400142569</v>
      </c>
      <c r="AE144" s="48">
        <v>42.2</v>
      </c>
      <c r="AF144" s="48">
        <f t="shared" si="105"/>
        <v>1.6253124509616739</v>
      </c>
      <c r="AG144" s="43">
        <v>53.270504198897903</v>
      </c>
      <c r="AH144" s="43">
        <f t="shared" si="106"/>
        <v>1.7264868073491786</v>
      </c>
      <c r="AI144" s="39">
        <v>0.76</v>
      </c>
      <c r="AJ144" s="48">
        <f t="shared" si="83"/>
        <v>0.24551266781414982</v>
      </c>
      <c r="AK144" s="35">
        <v>2</v>
      </c>
      <c r="AL144" s="35">
        <f t="shared" si="107"/>
        <v>0.3010299956639812</v>
      </c>
      <c r="AM144" s="35">
        <f t="shared" si="84"/>
        <v>0</v>
      </c>
      <c r="AN144" s="35">
        <f t="shared" si="85"/>
        <v>0</v>
      </c>
      <c r="AO144" s="35">
        <f t="shared" si="86"/>
        <v>0</v>
      </c>
      <c r="AP144" s="35">
        <f t="shared" si="87"/>
        <v>0</v>
      </c>
      <c r="AQ144" s="35">
        <f t="shared" si="88"/>
        <v>0</v>
      </c>
      <c r="AR144" s="35">
        <f t="shared" si="89"/>
        <v>0</v>
      </c>
      <c r="AS144" s="35">
        <f t="shared" si="90"/>
        <v>0</v>
      </c>
      <c r="AT144" s="35">
        <f t="shared" si="91"/>
        <v>1</v>
      </c>
      <c r="AU144" s="35">
        <f t="shared" si="92"/>
        <v>0</v>
      </c>
      <c r="AV144" s="35">
        <f t="shared" si="93"/>
        <v>0</v>
      </c>
      <c r="AW144" s="35">
        <f t="shared" si="94"/>
        <v>0</v>
      </c>
      <c r="AX144" s="35">
        <f t="shared" si="95"/>
        <v>0</v>
      </c>
      <c r="AY144" s="35">
        <f t="shared" si="96"/>
        <v>0</v>
      </c>
      <c r="AZ144" s="35">
        <f t="shared" si="97"/>
        <v>0</v>
      </c>
      <c r="BA144" s="35">
        <f t="shared" si="98"/>
        <v>0</v>
      </c>
      <c r="BB144" s="35">
        <f t="shared" si="99"/>
        <v>0</v>
      </c>
      <c r="BC144" s="35">
        <f t="shared" si="100"/>
        <v>0</v>
      </c>
    </row>
    <row r="145" spans="1:55" s="35" customFormat="1" x14ac:dyDescent="0.35">
      <c r="A145" s="36">
        <v>37641</v>
      </c>
      <c r="B145" s="35" t="s">
        <v>918</v>
      </c>
      <c r="C145" s="35" t="s">
        <v>59</v>
      </c>
      <c r="D145" s="35" t="s">
        <v>59</v>
      </c>
      <c r="E145" s="35" t="s">
        <v>47</v>
      </c>
      <c r="F145" s="139">
        <f t="shared" si="73"/>
        <v>0</v>
      </c>
      <c r="G145" s="35">
        <v>31984000</v>
      </c>
      <c r="H145" s="139">
        <f t="shared" si="74"/>
        <v>7.5049327767740417</v>
      </c>
      <c r="I145" s="35">
        <f>G145</f>
        <v>31984000</v>
      </c>
      <c r="J145" s="35">
        <v>0</v>
      </c>
      <c r="K145" s="36">
        <v>38678</v>
      </c>
      <c r="L145" s="35">
        <v>75800000</v>
      </c>
      <c r="M145" s="21">
        <f t="shared" si="75"/>
        <v>2.8410958904109589</v>
      </c>
      <c r="N145" s="21">
        <f t="shared" si="102"/>
        <v>0.45348589193256628</v>
      </c>
      <c r="O145" s="35">
        <v>0</v>
      </c>
      <c r="P145" s="35">
        <f t="shared" si="76"/>
        <v>0</v>
      </c>
      <c r="Q145" s="35">
        <v>9</v>
      </c>
      <c r="R145" s="35">
        <f t="shared" si="77"/>
        <v>1</v>
      </c>
      <c r="S145" s="45">
        <v>3.29</v>
      </c>
      <c r="T145" s="45">
        <f t="shared" si="103"/>
        <v>0.51719589794997434</v>
      </c>
      <c r="U145" s="175">
        <f t="shared" si="78"/>
        <v>1.3699349674837418</v>
      </c>
      <c r="V145" s="48">
        <f t="shared" si="79"/>
        <v>0.37473642885801178</v>
      </c>
      <c r="W145" s="35">
        <v>3425.6694367497698</v>
      </c>
      <c r="X145" s="35">
        <f t="shared" si="80"/>
        <v>3.5347454529897258</v>
      </c>
      <c r="Y145" s="35">
        <v>9322.8685749461365</v>
      </c>
      <c r="Z145" s="35">
        <f t="shared" si="81"/>
        <v>3.9695495619878729</v>
      </c>
      <c r="AA145" s="37">
        <v>0</v>
      </c>
      <c r="AB145" s="37">
        <f t="shared" si="82"/>
        <v>0</v>
      </c>
      <c r="AC145" s="35">
        <v>85</v>
      </c>
      <c r="AD145" s="35">
        <f t="shared" si="104"/>
        <v>1.9294189257142926</v>
      </c>
      <c r="AE145" s="48">
        <v>31.3</v>
      </c>
      <c r="AF145" s="48">
        <f t="shared" si="105"/>
        <v>1.4955443375464486</v>
      </c>
      <c r="AG145" s="43">
        <v>38.7850112673514</v>
      </c>
      <c r="AH145" s="43">
        <f t="shared" si="106"/>
        <v>1.5886639219461918</v>
      </c>
      <c r="AI145" s="39">
        <v>0.28000000000000003</v>
      </c>
      <c r="AJ145" s="48">
        <f t="shared" si="83"/>
        <v>0.10720996964786837</v>
      </c>
      <c r="AK145" s="35">
        <v>18</v>
      </c>
      <c r="AL145" s="35">
        <f t="shared" si="107"/>
        <v>1.255272505103306</v>
      </c>
      <c r="AM145" s="35">
        <f t="shared" si="84"/>
        <v>0</v>
      </c>
      <c r="AN145" s="35">
        <f t="shared" si="85"/>
        <v>0</v>
      </c>
      <c r="AO145" s="35">
        <f t="shared" si="86"/>
        <v>1</v>
      </c>
      <c r="AP145" s="35">
        <f t="shared" si="87"/>
        <v>0</v>
      </c>
      <c r="AQ145" s="35">
        <f t="shared" si="88"/>
        <v>0</v>
      </c>
      <c r="AR145" s="35">
        <f t="shared" si="89"/>
        <v>0</v>
      </c>
      <c r="AS145" s="35">
        <f t="shared" si="90"/>
        <v>0</v>
      </c>
      <c r="AT145" s="35">
        <f t="shared" si="91"/>
        <v>0</v>
      </c>
      <c r="AU145" s="35">
        <f t="shared" si="92"/>
        <v>0</v>
      </c>
      <c r="AV145" s="35">
        <f t="shared" si="93"/>
        <v>0</v>
      </c>
      <c r="AW145" s="35">
        <f t="shared" si="94"/>
        <v>0</v>
      </c>
      <c r="AX145" s="35">
        <f t="shared" si="95"/>
        <v>0</v>
      </c>
      <c r="AY145" s="35">
        <f t="shared" si="96"/>
        <v>0</v>
      </c>
      <c r="AZ145" s="35">
        <f t="shared" si="97"/>
        <v>0</v>
      </c>
      <c r="BA145" s="35">
        <f t="shared" si="98"/>
        <v>0</v>
      </c>
      <c r="BB145" s="35">
        <f t="shared" si="99"/>
        <v>0</v>
      </c>
      <c r="BC145" s="35">
        <f t="shared" si="100"/>
        <v>0</v>
      </c>
    </row>
    <row r="146" spans="1:55" s="35" customFormat="1" x14ac:dyDescent="0.35">
      <c r="A146" s="36">
        <v>37645</v>
      </c>
      <c r="B146" s="35" t="s">
        <v>486</v>
      </c>
      <c r="C146" s="35" t="s">
        <v>6</v>
      </c>
      <c r="D146" s="35" t="s">
        <v>59</v>
      </c>
      <c r="E146" s="35" t="s">
        <v>125</v>
      </c>
      <c r="F146" s="139">
        <f t="shared" si="73"/>
        <v>1</v>
      </c>
      <c r="G146" s="35">
        <v>1035680000</v>
      </c>
      <c r="H146" s="139">
        <f t="shared" si="74"/>
        <v>9.0152255896738556</v>
      </c>
      <c r="I146" s="35">
        <f>G146-J146</f>
        <v>766400000</v>
      </c>
      <c r="J146" s="35">
        <v>269280000</v>
      </c>
      <c r="K146" s="36">
        <v>40543</v>
      </c>
      <c r="L146" s="35">
        <v>1200000000</v>
      </c>
      <c r="M146" s="21">
        <f t="shared" si="75"/>
        <v>7.9397260273972599</v>
      </c>
      <c r="N146" s="21">
        <f t="shared" si="102"/>
        <v>0.89980551667868103</v>
      </c>
      <c r="O146" s="35">
        <v>320.77</v>
      </c>
      <c r="P146" s="35">
        <f t="shared" si="76"/>
        <v>2.5075455505094206</v>
      </c>
      <c r="Q146" s="35">
        <v>0</v>
      </c>
      <c r="R146" s="35">
        <f t="shared" si="77"/>
        <v>0</v>
      </c>
      <c r="S146" s="45">
        <v>2.91</v>
      </c>
      <c r="T146" s="45">
        <f t="shared" si="103"/>
        <v>0.46389298898590731</v>
      </c>
      <c r="U146" s="175">
        <f t="shared" si="78"/>
        <v>0.15865904526494679</v>
      </c>
      <c r="V146" s="48">
        <f t="shared" si="79"/>
        <v>6.3955656373769681E-2</v>
      </c>
      <c r="W146" s="176">
        <v>1709.090909090909</v>
      </c>
      <c r="X146" s="35">
        <f t="shared" si="80"/>
        <v>3.2327651641054547</v>
      </c>
      <c r="Y146" s="35">
        <v>8968.5950413223145</v>
      </c>
      <c r="Z146" s="35">
        <f t="shared" si="81"/>
        <v>3.9527244147731087</v>
      </c>
      <c r="AA146" s="37">
        <v>447.5</v>
      </c>
      <c r="AB146" s="37">
        <f t="shared" si="82"/>
        <v>2.6517624473801109</v>
      </c>
      <c r="AC146" s="35">
        <v>70</v>
      </c>
      <c r="AD146" s="35">
        <f t="shared" si="104"/>
        <v>1.8450980400142569</v>
      </c>
      <c r="AE146" s="48">
        <v>43.1</v>
      </c>
      <c r="AF146" s="48">
        <f t="shared" si="105"/>
        <v>1.6344772701607315</v>
      </c>
      <c r="AG146" s="43">
        <v>50.714433556883101</v>
      </c>
      <c r="AH146" s="43">
        <f t="shared" si="106"/>
        <v>1.7051315790969346</v>
      </c>
      <c r="AI146" s="39">
        <v>-0.22</v>
      </c>
      <c r="AJ146" s="48">
        <f t="shared" si="83"/>
        <v>-0.10790539730951958</v>
      </c>
      <c r="AK146" s="35">
        <v>1</v>
      </c>
      <c r="AL146" s="35">
        <f t="shared" si="107"/>
        <v>0</v>
      </c>
      <c r="AM146" s="35">
        <f t="shared" si="84"/>
        <v>0</v>
      </c>
      <c r="AN146" s="35">
        <f t="shared" si="85"/>
        <v>0</v>
      </c>
      <c r="AO146" s="35">
        <f t="shared" si="86"/>
        <v>0</v>
      </c>
      <c r="AP146" s="35">
        <f t="shared" si="87"/>
        <v>0</v>
      </c>
      <c r="AQ146" s="35">
        <f t="shared" si="88"/>
        <v>0</v>
      </c>
      <c r="AR146" s="35">
        <f t="shared" si="89"/>
        <v>0</v>
      </c>
      <c r="AS146" s="35">
        <f t="shared" si="90"/>
        <v>0</v>
      </c>
      <c r="AT146" s="35">
        <f t="shared" si="91"/>
        <v>0</v>
      </c>
      <c r="AU146" s="35">
        <f t="shared" si="92"/>
        <v>1</v>
      </c>
      <c r="AV146" s="35">
        <f t="shared" si="93"/>
        <v>0</v>
      </c>
      <c r="AW146" s="35">
        <f t="shared" si="94"/>
        <v>0</v>
      </c>
      <c r="AX146" s="35">
        <f t="shared" si="95"/>
        <v>0</v>
      </c>
      <c r="AY146" s="35">
        <f t="shared" si="96"/>
        <v>0</v>
      </c>
      <c r="AZ146" s="35">
        <f t="shared" si="97"/>
        <v>0</v>
      </c>
      <c r="BA146" s="35">
        <f t="shared" si="98"/>
        <v>0</v>
      </c>
      <c r="BB146" s="35">
        <f t="shared" si="99"/>
        <v>0</v>
      </c>
      <c r="BC146" s="35">
        <f t="shared" si="100"/>
        <v>0</v>
      </c>
    </row>
    <row r="147" spans="1:55" s="35" customFormat="1" x14ac:dyDescent="0.35">
      <c r="A147" s="36">
        <v>37656</v>
      </c>
      <c r="B147" s="35" t="s">
        <v>1122</v>
      </c>
      <c r="C147" s="35" t="s">
        <v>59</v>
      </c>
      <c r="D147" s="35" t="s">
        <v>577</v>
      </c>
      <c r="E147" s="35" t="s">
        <v>47</v>
      </c>
      <c r="F147" s="139">
        <f t="shared" si="73"/>
        <v>0</v>
      </c>
      <c r="G147" s="35">
        <v>712000000</v>
      </c>
      <c r="H147" s="139">
        <f t="shared" si="74"/>
        <v>8.852479993636857</v>
      </c>
      <c r="I147" s="35">
        <f>G147</f>
        <v>712000000</v>
      </c>
      <c r="J147" s="35">
        <v>0</v>
      </c>
      <c r="K147" s="36">
        <v>38966</v>
      </c>
      <c r="L147" s="35">
        <v>675000000</v>
      </c>
      <c r="M147" s="21">
        <f t="shared" si="75"/>
        <v>3.5890410958904111</v>
      </c>
      <c r="N147" s="21">
        <f t="shared" si="102"/>
        <v>0.55497843119928958</v>
      </c>
      <c r="O147" s="35">
        <v>0</v>
      </c>
      <c r="P147" s="35">
        <f t="shared" si="76"/>
        <v>0</v>
      </c>
      <c r="Q147" s="35">
        <v>45</v>
      </c>
      <c r="R147" s="35">
        <f t="shared" si="77"/>
        <v>1.6627578316815741</v>
      </c>
      <c r="S147" s="45">
        <v>3.29</v>
      </c>
      <c r="T147" s="45">
        <f t="shared" si="103"/>
        <v>0.51719589794997434</v>
      </c>
      <c r="U147" s="175">
        <f t="shared" si="78"/>
        <v>-5.1966292134831504E-2</v>
      </c>
      <c r="V147" s="48">
        <f t="shared" si="79"/>
        <v>-2.3176220805831468E-2</v>
      </c>
      <c r="W147" s="35">
        <v>1861.76</v>
      </c>
      <c r="X147" s="35">
        <f t="shared" si="80"/>
        <v>3.2699236952309465</v>
      </c>
      <c r="Y147" s="35">
        <v>4993.92</v>
      </c>
      <c r="Z147" s="35">
        <f t="shared" si="81"/>
        <v>3.6984415808994222</v>
      </c>
      <c r="AA147" s="37">
        <v>0</v>
      </c>
      <c r="AB147" s="37">
        <f t="shared" si="82"/>
        <v>0</v>
      </c>
      <c r="AC147" s="35">
        <v>85</v>
      </c>
      <c r="AD147" s="35">
        <f t="shared" si="104"/>
        <v>1.9294189257142926</v>
      </c>
      <c r="AE147" s="48">
        <v>31.3</v>
      </c>
      <c r="AF147" s="48">
        <f t="shared" si="105"/>
        <v>1.4955443375464486</v>
      </c>
      <c r="AG147" s="43">
        <v>38.7850112673514</v>
      </c>
      <c r="AH147" s="43">
        <f t="shared" si="106"/>
        <v>1.5886639219461918</v>
      </c>
      <c r="AI147" s="39">
        <v>0.36</v>
      </c>
      <c r="AJ147" s="48">
        <f t="shared" si="83"/>
        <v>0.13353890837021748</v>
      </c>
      <c r="AK147" s="35">
        <v>16</v>
      </c>
      <c r="AL147" s="35">
        <f t="shared" si="107"/>
        <v>1.2041199826559248</v>
      </c>
      <c r="AM147" s="35">
        <f t="shared" si="84"/>
        <v>0</v>
      </c>
      <c r="AN147" s="35">
        <f t="shared" si="85"/>
        <v>0</v>
      </c>
      <c r="AO147" s="35">
        <f t="shared" si="86"/>
        <v>1</v>
      </c>
      <c r="AP147" s="35">
        <f t="shared" si="87"/>
        <v>0</v>
      </c>
      <c r="AQ147" s="35">
        <f t="shared" si="88"/>
        <v>0</v>
      </c>
      <c r="AR147" s="35">
        <f t="shared" si="89"/>
        <v>0</v>
      </c>
      <c r="AS147" s="35">
        <f t="shared" si="90"/>
        <v>0</v>
      </c>
      <c r="AT147" s="35">
        <f t="shared" si="91"/>
        <v>0</v>
      </c>
      <c r="AU147" s="35">
        <f t="shared" si="92"/>
        <v>0</v>
      </c>
      <c r="AV147" s="35">
        <f t="shared" si="93"/>
        <v>0</v>
      </c>
      <c r="AW147" s="35">
        <f t="shared" si="94"/>
        <v>0</v>
      </c>
      <c r="AX147" s="35">
        <f t="shared" si="95"/>
        <v>0</v>
      </c>
      <c r="AY147" s="35">
        <f t="shared" si="96"/>
        <v>0</v>
      </c>
      <c r="AZ147" s="35">
        <f t="shared" si="97"/>
        <v>0</v>
      </c>
      <c r="BA147" s="35">
        <f t="shared" si="98"/>
        <v>0</v>
      </c>
      <c r="BB147" s="35">
        <f t="shared" si="99"/>
        <v>0</v>
      </c>
      <c r="BC147" s="35">
        <f t="shared" si="100"/>
        <v>0</v>
      </c>
    </row>
    <row r="148" spans="1:55" s="35" customFormat="1" x14ac:dyDescent="0.35">
      <c r="A148" s="36">
        <v>37661</v>
      </c>
      <c r="B148" s="35" t="s">
        <v>218</v>
      </c>
      <c r="C148" s="35" t="s">
        <v>163</v>
      </c>
      <c r="D148" s="35" t="s">
        <v>45</v>
      </c>
      <c r="E148" s="139" t="s">
        <v>64</v>
      </c>
      <c r="F148" s="139">
        <f t="shared" si="73"/>
        <v>1</v>
      </c>
      <c r="G148" s="35">
        <v>381229100</v>
      </c>
      <c r="H148" s="139">
        <f t="shared" si="74"/>
        <v>8.5811860438211411</v>
      </c>
      <c r="I148" s="35">
        <v>381229100</v>
      </c>
      <c r="J148" s="35">
        <v>0</v>
      </c>
      <c r="K148" s="178">
        <v>38360</v>
      </c>
      <c r="L148" s="35">
        <v>860000000</v>
      </c>
      <c r="M148" s="21">
        <f t="shared" si="75"/>
        <v>1.9150684931506849</v>
      </c>
      <c r="N148" s="21">
        <f t="shared" si="102"/>
        <v>0.28218431128920668</v>
      </c>
      <c r="O148" s="35">
        <v>6164.6</v>
      </c>
      <c r="P148" s="35">
        <f t="shared" si="76"/>
        <v>3.7899753459779522</v>
      </c>
      <c r="Q148" s="35">
        <v>3</v>
      </c>
      <c r="R148" s="35">
        <f t="shared" si="77"/>
        <v>0.6020599913279624</v>
      </c>
      <c r="S148" s="45">
        <v>3.18</v>
      </c>
      <c r="T148" s="45">
        <f t="shared" si="103"/>
        <v>0.50242711998443268</v>
      </c>
      <c r="U148" s="175">
        <f t="shared" si="78"/>
        <v>1.2558613704987369</v>
      </c>
      <c r="V148" s="48">
        <f t="shared" si="79"/>
        <v>0.35331240742242576</v>
      </c>
      <c r="W148" s="35">
        <v>1246.953</v>
      </c>
      <c r="X148" s="35">
        <f t="shared" si="80"/>
        <v>3.0958500844125241</v>
      </c>
      <c r="Y148" s="35">
        <v>3219.7179999999998</v>
      </c>
      <c r="Z148" s="35">
        <f t="shared" si="81"/>
        <v>3.5078178355445662</v>
      </c>
      <c r="AA148" s="37">
        <v>583.83333333333303</v>
      </c>
      <c r="AB148" s="37">
        <f t="shared" si="82"/>
        <v>2.7670321178317625</v>
      </c>
      <c r="AC148" s="35">
        <v>70</v>
      </c>
      <c r="AD148" s="35">
        <f t="shared" si="104"/>
        <v>1.8450980400142569</v>
      </c>
      <c r="AE148" s="48">
        <v>42.2</v>
      </c>
      <c r="AF148" s="48">
        <f t="shared" si="105"/>
        <v>1.6253124509616739</v>
      </c>
      <c r="AG148" s="43">
        <v>53.270504198897903</v>
      </c>
      <c r="AH148" s="43">
        <f t="shared" si="106"/>
        <v>1.7264868073491786</v>
      </c>
      <c r="AI148" s="39">
        <v>0.35</v>
      </c>
      <c r="AJ148" s="48">
        <f t="shared" si="83"/>
        <v>0.13033376849500614</v>
      </c>
      <c r="AK148" s="35">
        <v>11</v>
      </c>
      <c r="AL148" s="35">
        <f t="shared" si="107"/>
        <v>1.0413926851582251</v>
      </c>
      <c r="AM148" s="35">
        <f t="shared" si="84"/>
        <v>0</v>
      </c>
      <c r="AN148" s="35">
        <f t="shared" si="85"/>
        <v>0</v>
      </c>
      <c r="AO148" s="35">
        <f t="shared" si="86"/>
        <v>0</v>
      </c>
      <c r="AP148" s="35">
        <f t="shared" si="87"/>
        <v>0</v>
      </c>
      <c r="AQ148" s="35">
        <f t="shared" si="88"/>
        <v>0</v>
      </c>
      <c r="AR148" s="35">
        <f t="shared" si="89"/>
        <v>0</v>
      </c>
      <c r="AS148" s="35">
        <f t="shared" si="90"/>
        <v>0</v>
      </c>
      <c r="AT148" s="35">
        <f t="shared" si="91"/>
        <v>1</v>
      </c>
      <c r="AU148" s="35">
        <f t="shared" si="92"/>
        <v>0</v>
      </c>
      <c r="AV148" s="35">
        <f t="shared" si="93"/>
        <v>0</v>
      </c>
      <c r="AW148" s="35">
        <f t="shared" si="94"/>
        <v>0</v>
      </c>
      <c r="AX148" s="35">
        <f t="shared" si="95"/>
        <v>0</v>
      </c>
      <c r="AY148" s="35">
        <f t="shared" si="96"/>
        <v>0</v>
      </c>
      <c r="AZ148" s="35">
        <f t="shared" si="97"/>
        <v>0</v>
      </c>
      <c r="BA148" s="35">
        <f t="shared" si="98"/>
        <v>0</v>
      </c>
      <c r="BB148" s="35">
        <f t="shared" si="99"/>
        <v>0</v>
      </c>
      <c r="BC148" s="35">
        <f t="shared" si="100"/>
        <v>0</v>
      </c>
    </row>
    <row r="149" spans="1:55" s="35" customFormat="1" x14ac:dyDescent="0.35">
      <c r="A149" s="36">
        <v>37672</v>
      </c>
      <c r="B149" s="35" t="s">
        <v>749</v>
      </c>
      <c r="C149" s="35" t="s">
        <v>2</v>
      </c>
      <c r="D149" s="35" t="s">
        <v>577</v>
      </c>
      <c r="E149" s="35" t="s">
        <v>64</v>
      </c>
      <c r="F149" s="139">
        <f t="shared" si="73"/>
        <v>1</v>
      </c>
      <c r="G149" s="35">
        <v>200000000</v>
      </c>
      <c r="H149" s="139">
        <f t="shared" si="74"/>
        <v>8.3010299956639813</v>
      </c>
      <c r="I149" s="35">
        <f>G149</f>
        <v>200000000</v>
      </c>
      <c r="J149" s="35">
        <v>0</v>
      </c>
      <c r="K149" s="36">
        <v>39031</v>
      </c>
      <c r="L149" s="35">
        <v>1286078000</v>
      </c>
      <c r="M149" s="21">
        <f t="shared" si="75"/>
        <v>3.7232876712328768</v>
      </c>
      <c r="N149" s="21">
        <f t="shared" si="102"/>
        <v>0.57092659227601961</v>
      </c>
      <c r="O149" s="35">
        <v>917.19</v>
      </c>
      <c r="P149" s="35">
        <f t="shared" si="76"/>
        <v>2.9629325585580042</v>
      </c>
      <c r="Q149" s="35">
        <v>12</v>
      </c>
      <c r="R149" s="35">
        <f t="shared" si="77"/>
        <v>1.1139433523068367</v>
      </c>
      <c r="S149" s="45">
        <v>2.62</v>
      </c>
      <c r="T149" s="45">
        <f t="shared" si="103"/>
        <v>0.41830129131974547</v>
      </c>
      <c r="U149" s="175">
        <f t="shared" si="78"/>
        <v>5.4303900000000001</v>
      </c>
      <c r="V149" s="48">
        <f t="shared" si="79"/>
        <v>0.80823731347034766</v>
      </c>
      <c r="W149" s="35">
        <v>1861.7599999999995</v>
      </c>
      <c r="X149" s="35">
        <f t="shared" si="80"/>
        <v>3.2699236952309461</v>
      </c>
      <c r="Y149" s="35">
        <v>4993.920000000001</v>
      </c>
      <c r="Z149" s="35">
        <f t="shared" si="81"/>
        <v>3.6984415808994222</v>
      </c>
      <c r="AA149" s="37">
        <v>854.66666666666697</v>
      </c>
      <c r="AB149" s="37">
        <f t="shared" si="82"/>
        <v>2.9323046139517812</v>
      </c>
      <c r="AC149" s="35">
        <v>70</v>
      </c>
      <c r="AD149" s="35">
        <f t="shared" si="104"/>
        <v>1.8450980400142569</v>
      </c>
      <c r="AE149" s="48">
        <v>34.6</v>
      </c>
      <c r="AF149" s="48">
        <f t="shared" si="105"/>
        <v>1.5390760987927767</v>
      </c>
      <c r="AG149" s="43">
        <v>47.8156192569637</v>
      </c>
      <c r="AH149" s="43">
        <f t="shared" si="106"/>
        <v>1.6795697846681461</v>
      </c>
      <c r="AI149" s="39">
        <v>-0.17</v>
      </c>
      <c r="AJ149" s="48">
        <f t="shared" si="83"/>
        <v>-8.092190762392612E-2</v>
      </c>
      <c r="AK149" s="35">
        <v>7</v>
      </c>
      <c r="AL149" s="35">
        <f t="shared" si="107"/>
        <v>0.84509804001425681</v>
      </c>
      <c r="AM149" s="35">
        <f t="shared" si="84"/>
        <v>0</v>
      </c>
      <c r="AN149" s="35">
        <f t="shared" si="85"/>
        <v>0</v>
      </c>
      <c r="AO149" s="35">
        <f t="shared" si="86"/>
        <v>0</v>
      </c>
      <c r="AP149" s="35">
        <f t="shared" si="87"/>
        <v>0</v>
      </c>
      <c r="AQ149" s="35">
        <f t="shared" si="88"/>
        <v>0</v>
      </c>
      <c r="AR149" s="35">
        <f t="shared" si="89"/>
        <v>0</v>
      </c>
      <c r="AS149" s="35">
        <f t="shared" si="90"/>
        <v>0</v>
      </c>
      <c r="AT149" s="35">
        <f t="shared" si="91"/>
        <v>0</v>
      </c>
      <c r="AU149" s="35">
        <f t="shared" si="92"/>
        <v>0</v>
      </c>
      <c r="AV149" s="35">
        <f t="shared" si="93"/>
        <v>1</v>
      </c>
      <c r="AW149" s="35">
        <f t="shared" si="94"/>
        <v>0</v>
      </c>
      <c r="AX149" s="35">
        <f t="shared" si="95"/>
        <v>0</v>
      </c>
      <c r="AY149" s="35">
        <f t="shared" si="96"/>
        <v>0</v>
      </c>
      <c r="AZ149" s="35">
        <f t="shared" si="97"/>
        <v>0</v>
      </c>
      <c r="BA149" s="35">
        <f t="shared" si="98"/>
        <v>0</v>
      </c>
      <c r="BB149" s="35">
        <f t="shared" si="99"/>
        <v>0</v>
      </c>
      <c r="BC149" s="35">
        <f t="shared" si="100"/>
        <v>0</v>
      </c>
    </row>
    <row r="150" spans="1:55" s="35" customFormat="1" x14ac:dyDescent="0.35">
      <c r="A150" s="36">
        <v>37679</v>
      </c>
      <c r="B150" s="35" t="s">
        <v>1165</v>
      </c>
      <c r="C150" s="35" t="s">
        <v>45</v>
      </c>
      <c r="D150" s="35" t="s">
        <v>602</v>
      </c>
      <c r="E150" s="35" t="s">
        <v>47</v>
      </c>
      <c r="F150" s="139">
        <f t="shared" si="73"/>
        <v>0</v>
      </c>
      <c r="G150" s="35">
        <v>300000000</v>
      </c>
      <c r="H150" s="139">
        <f t="shared" si="74"/>
        <v>8.4771212547196626</v>
      </c>
      <c r="I150" s="35">
        <f>G150</f>
        <v>300000000</v>
      </c>
      <c r="J150" s="35">
        <v>0</v>
      </c>
      <c r="K150" s="36">
        <v>38176</v>
      </c>
      <c r="L150" s="35">
        <v>650000000</v>
      </c>
      <c r="M150" s="21">
        <f t="shared" si="75"/>
        <v>1.3616438356164384</v>
      </c>
      <c r="N150" s="21">
        <f t="shared" si="102"/>
        <v>0.13406352427685744</v>
      </c>
      <c r="O150" s="35">
        <v>0</v>
      </c>
      <c r="P150" s="35">
        <f t="shared" si="76"/>
        <v>0</v>
      </c>
      <c r="Q150" s="35">
        <v>47</v>
      </c>
      <c r="R150" s="35">
        <f t="shared" si="77"/>
        <v>1.6812412373755872</v>
      </c>
      <c r="S150" s="45">
        <v>2.95</v>
      </c>
      <c r="T150" s="45">
        <f t="shared" si="103"/>
        <v>0.46982201597816303</v>
      </c>
      <c r="U150" s="175">
        <f t="shared" si="78"/>
        <v>1.1666666666666665</v>
      </c>
      <c r="V150" s="48">
        <f t="shared" si="79"/>
        <v>0.33579210192319309</v>
      </c>
      <c r="W150" s="35">
        <v>1246.953</v>
      </c>
      <c r="X150" s="35">
        <f t="shared" si="80"/>
        <v>3.0958500844125241</v>
      </c>
      <c r="Y150" s="35">
        <v>3219.7179999999998</v>
      </c>
      <c r="Z150" s="35">
        <f t="shared" si="81"/>
        <v>3.5078178355445662</v>
      </c>
      <c r="AA150" s="35">
        <v>0</v>
      </c>
      <c r="AB150" s="37">
        <f t="shared" si="82"/>
        <v>0</v>
      </c>
      <c r="AC150" s="35">
        <v>85</v>
      </c>
      <c r="AD150" s="35">
        <f t="shared" si="104"/>
        <v>1.9294189257142926</v>
      </c>
      <c r="AE150" s="48">
        <v>24.4</v>
      </c>
      <c r="AF150" s="48">
        <f t="shared" si="105"/>
        <v>1.3873898263387294</v>
      </c>
      <c r="AG150" s="43">
        <v>37.256914365427299</v>
      </c>
      <c r="AH150" s="43">
        <f t="shared" si="106"/>
        <v>1.5712068835833228</v>
      </c>
      <c r="AI150" s="39">
        <v>0.47</v>
      </c>
      <c r="AJ150" s="48">
        <f t="shared" si="83"/>
        <v>0.16731733474817609</v>
      </c>
      <c r="AK150" s="35">
        <v>2</v>
      </c>
      <c r="AL150" s="35">
        <f t="shared" si="107"/>
        <v>0.3010299956639812</v>
      </c>
      <c r="AM150" s="35">
        <f t="shared" si="84"/>
        <v>0</v>
      </c>
      <c r="AN150" s="35">
        <f t="shared" si="85"/>
        <v>1</v>
      </c>
      <c r="AO150" s="35">
        <f t="shared" si="86"/>
        <v>0</v>
      </c>
      <c r="AP150" s="35">
        <f t="shared" si="87"/>
        <v>0</v>
      </c>
      <c r="AQ150" s="35">
        <f t="shared" si="88"/>
        <v>0</v>
      </c>
      <c r="AR150" s="35">
        <f t="shared" si="89"/>
        <v>0</v>
      </c>
      <c r="AS150" s="35">
        <f t="shared" si="90"/>
        <v>0</v>
      </c>
      <c r="AT150" s="35">
        <f t="shared" si="91"/>
        <v>0</v>
      </c>
      <c r="AU150" s="35">
        <f t="shared" si="92"/>
        <v>0</v>
      </c>
      <c r="AV150" s="35">
        <f t="shared" si="93"/>
        <v>0</v>
      </c>
      <c r="AW150" s="35">
        <f t="shared" si="94"/>
        <v>0</v>
      </c>
      <c r="AX150" s="35">
        <f t="shared" si="95"/>
        <v>0</v>
      </c>
      <c r="AY150" s="35">
        <f t="shared" si="96"/>
        <v>0</v>
      </c>
      <c r="AZ150" s="35">
        <f t="shared" si="97"/>
        <v>0</v>
      </c>
      <c r="BA150" s="35">
        <f t="shared" si="98"/>
        <v>0</v>
      </c>
      <c r="BB150" s="35">
        <f t="shared" si="99"/>
        <v>0</v>
      </c>
      <c r="BC150" s="35">
        <f t="shared" si="100"/>
        <v>0</v>
      </c>
    </row>
    <row r="151" spans="1:55" s="35" customFormat="1" x14ac:dyDescent="0.35">
      <c r="A151" s="36">
        <v>37679</v>
      </c>
      <c r="B151" s="35" t="s">
        <v>1165</v>
      </c>
      <c r="C151" s="35" t="s">
        <v>45</v>
      </c>
      <c r="D151" s="35" t="s">
        <v>602</v>
      </c>
      <c r="E151" s="35" t="s">
        <v>47</v>
      </c>
      <c r="F151" s="139">
        <f t="shared" si="73"/>
        <v>0</v>
      </c>
      <c r="G151" s="35">
        <v>300000000</v>
      </c>
      <c r="H151" s="139">
        <f t="shared" si="74"/>
        <v>8.4771212547196626</v>
      </c>
      <c r="I151" s="35">
        <f>G151</f>
        <v>300000000</v>
      </c>
      <c r="J151" s="35">
        <v>0</v>
      </c>
      <c r="K151" s="36">
        <v>38176</v>
      </c>
      <c r="L151" s="35">
        <v>650000000</v>
      </c>
      <c r="M151" s="21">
        <f t="shared" si="75"/>
        <v>1.3616438356164384</v>
      </c>
      <c r="N151" s="21">
        <f t="shared" si="102"/>
        <v>0.13406352427685744</v>
      </c>
      <c r="O151" s="35">
        <v>0</v>
      </c>
      <c r="P151" s="35">
        <f t="shared" si="76"/>
        <v>0</v>
      </c>
      <c r="Q151" s="35">
        <v>47</v>
      </c>
      <c r="R151" s="35">
        <f t="shared" si="77"/>
        <v>1.6812412373755872</v>
      </c>
      <c r="S151" s="45">
        <v>2.95</v>
      </c>
      <c r="T151" s="45">
        <f t="shared" si="103"/>
        <v>0.46982201597816303</v>
      </c>
      <c r="U151" s="175">
        <f t="shared" si="78"/>
        <v>1.1666666666666665</v>
      </c>
      <c r="V151" s="48">
        <f t="shared" si="79"/>
        <v>0.33579210192319309</v>
      </c>
      <c r="W151" s="35">
        <v>1246.953</v>
      </c>
      <c r="X151" s="35">
        <f t="shared" si="80"/>
        <v>3.0958500844125241</v>
      </c>
      <c r="Y151" s="35">
        <v>3219.7179999999998</v>
      </c>
      <c r="Z151" s="35">
        <f t="shared" si="81"/>
        <v>3.5078178355445662</v>
      </c>
      <c r="AA151" s="35">
        <v>0</v>
      </c>
      <c r="AB151" s="37">
        <f t="shared" si="82"/>
        <v>0</v>
      </c>
      <c r="AC151" s="35">
        <v>85</v>
      </c>
      <c r="AD151" s="35">
        <f t="shared" si="104"/>
        <v>1.9294189257142926</v>
      </c>
      <c r="AE151" s="48">
        <v>24.4</v>
      </c>
      <c r="AF151" s="48">
        <f t="shared" si="105"/>
        <v>1.3873898263387294</v>
      </c>
      <c r="AG151" s="43">
        <v>37.256914365427299</v>
      </c>
      <c r="AH151" s="43">
        <f t="shared" si="106"/>
        <v>1.5712068835833228</v>
      </c>
      <c r="AI151" s="39">
        <v>0.72</v>
      </c>
      <c r="AJ151" s="48">
        <f t="shared" si="83"/>
        <v>0.2355284469075489</v>
      </c>
      <c r="AK151" s="35">
        <v>12</v>
      </c>
      <c r="AL151" s="35">
        <f t="shared" si="107"/>
        <v>1.0791812460476249</v>
      </c>
      <c r="AM151" s="35">
        <f t="shared" si="84"/>
        <v>0</v>
      </c>
      <c r="AN151" s="35">
        <f t="shared" si="85"/>
        <v>1</v>
      </c>
      <c r="AO151" s="35">
        <f t="shared" si="86"/>
        <v>0</v>
      </c>
      <c r="AP151" s="35">
        <f t="shared" si="87"/>
        <v>0</v>
      </c>
      <c r="AQ151" s="35">
        <f t="shared" si="88"/>
        <v>0</v>
      </c>
      <c r="AR151" s="35">
        <f t="shared" si="89"/>
        <v>0</v>
      </c>
      <c r="AS151" s="35">
        <f t="shared" si="90"/>
        <v>0</v>
      </c>
      <c r="AT151" s="35">
        <f t="shared" si="91"/>
        <v>0</v>
      </c>
      <c r="AU151" s="35">
        <f t="shared" si="92"/>
        <v>0</v>
      </c>
      <c r="AV151" s="35">
        <f t="shared" si="93"/>
        <v>0</v>
      </c>
      <c r="AW151" s="35">
        <f t="shared" si="94"/>
        <v>0</v>
      </c>
      <c r="AX151" s="35">
        <f t="shared" si="95"/>
        <v>0</v>
      </c>
      <c r="AY151" s="35">
        <f t="shared" si="96"/>
        <v>0</v>
      </c>
      <c r="AZ151" s="35">
        <f t="shared" si="97"/>
        <v>0</v>
      </c>
      <c r="BA151" s="35">
        <f t="shared" si="98"/>
        <v>0</v>
      </c>
      <c r="BB151" s="35">
        <f t="shared" si="99"/>
        <v>0</v>
      </c>
      <c r="BC151" s="35">
        <f t="shared" si="100"/>
        <v>0</v>
      </c>
    </row>
    <row r="152" spans="1:55" s="35" customFormat="1" x14ac:dyDescent="0.35">
      <c r="A152" s="36">
        <v>37683</v>
      </c>
      <c r="B152" s="35" t="s">
        <v>631</v>
      </c>
      <c r="C152" s="35" t="s">
        <v>59</v>
      </c>
      <c r="D152" s="35" t="s">
        <v>602</v>
      </c>
      <c r="E152" s="35" t="s">
        <v>64</v>
      </c>
      <c r="F152" s="139">
        <f t="shared" si="73"/>
        <v>1</v>
      </c>
      <c r="G152" s="35">
        <v>100950000</v>
      </c>
      <c r="H152" s="139">
        <f t="shared" si="74"/>
        <v>8.0041063232796574</v>
      </c>
      <c r="I152" s="35">
        <v>49670000</v>
      </c>
      <c r="J152" s="35">
        <v>51280000</v>
      </c>
      <c r="K152" s="36">
        <v>39429</v>
      </c>
      <c r="L152" s="35">
        <v>945000000</v>
      </c>
      <c r="M152" s="21">
        <f t="shared" si="75"/>
        <v>4.7835616438356166</v>
      </c>
      <c r="N152" s="21">
        <f t="shared" si="102"/>
        <v>0.67975137491307625</v>
      </c>
      <c r="O152" s="35">
        <v>5897.96</v>
      </c>
      <c r="P152" s="35">
        <f t="shared" si="76"/>
        <v>3.7707754512906644</v>
      </c>
      <c r="Q152" s="35">
        <v>166</v>
      </c>
      <c r="R152" s="35">
        <f t="shared" si="77"/>
        <v>2.2227164711475833</v>
      </c>
      <c r="S152" s="45">
        <v>2.3199999999999998</v>
      </c>
      <c r="T152" s="45">
        <f t="shared" si="103"/>
        <v>0.36548798489089962</v>
      </c>
      <c r="U152" s="175">
        <f t="shared" si="78"/>
        <v>8.3610698365527494</v>
      </c>
      <c r="V152" s="48">
        <f t="shared" si="79"/>
        <v>0.97132548522960493</v>
      </c>
      <c r="W152" s="35">
        <v>1246.953</v>
      </c>
      <c r="X152" s="35">
        <f t="shared" si="80"/>
        <v>3.0958500844125241</v>
      </c>
      <c r="Y152" s="35">
        <v>3219.7179999999998</v>
      </c>
      <c r="Z152" s="35">
        <f t="shared" si="81"/>
        <v>3.5078178355445662</v>
      </c>
      <c r="AA152" s="37">
        <v>132</v>
      </c>
      <c r="AB152" s="37">
        <f t="shared" si="82"/>
        <v>2.1238516409670858</v>
      </c>
      <c r="AC152" s="35">
        <v>85</v>
      </c>
      <c r="AD152" s="35">
        <f t="shared" si="104"/>
        <v>1.9294189257142926</v>
      </c>
      <c r="AE152" s="48">
        <v>31.3</v>
      </c>
      <c r="AF152" s="48">
        <f t="shared" si="105"/>
        <v>1.4955443375464486</v>
      </c>
      <c r="AG152" s="43">
        <v>38.7850112673514</v>
      </c>
      <c r="AH152" s="43">
        <f t="shared" si="106"/>
        <v>1.5886639219461918</v>
      </c>
      <c r="AI152" s="39">
        <v>0.72</v>
      </c>
      <c r="AJ152" s="48">
        <f t="shared" si="83"/>
        <v>0.2355284469075489</v>
      </c>
      <c r="AK152" s="35">
        <v>10</v>
      </c>
      <c r="AL152" s="35">
        <f t="shared" si="107"/>
        <v>1</v>
      </c>
      <c r="AM152" s="35">
        <f t="shared" si="84"/>
        <v>0</v>
      </c>
      <c r="AN152" s="35">
        <f t="shared" si="85"/>
        <v>0</v>
      </c>
      <c r="AO152" s="35">
        <f t="shared" si="86"/>
        <v>1</v>
      </c>
      <c r="AP152" s="35">
        <f t="shared" si="87"/>
        <v>0</v>
      </c>
      <c r="AQ152" s="35">
        <f t="shared" si="88"/>
        <v>0</v>
      </c>
      <c r="AR152" s="35">
        <f t="shared" si="89"/>
        <v>0</v>
      </c>
      <c r="AS152" s="35">
        <f t="shared" si="90"/>
        <v>0</v>
      </c>
      <c r="AT152" s="35">
        <f t="shared" si="91"/>
        <v>0</v>
      </c>
      <c r="AU152" s="35">
        <f t="shared" si="92"/>
        <v>0</v>
      </c>
      <c r="AV152" s="35">
        <f t="shared" si="93"/>
        <v>0</v>
      </c>
      <c r="AW152" s="35">
        <f t="shared" si="94"/>
        <v>0</v>
      </c>
      <c r="AX152" s="35">
        <f t="shared" si="95"/>
        <v>0</v>
      </c>
      <c r="AY152" s="35">
        <f t="shared" si="96"/>
        <v>0</v>
      </c>
      <c r="AZ152" s="35">
        <f t="shared" si="97"/>
        <v>0</v>
      </c>
      <c r="BA152" s="35">
        <f t="shared" si="98"/>
        <v>0</v>
      </c>
      <c r="BB152" s="35">
        <f t="shared" si="99"/>
        <v>0</v>
      </c>
      <c r="BC152" s="35">
        <f t="shared" si="100"/>
        <v>0</v>
      </c>
    </row>
    <row r="153" spans="1:55" s="35" customFormat="1" x14ac:dyDescent="0.35">
      <c r="A153" s="36">
        <v>37683</v>
      </c>
      <c r="B153" s="35" t="s">
        <v>634</v>
      </c>
      <c r="C153" s="35" t="s">
        <v>59</v>
      </c>
      <c r="D153" s="35" t="s">
        <v>602</v>
      </c>
      <c r="E153" s="35" t="s">
        <v>64</v>
      </c>
      <c r="F153" s="139">
        <f t="shared" si="73"/>
        <v>1</v>
      </c>
      <c r="G153" s="35">
        <v>150000000</v>
      </c>
      <c r="H153" s="139">
        <f t="shared" si="74"/>
        <v>8.1760912590556813</v>
      </c>
      <c r="I153" s="35">
        <f>G153</f>
        <v>150000000</v>
      </c>
      <c r="J153" s="35">
        <v>0</v>
      </c>
      <c r="K153" s="36">
        <v>38758</v>
      </c>
      <c r="L153" s="35">
        <v>287846880</v>
      </c>
      <c r="M153" s="21">
        <f t="shared" si="75"/>
        <v>2.9452054794520546</v>
      </c>
      <c r="N153" s="21">
        <f t="shared" si="102"/>
        <v>0.46911559979514939</v>
      </c>
      <c r="O153" s="35">
        <v>5897.96</v>
      </c>
      <c r="P153" s="35">
        <f t="shared" si="76"/>
        <v>3.7707754512906644</v>
      </c>
      <c r="Q153" s="35">
        <v>2</v>
      </c>
      <c r="R153" s="35">
        <f t="shared" si="77"/>
        <v>0.47712125471966244</v>
      </c>
      <c r="S153" s="45">
        <v>2.3199999999999998</v>
      </c>
      <c r="T153" s="45">
        <f t="shared" si="103"/>
        <v>0.36548798489089962</v>
      </c>
      <c r="U153" s="175">
        <f t="shared" si="78"/>
        <v>0.91897920000000011</v>
      </c>
      <c r="V153" s="48">
        <f t="shared" si="79"/>
        <v>0.28307026740134966</v>
      </c>
      <c r="W153" s="35">
        <v>1246.953</v>
      </c>
      <c r="X153" s="35">
        <f t="shared" si="80"/>
        <v>3.0958500844125241</v>
      </c>
      <c r="Y153" s="35">
        <v>3219.7179999999998</v>
      </c>
      <c r="Z153" s="35">
        <f t="shared" si="81"/>
        <v>3.5078178355445662</v>
      </c>
      <c r="AA153" s="37">
        <v>132</v>
      </c>
      <c r="AB153" s="37">
        <f t="shared" si="82"/>
        <v>2.1238516409670858</v>
      </c>
      <c r="AC153" s="35">
        <v>85</v>
      </c>
      <c r="AD153" s="35">
        <f t="shared" si="104"/>
        <v>1.9294189257142926</v>
      </c>
      <c r="AE153" s="48">
        <v>31.3</v>
      </c>
      <c r="AF153" s="48">
        <f t="shared" si="105"/>
        <v>1.4955443375464486</v>
      </c>
      <c r="AG153" s="43">
        <v>38.7850112673514</v>
      </c>
      <c r="AH153" s="43">
        <f t="shared" si="106"/>
        <v>1.5886639219461918</v>
      </c>
      <c r="AI153" s="39">
        <v>-0.1</v>
      </c>
      <c r="AJ153" s="48">
        <f t="shared" si="83"/>
        <v>-4.5757490560675115E-2</v>
      </c>
      <c r="AK153" s="35">
        <v>7</v>
      </c>
      <c r="AL153" s="35">
        <f t="shared" si="107"/>
        <v>0.84509804001425681</v>
      </c>
      <c r="AM153" s="35">
        <f t="shared" si="84"/>
        <v>0</v>
      </c>
      <c r="AN153" s="35">
        <f t="shared" si="85"/>
        <v>0</v>
      </c>
      <c r="AO153" s="35">
        <f t="shared" si="86"/>
        <v>1</v>
      </c>
      <c r="AP153" s="35">
        <f t="shared" si="87"/>
        <v>0</v>
      </c>
      <c r="AQ153" s="35">
        <f t="shared" si="88"/>
        <v>0</v>
      </c>
      <c r="AR153" s="35">
        <f t="shared" si="89"/>
        <v>0</v>
      </c>
      <c r="AS153" s="35">
        <f t="shared" si="90"/>
        <v>0</v>
      </c>
      <c r="AT153" s="35">
        <f t="shared" si="91"/>
        <v>0</v>
      </c>
      <c r="AU153" s="35">
        <f t="shared" si="92"/>
        <v>0</v>
      </c>
      <c r="AV153" s="35">
        <f t="shared" si="93"/>
        <v>0</v>
      </c>
      <c r="AW153" s="35">
        <f t="shared" si="94"/>
        <v>0</v>
      </c>
      <c r="AX153" s="35">
        <f t="shared" si="95"/>
        <v>0</v>
      </c>
      <c r="AY153" s="35">
        <f t="shared" si="96"/>
        <v>0</v>
      </c>
      <c r="AZ153" s="35">
        <f t="shared" si="97"/>
        <v>0</v>
      </c>
      <c r="BA153" s="35">
        <f t="shared" si="98"/>
        <v>0</v>
      </c>
      <c r="BB153" s="35">
        <f t="shared" si="99"/>
        <v>0</v>
      </c>
      <c r="BC153" s="35">
        <f t="shared" si="100"/>
        <v>0</v>
      </c>
    </row>
    <row r="154" spans="1:55" s="35" customFormat="1" x14ac:dyDescent="0.35">
      <c r="A154" s="36">
        <v>37683</v>
      </c>
      <c r="B154" s="35" t="s">
        <v>1028</v>
      </c>
      <c r="C154" s="35" t="s">
        <v>59</v>
      </c>
      <c r="D154" s="35" t="s">
        <v>45</v>
      </c>
      <c r="E154" s="35" t="s">
        <v>64</v>
      </c>
      <c r="F154" s="139">
        <f t="shared" si="73"/>
        <v>1</v>
      </c>
      <c r="G154" s="35">
        <v>74000000</v>
      </c>
      <c r="H154" s="139">
        <f t="shared" si="74"/>
        <v>7.8692317197309762</v>
      </c>
      <c r="I154" s="35">
        <f>G154</f>
        <v>74000000</v>
      </c>
      <c r="J154" s="35">
        <v>0</v>
      </c>
      <c r="K154" s="36">
        <v>39385</v>
      </c>
      <c r="L154" s="35">
        <v>272070000</v>
      </c>
      <c r="M154" s="21">
        <f t="shared" si="75"/>
        <v>4.6630136986301371</v>
      </c>
      <c r="N154" s="21">
        <f t="shared" si="102"/>
        <v>0.66866669129209433</v>
      </c>
      <c r="O154" s="35">
        <v>5897.96</v>
      </c>
      <c r="P154" s="35">
        <f t="shared" si="76"/>
        <v>3.7707754512906644</v>
      </c>
      <c r="Q154" s="35">
        <v>9</v>
      </c>
      <c r="R154" s="35">
        <f t="shared" si="77"/>
        <v>1</v>
      </c>
      <c r="S154" s="45">
        <v>2.3199999999999998</v>
      </c>
      <c r="T154" s="45">
        <f t="shared" si="103"/>
        <v>0.36548798489089962</v>
      </c>
      <c r="U154" s="175">
        <f t="shared" si="78"/>
        <v>2.6766216216216216</v>
      </c>
      <c r="V154" s="48">
        <f t="shared" si="79"/>
        <v>0.56544893688616582</v>
      </c>
      <c r="W154" s="35">
        <v>2162.0762565470354</v>
      </c>
      <c r="X154" s="35">
        <f t="shared" si="80"/>
        <v>3.3348710074773962</v>
      </c>
      <c r="Y154" s="35">
        <v>3168.4194524674895</v>
      </c>
      <c r="Z154" s="35">
        <f t="shared" si="81"/>
        <v>3.5008426709709495</v>
      </c>
      <c r="AA154" s="37">
        <v>132</v>
      </c>
      <c r="AB154" s="37">
        <f t="shared" si="82"/>
        <v>2.1238516409670858</v>
      </c>
      <c r="AC154" s="35">
        <v>85</v>
      </c>
      <c r="AD154" s="35">
        <f t="shared" si="104"/>
        <v>1.9294189257142926</v>
      </c>
      <c r="AE154" s="48">
        <v>31.3</v>
      </c>
      <c r="AF154" s="48">
        <f t="shared" si="105"/>
        <v>1.4955443375464486</v>
      </c>
      <c r="AG154" s="43">
        <v>38.7850112673514</v>
      </c>
      <c r="AH154" s="43">
        <f t="shared" si="106"/>
        <v>1.5886639219461918</v>
      </c>
      <c r="AI154" s="39">
        <v>0.26</v>
      </c>
      <c r="AJ154" s="48">
        <f t="shared" si="83"/>
        <v>0.10037054511756291</v>
      </c>
      <c r="AK154" s="35">
        <v>4</v>
      </c>
      <c r="AL154" s="35">
        <f t="shared" si="107"/>
        <v>0.6020599913279624</v>
      </c>
      <c r="AM154" s="35">
        <f t="shared" si="84"/>
        <v>0</v>
      </c>
      <c r="AN154" s="35">
        <f t="shared" si="85"/>
        <v>0</v>
      </c>
      <c r="AO154" s="35">
        <f t="shared" si="86"/>
        <v>1</v>
      </c>
      <c r="AP154" s="35">
        <f t="shared" si="87"/>
        <v>0</v>
      </c>
      <c r="AQ154" s="35">
        <f t="shared" si="88"/>
        <v>0</v>
      </c>
      <c r="AR154" s="35">
        <f t="shared" si="89"/>
        <v>0</v>
      </c>
      <c r="AS154" s="35">
        <f t="shared" si="90"/>
        <v>0</v>
      </c>
      <c r="AT154" s="35">
        <f t="shared" si="91"/>
        <v>0</v>
      </c>
      <c r="AU154" s="35">
        <f t="shared" si="92"/>
        <v>0</v>
      </c>
      <c r="AV154" s="35">
        <f t="shared" si="93"/>
        <v>0</v>
      </c>
      <c r="AW154" s="35">
        <f t="shared" si="94"/>
        <v>0</v>
      </c>
      <c r="AX154" s="35">
        <f t="shared" si="95"/>
        <v>0</v>
      </c>
      <c r="AY154" s="35">
        <f t="shared" si="96"/>
        <v>0</v>
      </c>
      <c r="AZ154" s="35">
        <f t="shared" si="97"/>
        <v>0</v>
      </c>
      <c r="BA154" s="35">
        <f t="shared" si="98"/>
        <v>0</v>
      </c>
      <c r="BB154" s="35">
        <f t="shared" si="99"/>
        <v>0</v>
      </c>
      <c r="BC154" s="35">
        <f t="shared" si="100"/>
        <v>0</v>
      </c>
    </row>
    <row r="155" spans="1:55" s="35" customFormat="1" x14ac:dyDescent="0.35">
      <c r="A155" s="36">
        <v>37683</v>
      </c>
      <c r="B155" s="35" t="s">
        <v>1180</v>
      </c>
      <c r="C155" s="35" t="s">
        <v>45</v>
      </c>
      <c r="D155" s="35" t="s">
        <v>602</v>
      </c>
      <c r="E155" s="35" t="s">
        <v>47</v>
      </c>
      <c r="F155" s="139">
        <f t="shared" si="73"/>
        <v>0</v>
      </c>
      <c r="G155" s="35">
        <v>4725000000</v>
      </c>
      <c r="H155" s="139">
        <f t="shared" si="74"/>
        <v>9.6744018128452822</v>
      </c>
      <c r="I155" s="35">
        <f>G155</f>
        <v>4725000000</v>
      </c>
      <c r="J155" s="35">
        <v>0</v>
      </c>
      <c r="K155" s="36">
        <v>41492</v>
      </c>
      <c r="L155" s="35">
        <v>2874200000</v>
      </c>
      <c r="M155" s="21">
        <f t="shared" si="75"/>
        <v>10.435616438356165</v>
      </c>
      <c r="N155" s="21">
        <f t="shared" si="102"/>
        <v>1.0185181082044716</v>
      </c>
      <c r="O155" s="35">
        <v>0</v>
      </c>
      <c r="P155" s="35">
        <f t="shared" si="76"/>
        <v>0</v>
      </c>
      <c r="Q155" s="35">
        <v>99</v>
      </c>
      <c r="R155" s="35">
        <f t="shared" si="77"/>
        <v>2</v>
      </c>
      <c r="S155" s="45">
        <v>2.95</v>
      </c>
      <c r="T155" s="45">
        <f t="shared" si="103"/>
        <v>0.46982201597816303</v>
      </c>
      <c r="U155" s="175">
        <f t="shared" si="78"/>
        <v>-0.39170370370370367</v>
      </c>
      <c r="V155" s="48">
        <f t="shared" si="79"/>
        <v>-0.21588482779645182</v>
      </c>
      <c r="W155" s="35">
        <v>2315.9650000000001</v>
      </c>
      <c r="X155" s="35">
        <f t="shared" si="80"/>
        <v>3.3647319918335836</v>
      </c>
      <c r="Y155" s="35">
        <v>3703.9029999999998</v>
      </c>
      <c r="Z155" s="35">
        <f t="shared" si="81"/>
        <v>3.568659604598353</v>
      </c>
      <c r="AA155" s="35">
        <v>0</v>
      </c>
      <c r="AB155" s="37">
        <f t="shared" si="82"/>
        <v>0</v>
      </c>
      <c r="AC155" s="35">
        <v>85</v>
      </c>
      <c r="AD155" s="35">
        <f t="shared" si="104"/>
        <v>1.9294189257142926</v>
      </c>
      <c r="AE155" s="48">
        <v>24.4</v>
      </c>
      <c r="AF155" s="48">
        <f t="shared" si="105"/>
        <v>1.3873898263387294</v>
      </c>
      <c r="AG155" s="43">
        <v>37.256914365427299</v>
      </c>
      <c r="AH155" s="43">
        <f t="shared" si="106"/>
        <v>1.5712068835833228</v>
      </c>
      <c r="AI155" s="39">
        <v>0.28000000000000003</v>
      </c>
      <c r="AJ155" s="48">
        <f t="shared" si="83"/>
        <v>0.10720996964786837</v>
      </c>
      <c r="AK155" s="35">
        <v>2</v>
      </c>
      <c r="AL155" s="35">
        <f t="shared" si="107"/>
        <v>0.3010299956639812</v>
      </c>
      <c r="AM155" s="35">
        <f t="shared" si="84"/>
        <v>0</v>
      </c>
      <c r="AN155" s="35">
        <f t="shared" si="85"/>
        <v>1</v>
      </c>
      <c r="AO155" s="35">
        <f t="shared" si="86"/>
        <v>0</v>
      </c>
      <c r="AP155" s="35">
        <f t="shared" si="87"/>
        <v>0</v>
      </c>
      <c r="AQ155" s="35">
        <f t="shared" si="88"/>
        <v>0</v>
      </c>
      <c r="AR155" s="35">
        <f t="shared" si="89"/>
        <v>0</v>
      </c>
      <c r="AS155" s="35">
        <f t="shared" si="90"/>
        <v>0</v>
      </c>
      <c r="AT155" s="35">
        <f t="shared" si="91"/>
        <v>0</v>
      </c>
      <c r="AU155" s="35">
        <f t="shared" si="92"/>
        <v>0</v>
      </c>
      <c r="AV155" s="35">
        <f t="shared" si="93"/>
        <v>0</v>
      </c>
      <c r="AW155" s="35">
        <f t="shared" si="94"/>
        <v>0</v>
      </c>
      <c r="AX155" s="35">
        <f t="shared" si="95"/>
        <v>0</v>
      </c>
      <c r="AY155" s="35">
        <f t="shared" si="96"/>
        <v>0</v>
      </c>
      <c r="AZ155" s="35">
        <f t="shared" si="97"/>
        <v>0</v>
      </c>
      <c r="BA155" s="35">
        <f t="shared" si="98"/>
        <v>0</v>
      </c>
      <c r="BB155" s="35">
        <f t="shared" si="99"/>
        <v>0</v>
      </c>
      <c r="BC155" s="35">
        <f t="shared" si="100"/>
        <v>0</v>
      </c>
    </row>
    <row r="156" spans="1:55" s="35" customFormat="1" x14ac:dyDescent="0.35">
      <c r="A156" s="36">
        <v>37684</v>
      </c>
      <c r="B156" s="35" t="s">
        <v>154</v>
      </c>
      <c r="C156" s="35" t="s">
        <v>3</v>
      </c>
      <c r="D156" s="35" t="s">
        <v>59</v>
      </c>
      <c r="E156" s="35" t="s">
        <v>125</v>
      </c>
      <c r="F156" s="139">
        <f t="shared" si="73"/>
        <v>1</v>
      </c>
      <c r="G156" s="35">
        <v>847560000</v>
      </c>
      <c r="H156" s="139">
        <f t="shared" si="74"/>
        <v>8.9281704522987919</v>
      </c>
      <c r="I156" s="35">
        <v>545290000</v>
      </c>
      <c r="J156" s="35">
        <v>302270000</v>
      </c>
      <c r="K156" s="36">
        <v>38922</v>
      </c>
      <c r="L156" s="35">
        <v>2503460000</v>
      </c>
      <c r="M156" s="21">
        <f t="shared" si="75"/>
        <v>3.3917808219178083</v>
      </c>
      <c r="N156" s="21">
        <f t="shared" si="102"/>
        <v>0.53042778022762449</v>
      </c>
      <c r="O156" s="35">
        <v>955.95</v>
      </c>
      <c r="P156" s="35">
        <f t="shared" si="76"/>
        <v>2.9808892467722719</v>
      </c>
      <c r="Q156" s="35">
        <v>107</v>
      </c>
      <c r="R156" s="35">
        <f t="shared" si="77"/>
        <v>2.0334237554869499</v>
      </c>
      <c r="S156" s="45">
        <v>3.13</v>
      </c>
      <c r="T156" s="45">
        <f t="shared" si="103"/>
        <v>0.49554433754644844</v>
      </c>
      <c r="U156" s="175">
        <f t="shared" si="78"/>
        <v>1.9537259899004202</v>
      </c>
      <c r="V156" s="48">
        <f t="shared" si="79"/>
        <v>0.47037020438358634</v>
      </c>
      <c r="W156" s="35">
        <v>1669.0315000000001</v>
      </c>
      <c r="X156" s="35">
        <f t="shared" si="80"/>
        <v>3.2224645332922388</v>
      </c>
      <c r="Y156" s="35">
        <v>5094.7950000000001</v>
      </c>
      <c r="Z156" s="35">
        <f t="shared" si="81"/>
        <v>3.707126713924402</v>
      </c>
      <c r="AA156" s="37">
        <v>541.5</v>
      </c>
      <c r="AB156" s="37">
        <f t="shared" si="82"/>
        <v>2.7343997425205671</v>
      </c>
      <c r="AC156" s="35">
        <v>100</v>
      </c>
      <c r="AD156" s="35">
        <f t="shared" si="104"/>
        <v>2</v>
      </c>
      <c r="AE156" s="48">
        <v>45.6</v>
      </c>
      <c r="AF156" s="48">
        <f t="shared" si="105"/>
        <v>1.658964842664435</v>
      </c>
      <c r="AG156" s="43">
        <v>53.639357132864397</v>
      </c>
      <c r="AH156" s="43">
        <f t="shared" si="106"/>
        <v>1.7294835641959176</v>
      </c>
      <c r="AI156" s="39">
        <v>0.06</v>
      </c>
      <c r="AJ156" s="48">
        <f t="shared" si="83"/>
        <v>2.5305865264770262E-2</v>
      </c>
      <c r="AK156" s="35">
        <v>11</v>
      </c>
      <c r="AL156" s="35">
        <f t="shared" si="107"/>
        <v>1.0413926851582251</v>
      </c>
      <c r="AM156" s="35">
        <f t="shared" si="84"/>
        <v>0</v>
      </c>
      <c r="AN156" s="35">
        <f t="shared" si="85"/>
        <v>0</v>
      </c>
      <c r="AO156" s="35">
        <f t="shared" si="86"/>
        <v>0</v>
      </c>
      <c r="AP156" s="35">
        <f t="shared" si="87"/>
        <v>0</v>
      </c>
      <c r="AQ156" s="35">
        <f t="shared" si="88"/>
        <v>1</v>
      </c>
      <c r="AR156" s="35">
        <f t="shared" si="89"/>
        <v>0</v>
      </c>
      <c r="AS156" s="35">
        <f t="shared" si="90"/>
        <v>0</v>
      </c>
      <c r="AT156" s="35">
        <f t="shared" si="91"/>
        <v>0</v>
      </c>
      <c r="AU156" s="35">
        <f t="shared" si="92"/>
        <v>0</v>
      </c>
      <c r="AV156" s="35">
        <f t="shared" si="93"/>
        <v>0</v>
      </c>
      <c r="AW156" s="35">
        <f t="shared" si="94"/>
        <v>0</v>
      </c>
      <c r="AX156" s="35">
        <f t="shared" si="95"/>
        <v>0</v>
      </c>
      <c r="AY156" s="35">
        <f t="shared" si="96"/>
        <v>0</v>
      </c>
      <c r="AZ156" s="35">
        <f t="shared" si="97"/>
        <v>0</v>
      </c>
      <c r="BA156" s="35">
        <f t="shared" si="98"/>
        <v>0</v>
      </c>
      <c r="BB156" s="35">
        <f t="shared" si="99"/>
        <v>0</v>
      </c>
      <c r="BC156" s="35">
        <f t="shared" si="100"/>
        <v>0</v>
      </c>
    </row>
    <row r="157" spans="1:55" s="35" customFormat="1" x14ac:dyDescent="0.35">
      <c r="A157" s="36">
        <v>37686</v>
      </c>
      <c r="B157" s="35" t="s">
        <v>967</v>
      </c>
      <c r="C157" s="35" t="s">
        <v>5</v>
      </c>
      <c r="D157" s="35" t="s">
        <v>45</v>
      </c>
      <c r="E157" s="35" t="s">
        <v>64</v>
      </c>
      <c r="F157" s="139">
        <f t="shared" si="73"/>
        <v>1</v>
      </c>
      <c r="G157" s="35">
        <v>1000000000</v>
      </c>
      <c r="H157" s="139">
        <f t="shared" si="74"/>
        <v>9</v>
      </c>
      <c r="I157" s="35">
        <f>G157</f>
        <v>1000000000</v>
      </c>
      <c r="J157" s="35">
        <v>0</v>
      </c>
      <c r="K157" s="36">
        <v>39449</v>
      </c>
      <c r="L157" s="35">
        <v>2200000000</v>
      </c>
      <c r="M157" s="21">
        <f t="shared" si="75"/>
        <v>4.8301369863013699</v>
      </c>
      <c r="N157" s="21">
        <f t="shared" si="102"/>
        <v>0.68395944784284735</v>
      </c>
      <c r="O157" s="35">
        <v>6188.89</v>
      </c>
      <c r="P157" s="35">
        <f t="shared" si="76"/>
        <v>3.7916829312790057</v>
      </c>
      <c r="Q157" s="35">
        <v>82</v>
      </c>
      <c r="R157" s="35">
        <f t="shared" si="77"/>
        <v>1.919078092376074</v>
      </c>
      <c r="S157" s="45">
        <v>2.72</v>
      </c>
      <c r="T157" s="45">
        <f t="shared" si="103"/>
        <v>0.43456890403419873</v>
      </c>
      <c r="U157" s="175">
        <f t="shared" si="78"/>
        <v>1.2000000000000002</v>
      </c>
      <c r="V157" s="48">
        <f t="shared" si="79"/>
        <v>0.34242268082220628</v>
      </c>
      <c r="W157" s="35">
        <v>1618.5219999999999</v>
      </c>
      <c r="X157" s="35">
        <f t="shared" si="80"/>
        <v>3.20911860699078</v>
      </c>
      <c r="Y157" s="35">
        <v>3845.9059999999999</v>
      </c>
      <c r="Z157" s="35">
        <f t="shared" si="81"/>
        <v>3.5849986651910224</v>
      </c>
      <c r="AA157" s="37">
        <v>1084.3333333333301</v>
      </c>
      <c r="AB157" s="37">
        <f t="shared" si="82"/>
        <v>3.0355631414974997</v>
      </c>
      <c r="AC157" s="35">
        <v>70</v>
      </c>
      <c r="AD157" s="35">
        <f t="shared" si="104"/>
        <v>1.8450980400142569</v>
      </c>
      <c r="AE157" s="48">
        <v>34.799999999999997</v>
      </c>
      <c r="AF157" s="48">
        <f t="shared" si="105"/>
        <v>1.541579243946581</v>
      </c>
      <c r="AG157" s="43">
        <v>44.539498059710198</v>
      </c>
      <c r="AH157" s="43">
        <f t="shared" si="106"/>
        <v>1.6487453184203718</v>
      </c>
      <c r="AI157" s="39">
        <v>0.22</v>
      </c>
      <c r="AJ157" s="48">
        <f t="shared" si="83"/>
        <v>8.6359830674748214E-2</v>
      </c>
      <c r="AK157" s="35">
        <v>14</v>
      </c>
      <c r="AL157" s="35">
        <f t="shared" si="107"/>
        <v>1.146128035678238</v>
      </c>
      <c r="AM157" s="35">
        <f t="shared" si="84"/>
        <v>0</v>
      </c>
      <c r="AN157" s="35">
        <f t="shared" si="85"/>
        <v>0</v>
      </c>
      <c r="AO157" s="35">
        <f t="shared" si="86"/>
        <v>0</v>
      </c>
      <c r="AP157" s="35">
        <f t="shared" si="87"/>
        <v>0</v>
      </c>
      <c r="AQ157" s="35">
        <f t="shared" si="88"/>
        <v>0</v>
      </c>
      <c r="AR157" s="35">
        <f t="shared" si="89"/>
        <v>0</v>
      </c>
      <c r="AS157" s="35">
        <f t="shared" si="90"/>
        <v>1</v>
      </c>
      <c r="AT157" s="35">
        <f t="shared" si="91"/>
        <v>0</v>
      </c>
      <c r="AU157" s="35">
        <f t="shared" si="92"/>
        <v>0</v>
      </c>
      <c r="AV157" s="35">
        <f t="shared" si="93"/>
        <v>0</v>
      </c>
      <c r="AW157" s="35">
        <f t="shared" si="94"/>
        <v>0</v>
      </c>
      <c r="AX157" s="35">
        <f t="shared" si="95"/>
        <v>0</v>
      </c>
      <c r="AY157" s="35">
        <f t="shared" si="96"/>
        <v>0</v>
      </c>
      <c r="AZ157" s="35">
        <f t="shared" si="97"/>
        <v>0</v>
      </c>
      <c r="BA157" s="35">
        <f t="shared" si="98"/>
        <v>0</v>
      </c>
      <c r="BB157" s="35">
        <f t="shared" si="99"/>
        <v>0</v>
      </c>
      <c r="BC157" s="35">
        <f t="shared" si="100"/>
        <v>0</v>
      </c>
    </row>
    <row r="158" spans="1:55" s="35" customFormat="1" x14ac:dyDescent="0.35">
      <c r="A158" s="36">
        <v>37691</v>
      </c>
      <c r="B158" s="35" t="s">
        <v>244</v>
      </c>
      <c r="C158" s="35" t="s">
        <v>59</v>
      </c>
      <c r="D158" s="35" t="s">
        <v>59</v>
      </c>
      <c r="E158" s="35" t="s">
        <v>102</v>
      </c>
      <c r="F158" s="139">
        <f t="shared" si="73"/>
        <v>0</v>
      </c>
      <c r="G158" s="35">
        <v>2510000000</v>
      </c>
      <c r="H158" s="139">
        <f t="shared" si="74"/>
        <v>9.3996737214810384</v>
      </c>
      <c r="I158" s="35">
        <v>2510000000</v>
      </c>
      <c r="J158" s="35">
        <v>0</v>
      </c>
      <c r="K158" s="36">
        <v>38838</v>
      </c>
      <c r="L158" s="35">
        <v>2679000000</v>
      </c>
      <c r="M158" s="21">
        <f t="shared" si="75"/>
        <v>3.1424657534246574</v>
      </c>
      <c r="N158" s="21">
        <f t="shared" si="102"/>
        <v>0.49727055344479293</v>
      </c>
      <c r="O158" s="35">
        <v>0</v>
      </c>
      <c r="P158" s="35">
        <f t="shared" si="76"/>
        <v>0</v>
      </c>
      <c r="Q158" s="35">
        <v>4</v>
      </c>
      <c r="R158" s="35">
        <f t="shared" si="77"/>
        <v>0.69897000433601886</v>
      </c>
      <c r="S158" s="45">
        <v>3.29</v>
      </c>
      <c r="T158" s="45">
        <f t="shared" si="103"/>
        <v>0.51719589794997434</v>
      </c>
      <c r="U158" s="175">
        <f t="shared" si="78"/>
        <v>6.7330677290836638E-2</v>
      </c>
      <c r="V158" s="48">
        <f t="shared" si="79"/>
        <v>2.8298992127170717E-2</v>
      </c>
      <c r="W158" s="35">
        <v>1669.0315000000001</v>
      </c>
      <c r="X158" s="35">
        <f t="shared" si="80"/>
        <v>3.2224645332922388</v>
      </c>
      <c r="Y158" s="35">
        <v>5094.7950000000001</v>
      </c>
      <c r="Z158" s="35">
        <f t="shared" si="81"/>
        <v>3.707126713924402</v>
      </c>
      <c r="AA158" s="37">
        <v>0</v>
      </c>
      <c r="AB158" s="37">
        <f t="shared" si="82"/>
        <v>0</v>
      </c>
      <c r="AC158" s="35">
        <v>85</v>
      </c>
      <c r="AD158" s="35">
        <f t="shared" si="104"/>
        <v>1.9294189257142926</v>
      </c>
      <c r="AE158" s="48">
        <v>31.3</v>
      </c>
      <c r="AF158" s="48">
        <f t="shared" si="105"/>
        <v>1.4955443375464486</v>
      </c>
      <c r="AG158" s="43">
        <v>38.7850112673514</v>
      </c>
      <c r="AH158" s="43">
        <f t="shared" si="106"/>
        <v>1.5886639219461918</v>
      </c>
      <c r="AI158" s="39">
        <v>0.53</v>
      </c>
      <c r="AJ158" s="48">
        <f t="shared" si="83"/>
        <v>0.18469143081759881</v>
      </c>
      <c r="AK158" s="35">
        <v>13</v>
      </c>
      <c r="AL158" s="35">
        <f t="shared" si="107"/>
        <v>1.1139433523068367</v>
      </c>
      <c r="AM158" s="35">
        <f t="shared" si="84"/>
        <v>0</v>
      </c>
      <c r="AN158" s="35">
        <f t="shared" si="85"/>
        <v>0</v>
      </c>
      <c r="AO158" s="35">
        <f t="shared" si="86"/>
        <v>1</v>
      </c>
      <c r="AP158" s="35">
        <f t="shared" si="87"/>
        <v>0</v>
      </c>
      <c r="AQ158" s="35">
        <f t="shared" si="88"/>
        <v>0</v>
      </c>
      <c r="AR158" s="35">
        <f t="shared" si="89"/>
        <v>0</v>
      </c>
      <c r="AS158" s="35">
        <f t="shared" si="90"/>
        <v>0</v>
      </c>
      <c r="AT158" s="35">
        <f t="shared" si="91"/>
        <v>0</v>
      </c>
      <c r="AU158" s="35">
        <f t="shared" si="92"/>
        <v>0</v>
      </c>
      <c r="AV158" s="35">
        <f t="shared" si="93"/>
        <v>0</v>
      </c>
      <c r="AW158" s="35">
        <f t="shared" si="94"/>
        <v>0</v>
      </c>
      <c r="AX158" s="35">
        <f t="shared" si="95"/>
        <v>0</v>
      </c>
      <c r="AY158" s="35">
        <f t="shared" si="96"/>
        <v>0</v>
      </c>
      <c r="AZ158" s="35">
        <f t="shared" si="97"/>
        <v>0</v>
      </c>
      <c r="BA158" s="35">
        <f t="shared" si="98"/>
        <v>0</v>
      </c>
      <c r="BB158" s="35">
        <f t="shared" si="99"/>
        <v>0</v>
      </c>
      <c r="BC158" s="35">
        <f t="shared" si="100"/>
        <v>0</v>
      </c>
    </row>
    <row r="159" spans="1:55" s="35" customFormat="1" x14ac:dyDescent="0.35">
      <c r="A159" s="36">
        <v>37691</v>
      </c>
      <c r="B159" s="35" t="s">
        <v>485</v>
      </c>
      <c r="C159" s="35" t="s">
        <v>59</v>
      </c>
      <c r="D159" s="35" t="s">
        <v>59</v>
      </c>
      <c r="E159" s="35" t="s">
        <v>102</v>
      </c>
      <c r="F159" s="139">
        <f t="shared" si="73"/>
        <v>0</v>
      </c>
      <c r="G159" s="35">
        <v>84660000</v>
      </c>
      <c r="H159" s="139">
        <f t="shared" si="74"/>
        <v>7.9276782641379917</v>
      </c>
      <c r="I159" s="35">
        <f>G159</f>
        <v>84660000</v>
      </c>
      <c r="J159" s="35">
        <v>0</v>
      </c>
      <c r="K159" s="36">
        <v>39198</v>
      </c>
      <c r="L159" s="35">
        <v>153380500</v>
      </c>
      <c r="M159" s="21">
        <f t="shared" si="75"/>
        <v>4.1287671232876715</v>
      </c>
      <c r="N159" s="21">
        <f t="shared" si="102"/>
        <v>0.61582038785815718</v>
      </c>
      <c r="O159" s="35">
        <v>0</v>
      </c>
      <c r="P159" s="35">
        <f t="shared" si="76"/>
        <v>0</v>
      </c>
      <c r="Q159" s="35">
        <v>1</v>
      </c>
      <c r="R159" s="35">
        <f t="shared" si="77"/>
        <v>0.3010299956639812</v>
      </c>
      <c r="S159" s="45">
        <v>3.29</v>
      </c>
      <c r="T159" s="45">
        <f t="shared" si="103"/>
        <v>0.51719589794997434</v>
      </c>
      <c r="U159" s="175">
        <f t="shared" si="78"/>
        <v>0.81172336404441303</v>
      </c>
      <c r="V159" s="48">
        <f t="shared" si="79"/>
        <v>0.25809188504009289</v>
      </c>
      <c r="W159" s="176">
        <v>1709.090909090909</v>
      </c>
      <c r="X159" s="35">
        <f t="shared" si="80"/>
        <v>3.2327651641054547</v>
      </c>
      <c r="Y159" s="35">
        <v>8968.5950413223145</v>
      </c>
      <c r="Z159" s="35">
        <f t="shared" si="81"/>
        <v>3.9527244147731087</v>
      </c>
      <c r="AA159" s="37">
        <v>0</v>
      </c>
      <c r="AB159" s="37">
        <f t="shared" si="82"/>
        <v>0</v>
      </c>
      <c r="AC159" s="35">
        <v>85</v>
      </c>
      <c r="AD159" s="35">
        <f t="shared" si="104"/>
        <v>1.9294189257142926</v>
      </c>
      <c r="AE159" s="48">
        <v>31.3</v>
      </c>
      <c r="AF159" s="48">
        <f t="shared" si="105"/>
        <v>1.4955443375464486</v>
      </c>
      <c r="AG159" s="43">
        <v>38.7850112673514</v>
      </c>
      <c r="AH159" s="43">
        <f t="shared" si="106"/>
        <v>1.5886639219461918</v>
      </c>
      <c r="AI159" s="39">
        <v>0.37</v>
      </c>
      <c r="AJ159" s="48">
        <f t="shared" si="83"/>
        <v>0.13672056715640679</v>
      </c>
      <c r="AK159" s="35">
        <v>13</v>
      </c>
      <c r="AL159" s="35">
        <f t="shared" si="107"/>
        <v>1.1139433523068367</v>
      </c>
      <c r="AM159" s="35">
        <f t="shared" si="84"/>
        <v>0</v>
      </c>
      <c r="AN159" s="35">
        <f t="shared" si="85"/>
        <v>0</v>
      </c>
      <c r="AO159" s="35">
        <f t="shared" si="86"/>
        <v>1</v>
      </c>
      <c r="AP159" s="35">
        <f t="shared" si="87"/>
        <v>0</v>
      </c>
      <c r="AQ159" s="35">
        <f t="shared" si="88"/>
        <v>0</v>
      </c>
      <c r="AR159" s="35">
        <f t="shared" si="89"/>
        <v>0</v>
      </c>
      <c r="AS159" s="35">
        <f t="shared" si="90"/>
        <v>0</v>
      </c>
      <c r="AT159" s="35">
        <f t="shared" si="91"/>
        <v>0</v>
      </c>
      <c r="AU159" s="35">
        <f t="shared" si="92"/>
        <v>0</v>
      </c>
      <c r="AV159" s="35">
        <f t="shared" si="93"/>
        <v>0</v>
      </c>
      <c r="AW159" s="35">
        <f t="shared" si="94"/>
        <v>0</v>
      </c>
      <c r="AX159" s="35">
        <f t="shared" si="95"/>
        <v>0</v>
      </c>
      <c r="AY159" s="35">
        <f t="shared" si="96"/>
        <v>0</v>
      </c>
      <c r="AZ159" s="35">
        <f t="shared" si="97"/>
        <v>0</v>
      </c>
      <c r="BA159" s="35">
        <f t="shared" si="98"/>
        <v>0</v>
      </c>
      <c r="BB159" s="35">
        <f t="shared" si="99"/>
        <v>0</v>
      </c>
      <c r="BC159" s="35">
        <f t="shared" si="100"/>
        <v>0</v>
      </c>
    </row>
    <row r="160" spans="1:55" s="35" customFormat="1" x14ac:dyDescent="0.35">
      <c r="A160" s="36">
        <v>37728</v>
      </c>
      <c r="B160" s="35" t="s">
        <v>1083</v>
      </c>
      <c r="C160" s="35" t="s">
        <v>163</v>
      </c>
      <c r="D160" s="35" t="s">
        <v>163</v>
      </c>
      <c r="E160" s="35" t="s">
        <v>47</v>
      </c>
      <c r="F160" s="139">
        <f t="shared" si="73"/>
        <v>0</v>
      </c>
      <c r="G160" s="35">
        <v>153890000</v>
      </c>
      <c r="H160" s="139">
        <f t="shared" si="74"/>
        <v>8.187210399650052</v>
      </c>
      <c r="I160" s="35">
        <f>G160</f>
        <v>153890000</v>
      </c>
      <c r="J160" s="35">
        <v>0</v>
      </c>
      <c r="K160" s="36">
        <v>38673</v>
      </c>
      <c r="L160" s="35">
        <v>250000000</v>
      </c>
      <c r="M160" s="21">
        <f t="shared" si="75"/>
        <v>2.5890410958904111</v>
      </c>
      <c r="N160" s="21">
        <f t="shared" si="102"/>
        <v>0.41313894405278828</v>
      </c>
      <c r="O160" s="35">
        <v>0</v>
      </c>
      <c r="P160" s="35">
        <f t="shared" si="76"/>
        <v>0</v>
      </c>
      <c r="Q160" s="35">
        <v>102</v>
      </c>
      <c r="R160" s="35">
        <f t="shared" si="77"/>
        <v>2.012837224705172</v>
      </c>
      <c r="S160" s="45">
        <v>3.18</v>
      </c>
      <c r="T160" s="45">
        <f t="shared" si="103"/>
        <v>0.50242711998443268</v>
      </c>
      <c r="U160" s="175">
        <f t="shared" si="78"/>
        <v>0.62453700695301828</v>
      </c>
      <c r="V160" s="48">
        <f t="shared" si="79"/>
        <v>0.2107296090219849</v>
      </c>
      <c r="W160" s="35">
        <v>1213.5329999999999</v>
      </c>
      <c r="X160" s="35">
        <f t="shared" si="80"/>
        <v>3.0840515907405019</v>
      </c>
      <c r="Y160" s="35">
        <v>8035.9219999999996</v>
      </c>
      <c r="Z160" s="35">
        <f t="shared" si="81"/>
        <v>3.9050357126538633</v>
      </c>
      <c r="AA160" s="37">
        <v>0</v>
      </c>
      <c r="AB160" s="37">
        <f t="shared" si="82"/>
        <v>0</v>
      </c>
      <c r="AC160" s="35">
        <v>70</v>
      </c>
      <c r="AD160" s="35">
        <f t="shared" si="104"/>
        <v>1.8450980400142569</v>
      </c>
      <c r="AE160" s="48">
        <v>42.2</v>
      </c>
      <c r="AF160" s="48">
        <f t="shared" si="105"/>
        <v>1.6253124509616739</v>
      </c>
      <c r="AG160" s="43">
        <v>53.270504198897903</v>
      </c>
      <c r="AH160" s="43">
        <f t="shared" si="106"/>
        <v>1.7264868073491786</v>
      </c>
      <c r="AI160" s="39">
        <v>-0.1</v>
      </c>
      <c r="AJ160" s="48">
        <f t="shared" si="83"/>
        <v>-4.5757490560675115E-2</v>
      </c>
      <c r="AK160" s="35">
        <v>12</v>
      </c>
      <c r="AL160" s="35">
        <f t="shared" si="107"/>
        <v>1.0791812460476249</v>
      </c>
      <c r="AM160" s="35">
        <f t="shared" si="84"/>
        <v>0</v>
      </c>
      <c r="AN160" s="35">
        <f t="shared" si="85"/>
        <v>0</v>
      </c>
      <c r="AO160" s="35">
        <f t="shared" si="86"/>
        <v>0</v>
      </c>
      <c r="AP160" s="35">
        <f t="shared" si="87"/>
        <v>0</v>
      </c>
      <c r="AQ160" s="35">
        <f t="shared" si="88"/>
        <v>0</v>
      </c>
      <c r="AR160" s="35">
        <f t="shared" si="89"/>
        <v>0</v>
      </c>
      <c r="AS160" s="35">
        <f t="shared" si="90"/>
        <v>0</v>
      </c>
      <c r="AT160" s="35">
        <f t="shared" si="91"/>
        <v>1</v>
      </c>
      <c r="AU160" s="35">
        <f t="shared" si="92"/>
        <v>0</v>
      </c>
      <c r="AV160" s="35">
        <f t="shared" si="93"/>
        <v>0</v>
      </c>
      <c r="AW160" s="35">
        <f t="shared" si="94"/>
        <v>0</v>
      </c>
      <c r="AX160" s="35">
        <f t="shared" si="95"/>
        <v>0</v>
      </c>
      <c r="AY160" s="35">
        <f t="shared" si="96"/>
        <v>0</v>
      </c>
      <c r="AZ160" s="35">
        <f t="shared" si="97"/>
        <v>0</v>
      </c>
      <c r="BA160" s="35">
        <f t="shared" si="98"/>
        <v>0</v>
      </c>
      <c r="BB160" s="35">
        <f t="shared" si="99"/>
        <v>0</v>
      </c>
      <c r="BC160" s="35">
        <f t="shared" si="100"/>
        <v>0</v>
      </c>
    </row>
    <row r="161" spans="1:55" s="35" customFormat="1" x14ac:dyDescent="0.35">
      <c r="A161" s="36">
        <v>37740</v>
      </c>
      <c r="B161" s="35" t="s">
        <v>665</v>
      </c>
      <c r="C161" s="35" t="s">
        <v>2</v>
      </c>
      <c r="D161" s="35" t="s">
        <v>163</v>
      </c>
      <c r="E161" s="35" t="s">
        <v>64</v>
      </c>
      <c r="F161" s="139">
        <f t="shared" si="73"/>
        <v>1</v>
      </c>
      <c r="G161" s="35">
        <v>148860000</v>
      </c>
      <c r="H161" s="139">
        <f t="shared" si="74"/>
        <v>8.1727780146558526</v>
      </c>
      <c r="I161" s="35">
        <f>G161</f>
        <v>148860000</v>
      </c>
      <c r="J161" s="35">
        <v>0</v>
      </c>
      <c r="K161" s="36">
        <v>38471</v>
      </c>
      <c r="L161" s="35">
        <v>91300000</v>
      </c>
      <c r="M161" s="21">
        <f t="shared" si="75"/>
        <v>2.0027397260273974</v>
      </c>
      <c r="N161" s="21">
        <f t="shared" si="102"/>
        <v>0.30162451250138578</v>
      </c>
      <c r="O161" s="35">
        <v>684.28</v>
      </c>
      <c r="P161" s="35">
        <f t="shared" si="76"/>
        <v>2.8358680570524939</v>
      </c>
      <c r="Q161" s="35">
        <v>52</v>
      </c>
      <c r="R161" s="35">
        <f t="shared" si="77"/>
        <v>1.7242758696007889</v>
      </c>
      <c r="S161" s="45">
        <v>2.74</v>
      </c>
      <c r="T161" s="45">
        <f t="shared" si="103"/>
        <v>0.43775056282038799</v>
      </c>
      <c r="U161" s="175">
        <f t="shared" si="78"/>
        <v>-0.38667204084374585</v>
      </c>
      <c r="V161" s="48">
        <f t="shared" si="79"/>
        <v>-0.21230723712155383</v>
      </c>
      <c r="W161" s="35">
        <v>1213.5328018155212</v>
      </c>
      <c r="X161" s="35">
        <f t="shared" si="80"/>
        <v>3.0840515198150036</v>
      </c>
      <c r="Y161" s="35">
        <v>8035.9222431246071</v>
      </c>
      <c r="Z161" s="35">
        <f t="shared" si="81"/>
        <v>3.905035725793323</v>
      </c>
      <c r="AA161" s="37">
        <v>1412.5</v>
      </c>
      <c r="AB161" s="37">
        <f t="shared" si="82"/>
        <v>3.1502958128255383</v>
      </c>
      <c r="AC161" s="35">
        <v>70</v>
      </c>
      <c r="AD161" s="35">
        <f t="shared" si="104"/>
        <v>1.8450980400142569</v>
      </c>
      <c r="AE161" s="48">
        <v>34.6</v>
      </c>
      <c r="AF161" s="48">
        <f t="shared" si="105"/>
        <v>1.5390760987927767</v>
      </c>
      <c r="AG161" s="43">
        <v>47.8156192569637</v>
      </c>
      <c r="AH161" s="43">
        <f t="shared" si="106"/>
        <v>1.6795697846681461</v>
      </c>
      <c r="AI161" s="39">
        <v>0.28999999999999998</v>
      </c>
      <c r="AJ161" s="48">
        <f t="shared" si="83"/>
        <v>0.11058971029924898</v>
      </c>
      <c r="AK161" s="35">
        <v>16</v>
      </c>
      <c r="AL161" s="35">
        <f t="shared" si="107"/>
        <v>1.2041199826559248</v>
      </c>
      <c r="AM161" s="35">
        <f t="shared" si="84"/>
        <v>0</v>
      </c>
      <c r="AN161" s="35">
        <f t="shared" si="85"/>
        <v>0</v>
      </c>
      <c r="AO161" s="35">
        <f t="shared" si="86"/>
        <v>0</v>
      </c>
      <c r="AP161" s="35">
        <f t="shared" si="87"/>
        <v>0</v>
      </c>
      <c r="AQ161" s="35">
        <f t="shared" si="88"/>
        <v>0</v>
      </c>
      <c r="AR161" s="35">
        <f t="shared" si="89"/>
        <v>0</v>
      </c>
      <c r="AS161" s="35">
        <f t="shared" si="90"/>
        <v>0</v>
      </c>
      <c r="AT161" s="35">
        <f t="shared" si="91"/>
        <v>0</v>
      </c>
      <c r="AU161" s="35">
        <f t="shared" si="92"/>
        <v>0</v>
      </c>
      <c r="AV161" s="35">
        <f t="shared" si="93"/>
        <v>1</v>
      </c>
      <c r="AW161" s="35">
        <f t="shared" si="94"/>
        <v>0</v>
      </c>
      <c r="AX161" s="35">
        <f t="shared" si="95"/>
        <v>0</v>
      </c>
      <c r="AY161" s="35">
        <f t="shared" si="96"/>
        <v>0</v>
      </c>
      <c r="AZ161" s="35">
        <f t="shared" si="97"/>
        <v>0</v>
      </c>
      <c r="BA161" s="35">
        <f t="shared" si="98"/>
        <v>0</v>
      </c>
      <c r="BB161" s="35">
        <f t="shared" si="99"/>
        <v>0</v>
      </c>
      <c r="BC161" s="35">
        <f t="shared" si="100"/>
        <v>0</v>
      </c>
    </row>
    <row r="162" spans="1:55" s="35" customFormat="1" x14ac:dyDescent="0.35">
      <c r="A162" s="36">
        <v>37747</v>
      </c>
      <c r="B162" s="166" t="s">
        <v>261</v>
      </c>
      <c r="C162" s="35" t="s">
        <v>4</v>
      </c>
      <c r="D162" s="35" t="s">
        <v>4</v>
      </c>
      <c r="E162" s="35" t="s">
        <v>102</v>
      </c>
      <c r="F162" s="139">
        <f t="shared" si="73"/>
        <v>0</v>
      </c>
      <c r="G162" s="35">
        <v>235637477</v>
      </c>
      <c r="H162" s="139">
        <f t="shared" si="74"/>
        <v>8.3722443640434001</v>
      </c>
      <c r="I162" s="35">
        <v>235637477</v>
      </c>
      <c r="J162" s="35">
        <v>0</v>
      </c>
      <c r="K162" s="36">
        <v>38744</v>
      </c>
      <c r="L162" s="35">
        <v>1078966000</v>
      </c>
      <c r="M162" s="21">
        <f t="shared" si="75"/>
        <v>2.7315068493150685</v>
      </c>
      <c r="N162" s="21">
        <f t="shared" si="102"/>
        <v>0.43640229385518103</v>
      </c>
      <c r="O162" s="35">
        <v>0</v>
      </c>
      <c r="P162" s="35">
        <f t="shared" si="76"/>
        <v>0</v>
      </c>
      <c r="Q162" s="35">
        <v>20</v>
      </c>
      <c r="R162" s="35">
        <f t="shared" si="77"/>
        <v>1.3222192947339193</v>
      </c>
      <c r="S162" s="45">
        <v>3.59</v>
      </c>
      <c r="T162" s="45">
        <f t="shared" si="103"/>
        <v>0.55509444857831913</v>
      </c>
      <c r="U162" s="175">
        <f t="shared" si="78"/>
        <v>3.5789235809887749</v>
      </c>
      <c r="V162" s="48">
        <f t="shared" si="79"/>
        <v>0.66076339551899865</v>
      </c>
      <c r="W162" s="35">
        <v>1450.8446376578247</v>
      </c>
      <c r="X162" s="35">
        <f t="shared" si="80"/>
        <v>3.1616209089088487</v>
      </c>
      <c r="Y162" s="35">
        <v>6306.1358665754287</v>
      </c>
      <c r="Z162" s="35">
        <f t="shared" si="81"/>
        <v>3.7997633234477775</v>
      </c>
      <c r="AA162" s="37">
        <v>0</v>
      </c>
      <c r="AB162" s="37">
        <f t="shared" si="82"/>
        <v>0</v>
      </c>
      <c r="AC162" s="35">
        <v>70</v>
      </c>
      <c r="AD162" s="35">
        <f t="shared" si="104"/>
        <v>1.8450980400142569</v>
      </c>
      <c r="AE162" s="48">
        <v>45.5</v>
      </c>
      <c r="AF162" s="48">
        <f t="shared" si="105"/>
        <v>1.6580113966571124</v>
      </c>
      <c r="AG162" s="43">
        <v>53.974932698910798</v>
      </c>
      <c r="AH162" s="43">
        <f t="shared" si="106"/>
        <v>1.7321921094868633</v>
      </c>
      <c r="AI162" s="39">
        <v>0.28999999999999998</v>
      </c>
      <c r="AJ162" s="48">
        <f t="shared" si="83"/>
        <v>0.11058971029924898</v>
      </c>
      <c r="AK162" s="35">
        <v>13</v>
      </c>
      <c r="AL162" s="35">
        <f t="shared" si="107"/>
        <v>1.1139433523068367</v>
      </c>
      <c r="AM162" s="35">
        <f t="shared" si="84"/>
        <v>0</v>
      </c>
      <c r="AN162" s="35">
        <f t="shared" si="85"/>
        <v>0</v>
      </c>
      <c r="AO162" s="35">
        <f t="shared" si="86"/>
        <v>0</v>
      </c>
      <c r="AP162" s="35">
        <f t="shared" si="87"/>
        <v>0</v>
      </c>
      <c r="AQ162" s="35">
        <f t="shared" si="88"/>
        <v>0</v>
      </c>
      <c r="AR162" s="35">
        <f t="shared" si="89"/>
        <v>1</v>
      </c>
      <c r="AS162" s="35">
        <f t="shared" si="90"/>
        <v>0</v>
      </c>
      <c r="AT162" s="35">
        <f t="shared" si="91"/>
        <v>0</v>
      </c>
      <c r="AU162" s="35">
        <f t="shared" si="92"/>
        <v>0</v>
      </c>
      <c r="AV162" s="35">
        <f t="shared" si="93"/>
        <v>0</v>
      </c>
      <c r="AW162" s="35">
        <f t="shared" si="94"/>
        <v>0</v>
      </c>
      <c r="AX162" s="35">
        <f t="shared" si="95"/>
        <v>0</v>
      </c>
      <c r="AY162" s="35">
        <f t="shared" si="96"/>
        <v>0</v>
      </c>
      <c r="AZ162" s="35">
        <f t="shared" si="97"/>
        <v>0</v>
      </c>
      <c r="BA162" s="35">
        <f t="shared" si="98"/>
        <v>0</v>
      </c>
      <c r="BB162" s="35">
        <f t="shared" si="99"/>
        <v>0</v>
      </c>
      <c r="BC162" s="35">
        <f t="shared" si="100"/>
        <v>0</v>
      </c>
    </row>
    <row r="163" spans="1:55" s="35" customFormat="1" x14ac:dyDescent="0.35">
      <c r="A163" s="36">
        <v>37753</v>
      </c>
      <c r="B163" s="35" t="s">
        <v>390</v>
      </c>
      <c r="C163" s="35" t="s">
        <v>45</v>
      </c>
      <c r="D163" s="35" t="s">
        <v>45</v>
      </c>
      <c r="E163" s="35" t="s">
        <v>102</v>
      </c>
      <c r="F163" s="139">
        <f t="shared" si="73"/>
        <v>0</v>
      </c>
      <c r="G163" s="35">
        <v>645000000</v>
      </c>
      <c r="H163" s="139">
        <f t="shared" si="74"/>
        <v>8.8095597146352684</v>
      </c>
      <c r="I163" s="35">
        <v>645000000</v>
      </c>
      <c r="J163" s="35">
        <v>0</v>
      </c>
      <c r="K163" s="36">
        <v>39157</v>
      </c>
      <c r="L163" s="35">
        <v>165000000</v>
      </c>
      <c r="M163" s="21">
        <f t="shared" si="75"/>
        <v>3.8465753424657536</v>
      </c>
      <c r="N163" s="21">
        <f t="shared" si="102"/>
        <v>0.58507424333731184</v>
      </c>
      <c r="O163" s="35">
        <v>0</v>
      </c>
      <c r="P163" s="35">
        <f t="shared" si="76"/>
        <v>0</v>
      </c>
      <c r="Q163" s="35">
        <v>68</v>
      </c>
      <c r="R163" s="35">
        <f t="shared" si="77"/>
        <v>1.8388490907372552</v>
      </c>
      <c r="S163" s="45">
        <v>2.95</v>
      </c>
      <c r="T163" s="45">
        <f t="shared" si="103"/>
        <v>0.46982201597816303</v>
      </c>
      <c r="U163" s="175">
        <f t="shared" si="78"/>
        <v>-0.7441860465116279</v>
      </c>
      <c r="V163" s="48">
        <f t="shared" si="79"/>
        <v>-0.5920757704213615</v>
      </c>
      <c r="W163" s="35">
        <v>1518.5350000000001</v>
      </c>
      <c r="X163" s="35">
        <f t="shared" si="80"/>
        <v>3.1814248062191788</v>
      </c>
      <c r="Y163" s="35">
        <v>5363.16</v>
      </c>
      <c r="Z163" s="35">
        <f t="shared" si="81"/>
        <v>3.7294207535322617</v>
      </c>
      <c r="AA163" s="37">
        <v>0</v>
      </c>
      <c r="AB163" s="37">
        <f t="shared" si="82"/>
        <v>0</v>
      </c>
      <c r="AC163" s="35">
        <v>85</v>
      </c>
      <c r="AD163" s="35">
        <f t="shared" si="104"/>
        <v>1.9294189257142926</v>
      </c>
      <c r="AE163" s="48">
        <v>24.4</v>
      </c>
      <c r="AF163" s="48">
        <f t="shared" si="105"/>
        <v>1.3873898263387294</v>
      </c>
      <c r="AG163" s="43">
        <v>37.256914365427299</v>
      </c>
      <c r="AH163" s="43">
        <f t="shared" si="106"/>
        <v>1.5712068835833228</v>
      </c>
      <c r="AI163" s="39">
        <v>0.02</v>
      </c>
      <c r="AJ163" s="48">
        <f t="shared" si="83"/>
        <v>8.6001717619175692E-3</v>
      </c>
      <c r="AK163" s="35">
        <v>10</v>
      </c>
      <c r="AL163" s="35">
        <f t="shared" si="107"/>
        <v>1</v>
      </c>
      <c r="AM163" s="35">
        <f t="shared" si="84"/>
        <v>0</v>
      </c>
      <c r="AN163" s="35">
        <f t="shared" si="85"/>
        <v>1</v>
      </c>
      <c r="AO163" s="35">
        <f t="shared" si="86"/>
        <v>0</v>
      </c>
      <c r="AP163" s="35">
        <f t="shared" si="87"/>
        <v>0</v>
      </c>
      <c r="AQ163" s="35">
        <f t="shared" si="88"/>
        <v>0</v>
      </c>
      <c r="AR163" s="35">
        <f t="shared" si="89"/>
        <v>0</v>
      </c>
      <c r="AS163" s="35">
        <f t="shared" si="90"/>
        <v>0</v>
      </c>
      <c r="AT163" s="35">
        <f t="shared" si="91"/>
        <v>0</v>
      </c>
      <c r="AU163" s="35">
        <f t="shared" si="92"/>
        <v>0</v>
      </c>
      <c r="AV163" s="35">
        <f t="shared" si="93"/>
        <v>0</v>
      </c>
      <c r="AW163" s="35">
        <f t="shared" si="94"/>
        <v>0</v>
      </c>
      <c r="AX163" s="35">
        <f t="shared" si="95"/>
        <v>0</v>
      </c>
      <c r="AY163" s="35">
        <f t="shared" si="96"/>
        <v>0</v>
      </c>
      <c r="AZ163" s="35">
        <f t="shared" si="97"/>
        <v>0</v>
      </c>
      <c r="BA163" s="35">
        <f t="shared" si="98"/>
        <v>0</v>
      </c>
      <c r="BB163" s="35">
        <f t="shared" si="99"/>
        <v>0</v>
      </c>
      <c r="BC163" s="35">
        <f t="shared" si="100"/>
        <v>0</v>
      </c>
    </row>
    <row r="164" spans="1:55" s="35" customFormat="1" x14ac:dyDescent="0.35">
      <c r="A164" s="36">
        <v>37754</v>
      </c>
      <c r="B164" s="35" t="s">
        <v>992</v>
      </c>
      <c r="C164" s="35" t="s">
        <v>59</v>
      </c>
      <c r="D164" s="35" t="s">
        <v>45</v>
      </c>
      <c r="E164" s="35" t="s">
        <v>64</v>
      </c>
      <c r="F164" s="139">
        <f t="shared" si="73"/>
        <v>1</v>
      </c>
      <c r="G164" s="35">
        <v>350000000</v>
      </c>
      <c r="H164" s="139">
        <f t="shared" si="74"/>
        <v>8.5440680443502757</v>
      </c>
      <c r="I164" s="35">
        <f>G164</f>
        <v>350000000</v>
      </c>
      <c r="J164" s="35">
        <v>0</v>
      </c>
      <c r="K164" s="36">
        <v>38888</v>
      </c>
      <c r="L164" s="35">
        <v>350000000</v>
      </c>
      <c r="M164" s="21">
        <f t="shared" si="75"/>
        <v>3.106849315068493</v>
      </c>
      <c r="N164" s="21">
        <f t="shared" si="102"/>
        <v>0.49232019010041306</v>
      </c>
      <c r="O164" s="35">
        <v>5897.96</v>
      </c>
      <c r="P164" s="35">
        <f t="shared" si="76"/>
        <v>3.7707754512906644</v>
      </c>
      <c r="Q164" s="35">
        <v>4</v>
      </c>
      <c r="R164" s="35">
        <f t="shared" si="77"/>
        <v>0.69897000433601886</v>
      </c>
      <c r="S164" s="45">
        <v>2.3199999999999998</v>
      </c>
      <c r="T164" s="45">
        <f t="shared" si="103"/>
        <v>0.36548798489089962</v>
      </c>
      <c r="U164" s="175">
        <f t="shared" si="78"/>
        <v>0</v>
      </c>
      <c r="V164" s="48">
        <f t="shared" si="79"/>
        <v>0</v>
      </c>
      <c r="W164" s="35">
        <v>2777.7777777777774</v>
      </c>
      <c r="X164" s="35">
        <f t="shared" si="80"/>
        <v>3.4436974992327127</v>
      </c>
      <c r="Y164" s="35">
        <v>7048.6111111111131</v>
      </c>
      <c r="Z164" s="35">
        <f t="shared" si="81"/>
        <v>3.848103550153982</v>
      </c>
      <c r="AA164" s="37">
        <v>132</v>
      </c>
      <c r="AB164" s="37">
        <f t="shared" si="82"/>
        <v>2.1238516409670858</v>
      </c>
      <c r="AC164" s="35">
        <v>85</v>
      </c>
      <c r="AD164" s="35">
        <f t="shared" si="104"/>
        <v>1.9294189257142926</v>
      </c>
      <c r="AE164" s="48">
        <v>31.3</v>
      </c>
      <c r="AF164" s="48">
        <f t="shared" si="105"/>
        <v>1.4955443375464486</v>
      </c>
      <c r="AG164" s="43">
        <v>38.7850112673514</v>
      </c>
      <c r="AH164" s="43">
        <f t="shared" si="106"/>
        <v>1.5886639219461918</v>
      </c>
      <c r="AI164" s="39">
        <v>0.23</v>
      </c>
      <c r="AJ164" s="48">
        <f t="shared" si="83"/>
        <v>8.9905111439397931E-2</v>
      </c>
      <c r="AK164" s="35">
        <v>15</v>
      </c>
      <c r="AL164" s="35">
        <f t="shared" si="107"/>
        <v>1.1760912590556813</v>
      </c>
      <c r="AM164" s="35">
        <f t="shared" si="84"/>
        <v>0</v>
      </c>
      <c r="AN164" s="35">
        <f t="shared" si="85"/>
        <v>0</v>
      </c>
      <c r="AO164" s="35">
        <f t="shared" si="86"/>
        <v>1</v>
      </c>
      <c r="AP164" s="35">
        <f t="shared" si="87"/>
        <v>0</v>
      </c>
      <c r="AQ164" s="35">
        <f t="shared" si="88"/>
        <v>0</v>
      </c>
      <c r="AR164" s="35">
        <f t="shared" si="89"/>
        <v>0</v>
      </c>
      <c r="AS164" s="35">
        <f t="shared" si="90"/>
        <v>0</v>
      </c>
      <c r="AT164" s="35">
        <f t="shared" si="91"/>
        <v>0</v>
      </c>
      <c r="AU164" s="35">
        <f t="shared" si="92"/>
        <v>0</v>
      </c>
      <c r="AV164" s="35">
        <f t="shared" si="93"/>
        <v>0</v>
      </c>
      <c r="AW164" s="35">
        <f t="shared" si="94"/>
        <v>0</v>
      </c>
      <c r="AX164" s="35">
        <f t="shared" si="95"/>
        <v>0</v>
      </c>
      <c r="AY164" s="35">
        <f t="shared" si="96"/>
        <v>0</v>
      </c>
      <c r="AZ164" s="35">
        <f t="shared" si="97"/>
        <v>0</v>
      </c>
      <c r="BA164" s="35">
        <f t="shared" si="98"/>
        <v>0</v>
      </c>
      <c r="BB164" s="35">
        <f t="shared" si="99"/>
        <v>0</v>
      </c>
      <c r="BC164" s="35">
        <f t="shared" si="100"/>
        <v>0</v>
      </c>
    </row>
    <row r="165" spans="1:55" s="35" customFormat="1" x14ac:dyDescent="0.35">
      <c r="A165" s="36">
        <v>37771</v>
      </c>
      <c r="B165" s="35" t="s">
        <v>484</v>
      </c>
      <c r="C165" s="35" t="s">
        <v>5</v>
      </c>
      <c r="D165" s="35" t="s">
        <v>59</v>
      </c>
      <c r="E165" s="35" t="s">
        <v>125</v>
      </c>
      <c r="F165" s="139">
        <f t="shared" si="73"/>
        <v>1</v>
      </c>
      <c r="G165" s="35">
        <v>182500000</v>
      </c>
      <c r="H165" s="139">
        <f t="shared" si="74"/>
        <v>8.2612628687924943</v>
      </c>
      <c r="I165" s="35">
        <f>G165</f>
        <v>182500000</v>
      </c>
      <c r="J165" s="35">
        <v>0</v>
      </c>
      <c r="K165" s="36">
        <v>40560</v>
      </c>
      <c r="L165" s="35">
        <v>350000000</v>
      </c>
      <c r="M165" s="21">
        <f t="shared" si="75"/>
        <v>7.6410958904109592</v>
      </c>
      <c r="N165" s="21">
        <f t="shared" si="102"/>
        <v>0.88315564980957517</v>
      </c>
      <c r="O165" s="35">
        <v>357.29</v>
      </c>
      <c r="P165" s="35">
        <f t="shared" si="76"/>
        <v>2.5542346870234227</v>
      </c>
      <c r="Q165" s="35">
        <v>15</v>
      </c>
      <c r="R165" s="35">
        <f t="shared" si="77"/>
        <v>1.2041199826559248</v>
      </c>
      <c r="S165" s="45">
        <v>3.16</v>
      </c>
      <c r="T165" s="45">
        <f t="shared" si="103"/>
        <v>0.49968708261840383</v>
      </c>
      <c r="U165" s="175">
        <f t="shared" si="78"/>
        <v>0.91780821917808209</v>
      </c>
      <c r="V165" s="48">
        <f t="shared" si="79"/>
        <v>0.28280517555778212</v>
      </c>
      <c r="W165" s="176">
        <v>1709.090909090909</v>
      </c>
      <c r="X165" s="35">
        <f t="shared" si="80"/>
        <v>3.2327651641054547</v>
      </c>
      <c r="Y165" s="35">
        <v>8968.5950413223145</v>
      </c>
      <c r="Z165" s="35">
        <f t="shared" si="81"/>
        <v>3.9527244147731087</v>
      </c>
      <c r="AA165" s="37">
        <v>971</v>
      </c>
      <c r="AB165" s="37">
        <f t="shared" si="82"/>
        <v>2.9876662649262746</v>
      </c>
      <c r="AC165" s="35">
        <v>70</v>
      </c>
      <c r="AD165" s="35">
        <f t="shared" si="104"/>
        <v>1.8450980400142569</v>
      </c>
      <c r="AE165" s="48">
        <v>34.799999999999997</v>
      </c>
      <c r="AF165" s="48">
        <f t="shared" si="105"/>
        <v>1.541579243946581</v>
      </c>
      <c r="AG165" s="43">
        <v>44.539498059710198</v>
      </c>
      <c r="AH165" s="43">
        <f t="shared" si="106"/>
        <v>1.6487453184203718</v>
      </c>
      <c r="AI165" s="39">
        <v>-0.1</v>
      </c>
      <c r="AJ165" s="48">
        <f t="shared" si="83"/>
        <v>-4.5757490560675115E-2</v>
      </c>
      <c r="AK165" s="35">
        <v>11</v>
      </c>
      <c r="AL165" s="35">
        <f t="shared" si="107"/>
        <v>1.0413926851582251</v>
      </c>
      <c r="AM165" s="35">
        <f t="shared" si="84"/>
        <v>0</v>
      </c>
      <c r="AN165" s="35">
        <f t="shared" si="85"/>
        <v>0</v>
      </c>
      <c r="AO165" s="35">
        <f t="shared" si="86"/>
        <v>0</v>
      </c>
      <c r="AP165" s="35">
        <f t="shared" si="87"/>
        <v>0</v>
      </c>
      <c r="AQ165" s="35">
        <f t="shared" si="88"/>
        <v>0</v>
      </c>
      <c r="AR165" s="35">
        <f t="shared" si="89"/>
        <v>0</v>
      </c>
      <c r="AS165" s="35">
        <f t="shared" si="90"/>
        <v>1</v>
      </c>
      <c r="AT165" s="35">
        <f t="shared" si="91"/>
        <v>0</v>
      </c>
      <c r="AU165" s="35">
        <f t="shared" si="92"/>
        <v>0</v>
      </c>
      <c r="AV165" s="35">
        <f t="shared" si="93"/>
        <v>0</v>
      </c>
      <c r="AW165" s="35">
        <f t="shared" si="94"/>
        <v>0</v>
      </c>
      <c r="AX165" s="35">
        <f t="shared" si="95"/>
        <v>0</v>
      </c>
      <c r="AY165" s="35">
        <f t="shared" si="96"/>
        <v>0</v>
      </c>
      <c r="AZ165" s="35">
        <f t="shared" si="97"/>
        <v>0</v>
      </c>
      <c r="BA165" s="35">
        <f t="shared" si="98"/>
        <v>0</v>
      </c>
      <c r="BB165" s="35">
        <f t="shared" si="99"/>
        <v>0</v>
      </c>
      <c r="BC165" s="35">
        <f t="shared" si="100"/>
        <v>0</v>
      </c>
    </row>
    <row r="166" spans="1:55" s="35" customFormat="1" x14ac:dyDescent="0.35">
      <c r="A166" s="36">
        <v>37788</v>
      </c>
      <c r="B166" s="90" t="s">
        <v>595</v>
      </c>
      <c r="C166" s="35" t="s">
        <v>1</v>
      </c>
      <c r="D166" s="35" t="s">
        <v>577</v>
      </c>
      <c r="E166" s="35" t="s">
        <v>102</v>
      </c>
      <c r="F166" s="139">
        <f t="shared" si="73"/>
        <v>0</v>
      </c>
      <c r="G166" s="35">
        <v>25000000</v>
      </c>
      <c r="H166" s="139">
        <f t="shared" si="74"/>
        <v>7.3979400086720375</v>
      </c>
      <c r="I166" s="35">
        <f>G166</f>
        <v>25000000</v>
      </c>
      <c r="J166" s="35">
        <v>0</v>
      </c>
      <c r="K166" s="36">
        <v>38530</v>
      </c>
      <c r="L166" s="35">
        <v>86054952</v>
      </c>
      <c r="M166" s="21">
        <f t="shared" si="75"/>
        <v>2.032876712328767</v>
      </c>
      <c r="N166" s="21">
        <f t="shared" si="102"/>
        <v>0.30811104082255236</v>
      </c>
      <c r="O166" s="35">
        <v>0</v>
      </c>
      <c r="P166" s="35">
        <f t="shared" si="76"/>
        <v>0</v>
      </c>
      <c r="Q166" s="35">
        <v>1</v>
      </c>
      <c r="R166" s="35">
        <f t="shared" si="77"/>
        <v>0.3010299956639812</v>
      </c>
      <c r="S166" s="45">
        <v>3.42</v>
      </c>
      <c r="T166" s="45">
        <f t="shared" si="103"/>
        <v>0.53402610605613499</v>
      </c>
      <c r="U166" s="175">
        <f t="shared" si="78"/>
        <v>2.4421980799999998</v>
      </c>
      <c r="V166" s="48">
        <f t="shared" si="79"/>
        <v>0.53683585802401912</v>
      </c>
      <c r="W166" s="35">
        <v>3472</v>
      </c>
      <c r="X166" s="35">
        <f t="shared" si="80"/>
        <v>3.5405797165044541</v>
      </c>
      <c r="Y166" s="35">
        <v>7848</v>
      </c>
      <c r="Z166" s="35">
        <f t="shared" si="81"/>
        <v>3.8947589943718919</v>
      </c>
      <c r="AA166" s="37">
        <v>0</v>
      </c>
      <c r="AB166" s="37">
        <f t="shared" si="82"/>
        <v>0</v>
      </c>
      <c r="AC166" s="35">
        <v>70</v>
      </c>
      <c r="AD166" s="35">
        <f t="shared" si="104"/>
        <v>1.8450980400142569</v>
      </c>
      <c r="AE166" s="48">
        <v>41.7</v>
      </c>
      <c r="AF166" s="48">
        <f t="shared" si="105"/>
        <v>1.6201360549737576</v>
      </c>
      <c r="AG166" s="43">
        <v>47.869460173510603</v>
      </c>
      <c r="AH166" s="43">
        <f t="shared" si="106"/>
        <v>1.6800585299472204</v>
      </c>
      <c r="AI166" s="39">
        <v>0.24</v>
      </c>
      <c r="AJ166" s="48">
        <f t="shared" si="83"/>
        <v>9.3421685162235063E-2</v>
      </c>
      <c r="AK166" s="35">
        <v>15</v>
      </c>
      <c r="AL166" s="35">
        <f t="shared" si="107"/>
        <v>1.1760912590556813</v>
      </c>
      <c r="AM166" s="35">
        <f t="shared" si="84"/>
        <v>0</v>
      </c>
      <c r="AN166" s="35">
        <f t="shared" si="85"/>
        <v>0</v>
      </c>
      <c r="AO166" s="35">
        <f t="shared" si="86"/>
        <v>0</v>
      </c>
      <c r="AP166" s="35">
        <f t="shared" si="87"/>
        <v>1</v>
      </c>
      <c r="AQ166" s="35">
        <f t="shared" si="88"/>
        <v>0</v>
      </c>
      <c r="AR166" s="35">
        <f t="shared" si="89"/>
        <v>0</v>
      </c>
      <c r="AS166" s="35">
        <f t="shared" si="90"/>
        <v>0</v>
      </c>
      <c r="AT166" s="35">
        <f t="shared" si="91"/>
        <v>0</v>
      </c>
      <c r="AU166" s="35">
        <f t="shared" si="92"/>
        <v>0</v>
      </c>
      <c r="AV166" s="35">
        <f t="shared" si="93"/>
        <v>0</v>
      </c>
      <c r="AW166" s="35">
        <f t="shared" si="94"/>
        <v>0</v>
      </c>
      <c r="AX166" s="35">
        <f t="shared" si="95"/>
        <v>0</v>
      </c>
      <c r="AY166" s="35">
        <f t="shared" si="96"/>
        <v>0</v>
      </c>
      <c r="AZ166" s="35">
        <f t="shared" si="97"/>
        <v>0</v>
      </c>
      <c r="BA166" s="35">
        <f t="shared" si="98"/>
        <v>0</v>
      </c>
      <c r="BB166" s="35">
        <f t="shared" si="99"/>
        <v>0</v>
      </c>
      <c r="BC166" s="35">
        <f t="shared" si="100"/>
        <v>0</v>
      </c>
    </row>
    <row r="167" spans="1:55" s="35" customFormat="1" x14ac:dyDescent="0.35">
      <c r="A167" s="36">
        <v>37792</v>
      </c>
      <c r="B167" s="35" t="s">
        <v>1166</v>
      </c>
      <c r="C167" s="35" t="s">
        <v>45</v>
      </c>
      <c r="D167" s="35" t="s">
        <v>602</v>
      </c>
      <c r="E167" s="35" t="s">
        <v>47</v>
      </c>
      <c r="F167" s="139">
        <f t="shared" si="73"/>
        <v>0</v>
      </c>
      <c r="G167" s="35">
        <v>800000000</v>
      </c>
      <c r="H167" s="139">
        <f t="shared" si="74"/>
        <v>8.9030899869919438</v>
      </c>
      <c r="I167" s="35">
        <f>G167</f>
        <v>800000000</v>
      </c>
      <c r="J167" s="35">
        <v>0</v>
      </c>
      <c r="K167" s="36">
        <v>40632</v>
      </c>
      <c r="L167" s="35">
        <v>980000000</v>
      </c>
      <c r="M167" s="21">
        <f t="shared" si="75"/>
        <v>7.7808219178082192</v>
      </c>
      <c r="N167" s="21">
        <f t="shared" si="102"/>
        <v>0.891025475590563</v>
      </c>
      <c r="O167" s="35">
        <v>0</v>
      </c>
      <c r="P167" s="35">
        <f t="shared" si="76"/>
        <v>0</v>
      </c>
      <c r="Q167" s="35">
        <v>45</v>
      </c>
      <c r="R167" s="35">
        <f t="shared" si="77"/>
        <v>1.6627578316815741</v>
      </c>
      <c r="S167" s="45">
        <v>2.95</v>
      </c>
      <c r="T167" s="45">
        <f t="shared" si="103"/>
        <v>0.46982201597816303</v>
      </c>
      <c r="U167" s="175">
        <f t="shared" si="78"/>
        <v>0.22500000000000009</v>
      </c>
      <c r="V167" s="48">
        <f t="shared" si="79"/>
        <v>8.8136088700551299E-2</v>
      </c>
      <c r="W167" s="35">
        <v>1246.953</v>
      </c>
      <c r="X167" s="35">
        <f t="shared" si="80"/>
        <v>3.0958500844125241</v>
      </c>
      <c r="Y167" s="35">
        <v>3219.7179999999998</v>
      </c>
      <c r="Z167" s="35">
        <f t="shared" si="81"/>
        <v>3.5078178355445662</v>
      </c>
      <c r="AA167" s="35">
        <v>0</v>
      </c>
      <c r="AB167" s="37">
        <f t="shared" si="82"/>
        <v>0</v>
      </c>
      <c r="AC167" s="35">
        <v>85</v>
      </c>
      <c r="AD167" s="35">
        <f t="shared" si="104"/>
        <v>1.9294189257142926</v>
      </c>
      <c r="AE167" s="48">
        <v>24.4</v>
      </c>
      <c r="AF167" s="48">
        <f t="shared" si="105"/>
        <v>1.3873898263387294</v>
      </c>
      <c r="AG167" s="43">
        <v>37.256914365427299</v>
      </c>
      <c r="AH167" s="43">
        <f t="shared" si="106"/>
        <v>1.5712068835833228</v>
      </c>
      <c r="AI167" s="39">
        <v>0.76</v>
      </c>
      <c r="AJ167" s="48">
        <f t="shared" si="83"/>
        <v>0.24551266781414982</v>
      </c>
      <c r="AK167" s="35">
        <v>25</v>
      </c>
      <c r="AL167" s="35">
        <f t="shared" si="107"/>
        <v>1.3979400086720377</v>
      </c>
      <c r="AM167" s="35">
        <f t="shared" si="84"/>
        <v>0</v>
      </c>
      <c r="AN167" s="35">
        <f t="shared" si="85"/>
        <v>1</v>
      </c>
      <c r="AO167" s="35">
        <f t="shared" si="86"/>
        <v>0</v>
      </c>
      <c r="AP167" s="35">
        <f t="shared" si="87"/>
        <v>0</v>
      </c>
      <c r="AQ167" s="35">
        <f t="shared" si="88"/>
        <v>0</v>
      </c>
      <c r="AR167" s="35">
        <f t="shared" si="89"/>
        <v>0</v>
      </c>
      <c r="AS167" s="35">
        <f t="shared" si="90"/>
        <v>0</v>
      </c>
      <c r="AT167" s="35">
        <f t="shared" si="91"/>
        <v>0</v>
      </c>
      <c r="AU167" s="35">
        <f t="shared" si="92"/>
        <v>0</v>
      </c>
      <c r="AV167" s="35">
        <f t="shared" si="93"/>
        <v>0</v>
      </c>
      <c r="AW167" s="35">
        <f t="shared" si="94"/>
        <v>0</v>
      </c>
      <c r="AX167" s="35">
        <f t="shared" si="95"/>
        <v>0</v>
      </c>
      <c r="AY167" s="35">
        <f t="shared" si="96"/>
        <v>0</v>
      </c>
      <c r="AZ167" s="35">
        <f t="shared" si="97"/>
        <v>0</v>
      </c>
      <c r="BA167" s="35">
        <f t="shared" si="98"/>
        <v>0</v>
      </c>
      <c r="BB167" s="35">
        <f t="shared" si="99"/>
        <v>0</v>
      </c>
      <c r="BC167" s="35">
        <f t="shared" si="100"/>
        <v>0</v>
      </c>
    </row>
    <row r="168" spans="1:55" s="35" customFormat="1" x14ac:dyDescent="0.35">
      <c r="A168" s="36">
        <v>37792</v>
      </c>
      <c r="B168" s="35" t="s">
        <v>1166</v>
      </c>
      <c r="C168" s="35" t="s">
        <v>45</v>
      </c>
      <c r="D168" s="35" t="s">
        <v>602</v>
      </c>
      <c r="E168" s="35" t="s">
        <v>47</v>
      </c>
      <c r="F168" s="139">
        <f t="shared" si="73"/>
        <v>0</v>
      </c>
      <c r="G168" s="35">
        <v>800000000</v>
      </c>
      <c r="H168" s="139">
        <f t="shared" si="74"/>
        <v>8.9030899869919438</v>
      </c>
      <c r="I168" s="35">
        <f>G168</f>
        <v>800000000</v>
      </c>
      <c r="J168" s="35">
        <v>0</v>
      </c>
      <c r="K168" s="36">
        <v>40632</v>
      </c>
      <c r="L168" s="35">
        <v>980000000</v>
      </c>
      <c r="M168" s="21">
        <f t="shared" si="75"/>
        <v>7.7808219178082192</v>
      </c>
      <c r="N168" s="21">
        <f t="shared" si="102"/>
        <v>0.891025475590563</v>
      </c>
      <c r="O168" s="35">
        <v>0</v>
      </c>
      <c r="P168" s="35">
        <f t="shared" si="76"/>
        <v>0</v>
      </c>
      <c r="Q168" s="35">
        <v>45</v>
      </c>
      <c r="R168" s="35">
        <f t="shared" si="77"/>
        <v>1.6627578316815741</v>
      </c>
      <c r="S168" s="45">
        <v>2.95</v>
      </c>
      <c r="T168" s="45">
        <f t="shared" si="103"/>
        <v>0.46982201597816303</v>
      </c>
      <c r="U168" s="175">
        <f t="shared" si="78"/>
        <v>0.22500000000000009</v>
      </c>
      <c r="V168" s="48">
        <f t="shared" si="79"/>
        <v>8.8136088700551299E-2</v>
      </c>
      <c r="W168" s="35">
        <v>1246.953</v>
      </c>
      <c r="X168" s="35">
        <f t="shared" si="80"/>
        <v>3.0958500844125241</v>
      </c>
      <c r="Y168" s="35">
        <v>3219.7179999999998</v>
      </c>
      <c r="Z168" s="35">
        <f t="shared" si="81"/>
        <v>3.5078178355445662</v>
      </c>
      <c r="AA168" s="35">
        <v>0</v>
      </c>
      <c r="AB168" s="37">
        <f t="shared" si="82"/>
        <v>0</v>
      </c>
      <c r="AC168" s="35">
        <v>85</v>
      </c>
      <c r="AD168" s="35">
        <f t="shared" si="104"/>
        <v>1.9294189257142926</v>
      </c>
      <c r="AE168" s="48">
        <v>24.4</v>
      </c>
      <c r="AF168" s="48">
        <f t="shared" si="105"/>
        <v>1.3873898263387294</v>
      </c>
      <c r="AG168" s="43">
        <v>37.256914365427299</v>
      </c>
      <c r="AH168" s="43">
        <f t="shared" si="106"/>
        <v>1.5712068835833228</v>
      </c>
      <c r="AI168" s="39">
        <v>0.18</v>
      </c>
      <c r="AJ168" s="48">
        <f t="shared" si="83"/>
        <v>7.1882007306125359E-2</v>
      </c>
      <c r="AK168" s="35">
        <v>18</v>
      </c>
      <c r="AL168" s="35">
        <f t="shared" si="107"/>
        <v>1.255272505103306</v>
      </c>
      <c r="AM168" s="35">
        <f t="shared" si="84"/>
        <v>0</v>
      </c>
      <c r="AN168" s="35">
        <f t="shared" si="85"/>
        <v>1</v>
      </c>
      <c r="AO168" s="35">
        <f t="shared" si="86"/>
        <v>0</v>
      </c>
      <c r="AP168" s="35">
        <f t="shared" si="87"/>
        <v>0</v>
      </c>
      <c r="AQ168" s="35">
        <f t="shared" si="88"/>
        <v>0</v>
      </c>
      <c r="AR168" s="35">
        <f t="shared" si="89"/>
        <v>0</v>
      </c>
      <c r="AS168" s="35">
        <f t="shared" si="90"/>
        <v>0</v>
      </c>
      <c r="AT168" s="35">
        <f t="shared" si="91"/>
        <v>0</v>
      </c>
      <c r="AU168" s="35">
        <f t="shared" si="92"/>
        <v>0</v>
      </c>
      <c r="AV168" s="35">
        <f t="shared" si="93"/>
        <v>0</v>
      </c>
      <c r="AW168" s="35">
        <f t="shared" si="94"/>
        <v>0</v>
      </c>
      <c r="AX168" s="35">
        <f t="shared" si="95"/>
        <v>0</v>
      </c>
      <c r="AY168" s="35">
        <f t="shared" si="96"/>
        <v>0</v>
      </c>
      <c r="AZ168" s="35">
        <f t="shared" si="97"/>
        <v>0</v>
      </c>
      <c r="BA168" s="35">
        <f t="shared" si="98"/>
        <v>0</v>
      </c>
      <c r="BB168" s="35">
        <f t="shared" si="99"/>
        <v>0</v>
      </c>
      <c r="BC168" s="35">
        <f t="shared" si="100"/>
        <v>0</v>
      </c>
    </row>
    <row r="169" spans="1:55" s="35" customFormat="1" x14ac:dyDescent="0.35">
      <c r="A169" s="167">
        <v>37802</v>
      </c>
      <c r="B169" s="168" t="s">
        <v>157</v>
      </c>
      <c r="C169" s="168" t="s">
        <v>7</v>
      </c>
      <c r="D169" s="168" t="s">
        <v>59</v>
      </c>
      <c r="E169" s="168" t="s">
        <v>125</v>
      </c>
      <c r="F169" s="139">
        <f t="shared" si="73"/>
        <v>1</v>
      </c>
      <c r="G169" s="168">
        <v>930000000</v>
      </c>
      <c r="H169" s="139">
        <f t="shared" si="74"/>
        <v>8.9684829485539357</v>
      </c>
      <c r="I169" s="168">
        <v>930000000</v>
      </c>
      <c r="J169" s="168">
        <v>0</v>
      </c>
      <c r="K169" s="179">
        <v>39233</v>
      </c>
      <c r="L169" s="171">
        <v>2390000000</v>
      </c>
      <c r="M169" s="21">
        <f t="shared" si="75"/>
        <v>3.9205479452054797</v>
      </c>
      <c r="N169" s="21">
        <f t="shared" si="102"/>
        <v>0.59334676930330166</v>
      </c>
      <c r="O169" s="35">
        <v>489.17</v>
      </c>
      <c r="P169" s="35">
        <f t="shared" si="76"/>
        <v>2.6903467274930635</v>
      </c>
      <c r="Q169" s="35">
        <v>30</v>
      </c>
      <c r="R169" s="35">
        <f t="shared" si="77"/>
        <v>1.4913616938342726</v>
      </c>
      <c r="S169" s="45">
        <v>2.59</v>
      </c>
      <c r="T169" s="45">
        <f t="shared" si="103"/>
        <v>0.4132997640812518</v>
      </c>
      <c r="U169" s="175">
        <f t="shared" si="78"/>
        <v>1.5698924731182795</v>
      </c>
      <c r="V169" s="48">
        <f t="shared" si="79"/>
        <v>0.40991495239420256</v>
      </c>
      <c r="W169" s="35">
        <v>1669.0315000000001</v>
      </c>
      <c r="X169" s="35">
        <f t="shared" si="80"/>
        <v>3.2224645332922388</v>
      </c>
      <c r="Y169" s="35">
        <v>5094.7950000000001</v>
      </c>
      <c r="Z169" s="35">
        <f t="shared" si="81"/>
        <v>3.707126713924402</v>
      </c>
      <c r="AA169" s="37">
        <v>562.5</v>
      </c>
      <c r="AB169" s="37">
        <f t="shared" si="82"/>
        <v>2.7508939203821252</v>
      </c>
      <c r="AC169" s="35">
        <v>85</v>
      </c>
      <c r="AD169" s="35">
        <f t="shared" si="104"/>
        <v>1.9294189257142926</v>
      </c>
      <c r="AE169" s="48">
        <v>37.5</v>
      </c>
      <c r="AF169" s="48">
        <f t="shared" si="105"/>
        <v>1.5740312677277188</v>
      </c>
      <c r="AG169" s="43">
        <v>43.5008834269711</v>
      </c>
      <c r="AH169" s="43">
        <f t="shared" si="106"/>
        <v>1.6384980768066575</v>
      </c>
      <c r="AI169" s="39">
        <v>0.67</v>
      </c>
      <c r="AJ169" s="48">
        <f t="shared" si="83"/>
        <v>0.22271647114758325</v>
      </c>
      <c r="AK169" s="35">
        <v>17</v>
      </c>
      <c r="AL169" s="35">
        <f t="shared" si="107"/>
        <v>1.2304489213782739</v>
      </c>
      <c r="AM169" s="35">
        <f t="shared" si="84"/>
        <v>0</v>
      </c>
      <c r="AN169" s="35">
        <f t="shared" si="85"/>
        <v>0</v>
      </c>
      <c r="AO169" s="35">
        <f t="shared" si="86"/>
        <v>0</v>
      </c>
      <c r="AP169" s="35">
        <f t="shared" si="87"/>
        <v>0</v>
      </c>
      <c r="AQ169" s="35">
        <f t="shared" si="88"/>
        <v>0</v>
      </c>
      <c r="AR169" s="35">
        <f t="shared" si="89"/>
        <v>0</v>
      </c>
      <c r="AS169" s="35">
        <f t="shared" si="90"/>
        <v>0</v>
      </c>
      <c r="AT169" s="35">
        <f t="shared" si="91"/>
        <v>0</v>
      </c>
      <c r="AU169" s="35">
        <f t="shared" si="92"/>
        <v>0</v>
      </c>
      <c r="AV169" s="35">
        <f t="shared" si="93"/>
        <v>0</v>
      </c>
      <c r="AW169" s="35">
        <f t="shared" si="94"/>
        <v>0</v>
      </c>
      <c r="AX169" s="35">
        <f t="shared" si="95"/>
        <v>0</v>
      </c>
      <c r="AY169" s="35">
        <f t="shared" si="96"/>
        <v>1</v>
      </c>
      <c r="AZ169" s="35">
        <f t="shared" si="97"/>
        <v>0</v>
      </c>
      <c r="BA169" s="35">
        <f t="shared" si="98"/>
        <v>0</v>
      </c>
      <c r="BB169" s="35">
        <f t="shared" si="99"/>
        <v>0</v>
      </c>
      <c r="BC169" s="35">
        <f t="shared" si="100"/>
        <v>0</v>
      </c>
    </row>
    <row r="170" spans="1:55" s="35" customFormat="1" x14ac:dyDescent="0.35">
      <c r="A170" s="36">
        <v>37809</v>
      </c>
      <c r="B170" s="35" t="s">
        <v>401</v>
      </c>
      <c r="C170" s="35" t="s">
        <v>59</v>
      </c>
      <c r="D170" s="35" t="s">
        <v>45</v>
      </c>
      <c r="E170" s="35" t="s">
        <v>125</v>
      </c>
      <c r="F170" s="139">
        <f t="shared" si="73"/>
        <v>1</v>
      </c>
      <c r="G170" s="35">
        <v>26000000</v>
      </c>
      <c r="H170" s="139">
        <f t="shared" si="74"/>
        <v>7.4149733479708182</v>
      </c>
      <c r="I170" s="35">
        <v>26000000</v>
      </c>
      <c r="J170" s="35">
        <v>0</v>
      </c>
      <c r="K170" s="36">
        <v>38971</v>
      </c>
      <c r="L170" s="35">
        <v>139520000</v>
      </c>
      <c r="M170" s="21">
        <f t="shared" si="75"/>
        <v>3.1835616438356165</v>
      </c>
      <c r="N170" s="21">
        <f t="shared" si="102"/>
        <v>0.50291326359783728</v>
      </c>
      <c r="O170" s="35">
        <v>5897.96</v>
      </c>
      <c r="P170" s="35">
        <f t="shared" si="76"/>
        <v>3.7707754512906644</v>
      </c>
      <c r="Q170" s="35">
        <v>21</v>
      </c>
      <c r="R170" s="35">
        <f t="shared" si="77"/>
        <v>1.3424226808222062</v>
      </c>
      <c r="S170" s="45">
        <v>2.3199999999999998</v>
      </c>
      <c r="T170" s="45">
        <f t="shared" si="103"/>
        <v>0.36548798489089962</v>
      </c>
      <c r="U170" s="175">
        <f t="shared" si="78"/>
        <v>4.3661538461538463</v>
      </c>
      <c r="V170" s="48">
        <f t="shared" si="79"/>
        <v>0.72966311961767405</v>
      </c>
      <c r="W170" s="35">
        <v>1248.0746999999999</v>
      </c>
      <c r="X170" s="35">
        <f t="shared" si="80"/>
        <v>3.0962405795987471</v>
      </c>
      <c r="Y170" s="35">
        <v>2518.2170000000001</v>
      </c>
      <c r="Z170" s="35">
        <f t="shared" si="81"/>
        <v>3.4010931514437841</v>
      </c>
      <c r="AA170" s="37">
        <v>132</v>
      </c>
      <c r="AB170" s="37">
        <f t="shared" si="82"/>
        <v>2.1238516409670858</v>
      </c>
      <c r="AC170" s="35">
        <v>85</v>
      </c>
      <c r="AD170" s="35">
        <f t="shared" si="104"/>
        <v>1.9294189257142926</v>
      </c>
      <c r="AE170" s="48">
        <v>31.3</v>
      </c>
      <c r="AF170" s="48">
        <f t="shared" si="105"/>
        <v>1.4955443375464486</v>
      </c>
      <c r="AG170" s="43">
        <v>38.7850112673514</v>
      </c>
      <c r="AH170" s="43">
        <f t="shared" si="106"/>
        <v>1.5886639219461918</v>
      </c>
      <c r="AI170" s="39">
        <v>-0.08</v>
      </c>
      <c r="AJ170" s="48">
        <f t="shared" si="83"/>
        <v>-3.6212172654444715E-2</v>
      </c>
      <c r="AK170" s="35">
        <v>12</v>
      </c>
      <c r="AL170" s="35">
        <f t="shared" si="107"/>
        <v>1.0791812460476249</v>
      </c>
      <c r="AM170" s="35">
        <f t="shared" si="84"/>
        <v>0</v>
      </c>
      <c r="AN170" s="35">
        <f t="shared" si="85"/>
        <v>0</v>
      </c>
      <c r="AO170" s="35">
        <f t="shared" si="86"/>
        <v>1</v>
      </c>
      <c r="AP170" s="35">
        <f t="shared" si="87"/>
        <v>0</v>
      </c>
      <c r="AQ170" s="35">
        <f t="shared" si="88"/>
        <v>0</v>
      </c>
      <c r="AR170" s="35">
        <f t="shared" si="89"/>
        <v>0</v>
      </c>
      <c r="AS170" s="35">
        <f t="shared" si="90"/>
        <v>0</v>
      </c>
      <c r="AT170" s="35">
        <f t="shared" si="91"/>
        <v>0</v>
      </c>
      <c r="AU170" s="35">
        <f t="shared" si="92"/>
        <v>0</v>
      </c>
      <c r="AV170" s="35">
        <f t="shared" si="93"/>
        <v>0</v>
      </c>
      <c r="AW170" s="35">
        <f t="shared" si="94"/>
        <v>0</v>
      </c>
      <c r="AX170" s="35">
        <f t="shared" si="95"/>
        <v>0</v>
      </c>
      <c r="AY170" s="35">
        <f t="shared" si="96"/>
        <v>0</v>
      </c>
      <c r="AZ170" s="35">
        <f t="shared" si="97"/>
        <v>0</v>
      </c>
      <c r="BA170" s="35">
        <f t="shared" si="98"/>
        <v>0</v>
      </c>
      <c r="BB170" s="35">
        <f t="shared" si="99"/>
        <v>0</v>
      </c>
      <c r="BC170" s="35">
        <f t="shared" si="100"/>
        <v>0</v>
      </c>
    </row>
    <row r="171" spans="1:55" s="35" customFormat="1" x14ac:dyDescent="0.35">
      <c r="A171" s="36">
        <v>37818</v>
      </c>
      <c r="B171" s="35" t="s">
        <v>280</v>
      </c>
      <c r="C171" s="35" t="s">
        <v>2</v>
      </c>
      <c r="D171" s="35" t="s">
        <v>602</v>
      </c>
      <c r="E171" s="35" t="s">
        <v>64</v>
      </c>
      <c r="F171" s="139">
        <f t="shared" si="73"/>
        <v>1</v>
      </c>
      <c r="G171" s="35">
        <v>900000000</v>
      </c>
      <c r="H171" s="139">
        <f t="shared" si="74"/>
        <v>8.9542425094393252</v>
      </c>
      <c r="I171" s="35">
        <f>G171</f>
        <v>900000000</v>
      </c>
      <c r="J171" s="35">
        <v>0</v>
      </c>
      <c r="K171" s="36">
        <v>38833</v>
      </c>
      <c r="L171" s="35">
        <v>1300000000</v>
      </c>
      <c r="M171" s="21">
        <f t="shared" si="75"/>
        <v>2.7808219178082192</v>
      </c>
      <c r="N171" s="21">
        <f t="shared" si="102"/>
        <v>0.444173177792757</v>
      </c>
      <c r="O171" s="35">
        <v>6815.73</v>
      </c>
      <c r="P171" s="35">
        <f t="shared" si="76"/>
        <v>3.8335760926148099</v>
      </c>
      <c r="Q171" s="35">
        <v>2</v>
      </c>
      <c r="R171" s="35">
        <f t="shared" si="77"/>
        <v>0.47712125471966244</v>
      </c>
      <c r="S171" s="45">
        <v>2.85</v>
      </c>
      <c r="T171" s="45">
        <f t="shared" si="103"/>
        <v>0.45484486000851021</v>
      </c>
      <c r="U171" s="175">
        <f t="shared" si="78"/>
        <v>0.44444444444444442</v>
      </c>
      <c r="V171" s="48">
        <f t="shared" si="79"/>
        <v>0.15970084286751188</v>
      </c>
      <c r="W171" s="35">
        <v>2315.9650000000001</v>
      </c>
      <c r="X171" s="35">
        <f t="shared" si="80"/>
        <v>3.3647319918335836</v>
      </c>
      <c r="Y171" s="35">
        <v>3703.9029999999998</v>
      </c>
      <c r="Z171" s="35">
        <f t="shared" si="81"/>
        <v>3.568659604598353</v>
      </c>
      <c r="AA171" s="37">
        <v>819</v>
      </c>
      <c r="AB171" s="37">
        <f t="shared" si="82"/>
        <v>2.9138138523837167</v>
      </c>
      <c r="AC171" s="35">
        <v>70</v>
      </c>
      <c r="AD171" s="35">
        <f t="shared" si="104"/>
        <v>1.8450980400142569</v>
      </c>
      <c r="AE171" s="48">
        <v>34.6</v>
      </c>
      <c r="AF171" s="48">
        <f t="shared" si="105"/>
        <v>1.5390760987927767</v>
      </c>
      <c r="AG171" s="43">
        <v>47.8156192569637</v>
      </c>
      <c r="AH171" s="43">
        <f t="shared" si="106"/>
        <v>1.6795697846681461</v>
      </c>
      <c r="AI171" s="39">
        <v>-0.09</v>
      </c>
      <c r="AJ171" s="48">
        <f t="shared" si="83"/>
        <v>-4.0958607678906384E-2</v>
      </c>
      <c r="AK171" s="35">
        <v>19</v>
      </c>
      <c r="AL171" s="35">
        <f t="shared" si="107"/>
        <v>1.2787536009528289</v>
      </c>
      <c r="AM171" s="35">
        <f t="shared" si="84"/>
        <v>0</v>
      </c>
      <c r="AN171" s="35">
        <f t="shared" si="85"/>
        <v>0</v>
      </c>
      <c r="AO171" s="35">
        <f t="shared" si="86"/>
        <v>0</v>
      </c>
      <c r="AP171" s="35">
        <f t="shared" si="87"/>
        <v>0</v>
      </c>
      <c r="AQ171" s="35">
        <f t="shared" si="88"/>
        <v>0</v>
      </c>
      <c r="AR171" s="35">
        <f t="shared" si="89"/>
        <v>0</v>
      </c>
      <c r="AS171" s="35">
        <f t="shared" si="90"/>
        <v>0</v>
      </c>
      <c r="AT171" s="35">
        <f t="shared" si="91"/>
        <v>0</v>
      </c>
      <c r="AU171" s="35">
        <f t="shared" si="92"/>
        <v>0</v>
      </c>
      <c r="AV171" s="35">
        <f t="shared" si="93"/>
        <v>1</v>
      </c>
      <c r="AW171" s="35">
        <f t="shared" si="94"/>
        <v>0</v>
      </c>
      <c r="AX171" s="35">
        <f t="shared" si="95"/>
        <v>0</v>
      </c>
      <c r="AY171" s="35">
        <f t="shared" si="96"/>
        <v>0</v>
      </c>
      <c r="AZ171" s="35">
        <f t="shared" si="97"/>
        <v>0</v>
      </c>
      <c r="BA171" s="35">
        <f t="shared" si="98"/>
        <v>0</v>
      </c>
      <c r="BB171" s="35">
        <f t="shared" si="99"/>
        <v>0</v>
      </c>
      <c r="BC171" s="35">
        <f t="shared" si="100"/>
        <v>0</v>
      </c>
    </row>
    <row r="172" spans="1:55" s="35" customFormat="1" x14ac:dyDescent="0.35">
      <c r="A172" s="36">
        <v>37833</v>
      </c>
      <c r="B172" s="35" t="s">
        <v>208</v>
      </c>
      <c r="C172" s="35" t="s">
        <v>163</v>
      </c>
      <c r="D172" s="35" t="s">
        <v>59</v>
      </c>
      <c r="E172" s="35" t="s">
        <v>64</v>
      </c>
      <c r="F172" s="139">
        <f t="shared" si="73"/>
        <v>1</v>
      </c>
      <c r="G172" s="35">
        <v>138552000</v>
      </c>
      <c r="H172" s="139">
        <f t="shared" si="74"/>
        <v>8.1416127992102378</v>
      </c>
      <c r="I172" s="35">
        <f>G172</f>
        <v>138552000</v>
      </c>
      <c r="J172" s="35">
        <v>0</v>
      </c>
      <c r="K172" s="36">
        <v>38546</v>
      </c>
      <c r="L172" s="35">
        <v>263679000</v>
      </c>
      <c r="M172" s="21">
        <f t="shared" si="75"/>
        <v>1.9534246575342467</v>
      </c>
      <c r="N172" s="21">
        <f t="shared" si="102"/>
        <v>0.2907966653953909</v>
      </c>
      <c r="O172" s="35">
        <v>342.74</v>
      </c>
      <c r="P172" s="35">
        <f t="shared" si="76"/>
        <v>2.5362300726332561</v>
      </c>
      <c r="Q172" s="35">
        <v>13</v>
      </c>
      <c r="R172" s="35">
        <f t="shared" si="77"/>
        <v>1.146128035678238</v>
      </c>
      <c r="S172" s="45">
        <v>2.3199999999999998</v>
      </c>
      <c r="T172" s="45">
        <f t="shared" si="103"/>
        <v>0.36548798489089962</v>
      </c>
      <c r="U172" s="175">
        <f t="shared" si="78"/>
        <v>0.90310497141867319</v>
      </c>
      <c r="V172" s="48">
        <f t="shared" si="79"/>
        <v>0.27946274375238006</v>
      </c>
      <c r="W172" s="35">
        <v>3425.6694367497698</v>
      </c>
      <c r="X172" s="35">
        <f t="shared" si="80"/>
        <v>3.5347454529897258</v>
      </c>
      <c r="Y172" s="35">
        <v>9322.8685749461365</v>
      </c>
      <c r="Z172" s="35">
        <f t="shared" si="81"/>
        <v>3.9695495619878729</v>
      </c>
      <c r="AA172" s="37">
        <v>569.16666666666697</v>
      </c>
      <c r="AB172" s="37">
        <f t="shared" si="82"/>
        <v>2.756001823801419</v>
      </c>
      <c r="AC172" s="35">
        <v>70</v>
      </c>
      <c r="AD172" s="35">
        <f t="shared" si="104"/>
        <v>1.8450980400142569</v>
      </c>
      <c r="AE172" s="48">
        <v>42.2</v>
      </c>
      <c r="AF172" s="48">
        <f t="shared" si="105"/>
        <v>1.6253124509616739</v>
      </c>
      <c r="AG172" s="43">
        <v>53.270504198897903</v>
      </c>
      <c r="AH172" s="43">
        <f t="shared" si="106"/>
        <v>1.7264868073491786</v>
      </c>
      <c r="AI172" s="39">
        <v>-0.09</v>
      </c>
      <c r="AJ172" s="48">
        <f t="shared" si="83"/>
        <v>-4.0958607678906384E-2</v>
      </c>
      <c r="AK172" s="35">
        <v>14</v>
      </c>
      <c r="AL172" s="35">
        <f t="shared" si="107"/>
        <v>1.146128035678238</v>
      </c>
      <c r="AM172" s="35">
        <f t="shared" si="84"/>
        <v>0</v>
      </c>
      <c r="AN172" s="35">
        <f t="shared" si="85"/>
        <v>0</v>
      </c>
      <c r="AO172" s="35">
        <f t="shared" si="86"/>
        <v>0</v>
      </c>
      <c r="AP172" s="35">
        <f t="shared" si="87"/>
        <v>0</v>
      </c>
      <c r="AQ172" s="35">
        <f t="shared" si="88"/>
        <v>0</v>
      </c>
      <c r="AR172" s="35">
        <f t="shared" si="89"/>
        <v>0</v>
      </c>
      <c r="AS172" s="35">
        <f t="shared" si="90"/>
        <v>0</v>
      </c>
      <c r="AT172" s="35">
        <f t="shared" si="91"/>
        <v>1</v>
      </c>
      <c r="AU172" s="35">
        <f t="shared" si="92"/>
        <v>0</v>
      </c>
      <c r="AV172" s="35">
        <f t="shared" si="93"/>
        <v>0</v>
      </c>
      <c r="AW172" s="35">
        <f t="shared" si="94"/>
        <v>0</v>
      </c>
      <c r="AX172" s="35">
        <f t="shared" si="95"/>
        <v>0</v>
      </c>
      <c r="AY172" s="35">
        <f t="shared" si="96"/>
        <v>0</v>
      </c>
      <c r="AZ172" s="35">
        <f t="shared" si="97"/>
        <v>0</v>
      </c>
      <c r="BA172" s="35">
        <f t="shared" si="98"/>
        <v>0</v>
      </c>
      <c r="BB172" s="35">
        <f t="shared" si="99"/>
        <v>0</v>
      </c>
      <c r="BC172" s="35">
        <f t="shared" si="100"/>
        <v>0</v>
      </c>
    </row>
    <row r="173" spans="1:55" s="35" customFormat="1" x14ac:dyDescent="0.35">
      <c r="A173" s="36">
        <v>37837</v>
      </c>
      <c r="B173" s="35" t="s">
        <v>150</v>
      </c>
      <c r="C173" s="35" t="s">
        <v>2</v>
      </c>
      <c r="D173" s="35" t="s">
        <v>59</v>
      </c>
      <c r="E173" s="35" t="s">
        <v>125</v>
      </c>
      <c r="F173" s="139">
        <f t="shared" si="73"/>
        <v>1</v>
      </c>
      <c r="G173" s="35">
        <v>992590000</v>
      </c>
      <c r="H173" s="139">
        <f t="shared" si="74"/>
        <v>8.9967698955170619</v>
      </c>
      <c r="I173" s="35">
        <v>992590000</v>
      </c>
      <c r="J173" s="35">
        <v>0</v>
      </c>
      <c r="K173" s="36">
        <v>39164</v>
      </c>
      <c r="L173" s="35">
        <v>3189600000</v>
      </c>
      <c r="M173" s="21">
        <f t="shared" si="75"/>
        <v>3.6356164383561644</v>
      </c>
      <c r="N173" s="21">
        <f t="shared" si="102"/>
        <v>0.56057805840796082</v>
      </c>
      <c r="O173" s="35">
        <v>917.19</v>
      </c>
      <c r="P173" s="35">
        <f t="shared" si="76"/>
        <v>2.9629325585580042</v>
      </c>
      <c r="Q173" s="35">
        <v>46</v>
      </c>
      <c r="R173" s="35">
        <f t="shared" si="77"/>
        <v>1.6720978579357175</v>
      </c>
      <c r="S173" s="45">
        <v>2.62</v>
      </c>
      <c r="T173" s="45">
        <f t="shared" si="103"/>
        <v>0.41830129131974547</v>
      </c>
      <c r="U173" s="175">
        <f t="shared" si="78"/>
        <v>2.2134113783133014</v>
      </c>
      <c r="V173" s="48">
        <f t="shared" si="79"/>
        <v>0.50696632713727663</v>
      </c>
      <c r="W173" s="35">
        <v>1669.0315000000001</v>
      </c>
      <c r="X173" s="35">
        <f t="shared" si="80"/>
        <v>3.2224645332922388</v>
      </c>
      <c r="Y173" s="35">
        <v>5094.7950000000001</v>
      </c>
      <c r="Z173" s="35">
        <f t="shared" si="81"/>
        <v>3.707126713924402</v>
      </c>
      <c r="AA173" s="37">
        <v>854.66666666666697</v>
      </c>
      <c r="AB173" s="37">
        <f t="shared" si="82"/>
        <v>2.9323046139517812</v>
      </c>
      <c r="AC173" s="35">
        <v>70</v>
      </c>
      <c r="AD173" s="35">
        <f t="shared" si="104"/>
        <v>1.8450980400142569</v>
      </c>
      <c r="AE173" s="48">
        <v>34.6</v>
      </c>
      <c r="AF173" s="48">
        <f t="shared" si="105"/>
        <v>1.5390760987927767</v>
      </c>
      <c r="AG173" s="43">
        <v>47.8156192569637</v>
      </c>
      <c r="AH173" s="43">
        <f t="shared" si="106"/>
        <v>1.6795697846681461</v>
      </c>
      <c r="AI173" s="39">
        <v>0.47</v>
      </c>
      <c r="AJ173" s="48">
        <f t="shared" si="83"/>
        <v>0.16731733474817609</v>
      </c>
      <c r="AK173" s="35">
        <v>21</v>
      </c>
      <c r="AL173" s="35">
        <f t="shared" si="107"/>
        <v>1.3222192947339193</v>
      </c>
      <c r="AM173" s="35">
        <f t="shared" si="84"/>
        <v>0</v>
      </c>
      <c r="AN173" s="35">
        <f t="shared" si="85"/>
        <v>0</v>
      </c>
      <c r="AO173" s="35">
        <f t="shared" si="86"/>
        <v>0</v>
      </c>
      <c r="AP173" s="35">
        <f t="shared" si="87"/>
        <v>0</v>
      </c>
      <c r="AQ173" s="35">
        <f t="shared" si="88"/>
        <v>0</v>
      </c>
      <c r="AR173" s="35">
        <f t="shared" si="89"/>
        <v>0</v>
      </c>
      <c r="AS173" s="35">
        <f t="shared" si="90"/>
        <v>0</v>
      </c>
      <c r="AT173" s="35">
        <f t="shared" si="91"/>
        <v>0</v>
      </c>
      <c r="AU173" s="35">
        <f t="shared" si="92"/>
        <v>0</v>
      </c>
      <c r="AV173" s="35">
        <f t="shared" si="93"/>
        <v>1</v>
      </c>
      <c r="AW173" s="35">
        <f t="shared" si="94"/>
        <v>0</v>
      </c>
      <c r="AX173" s="35">
        <f t="shared" si="95"/>
        <v>0</v>
      </c>
      <c r="AY173" s="35">
        <f t="shared" si="96"/>
        <v>0</v>
      </c>
      <c r="AZ173" s="35">
        <f t="shared" si="97"/>
        <v>0</v>
      </c>
      <c r="BA173" s="35">
        <f t="shared" si="98"/>
        <v>0</v>
      </c>
      <c r="BB173" s="35">
        <f t="shared" si="99"/>
        <v>0</v>
      </c>
      <c r="BC173" s="35">
        <f t="shared" si="100"/>
        <v>0</v>
      </c>
    </row>
    <row r="174" spans="1:55" s="35" customFormat="1" x14ac:dyDescent="0.35">
      <c r="A174" s="36">
        <v>37845</v>
      </c>
      <c r="B174" s="35" t="s">
        <v>228</v>
      </c>
      <c r="C174" s="35" t="s">
        <v>2</v>
      </c>
      <c r="D174" s="35" t="s">
        <v>45</v>
      </c>
      <c r="E174" s="139" t="s">
        <v>64</v>
      </c>
      <c r="F174" s="139">
        <f t="shared" si="73"/>
        <v>1</v>
      </c>
      <c r="G174" s="35">
        <v>500000000</v>
      </c>
      <c r="H174" s="139">
        <f t="shared" si="74"/>
        <v>8.6989700043360187</v>
      </c>
      <c r="I174" s="35">
        <v>500000000</v>
      </c>
      <c r="J174" s="35">
        <v>0</v>
      </c>
      <c r="K174" s="36">
        <v>39199</v>
      </c>
      <c r="L174" s="35">
        <v>1450000000</v>
      </c>
      <c r="M174" s="21">
        <f t="shared" si="75"/>
        <v>3.7095890410958905</v>
      </c>
      <c r="N174" s="21">
        <f t="shared" si="102"/>
        <v>0.56932579989265086</v>
      </c>
      <c r="O174" s="35">
        <v>6815.73</v>
      </c>
      <c r="P174" s="35">
        <f t="shared" si="76"/>
        <v>3.8335760926148099</v>
      </c>
      <c r="Q174" s="35">
        <v>111</v>
      </c>
      <c r="R174" s="35">
        <f t="shared" si="77"/>
        <v>2.0492180226701815</v>
      </c>
      <c r="S174" s="45">
        <v>2.85</v>
      </c>
      <c r="T174" s="45">
        <f t="shared" si="103"/>
        <v>0.45484486000851021</v>
      </c>
      <c r="U174" s="175">
        <f t="shared" si="78"/>
        <v>1.9</v>
      </c>
      <c r="V174" s="48">
        <f t="shared" si="79"/>
        <v>0.46239799789895608</v>
      </c>
      <c r="W174" s="35">
        <v>2315.9650000000001</v>
      </c>
      <c r="X174" s="35">
        <f t="shared" si="80"/>
        <v>3.3647319918335836</v>
      </c>
      <c r="Y174" s="35">
        <v>3703.9029999999998</v>
      </c>
      <c r="Z174" s="35">
        <f t="shared" si="81"/>
        <v>3.568659604598353</v>
      </c>
      <c r="AA174" s="37">
        <v>819</v>
      </c>
      <c r="AB174" s="37">
        <f t="shared" si="82"/>
        <v>2.9138138523837167</v>
      </c>
      <c r="AC174" s="35">
        <v>70</v>
      </c>
      <c r="AD174" s="35">
        <f t="shared" si="104"/>
        <v>1.8450980400142569</v>
      </c>
      <c r="AE174" s="48">
        <v>34.6</v>
      </c>
      <c r="AF174" s="48">
        <f t="shared" si="105"/>
        <v>1.5390760987927767</v>
      </c>
      <c r="AG174" s="43">
        <v>47.8156192569637</v>
      </c>
      <c r="AH174" s="43">
        <f t="shared" si="106"/>
        <v>1.6795697846681461</v>
      </c>
      <c r="AI174" s="39">
        <v>-0.06</v>
      </c>
      <c r="AJ174" s="48">
        <f t="shared" si="83"/>
        <v>-2.6872146400301365E-2</v>
      </c>
      <c r="AK174" s="35">
        <v>19</v>
      </c>
      <c r="AL174" s="35">
        <f t="shared" si="107"/>
        <v>1.2787536009528289</v>
      </c>
      <c r="AM174" s="35">
        <f t="shared" si="84"/>
        <v>0</v>
      </c>
      <c r="AN174" s="35">
        <f t="shared" si="85"/>
        <v>0</v>
      </c>
      <c r="AO174" s="35">
        <f t="shared" si="86"/>
        <v>0</v>
      </c>
      <c r="AP174" s="35">
        <f t="shared" si="87"/>
        <v>0</v>
      </c>
      <c r="AQ174" s="35">
        <f t="shared" si="88"/>
        <v>0</v>
      </c>
      <c r="AR174" s="35">
        <f t="shared" si="89"/>
        <v>0</v>
      </c>
      <c r="AS174" s="35">
        <f t="shared" si="90"/>
        <v>0</v>
      </c>
      <c r="AT174" s="35">
        <f t="shared" si="91"/>
        <v>0</v>
      </c>
      <c r="AU174" s="35">
        <f t="shared" si="92"/>
        <v>0</v>
      </c>
      <c r="AV174" s="35">
        <f t="shared" si="93"/>
        <v>1</v>
      </c>
      <c r="AW174" s="35">
        <f t="shared" si="94"/>
        <v>0</v>
      </c>
      <c r="AX174" s="35">
        <f t="shared" si="95"/>
        <v>0</v>
      </c>
      <c r="AY174" s="35">
        <f t="shared" si="96"/>
        <v>0</v>
      </c>
      <c r="AZ174" s="35">
        <f t="shared" si="97"/>
        <v>0</v>
      </c>
      <c r="BA174" s="35">
        <f t="shared" si="98"/>
        <v>0</v>
      </c>
      <c r="BB174" s="35">
        <f t="shared" si="99"/>
        <v>0</v>
      </c>
      <c r="BC174" s="35">
        <f t="shared" si="100"/>
        <v>0</v>
      </c>
    </row>
    <row r="175" spans="1:55" s="35" customFormat="1" x14ac:dyDescent="0.35">
      <c r="A175" s="36">
        <v>37860</v>
      </c>
      <c r="B175" s="35" t="s">
        <v>1136</v>
      </c>
      <c r="C175" s="35" t="s">
        <v>59</v>
      </c>
      <c r="D175" s="35" t="s">
        <v>577</v>
      </c>
      <c r="E175" s="35" t="s">
        <v>47</v>
      </c>
      <c r="F175" s="139">
        <f t="shared" si="73"/>
        <v>0</v>
      </c>
      <c r="G175" s="35">
        <v>73000000</v>
      </c>
      <c r="H175" s="139">
        <f t="shared" si="74"/>
        <v>7.8633228601204559</v>
      </c>
      <c r="I175" s="35">
        <f>G175</f>
        <v>73000000</v>
      </c>
      <c r="J175" s="35">
        <v>0</v>
      </c>
      <c r="K175" s="36">
        <v>38548</v>
      </c>
      <c r="L175" s="35">
        <v>170000000</v>
      </c>
      <c r="M175" s="21">
        <f t="shared" si="75"/>
        <v>1.8849315068493151</v>
      </c>
      <c r="N175" s="21">
        <f t="shared" si="102"/>
        <v>0.27529557377903663</v>
      </c>
      <c r="O175" s="35">
        <v>0</v>
      </c>
      <c r="P175" s="35">
        <f t="shared" si="76"/>
        <v>0</v>
      </c>
      <c r="Q175" s="35">
        <v>30</v>
      </c>
      <c r="R175" s="35">
        <f t="shared" si="77"/>
        <v>1.4913616938342726</v>
      </c>
      <c r="S175" s="45">
        <v>3.29</v>
      </c>
      <c r="T175" s="45">
        <f t="shared" si="103"/>
        <v>0.51719589794997434</v>
      </c>
      <c r="U175" s="175">
        <f t="shared" si="78"/>
        <v>1.3287671232876712</v>
      </c>
      <c r="V175" s="48">
        <f t="shared" si="79"/>
        <v>0.36712606125781805</v>
      </c>
      <c r="W175" s="35">
        <v>1801.1079999999999</v>
      </c>
      <c r="X175" s="35">
        <f t="shared" si="80"/>
        <v>3.2555397552391718</v>
      </c>
      <c r="Y175" s="35">
        <v>8416.6209999999992</v>
      </c>
      <c r="Z175" s="35">
        <f t="shared" si="81"/>
        <v>3.9251377713585649</v>
      </c>
      <c r="AA175" s="37">
        <v>0</v>
      </c>
      <c r="AB175" s="37">
        <f t="shared" si="82"/>
        <v>0</v>
      </c>
      <c r="AC175" s="35">
        <v>85</v>
      </c>
      <c r="AD175" s="35">
        <f t="shared" si="104"/>
        <v>1.9294189257142926</v>
      </c>
      <c r="AE175" s="48">
        <v>31.3</v>
      </c>
      <c r="AF175" s="48">
        <f t="shared" si="105"/>
        <v>1.4955443375464486</v>
      </c>
      <c r="AG175" s="43">
        <v>38.7850112673514</v>
      </c>
      <c r="AH175" s="43">
        <f t="shared" si="106"/>
        <v>1.5886639219461918</v>
      </c>
      <c r="AI175" s="39">
        <v>0.23</v>
      </c>
      <c r="AJ175" s="48">
        <f t="shared" si="83"/>
        <v>8.9905111439397931E-2</v>
      </c>
      <c r="AK175" s="35">
        <v>18</v>
      </c>
      <c r="AL175" s="35">
        <f t="shared" si="107"/>
        <v>1.255272505103306</v>
      </c>
      <c r="AM175" s="35">
        <f t="shared" si="84"/>
        <v>0</v>
      </c>
      <c r="AN175" s="35">
        <f t="shared" si="85"/>
        <v>0</v>
      </c>
      <c r="AO175" s="35">
        <f t="shared" si="86"/>
        <v>1</v>
      </c>
      <c r="AP175" s="35">
        <f t="shared" si="87"/>
        <v>0</v>
      </c>
      <c r="AQ175" s="35">
        <f t="shared" si="88"/>
        <v>0</v>
      </c>
      <c r="AR175" s="35">
        <f t="shared" si="89"/>
        <v>0</v>
      </c>
      <c r="AS175" s="35">
        <f t="shared" si="90"/>
        <v>0</v>
      </c>
      <c r="AT175" s="35">
        <f t="shared" si="91"/>
        <v>0</v>
      </c>
      <c r="AU175" s="35">
        <f t="shared" si="92"/>
        <v>0</v>
      </c>
      <c r="AV175" s="35">
        <f t="shared" si="93"/>
        <v>0</v>
      </c>
      <c r="AW175" s="35">
        <f t="shared" si="94"/>
        <v>0</v>
      </c>
      <c r="AX175" s="35">
        <f t="shared" si="95"/>
        <v>0</v>
      </c>
      <c r="AY175" s="35">
        <f t="shared" si="96"/>
        <v>0</v>
      </c>
      <c r="AZ175" s="35">
        <f t="shared" si="97"/>
        <v>0</v>
      </c>
      <c r="BA175" s="35">
        <f t="shared" si="98"/>
        <v>0</v>
      </c>
      <c r="BB175" s="35">
        <f t="shared" si="99"/>
        <v>0</v>
      </c>
      <c r="BC175" s="35">
        <f t="shared" si="100"/>
        <v>0</v>
      </c>
    </row>
    <row r="176" spans="1:55" s="35" customFormat="1" x14ac:dyDescent="0.35">
      <c r="A176" s="36">
        <v>37861</v>
      </c>
      <c r="B176" s="35" t="s">
        <v>1135</v>
      </c>
      <c r="C176" s="35" t="s">
        <v>59</v>
      </c>
      <c r="D176" s="35" t="s">
        <v>577</v>
      </c>
      <c r="E176" s="35" t="s">
        <v>47</v>
      </c>
      <c r="F176" s="139">
        <f t="shared" si="73"/>
        <v>0</v>
      </c>
      <c r="G176" s="35">
        <v>50800000</v>
      </c>
      <c r="H176" s="139">
        <f t="shared" si="74"/>
        <v>7.7058637122839189</v>
      </c>
      <c r="I176" s="35">
        <f>G176</f>
        <v>50800000</v>
      </c>
      <c r="J176" s="35">
        <v>0</v>
      </c>
      <c r="K176" s="36">
        <v>38798</v>
      </c>
      <c r="L176" s="35">
        <v>320000000</v>
      </c>
      <c r="M176" s="21">
        <f t="shared" si="75"/>
        <v>2.5671232876712327</v>
      </c>
      <c r="N176" s="21">
        <f t="shared" si="102"/>
        <v>0.40944672643130353</v>
      </c>
      <c r="O176" s="35">
        <v>0</v>
      </c>
      <c r="P176" s="35">
        <f t="shared" si="76"/>
        <v>0</v>
      </c>
      <c r="Q176" s="35">
        <v>15</v>
      </c>
      <c r="R176" s="35">
        <f t="shared" si="77"/>
        <v>1.2041199826559248</v>
      </c>
      <c r="S176" s="45">
        <v>3.29</v>
      </c>
      <c r="T176" s="45">
        <f t="shared" si="103"/>
        <v>0.51719589794997434</v>
      </c>
      <c r="U176" s="175">
        <f t="shared" si="78"/>
        <v>5.2992125984251972</v>
      </c>
      <c r="V176" s="48">
        <f t="shared" si="79"/>
        <v>0.79928626603598674</v>
      </c>
      <c r="W176" s="35">
        <v>1801.1079999999999</v>
      </c>
      <c r="X176" s="35">
        <f t="shared" si="80"/>
        <v>3.2555397552391718</v>
      </c>
      <c r="Y176" s="35">
        <v>8416.6209999999992</v>
      </c>
      <c r="Z176" s="35">
        <f t="shared" si="81"/>
        <v>3.9251377713585649</v>
      </c>
      <c r="AA176" s="37">
        <v>0</v>
      </c>
      <c r="AB176" s="37">
        <f t="shared" si="82"/>
        <v>0</v>
      </c>
      <c r="AC176" s="35">
        <v>85</v>
      </c>
      <c r="AD176" s="35">
        <f t="shared" si="104"/>
        <v>1.9294189257142926</v>
      </c>
      <c r="AE176" s="48">
        <v>31.3</v>
      </c>
      <c r="AF176" s="48">
        <f t="shared" si="105"/>
        <v>1.4955443375464486</v>
      </c>
      <c r="AG176" s="43">
        <v>38.7850112673514</v>
      </c>
      <c r="AH176" s="43">
        <f t="shared" si="106"/>
        <v>1.5886639219461918</v>
      </c>
      <c r="AI176" s="39">
        <v>-0.22</v>
      </c>
      <c r="AJ176" s="48">
        <f t="shared" si="83"/>
        <v>-0.10790539730951958</v>
      </c>
      <c r="AK176" s="35">
        <v>13</v>
      </c>
      <c r="AL176" s="35">
        <f t="shared" si="107"/>
        <v>1.1139433523068367</v>
      </c>
      <c r="AM176" s="35">
        <f t="shared" si="84"/>
        <v>0</v>
      </c>
      <c r="AN176" s="35">
        <f t="shared" si="85"/>
        <v>0</v>
      </c>
      <c r="AO176" s="35">
        <f t="shared" si="86"/>
        <v>1</v>
      </c>
      <c r="AP176" s="35">
        <f t="shared" si="87"/>
        <v>0</v>
      </c>
      <c r="AQ176" s="35">
        <f t="shared" si="88"/>
        <v>0</v>
      </c>
      <c r="AR176" s="35">
        <f t="shared" si="89"/>
        <v>0</v>
      </c>
      <c r="AS176" s="35">
        <f t="shared" si="90"/>
        <v>0</v>
      </c>
      <c r="AT176" s="35">
        <f t="shared" si="91"/>
        <v>0</v>
      </c>
      <c r="AU176" s="35">
        <f t="shared" si="92"/>
        <v>0</v>
      </c>
      <c r="AV176" s="35">
        <f t="shared" si="93"/>
        <v>0</v>
      </c>
      <c r="AW176" s="35">
        <f t="shared" si="94"/>
        <v>0</v>
      </c>
      <c r="AX176" s="35">
        <f t="shared" si="95"/>
        <v>0</v>
      </c>
      <c r="AY176" s="35">
        <f t="shared" si="96"/>
        <v>0</v>
      </c>
      <c r="AZ176" s="35">
        <f t="shared" si="97"/>
        <v>0</v>
      </c>
      <c r="BA176" s="35">
        <f t="shared" si="98"/>
        <v>0</v>
      </c>
      <c r="BB176" s="35">
        <f t="shared" si="99"/>
        <v>0</v>
      </c>
      <c r="BC176" s="35">
        <f t="shared" si="100"/>
        <v>0</v>
      </c>
    </row>
    <row r="177" spans="1:55" s="35" customFormat="1" x14ac:dyDescent="0.35">
      <c r="A177" s="36">
        <v>37873</v>
      </c>
      <c r="B177" s="35" t="s">
        <v>1133</v>
      </c>
      <c r="C177" s="35" t="s">
        <v>59</v>
      </c>
      <c r="D177" s="35" t="s">
        <v>577</v>
      </c>
      <c r="E177" s="35" t="s">
        <v>47</v>
      </c>
      <c r="F177" s="139">
        <f t="shared" si="73"/>
        <v>0</v>
      </c>
      <c r="G177" s="35">
        <v>50000000</v>
      </c>
      <c r="H177" s="139">
        <f t="shared" si="74"/>
        <v>7.6989700043360187</v>
      </c>
      <c r="I177" s="35">
        <f>G177</f>
        <v>50000000</v>
      </c>
      <c r="J177" s="35">
        <v>0</v>
      </c>
      <c r="K177" s="36">
        <v>38743</v>
      </c>
      <c r="L177" s="35">
        <v>80000000</v>
      </c>
      <c r="M177" s="21">
        <f t="shared" si="75"/>
        <v>2.3835616438356166</v>
      </c>
      <c r="N177" s="21">
        <f t="shared" si="102"/>
        <v>0.37722638816214388</v>
      </c>
      <c r="O177" s="35">
        <v>0</v>
      </c>
      <c r="P177" s="35">
        <f t="shared" si="76"/>
        <v>0</v>
      </c>
      <c r="Q177" s="35">
        <v>0</v>
      </c>
      <c r="R177" s="35">
        <f t="shared" si="77"/>
        <v>0</v>
      </c>
      <c r="S177" s="45">
        <v>3.29</v>
      </c>
      <c r="T177" s="45">
        <f t="shared" si="103"/>
        <v>0.51719589794997434</v>
      </c>
      <c r="U177" s="175">
        <f t="shared" si="78"/>
        <v>0.60000000000000009</v>
      </c>
      <c r="V177" s="48">
        <f t="shared" si="79"/>
        <v>0.20411998265592479</v>
      </c>
      <c r="W177" s="35">
        <v>1801.1079999999999</v>
      </c>
      <c r="X177" s="35">
        <f t="shared" si="80"/>
        <v>3.2555397552391718</v>
      </c>
      <c r="Y177" s="35">
        <v>8416.6209999999992</v>
      </c>
      <c r="Z177" s="35">
        <f t="shared" si="81"/>
        <v>3.9251377713585649</v>
      </c>
      <c r="AA177" s="37">
        <v>0</v>
      </c>
      <c r="AB177" s="37">
        <f t="shared" si="82"/>
        <v>0</v>
      </c>
      <c r="AC177" s="35">
        <v>85</v>
      </c>
      <c r="AD177" s="35">
        <f t="shared" si="104"/>
        <v>1.9294189257142926</v>
      </c>
      <c r="AE177" s="48">
        <v>31.3</v>
      </c>
      <c r="AF177" s="48">
        <f t="shared" si="105"/>
        <v>1.4955443375464486</v>
      </c>
      <c r="AG177" s="43">
        <v>38.7850112673514</v>
      </c>
      <c r="AH177" s="43">
        <f t="shared" si="106"/>
        <v>1.5886639219461918</v>
      </c>
      <c r="AI177" s="39">
        <v>0.33</v>
      </c>
      <c r="AJ177" s="48">
        <f t="shared" si="83"/>
        <v>0.12385164096708581</v>
      </c>
      <c r="AK177" s="35">
        <v>11</v>
      </c>
      <c r="AL177" s="35">
        <f t="shared" si="107"/>
        <v>1.0413926851582251</v>
      </c>
      <c r="AM177" s="35">
        <f t="shared" si="84"/>
        <v>0</v>
      </c>
      <c r="AN177" s="35">
        <f t="shared" si="85"/>
        <v>0</v>
      </c>
      <c r="AO177" s="35">
        <f t="shared" si="86"/>
        <v>1</v>
      </c>
      <c r="AP177" s="35">
        <f t="shared" si="87"/>
        <v>0</v>
      </c>
      <c r="AQ177" s="35">
        <f t="shared" si="88"/>
        <v>0</v>
      </c>
      <c r="AR177" s="35">
        <f t="shared" si="89"/>
        <v>0</v>
      </c>
      <c r="AS177" s="35">
        <f t="shared" si="90"/>
        <v>0</v>
      </c>
      <c r="AT177" s="35">
        <f t="shared" si="91"/>
        <v>0</v>
      </c>
      <c r="AU177" s="35">
        <f t="shared" si="92"/>
        <v>0</v>
      </c>
      <c r="AV177" s="35">
        <f t="shared" si="93"/>
        <v>0</v>
      </c>
      <c r="AW177" s="35">
        <f t="shared" si="94"/>
        <v>0</v>
      </c>
      <c r="AX177" s="35">
        <f t="shared" si="95"/>
        <v>0</v>
      </c>
      <c r="AY177" s="35">
        <f t="shared" si="96"/>
        <v>0</v>
      </c>
      <c r="AZ177" s="35">
        <f t="shared" si="97"/>
        <v>0</v>
      </c>
      <c r="BA177" s="35">
        <f t="shared" si="98"/>
        <v>0</v>
      </c>
      <c r="BB177" s="35">
        <f t="shared" si="99"/>
        <v>0</v>
      </c>
      <c r="BC177" s="35">
        <f t="shared" si="100"/>
        <v>0</v>
      </c>
    </row>
    <row r="178" spans="1:55" s="35" customFormat="1" x14ac:dyDescent="0.35">
      <c r="A178" s="36">
        <v>37894</v>
      </c>
      <c r="B178" s="35" t="s">
        <v>431</v>
      </c>
      <c r="C178" s="35" t="s">
        <v>163</v>
      </c>
      <c r="D178" s="35" t="s">
        <v>59</v>
      </c>
      <c r="E178" s="35" t="s">
        <v>125</v>
      </c>
      <c r="F178" s="139">
        <f t="shared" si="73"/>
        <v>1</v>
      </c>
      <c r="G178" s="35">
        <v>520000000</v>
      </c>
      <c r="H178" s="139">
        <f t="shared" si="74"/>
        <v>8.7160033436347994</v>
      </c>
      <c r="I178" s="35">
        <f>G178</f>
        <v>520000000</v>
      </c>
      <c r="J178" s="35">
        <v>0</v>
      </c>
      <c r="K178" s="36">
        <v>38717</v>
      </c>
      <c r="L178" s="35">
        <v>893000000</v>
      </c>
      <c r="M178" s="21">
        <f t="shared" si="75"/>
        <v>2.2547945205479452</v>
      </c>
      <c r="N178" s="21">
        <f t="shared" si="102"/>
        <v>0.35310697075579511</v>
      </c>
      <c r="O178" s="35">
        <v>342.74</v>
      </c>
      <c r="P178" s="35">
        <f t="shared" si="76"/>
        <v>2.5362300726332561</v>
      </c>
      <c r="Q178" s="35">
        <v>68</v>
      </c>
      <c r="R178" s="35">
        <f t="shared" si="77"/>
        <v>1.8388490907372552</v>
      </c>
      <c r="S178" s="45">
        <v>2.3199999999999998</v>
      </c>
      <c r="T178" s="45">
        <f t="shared" si="103"/>
        <v>0.36548798489089962</v>
      </c>
      <c r="U178" s="175">
        <f t="shared" si="78"/>
        <v>0.7173076923076922</v>
      </c>
      <c r="V178" s="48">
        <f t="shared" si="79"/>
        <v>0.23484811525374724</v>
      </c>
      <c r="W178" s="35">
        <v>2094.0408163265306</v>
      </c>
      <c r="X178" s="35">
        <f t="shared" si="80"/>
        <v>3.3209851425446502</v>
      </c>
      <c r="Y178" s="35">
        <v>9886.3673469387759</v>
      </c>
      <c r="Z178" s="35">
        <f t="shared" si="81"/>
        <v>3.9950367434689285</v>
      </c>
      <c r="AA178" s="37">
        <v>569.16666666666697</v>
      </c>
      <c r="AB178" s="37">
        <f t="shared" si="82"/>
        <v>2.756001823801419</v>
      </c>
      <c r="AC178" s="35">
        <v>70</v>
      </c>
      <c r="AD178" s="35">
        <f t="shared" si="104"/>
        <v>1.8450980400142569</v>
      </c>
      <c r="AE178" s="48">
        <v>42.2</v>
      </c>
      <c r="AF178" s="48">
        <f t="shared" si="105"/>
        <v>1.6253124509616739</v>
      </c>
      <c r="AG178" s="43">
        <v>53.270504198897903</v>
      </c>
      <c r="AH178" s="43">
        <f t="shared" si="106"/>
        <v>1.7264868073491786</v>
      </c>
      <c r="AI178" s="39">
        <v>0.93</v>
      </c>
      <c r="AJ178" s="48">
        <f t="shared" si="83"/>
        <v>0.28555730900777382</v>
      </c>
      <c r="AK178" s="35">
        <v>25</v>
      </c>
      <c r="AL178" s="35">
        <f t="shared" si="107"/>
        <v>1.3979400086720377</v>
      </c>
      <c r="AM178" s="35">
        <f t="shared" si="84"/>
        <v>0</v>
      </c>
      <c r="AN178" s="35">
        <f t="shared" si="85"/>
        <v>0</v>
      </c>
      <c r="AO178" s="35">
        <f t="shared" si="86"/>
        <v>0</v>
      </c>
      <c r="AP178" s="35">
        <f t="shared" si="87"/>
        <v>0</v>
      </c>
      <c r="AQ178" s="35">
        <f t="shared" si="88"/>
        <v>0</v>
      </c>
      <c r="AR178" s="35">
        <f t="shared" si="89"/>
        <v>0</v>
      </c>
      <c r="AS178" s="35">
        <f t="shared" si="90"/>
        <v>0</v>
      </c>
      <c r="AT178" s="35">
        <f t="shared" si="91"/>
        <v>1</v>
      </c>
      <c r="AU178" s="35">
        <f t="shared" si="92"/>
        <v>0</v>
      </c>
      <c r="AV178" s="35">
        <f t="shared" si="93"/>
        <v>0</v>
      </c>
      <c r="AW178" s="35">
        <f t="shared" si="94"/>
        <v>0</v>
      </c>
      <c r="AX178" s="35">
        <f t="shared" si="95"/>
        <v>0</v>
      </c>
      <c r="AY178" s="35">
        <f t="shared" si="96"/>
        <v>0</v>
      </c>
      <c r="AZ178" s="35">
        <f t="shared" si="97"/>
        <v>0</v>
      </c>
      <c r="BA178" s="35">
        <f t="shared" si="98"/>
        <v>0</v>
      </c>
      <c r="BB178" s="35">
        <f t="shared" si="99"/>
        <v>0</v>
      </c>
      <c r="BC178" s="35">
        <f t="shared" si="100"/>
        <v>0</v>
      </c>
    </row>
    <row r="179" spans="1:55" s="35" customFormat="1" x14ac:dyDescent="0.35">
      <c r="A179" s="36">
        <v>37900</v>
      </c>
      <c r="B179" s="35" t="s">
        <v>1188</v>
      </c>
      <c r="C179" s="35" t="s">
        <v>59</v>
      </c>
      <c r="D179" s="35" t="s">
        <v>602</v>
      </c>
      <c r="E179" s="35" t="s">
        <v>64</v>
      </c>
      <c r="F179" s="139">
        <f t="shared" si="73"/>
        <v>1</v>
      </c>
      <c r="G179" s="35">
        <v>49080000</v>
      </c>
      <c r="H179" s="139">
        <f t="shared" si="74"/>
        <v>7.690904554054967</v>
      </c>
      <c r="I179" s="35">
        <f>G179</f>
        <v>49080000</v>
      </c>
      <c r="J179" s="35">
        <v>0</v>
      </c>
      <c r="K179" s="36">
        <v>40616</v>
      </c>
      <c r="L179" s="35">
        <v>128000000</v>
      </c>
      <c r="M179" s="21">
        <f t="shared" si="75"/>
        <v>7.441095890410959</v>
      </c>
      <c r="N179" s="21">
        <f t="shared" si="102"/>
        <v>0.87163690115198933</v>
      </c>
      <c r="O179" s="35">
        <v>5897.96</v>
      </c>
      <c r="P179" s="35">
        <f t="shared" si="76"/>
        <v>3.7707754512906644</v>
      </c>
      <c r="Q179" s="35">
        <v>3</v>
      </c>
      <c r="R179" s="35">
        <f t="shared" si="77"/>
        <v>0.6020599913279624</v>
      </c>
      <c r="S179" s="45">
        <v>2.3199999999999998</v>
      </c>
      <c r="T179" s="45">
        <f t="shared" si="103"/>
        <v>0.36548798489089962</v>
      </c>
      <c r="U179" s="175">
        <f t="shared" si="78"/>
        <v>1.6079869600651997</v>
      </c>
      <c r="V179" s="48">
        <f t="shared" si="79"/>
        <v>0.41630541559290174</v>
      </c>
      <c r="W179" s="35">
        <v>2446.450593263969</v>
      </c>
      <c r="X179" s="35">
        <f t="shared" si="80"/>
        <v>3.3885364494891754</v>
      </c>
      <c r="Y179" s="35">
        <v>6578.8244872547029</v>
      </c>
      <c r="Z179" s="35">
        <f t="shared" si="81"/>
        <v>3.818148300254375</v>
      </c>
      <c r="AA179" s="35">
        <v>132</v>
      </c>
      <c r="AB179" s="37">
        <f t="shared" si="82"/>
        <v>2.1238516409670858</v>
      </c>
      <c r="AC179" s="35">
        <v>85</v>
      </c>
      <c r="AD179" s="35">
        <f t="shared" si="104"/>
        <v>1.9294189257142926</v>
      </c>
      <c r="AE179" s="48">
        <v>31.3</v>
      </c>
      <c r="AF179" s="48">
        <f t="shared" si="105"/>
        <v>1.4955443375464486</v>
      </c>
      <c r="AG179" s="43">
        <v>38.7850112673514</v>
      </c>
      <c r="AH179" s="43">
        <f t="shared" si="106"/>
        <v>1.5886639219461918</v>
      </c>
      <c r="AI179" s="39">
        <v>0.05</v>
      </c>
      <c r="AJ179" s="48">
        <f t="shared" si="83"/>
        <v>2.1189299069938092E-2</v>
      </c>
      <c r="AK179" s="35">
        <v>21</v>
      </c>
      <c r="AL179" s="35">
        <f t="shared" si="107"/>
        <v>1.3222192947339193</v>
      </c>
      <c r="AM179" s="35">
        <f t="shared" si="84"/>
        <v>0</v>
      </c>
      <c r="AN179" s="35">
        <f t="shared" si="85"/>
        <v>0</v>
      </c>
      <c r="AO179" s="35">
        <f t="shared" si="86"/>
        <v>1</v>
      </c>
      <c r="AP179" s="35">
        <f t="shared" si="87"/>
        <v>0</v>
      </c>
      <c r="AQ179" s="35">
        <f t="shared" si="88"/>
        <v>0</v>
      </c>
      <c r="AR179" s="35">
        <f t="shared" si="89"/>
        <v>0</v>
      </c>
      <c r="AS179" s="35">
        <f t="shared" si="90"/>
        <v>0</v>
      </c>
      <c r="AT179" s="35">
        <f t="shared" si="91"/>
        <v>0</v>
      </c>
      <c r="AU179" s="35">
        <f t="shared" si="92"/>
        <v>0</v>
      </c>
      <c r="AV179" s="35">
        <f t="shared" si="93"/>
        <v>0</v>
      </c>
      <c r="AW179" s="35">
        <f t="shared" si="94"/>
        <v>0</v>
      </c>
      <c r="AX179" s="35">
        <f t="shared" si="95"/>
        <v>0</v>
      </c>
      <c r="AY179" s="35">
        <f t="shared" si="96"/>
        <v>0</v>
      </c>
      <c r="AZ179" s="35">
        <f t="shared" si="97"/>
        <v>0</v>
      </c>
      <c r="BA179" s="35">
        <f t="shared" si="98"/>
        <v>0</v>
      </c>
      <c r="BB179" s="35">
        <f t="shared" si="99"/>
        <v>0</v>
      </c>
      <c r="BC179" s="35">
        <f t="shared" si="100"/>
        <v>0</v>
      </c>
    </row>
    <row r="180" spans="1:55" s="35" customFormat="1" x14ac:dyDescent="0.35">
      <c r="A180" s="36">
        <v>37917</v>
      </c>
      <c r="B180" s="35" t="s">
        <v>165</v>
      </c>
      <c r="C180" s="35" t="s">
        <v>163</v>
      </c>
      <c r="D180" s="35" t="s">
        <v>59</v>
      </c>
      <c r="E180" s="35" t="s">
        <v>125</v>
      </c>
      <c r="F180" s="139">
        <f t="shared" si="73"/>
        <v>1</v>
      </c>
      <c r="G180" s="35">
        <v>330000000</v>
      </c>
      <c r="H180" s="139">
        <f t="shared" si="74"/>
        <v>8.518513939877888</v>
      </c>
      <c r="I180" s="35">
        <v>330000000</v>
      </c>
      <c r="J180" s="35">
        <v>0</v>
      </c>
      <c r="K180" s="36">
        <v>38814</v>
      </c>
      <c r="L180" s="35">
        <v>750000000</v>
      </c>
      <c r="M180" s="21">
        <f t="shared" si="75"/>
        <v>2.4575342465753423</v>
      </c>
      <c r="N180" s="21">
        <f t="shared" si="102"/>
        <v>0.39049957858761736</v>
      </c>
      <c r="O180" s="35">
        <v>342.74</v>
      </c>
      <c r="P180" s="35">
        <f t="shared" si="76"/>
        <v>2.5362300726332561</v>
      </c>
      <c r="Q180" s="35">
        <v>35</v>
      </c>
      <c r="R180" s="35">
        <f t="shared" si="77"/>
        <v>1.5563025007672873</v>
      </c>
      <c r="S180" s="45">
        <v>2.3199999999999998</v>
      </c>
      <c r="T180" s="45">
        <f t="shared" si="103"/>
        <v>0.36548798489089962</v>
      </c>
      <c r="U180" s="175">
        <f t="shared" si="78"/>
        <v>1.2727272727272729</v>
      </c>
      <c r="V180" s="48">
        <f t="shared" si="79"/>
        <v>0.35654732351381263</v>
      </c>
      <c r="W180" s="35">
        <v>1801.1079999999999</v>
      </c>
      <c r="X180" s="35">
        <f t="shared" si="80"/>
        <v>3.2555397552391718</v>
      </c>
      <c r="Y180" s="35">
        <v>8416.6209999999992</v>
      </c>
      <c r="Z180" s="35">
        <f t="shared" si="81"/>
        <v>3.9251377713585649</v>
      </c>
      <c r="AA180" s="37">
        <v>569.16666666666697</v>
      </c>
      <c r="AB180" s="37">
        <f t="shared" si="82"/>
        <v>2.756001823801419</v>
      </c>
      <c r="AC180" s="35">
        <v>70</v>
      </c>
      <c r="AD180" s="35">
        <f t="shared" si="104"/>
        <v>1.8450980400142569</v>
      </c>
      <c r="AE180" s="48">
        <v>42.2</v>
      </c>
      <c r="AF180" s="48">
        <f t="shared" si="105"/>
        <v>1.6253124509616739</v>
      </c>
      <c r="AG180" s="43">
        <v>53.270504198897903</v>
      </c>
      <c r="AH180" s="43">
        <f t="shared" si="106"/>
        <v>1.7264868073491786</v>
      </c>
      <c r="AI180" s="39">
        <v>-0.26</v>
      </c>
      <c r="AJ180" s="48">
        <f t="shared" si="83"/>
        <v>-0.13076828026902382</v>
      </c>
      <c r="AK180" s="35">
        <v>18</v>
      </c>
      <c r="AL180" s="35">
        <f t="shared" si="107"/>
        <v>1.255272505103306</v>
      </c>
      <c r="AM180" s="35">
        <f t="shared" si="84"/>
        <v>0</v>
      </c>
      <c r="AN180" s="35">
        <f t="shared" si="85"/>
        <v>0</v>
      </c>
      <c r="AO180" s="35">
        <f t="shared" si="86"/>
        <v>0</v>
      </c>
      <c r="AP180" s="35">
        <f t="shared" si="87"/>
        <v>0</v>
      </c>
      <c r="AQ180" s="35">
        <f t="shared" si="88"/>
        <v>0</v>
      </c>
      <c r="AR180" s="35">
        <f t="shared" si="89"/>
        <v>0</v>
      </c>
      <c r="AS180" s="35">
        <f t="shared" si="90"/>
        <v>0</v>
      </c>
      <c r="AT180" s="35">
        <f t="shared" si="91"/>
        <v>1</v>
      </c>
      <c r="AU180" s="35">
        <f t="shared" si="92"/>
        <v>0</v>
      </c>
      <c r="AV180" s="35">
        <f t="shared" si="93"/>
        <v>0</v>
      </c>
      <c r="AW180" s="35">
        <f t="shared" si="94"/>
        <v>0</v>
      </c>
      <c r="AX180" s="35">
        <f t="shared" si="95"/>
        <v>0</v>
      </c>
      <c r="AY180" s="35">
        <f t="shared" si="96"/>
        <v>0</v>
      </c>
      <c r="AZ180" s="35">
        <f t="shared" si="97"/>
        <v>0</v>
      </c>
      <c r="BA180" s="35">
        <f t="shared" si="98"/>
        <v>0</v>
      </c>
      <c r="BB180" s="35">
        <f t="shared" si="99"/>
        <v>0</v>
      </c>
      <c r="BC180" s="35">
        <f t="shared" si="100"/>
        <v>0</v>
      </c>
    </row>
    <row r="181" spans="1:55" s="35" customFormat="1" x14ac:dyDescent="0.35">
      <c r="A181" s="36">
        <v>37928</v>
      </c>
      <c r="B181" s="35" t="s">
        <v>645</v>
      </c>
      <c r="C181" s="35" t="s">
        <v>59</v>
      </c>
      <c r="D181" s="35" t="s">
        <v>602</v>
      </c>
      <c r="E181" s="35" t="s">
        <v>64</v>
      </c>
      <c r="F181" s="139">
        <f t="shared" si="73"/>
        <v>1</v>
      </c>
      <c r="G181" s="35">
        <v>2510000000</v>
      </c>
      <c r="H181" s="139">
        <f t="shared" si="74"/>
        <v>9.3996737214810384</v>
      </c>
      <c r="I181" s="35">
        <f>G181</f>
        <v>2510000000</v>
      </c>
      <c r="J181" s="35">
        <v>0</v>
      </c>
      <c r="K181" s="36">
        <v>38722</v>
      </c>
      <c r="L181" s="35">
        <v>2679000000</v>
      </c>
      <c r="M181" s="21">
        <f t="shared" si="75"/>
        <v>2.1753424657534248</v>
      </c>
      <c r="N181" s="21">
        <f t="shared" si="102"/>
        <v>0.33752763797062157</v>
      </c>
      <c r="O181" s="35">
        <v>5897.96</v>
      </c>
      <c r="P181" s="35">
        <f t="shared" si="76"/>
        <v>3.7707754512906644</v>
      </c>
      <c r="Q181" s="35">
        <v>4</v>
      </c>
      <c r="R181" s="35">
        <f t="shared" si="77"/>
        <v>0.69897000433601886</v>
      </c>
      <c r="S181" s="45">
        <v>2.3199999999999998</v>
      </c>
      <c r="T181" s="45">
        <f t="shared" si="103"/>
        <v>0.36548798489089962</v>
      </c>
      <c r="U181" s="175">
        <f t="shared" si="78"/>
        <v>6.7330677290836638E-2</v>
      </c>
      <c r="V181" s="48">
        <f t="shared" si="79"/>
        <v>2.8298992127170717E-2</v>
      </c>
      <c r="W181" s="35">
        <v>2315.9650000000001</v>
      </c>
      <c r="X181" s="35">
        <f t="shared" si="80"/>
        <v>3.3647319918335836</v>
      </c>
      <c r="Y181" s="35">
        <v>3703.9029999999998</v>
      </c>
      <c r="Z181" s="35">
        <f t="shared" si="81"/>
        <v>3.568659604598353</v>
      </c>
      <c r="AA181" s="37">
        <v>132</v>
      </c>
      <c r="AB181" s="37">
        <f t="shared" si="82"/>
        <v>2.1238516409670858</v>
      </c>
      <c r="AC181" s="35">
        <v>85</v>
      </c>
      <c r="AD181" s="35">
        <f t="shared" si="104"/>
        <v>1.9294189257142926</v>
      </c>
      <c r="AE181" s="48">
        <v>31.3</v>
      </c>
      <c r="AF181" s="48">
        <f t="shared" si="105"/>
        <v>1.4955443375464486</v>
      </c>
      <c r="AG181" s="43">
        <v>38.7850112673514</v>
      </c>
      <c r="AH181" s="43">
        <f t="shared" si="106"/>
        <v>1.5886639219461918</v>
      </c>
      <c r="AI181" s="39">
        <v>-0.01</v>
      </c>
      <c r="AJ181" s="48">
        <f t="shared" si="83"/>
        <v>-4.3648054024500883E-3</v>
      </c>
      <c r="AK181" s="35">
        <v>18</v>
      </c>
      <c r="AL181" s="35">
        <f t="shared" si="107"/>
        <v>1.255272505103306</v>
      </c>
      <c r="AM181" s="35">
        <f t="shared" si="84"/>
        <v>0</v>
      </c>
      <c r="AN181" s="35">
        <f t="shared" si="85"/>
        <v>0</v>
      </c>
      <c r="AO181" s="35">
        <f t="shared" si="86"/>
        <v>1</v>
      </c>
      <c r="AP181" s="35">
        <f t="shared" si="87"/>
        <v>0</v>
      </c>
      <c r="AQ181" s="35">
        <f t="shared" si="88"/>
        <v>0</v>
      </c>
      <c r="AR181" s="35">
        <f t="shared" si="89"/>
        <v>0</v>
      </c>
      <c r="AS181" s="35">
        <f t="shared" si="90"/>
        <v>0</v>
      </c>
      <c r="AT181" s="35">
        <f t="shared" si="91"/>
        <v>0</v>
      </c>
      <c r="AU181" s="35">
        <f t="shared" si="92"/>
        <v>0</v>
      </c>
      <c r="AV181" s="35">
        <f t="shared" si="93"/>
        <v>0</v>
      </c>
      <c r="AW181" s="35">
        <f t="shared" si="94"/>
        <v>0</v>
      </c>
      <c r="AX181" s="35">
        <f t="shared" si="95"/>
        <v>0</v>
      </c>
      <c r="AY181" s="35">
        <f t="shared" si="96"/>
        <v>0</v>
      </c>
      <c r="AZ181" s="35">
        <f t="shared" si="97"/>
        <v>0</v>
      </c>
      <c r="BA181" s="35">
        <f t="shared" si="98"/>
        <v>0</v>
      </c>
      <c r="BB181" s="35">
        <f t="shared" si="99"/>
        <v>0</v>
      </c>
      <c r="BC181" s="35">
        <f t="shared" si="100"/>
        <v>0</v>
      </c>
    </row>
    <row r="182" spans="1:55" s="35" customFormat="1" x14ac:dyDescent="0.35">
      <c r="A182" s="36">
        <v>37964</v>
      </c>
      <c r="B182" s="90" t="s">
        <v>569</v>
      </c>
      <c r="C182" s="35" t="s">
        <v>45</v>
      </c>
      <c r="D182" s="35" t="s">
        <v>419</v>
      </c>
      <c r="E182" s="35" t="s">
        <v>125</v>
      </c>
      <c r="F182" s="139">
        <f t="shared" si="73"/>
        <v>1</v>
      </c>
      <c r="G182" s="35">
        <v>8000000</v>
      </c>
      <c r="H182" s="139">
        <f t="shared" si="74"/>
        <v>6.9030899869919438</v>
      </c>
      <c r="I182" s="35">
        <f>G182</f>
        <v>8000000</v>
      </c>
      <c r="J182" s="35">
        <v>0</v>
      </c>
      <c r="K182" s="36">
        <v>40568</v>
      </c>
      <c r="L182" s="35">
        <v>10000000</v>
      </c>
      <c r="M182" s="21">
        <f t="shared" si="75"/>
        <v>7.1342465753424653</v>
      </c>
      <c r="N182" s="21">
        <f t="shared" si="102"/>
        <v>0.85334811543967959</v>
      </c>
      <c r="O182" s="35">
        <v>6930.28</v>
      </c>
      <c r="P182" s="35">
        <f t="shared" si="76"/>
        <v>3.840813443212804</v>
      </c>
      <c r="Q182" s="35">
        <v>3</v>
      </c>
      <c r="R182" s="35">
        <f t="shared" si="77"/>
        <v>0.6020599913279624</v>
      </c>
      <c r="S182" s="45">
        <v>2.92</v>
      </c>
      <c r="T182" s="45">
        <f t="shared" si="103"/>
        <v>0.46538285144841829</v>
      </c>
      <c r="U182" s="175">
        <f t="shared" si="78"/>
        <v>0.25</v>
      </c>
      <c r="V182" s="48">
        <f t="shared" si="79"/>
        <v>9.691001300805642E-2</v>
      </c>
      <c r="W182" s="35">
        <v>1895.918367346939</v>
      </c>
      <c r="X182" s="35">
        <f t="shared" si="80"/>
        <v>3.277819633965128</v>
      </c>
      <c r="Y182" s="35">
        <v>8519.3877551020414</v>
      </c>
      <c r="Z182" s="35">
        <f t="shared" si="81"/>
        <v>3.9304083853612104</v>
      </c>
      <c r="AA182" s="37">
        <v>427.16666666666703</v>
      </c>
      <c r="AB182" s="37">
        <f t="shared" si="82"/>
        <v>2.6316128538827028</v>
      </c>
      <c r="AC182" s="35">
        <v>85</v>
      </c>
      <c r="AD182" s="35">
        <f t="shared" si="104"/>
        <v>1.9294189257142926</v>
      </c>
      <c r="AE182" s="48">
        <v>24.4</v>
      </c>
      <c r="AF182" s="48">
        <f t="shared" si="105"/>
        <v>1.3873898263387294</v>
      </c>
      <c r="AG182" s="43">
        <v>37.256914365427299</v>
      </c>
      <c r="AH182" s="43">
        <f t="shared" si="106"/>
        <v>1.5712068835833228</v>
      </c>
      <c r="AI182" s="39">
        <v>0.52</v>
      </c>
      <c r="AJ182" s="48">
        <f t="shared" si="83"/>
        <v>0.18184358794477254</v>
      </c>
      <c r="AK182" s="35">
        <v>0</v>
      </c>
      <c r="AL182" s="35">
        <f t="shared" si="107"/>
        <v>0</v>
      </c>
      <c r="AM182" s="35">
        <f t="shared" si="84"/>
        <v>0</v>
      </c>
      <c r="AN182" s="35">
        <f t="shared" si="85"/>
        <v>1</v>
      </c>
      <c r="AO182" s="35">
        <f t="shared" si="86"/>
        <v>0</v>
      </c>
      <c r="AP182" s="35">
        <f t="shared" si="87"/>
        <v>0</v>
      </c>
      <c r="AQ182" s="35">
        <f t="shared" si="88"/>
        <v>0</v>
      </c>
      <c r="AR182" s="35">
        <f t="shared" si="89"/>
        <v>0</v>
      </c>
      <c r="AS182" s="35">
        <f t="shared" si="90"/>
        <v>0</v>
      </c>
      <c r="AT182" s="35">
        <f t="shared" si="91"/>
        <v>0</v>
      </c>
      <c r="AU182" s="35">
        <f t="shared" si="92"/>
        <v>0</v>
      </c>
      <c r="AV182" s="35">
        <f t="shared" si="93"/>
        <v>0</v>
      </c>
      <c r="AW182" s="35">
        <f t="shared" si="94"/>
        <v>0</v>
      </c>
      <c r="AX182" s="35">
        <f t="shared" si="95"/>
        <v>0</v>
      </c>
      <c r="AY182" s="35">
        <f t="shared" si="96"/>
        <v>0</v>
      </c>
      <c r="AZ182" s="35">
        <f t="shared" si="97"/>
        <v>0</v>
      </c>
      <c r="BA182" s="35">
        <f t="shared" si="98"/>
        <v>0</v>
      </c>
      <c r="BB182" s="35">
        <f t="shared" si="99"/>
        <v>0</v>
      </c>
      <c r="BC182" s="35">
        <f t="shared" si="100"/>
        <v>0</v>
      </c>
    </row>
    <row r="183" spans="1:55" s="35" customFormat="1" x14ac:dyDescent="0.35">
      <c r="A183" s="36">
        <v>37967</v>
      </c>
      <c r="B183" s="35" t="s">
        <v>299</v>
      </c>
      <c r="C183" s="35" t="s">
        <v>45</v>
      </c>
      <c r="D183" s="35" t="s">
        <v>45</v>
      </c>
      <c r="E183" s="35" t="s">
        <v>102</v>
      </c>
      <c r="F183" s="139">
        <f t="shared" si="73"/>
        <v>0</v>
      </c>
      <c r="G183" s="35">
        <v>120000000</v>
      </c>
      <c r="H183" s="139">
        <f t="shared" si="74"/>
        <v>8.0791812460476251</v>
      </c>
      <c r="I183" s="35">
        <v>120000000</v>
      </c>
      <c r="J183" s="35">
        <v>0</v>
      </c>
      <c r="K183" s="36">
        <v>38595</v>
      </c>
      <c r="L183" s="35">
        <v>834000000</v>
      </c>
      <c r="M183" s="21">
        <f t="shared" si="75"/>
        <v>1.7205479452054795</v>
      </c>
      <c r="N183" s="21">
        <f t="shared" si="102"/>
        <v>0.23566677928072144</v>
      </c>
      <c r="O183" s="35">
        <v>0</v>
      </c>
      <c r="P183" s="35">
        <f t="shared" si="76"/>
        <v>0</v>
      </c>
      <c r="Q183" s="35">
        <v>135</v>
      </c>
      <c r="R183" s="35">
        <f t="shared" si="77"/>
        <v>2.1335389083702174</v>
      </c>
      <c r="S183" s="45">
        <v>2.95</v>
      </c>
      <c r="T183" s="45">
        <f t="shared" si="103"/>
        <v>0.46982201597816303</v>
      </c>
      <c r="U183" s="175">
        <f t="shared" si="78"/>
        <v>5.95</v>
      </c>
      <c r="V183" s="48">
        <f t="shared" si="79"/>
        <v>0.84198480459011393</v>
      </c>
      <c r="W183" s="35">
        <v>8291.8367346938758</v>
      </c>
      <c r="X183" s="35">
        <f t="shared" si="80"/>
        <v>3.9186507422978978</v>
      </c>
      <c r="Y183" s="35">
        <v>9858.1632653061242</v>
      </c>
      <c r="Z183" s="35">
        <f t="shared" si="81"/>
        <v>3.9937960064170404</v>
      </c>
      <c r="AA183" s="37">
        <v>0</v>
      </c>
      <c r="AB183" s="37">
        <f t="shared" si="82"/>
        <v>0</v>
      </c>
      <c r="AC183" s="35">
        <v>85</v>
      </c>
      <c r="AD183" s="35">
        <f t="shared" si="104"/>
        <v>1.9294189257142926</v>
      </c>
      <c r="AE183" s="48">
        <v>24.4</v>
      </c>
      <c r="AF183" s="48">
        <f t="shared" si="105"/>
        <v>1.3873898263387294</v>
      </c>
      <c r="AG183" s="43">
        <v>37.256914365427299</v>
      </c>
      <c r="AH183" s="43">
        <f t="shared" si="106"/>
        <v>1.5712068835833228</v>
      </c>
      <c r="AI183" s="39">
        <v>0.03</v>
      </c>
      <c r="AJ183" s="48">
        <f t="shared" si="83"/>
        <v>1.2837224705172217E-2</v>
      </c>
      <c r="AK183" s="35">
        <v>15</v>
      </c>
      <c r="AL183" s="35">
        <f t="shared" si="107"/>
        <v>1.1760912590556813</v>
      </c>
      <c r="AM183" s="35">
        <f t="shared" si="84"/>
        <v>0</v>
      </c>
      <c r="AN183" s="35">
        <f t="shared" si="85"/>
        <v>1</v>
      </c>
      <c r="AO183" s="35">
        <f t="shared" si="86"/>
        <v>0</v>
      </c>
      <c r="AP183" s="35">
        <f t="shared" si="87"/>
        <v>0</v>
      </c>
      <c r="AQ183" s="35">
        <f t="shared" si="88"/>
        <v>0</v>
      </c>
      <c r="AR183" s="35">
        <f t="shared" si="89"/>
        <v>0</v>
      </c>
      <c r="AS183" s="35">
        <f t="shared" si="90"/>
        <v>0</v>
      </c>
      <c r="AT183" s="35">
        <f t="shared" si="91"/>
        <v>0</v>
      </c>
      <c r="AU183" s="35">
        <f t="shared" si="92"/>
        <v>0</v>
      </c>
      <c r="AV183" s="35">
        <f t="shared" si="93"/>
        <v>0</v>
      </c>
      <c r="AW183" s="35">
        <f t="shared" si="94"/>
        <v>0</v>
      </c>
      <c r="AX183" s="35">
        <f t="shared" si="95"/>
        <v>0</v>
      </c>
      <c r="AY183" s="35">
        <f t="shared" si="96"/>
        <v>0</v>
      </c>
      <c r="AZ183" s="35">
        <f t="shared" si="97"/>
        <v>0</v>
      </c>
      <c r="BA183" s="35">
        <f t="shared" si="98"/>
        <v>0</v>
      </c>
      <c r="BB183" s="35">
        <f t="shared" si="99"/>
        <v>0</v>
      </c>
      <c r="BC183" s="35">
        <f t="shared" si="100"/>
        <v>0</v>
      </c>
    </row>
    <row r="184" spans="1:55" s="35" customFormat="1" x14ac:dyDescent="0.35">
      <c r="A184" s="36">
        <v>37970</v>
      </c>
      <c r="B184" s="90" t="s">
        <v>960</v>
      </c>
      <c r="C184" s="35" t="s">
        <v>45</v>
      </c>
      <c r="D184" s="35" t="s">
        <v>59</v>
      </c>
      <c r="E184" s="35" t="s">
        <v>64</v>
      </c>
      <c r="F184" s="139">
        <f t="shared" si="73"/>
        <v>1</v>
      </c>
      <c r="G184" s="35">
        <v>13500000</v>
      </c>
      <c r="H184" s="139">
        <f t="shared" si="74"/>
        <v>7.1303337684950066</v>
      </c>
      <c r="I184" s="35">
        <f>G184</f>
        <v>13500000</v>
      </c>
      <c r="J184" s="35">
        <v>0</v>
      </c>
      <c r="K184" s="36">
        <v>38839</v>
      </c>
      <c r="L184" s="35">
        <v>39000000</v>
      </c>
      <c r="M184" s="21">
        <f t="shared" si="75"/>
        <v>2.3808219178082193</v>
      </c>
      <c r="N184" s="21">
        <f t="shared" si="102"/>
        <v>0.37672691199219177</v>
      </c>
      <c r="O184" s="35">
        <v>5897.96</v>
      </c>
      <c r="P184" s="35">
        <f t="shared" si="76"/>
        <v>3.7707754512906644</v>
      </c>
      <c r="Q184" s="35">
        <v>2</v>
      </c>
      <c r="R184" s="35">
        <f t="shared" si="77"/>
        <v>0.47712125471966244</v>
      </c>
      <c r="S184" s="45">
        <v>2.3199999999999998</v>
      </c>
      <c r="T184" s="45">
        <f t="shared" si="103"/>
        <v>0.36548798489089962</v>
      </c>
      <c r="U184" s="175">
        <f t="shared" si="78"/>
        <v>1.8888888888888888</v>
      </c>
      <c r="V184" s="48">
        <f t="shared" si="79"/>
        <v>0.4607308385314931</v>
      </c>
      <c r="W184" s="35">
        <v>4375.8573388203013</v>
      </c>
      <c r="X184" s="35">
        <f t="shared" si="80"/>
        <v>3.6410631547392063</v>
      </c>
      <c r="Y184" s="35">
        <v>5027.4348422496596</v>
      </c>
      <c r="Z184" s="35">
        <f t="shared" si="81"/>
        <v>3.7013464506591722</v>
      </c>
      <c r="AA184" s="37">
        <v>132</v>
      </c>
      <c r="AB184" s="37">
        <f t="shared" si="82"/>
        <v>2.1238516409670858</v>
      </c>
      <c r="AC184" s="35">
        <v>85</v>
      </c>
      <c r="AD184" s="35">
        <f t="shared" si="104"/>
        <v>1.9294189257142926</v>
      </c>
      <c r="AE184" s="48">
        <v>24.4</v>
      </c>
      <c r="AF184" s="48">
        <f t="shared" si="105"/>
        <v>1.3873898263387294</v>
      </c>
      <c r="AG184" s="43">
        <v>37.256914365427299</v>
      </c>
      <c r="AH184" s="43">
        <f t="shared" si="106"/>
        <v>1.5712068835833228</v>
      </c>
      <c r="AI184" s="39">
        <v>0.25</v>
      </c>
      <c r="AJ184" s="48">
        <f t="shared" si="83"/>
        <v>9.691001300805642E-2</v>
      </c>
      <c r="AK184" s="35">
        <v>19</v>
      </c>
      <c r="AL184" s="35">
        <f t="shared" si="107"/>
        <v>1.2787536009528289</v>
      </c>
      <c r="AM184" s="35">
        <f t="shared" si="84"/>
        <v>0</v>
      </c>
      <c r="AN184" s="35">
        <f t="shared" si="85"/>
        <v>1</v>
      </c>
      <c r="AO184" s="35">
        <f t="shared" si="86"/>
        <v>0</v>
      </c>
      <c r="AP184" s="35">
        <f t="shared" si="87"/>
        <v>0</v>
      </c>
      <c r="AQ184" s="35">
        <f t="shared" si="88"/>
        <v>0</v>
      </c>
      <c r="AR184" s="35">
        <f t="shared" si="89"/>
        <v>0</v>
      </c>
      <c r="AS184" s="35">
        <f t="shared" si="90"/>
        <v>0</v>
      </c>
      <c r="AT184" s="35">
        <f t="shared" si="91"/>
        <v>0</v>
      </c>
      <c r="AU184" s="35">
        <f t="shared" si="92"/>
        <v>0</v>
      </c>
      <c r="AV184" s="35">
        <f t="shared" si="93"/>
        <v>0</v>
      </c>
      <c r="AW184" s="35">
        <f t="shared" si="94"/>
        <v>0</v>
      </c>
      <c r="AX184" s="35">
        <f t="shared" si="95"/>
        <v>0</v>
      </c>
      <c r="AY184" s="35">
        <f t="shared" si="96"/>
        <v>0</v>
      </c>
      <c r="AZ184" s="35">
        <f t="shared" si="97"/>
        <v>0</v>
      </c>
      <c r="BA184" s="35">
        <f t="shared" si="98"/>
        <v>0</v>
      </c>
      <c r="BB184" s="35">
        <f t="shared" si="99"/>
        <v>0</v>
      </c>
      <c r="BC184" s="35">
        <f t="shared" si="100"/>
        <v>0</v>
      </c>
    </row>
    <row r="185" spans="1:55" s="35" customFormat="1" x14ac:dyDescent="0.35">
      <c r="A185" s="36">
        <v>37971</v>
      </c>
      <c r="B185" s="35" t="s">
        <v>658</v>
      </c>
      <c r="C185" s="35" t="s">
        <v>2</v>
      </c>
      <c r="D185" s="35" t="s">
        <v>602</v>
      </c>
      <c r="E185" s="35" t="s">
        <v>64</v>
      </c>
      <c r="F185" s="139">
        <f t="shared" si="73"/>
        <v>1</v>
      </c>
      <c r="G185" s="35">
        <f>(2216090000+435660000)</f>
        <v>2651750000</v>
      </c>
      <c r="H185" s="139">
        <f t="shared" si="74"/>
        <v>9.4235325775237104</v>
      </c>
      <c r="I185" s="35">
        <f>G185-J185</f>
        <v>2101920000</v>
      </c>
      <c r="J185" s="35">
        <v>549830000</v>
      </c>
      <c r="K185" s="36">
        <v>39216</v>
      </c>
      <c r="L185" s="35">
        <v>2422600000</v>
      </c>
      <c r="M185" s="21">
        <f t="shared" si="75"/>
        <v>3.4109589041095889</v>
      </c>
      <c r="N185" s="21">
        <f t="shared" si="102"/>
        <v>0.53287648697528045</v>
      </c>
      <c r="O185" s="35">
        <v>6815.73</v>
      </c>
      <c r="P185" s="35">
        <f t="shared" si="76"/>
        <v>3.8335760926148099</v>
      </c>
      <c r="Q185" s="35">
        <v>7</v>
      </c>
      <c r="R185" s="35">
        <f t="shared" si="77"/>
        <v>0.90308998699194354</v>
      </c>
      <c r="S185" s="45">
        <v>2.85</v>
      </c>
      <c r="T185" s="45">
        <f t="shared" si="103"/>
        <v>0.45484486000851021</v>
      </c>
      <c r="U185" s="175">
        <f t="shared" si="78"/>
        <v>-8.6414631846893575E-2</v>
      </c>
      <c r="V185" s="48">
        <f t="shared" si="79"/>
        <v>-3.9250864638126763E-2</v>
      </c>
      <c r="W185" s="35">
        <v>2315.9650000000001</v>
      </c>
      <c r="X185" s="35">
        <f t="shared" si="80"/>
        <v>3.3647319918335836</v>
      </c>
      <c r="Y185" s="35">
        <v>3703.9029999999998</v>
      </c>
      <c r="Z185" s="35">
        <f t="shared" si="81"/>
        <v>3.568659604598353</v>
      </c>
      <c r="AA185" s="37">
        <v>819</v>
      </c>
      <c r="AB185" s="37">
        <f t="shared" si="82"/>
        <v>2.9138138523837167</v>
      </c>
      <c r="AC185" s="35">
        <v>70</v>
      </c>
      <c r="AD185" s="35">
        <f t="shared" si="104"/>
        <v>1.8450980400142569</v>
      </c>
      <c r="AE185" s="48">
        <v>34.6</v>
      </c>
      <c r="AF185" s="48">
        <f t="shared" si="105"/>
        <v>1.5390760987927767</v>
      </c>
      <c r="AG185" s="43">
        <v>47.8156192569637</v>
      </c>
      <c r="AH185" s="43">
        <f t="shared" si="106"/>
        <v>1.6795697846681461</v>
      </c>
      <c r="AI185" s="39">
        <v>0.62</v>
      </c>
      <c r="AJ185" s="48">
        <f t="shared" si="83"/>
        <v>0.20951501454263097</v>
      </c>
      <c r="AK185" s="35">
        <v>21</v>
      </c>
      <c r="AL185" s="35">
        <f t="shared" si="107"/>
        <v>1.3222192947339193</v>
      </c>
      <c r="AM185" s="35">
        <f t="shared" si="84"/>
        <v>0</v>
      </c>
      <c r="AN185" s="35">
        <f t="shared" si="85"/>
        <v>0</v>
      </c>
      <c r="AO185" s="35">
        <f t="shared" si="86"/>
        <v>0</v>
      </c>
      <c r="AP185" s="35">
        <f t="shared" si="87"/>
        <v>0</v>
      </c>
      <c r="AQ185" s="35">
        <f t="shared" si="88"/>
        <v>0</v>
      </c>
      <c r="AR185" s="35">
        <f t="shared" si="89"/>
        <v>0</v>
      </c>
      <c r="AS185" s="35">
        <f t="shared" si="90"/>
        <v>0</v>
      </c>
      <c r="AT185" s="35">
        <f t="shared" si="91"/>
        <v>0</v>
      </c>
      <c r="AU185" s="35">
        <f t="shared" si="92"/>
        <v>0</v>
      </c>
      <c r="AV185" s="35">
        <f t="shared" si="93"/>
        <v>1</v>
      </c>
      <c r="AW185" s="35">
        <f t="shared" si="94"/>
        <v>0</v>
      </c>
      <c r="AX185" s="35">
        <f t="shared" si="95"/>
        <v>0</v>
      </c>
      <c r="AY185" s="35">
        <f t="shared" si="96"/>
        <v>0</v>
      </c>
      <c r="AZ185" s="35">
        <f t="shared" si="97"/>
        <v>0</v>
      </c>
      <c r="BA185" s="35">
        <f t="shared" si="98"/>
        <v>0</v>
      </c>
      <c r="BB185" s="35">
        <f t="shared" si="99"/>
        <v>0</v>
      </c>
      <c r="BC185" s="35">
        <f t="shared" si="100"/>
        <v>0</v>
      </c>
    </row>
    <row r="186" spans="1:55" s="35" customFormat="1" x14ac:dyDescent="0.35">
      <c r="A186" s="36">
        <v>37972</v>
      </c>
      <c r="B186" s="35" t="s">
        <v>1121</v>
      </c>
      <c r="C186" s="35" t="s">
        <v>59</v>
      </c>
      <c r="D186" s="35" t="s">
        <v>577</v>
      </c>
      <c r="E186" s="35" t="s">
        <v>47</v>
      </c>
      <c r="F186" s="139">
        <f t="shared" si="73"/>
        <v>0</v>
      </c>
      <c r="G186" s="35">
        <v>976170000</v>
      </c>
      <c r="H186" s="139">
        <f t="shared" si="74"/>
        <v>8.9895254566347216</v>
      </c>
      <c r="I186" s="35">
        <v>916510000</v>
      </c>
      <c r="J186" s="35">
        <v>59660000</v>
      </c>
      <c r="K186" s="36">
        <v>38729</v>
      </c>
      <c r="L186" s="35">
        <v>238130000</v>
      </c>
      <c r="M186" s="21">
        <f t="shared" si="75"/>
        <v>2.0739726027397261</v>
      </c>
      <c r="N186" s="21">
        <f t="shared" si="102"/>
        <v>0.31680301504359804</v>
      </c>
      <c r="O186" s="35">
        <v>0</v>
      </c>
      <c r="P186" s="35">
        <f t="shared" si="76"/>
        <v>0</v>
      </c>
      <c r="Q186" s="35">
        <v>24</v>
      </c>
      <c r="R186" s="35">
        <f t="shared" si="77"/>
        <v>1.3979400086720377</v>
      </c>
      <c r="S186" s="45">
        <v>3.29</v>
      </c>
      <c r="T186" s="45">
        <f t="shared" si="103"/>
        <v>0.51719589794997434</v>
      </c>
      <c r="U186" s="175">
        <f t="shared" si="78"/>
        <v>-0.75605683436286708</v>
      </c>
      <c r="V186" s="48">
        <f t="shared" si="79"/>
        <v>-0.6127113446665251</v>
      </c>
      <c r="W186" s="35">
        <v>1861.76</v>
      </c>
      <c r="X186" s="35">
        <f t="shared" si="80"/>
        <v>3.2699236952309465</v>
      </c>
      <c r="Y186" s="35">
        <v>4993.92</v>
      </c>
      <c r="Z186" s="35">
        <f t="shared" si="81"/>
        <v>3.6984415808994222</v>
      </c>
      <c r="AA186" s="37">
        <v>0</v>
      </c>
      <c r="AB186" s="37">
        <f t="shared" si="82"/>
        <v>0</v>
      </c>
      <c r="AC186" s="35">
        <v>85</v>
      </c>
      <c r="AD186" s="35">
        <f t="shared" si="104"/>
        <v>1.9294189257142926</v>
      </c>
      <c r="AE186" s="48">
        <v>31.3</v>
      </c>
      <c r="AF186" s="48">
        <f t="shared" si="105"/>
        <v>1.4955443375464486</v>
      </c>
      <c r="AG186" s="43">
        <v>38.7850112673514</v>
      </c>
      <c r="AH186" s="43">
        <f t="shared" si="106"/>
        <v>1.5886639219461918</v>
      </c>
      <c r="AI186" s="39">
        <v>0.91</v>
      </c>
      <c r="AJ186" s="48">
        <f t="shared" si="83"/>
        <v>0.28103336724772759</v>
      </c>
      <c r="AK186" s="35">
        <v>26</v>
      </c>
      <c r="AL186" s="35">
        <f t="shared" si="107"/>
        <v>1.414973347970818</v>
      </c>
      <c r="AM186" s="35">
        <f t="shared" si="84"/>
        <v>0</v>
      </c>
      <c r="AN186" s="35">
        <f t="shared" si="85"/>
        <v>0</v>
      </c>
      <c r="AO186" s="35">
        <f t="shared" si="86"/>
        <v>1</v>
      </c>
      <c r="AP186" s="35">
        <f t="shared" si="87"/>
        <v>0</v>
      </c>
      <c r="AQ186" s="35">
        <f t="shared" si="88"/>
        <v>0</v>
      </c>
      <c r="AR186" s="35">
        <f t="shared" si="89"/>
        <v>0</v>
      </c>
      <c r="AS186" s="35">
        <f t="shared" si="90"/>
        <v>0</v>
      </c>
      <c r="AT186" s="35">
        <f t="shared" si="91"/>
        <v>0</v>
      </c>
      <c r="AU186" s="35">
        <f t="shared" si="92"/>
        <v>0</v>
      </c>
      <c r="AV186" s="35">
        <f t="shared" si="93"/>
        <v>0</v>
      </c>
      <c r="AW186" s="35">
        <f t="shared" si="94"/>
        <v>0</v>
      </c>
      <c r="AX186" s="35">
        <f t="shared" si="95"/>
        <v>0</v>
      </c>
      <c r="AY186" s="35">
        <f t="shared" si="96"/>
        <v>0</v>
      </c>
      <c r="AZ186" s="35">
        <f t="shared" si="97"/>
        <v>0</v>
      </c>
      <c r="BA186" s="35">
        <f t="shared" si="98"/>
        <v>0</v>
      </c>
      <c r="BB186" s="35">
        <f t="shared" si="99"/>
        <v>0</v>
      </c>
      <c r="BC186" s="35">
        <f t="shared" si="100"/>
        <v>0</v>
      </c>
    </row>
    <row r="187" spans="1:55" s="35" customFormat="1" x14ac:dyDescent="0.35">
      <c r="A187" s="36">
        <v>37986</v>
      </c>
      <c r="B187" s="35" t="s">
        <v>375</v>
      </c>
      <c r="C187" s="35" t="s">
        <v>2</v>
      </c>
      <c r="D187" s="35" t="s">
        <v>45</v>
      </c>
      <c r="E187" s="35" t="s">
        <v>125</v>
      </c>
      <c r="F187" s="139">
        <f t="shared" si="73"/>
        <v>1</v>
      </c>
      <c r="G187" s="35">
        <v>1770884221</v>
      </c>
      <c r="H187" s="139">
        <f t="shared" si="74"/>
        <v>9.248190168290872</v>
      </c>
      <c r="I187" s="35">
        <v>1770884221</v>
      </c>
      <c r="J187" s="35">
        <v>0</v>
      </c>
      <c r="K187" s="36">
        <v>38417</v>
      </c>
      <c r="L187" s="35">
        <v>1431069569</v>
      </c>
      <c r="M187" s="21">
        <f t="shared" si="75"/>
        <v>1.1808219178082191</v>
      </c>
      <c r="N187" s="21">
        <f t="shared" si="102"/>
        <v>7.2184405704256868E-2</v>
      </c>
      <c r="O187" s="35">
        <v>6815.73</v>
      </c>
      <c r="P187" s="35">
        <f t="shared" si="76"/>
        <v>3.8335760926148099</v>
      </c>
      <c r="Q187" s="35">
        <v>69</v>
      </c>
      <c r="R187" s="35">
        <f t="shared" si="77"/>
        <v>1.8450980400142569</v>
      </c>
      <c r="S187" s="45">
        <v>2.85</v>
      </c>
      <c r="T187" s="45">
        <f t="shared" si="103"/>
        <v>0.45484486000851021</v>
      </c>
      <c r="U187" s="175">
        <f t="shared" si="78"/>
        <v>-0.19188981863992793</v>
      </c>
      <c r="V187" s="48">
        <f t="shared" si="79"/>
        <v>-9.2529421534301021E-2</v>
      </c>
      <c r="W187" s="35">
        <v>1171.498</v>
      </c>
      <c r="X187" s="35">
        <f t="shared" si="80"/>
        <v>3.0687415514991745</v>
      </c>
      <c r="Y187" s="35">
        <v>3386.1060000000002</v>
      </c>
      <c r="Z187" s="35">
        <f t="shared" si="81"/>
        <v>3.5297005493117593</v>
      </c>
      <c r="AA187" s="37">
        <v>819</v>
      </c>
      <c r="AB187" s="37">
        <f t="shared" si="82"/>
        <v>2.9138138523837167</v>
      </c>
      <c r="AC187" s="35">
        <v>70</v>
      </c>
      <c r="AD187" s="35">
        <f t="shared" si="104"/>
        <v>1.8450980400142569</v>
      </c>
      <c r="AE187" s="48">
        <v>34.6</v>
      </c>
      <c r="AF187" s="48">
        <f t="shared" si="105"/>
        <v>1.5390760987927767</v>
      </c>
      <c r="AG187" s="43">
        <v>47.8156192569637</v>
      </c>
      <c r="AH187" s="43">
        <f t="shared" si="106"/>
        <v>1.6795697846681461</v>
      </c>
      <c r="AI187" s="39">
        <v>1.73</v>
      </c>
      <c r="AJ187" s="48">
        <f t="shared" si="83"/>
        <v>0.43616264704075602</v>
      </c>
      <c r="AK187" s="35">
        <v>0</v>
      </c>
      <c r="AL187" s="35">
        <f t="shared" si="107"/>
        <v>0</v>
      </c>
      <c r="AM187" s="35">
        <f t="shared" si="84"/>
        <v>0</v>
      </c>
      <c r="AN187" s="35">
        <f t="shared" si="85"/>
        <v>0</v>
      </c>
      <c r="AO187" s="35">
        <f t="shared" si="86"/>
        <v>0</v>
      </c>
      <c r="AP187" s="35">
        <f t="shared" si="87"/>
        <v>0</v>
      </c>
      <c r="AQ187" s="35">
        <f t="shared" si="88"/>
        <v>0</v>
      </c>
      <c r="AR187" s="35">
        <f t="shared" si="89"/>
        <v>0</v>
      </c>
      <c r="AS187" s="35">
        <f t="shared" si="90"/>
        <v>0</v>
      </c>
      <c r="AT187" s="35">
        <f t="shared" si="91"/>
        <v>0</v>
      </c>
      <c r="AU187" s="35">
        <f t="shared" si="92"/>
        <v>0</v>
      </c>
      <c r="AV187" s="35">
        <f t="shared" si="93"/>
        <v>1</v>
      </c>
      <c r="AW187" s="35">
        <f t="shared" si="94"/>
        <v>0</v>
      </c>
      <c r="AX187" s="35">
        <f t="shared" si="95"/>
        <v>0</v>
      </c>
      <c r="AY187" s="35">
        <f t="shared" si="96"/>
        <v>0</v>
      </c>
      <c r="AZ187" s="35">
        <f t="shared" si="97"/>
        <v>0</v>
      </c>
      <c r="BA187" s="35">
        <f t="shared" si="98"/>
        <v>0</v>
      </c>
      <c r="BB187" s="35">
        <f t="shared" si="99"/>
        <v>0</v>
      </c>
      <c r="BC187" s="35">
        <f t="shared" si="100"/>
        <v>0</v>
      </c>
    </row>
    <row r="188" spans="1:55" s="35" customFormat="1" x14ac:dyDescent="0.35">
      <c r="A188" s="36">
        <v>37987</v>
      </c>
      <c r="B188" s="35" t="s">
        <v>404</v>
      </c>
      <c r="C188" s="35" t="s">
        <v>2</v>
      </c>
      <c r="D188" s="35" t="s">
        <v>45</v>
      </c>
      <c r="E188" s="35" t="s">
        <v>125</v>
      </c>
      <c r="F188" s="139">
        <f t="shared" si="73"/>
        <v>1</v>
      </c>
      <c r="G188" s="35">
        <v>48978000</v>
      </c>
      <c r="H188" s="139">
        <f t="shared" si="74"/>
        <v>7.6900010468830642</v>
      </c>
      <c r="I188" s="35">
        <v>48978000</v>
      </c>
      <c r="J188" s="35">
        <v>0</v>
      </c>
      <c r="K188" s="36">
        <v>38553</v>
      </c>
      <c r="L188" s="35">
        <v>1100000000</v>
      </c>
      <c r="M188" s="21">
        <f t="shared" si="75"/>
        <v>1.5506849315068494</v>
      </c>
      <c r="N188" s="21">
        <f t="shared" si="102"/>
        <v>0.19052356673179674</v>
      </c>
      <c r="O188" s="35">
        <v>6815.73</v>
      </c>
      <c r="P188" s="35">
        <f t="shared" si="76"/>
        <v>3.8335760926148099</v>
      </c>
      <c r="Q188" s="35">
        <v>274</v>
      </c>
      <c r="R188" s="35">
        <f t="shared" si="77"/>
        <v>2.4393326938302629</v>
      </c>
      <c r="S188" s="45">
        <v>2.85</v>
      </c>
      <c r="T188" s="45">
        <f t="shared" si="103"/>
        <v>0.45484486000851021</v>
      </c>
      <c r="U188" s="175">
        <f t="shared" si="78"/>
        <v>21.459063252889052</v>
      </c>
      <c r="V188" s="48">
        <f t="shared" si="79"/>
        <v>1.3513916382751612</v>
      </c>
      <c r="W188" s="35">
        <v>1248.0746999999999</v>
      </c>
      <c r="X188" s="35">
        <f t="shared" si="80"/>
        <v>3.0962405795987471</v>
      </c>
      <c r="Y188" s="35">
        <v>2518.2170000000001</v>
      </c>
      <c r="Z188" s="35">
        <f t="shared" si="81"/>
        <v>3.4010931514437841</v>
      </c>
      <c r="AA188" s="37">
        <v>819</v>
      </c>
      <c r="AB188" s="37">
        <f t="shared" si="82"/>
        <v>2.9138138523837167</v>
      </c>
      <c r="AC188" s="35">
        <v>70</v>
      </c>
      <c r="AD188" s="35">
        <f t="shared" si="104"/>
        <v>1.8450980400142569</v>
      </c>
      <c r="AE188" s="48">
        <v>33.9</v>
      </c>
      <c r="AF188" s="48">
        <f t="shared" si="105"/>
        <v>1.5301996982030821</v>
      </c>
      <c r="AG188" s="43">
        <v>46.312020505412598</v>
      </c>
      <c r="AH188" s="43">
        <f t="shared" si="106"/>
        <v>1.6656937288498501</v>
      </c>
      <c r="AI188" s="39">
        <v>0.2</v>
      </c>
      <c r="AJ188" s="48">
        <f t="shared" si="83"/>
        <v>7.9181246047624818E-2</v>
      </c>
      <c r="AK188" s="35">
        <v>18</v>
      </c>
      <c r="AL188" s="35">
        <f t="shared" si="107"/>
        <v>1.255272505103306</v>
      </c>
      <c r="AM188" s="35">
        <f t="shared" si="84"/>
        <v>0</v>
      </c>
      <c r="AN188" s="35">
        <f t="shared" si="85"/>
        <v>0</v>
      </c>
      <c r="AO188" s="35">
        <f t="shared" si="86"/>
        <v>0</v>
      </c>
      <c r="AP188" s="35">
        <f t="shared" si="87"/>
        <v>0</v>
      </c>
      <c r="AQ188" s="35">
        <f t="shared" si="88"/>
        <v>0</v>
      </c>
      <c r="AR188" s="35">
        <f t="shared" si="89"/>
        <v>0</v>
      </c>
      <c r="AS188" s="35">
        <f t="shared" si="90"/>
        <v>0</v>
      </c>
      <c r="AT188" s="35">
        <f t="shared" si="91"/>
        <v>0</v>
      </c>
      <c r="AU188" s="35">
        <f t="shared" si="92"/>
        <v>0</v>
      </c>
      <c r="AV188" s="35">
        <f t="shared" si="93"/>
        <v>1</v>
      </c>
      <c r="AW188" s="35">
        <f t="shared" si="94"/>
        <v>0</v>
      </c>
      <c r="AX188" s="35">
        <f t="shared" si="95"/>
        <v>0</v>
      </c>
      <c r="AY188" s="35">
        <f t="shared" si="96"/>
        <v>0</v>
      </c>
      <c r="AZ188" s="35">
        <f t="shared" si="97"/>
        <v>0</v>
      </c>
      <c r="BA188" s="35">
        <f t="shared" si="98"/>
        <v>0</v>
      </c>
      <c r="BB188" s="35">
        <f t="shared" si="99"/>
        <v>0</v>
      </c>
      <c r="BC188" s="35">
        <f t="shared" si="100"/>
        <v>0</v>
      </c>
    </row>
    <row r="189" spans="1:55" s="35" customFormat="1" x14ac:dyDescent="0.35">
      <c r="A189" s="36">
        <v>37993</v>
      </c>
      <c r="B189" s="35" t="s">
        <v>1186</v>
      </c>
      <c r="C189" s="35" t="s">
        <v>59</v>
      </c>
      <c r="D189" s="35" t="s">
        <v>602</v>
      </c>
      <c r="E189" s="35" t="s">
        <v>64</v>
      </c>
      <c r="F189" s="139">
        <f t="shared" si="73"/>
        <v>1</v>
      </c>
      <c r="G189" s="35">
        <v>92000000</v>
      </c>
      <c r="H189" s="139">
        <f t="shared" si="74"/>
        <v>7.9637878273455556</v>
      </c>
      <c r="I189" s="35">
        <f>G189</f>
        <v>92000000</v>
      </c>
      <c r="J189" s="35">
        <v>0</v>
      </c>
      <c r="K189" s="36">
        <v>39114</v>
      </c>
      <c r="L189" s="35">
        <v>250137690</v>
      </c>
      <c r="M189" s="21">
        <f t="shared" si="75"/>
        <v>3.0712328767123287</v>
      </c>
      <c r="N189" s="21">
        <f t="shared" si="102"/>
        <v>0.48731274813849845</v>
      </c>
      <c r="O189" s="35">
        <v>5897.96</v>
      </c>
      <c r="P189" s="35">
        <f t="shared" si="76"/>
        <v>3.7707754512906644</v>
      </c>
      <c r="Q189" s="35">
        <v>12</v>
      </c>
      <c r="R189" s="35">
        <f t="shared" si="77"/>
        <v>1.1139433523068367</v>
      </c>
      <c r="S189" s="45">
        <v>2.3199999999999998</v>
      </c>
      <c r="T189" s="45">
        <f t="shared" si="103"/>
        <v>0.36548798489089962</v>
      </c>
      <c r="U189" s="175">
        <f t="shared" si="78"/>
        <v>1.7188879347826087</v>
      </c>
      <c r="V189" s="48">
        <f t="shared" si="79"/>
        <v>0.43439130751080973</v>
      </c>
      <c r="W189" s="35">
        <v>2446.450593263969</v>
      </c>
      <c r="X189" s="35">
        <f t="shared" si="80"/>
        <v>3.3885364494891754</v>
      </c>
      <c r="Y189" s="35">
        <v>6578.8244872547029</v>
      </c>
      <c r="Z189" s="35">
        <f t="shared" si="81"/>
        <v>3.818148300254375</v>
      </c>
      <c r="AA189" s="35">
        <v>132</v>
      </c>
      <c r="AB189" s="37">
        <f t="shared" si="82"/>
        <v>2.1238516409670858</v>
      </c>
      <c r="AC189" s="35">
        <v>85</v>
      </c>
      <c r="AD189" s="35">
        <f t="shared" si="104"/>
        <v>1.9294189257142926</v>
      </c>
      <c r="AE189" s="48">
        <v>32.299999999999997</v>
      </c>
      <c r="AF189" s="48">
        <f t="shared" si="105"/>
        <v>1.5092025223311027</v>
      </c>
      <c r="AG189" s="43">
        <v>40.040400531970803</v>
      </c>
      <c r="AH189" s="43">
        <f t="shared" si="106"/>
        <v>1.6024984131617945</v>
      </c>
      <c r="AI189" s="39">
        <v>0.72</v>
      </c>
      <c r="AJ189" s="48">
        <f t="shared" si="83"/>
        <v>0.2355284469075489</v>
      </c>
      <c r="AK189" s="35">
        <v>20</v>
      </c>
      <c r="AL189" s="35">
        <f t="shared" si="107"/>
        <v>1.3010299956639813</v>
      </c>
      <c r="AM189" s="35">
        <f t="shared" si="84"/>
        <v>0</v>
      </c>
      <c r="AN189" s="35">
        <f t="shared" si="85"/>
        <v>0</v>
      </c>
      <c r="AO189" s="35">
        <f t="shared" si="86"/>
        <v>1</v>
      </c>
      <c r="AP189" s="35">
        <f t="shared" si="87"/>
        <v>0</v>
      </c>
      <c r="AQ189" s="35">
        <f t="shared" si="88"/>
        <v>0</v>
      </c>
      <c r="AR189" s="35">
        <f t="shared" si="89"/>
        <v>0</v>
      </c>
      <c r="AS189" s="35">
        <f t="shared" si="90"/>
        <v>0</v>
      </c>
      <c r="AT189" s="35">
        <f t="shared" si="91"/>
        <v>0</v>
      </c>
      <c r="AU189" s="35">
        <f t="shared" si="92"/>
        <v>0</v>
      </c>
      <c r="AV189" s="35">
        <f t="shared" si="93"/>
        <v>0</v>
      </c>
      <c r="AW189" s="35">
        <f t="shared" si="94"/>
        <v>0</v>
      </c>
      <c r="AX189" s="35">
        <f t="shared" si="95"/>
        <v>0</v>
      </c>
      <c r="AY189" s="35">
        <f t="shared" si="96"/>
        <v>0</v>
      </c>
      <c r="AZ189" s="35">
        <f t="shared" si="97"/>
        <v>0</v>
      </c>
      <c r="BA189" s="35">
        <f t="shared" si="98"/>
        <v>0</v>
      </c>
      <c r="BB189" s="35">
        <f t="shared" si="99"/>
        <v>0</v>
      </c>
      <c r="BC189" s="35">
        <f t="shared" si="100"/>
        <v>0</v>
      </c>
    </row>
    <row r="190" spans="1:55" s="35" customFormat="1" x14ac:dyDescent="0.35">
      <c r="A190" s="36">
        <v>37997</v>
      </c>
      <c r="B190" s="35" t="s">
        <v>160</v>
      </c>
      <c r="C190" s="35" t="s">
        <v>59</v>
      </c>
      <c r="D190" s="35" t="s">
        <v>59</v>
      </c>
      <c r="E190" s="35" t="s">
        <v>102</v>
      </c>
      <c r="F190" s="139">
        <f t="shared" si="73"/>
        <v>0</v>
      </c>
      <c r="G190" s="35">
        <v>72000000</v>
      </c>
      <c r="H190" s="139">
        <f t="shared" si="74"/>
        <v>7.8573324964312681</v>
      </c>
      <c r="I190" s="35">
        <v>72000000</v>
      </c>
      <c r="J190" s="35">
        <v>0</v>
      </c>
      <c r="K190" s="36">
        <v>42654</v>
      </c>
      <c r="L190" s="35">
        <v>130000000</v>
      </c>
      <c r="M190" s="21">
        <f t="shared" si="75"/>
        <v>12.758904109589041</v>
      </c>
      <c r="N190" s="21">
        <f t="shared" si="102"/>
        <v>1.1058133734762565</v>
      </c>
      <c r="O190" s="35">
        <v>0</v>
      </c>
      <c r="P190" s="35">
        <f t="shared" si="76"/>
        <v>0</v>
      </c>
      <c r="Q190" s="35">
        <v>5</v>
      </c>
      <c r="R190" s="35">
        <f t="shared" si="77"/>
        <v>0.77815125038364363</v>
      </c>
      <c r="S190" s="45">
        <v>3.29</v>
      </c>
      <c r="T190" s="45">
        <f t="shared" si="103"/>
        <v>0.51719589794997434</v>
      </c>
      <c r="U190" s="175">
        <f t="shared" si="78"/>
        <v>0.80555555555555558</v>
      </c>
      <c r="V190" s="48">
        <f t="shared" si="79"/>
        <v>0.25661085587556831</v>
      </c>
      <c r="W190" s="35">
        <v>1801.1079999999999</v>
      </c>
      <c r="X190" s="35">
        <f t="shared" si="80"/>
        <v>3.2555397552391718</v>
      </c>
      <c r="Y190" s="35">
        <v>8416.6209999999992</v>
      </c>
      <c r="Z190" s="35">
        <f t="shared" si="81"/>
        <v>3.9251377713585649</v>
      </c>
      <c r="AA190" s="37">
        <v>0</v>
      </c>
      <c r="AB190" s="37">
        <f t="shared" si="82"/>
        <v>0</v>
      </c>
      <c r="AC190" s="35">
        <v>85</v>
      </c>
      <c r="AD190" s="35">
        <f t="shared" si="104"/>
        <v>1.9294189257142926</v>
      </c>
      <c r="AE190" s="48">
        <v>32.299999999999997</v>
      </c>
      <c r="AF190" s="48">
        <f t="shared" si="105"/>
        <v>1.5092025223311027</v>
      </c>
      <c r="AG190" s="43">
        <v>40.040400531970803</v>
      </c>
      <c r="AH190" s="43">
        <f t="shared" si="106"/>
        <v>1.6024984131617945</v>
      </c>
      <c r="AI190" s="39">
        <v>-0.21</v>
      </c>
      <c r="AJ190" s="48">
        <f t="shared" si="83"/>
        <v>-0.10237290870955855</v>
      </c>
      <c r="AK190" s="35">
        <v>15</v>
      </c>
      <c r="AL190" s="35">
        <f t="shared" si="107"/>
        <v>1.1760912590556813</v>
      </c>
      <c r="AM190" s="35">
        <f t="shared" si="84"/>
        <v>0</v>
      </c>
      <c r="AN190" s="35">
        <f t="shared" si="85"/>
        <v>0</v>
      </c>
      <c r="AO190" s="35">
        <f t="shared" si="86"/>
        <v>1</v>
      </c>
      <c r="AP190" s="35">
        <f t="shared" si="87"/>
        <v>0</v>
      </c>
      <c r="AQ190" s="35">
        <f t="shared" si="88"/>
        <v>0</v>
      </c>
      <c r="AR190" s="35">
        <f t="shared" si="89"/>
        <v>0</v>
      </c>
      <c r="AS190" s="35">
        <f t="shared" si="90"/>
        <v>0</v>
      </c>
      <c r="AT190" s="35">
        <f t="shared" si="91"/>
        <v>0</v>
      </c>
      <c r="AU190" s="35">
        <f t="shared" si="92"/>
        <v>0</v>
      </c>
      <c r="AV190" s="35">
        <f t="shared" si="93"/>
        <v>0</v>
      </c>
      <c r="AW190" s="35">
        <f t="shared" si="94"/>
        <v>0</v>
      </c>
      <c r="AX190" s="35">
        <f t="shared" si="95"/>
        <v>0</v>
      </c>
      <c r="AY190" s="35">
        <f t="shared" si="96"/>
        <v>0</v>
      </c>
      <c r="AZ190" s="35">
        <f t="shared" si="97"/>
        <v>0</v>
      </c>
      <c r="BA190" s="35">
        <f t="shared" si="98"/>
        <v>0</v>
      </c>
      <c r="BB190" s="35">
        <f t="shared" si="99"/>
        <v>0</v>
      </c>
      <c r="BC190" s="35">
        <f t="shared" si="100"/>
        <v>0</v>
      </c>
    </row>
    <row r="191" spans="1:55" s="35" customFormat="1" x14ac:dyDescent="0.35">
      <c r="A191" s="36">
        <v>38001</v>
      </c>
      <c r="B191" s="35" t="s">
        <v>440</v>
      </c>
      <c r="C191" s="35" t="s">
        <v>1</v>
      </c>
      <c r="D191" s="35" t="s">
        <v>4</v>
      </c>
      <c r="E191" s="35" t="s">
        <v>125</v>
      </c>
      <c r="F191" s="139">
        <f t="shared" si="73"/>
        <v>1</v>
      </c>
      <c r="G191" s="35">
        <v>197318285</v>
      </c>
      <c r="H191" s="139">
        <f t="shared" si="74"/>
        <v>8.2951673321181332</v>
      </c>
      <c r="I191" s="35">
        <f>G191</f>
        <v>197318285</v>
      </c>
      <c r="J191" s="35">
        <v>0</v>
      </c>
      <c r="K191" s="36">
        <v>41918</v>
      </c>
      <c r="L191" s="35">
        <v>1160000000</v>
      </c>
      <c r="M191" s="21">
        <f t="shared" si="75"/>
        <v>10.731506849315069</v>
      </c>
      <c r="N191" s="21">
        <f t="shared" si="102"/>
        <v>1.0306607070913911</v>
      </c>
      <c r="O191" s="35">
        <v>416.73</v>
      </c>
      <c r="P191" s="35">
        <f t="shared" si="76"/>
        <v>2.6208956659919629</v>
      </c>
      <c r="Q191" s="35">
        <v>106</v>
      </c>
      <c r="R191" s="35">
        <f t="shared" si="77"/>
        <v>2.0293837776852097</v>
      </c>
      <c r="S191" s="45">
        <v>3.65</v>
      </c>
      <c r="T191" s="45">
        <f t="shared" si="103"/>
        <v>0.56229286445647475</v>
      </c>
      <c r="U191" s="175">
        <f t="shared" si="78"/>
        <v>4.878826688565634</v>
      </c>
      <c r="V191" s="48">
        <f t="shared" si="79"/>
        <v>0.76929065710878552</v>
      </c>
      <c r="W191" s="35">
        <v>1543.2098765432097</v>
      </c>
      <c r="X191" s="35">
        <f t="shared" si="80"/>
        <v>3.1884249941294067</v>
      </c>
      <c r="Y191" s="35">
        <v>8692.1296296296296</v>
      </c>
      <c r="Z191" s="35">
        <f t="shared" si="81"/>
        <v>3.9391261945252749</v>
      </c>
      <c r="AA191" s="37">
        <v>217.833333333333</v>
      </c>
      <c r="AB191" s="37">
        <f t="shared" si="82"/>
        <v>2.3401134757058348</v>
      </c>
      <c r="AC191" s="35">
        <v>70</v>
      </c>
      <c r="AD191" s="35">
        <f t="shared" si="104"/>
        <v>1.8450980400142569</v>
      </c>
      <c r="AE191" s="48">
        <v>42.4</v>
      </c>
      <c r="AF191" s="48">
        <f t="shared" si="105"/>
        <v>1.6273658565927327</v>
      </c>
      <c r="AG191" s="43">
        <v>44.9782573439335</v>
      </c>
      <c r="AH191" s="43">
        <f t="shared" si="106"/>
        <v>1.6530026249418825</v>
      </c>
      <c r="AI191" s="39">
        <v>0.24</v>
      </c>
      <c r="AJ191" s="48">
        <f t="shared" si="83"/>
        <v>9.3421685162235063E-2</v>
      </c>
      <c r="AK191" s="35">
        <v>21</v>
      </c>
      <c r="AL191" s="35">
        <f t="shared" si="107"/>
        <v>1.3222192947339193</v>
      </c>
      <c r="AM191" s="35">
        <f t="shared" si="84"/>
        <v>0</v>
      </c>
      <c r="AN191" s="35">
        <f t="shared" si="85"/>
        <v>0</v>
      </c>
      <c r="AO191" s="35">
        <f t="shared" si="86"/>
        <v>0</v>
      </c>
      <c r="AP191" s="35">
        <f t="shared" si="87"/>
        <v>1</v>
      </c>
      <c r="AQ191" s="35">
        <f t="shared" si="88"/>
        <v>0</v>
      </c>
      <c r="AR191" s="35">
        <f t="shared" si="89"/>
        <v>0</v>
      </c>
      <c r="AS191" s="35">
        <f t="shared" si="90"/>
        <v>0</v>
      </c>
      <c r="AT191" s="35">
        <f t="shared" si="91"/>
        <v>0</v>
      </c>
      <c r="AU191" s="35">
        <f t="shared" si="92"/>
        <v>0</v>
      </c>
      <c r="AV191" s="35">
        <f t="shared" si="93"/>
        <v>0</v>
      </c>
      <c r="AW191" s="35">
        <f t="shared" si="94"/>
        <v>0</v>
      </c>
      <c r="AX191" s="35">
        <f t="shared" si="95"/>
        <v>0</v>
      </c>
      <c r="AY191" s="35">
        <f t="shared" si="96"/>
        <v>0</v>
      </c>
      <c r="AZ191" s="35">
        <f t="shared" si="97"/>
        <v>0</v>
      </c>
      <c r="BA191" s="35">
        <f t="shared" si="98"/>
        <v>0</v>
      </c>
      <c r="BB191" s="35">
        <f t="shared" si="99"/>
        <v>0</v>
      </c>
      <c r="BC191" s="35">
        <f t="shared" si="100"/>
        <v>0</v>
      </c>
    </row>
    <row r="192" spans="1:55" s="35" customFormat="1" x14ac:dyDescent="0.35">
      <c r="A192" s="36">
        <v>38008</v>
      </c>
      <c r="B192" s="35" t="s">
        <v>659</v>
      </c>
      <c r="C192" s="35" t="s">
        <v>2</v>
      </c>
      <c r="D192" s="35" t="s">
        <v>602</v>
      </c>
      <c r="E192" s="35" t="s">
        <v>64</v>
      </c>
      <c r="F192" s="139">
        <f t="shared" si="73"/>
        <v>1</v>
      </c>
      <c r="G192" s="35">
        <v>500000000</v>
      </c>
      <c r="H192" s="139">
        <f t="shared" si="74"/>
        <v>8.6989700043360187</v>
      </c>
      <c r="I192" s="35">
        <f>G192</f>
        <v>500000000</v>
      </c>
      <c r="J192" s="35">
        <v>0</v>
      </c>
      <c r="K192" s="36">
        <v>39233</v>
      </c>
      <c r="L192" s="35">
        <v>1450000000</v>
      </c>
      <c r="M192" s="21">
        <f t="shared" si="75"/>
        <v>3.3561643835616439</v>
      </c>
      <c r="N192" s="21">
        <f t="shared" si="102"/>
        <v>0.52584322424407659</v>
      </c>
      <c r="O192" s="35">
        <v>6815.73</v>
      </c>
      <c r="P192" s="35">
        <f t="shared" si="76"/>
        <v>3.8335760926148099</v>
      </c>
      <c r="Q192" s="35">
        <v>112</v>
      </c>
      <c r="R192" s="35">
        <f t="shared" si="77"/>
        <v>2.0530784434834195</v>
      </c>
      <c r="S192" s="45">
        <v>2.85</v>
      </c>
      <c r="T192" s="45">
        <f t="shared" si="103"/>
        <v>0.45484486000851021</v>
      </c>
      <c r="U192" s="175">
        <f t="shared" si="78"/>
        <v>1.9</v>
      </c>
      <c r="V192" s="48">
        <f t="shared" si="79"/>
        <v>0.46239799789895608</v>
      </c>
      <c r="W192" s="35">
        <v>2315.9650000000001</v>
      </c>
      <c r="X192" s="35">
        <f t="shared" si="80"/>
        <v>3.3647319918335836</v>
      </c>
      <c r="Y192" s="35">
        <v>3703.9029999999998</v>
      </c>
      <c r="Z192" s="35">
        <f t="shared" si="81"/>
        <v>3.568659604598353</v>
      </c>
      <c r="AA192" s="37">
        <v>819</v>
      </c>
      <c r="AB192" s="37">
        <f t="shared" si="82"/>
        <v>2.9138138523837167</v>
      </c>
      <c r="AC192" s="35">
        <v>70</v>
      </c>
      <c r="AD192" s="35">
        <f t="shared" si="104"/>
        <v>1.8450980400142569</v>
      </c>
      <c r="AE192" s="48">
        <v>33.9</v>
      </c>
      <c r="AF192" s="48">
        <f t="shared" si="105"/>
        <v>1.5301996982030821</v>
      </c>
      <c r="AG192" s="43">
        <v>46.312020505412598</v>
      </c>
      <c r="AH192" s="43">
        <f t="shared" si="106"/>
        <v>1.6656937288498501</v>
      </c>
      <c r="AI192" s="39">
        <v>0.11</v>
      </c>
      <c r="AJ192" s="48">
        <f t="shared" si="83"/>
        <v>4.5322978786657475E-2</v>
      </c>
      <c r="AK192" s="35">
        <v>19</v>
      </c>
      <c r="AL192" s="35">
        <f t="shared" si="107"/>
        <v>1.2787536009528289</v>
      </c>
      <c r="AM192" s="35">
        <f t="shared" si="84"/>
        <v>0</v>
      </c>
      <c r="AN192" s="35">
        <f t="shared" si="85"/>
        <v>0</v>
      </c>
      <c r="AO192" s="35">
        <f t="shared" si="86"/>
        <v>0</v>
      </c>
      <c r="AP192" s="35">
        <f t="shared" si="87"/>
        <v>0</v>
      </c>
      <c r="AQ192" s="35">
        <f t="shared" si="88"/>
        <v>0</v>
      </c>
      <c r="AR192" s="35">
        <f t="shared" si="89"/>
        <v>0</v>
      </c>
      <c r="AS192" s="35">
        <f t="shared" si="90"/>
        <v>0</v>
      </c>
      <c r="AT192" s="35">
        <f t="shared" si="91"/>
        <v>0</v>
      </c>
      <c r="AU192" s="35">
        <f t="shared" si="92"/>
        <v>0</v>
      </c>
      <c r="AV192" s="35">
        <f t="shared" si="93"/>
        <v>1</v>
      </c>
      <c r="AW192" s="35">
        <f t="shared" si="94"/>
        <v>0</v>
      </c>
      <c r="AX192" s="35">
        <f t="shared" si="95"/>
        <v>0</v>
      </c>
      <c r="AY192" s="35">
        <f t="shared" si="96"/>
        <v>0</v>
      </c>
      <c r="AZ192" s="35">
        <f t="shared" si="97"/>
        <v>0</v>
      </c>
      <c r="BA192" s="35">
        <f t="shared" si="98"/>
        <v>0</v>
      </c>
      <c r="BB192" s="35">
        <f t="shared" si="99"/>
        <v>0</v>
      </c>
      <c r="BC192" s="35">
        <f t="shared" si="100"/>
        <v>0</v>
      </c>
    </row>
    <row r="193" spans="1:55" s="35" customFormat="1" x14ac:dyDescent="0.35">
      <c r="A193" s="36">
        <v>38009</v>
      </c>
      <c r="B193" s="35" t="s">
        <v>959</v>
      </c>
      <c r="C193" s="35" t="s">
        <v>6</v>
      </c>
      <c r="D193" s="35" t="s">
        <v>59</v>
      </c>
      <c r="E193" s="35" t="s">
        <v>64</v>
      </c>
      <c r="F193" s="139">
        <f t="shared" si="73"/>
        <v>1</v>
      </c>
      <c r="G193" s="35">
        <v>12980000</v>
      </c>
      <c r="H193" s="139">
        <f t="shared" si="74"/>
        <v>7.1132746924643504</v>
      </c>
      <c r="I193" s="35">
        <v>12030000</v>
      </c>
      <c r="J193" s="35">
        <v>960000</v>
      </c>
      <c r="K193" s="36">
        <v>38131</v>
      </c>
      <c r="L193" s="35">
        <v>30760000</v>
      </c>
      <c r="M193" s="21">
        <f t="shared" si="75"/>
        <v>0.33424657534246577</v>
      </c>
      <c r="N193" s="21">
        <f t="shared" si="102"/>
        <v>-0.47593303378172647</v>
      </c>
      <c r="O193" s="35">
        <v>320.77</v>
      </c>
      <c r="P193" s="35">
        <f t="shared" si="76"/>
        <v>2.5075455505094206</v>
      </c>
      <c r="Q193" s="35">
        <v>9</v>
      </c>
      <c r="R193" s="35">
        <f t="shared" si="77"/>
        <v>1</v>
      </c>
      <c r="S193" s="45">
        <v>2.91</v>
      </c>
      <c r="T193" s="45">
        <f t="shared" si="103"/>
        <v>0.46389298898590731</v>
      </c>
      <c r="U193" s="175">
        <f t="shared" si="78"/>
        <v>1.36979969183359</v>
      </c>
      <c r="V193" s="48">
        <f t="shared" si="79"/>
        <v>0.37471163866504298</v>
      </c>
      <c r="W193" s="35">
        <v>4375.8573388203013</v>
      </c>
      <c r="X193" s="35">
        <f t="shared" si="80"/>
        <v>3.6410631547392063</v>
      </c>
      <c r="Y193" s="35">
        <v>5027.4348422496569</v>
      </c>
      <c r="Z193" s="35">
        <f t="shared" si="81"/>
        <v>3.7013464506591722</v>
      </c>
      <c r="AA193" s="37">
        <v>447.5</v>
      </c>
      <c r="AB193" s="37">
        <f t="shared" si="82"/>
        <v>2.6517624473801109</v>
      </c>
      <c r="AC193" s="35">
        <v>70</v>
      </c>
      <c r="AD193" s="35">
        <f t="shared" si="104"/>
        <v>1.8450980400142569</v>
      </c>
      <c r="AE193" s="48">
        <v>43.2</v>
      </c>
      <c r="AF193" s="48">
        <f t="shared" si="105"/>
        <v>1.6354837468149122</v>
      </c>
      <c r="AG193" s="43">
        <v>48.933014808972402</v>
      </c>
      <c r="AH193" s="43">
        <f t="shared" si="106"/>
        <v>1.6896019738749151</v>
      </c>
      <c r="AI193" s="39">
        <v>0.16</v>
      </c>
      <c r="AJ193" s="48">
        <f t="shared" si="83"/>
        <v>6.445798922691845E-2</v>
      </c>
      <c r="AK193" s="35">
        <v>19</v>
      </c>
      <c r="AL193" s="35">
        <f t="shared" si="107"/>
        <v>1.2787536009528289</v>
      </c>
      <c r="AM193" s="35">
        <f t="shared" si="84"/>
        <v>0</v>
      </c>
      <c r="AN193" s="35">
        <f t="shared" si="85"/>
        <v>0</v>
      </c>
      <c r="AO193" s="35">
        <f t="shared" si="86"/>
        <v>0</v>
      </c>
      <c r="AP193" s="35">
        <f t="shared" si="87"/>
        <v>0</v>
      </c>
      <c r="AQ193" s="35">
        <f t="shared" si="88"/>
        <v>0</v>
      </c>
      <c r="AR193" s="35">
        <f t="shared" si="89"/>
        <v>0</v>
      </c>
      <c r="AS193" s="35">
        <f t="shared" si="90"/>
        <v>0</v>
      </c>
      <c r="AT193" s="35">
        <f t="shared" si="91"/>
        <v>0</v>
      </c>
      <c r="AU193" s="35">
        <f t="shared" si="92"/>
        <v>1</v>
      </c>
      <c r="AV193" s="35">
        <f t="shared" si="93"/>
        <v>0</v>
      </c>
      <c r="AW193" s="35">
        <f t="shared" si="94"/>
        <v>0</v>
      </c>
      <c r="AX193" s="35">
        <f t="shared" si="95"/>
        <v>0</v>
      </c>
      <c r="AY193" s="35">
        <f t="shared" si="96"/>
        <v>0</v>
      </c>
      <c r="AZ193" s="35">
        <f t="shared" si="97"/>
        <v>0</v>
      </c>
      <c r="BA193" s="35">
        <f t="shared" si="98"/>
        <v>0</v>
      </c>
      <c r="BB193" s="35">
        <f t="shared" si="99"/>
        <v>0</v>
      </c>
      <c r="BC193" s="35">
        <f t="shared" si="100"/>
        <v>0</v>
      </c>
    </row>
    <row r="194" spans="1:55" s="35" customFormat="1" x14ac:dyDescent="0.35">
      <c r="A194" s="36">
        <v>38016</v>
      </c>
      <c r="B194" s="35" t="s">
        <v>539</v>
      </c>
      <c r="C194" s="35" t="s">
        <v>59</v>
      </c>
      <c r="D194" s="35" t="s">
        <v>45</v>
      </c>
      <c r="E194" s="35" t="s">
        <v>125</v>
      </c>
      <c r="F194" s="139">
        <f t="shared" ref="F194:F257" si="108">IF(E194="domestic",0,1)</f>
        <v>1</v>
      </c>
      <c r="G194" s="35">
        <v>350000000</v>
      </c>
      <c r="H194" s="139">
        <f t="shared" ref="H194:H257" si="109">LOG(G194)</f>
        <v>8.5440680443502757</v>
      </c>
      <c r="I194" s="35">
        <f>G194</f>
        <v>350000000</v>
      </c>
      <c r="J194" s="35">
        <v>0</v>
      </c>
      <c r="K194" s="36">
        <v>38807</v>
      </c>
      <c r="L194" s="35">
        <v>350000000</v>
      </c>
      <c r="M194" s="21">
        <f t="shared" ref="M194:M257" si="110">YEARFRAC(A194,K194,3)</f>
        <v>2.1671232876712327</v>
      </c>
      <c r="N194" s="21">
        <f t="shared" si="102"/>
        <v>0.33588361904120184</v>
      </c>
      <c r="O194" s="35">
        <v>5897.96</v>
      </c>
      <c r="P194" s="35">
        <f t="shared" ref="P194:P257" si="111">LOG(1+O194)</f>
        <v>3.7707754512906644</v>
      </c>
      <c r="Q194" s="35">
        <v>39</v>
      </c>
      <c r="R194" s="35">
        <f t="shared" ref="R194:R257" si="112">LOG(1+Q194)</f>
        <v>1.6020599913279623</v>
      </c>
      <c r="S194" s="45">
        <v>2.3199999999999998</v>
      </c>
      <c r="T194" s="45">
        <f t="shared" si="103"/>
        <v>0.36548798489089962</v>
      </c>
      <c r="U194" s="175">
        <f t="shared" ref="U194:U257" si="113">(L194/G194)-1</f>
        <v>0</v>
      </c>
      <c r="V194" s="48">
        <f t="shared" ref="V194:V257" si="114">IF(U194=-1,LOG(0.1),LOG(1+U194))</f>
        <v>0</v>
      </c>
      <c r="W194" s="35">
        <v>2232.1428571428569</v>
      </c>
      <c r="X194" s="35">
        <f t="shared" ref="X194:X257" si="115">LOG(W194)</f>
        <v>3.348721986001856</v>
      </c>
      <c r="Y194" s="35">
        <v>5650.5102040816337</v>
      </c>
      <c r="Z194" s="35">
        <f t="shared" ref="Z194:Z257" si="116">LOG(Y194)</f>
        <v>3.7520876635386311</v>
      </c>
      <c r="AA194" s="37">
        <v>132</v>
      </c>
      <c r="AB194" s="37">
        <f t="shared" ref="AB194:AB257" si="117">IF(AA194=0,0,LOG(1+AA194))</f>
        <v>2.1238516409670858</v>
      </c>
      <c r="AC194" s="35">
        <v>85</v>
      </c>
      <c r="AD194" s="35">
        <f t="shared" si="104"/>
        <v>1.9294189257142926</v>
      </c>
      <c r="AE194" s="48">
        <v>32.299999999999997</v>
      </c>
      <c r="AF194" s="48">
        <f t="shared" si="105"/>
        <v>1.5092025223311027</v>
      </c>
      <c r="AG194" s="43">
        <v>40.040400531970803</v>
      </c>
      <c r="AH194" s="43">
        <f t="shared" si="106"/>
        <v>1.6024984131617945</v>
      </c>
      <c r="AI194" s="39">
        <v>-0.1</v>
      </c>
      <c r="AJ194" s="48">
        <f t="shared" ref="AJ194:AJ257" si="118">LOG(1+AI194)</f>
        <v>-4.5757490560675115E-2</v>
      </c>
      <c r="AK194" s="35">
        <v>22</v>
      </c>
      <c r="AL194" s="35">
        <f t="shared" si="107"/>
        <v>1.3424226808222062</v>
      </c>
      <c r="AM194" s="35">
        <f t="shared" ref="AM194:AM257" si="119">IF(V194=-1,1,0)</f>
        <v>0</v>
      </c>
      <c r="AN194" s="35">
        <f t="shared" ref="AN194:AN257" si="120">IF($C194="US",1,0)</f>
        <v>0</v>
      </c>
      <c r="AO194" s="35">
        <f t="shared" ref="AO194:AO257" si="121">IF($C194="UK",1,0)</f>
        <v>1</v>
      </c>
      <c r="AP194" s="35">
        <f t="shared" ref="AP194:AP257" si="122">IF($C194="Norway",1,0)</f>
        <v>0</v>
      </c>
      <c r="AQ194" s="35">
        <f t="shared" ref="AQ194:AQ257" si="123">IF($C194="Denmark",1,0)</f>
        <v>0</v>
      </c>
      <c r="AR194" s="35">
        <f t="shared" ref="AR194:AR257" si="124">IF($C194="Sweden",1,0)</f>
        <v>0</v>
      </c>
      <c r="AS194" s="35">
        <f t="shared" ref="AS194:AS257" si="125">IF($C194="Netherlands",1,0)</f>
        <v>0</v>
      </c>
      <c r="AT194" s="35">
        <f t="shared" ref="AT194:AT257" si="126">IF($C194="France",1,0)</f>
        <v>0</v>
      </c>
      <c r="AU194" s="35">
        <f t="shared" ref="AU194:AU257" si="127">IF($C194="Belgium",1,0)</f>
        <v>0</v>
      </c>
      <c r="AV194" s="35">
        <f t="shared" ref="AV194:AV257" si="128">IF($C194="Germany",1,0)</f>
        <v>0</v>
      </c>
      <c r="AW194" s="35">
        <f t="shared" ref="AW194:AW257" si="129">IF($C194="Italy",1,0)</f>
        <v>0</v>
      </c>
      <c r="AX194" s="35">
        <f t="shared" ref="AX194:AX257" si="130">IF($C194="Spain",1,0)</f>
        <v>0</v>
      </c>
      <c r="AY194" s="35">
        <f t="shared" ref="AY194:AY257" si="131">IF($C194="Luxembourg",1,0)</f>
        <v>0</v>
      </c>
      <c r="AZ194" s="35">
        <f t="shared" ref="AZ194:AZ257" si="132">IF($C194="Portugal",1,0)</f>
        <v>0</v>
      </c>
      <c r="BA194" s="35">
        <f t="shared" ref="BA194:BA257" si="133">IF($C194="Switzerland",1,0)</f>
        <v>0</v>
      </c>
      <c r="BB194" s="35">
        <f t="shared" ref="BB194:BB257" si="134">IF($C194="Ireland",1,0)</f>
        <v>0</v>
      </c>
      <c r="BC194" s="35">
        <f t="shared" ref="BC194:BC257" si="135">IF($C194="Finland",1,0)</f>
        <v>0</v>
      </c>
    </row>
    <row r="195" spans="1:55" s="35" customFormat="1" x14ac:dyDescent="0.35">
      <c r="A195" s="36">
        <v>38021</v>
      </c>
      <c r="B195" s="35" t="s">
        <v>884</v>
      </c>
      <c r="C195" s="35" t="s">
        <v>2</v>
      </c>
      <c r="D195" s="35" t="s">
        <v>45</v>
      </c>
      <c r="E195" s="35" t="s">
        <v>64</v>
      </c>
      <c r="F195" s="139">
        <f t="shared" si="108"/>
        <v>1</v>
      </c>
      <c r="G195" s="35">
        <v>175100000</v>
      </c>
      <c r="H195" s="139">
        <f t="shared" si="109"/>
        <v>8.243286146083447</v>
      </c>
      <c r="I195" s="35">
        <f>G195</f>
        <v>175100000</v>
      </c>
      <c r="J195" s="35">
        <v>0</v>
      </c>
      <c r="K195" s="36">
        <v>38721</v>
      </c>
      <c r="L195" s="35">
        <v>592190000</v>
      </c>
      <c r="M195" s="21">
        <f t="shared" si="110"/>
        <v>1.9178082191780821</v>
      </c>
      <c r="N195" s="21">
        <f t="shared" ref="N195:N258" si="136">IF(M195=0,0,LOG(M195))</f>
        <v>0.28280517555778212</v>
      </c>
      <c r="O195" s="35">
        <v>6815.73</v>
      </c>
      <c r="P195" s="35">
        <f t="shared" si="111"/>
        <v>3.8335760926148099</v>
      </c>
      <c r="Q195" s="35">
        <v>114</v>
      </c>
      <c r="R195" s="35">
        <f t="shared" si="112"/>
        <v>2.0606978403536118</v>
      </c>
      <c r="S195" s="45">
        <v>2.85</v>
      </c>
      <c r="T195" s="45">
        <f t="shared" ref="T195:T258" si="137">LOG(S195)</f>
        <v>0.45484486000851021</v>
      </c>
      <c r="U195" s="175">
        <f t="shared" si="113"/>
        <v>2.3820102798400913</v>
      </c>
      <c r="V195" s="48">
        <f t="shared" si="114"/>
        <v>0.52917492333003802</v>
      </c>
      <c r="W195" s="35">
        <v>1490.3353057199211</v>
      </c>
      <c r="X195" s="35">
        <f t="shared" si="115"/>
        <v>3.17328398991646</v>
      </c>
      <c r="Y195" s="35">
        <v>6649.5726495726503</v>
      </c>
      <c r="Z195" s="35">
        <f t="shared" si="116"/>
        <v>3.8227937352435273</v>
      </c>
      <c r="AA195" s="37">
        <v>819</v>
      </c>
      <c r="AB195" s="37">
        <f t="shared" si="117"/>
        <v>2.9138138523837167</v>
      </c>
      <c r="AC195" s="35">
        <v>70</v>
      </c>
      <c r="AD195" s="35">
        <f t="shared" ref="AD195:AD258" si="138">LOG(AC195)</f>
        <v>1.8450980400142569</v>
      </c>
      <c r="AE195" s="48">
        <v>33.9</v>
      </c>
      <c r="AF195" s="48">
        <f t="shared" ref="AF195:AF258" si="139">LOG(AE195)</f>
        <v>1.5301996982030821</v>
      </c>
      <c r="AG195" s="43">
        <v>46.312020505412598</v>
      </c>
      <c r="AH195" s="43">
        <f t="shared" ref="AH195:AH258" si="140">LOG(AG195)</f>
        <v>1.6656937288498501</v>
      </c>
      <c r="AI195" s="39">
        <v>0.4</v>
      </c>
      <c r="AJ195" s="48">
        <f t="shared" si="118"/>
        <v>0.14612803567823801</v>
      </c>
      <c r="AK195" s="35">
        <v>18</v>
      </c>
      <c r="AL195" s="35">
        <f t="shared" ref="AL195:AL258" si="141">IF(AK195=0,0,LOG(AK195))</f>
        <v>1.255272505103306</v>
      </c>
      <c r="AM195" s="35">
        <f t="shared" si="119"/>
        <v>0</v>
      </c>
      <c r="AN195" s="35">
        <f t="shared" si="120"/>
        <v>0</v>
      </c>
      <c r="AO195" s="35">
        <f t="shared" si="121"/>
        <v>0</v>
      </c>
      <c r="AP195" s="35">
        <f t="shared" si="122"/>
        <v>0</v>
      </c>
      <c r="AQ195" s="35">
        <f t="shared" si="123"/>
        <v>0</v>
      </c>
      <c r="AR195" s="35">
        <f t="shared" si="124"/>
        <v>0</v>
      </c>
      <c r="AS195" s="35">
        <f t="shared" si="125"/>
        <v>0</v>
      </c>
      <c r="AT195" s="35">
        <f t="shared" si="126"/>
        <v>0</v>
      </c>
      <c r="AU195" s="35">
        <f t="shared" si="127"/>
        <v>0</v>
      </c>
      <c r="AV195" s="35">
        <f t="shared" si="128"/>
        <v>1</v>
      </c>
      <c r="AW195" s="35">
        <f t="shared" si="129"/>
        <v>0</v>
      </c>
      <c r="AX195" s="35">
        <f t="shared" si="130"/>
        <v>0</v>
      </c>
      <c r="AY195" s="35">
        <f t="shared" si="131"/>
        <v>0</v>
      </c>
      <c r="AZ195" s="35">
        <f t="shared" si="132"/>
        <v>0</v>
      </c>
      <c r="BA195" s="35">
        <f t="shared" si="133"/>
        <v>0</v>
      </c>
      <c r="BB195" s="35">
        <f t="shared" si="134"/>
        <v>0</v>
      </c>
      <c r="BC195" s="35">
        <f t="shared" si="135"/>
        <v>0</v>
      </c>
    </row>
    <row r="196" spans="1:55" s="35" customFormat="1" x14ac:dyDescent="0.35">
      <c r="A196" s="36">
        <v>38049</v>
      </c>
      <c r="B196" s="35" t="s">
        <v>1294</v>
      </c>
      <c r="C196" s="35" t="s">
        <v>45</v>
      </c>
      <c r="D196" s="35" t="s">
        <v>602</v>
      </c>
      <c r="E196" s="35" t="s">
        <v>47</v>
      </c>
      <c r="F196" s="139">
        <f t="shared" si="108"/>
        <v>0</v>
      </c>
      <c r="G196" s="35">
        <v>271100000</v>
      </c>
      <c r="H196" s="139">
        <f t="shared" si="109"/>
        <v>8.4331295175804861</v>
      </c>
      <c r="I196" s="35">
        <f>G196</f>
        <v>271100000</v>
      </c>
      <c r="J196" s="35">
        <v>0</v>
      </c>
      <c r="K196" s="36">
        <v>38454</v>
      </c>
      <c r="L196" s="35">
        <v>363000000</v>
      </c>
      <c r="M196" s="21">
        <f t="shared" si="110"/>
        <v>1.1095890410958904</v>
      </c>
      <c r="N196" s="21">
        <f t="shared" si="136"/>
        <v>4.5162158758193849E-2</v>
      </c>
      <c r="O196" s="35">
        <v>0</v>
      </c>
      <c r="P196" s="35">
        <f t="shared" si="111"/>
        <v>0</v>
      </c>
      <c r="Q196" s="35">
        <v>21</v>
      </c>
      <c r="R196" s="35">
        <f t="shared" si="112"/>
        <v>1.3424226808222062</v>
      </c>
      <c r="S196" s="45">
        <v>2.95</v>
      </c>
      <c r="T196" s="45">
        <f t="shared" si="137"/>
        <v>0.46982201597816303</v>
      </c>
      <c r="U196" s="175">
        <f t="shared" si="113"/>
        <v>0.33898930284028039</v>
      </c>
      <c r="V196" s="48">
        <f t="shared" si="114"/>
        <v>0.12677710745562698</v>
      </c>
      <c r="W196" s="35">
        <v>1246.953</v>
      </c>
      <c r="X196" s="35">
        <f t="shared" si="115"/>
        <v>3.0958500844125241</v>
      </c>
      <c r="Y196" s="35">
        <v>3219.7179999999998</v>
      </c>
      <c r="Z196" s="35">
        <f t="shared" si="116"/>
        <v>3.5078178355445662</v>
      </c>
      <c r="AA196" s="35">
        <v>0</v>
      </c>
      <c r="AB196" s="37">
        <f t="shared" si="117"/>
        <v>0</v>
      </c>
      <c r="AC196" s="35">
        <v>85</v>
      </c>
      <c r="AD196" s="35">
        <f t="shared" si="138"/>
        <v>1.9294189257142926</v>
      </c>
      <c r="AE196" s="48">
        <v>24.6</v>
      </c>
      <c r="AF196" s="48">
        <f t="shared" si="139"/>
        <v>1.3909351071033791</v>
      </c>
      <c r="AG196" s="43">
        <v>36.876470987978301</v>
      </c>
      <c r="AH196" s="43">
        <f t="shared" si="140"/>
        <v>1.5667493531684615</v>
      </c>
      <c r="AI196" s="39">
        <v>0.34</v>
      </c>
      <c r="AJ196" s="48">
        <f t="shared" si="118"/>
        <v>0.12710479836480765</v>
      </c>
      <c r="AK196" s="35">
        <v>19</v>
      </c>
      <c r="AL196" s="35">
        <f t="shared" si="141"/>
        <v>1.2787536009528289</v>
      </c>
      <c r="AM196" s="35">
        <f t="shared" si="119"/>
        <v>0</v>
      </c>
      <c r="AN196" s="35">
        <f t="shared" si="120"/>
        <v>1</v>
      </c>
      <c r="AO196" s="35">
        <f t="shared" si="121"/>
        <v>0</v>
      </c>
      <c r="AP196" s="35">
        <f t="shared" si="122"/>
        <v>0</v>
      </c>
      <c r="AQ196" s="35">
        <f t="shared" si="123"/>
        <v>0</v>
      </c>
      <c r="AR196" s="35">
        <f t="shared" si="124"/>
        <v>0</v>
      </c>
      <c r="AS196" s="35">
        <f t="shared" si="125"/>
        <v>0</v>
      </c>
      <c r="AT196" s="35">
        <f t="shared" si="126"/>
        <v>0</v>
      </c>
      <c r="AU196" s="35">
        <f t="shared" si="127"/>
        <v>0</v>
      </c>
      <c r="AV196" s="35">
        <f t="shared" si="128"/>
        <v>0</v>
      </c>
      <c r="AW196" s="35">
        <f t="shared" si="129"/>
        <v>0</v>
      </c>
      <c r="AX196" s="35">
        <f t="shared" si="130"/>
        <v>0</v>
      </c>
      <c r="AY196" s="35">
        <f t="shared" si="131"/>
        <v>0</v>
      </c>
      <c r="AZ196" s="35">
        <f t="shared" si="132"/>
        <v>0</v>
      </c>
      <c r="BA196" s="35">
        <f t="shared" si="133"/>
        <v>0</v>
      </c>
      <c r="BB196" s="35">
        <f t="shared" si="134"/>
        <v>0</v>
      </c>
      <c r="BC196" s="35">
        <f t="shared" si="135"/>
        <v>0</v>
      </c>
    </row>
    <row r="197" spans="1:55" s="35" customFormat="1" x14ac:dyDescent="0.35">
      <c r="A197" s="36">
        <v>38065</v>
      </c>
      <c r="B197" s="35" t="s">
        <v>405</v>
      </c>
      <c r="C197" s="35" t="s">
        <v>163</v>
      </c>
      <c r="D197" s="35" t="s">
        <v>45</v>
      </c>
      <c r="E197" s="35" t="s">
        <v>125</v>
      </c>
      <c r="F197" s="139">
        <f t="shared" si="108"/>
        <v>1</v>
      </c>
      <c r="G197" s="35">
        <v>442294000</v>
      </c>
      <c r="H197" s="139">
        <f t="shared" si="109"/>
        <v>8.6457110479281258</v>
      </c>
      <c r="I197" s="35">
        <v>442294000</v>
      </c>
      <c r="J197" s="35">
        <v>0</v>
      </c>
      <c r="K197" s="36">
        <v>39041</v>
      </c>
      <c r="L197" s="35">
        <v>865000000</v>
      </c>
      <c r="M197" s="21">
        <f t="shared" si="110"/>
        <v>2.6739726027397261</v>
      </c>
      <c r="N197" s="21">
        <f t="shared" si="136"/>
        <v>0.42715695321021713</v>
      </c>
      <c r="O197" s="35">
        <v>6164.6</v>
      </c>
      <c r="P197" s="35">
        <f t="shared" si="111"/>
        <v>3.7899753459779522</v>
      </c>
      <c r="Q197" s="35">
        <v>3</v>
      </c>
      <c r="R197" s="35">
        <f t="shared" si="112"/>
        <v>0.6020599913279624</v>
      </c>
      <c r="S197" s="45">
        <v>3.18</v>
      </c>
      <c r="T197" s="45">
        <f t="shared" si="137"/>
        <v>0.50242711998443268</v>
      </c>
      <c r="U197" s="175">
        <f t="shared" si="113"/>
        <v>0.95571271597625107</v>
      </c>
      <c r="V197" s="48">
        <f t="shared" si="114"/>
        <v>0.29130505953668856</v>
      </c>
      <c r="W197" s="35">
        <v>1248.0746999999999</v>
      </c>
      <c r="X197" s="35">
        <f t="shared" si="115"/>
        <v>3.0962405795987471</v>
      </c>
      <c r="Y197" s="35">
        <v>2518.2170000000001</v>
      </c>
      <c r="Z197" s="35">
        <f t="shared" si="116"/>
        <v>3.4010931514437841</v>
      </c>
      <c r="AA197" s="37">
        <v>583.83333333333303</v>
      </c>
      <c r="AB197" s="37">
        <f t="shared" si="117"/>
        <v>2.7670321178317625</v>
      </c>
      <c r="AC197" s="35">
        <v>70</v>
      </c>
      <c r="AD197" s="35">
        <f t="shared" si="138"/>
        <v>1.8450980400142569</v>
      </c>
      <c r="AE197" s="48">
        <v>42.4</v>
      </c>
      <c r="AF197" s="48">
        <f t="shared" si="139"/>
        <v>1.6273658565927327</v>
      </c>
      <c r="AG197" s="43">
        <v>52.984855215816303</v>
      </c>
      <c r="AH197" s="43">
        <f t="shared" si="140"/>
        <v>1.7241517519382803</v>
      </c>
      <c r="AI197" s="39">
        <v>0.31</v>
      </c>
      <c r="AJ197" s="48">
        <f t="shared" si="118"/>
        <v>0.11727129565576427</v>
      </c>
      <c r="AK197" s="35">
        <v>18</v>
      </c>
      <c r="AL197" s="35">
        <f t="shared" si="141"/>
        <v>1.255272505103306</v>
      </c>
      <c r="AM197" s="35">
        <f t="shared" si="119"/>
        <v>0</v>
      </c>
      <c r="AN197" s="35">
        <f t="shared" si="120"/>
        <v>0</v>
      </c>
      <c r="AO197" s="35">
        <f t="shared" si="121"/>
        <v>0</v>
      </c>
      <c r="AP197" s="35">
        <f t="shared" si="122"/>
        <v>0</v>
      </c>
      <c r="AQ197" s="35">
        <f t="shared" si="123"/>
        <v>0</v>
      </c>
      <c r="AR197" s="35">
        <f t="shared" si="124"/>
        <v>0</v>
      </c>
      <c r="AS197" s="35">
        <f t="shared" si="125"/>
        <v>0</v>
      </c>
      <c r="AT197" s="35">
        <f t="shared" si="126"/>
        <v>1</v>
      </c>
      <c r="AU197" s="35">
        <f t="shared" si="127"/>
        <v>0</v>
      </c>
      <c r="AV197" s="35">
        <f t="shared" si="128"/>
        <v>0</v>
      </c>
      <c r="AW197" s="35">
        <f t="shared" si="129"/>
        <v>0</v>
      </c>
      <c r="AX197" s="35">
        <f t="shared" si="130"/>
        <v>0</v>
      </c>
      <c r="AY197" s="35">
        <f t="shared" si="131"/>
        <v>0</v>
      </c>
      <c r="AZ197" s="35">
        <f t="shared" si="132"/>
        <v>0</v>
      </c>
      <c r="BA197" s="35">
        <f t="shared" si="133"/>
        <v>0</v>
      </c>
      <c r="BB197" s="35">
        <f t="shared" si="134"/>
        <v>0</v>
      </c>
      <c r="BC197" s="35">
        <f t="shared" si="135"/>
        <v>0</v>
      </c>
    </row>
    <row r="198" spans="1:55" s="35" customFormat="1" x14ac:dyDescent="0.35">
      <c r="A198" s="36">
        <v>38065</v>
      </c>
      <c r="B198" s="35" t="s">
        <v>564</v>
      </c>
      <c r="C198" s="35" t="s">
        <v>2</v>
      </c>
      <c r="D198" s="35" t="s">
        <v>59</v>
      </c>
      <c r="E198" s="35" t="s">
        <v>125</v>
      </c>
      <c r="F198" s="139">
        <f t="shared" si="108"/>
        <v>1</v>
      </c>
      <c r="G198" s="35">
        <v>115000000</v>
      </c>
      <c r="H198" s="139">
        <f t="shared" si="109"/>
        <v>8.0606978403536118</v>
      </c>
      <c r="I198" s="35">
        <f>G198</f>
        <v>115000000</v>
      </c>
      <c r="J198" s="35">
        <v>0</v>
      </c>
      <c r="K198" s="36">
        <v>39142</v>
      </c>
      <c r="L198" s="35">
        <v>200620000</v>
      </c>
      <c r="M198" s="21">
        <f t="shared" si="110"/>
        <v>2.9506849315068493</v>
      </c>
      <c r="N198" s="21">
        <f t="shared" si="136"/>
        <v>0.46992283884150687</v>
      </c>
      <c r="O198" s="35">
        <v>917.19</v>
      </c>
      <c r="P198" s="35">
        <f t="shared" si="111"/>
        <v>2.9629325585580042</v>
      </c>
      <c r="Q198" s="35">
        <v>80</v>
      </c>
      <c r="R198" s="35">
        <f t="shared" si="112"/>
        <v>1.9084850188786497</v>
      </c>
      <c r="S198" s="45">
        <v>2.62</v>
      </c>
      <c r="T198" s="45">
        <f t="shared" si="137"/>
        <v>0.41830129131974547</v>
      </c>
      <c r="U198" s="175">
        <f t="shared" si="113"/>
        <v>0.74452173913043485</v>
      </c>
      <c r="V198" s="48">
        <f t="shared" si="114"/>
        <v>0.24167638572197084</v>
      </c>
      <c r="W198" s="35">
        <v>1932.09461208012</v>
      </c>
      <c r="X198" s="35">
        <f t="shared" si="115"/>
        <v>3.2860283894181141</v>
      </c>
      <c r="Y198" s="35">
        <v>8126.3909735520938</v>
      </c>
      <c r="Z198" s="35">
        <f t="shared" si="116"/>
        <v>3.9098977130890344</v>
      </c>
      <c r="AA198" s="37">
        <v>854.66666666666697</v>
      </c>
      <c r="AB198" s="37">
        <f t="shared" si="117"/>
        <v>2.9323046139517812</v>
      </c>
      <c r="AC198" s="35">
        <v>70</v>
      </c>
      <c r="AD198" s="35">
        <f t="shared" si="138"/>
        <v>1.8450980400142569</v>
      </c>
      <c r="AE198" s="48">
        <v>33.9</v>
      </c>
      <c r="AF198" s="48">
        <f t="shared" si="139"/>
        <v>1.5301996982030821</v>
      </c>
      <c r="AG198" s="43">
        <v>46.312020505412598</v>
      </c>
      <c r="AH198" s="43">
        <f t="shared" si="140"/>
        <v>1.6656937288498501</v>
      </c>
      <c r="AI198" s="39">
        <v>0.33</v>
      </c>
      <c r="AJ198" s="48">
        <f t="shared" si="118"/>
        <v>0.12385164096708581</v>
      </c>
      <c r="AK198" s="35">
        <v>29</v>
      </c>
      <c r="AL198" s="35">
        <f t="shared" si="141"/>
        <v>1.4623979978989561</v>
      </c>
      <c r="AM198" s="35">
        <f t="shared" si="119"/>
        <v>0</v>
      </c>
      <c r="AN198" s="35">
        <f t="shared" si="120"/>
        <v>0</v>
      </c>
      <c r="AO198" s="35">
        <f t="shared" si="121"/>
        <v>0</v>
      </c>
      <c r="AP198" s="35">
        <f t="shared" si="122"/>
        <v>0</v>
      </c>
      <c r="AQ198" s="35">
        <f t="shared" si="123"/>
        <v>0</v>
      </c>
      <c r="AR198" s="35">
        <f t="shared" si="124"/>
        <v>0</v>
      </c>
      <c r="AS198" s="35">
        <f t="shared" si="125"/>
        <v>0</v>
      </c>
      <c r="AT198" s="35">
        <f t="shared" si="126"/>
        <v>0</v>
      </c>
      <c r="AU198" s="35">
        <f t="shared" si="127"/>
        <v>0</v>
      </c>
      <c r="AV198" s="35">
        <f t="shared" si="128"/>
        <v>1</v>
      </c>
      <c r="AW198" s="35">
        <f t="shared" si="129"/>
        <v>0</v>
      </c>
      <c r="AX198" s="35">
        <f t="shared" si="130"/>
        <v>0</v>
      </c>
      <c r="AY198" s="35">
        <f t="shared" si="131"/>
        <v>0</v>
      </c>
      <c r="AZ198" s="35">
        <f t="shared" si="132"/>
        <v>0</v>
      </c>
      <c r="BA198" s="35">
        <f t="shared" si="133"/>
        <v>0</v>
      </c>
      <c r="BB198" s="35">
        <f t="shared" si="134"/>
        <v>0</v>
      </c>
      <c r="BC198" s="35">
        <f t="shared" si="135"/>
        <v>0</v>
      </c>
    </row>
    <row r="199" spans="1:55" s="35" customFormat="1" x14ac:dyDescent="0.35">
      <c r="A199" s="36">
        <v>38075</v>
      </c>
      <c r="B199" s="35" t="s">
        <v>1287</v>
      </c>
      <c r="C199" s="35" t="s">
        <v>45</v>
      </c>
      <c r="D199" s="35" t="s">
        <v>602</v>
      </c>
      <c r="E199" s="35" t="s">
        <v>47</v>
      </c>
      <c r="F199" s="139">
        <f t="shared" si="108"/>
        <v>0</v>
      </c>
      <c r="G199" s="35">
        <v>125500000</v>
      </c>
      <c r="H199" s="139">
        <f t="shared" si="109"/>
        <v>8.0986437258170572</v>
      </c>
      <c r="I199" s="35">
        <f>G199</f>
        <v>125500000</v>
      </c>
      <c r="J199" s="35">
        <v>0</v>
      </c>
      <c r="K199" s="36">
        <v>39647</v>
      </c>
      <c r="L199" s="35">
        <v>275000000</v>
      </c>
      <c r="M199" s="21">
        <f t="shared" si="110"/>
        <v>4.3068493150684928</v>
      </c>
      <c r="N199" s="21">
        <f t="shared" si="136"/>
        <v>0.63415967724691436</v>
      </c>
      <c r="O199" s="35">
        <v>0</v>
      </c>
      <c r="P199" s="35">
        <f t="shared" si="111"/>
        <v>0</v>
      </c>
      <c r="Q199" s="35">
        <v>44</v>
      </c>
      <c r="R199" s="35">
        <f t="shared" si="112"/>
        <v>1.6532125137753437</v>
      </c>
      <c r="S199" s="45">
        <v>2.95</v>
      </c>
      <c r="T199" s="45">
        <f t="shared" si="137"/>
        <v>0.46982201597816303</v>
      </c>
      <c r="U199" s="175">
        <f t="shared" si="113"/>
        <v>1.191235059760956</v>
      </c>
      <c r="V199" s="48">
        <f t="shared" si="114"/>
        <v>0.3406889680132057</v>
      </c>
      <c r="W199" s="35">
        <v>1246.953</v>
      </c>
      <c r="X199" s="35">
        <f t="shared" si="115"/>
        <v>3.0958500844125241</v>
      </c>
      <c r="Y199" s="35">
        <v>3219.7179999999998</v>
      </c>
      <c r="Z199" s="35">
        <f t="shared" si="116"/>
        <v>3.5078178355445662</v>
      </c>
      <c r="AA199" s="35">
        <v>0</v>
      </c>
      <c r="AB199" s="37">
        <f t="shared" si="117"/>
        <v>0</v>
      </c>
      <c r="AC199" s="35">
        <v>85</v>
      </c>
      <c r="AD199" s="35">
        <f t="shared" si="138"/>
        <v>1.9294189257142926</v>
      </c>
      <c r="AE199" s="48">
        <v>24.6</v>
      </c>
      <c r="AF199" s="48">
        <f t="shared" si="139"/>
        <v>1.3909351071033791</v>
      </c>
      <c r="AG199" s="43">
        <v>36.876470987978301</v>
      </c>
      <c r="AH199" s="43">
        <f t="shared" si="140"/>
        <v>1.5667493531684615</v>
      </c>
      <c r="AI199" s="39">
        <v>0.1</v>
      </c>
      <c r="AJ199" s="48">
        <f t="shared" si="118"/>
        <v>4.1392685158225077E-2</v>
      </c>
      <c r="AK199" s="35">
        <v>11</v>
      </c>
      <c r="AL199" s="35">
        <f t="shared" si="141"/>
        <v>1.0413926851582251</v>
      </c>
      <c r="AM199" s="35">
        <f t="shared" si="119"/>
        <v>0</v>
      </c>
      <c r="AN199" s="35">
        <f t="shared" si="120"/>
        <v>1</v>
      </c>
      <c r="AO199" s="35">
        <f t="shared" si="121"/>
        <v>0</v>
      </c>
      <c r="AP199" s="35">
        <f t="shared" si="122"/>
        <v>0</v>
      </c>
      <c r="AQ199" s="35">
        <f t="shared" si="123"/>
        <v>0</v>
      </c>
      <c r="AR199" s="35">
        <f t="shared" si="124"/>
        <v>0</v>
      </c>
      <c r="AS199" s="35">
        <f t="shared" si="125"/>
        <v>0</v>
      </c>
      <c r="AT199" s="35">
        <f t="shared" si="126"/>
        <v>0</v>
      </c>
      <c r="AU199" s="35">
        <f t="shared" si="127"/>
        <v>0</v>
      </c>
      <c r="AV199" s="35">
        <f t="shared" si="128"/>
        <v>0</v>
      </c>
      <c r="AW199" s="35">
        <f t="shared" si="129"/>
        <v>0</v>
      </c>
      <c r="AX199" s="35">
        <f t="shared" si="130"/>
        <v>0</v>
      </c>
      <c r="AY199" s="35">
        <f t="shared" si="131"/>
        <v>0</v>
      </c>
      <c r="AZ199" s="35">
        <f t="shared" si="132"/>
        <v>0</v>
      </c>
      <c r="BA199" s="35">
        <f t="shared" si="133"/>
        <v>0</v>
      </c>
      <c r="BB199" s="35">
        <f t="shared" si="134"/>
        <v>0</v>
      </c>
      <c r="BC199" s="35">
        <f t="shared" si="135"/>
        <v>0</v>
      </c>
    </row>
    <row r="200" spans="1:55" s="35" customFormat="1" x14ac:dyDescent="0.35">
      <c r="A200" s="36">
        <v>38084</v>
      </c>
      <c r="B200" s="35" t="s">
        <v>1120</v>
      </c>
      <c r="C200" s="35" t="s">
        <v>59</v>
      </c>
      <c r="D200" s="35" t="s">
        <v>577</v>
      </c>
      <c r="E200" s="35" t="s">
        <v>47</v>
      </c>
      <c r="F200" s="139">
        <f t="shared" si="108"/>
        <v>0</v>
      </c>
      <c r="G200" s="35">
        <v>660500000</v>
      </c>
      <c r="H200" s="139">
        <f t="shared" si="109"/>
        <v>8.8198728219505469</v>
      </c>
      <c r="I200" s="35">
        <v>696000000</v>
      </c>
      <c r="J200" s="35">
        <v>-35500000</v>
      </c>
      <c r="K200" s="36">
        <v>42181</v>
      </c>
      <c r="L200" s="35">
        <v>1782800000</v>
      </c>
      <c r="M200" s="21">
        <f t="shared" si="110"/>
        <v>11.224657534246575</v>
      </c>
      <c r="N200" s="21">
        <f t="shared" si="136"/>
        <v>1.0501730994966676</v>
      </c>
      <c r="O200" s="35">
        <v>0</v>
      </c>
      <c r="P200" s="35">
        <f t="shared" si="111"/>
        <v>0</v>
      </c>
      <c r="Q200" s="35">
        <v>35</v>
      </c>
      <c r="R200" s="35">
        <f t="shared" si="112"/>
        <v>1.5563025007672873</v>
      </c>
      <c r="S200" s="45">
        <v>3.29</v>
      </c>
      <c r="T200" s="45">
        <f t="shared" si="137"/>
        <v>0.51719589794997434</v>
      </c>
      <c r="U200" s="175">
        <f t="shared" si="113"/>
        <v>1.6991672975018925</v>
      </c>
      <c r="V200" s="48">
        <f t="shared" si="114"/>
        <v>0.43122980346359274</v>
      </c>
      <c r="W200" s="35">
        <v>1861.76</v>
      </c>
      <c r="X200" s="35">
        <f t="shared" si="115"/>
        <v>3.2699236952309465</v>
      </c>
      <c r="Y200" s="35">
        <v>4993.92</v>
      </c>
      <c r="Z200" s="35">
        <f t="shared" si="116"/>
        <v>3.6984415808994222</v>
      </c>
      <c r="AA200" s="37">
        <v>0</v>
      </c>
      <c r="AB200" s="37">
        <f t="shared" si="117"/>
        <v>0</v>
      </c>
      <c r="AC200" s="35">
        <v>85</v>
      </c>
      <c r="AD200" s="35">
        <f t="shared" si="138"/>
        <v>1.9294189257142926</v>
      </c>
      <c r="AE200" s="48">
        <v>32.299999999999997</v>
      </c>
      <c r="AF200" s="48">
        <f t="shared" si="139"/>
        <v>1.5092025223311027</v>
      </c>
      <c r="AG200" s="43">
        <v>40.040400531970803</v>
      </c>
      <c r="AH200" s="43">
        <f t="shared" si="140"/>
        <v>1.6024984131617945</v>
      </c>
      <c r="AI200" s="39">
        <v>0.26</v>
      </c>
      <c r="AJ200" s="48">
        <f t="shared" si="118"/>
        <v>0.10037054511756291</v>
      </c>
      <c r="AK200" s="35">
        <v>9</v>
      </c>
      <c r="AL200" s="35">
        <f t="shared" si="141"/>
        <v>0.95424250943932487</v>
      </c>
      <c r="AM200" s="35">
        <f t="shared" si="119"/>
        <v>0</v>
      </c>
      <c r="AN200" s="35">
        <f t="shared" si="120"/>
        <v>0</v>
      </c>
      <c r="AO200" s="35">
        <f t="shared" si="121"/>
        <v>1</v>
      </c>
      <c r="AP200" s="35">
        <f t="shared" si="122"/>
        <v>0</v>
      </c>
      <c r="AQ200" s="35">
        <f t="shared" si="123"/>
        <v>0</v>
      </c>
      <c r="AR200" s="35">
        <f t="shared" si="124"/>
        <v>0</v>
      </c>
      <c r="AS200" s="35">
        <f t="shared" si="125"/>
        <v>0</v>
      </c>
      <c r="AT200" s="35">
        <f t="shared" si="126"/>
        <v>0</v>
      </c>
      <c r="AU200" s="35">
        <f t="shared" si="127"/>
        <v>0</v>
      </c>
      <c r="AV200" s="35">
        <f t="shared" si="128"/>
        <v>0</v>
      </c>
      <c r="AW200" s="35">
        <f t="shared" si="129"/>
        <v>0</v>
      </c>
      <c r="AX200" s="35">
        <f t="shared" si="130"/>
        <v>0</v>
      </c>
      <c r="AY200" s="35">
        <f t="shared" si="131"/>
        <v>0</v>
      </c>
      <c r="AZ200" s="35">
        <f t="shared" si="132"/>
        <v>0</v>
      </c>
      <c r="BA200" s="35">
        <f t="shared" si="133"/>
        <v>0</v>
      </c>
      <c r="BB200" s="35">
        <f t="shared" si="134"/>
        <v>0</v>
      </c>
      <c r="BC200" s="35">
        <f t="shared" si="135"/>
        <v>0</v>
      </c>
    </row>
    <row r="201" spans="1:55" s="35" customFormat="1" x14ac:dyDescent="0.35">
      <c r="A201" s="36">
        <v>38085</v>
      </c>
      <c r="B201" s="35" t="s">
        <v>1288</v>
      </c>
      <c r="C201" s="35" t="s">
        <v>45</v>
      </c>
      <c r="D201" s="35" t="s">
        <v>602</v>
      </c>
      <c r="E201" s="35" t="s">
        <v>47</v>
      </c>
      <c r="F201" s="139">
        <f t="shared" si="108"/>
        <v>0</v>
      </c>
      <c r="G201" s="35">
        <v>8000000</v>
      </c>
      <c r="H201" s="139">
        <f t="shared" si="109"/>
        <v>6.9030899869919438</v>
      </c>
      <c r="I201" s="35">
        <f>G201</f>
        <v>8000000</v>
      </c>
      <c r="J201" s="35">
        <v>0</v>
      </c>
      <c r="K201" s="36">
        <v>39646</v>
      </c>
      <c r="L201" s="35">
        <v>0</v>
      </c>
      <c r="M201" s="21">
        <f t="shared" si="110"/>
        <v>4.2767123287671236</v>
      </c>
      <c r="N201" s="21">
        <f t="shared" si="136"/>
        <v>0.63111003860594284</v>
      </c>
      <c r="O201" s="35">
        <v>0</v>
      </c>
      <c r="P201" s="35">
        <f t="shared" si="111"/>
        <v>0</v>
      </c>
      <c r="Q201" s="35">
        <v>4</v>
      </c>
      <c r="R201" s="35">
        <f t="shared" si="112"/>
        <v>0.69897000433601886</v>
      </c>
      <c r="S201" s="45">
        <v>2.95</v>
      </c>
      <c r="T201" s="45">
        <f t="shared" si="137"/>
        <v>0.46982201597816303</v>
      </c>
      <c r="U201" s="175">
        <f t="shared" si="113"/>
        <v>-1</v>
      </c>
      <c r="V201" s="48">
        <f t="shared" si="114"/>
        <v>-1</v>
      </c>
      <c r="W201" s="35">
        <v>1246.953</v>
      </c>
      <c r="X201" s="35">
        <f t="shared" si="115"/>
        <v>3.0958500844125241</v>
      </c>
      <c r="Y201" s="35">
        <v>3219.7179999999998</v>
      </c>
      <c r="Z201" s="35">
        <f t="shared" si="116"/>
        <v>3.5078178355445662</v>
      </c>
      <c r="AA201" s="35">
        <v>0</v>
      </c>
      <c r="AB201" s="37">
        <f t="shared" si="117"/>
        <v>0</v>
      </c>
      <c r="AC201" s="35">
        <v>85</v>
      </c>
      <c r="AD201" s="35">
        <f t="shared" si="138"/>
        <v>1.9294189257142926</v>
      </c>
      <c r="AE201" s="48">
        <v>24.6</v>
      </c>
      <c r="AF201" s="48">
        <f t="shared" si="139"/>
        <v>1.3909351071033791</v>
      </c>
      <c r="AG201" s="43">
        <v>36.876470987978301</v>
      </c>
      <c r="AH201" s="43">
        <f t="shared" si="140"/>
        <v>1.5667493531684615</v>
      </c>
      <c r="AI201" s="39">
        <v>0.61</v>
      </c>
      <c r="AJ201" s="48">
        <f t="shared" si="118"/>
        <v>0.20682587603184968</v>
      </c>
      <c r="AK201" s="35">
        <v>15</v>
      </c>
      <c r="AL201" s="35">
        <f t="shared" si="141"/>
        <v>1.1760912590556813</v>
      </c>
      <c r="AM201" s="35">
        <f t="shared" si="119"/>
        <v>1</v>
      </c>
      <c r="AN201" s="35">
        <f t="shared" si="120"/>
        <v>1</v>
      </c>
      <c r="AO201" s="35">
        <f t="shared" si="121"/>
        <v>0</v>
      </c>
      <c r="AP201" s="35">
        <f t="shared" si="122"/>
        <v>0</v>
      </c>
      <c r="AQ201" s="35">
        <f t="shared" si="123"/>
        <v>0</v>
      </c>
      <c r="AR201" s="35">
        <f t="shared" si="124"/>
        <v>0</v>
      </c>
      <c r="AS201" s="35">
        <f t="shared" si="125"/>
        <v>0</v>
      </c>
      <c r="AT201" s="35">
        <f t="shared" si="126"/>
        <v>0</v>
      </c>
      <c r="AU201" s="35">
        <f t="shared" si="127"/>
        <v>0</v>
      </c>
      <c r="AV201" s="35">
        <f t="shared" si="128"/>
        <v>0</v>
      </c>
      <c r="AW201" s="35">
        <f t="shared" si="129"/>
        <v>0</v>
      </c>
      <c r="AX201" s="35">
        <f t="shared" si="130"/>
        <v>0</v>
      </c>
      <c r="AY201" s="35">
        <f t="shared" si="131"/>
        <v>0</v>
      </c>
      <c r="AZ201" s="35">
        <f t="shared" si="132"/>
        <v>0</v>
      </c>
      <c r="BA201" s="35">
        <f t="shared" si="133"/>
        <v>0</v>
      </c>
      <c r="BB201" s="35">
        <f t="shared" si="134"/>
        <v>0</v>
      </c>
      <c r="BC201" s="35">
        <f t="shared" si="135"/>
        <v>0</v>
      </c>
    </row>
    <row r="202" spans="1:55" s="35" customFormat="1" x14ac:dyDescent="0.35">
      <c r="A202" s="36">
        <v>38086</v>
      </c>
      <c r="B202" s="35" t="s">
        <v>1091</v>
      </c>
      <c r="C202" s="35" t="s">
        <v>163</v>
      </c>
      <c r="D202" s="35" t="s">
        <v>163</v>
      </c>
      <c r="E202" s="35" t="s">
        <v>47</v>
      </c>
      <c r="F202" s="139">
        <f t="shared" si="108"/>
        <v>0</v>
      </c>
      <c r="G202" s="35">
        <f>(48513000+450400000+687000000)</f>
        <v>1185913000</v>
      </c>
      <c r="H202" s="139">
        <f t="shared" si="109"/>
        <v>9.0740528298327821</v>
      </c>
      <c r="I202" s="35">
        <f>G202</f>
        <v>1185913000</v>
      </c>
      <c r="J202" s="35">
        <v>0</v>
      </c>
      <c r="K202" s="36">
        <v>39106</v>
      </c>
      <c r="L202" s="35">
        <v>3500000000</v>
      </c>
      <c r="M202" s="21">
        <f t="shared" si="110"/>
        <v>2.7945205479452055</v>
      </c>
      <c r="N202" s="21">
        <f t="shared" si="136"/>
        <v>0.44630730730544288</v>
      </c>
      <c r="O202" s="35">
        <v>0</v>
      </c>
      <c r="P202" s="35">
        <f t="shared" si="111"/>
        <v>0</v>
      </c>
      <c r="Q202" s="35">
        <v>3</v>
      </c>
      <c r="R202" s="35">
        <f t="shared" si="112"/>
        <v>0.6020599913279624</v>
      </c>
      <c r="S202" s="45">
        <v>3.18</v>
      </c>
      <c r="T202" s="45">
        <f t="shared" si="137"/>
        <v>0.50242711998443268</v>
      </c>
      <c r="U202" s="175">
        <f t="shared" si="113"/>
        <v>1.9513126173673787</v>
      </c>
      <c r="V202" s="48">
        <f t="shared" si="114"/>
        <v>0.47001521451749351</v>
      </c>
      <c r="W202" s="35">
        <v>1682.164</v>
      </c>
      <c r="X202" s="35">
        <f t="shared" si="115"/>
        <v>3.2258683344006376</v>
      </c>
      <c r="Y202" s="35">
        <v>9152.2764999999999</v>
      </c>
      <c r="Z202" s="35">
        <f t="shared" si="116"/>
        <v>3.9615291321450066</v>
      </c>
      <c r="AA202" s="37">
        <v>0</v>
      </c>
      <c r="AB202" s="37">
        <f t="shared" si="117"/>
        <v>0</v>
      </c>
      <c r="AC202" s="35">
        <v>70</v>
      </c>
      <c r="AD202" s="35">
        <f t="shared" si="138"/>
        <v>1.8450980400142569</v>
      </c>
      <c r="AE202" s="48">
        <v>42.4</v>
      </c>
      <c r="AF202" s="48">
        <f t="shared" si="139"/>
        <v>1.6273658565927327</v>
      </c>
      <c r="AG202" s="43">
        <v>52.984855215816303</v>
      </c>
      <c r="AH202" s="43">
        <f t="shared" si="140"/>
        <v>1.7241517519382803</v>
      </c>
      <c r="AI202" s="39">
        <v>7.0000000000000007E-2</v>
      </c>
      <c r="AJ202" s="48">
        <f t="shared" si="118"/>
        <v>2.9383777685209667E-2</v>
      </c>
      <c r="AK202" s="35">
        <v>16</v>
      </c>
      <c r="AL202" s="35">
        <f t="shared" si="141"/>
        <v>1.2041199826559248</v>
      </c>
      <c r="AM202" s="35">
        <f t="shared" si="119"/>
        <v>0</v>
      </c>
      <c r="AN202" s="35">
        <f t="shared" si="120"/>
        <v>0</v>
      </c>
      <c r="AO202" s="35">
        <f t="shared" si="121"/>
        <v>0</v>
      </c>
      <c r="AP202" s="35">
        <f t="shared" si="122"/>
        <v>0</v>
      </c>
      <c r="AQ202" s="35">
        <f t="shared" si="123"/>
        <v>0</v>
      </c>
      <c r="AR202" s="35">
        <f t="shared" si="124"/>
        <v>0</v>
      </c>
      <c r="AS202" s="35">
        <f t="shared" si="125"/>
        <v>0</v>
      </c>
      <c r="AT202" s="35">
        <f t="shared" si="126"/>
        <v>1</v>
      </c>
      <c r="AU202" s="35">
        <f t="shared" si="127"/>
        <v>0</v>
      </c>
      <c r="AV202" s="35">
        <f t="shared" si="128"/>
        <v>0</v>
      </c>
      <c r="AW202" s="35">
        <f t="shared" si="129"/>
        <v>0</v>
      </c>
      <c r="AX202" s="35">
        <f t="shared" si="130"/>
        <v>0</v>
      </c>
      <c r="AY202" s="35">
        <f t="shared" si="131"/>
        <v>0</v>
      </c>
      <c r="AZ202" s="35">
        <f t="shared" si="132"/>
        <v>0</v>
      </c>
      <c r="BA202" s="35">
        <f t="shared" si="133"/>
        <v>0</v>
      </c>
      <c r="BB202" s="35">
        <f t="shared" si="134"/>
        <v>0</v>
      </c>
      <c r="BC202" s="35">
        <f t="shared" si="135"/>
        <v>0</v>
      </c>
    </row>
    <row r="203" spans="1:55" s="35" customFormat="1" x14ac:dyDescent="0.35">
      <c r="A203" s="36">
        <v>38087</v>
      </c>
      <c r="B203" s="35" t="s">
        <v>377</v>
      </c>
      <c r="C203" s="35" t="s">
        <v>45</v>
      </c>
      <c r="D203" s="35" t="s">
        <v>45</v>
      </c>
      <c r="E203" s="35" t="s">
        <v>102</v>
      </c>
      <c r="F203" s="139">
        <f t="shared" si="108"/>
        <v>0</v>
      </c>
      <c r="G203" s="35">
        <v>2200000000</v>
      </c>
      <c r="H203" s="139">
        <f t="shared" si="109"/>
        <v>9.3424226808222066</v>
      </c>
      <c r="I203" s="35">
        <v>2200000000</v>
      </c>
      <c r="J203" s="35">
        <v>0</v>
      </c>
      <c r="K203" s="36">
        <v>42046</v>
      </c>
      <c r="L203" s="35">
        <v>1500000000</v>
      </c>
      <c r="M203" s="21">
        <f t="shared" si="110"/>
        <v>10.846575342465753</v>
      </c>
      <c r="N203" s="21">
        <f t="shared" si="136"/>
        <v>1.0352926372957298</v>
      </c>
      <c r="O203" s="35">
        <v>0</v>
      </c>
      <c r="P203" s="35">
        <f t="shared" si="111"/>
        <v>0</v>
      </c>
      <c r="Q203" s="35">
        <v>107</v>
      </c>
      <c r="R203" s="35">
        <f t="shared" si="112"/>
        <v>2.0334237554869499</v>
      </c>
      <c r="S203" s="45">
        <v>2.95</v>
      </c>
      <c r="T203" s="45">
        <f t="shared" si="137"/>
        <v>0.46982201597816303</v>
      </c>
      <c r="U203" s="175">
        <f t="shared" si="113"/>
        <v>-0.31818181818181823</v>
      </c>
      <c r="V203" s="48">
        <f t="shared" si="114"/>
        <v>-0.16633142176652502</v>
      </c>
      <c r="W203" s="35">
        <v>1171.498</v>
      </c>
      <c r="X203" s="35">
        <f t="shared" si="115"/>
        <v>3.0687415514991745</v>
      </c>
      <c r="Y203" s="35">
        <v>3386.1060000000002</v>
      </c>
      <c r="Z203" s="35">
        <f t="shared" si="116"/>
        <v>3.5297005493117593</v>
      </c>
      <c r="AA203" s="37">
        <v>0</v>
      </c>
      <c r="AB203" s="37">
        <f t="shared" si="117"/>
        <v>0</v>
      </c>
      <c r="AC203" s="35">
        <v>85</v>
      </c>
      <c r="AD203" s="35">
        <f t="shared" si="138"/>
        <v>1.9294189257142926</v>
      </c>
      <c r="AE203" s="48">
        <v>24.6</v>
      </c>
      <c r="AF203" s="48">
        <f t="shared" si="139"/>
        <v>1.3909351071033791</v>
      </c>
      <c r="AG203" s="43">
        <v>36.876470987978301</v>
      </c>
      <c r="AH203" s="43">
        <f t="shared" si="140"/>
        <v>1.5667493531684615</v>
      </c>
      <c r="AI203" s="39">
        <v>0.46</v>
      </c>
      <c r="AJ203" s="48">
        <f t="shared" si="118"/>
        <v>0.16435285578443709</v>
      </c>
      <c r="AK203" s="35">
        <v>7</v>
      </c>
      <c r="AL203" s="35">
        <f t="shared" si="141"/>
        <v>0.84509804001425681</v>
      </c>
      <c r="AM203" s="35">
        <f t="shared" si="119"/>
        <v>0</v>
      </c>
      <c r="AN203" s="35">
        <f t="shared" si="120"/>
        <v>1</v>
      </c>
      <c r="AO203" s="35">
        <f t="shared" si="121"/>
        <v>0</v>
      </c>
      <c r="AP203" s="35">
        <f t="shared" si="122"/>
        <v>0</v>
      </c>
      <c r="AQ203" s="35">
        <f t="shared" si="123"/>
        <v>0</v>
      </c>
      <c r="AR203" s="35">
        <f t="shared" si="124"/>
        <v>0</v>
      </c>
      <c r="AS203" s="35">
        <f t="shared" si="125"/>
        <v>0</v>
      </c>
      <c r="AT203" s="35">
        <f t="shared" si="126"/>
        <v>0</v>
      </c>
      <c r="AU203" s="35">
        <f t="shared" si="127"/>
        <v>0</v>
      </c>
      <c r="AV203" s="35">
        <f t="shared" si="128"/>
        <v>0</v>
      </c>
      <c r="AW203" s="35">
        <f t="shared" si="129"/>
        <v>0</v>
      </c>
      <c r="AX203" s="35">
        <f t="shared" si="130"/>
        <v>0</v>
      </c>
      <c r="AY203" s="35">
        <f t="shared" si="131"/>
        <v>0</v>
      </c>
      <c r="AZ203" s="35">
        <f t="shared" si="132"/>
        <v>0</v>
      </c>
      <c r="BA203" s="35">
        <f t="shared" si="133"/>
        <v>0</v>
      </c>
      <c r="BB203" s="35">
        <f t="shared" si="134"/>
        <v>0</v>
      </c>
      <c r="BC203" s="35">
        <f t="shared" si="135"/>
        <v>0</v>
      </c>
    </row>
    <row r="204" spans="1:55" s="35" customFormat="1" x14ac:dyDescent="0.35">
      <c r="A204" s="36">
        <v>38093</v>
      </c>
      <c r="B204" s="35" t="s">
        <v>1229</v>
      </c>
      <c r="C204" s="35" t="s">
        <v>45</v>
      </c>
      <c r="D204" s="35" t="s">
        <v>602</v>
      </c>
      <c r="E204" s="35" t="s">
        <v>47</v>
      </c>
      <c r="F204" s="139">
        <f t="shared" si="108"/>
        <v>0</v>
      </c>
      <c r="G204" s="35">
        <v>100000000</v>
      </c>
      <c r="H204" s="139">
        <f t="shared" si="109"/>
        <v>8</v>
      </c>
      <c r="I204" s="35">
        <f>G204</f>
        <v>100000000</v>
      </c>
      <c r="J204" s="35">
        <v>0</v>
      </c>
      <c r="K204" s="36">
        <v>40784</v>
      </c>
      <c r="L204" s="35">
        <v>523740000</v>
      </c>
      <c r="M204" s="21">
        <f t="shared" si="110"/>
        <v>7.3726027397260276</v>
      </c>
      <c r="N204" s="21">
        <f t="shared" si="136"/>
        <v>0.86762083330727979</v>
      </c>
      <c r="O204" s="35">
        <v>0</v>
      </c>
      <c r="P204" s="35">
        <f t="shared" si="111"/>
        <v>0</v>
      </c>
      <c r="Q204" s="35">
        <v>16</v>
      </c>
      <c r="R204" s="35">
        <f t="shared" si="112"/>
        <v>1.2304489213782739</v>
      </c>
      <c r="S204" s="45">
        <v>2.95</v>
      </c>
      <c r="T204" s="45">
        <f t="shared" si="137"/>
        <v>0.46982201597816303</v>
      </c>
      <c r="U204" s="175">
        <f t="shared" si="113"/>
        <v>4.2374000000000001</v>
      </c>
      <c r="V204" s="48">
        <f t="shared" si="114"/>
        <v>0.71911574387644306</v>
      </c>
      <c r="W204" s="35">
        <v>1455.046</v>
      </c>
      <c r="X204" s="35">
        <f t="shared" si="115"/>
        <v>3.1628767233771686</v>
      </c>
      <c r="Y204" s="35">
        <v>4062.5129999999999</v>
      </c>
      <c r="Z204" s="35">
        <f t="shared" si="116"/>
        <v>3.6087947637270492</v>
      </c>
      <c r="AA204" s="35">
        <v>0</v>
      </c>
      <c r="AB204" s="37">
        <f t="shared" si="117"/>
        <v>0</v>
      </c>
      <c r="AC204" s="35">
        <v>85</v>
      </c>
      <c r="AD204" s="35">
        <f t="shared" si="138"/>
        <v>1.9294189257142926</v>
      </c>
      <c r="AE204" s="48">
        <v>24.6</v>
      </c>
      <c r="AF204" s="48">
        <f t="shared" si="139"/>
        <v>1.3909351071033791</v>
      </c>
      <c r="AG204" s="43">
        <v>36.876470987978301</v>
      </c>
      <c r="AH204" s="43">
        <f t="shared" si="140"/>
        <v>1.5667493531684615</v>
      </c>
      <c r="AI204" s="39">
        <v>0.19</v>
      </c>
      <c r="AJ204" s="48">
        <f t="shared" si="118"/>
        <v>7.554696139253074E-2</v>
      </c>
      <c r="AK204" s="35">
        <v>7</v>
      </c>
      <c r="AL204" s="35">
        <f t="shared" si="141"/>
        <v>0.84509804001425681</v>
      </c>
      <c r="AM204" s="35">
        <f t="shared" si="119"/>
        <v>0</v>
      </c>
      <c r="AN204" s="35">
        <f t="shared" si="120"/>
        <v>1</v>
      </c>
      <c r="AO204" s="35">
        <f t="shared" si="121"/>
        <v>0</v>
      </c>
      <c r="AP204" s="35">
        <f t="shared" si="122"/>
        <v>0</v>
      </c>
      <c r="AQ204" s="35">
        <f t="shared" si="123"/>
        <v>0</v>
      </c>
      <c r="AR204" s="35">
        <f t="shared" si="124"/>
        <v>0</v>
      </c>
      <c r="AS204" s="35">
        <f t="shared" si="125"/>
        <v>0</v>
      </c>
      <c r="AT204" s="35">
        <f t="shared" si="126"/>
        <v>0</v>
      </c>
      <c r="AU204" s="35">
        <f t="shared" si="127"/>
        <v>0</v>
      </c>
      <c r="AV204" s="35">
        <f t="shared" si="128"/>
        <v>0</v>
      </c>
      <c r="AW204" s="35">
        <f t="shared" si="129"/>
        <v>0</v>
      </c>
      <c r="AX204" s="35">
        <f t="shared" si="130"/>
        <v>0</v>
      </c>
      <c r="AY204" s="35">
        <f t="shared" si="131"/>
        <v>0</v>
      </c>
      <c r="AZ204" s="35">
        <f t="shared" si="132"/>
        <v>0</v>
      </c>
      <c r="BA204" s="35">
        <f t="shared" si="133"/>
        <v>0</v>
      </c>
      <c r="BB204" s="35">
        <f t="shared" si="134"/>
        <v>0</v>
      </c>
      <c r="BC204" s="35">
        <f t="shared" si="135"/>
        <v>0</v>
      </c>
    </row>
    <row r="205" spans="1:55" s="35" customFormat="1" x14ac:dyDescent="0.35">
      <c r="A205" s="36">
        <v>38106</v>
      </c>
      <c r="B205" s="35" t="s">
        <v>630</v>
      </c>
      <c r="C205" s="35" t="s">
        <v>59</v>
      </c>
      <c r="D205" s="35" t="s">
        <v>602</v>
      </c>
      <c r="E205" s="35" t="s">
        <v>64</v>
      </c>
      <c r="F205" s="139">
        <f t="shared" si="108"/>
        <v>1</v>
      </c>
      <c r="G205" s="35">
        <v>34000000</v>
      </c>
      <c r="H205" s="139">
        <f t="shared" si="109"/>
        <v>7.5314789170422554</v>
      </c>
      <c r="I205" s="35">
        <f>G205</f>
        <v>34000000</v>
      </c>
      <c r="J205" s="35">
        <v>0</v>
      </c>
      <c r="K205" s="36">
        <v>38548</v>
      </c>
      <c r="L205" s="35">
        <v>67600000</v>
      </c>
      <c r="M205" s="21">
        <f t="shared" si="110"/>
        <v>1.210958904109589</v>
      </c>
      <c r="N205" s="21">
        <f t="shared" si="136"/>
        <v>8.3129404892617151E-2</v>
      </c>
      <c r="O205" s="35">
        <v>5897.96</v>
      </c>
      <c r="P205" s="35">
        <f t="shared" si="111"/>
        <v>3.7707754512906644</v>
      </c>
      <c r="Q205" s="35">
        <v>10</v>
      </c>
      <c r="R205" s="35">
        <f t="shared" si="112"/>
        <v>1.0413926851582251</v>
      </c>
      <c r="S205" s="45">
        <v>2.3199999999999998</v>
      </c>
      <c r="T205" s="45">
        <f t="shared" si="137"/>
        <v>0.36548798489089962</v>
      </c>
      <c r="U205" s="175">
        <f t="shared" si="113"/>
        <v>0.9882352941176471</v>
      </c>
      <c r="V205" s="48">
        <f t="shared" si="114"/>
        <v>0.29846777889938081</v>
      </c>
      <c r="W205" s="35">
        <v>1246.953</v>
      </c>
      <c r="X205" s="35">
        <f t="shared" si="115"/>
        <v>3.0958500844125241</v>
      </c>
      <c r="Y205" s="35">
        <v>3219.7179999999998</v>
      </c>
      <c r="Z205" s="35">
        <f t="shared" si="116"/>
        <v>3.5078178355445662</v>
      </c>
      <c r="AA205" s="37">
        <v>132</v>
      </c>
      <c r="AB205" s="37">
        <f t="shared" si="117"/>
        <v>2.1238516409670858</v>
      </c>
      <c r="AC205" s="35">
        <v>85</v>
      </c>
      <c r="AD205" s="35">
        <f t="shared" si="138"/>
        <v>1.9294189257142926</v>
      </c>
      <c r="AE205" s="48">
        <v>32.299999999999997</v>
      </c>
      <c r="AF205" s="48">
        <f t="shared" si="139"/>
        <v>1.5092025223311027</v>
      </c>
      <c r="AG205" s="43">
        <v>40.040400531970803</v>
      </c>
      <c r="AH205" s="43">
        <f t="shared" si="140"/>
        <v>1.6024984131617945</v>
      </c>
      <c r="AI205" s="39">
        <v>0.91</v>
      </c>
      <c r="AJ205" s="48">
        <f t="shared" si="118"/>
        <v>0.28103336724772759</v>
      </c>
      <c r="AK205" s="35">
        <v>16</v>
      </c>
      <c r="AL205" s="35">
        <f t="shared" si="141"/>
        <v>1.2041199826559248</v>
      </c>
      <c r="AM205" s="35">
        <f t="shared" si="119"/>
        <v>0</v>
      </c>
      <c r="AN205" s="35">
        <f t="shared" si="120"/>
        <v>0</v>
      </c>
      <c r="AO205" s="35">
        <f t="shared" si="121"/>
        <v>1</v>
      </c>
      <c r="AP205" s="35">
        <f t="shared" si="122"/>
        <v>0</v>
      </c>
      <c r="AQ205" s="35">
        <f t="shared" si="123"/>
        <v>0</v>
      </c>
      <c r="AR205" s="35">
        <f t="shared" si="124"/>
        <v>0</v>
      </c>
      <c r="AS205" s="35">
        <f t="shared" si="125"/>
        <v>0</v>
      </c>
      <c r="AT205" s="35">
        <f t="shared" si="126"/>
        <v>0</v>
      </c>
      <c r="AU205" s="35">
        <f t="shared" si="127"/>
        <v>0</v>
      </c>
      <c r="AV205" s="35">
        <f t="shared" si="128"/>
        <v>0</v>
      </c>
      <c r="AW205" s="35">
        <f t="shared" si="129"/>
        <v>0</v>
      </c>
      <c r="AX205" s="35">
        <f t="shared" si="130"/>
        <v>0</v>
      </c>
      <c r="AY205" s="35">
        <f t="shared" si="131"/>
        <v>0</v>
      </c>
      <c r="AZ205" s="35">
        <f t="shared" si="132"/>
        <v>0</v>
      </c>
      <c r="BA205" s="35">
        <f t="shared" si="133"/>
        <v>0</v>
      </c>
      <c r="BB205" s="35">
        <f t="shared" si="134"/>
        <v>0</v>
      </c>
      <c r="BC205" s="35">
        <f t="shared" si="135"/>
        <v>0</v>
      </c>
    </row>
    <row r="206" spans="1:55" s="35" customFormat="1" x14ac:dyDescent="0.35">
      <c r="A206" s="36">
        <v>38110</v>
      </c>
      <c r="B206" s="35" t="s">
        <v>223</v>
      </c>
      <c r="C206" s="35" t="s">
        <v>45</v>
      </c>
      <c r="D206" s="35" t="s">
        <v>45</v>
      </c>
      <c r="E206" s="139" t="s">
        <v>47</v>
      </c>
      <c r="F206" s="139">
        <f t="shared" si="108"/>
        <v>0</v>
      </c>
      <c r="G206" s="35">
        <v>3113980000</v>
      </c>
      <c r="H206" s="139">
        <f t="shared" si="109"/>
        <v>9.493315818920113</v>
      </c>
      <c r="I206" s="35">
        <v>2006460000</v>
      </c>
      <c r="J206" s="35">
        <v>1107520000</v>
      </c>
      <c r="K206" s="36">
        <v>39189</v>
      </c>
      <c r="L206" s="35">
        <v>8000000000</v>
      </c>
      <c r="M206" s="21">
        <f t="shared" si="110"/>
        <v>2.956164383561644</v>
      </c>
      <c r="N206" s="21">
        <f t="shared" si="136"/>
        <v>0.47072858022643599</v>
      </c>
      <c r="O206" s="35">
        <v>0</v>
      </c>
      <c r="P206" s="35">
        <f t="shared" si="111"/>
        <v>0</v>
      </c>
      <c r="Q206" s="35">
        <v>9</v>
      </c>
      <c r="R206" s="35">
        <f t="shared" si="112"/>
        <v>1</v>
      </c>
      <c r="S206" s="45">
        <v>2.95</v>
      </c>
      <c r="T206" s="45">
        <f t="shared" si="137"/>
        <v>0.46982201597816303</v>
      </c>
      <c r="U206" s="175">
        <f t="shared" si="113"/>
        <v>1.5690595315319946</v>
      </c>
      <c r="V206" s="48">
        <f t="shared" si="114"/>
        <v>0.40977416807183031</v>
      </c>
      <c r="W206" s="35">
        <v>2315.9650000000001</v>
      </c>
      <c r="X206" s="35">
        <f t="shared" si="115"/>
        <v>3.3647319918335836</v>
      </c>
      <c r="Y206" s="35">
        <v>3703.9029999999998</v>
      </c>
      <c r="Z206" s="35">
        <f t="shared" si="116"/>
        <v>3.568659604598353</v>
      </c>
      <c r="AA206" s="37">
        <v>0</v>
      </c>
      <c r="AB206" s="37">
        <f t="shared" si="117"/>
        <v>0</v>
      </c>
      <c r="AC206" s="35">
        <v>85</v>
      </c>
      <c r="AD206" s="35">
        <f t="shared" si="138"/>
        <v>1.9294189257142926</v>
      </c>
      <c r="AE206" s="48">
        <v>24.6</v>
      </c>
      <c r="AF206" s="48">
        <f t="shared" si="139"/>
        <v>1.3909351071033791</v>
      </c>
      <c r="AG206" s="43">
        <v>36.876470987978301</v>
      </c>
      <c r="AH206" s="43">
        <f t="shared" si="140"/>
        <v>1.5667493531684615</v>
      </c>
      <c r="AI206" s="39">
        <v>0.28000000000000003</v>
      </c>
      <c r="AJ206" s="48">
        <f t="shared" si="118"/>
        <v>0.10720996964786837</v>
      </c>
      <c r="AK206" s="35">
        <v>13</v>
      </c>
      <c r="AL206" s="35">
        <f t="shared" si="141"/>
        <v>1.1139433523068367</v>
      </c>
      <c r="AM206" s="35">
        <f t="shared" si="119"/>
        <v>0</v>
      </c>
      <c r="AN206" s="35">
        <f t="shared" si="120"/>
        <v>1</v>
      </c>
      <c r="AO206" s="35">
        <f t="shared" si="121"/>
        <v>0</v>
      </c>
      <c r="AP206" s="35">
        <f t="shared" si="122"/>
        <v>0</v>
      </c>
      <c r="AQ206" s="35">
        <f t="shared" si="123"/>
        <v>0</v>
      </c>
      <c r="AR206" s="35">
        <f t="shared" si="124"/>
        <v>0</v>
      </c>
      <c r="AS206" s="35">
        <f t="shared" si="125"/>
        <v>0</v>
      </c>
      <c r="AT206" s="35">
        <f t="shared" si="126"/>
        <v>0</v>
      </c>
      <c r="AU206" s="35">
        <f t="shared" si="127"/>
        <v>0</v>
      </c>
      <c r="AV206" s="35">
        <f t="shared" si="128"/>
        <v>0</v>
      </c>
      <c r="AW206" s="35">
        <f t="shared" si="129"/>
        <v>0</v>
      </c>
      <c r="AX206" s="35">
        <f t="shared" si="130"/>
        <v>0</v>
      </c>
      <c r="AY206" s="35">
        <f t="shared" si="131"/>
        <v>0</v>
      </c>
      <c r="AZ206" s="35">
        <f t="shared" si="132"/>
        <v>0</v>
      </c>
      <c r="BA206" s="35">
        <f t="shared" si="133"/>
        <v>0</v>
      </c>
      <c r="BB206" s="35">
        <f t="shared" si="134"/>
        <v>0</v>
      </c>
      <c r="BC206" s="35">
        <f t="shared" si="135"/>
        <v>0</v>
      </c>
    </row>
    <row r="207" spans="1:55" s="35" customFormat="1" x14ac:dyDescent="0.35">
      <c r="A207" s="36">
        <v>38119</v>
      </c>
      <c r="B207" s="35" t="s">
        <v>870</v>
      </c>
      <c r="C207" s="35" t="s">
        <v>163</v>
      </c>
      <c r="D207" s="35" t="s">
        <v>45</v>
      </c>
      <c r="E207" s="35" t="s">
        <v>64</v>
      </c>
      <c r="F207" s="139">
        <f t="shared" si="108"/>
        <v>1</v>
      </c>
      <c r="G207" s="35">
        <v>243000000</v>
      </c>
      <c r="H207" s="139">
        <f t="shared" si="109"/>
        <v>8.385606273598313</v>
      </c>
      <c r="I207" s="35">
        <f>G207</f>
        <v>243000000</v>
      </c>
      <c r="J207" s="35">
        <v>0</v>
      </c>
      <c r="K207" s="36">
        <v>39238</v>
      </c>
      <c r="L207" s="35">
        <v>565000000</v>
      </c>
      <c r="M207" s="21">
        <f t="shared" si="110"/>
        <v>3.0657534246575344</v>
      </c>
      <c r="N207" s="21">
        <f t="shared" si="136"/>
        <v>0.48653722207187539</v>
      </c>
      <c r="O207" s="35">
        <v>6164.6</v>
      </c>
      <c r="P207" s="35">
        <f t="shared" si="111"/>
        <v>3.7899753459779522</v>
      </c>
      <c r="Q207" s="35">
        <v>59</v>
      </c>
      <c r="R207" s="35">
        <f t="shared" si="112"/>
        <v>1.7781512503836436</v>
      </c>
      <c r="S207" s="45">
        <v>3.18</v>
      </c>
      <c r="T207" s="45">
        <f t="shared" si="137"/>
        <v>0.50242711998443268</v>
      </c>
      <c r="U207" s="175">
        <f t="shared" si="113"/>
        <v>1.3251028806584362</v>
      </c>
      <c r="V207" s="48">
        <f t="shared" si="114"/>
        <v>0.36644217422112635</v>
      </c>
      <c r="W207" s="35">
        <v>5644.4444444444434</v>
      </c>
      <c r="X207" s="35">
        <f t="shared" si="115"/>
        <v>3.7516212028445941</v>
      </c>
      <c r="Y207" s="35">
        <v>4755.5555555555557</v>
      </c>
      <c r="Z207" s="35">
        <f t="shared" si="116"/>
        <v>3.677201259573847</v>
      </c>
      <c r="AA207" s="37">
        <v>583.83333333333303</v>
      </c>
      <c r="AB207" s="37">
        <f t="shared" si="117"/>
        <v>2.7670321178317625</v>
      </c>
      <c r="AC207" s="35">
        <v>70</v>
      </c>
      <c r="AD207" s="35">
        <f t="shared" si="138"/>
        <v>1.8450980400142569</v>
      </c>
      <c r="AE207" s="48">
        <v>42.4</v>
      </c>
      <c r="AF207" s="48">
        <f t="shared" si="139"/>
        <v>1.6273658565927327</v>
      </c>
      <c r="AG207" s="43">
        <v>52.984855215816303</v>
      </c>
      <c r="AH207" s="43">
        <f t="shared" si="140"/>
        <v>1.7241517519382803</v>
      </c>
      <c r="AI207" s="39">
        <v>0.2</v>
      </c>
      <c r="AJ207" s="48">
        <f t="shared" si="118"/>
        <v>7.9181246047624818E-2</v>
      </c>
      <c r="AK207" s="35">
        <v>6</v>
      </c>
      <c r="AL207" s="35">
        <f t="shared" si="141"/>
        <v>0.77815125038364363</v>
      </c>
      <c r="AM207" s="35">
        <f t="shared" si="119"/>
        <v>0</v>
      </c>
      <c r="AN207" s="35">
        <f t="shared" si="120"/>
        <v>0</v>
      </c>
      <c r="AO207" s="35">
        <f t="shared" si="121"/>
        <v>0</v>
      </c>
      <c r="AP207" s="35">
        <f t="shared" si="122"/>
        <v>0</v>
      </c>
      <c r="AQ207" s="35">
        <f t="shared" si="123"/>
        <v>0</v>
      </c>
      <c r="AR207" s="35">
        <f t="shared" si="124"/>
        <v>0</v>
      </c>
      <c r="AS207" s="35">
        <f t="shared" si="125"/>
        <v>0</v>
      </c>
      <c r="AT207" s="35">
        <f t="shared" si="126"/>
        <v>1</v>
      </c>
      <c r="AU207" s="35">
        <f t="shared" si="127"/>
        <v>0</v>
      </c>
      <c r="AV207" s="35">
        <f t="shared" si="128"/>
        <v>0</v>
      </c>
      <c r="AW207" s="35">
        <f t="shared" si="129"/>
        <v>0</v>
      </c>
      <c r="AX207" s="35">
        <f t="shared" si="130"/>
        <v>0</v>
      </c>
      <c r="AY207" s="35">
        <f t="shared" si="131"/>
        <v>0</v>
      </c>
      <c r="AZ207" s="35">
        <f t="shared" si="132"/>
        <v>0</v>
      </c>
      <c r="BA207" s="35">
        <f t="shared" si="133"/>
        <v>0</v>
      </c>
      <c r="BB207" s="35">
        <f t="shared" si="134"/>
        <v>0</v>
      </c>
      <c r="BC207" s="35">
        <f t="shared" si="135"/>
        <v>0</v>
      </c>
    </row>
    <row r="208" spans="1:55" s="35" customFormat="1" x14ac:dyDescent="0.35">
      <c r="A208" s="36">
        <v>38120</v>
      </c>
      <c r="B208" s="90" t="s">
        <v>692</v>
      </c>
      <c r="C208" s="35" t="s">
        <v>59</v>
      </c>
      <c r="D208" s="35" t="s">
        <v>602</v>
      </c>
      <c r="E208" s="35" t="s">
        <v>64</v>
      </c>
      <c r="F208" s="139">
        <f t="shared" si="108"/>
        <v>1</v>
      </c>
      <c r="G208" s="35">
        <v>3600000</v>
      </c>
      <c r="H208" s="139">
        <f t="shared" si="109"/>
        <v>6.5563025007672868</v>
      </c>
      <c r="I208" s="35">
        <f>G208</f>
        <v>3600000</v>
      </c>
      <c r="J208" s="35">
        <v>0</v>
      </c>
      <c r="K208" s="36">
        <v>39048</v>
      </c>
      <c r="L208" s="35">
        <v>0</v>
      </c>
      <c r="M208" s="21">
        <f t="shared" si="110"/>
        <v>2.5424657534246577</v>
      </c>
      <c r="N208" s="21">
        <f t="shared" si="136"/>
        <v>0.40525511176238738</v>
      </c>
      <c r="O208" s="35">
        <v>5897.96</v>
      </c>
      <c r="P208" s="35">
        <f t="shared" si="111"/>
        <v>3.7707754512906644</v>
      </c>
      <c r="Q208" s="35">
        <v>5</v>
      </c>
      <c r="R208" s="35">
        <f t="shared" si="112"/>
        <v>0.77815125038364363</v>
      </c>
      <c r="S208" s="45">
        <v>2.3199999999999998</v>
      </c>
      <c r="T208" s="45">
        <f t="shared" si="137"/>
        <v>0.36548798489089962</v>
      </c>
      <c r="U208" s="175">
        <f t="shared" si="113"/>
        <v>-1</v>
      </c>
      <c r="V208" s="48">
        <f t="shared" si="114"/>
        <v>-1</v>
      </c>
      <c r="W208" s="35">
        <v>1455.046</v>
      </c>
      <c r="X208" s="35">
        <f t="shared" si="115"/>
        <v>3.1628767233771686</v>
      </c>
      <c r="Y208" s="35">
        <v>4062.5129999999999</v>
      </c>
      <c r="Z208" s="35">
        <f t="shared" si="116"/>
        <v>3.6087947637270492</v>
      </c>
      <c r="AA208" s="37">
        <v>132</v>
      </c>
      <c r="AB208" s="37">
        <f t="shared" si="117"/>
        <v>2.1238516409670858</v>
      </c>
      <c r="AC208" s="35">
        <v>85</v>
      </c>
      <c r="AD208" s="35">
        <f t="shared" si="138"/>
        <v>1.9294189257142926</v>
      </c>
      <c r="AE208" s="48">
        <v>32.299999999999997</v>
      </c>
      <c r="AF208" s="48">
        <f t="shared" si="139"/>
        <v>1.5092025223311027</v>
      </c>
      <c r="AG208" s="43">
        <v>40.040400531970803</v>
      </c>
      <c r="AH208" s="43">
        <f t="shared" si="140"/>
        <v>1.6024984131617945</v>
      </c>
      <c r="AI208" s="39">
        <v>-0.02</v>
      </c>
      <c r="AJ208" s="48">
        <f t="shared" si="118"/>
        <v>-8.7739243075051505E-3</v>
      </c>
      <c r="AK208" s="35">
        <v>11</v>
      </c>
      <c r="AL208" s="35">
        <f t="shared" si="141"/>
        <v>1.0413926851582251</v>
      </c>
      <c r="AM208" s="35">
        <f t="shared" si="119"/>
        <v>1</v>
      </c>
      <c r="AN208" s="35">
        <f t="shared" si="120"/>
        <v>0</v>
      </c>
      <c r="AO208" s="35">
        <f t="shared" si="121"/>
        <v>1</v>
      </c>
      <c r="AP208" s="35">
        <f t="shared" si="122"/>
        <v>0</v>
      </c>
      <c r="AQ208" s="35">
        <f t="shared" si="123"/>
        <v>0</v>
      </c>
      <c r="AR208" s="35">
        <f t="shared" si="124"/>
        <v>0</v>
      </c>
      <c r="AS208" s="35">
        <f t="shared" si="125"/>
        <v>0</v>
      </c>
      <c r="AT208" s="35">
        <f t="shared" si="126"/>
        <v>0</v>
      </c>
      <c r="AU208" s="35">
        <f t="shared" si="127"/>
        <v>0</v>
      </c>
      <c r="AV208" s="35">
        <f t="shared" si="128"/>
        <v>0</v>
      </c>
      <c r="AW208" s="35">
        <f t="shared" si="129"/>
        <v>0</v>
      </c>
      <c r="AX208" s="35">
        <f t="shared" si="130"/>
        <v>0</v>
      </c>
      <c r="AY208" s="35">
        <f t="shared" si="131"/>
        <v>0</v>
      </c>
      <c r="AZ208" s="35">
        <f t="shared" si="132"/>
        <v>0</v>
      </c>
      <c r="BA208" s="35">
        <f t="shared" si="133"/>
        <v>0</v>
      </c>
      <c r="BB208" s="35">
        <f t="shared" si="134"/>
        <v>0</v>
      </c>
      <c r="BC208" s="35">
        <f t="shared" si="135"/>
        <v>0</v>
      </c>
    </row>
    <row r="209" spans="1:55" s="35" customFormat="1" x14ac:dyDescent="0.35">
      <c r="A209" s="36">
        <v>38131</v>
      </c>
      <c r="B209" s="35" t="s">
        <v>1000</v>
      </c>
      <c r="C209" s="35" t="s">
        <v>2</v>
      </c>
      <c r="D209" s="35" t="s">
        <v>45</v>
      </c>
      <c r="E209" s="35" t="s">
        <v>64</v>
      </c>
      <c r="F209" s="139">
        <f t="shared" si="108"/>
        <v>1</v>
      </c>
      <c r="G209" s="35">
        <v>1970000000</v>
      </c>
      <c r="H209" s="139">
        <f t="shared" si="109"/>
        <v>9.2944662261615925</v>
      </c>
      <c r="I209" s="35">
        <f>G209</f>
        <v>1970000000</v>
      </c>
      <c r="J209" s="35">
        <v>0</v>
      </c>
      <c r="K209" s="36">
        <v>40920</v>
      </c>
      <c r="L209" s="35">
        <v>699406960</v>
      </c>
      <c r="M209" s="21">
        <f t="shared" si="110"/>
        <v>7.6410958904109592</v>
      </c>
      <c r="N209" s="21">
        <f t="shared" si="136"/>
        <v>0.88315564980957517</v>
      </c>
      <c r="O209" s="35">
        <v>6815.73</v>
      </c>
      <c r="P209" s="35">
        <f t="shared" si="111"/>
        <v>3.8335760926148099</v>
      </c>
      <c r="Q209" s="35">
        <v>80</v>
      </c>
      <c r="R209" s="35">
        <f t="shared" si="112"/>
        <v>1.9084850188786497</v>
      </c>
      <c r="S209" s="45">
        <v>2.85</v>
      </c>
      <c r="T209" s="45">
        <f t="shared" si="137"/>
        <v>0.45484486000851021</v>
      </c>
      <c r="U209" s="175">
        <f t="shared" si="113"/>
        <v>-0.64497108629441624</v>
      </c>
      <c r="V209" s="48">
        <f t="shared" si="114"/>
        <v>-0.44973627637745167</v>
      </c>
      <c r="W209" s="35">
        <v>2121.1374095989472</v>
      </c>
      <c r="X209" s="35">
        <f t="shared" si="115"/>
        <v>3.3265688034989269</v>
      </c>
      <c r="Y209" s="35">
        <v>4465.8119658119658</v>
      </c>
      <c r="Z209" s="35">
        <f t="shared" si="116"/>
        <v>3.64990043303693</v>
      </c>
      <c r="AA209" s="37">
        <v>819</v>
      </c>
      <c r="AB209" s="37">
        <f t="shared" si="117"/>
        <v>2.9138138523837167</v>
      </c>
      <c r="AC209" s="35">
        <v>70</v>
      </c>
      <c r="AD209" s="35">
        <f t="shared" si="138"/>
        <v>1.8450980400142569</v>
      </c>
      <c r="AE209" s="48">
        <v>33.9</v>
      </c>
      <c r="AF209" s="48">
        <f t="shared" si="139"/>
        <v>1.5301996982030821</v>
      </c>
      <c r="AG209" s="43">
        <v>46.312020505412598</v>
      </c>
      <c r="AH209" s="43">
        <f t="shared" si="140"/>
        <v>1.6656937288498501</v>
      </c>
      <c r="AI209" s="39">
        <v>1.26</v>
      </c>
      <c r="AJ209" s="48">
        <f t="shared" si="118"/>
        <v>0.35410843914740087</v>
      </c>
      <c r="AK209" s="35">
        <v>3</v>
      </c>
      <c r="AL209" s="35">
        <f t="shared" si="141"/>
        <v>0.47712125471966244</v>
      </c>
      <c r="AM209" s="35">
        <f t="shared" si="119"/>
        <v>0</v>
      </c>
      <c r="AN209" s="35">
        <f t="shared" si="120"/>
        <v>0</v>
      </c>
      <c r="AO209" s="35">
        <f t="shared" si="121"/>
        <v>0</v>
      </c>
      <c r="AP209" s="35">
        <f t="shared" si="122"/>
        <v>0</v>
      </c>
      <c r="AQ209" s="35">
        <f t="shared" si="123"/>
        <v>0</v>
      </c>
      <c r="AR209" s="35">
        <f t="shared" si="124"/>
        <v>0</v>
      </c>
      <c r="AS209" s="35">
        <f t="shared" si="125"/>
        <v>0</v>
      </c>
      <c r="AT209" s="35">
        <f t="shared" si="126"/>
        <v>0</v>
      </c>
      <c r="AU209" s="35">
        <f t="shared" si="127"/>
        <v>0</v>
      </c>
      <c r="AV209" s="35">
        <f t="shared" si="128"/>
        <v>1</v>
      </c>
      <c r="AW209" s="35">
        <f t="shared" si="129"/>
        <v>0</v>
      </c>
      <c r="AX209" s="35">
        <f t="shared" si="130"/>
        <v>0</v>
      </c>
      <c r="AY209" s="35">
        <f t="shared" si="131"/>
        <v>0</v>
      </c>
      <c r="AZ209" s="35">
        <f t="shared" si="132"/>
        <v>0</v>
      </c>
      <c r="BA209" s="35">
        <f t="shared" si="133"/>
        <v>0</v>
      </c>
      <c r="BB209" s="35">
        <f t="shared" si="134"/>
        <v>0</v>
      </c>
      <c r="BC209" s="35">
        <f t="shared" si="135"/>
        <v>0</v>
      </c>
    </row>
    <row r="210" spans="1:55" s="35" customFormat="1" x14ac:dyDescent="0.35">
      <c r="A210" s="36">
        <v>38146</v>
      </c>
      <c r="B210" s="35" t="s">
        <v>747</v>
      </c>
      <c r="C210" s="35" t="s">
        <v>2</v>
      </c>
      <c r="D210" s="35" t="s">
        <v>577</v>
      </c>
      <c r="E210" s="35" t="s">
        <v>64</v>
      </c>
      <c r="F210" s="139">
        <f t="shared" si="108"/>
        <v>1</v>
      </c>
      <c r="G210" s="35">
        <v>598920000</v>
      </c>
      <c r="H210" s="139">
        <f t="shared" si="109"/>
        <v>8.7773688159137464</v>
      </c>
      <c r="I210" s="35">
        <v>636740000</v>
      </c>
      <c r="J210" s="35">
        <v>-37820000</v>
      </c>
      <c r="K210" s="36">
        <v>39636</v>
      </c>
      <c r="L210" s="35">
        <v>1635790000</v>
      </c>
      <c r="M210" s="21">
        <f t="shared" si="110"/>
        <v>4.0821917808219181</v>
      </c>
      <c r="N210" s="21">
        <f t="shared" si="136"/>
        <v>0.61089340395579939</v>
      </c>
      <c r="O210" s="35">
        <v>917.19</v>
      </c>
      <c r="P210" s="35">
        <f t="shared" si="111"/>
        <v>2.9629325585580042</v>
      </c>
      <c r="Q210" s="35">
        <v>13</v>
      </c>
      <c r="R210" s="35">
        <f t="shared" si="112"/>
        <v>1.146128035678238</v>
      </c>
      <c r="S210" s="45">
        <v>2.62</v>
      </c>
      <c r="T210" s="45">
        <f t="shared" si="137"/>
        <v>0.41830129131974547</v>
      </c>
      <c r="U210" s="175">
        <f t="shared" si="113"/>
        <v>1.7312328858612167</v>
      </c>
      <c r="V210" s="48">
        <f t="shared" si="114"/>
        <v>0.43635873299666728</v>
      </c>
      <c r="W210" s="35">
        <v>1861.7599999999995</v>
      </c>
      <c r="X210" s="35">
        <f t="shared" si="115"/>
        <v>3.2699236952309461</v>
      </c>
      <c r="Y210" s="35">
        <v>4993.920000000001</v>
      </c>
      <c r="Z210" s="35">
        <f t="shared" si="116"/>
        <v>3.6984415808994222</v>
      </c>
      <c r="AA210" s="37">
        <v>854.66666666666697</v>
      </c>
      <c r="AB210" s="37">
        <f t="shared" si="117"/>
        <v>2.9323046139517812</v>
      </c>
      <c r="AC210" s="35">
        <v>70</v>
      </c>
      <c r="AD210" s="35">
        <f t="shared" si="138"/>
        <v>1.8450980400142569</v>
      </c>
      <c r="AE210" s="48">
        <v>33.9</v>
      </c>
      <c r="AF210" s="48">
        <f t="shared" si="139"/>
        <v>1.5301996982030821</v>
      </c>
      <c r="AG210" s="43">
        <v>46.312020505412598</v>
      </c>
      <c r="AH210" s="43">
        <f t="shared" si="140"/>
        <v>1.6656937288498501</v>
      </c>
      <c r="AI210" s="39">
        <v>0.26</v>
      </c>
      <c r="AJ210" s="48">
        <f t="shared" si="118"/>
        <v>0.10037054511756291</v>
      </c>
      <c r="AK210" s="35">
        <v>12</v>
      </c>
      <c r="AL210" s="35">
        <f t="shared" si="141"/>
        <v>1.0791812460476249</v>
      </c>
      <c r="AM210" s="35">
        <f t="shared" si="119"/>
        <v>0</v>
      </c>
      <c r="AN210" s="35">
        <f t="shared" si="120"/>
        <v>0</v>
      </c>
      <c r="AO210" s="35">
        <f t="shared" si="121"/>
        <v>0</v>
      </c>
      <c r="AP210" s="35">
        <f t="shared" si="122"/>
        <v>0</v>
      </c>
      <c r="AQ210" s="35">
        <f t="shared" si="123"/>
        <v>0</v>
      </c>
      <c r="AR210" s="35">
        <f t="shared" si="124"/>
        <v>0</v>
      </c>
      <c r="AS210" s="35">
        <f t="shared" si="125"/>
        <v>0</v>
      </c>
      <c r="AT210" s="35">
        <f t="shared" si="126"/>
        <v>0</v>
      </c>
      <c r="AU210" s="35">
        <f t="shared" si="127"/>
        <v>0</v>
      </c>
      <c r="AV210" s="35">
        <f t="shared" si="128"/>
        <v>1</v>
      </c>
      <c r="AW210" s="35">
        <f t="shared" si="129"/>
        <v>0</v>
      </c>
      <c r="AX210" s="35">
        <f t="shared" si="130"/>
        <v>0</v>
      </c>
      <c r="AY210" s="35">
        <f t="shared" si="131"/>
        <v>0</v>
      </c>
      <c r="AZ210" s="35">
        <f t="shared" si="132"/>
        <v>0</v>
      </c>
      <c r="BA210" s="35">
        <f t="shared" si="133"/>
        <v>0</v>
      </c>
      <c r="BB210" s="35">
        <f t="shared" si="134"/>
        <v>0</v>
      </c>
      <c r="BC210" s="35">
        <f t="shared" si="135"/>
        <v>0</v>
      </c>
    </row>
    <row r="211" spans="1:55" s="35" customFormat="1" x14ac:dyDescent="0.35">
      <c r="A211" s="36">
        <v>38146</v>
      </c>
      <c r="B211" s="35" t="s">
        <v>1036</v>
      </c>
      <c r="C211" s="35" t="s">
        <v>163</v>
      </c>
      <c r="D211" s="35" t="s">
        <v>45</v>
      </c>
      <c r="E211" s="35" t="s">
        <v>64</v>
      </c>
      <c r="F211" s="139">
        <f t="shared" si="108"/>
        <v>1</v>
      </c>
      <c r="G211" s="35">
        <v>80000000</v>
      </c>
      <c r="H211" s="139">
        <f t="shared" si="109"/>
        <v>7.9030899869919438</v>
      </c>
      <c r="I211" s="35">
        <f t="shared" ref="I211:I219" si="142">G211</f>
        <v>80000000</v>
      </c>
      <c r="J211" s="35">
        <v>0</v>
      </c>
      <c r="K211" s="36">
        <v>38691</v>
      </c>
      <c r="L211" s="35">
        <v>16340000</v>
      </c>
      <c r="M211" s="21">
        <f t="shared" si="110"/>
        <v>1.4931506849315068</v>
      </c>
      <c r="N211" s="21">
        <f t="shared" si="136"/>
        <v>0.17410363782016772</v>
      </c>
      <c r="O211" s="35">
        <v>6164.6</v>
      </c>
      <c r="P211" s="35">
        <f t="shared" si="111"/>
        <v>3.7899753459779522</v>
      </c>
      <c r="Q211" s="35">
        <v>6</v>
      </c>
      <c r="R211" s="35">
        <f t="shared" si="112"/>
        <v>0.84509804001425681</v>
      </c>
      <c r="S211" s="45">
        <v>3.18</v>
      </c>
      <c r="T211" s="45">
        <f t="shared" si="137"/>
        <v>0.50242711998443268</v>
      </c>
      <c r="U211" s="175">
        <f t="shared" si="113"/>
        <v>-0.79574999999999996</v>
      </c>
      <c r="V211" s="48">
        <f t="shared" si="114"/>
        <v>-0.68983793479554678</v>
      </c>
      <c r="W211" s="35">
        <v>2672.4137931034488</v>
      </c>
      <c r="X211" s="35">
        <f t="shared" si="115"/>
        <v>3.4269037046073545</v>
      </c>
      <c r="Y211" s="35">
        <v>7208.6801426872771</v>
      </c>
      <c r="Z211" s="35">
        <f t="shared" si="116"/>
        <v>3.857855755812408</v>
      </c>
      <c r="AA211" s="37">
        <v>583.83333333333303</v>
      </c>
      <c r="AB211" s="37">
        <f t="shared" si="117"/>
        <v>2.7670321178317625</v>
      </c>
      <c r="AC211" s="35">
        <v>70</v>
      </c>
      <c r="AD211" s="35">
        <f t="shared" si="138"/>
        <v>1.8450980400142569</v>
      </c>
      <c r="AE211" s="48">
        <v>42.4</v>
      </c>
      <c r="AF211" s="48">
        <f t="shared" si="139"/>
        <v>1.6273658565927327</v>
      </c>
      <c r="AG211" s="43">
        <v>52.984855215816303</v>
      </c>
      <c r="AH211" s="43">
        <f t="shared" si="140"/>
        <v>1.7241517519382803</v>
      </c>
      <c r="AI211" s="39">
        <v>0.34</v>
      </c>
      <c r="AJ211" s="48">
        <f t="shared" si="118"/>
        <v>0.12710479836480765</v>
      </c>
      <c r="AK211" s="35">
        <v>39</v>
      </c>
      <c r="AL211" s="35">
        <f t="shared" si="141"/>
        <v>1.5910646070264991</v>
      </c>
      <c r="AM211" s="35">
        <f t="shared" si="119"/>
        <v>0</v>
      </c>
      <c r="AN211" s="35">
        <f t="shared" si="120"/>
        <v>0</v>
      </c>
      <c r="AO211" s="35">
        <f t="shared" si="121"/>
        <v>0</v>
      </c>
      <c r="AP211" s="35">
        <f t="shared" si="122"/>
        <v>0</v>
      </c>
      <c r="AQ211" s="35">
        <f t="shared" si="123"/>
        <v>0</v>
      </c>
      <c r="AR211" s="35">
        <f t="shared" si="124"/>
        <v>0</v>
      </c>
      <c r="AS211" s="35">
        <f t="shared" si="125"/>
        <v>0</v>
      </c>
      <c r="AT211" s="35">
        <f t="shared" si="126"/>
        <v>1</v>
      </c>
      <c r="AU211" s="35">
        <f t="shared" si="127"/>
        <v>0</v>
      </c>
      <c r="AV211" s="35">
        <f t="shared" si="128"/>
        <v>0</v>
      </c>
      <c r="AW211" s="35">
        <f t="shared" si="129"/>
        <v>0</v>
      </c>
      <c r="AX211" s="35">
        <f t="shared" si="130"/>
        <v>0</v>
      </c>
      <c r="AY211" s="35">
        <f t="shared" si="131"/>
        <v>0</v>
      </c>
      <c r="AZ211" s="35">
        <f t="shared" si="132"/>
        <v>0</v>
      </c>
      <c r="BA211" s="35">
        <f t="shared" si="133"/>
        <v>0</v>
      </c>
      <c r="BB211" s="35">
        <f t="shared" si="134"/>
        <v>0</v>
      </c>
      <c r="BC211" s="35">
        <f t="shared" si="135"/>
        <v>0</v>
      </c>
    </row>
    <row r="212" spans="1:55" s="35" customFormat="1" x14ac:dyDescent="0.35">
      <c r="A212" s="36">
        <v>38147</v>
      </c>
      <c r="B212" s="35" t="s">
        <v>1034</v>
      </c>
      <c r="C212" s="35" t="s">
        <v>59</v>
      </c>
      <c r="D212" s="35" t="s">
        <v>45</v>
      </c>
      <c r="E212" s="35" t="s">
        <v>64</v>
      </c>
      <c r="F212" s="139">
        <f t="shared" si="108"/>
        <v>1</v>
      </c>
      <c r="G212" s="35">
        <v>93000000</v>
      </c>
      <c r="H212" s="139">
        <f t="shared" si="109"/>
        <v>7.9684829485539348</v>
      </c>
      <c r="I212" s="35">
        <f t="shared" si="142"/>
        <v>93000000</v>
      </c>
      <c r="J212" s="35">
        <v>0</v>
      </c>
      <c r="K212" s="36">
        <v>38492</v>
      </c>
      <c r="L212" s="35">
        <v>202000000</v>
      </c>
      <c r="M212" s="21">
        <f t="shared" si="110"/>
        <v>0.9452054794520548</v>
      </c>
      <c r="N212" s="21">
        <f t="shared" si="136"/>
        <v>-2.4473769383200585E-2</v>
      </c>
      <c r="O212" s="35">
        <v>5897.96</v>
      </c>
      <c r="P212" s="35">
        <f t="shared" si="111"/>
        <v>3.7707754512906644</v>
      </c>
      <c r="Q212" s="35">
        <v>120</v>
      </c>
      <c r="R212" s="35">
        <f t="shared" si="112"/>
        <v>2.0827853703164503</v>
      </c>
      <c r="S212" s="45">
        <v>2.3199999999999998</v>
      </c>
      <c r="T212" s="45">
        <f t="shared" si="137"/>
        <v>0.36548798489089962</v>
      </c>
      <c r="U212" s="175">
        <f t="shared" si="113"/>
        <v>1.172043010752688</v>
      </c>
      <c r="V212" s="48">
        <f t="shared" si="114"/>
        <v>0.33686842089268865</v>
      </c>
      <c r="W212" s="35">
        <v>2056.25</v>
      </c>
      <c r="X212" s="35">
        <f t="shared" si="115"/>
        <v>3.3130759152940494</v>
      </c>
      <c r="Y212" s="35">
        <v>6190.625</v>
      </c>
      <c r="Z212" s="35">
        <f t="shared" si="116"/>
        <v>3.7917344972186413</v>
      </c>
      <c r="AA212" s="37">
        <v>132</v>
      </c>
      <c r="AB212" s="37">
        <f t="shared" si="117"/>
        <v>2.1238516409670858</v>
      </c>
      <c r="AC212" s="35">
        <v>85</v>
      </c>
      <c r="AD212" s="35">
        <f t="shared" si="138"/>
        <v>1.9294189257142926</v>
      </c>
      <c r="AE212" s="48">
        <v>32.299999999999997</v>
      </c>
      <c r="AF212" s="48">
        <f t="shared" si="139"/>
        <v>1.5092025223311027</v>
      </c>
      <c r="AG212" s="43">
        <v>40.040400531970803</v>
      </c>
      <c r="AH212" s="43">
        <f t="shared" si="140"/>
        <v>1.6024984131617945</v>
      </c>
      <c r="AI212" s="39">
        <v>1.28</v>
      </c>
      <c r="AJ212" s="48">
        <f t="shared" si="118"/>
        <v>0.35793484700045386</v>
      </c>
      <c r="AK212" s="35">
        <v>43</v>
      </c>
      <c r="AL212" s="35">
        <f t="shared" si="141"/>
        <v>1.6334684555795864</v>
      </c>
      <c r="AM212" s="35">
        <f t="shared" si="119"/>
        <v>0</v>
      </c>
      <c r="AN212" s="35">
        <f t="shared" si="120"/>
        <v>0</v>
      </c>
      <c r="AO212" s="35">
        <f t="shared" si="121"/>
        <v>1</v>
      </c>
      <c r="AP212" s="35">
        <f t="shared" si="122"/>
        <v>0</v>
      </c>
      <c r="AQ212" s="35">
        <f t="shared" si="123"/>
        <v>0</v>
      </c>
      <c r="AR212" s="35">
        <f t="shared" si="124"/>
        <v>0</v>
      </c>
      <c r="AS212" s="35">
        <f t="shared" si="125"/>
        <v>0</v>
      </c>
      <c r="AT212" s="35">
        <f t="shared" si="126"/>
        <v>0</v>
      </c>
      <c r="AU212" s="35">
        <f t="shared" si="127"/>
        <v>0</v>
      </c>
      <c r="AV212" s="35">
        <f t="shared" si="128"/>
        <v>0</v>
      </c>
      <c r="AW212" s="35">
        <f t="shared" si="129"/>
        <v>0</v>
      </c>
      <c r="AX212" s="35">
        <f t="shared" si="130"/>
        <v>0</v>
      </c>
      <c r="AY212" s="35">
        <f t="shared" si="131"/>
        <v>0</v>
      </c>
      <c r="AZ212" s="35">
        <f t="shared" si="132"/>
        <v>0</v>
      </c>
      <c r="BA212" s="35">
        <f t="shared" si="133"/>
        <v>0</v>
      </c>
      <c r="BB212" s="35">
        <f t="shared" si="134"/>
        <v>0</v>
      </c>
      <c r="BC212" s="35">
        <f t="shared" si="135"/>
        <v>0</v>
      </c>
    </row>
    <row r="213" spans="1:55" s="35" customFormat="1" x14ac:dyDescent="0.35">
      <c r="A213" s="36">
        <v>38169</v>
      </c>
      <c r="B213" s="35" t="s">
        <v>438</v>
      </c>
      <c r="C213" s="35" t="s">
        <v>4</v>
      </c>
      <c r="D213" s="35" t="s">
        <v>4</v>
      </c>
      <c r="E213" s="35" t="s">
        <v>102</v>
      </c>
      <c r="F213" s="139">
        <f t="shared" si="108"/>
        <v>0</v>
      </c>
      <c r="G213" s="35">
        <v>275000000</v>
      </c>
      <c r="H213" s="139">
        <f t="shared" si="109"/>
        <v>8.4393326938302629</v>
      </c>
      <c r="I213" s="35">
        <f t="shared" si="142"/>
        <v>275000000</v>
      </c>
      <c r="J213" s="35">
        <v>0</v>
      </c>
      <c r="K213" s="36">
        <v>39233</v>
      </c>
      <c r="L213" s="35">
        <v>690350000</v>
      </c>
      <c r="M213" s="21">
        <f t="shared" si="110"/>
        <v>2.9150684931506849</v>
      </c>
      <c r="N213" s="21">
        <f t="shared" si="136"/>
        <v>0.46464876350255468</v>
      </c>
      <c r="O213" s="35">
        <v>0</v>
      </c>
      <c r="P213" s="35">
        <f t="shared" si="111"/>
        <v>0</v>
      </c>
      <c r="Q213" s="35">
        <v>106</v>
      </c>
      <c r="R213" s="35">
        <f t="shared" si="112"/>
        <v>2.0293837776852097</v>
      </c>
      <c r="S213" s="45">
        <v>3.59</v>
      </c>
      <c r="T213" s="45">
        <f t="shared" si="137"/>
        <v>0.55509444857831913</v>
      </c>
      <c r="U213" s="175">
        <f t="shared" si="113"/>
        <v>1.5103636363636364</v>
      </c>
      <c r="V213" s="48">
        <f t="shared" si="114"/>
        <v>0.39973663535655063</v>
      </c>
      <c r="W213" s="35">
        <v>1543.2098765432097</v>
      </c>
      <c r="X213" s="35">
        <f t="shared" si="115"/>
        <v>3.1884249941294067</v>
      </c>
      <c r="Y213" s="35">
        <v>8692.1296296296296</v>
      </c>
      <c r="Z213" s="35">
        <f t="shared" si="116"/>
        <v>3.9391261945252749</v>
      </c>
      <c r="AA213" s="37">
        <v>0</v>
      </c>
      <c r="AB213" s="37">
        <f t="shared" si="117"/>
        <v>0</v>
      </c>
      <c r="AC213" s="35">
        <v>70</v>
      </c>
      <c r="AD213" s="35">
        <f t="shared" si="138"/>
        <v>1.8450980400142569</v>
      </c>
      <c r="AE213" s="48">
        <v>45.7</v>
      </c>
      <c r="AF213" s="48">
        <f t="shared" si="139"/>
        <v>1.6599162000698502</v>
      </c>
      <c r="AG213" s="43">
        <v>52.379377176281302</v>
      </c>
      <c r="AH213" s="43">
        <f t="shared" si="140"/>
        <v>1.7191603300855409</v>
      </c>
      <c r="AI213" s="39">
        <v>0.92</v>
      </c>
      <c r="AJ213" s="48">
        <f t="shared" si="118"/>
        <v>0.28330122870354957</v>
      </c>
      <c r="AK213" s="35">
        <v>44</v>
      </c>
      <c r="AL213" s="35">
        <f t="shared" si="141"/>
        <v>1.6434526764861874</v>
      </c>
      <c r="AM213" s="35">
        <f t="shared" si="119"/>
        <v>0</v>
      </c>
      <c r="AN213" s="35">
        <f t="shared" si="120"/>
        <v>0</v>
      </c>
      <c r="AO213" s="35">
        <f t="shared" si="121"/>
        <v>0</v>
      </c>
      <c r="AP213" s="35">
        <f t="shared" si="122"/>
        <v>0</v>
      </c>
      <c r="AQ213" s="35">
        <f t="shared" si="123"/>
        <v>0</v>
      </c>
      <c r="AR213" s="35">
        <f t="shared" si="124"/>
        <v>1</v>
      </c>
      <c r="AS213" s="35">
        <f t="shared" si="125"/>
        <v>0</v>
      </c>
      <c r="AT213" s="35">
        <f t="shared" si="126"/>
        <v>0</v>
      </c>
      <c r="AU213" s="35">
        <f t="shared" si="127"/>
        <v>0</v>
      </c>
      <c r="AV213" s="35">
        <f t="shared" si="128"/>
        <v>0</v>
      </c>
      <c r="AW213" s="35">
        <f t="shared" si="129"/>
        <v>0</v>
      </c>
      <c r="AX213" s="35">
        <f t="shared" si="130"/>
        <v>0</v>
      </c>
      <c r="AY213" s="35">
        <f t="shared" si="131"/>
        <v>0</v>
      </c>
      <c r="AZ213" s="35">
        <f t="shared" si="132"/>
        <v>0</v>
      </c>
      <c r="BA213" s="35">
        <f t="shared" si="133"/>
        <v>0</v>
      </c>
      <c r="BB213" s="35">
        <f t="shared" si="134"/>
        <v>0</v>
      </c>
      <c r="BC213" s="35">
        <f t="shared" si="135"/>
        <v>0</v>
      </c>
    </row>
    <row r="214" spans="1:55" s="35" customFormat="1" x14ac:dyDescent="0.35">
      <c r="A214" s="36">
        <v>38170</v>
      </c>
      <c r="B214" s="35" t="s">
        <v>526</v>
      </c>
      <c r="C214" s="35" t="s">
        <v>59</v>
      </c>
      <c r="D214" s="35" t="s">
        <v>59</v>
      </c>
      <c r="E214" s="35" t="s">
        <v>102</v>
      </c>
      <c r="F214" s="139">
        <f t="shared" si="108"/>
        <v>0</v>
      </c>
      <c r="G214" s="35">
        <v>543660000</v>
      </c>
      <c r="H214" s="139">
        <f t="shared" si="109"/>
        <v>8.7353273807884904</v>
      </c>
      <c r="I214" s="35">
        <f t="shared" si="142"/>
        <v>543660000</v>
      </c>
      <c r="J214" s="35">
        <v>0</v>
      </c>
      <c r="K214" s="36">
        <v>38964</v>
      </c>
      <c r="L214" s="35">
        <v>460000000</v>
      </c>
      <c r="M214" s="21">
        <f t="shared" si="110"/>
        <v>2.1753424657534248</v>
      </c>
      <c r="N214" s="21">
        <f t="shared" si="136"/>
        <v>0.33752763797062157</v>
      </c>
      <c r="O214" s="35">
        <v>0</v>
      </c>
      <c r="P214" s="35">
        <f t="shared" si="111"/>
        <v>0</v>
      </c>
      <c r="Q214" s="35">
        <v>20</v>
      </c>
      <c r="R214" s="35">
        <f t="shared" si="112"/>
        <v>1.3222192947339193</v>
      </c>
      <c r="S214" s="45">
        <v>3.29</v>
      </c>
      <c r="T214" s="45">
        <f t="shared" si="137"/>
        <v>0.51719589794997434</v>
      </c>
      <c r="U214" s="175">
        <f t="shared" si="113"/>
        <v>-0.15388294154434756</v>
      </c>
      <c r="V214" s="48">
        <f t="shared" si="114"/>
        <v>-7.2569549106915751E-2</v>
      </c>
      <c r="W214" s="35">
        <v>2144.9704142011828</v>
      </c>
      <c r="X214" s="35">
        <f t="shared" si="115"/>
        <v>3.3314213062933389</v>
      </c>
      <c r="Y214" s="35">
        <v>7670.1183431952677</v>
      </c>
      <c r="Z214" s="35">
        <f t="shared" si="116"/>
        <v>3.884802064783424</v>
      </c>
      <c r="AA214" s="37">
        <v>0</v>
      </c>
      <c r="AB214" s="37">
        <f t="shared" si="117"/>
        <v>0</v>
      </c>
      <c r="AC214" s="35">
        <v>85</v>
      </c>
      <c r="AD214" s="35">
        <f t="shared" si="138"/>
        <v>1.9294189257142926</v>
      </c>
      <c r="AE214" s="48">
        <v>32.299999999999997</v>
      </c>
      <c r="AF214" s="48">
        <f t="shared" si="139"/>
        <v>1.5092025223311027</v>
      </c>
      <c r="AG214" s="43">
        <v>40.040400531970803</v>
      </c>
      <c r="AH214" s="43">
        <f t="shared" si="140"/>
        <v>1.6024984131617945</v>
      </c>
      <c r="AI214" s="39">
        <v>0.77</v>
      </c>
      <c r="AJ214" s="48">
        <f t="shared" si="118"/>
        <v>0.24797326636180664</v>
      </c>
      <c r="AK214" s="35">
        <v>42</v>
      </c>
      <c r="AL214" s="35">
        <f t="shared" si="141"/>
        <v>1.6232492903979006</v>
      </c>
      <c r="AM214" s="35">
        <f t="shared" si="119"/>
        <v>0</v>
      </c>
      <c r="AN214" s="35">
        <f t="shared" si="120"/>
        <v>0</v>
      </c>
      <c r="AO214" s="35">
        <f t="shared" si="121"/>
        <v>1</v>
      </c>
      <c r="AP214" s="35">
        <f t="shared" si="122"/>
        <v>0</v>
      </c>
      <c r="AQ214" s="35">
        <f t="shared" si="123"/>
        <v>0</v>
      </c>
      <c r="AR214" s="35">
        <f t="shared" si="124"/>
        <v>0</v>
      </c>
      <c r="AS214" s="35">
        <f t="shared" si="125"/>
        <v>0</v>
      </c>
      <c r="AT214" s="35">
        <f t="shared" si="126"/>
        <v>0</v>
      </c>
      <c r="AU214" s="35">
        <f t="shared" si="127"/>
        <v>0</v>
      </c>
      <c r="AV214" s="35">
        <f t="shared" si="128"/>
        <v>0</v>
      </c>
      <c r="AW214" s="35">
        <f t="shared" si="129"/>
        <v>0</v>
      </c>
      <c r="AX214" s="35">
        <f t="shared" si="130"/>
        <v>0</v>
      </c>
      <c r="AY214" s="35">
        <f t="shared" si="131"/>
        <v>0</v>
      </c>
      <c r="AZ214" s="35">
        <f t="shared" si="132"/>
        <v>0</v>
      </c>
      <c r="BA214" s="35">
        <f t="shared" si="133"/>
        <v>0</v>
      </c>
      <c r="BB214" s="35">
        <f t="shared" si="134"/>
        <v>0</v>
      </c>
      <c r="BC214" s="35">
        <f t="shared" si="135"/>
        <v>0</v>
      </c>
    </row>
    <row r="215" spans="1:55" s="35" customFormat="1" x14ac:dyDescent="0.35">
      <c r="A215" s="36">
        <v>38180</v>
      </c>
      <c r="B215" s="35" t="s">
        <v>483</v>
      </c>
      <c r="C215" s="35" t="s">
        <v>45</v>
      </c>
      <c r="D215" s="35" t="s">
        <v>59</v>
      </c>
      <c r="E215" s="35" t="s">
        <v>125</v>
      </c>
      <c r="F215" s="139">
        <f t="shared" si="108"/>
        <v>1</v>
      </c>
      <c r="G215" s="35">
        <v>940790000</v>
      </c>
      <c r="H215" s="139">
        <f t="shared" si="109"/>
        <v>8.9734926924821696</v>
      </c>
      <c r="I215" s="35">
        <f t="shared" si="142"/>
        <v>940790000</v>
      </c>
      <c r="J215" s="35">
        <v>0</v>
      </c>
      <c r="K215" s="36">
        <v>39136</v>
      </c>
      <c r="L215" s="35">
        <v>1900000000</v>
      </c>
      <c r="M215" s="21">
        <f t="shared" si="110"/>
        <v>2.6191780821917807</v>
      </c>
      <c r="N215" s="21">
        <f t="shared" si="136"/>
        <v>0.41816502781962533</v>
      </c>
      <c r="O215" s="35">
        <v>5897.96</v>
      </c>
      <c r="P215" s="35">
        <f t="shared" si="111"/>
        <v>3.7707754512906644</v>
      </c>
      <c r="Q215" s="35">
        <v>18</v>
      </c>
      <c r="R215" s="35">
        <f t="shared" si="112"/>
        <v>1.2787536009528289</v>
      </c>
      <c r="S215" s="45">
        <v>2.3199999999999998</v>
      </c>
      <c r="T215" s="45">
        <f t="shared" si="137"/>
        <v>0.36548798489089962</v>
      </c>
      <c r="U215" s="175">
        <f t="shared" si="113"/>
        <v>1.019579289745852</v>
      </c>
      <c r="V215" s="48">
        <f t="shared" si="114"/>
        <v>0.30526090847065979</v>
      </c>
      <c r="W215" s="176">
        <v>1709.090909090909</v>
      </c>
      <c r="X215" s="35">
        <f t="shared" si="115"/>
        <v>3.2327651641054547</v>
      </c>
      <c r="Y215" s="35">
        <v>8968.5950413223145</v>
      </c>
      <c r="Z215" s="35">
        <f t="shared" si="116"/>
        <v>3.9527244147731087</v>
      </c>
      <c r="AA215" s="37">
        <v>132</v>
      </c>
      <c r="AB215" s="37">
        <f t="shared" si="117"/>
        <v>2.1238516409670858</v>
      </c>
      <c r="AC215" s="35">
        <v>85</v>
      </c>
      <c r="AD215" s="35">
        <f t="shared" si="138"/>
        <v>1.9294189257142926</v>
      </c>
      <c r="AE215" s="48">
        <v>24.6</v>
      </c>
      <c r="AF215" s="48">
        <f t="shared" si="139"/>
        <v>1.3909351071033791</v>
      </c>
      <c r="AG215" s="43">
        <v>36.876470987978301</v>
      </c>
      <c r="AH215" s="43">
        <f t="shared" si="140"/>
        <v>1.5667493531684615</v>
      </c>
      <c r="AI215" s="39">
        <v>-0.06</v>
      </c>
      <c r="AJ215" s="48">
        <f t="shared" si="118"/>
        <v>-2.6872146400301365E-2</v>
      </c>
      <c r="AK215" s="35">
        <v>39</v>
      </c>
      <c r="AL215" s="35">
        <f t="shared" si="141"/>
        <v>1.5910646070264991</v>
      </c>
      <c r="AM215" s="35">
        <f t="shared" si="119"/>
        <v>0</v>
      </c>
      <c r="AN215" s="35">
        <f t="shared" si="120"/>
        <v>1</v>
      </c>
      <c r="AO215" s="35">
        <f t="shared" si="121"/>
        <v>0</v>
      </c>
      <c r="AP215" s="35">
        <f t="shared" si="122"/>
        <v>0</v>
      </c>
      <c r="AQ215" s="35">
        <f t="shared" si="123"/>
        <v>0</v>
      </c>
      <c r="AR215" s="35">
        <f t="shared" si="124"/>
        <v>0</v>
      </c>
      <c r="AS215" s="35">
        <f t="shared" si="125"/>
        <v>0</v>
      </c>
      <c r="AT215" s="35">
        <f t="shared" si="126"/>
        <v>0</v>
      </c>
      <c r="AU215" s="35">
        <f t="shared" si="127"/>
        <v>0</v>
      </c>
      <c r="AV215" s="35">
        <f t="shared" si="128"/>
        <v>0</v>
      </c>
      <c r="AW215" s="35">
        <f t="shared" si="129"/>
        <v>0</v>
      </c>
      <c r="AX215" s="35">
        <f t="shared" si="130"/>
        <v>0</v>
      </c>
      <c r="AY215" s="35">
        <f t="shared" si="131"/>
        <v>0</v>
      </c>
      <c r="AZ215" s="35">
        <f t="shared" si="132"/>
        <v>0</v>
      </c>
      <c r="BA215" s="35">
        <f t="shared" si="133"/>
        <v>0</v>
      </c>
      <c r="BB215" s="35">
        <f t="shared" si="134"/>
        <v>0</v>
      </c>
      <c r="BC215" s="35">
        <f t="shared" si="135"/>
        <v>0</v>
      </c>
    </row>
    <row r="216" spans="1:55" s="35" customFormat="1" x14ac:dyDescent="0.35">
      <c r="A216" s="36">
        <v>38180</v>
      </c>
      <c r="B216" s="35" t="s">
        <v>850</v>
      </c>
      <c r="C216" s="35" t="s">
        <v>59</v>
      </c>
      <c r="D216" s="35" t="s">
        <v>59</v>
      </c>
      <c r="E216" s="35" t="s">
        <v>47</v>
      </c>
      <c r="F216" s="139">
        <f t="shared" si="108"/>
        <v>0</v>
      </c>
      <c r="G216" s="35">
        <v>207210000</v>
      </c>
      <c r="H216" s="139">
        <f t="shared" si="109"/>
        <v>8.3164107107258101</v>
      </c>
      <c r="I216" s="35">
        <f t="shared" si="142"/>
        <v>207210000</v>
      </c>
      <c r="J216" s="35">
        <v>0</v>
      </c>
      <c r="K216" s="36">
        <v>39577</v>
      </c>
      <c r="L216" s="35">
        <v>355000000</v>
      </c>
      <c r="M216" s="21">
        <f t="shared" si="110"/>
        <v>3.8273972602739725</v>
      </c>
      <c r="N216" s="21">
        <f t="shared" si="136"/>
        <v>0.58290354165770719</v>
      </c>
      <c r="O216" s="35">
        <v>0</v>
      </c>
      <c r="P216" s="35">
        <f t="shared" si="111"/>
        <v>0</v>
      </c>
      <c r="Q216" s="35">
        <v>8</v>
      </c>
      <c r="R216" s="35">
        <f t="shared" si="112"/>
        <v>0.95424250943932487</v>
      </c>
      <c r="S216" s="45">
        <v>3.29</v>
      </c>
      <c r="T216" s="45">
        <f t="shared" si="137"/>
        <v>0.51719589794997434</v>
      </c>
      <c r="U216" s="175">
        <f t="shared" si="113"/>
        <v>0.7132377780995125</v>
      </c>
      <c r="V216" s="48">
        <f t="shared" si="114"/>
        <v>0.2338176423292847</v>
      </c>
      <c r="W216" s="35">
        <v>2207.03125</v>
      </c>
      <c r="X216" s="35">
        <f t="shared" si="115"/>
        <v>3.3438084825075891</v>
      </c>
      <c r="Y216" s="35">
        <v>7753.90625</v>
      </c>
      <c r="Z216" s="35">
        <f t="shared" si="116"/>
        <v>3.8895205457872843</v>
      </c>
      <c r="AA216" s="37">
        <v>0</v>
      </c>
      <c r="AB216" s="37">
        <f t="shared" si="117"/>
        <v>0</v>
      </c>
      <c r="AC216" s="35">
        <v>85</v>
      </c>
      <c r="AD216" s="35">
        <f t="shared" si="138"/>
        <v>1.9294189257142926</v>
      </c>
      <c r="AE216" s="48">
        <v>32.299999999999997</v>
      </c>
      <c r="AF216" s="48">
        <f t="shared" si="139"/>
        <v>1.5092025223311027</v>
      </c>
      <c r="AG216" s="43">
        <v>40.040400531970803</v>
      </c>
      <c r="AH216" s="43">
        <f t="shared" si="140"/>
        <v>1.6024984131617945</v>
      </c>
      <c r="AI216" s="39">
        <v>-0.15</v>
      </c>
      <c r="AJ216" s="48">
        <f t="shared" si="118"/>
        <v>-7.0581074285707285E-2</v>
      </c>
      <c r="AK216" s="35">
        <v>33</v>
      </c>
      <c r="AL216" s="35">
        <f t="shared" si="141"/>
        <v>1.5185139398778875</v>
      </c>
      <c r="AM216" s="35">
        <f t="shared" si="119"/>
        <v>0</v>
      </c>
      <c r="AN216" s="35">
        <f t="shared" si="120"/>
        <v>0</v>
      </c>
      <c r="AO216" s="35">
        <f t="shared" si="121"/>
        <v>1</v>
      </c>
      <c r="AP216" s="35">
        <f t="shared" si="122"/>
        <v>0</v>
      </c>
      <c r="AQ216" s="35">
        <f t="shared" si="123"/>
        <v>0</v>
      </c>
      <c r="AR216" s="35">
        <f t="shared" si="124"/>
        <v>0</v>
      </c>
      <c r="AS216" s="35">
        <f t="shared" si="125"/>
        <v>0</v>
      </c>
      <c r="AT216" s="35">
        <f t="shared" si="126"/>
        <v>0</v>
      </c>
      <c r="AU216" s="35">
        <f t="shared" si="127"/>
        <v>0</v>
      </c>
      <c r="AV216" s="35">
        <f t="shared" si="128"/>
        <v>0</v>
      </c>
      <c r="AW216" s="35">
        <f t="shared" si="129"/>
        <v>0</v>
      </c>
      <c r="AX216" s="35">
        <f t="shared" si="130"/>
        <v>0</v>
      </c>
      <c r="AY216" s="35">
        <f t="shared" si="131"/>
        <v>0</v>
      </c>
      <c r="AZ216" s="35">
        <f t="shared" si="132"/>
        <v>0</v>
      </c>
      <c r="BA216" s="35">
        <f t="shared" si="133"/>
        <v>0</v>
      </c>
      <c r="BB216" s="35">
        <f t="shared" si="134"/>
        <v>0</v>
      </c>
      <c r="BC216" s="35">
        <f t="shared" si="135"/>
        <v>0</v>
      </c>
    </row>
    <row r="217" spans="1:55" s="35" customFormat="1" x14ac:dyDescent="0.35">
      <c r="A217" s="36">
        <v>38182</v>
      </c>
      <c r="B217" s="35" t="s">
        <v>763</v>
      </c>
      <c r="C217" s="35" t="s">
        <v>163</v>
      </c>
      <c r="D217" s="35" t="s">
        <v>59</v>
      </c>
      <c r="E217" s="35" t="s">
        <v>64</v>
      </c>
      <c r="F217" s="139">
        <f t="shared" si="108"/>
        <v>1</v>
      </c>
      <c r="G217" s="35">
        <v>68985000</v>
      </c>
      <c r="H217" s="139">
        <f t="shared" si="109"/>
        <v>7.8387546686297185</v>
      </c>
      <c r="I217" s="35">
        <f t="shared" si="142"/>
        <v>68985000</v>
      </c>
      <c r="J217" s="35">
        <v>0</v>
      </c>
      <c r="K217" s="36">
        <v>41170</v>
      </c>
      <c r="L217" s="35">
        <v>690562000</v>
      </c>
      <c r="M217" s="21">
        <f t="shared" si="110"/>
        <v>8.1863013698630134</v>
      </c>
      <c r="N217" s="21">
        <f t="shared" si="136"/>
        <v>0.91308772868688648</v>
      </c>
      <c r="O217" s="35">
        <v>342.74</v>
      </c>
      <c r="P217" s="35">
        <f t="shared" si="111"/>
        <v>2.5362300726332561</v>
      </c>
      <c r="Q217" s="35">
        <v>9</v>
      </c>
      <c r="R217" s="35">
        <f t="shared" si="112"/>
        <v>1</v>
      </c>
      <c r="S217" s="45">
        <v>2.3199999999999998</v>
      </c>
      <c r="T217" s="45">
        <f t="shared" si="137"/>
        <v>0.36548798489089962</v>
      </c>
      <c r="U217" s="175">
        <f t="shared" si="113"/>
        <v>9.0103210842936878</v>
      </c>
      <c r="V217" s="48">
        <f t="shared" si="114"/>
        <v>1.0004480078390166</v>
      </c>
      <c r="W217" s="35">
        <v>3425.6694367497698</v>
      </c>
      <c r="X217" s="35">
        <f t="shared" si="115"/>
        <v>3.5347454529897258</v>
      </c>
      <c r="Y217" s="35">
        <v>9322.8685749461365</v>
      </c>
      <c r="Z217" s="35">
        <f t="shared" si="116"/>
        <v>3.9695495619878729</v>
      </c>
      <c r="AA217" s="37">
        <v>569.16666666666697</v>
      </c>
      <c r="AB217" s="37">
        <f t="shared" si="117"/>
        <v>2.756001823801419</v>
      </c>
      <c r="AC217" s="35">
        <v>70</v>
      </c>
      <c r="AD217" s="35">
        <f t="shared" si="138"/>
        <v>1.8450980400142569</v>
      </c>
      <c r="AE217" s="48">
        <v>42.4</v>
      </c>
      <c r="AF217" s="48">
        <f t="shared" si="139"/>
        <v>1.6273658565927327</v>
      </c>
      <c r="AG217" s="43">
        <v>52.984855215816303</v>
      </c>
      <c r="AH217" s="43">
        <f t="shared" si="140"/>
        <v>1.7241517519382803</v>
      </c>
      <c r="AI217" s="39">
        <v>0.13</v>
      </c>
      <c r="AJ217" s="48">
        <f t="shared" si="118"/>
        <v>5.3078443483419682E-2</v>
      </c>
      <c r="AK217" s="35">
        <v>26</v>
      </c>
      <c r="AL217" s="35">
        <f t="shared" si="141"/>
        <v>1.414973347970818</v>
      </c>
      <c r="AM217" s="35">
        <f t="shared" si="119"/>
        <v>0</v>
      </c>
      <c r="AN217" s="35">
        <f t="shared" si="120"/>
        <v>0</v>
      </c>
      <c r="AO217" s="35">
        <f t="shared" si="121"/>
        <v>0</v>
      </c>
      <c r="AP217" s="35">
        <f t="shared" si="122"/>
        <v>0</v>
      </c>
      <c r="AQ217" s="35">
        <f t="shared" si="123"/>
        <v>0</v>
      </c>
      <c r="AR217" s="35">
        <f t="shared" si="124"/>
        <v>0</v>
      </c>
      <c r="AS217" s="35">
        <f t="shared" si="125"/>
        <v>0</v>
      </c>
      <c r="AT217" s="35">
        <f t="shared" si="126"/>
        <v>1</v>
      </c>
      <c r="AU217" s="35">
        <f t="shared" si="127"/>
        <v>0</v>
      </c>
      <c r="AV217" s="35">
        <f t="shared" si="128"/>
        <v>0</v>
      </c>
      <c r="AW217" s="35">
        <f t="shared" si="129"/>
        <v>0</v>
      </c>
      <c r="AX217" s="35">
        <f t="shared" si="130"/>
        <v>0</v>
      </c>
      <c r="AY217" s="35">
        <f t="shared" si="131"/>
        <v>0</v>
      </c>
      <c r="AZ217" s="35">
        <f t="shared" si="132"/>
        <v>0</v>
      </c>
      <c r="BA217" s="35">
        <f t="shared" si="133"/>
        <v>0</v>
      </c>
      <c r="BB217" s="35">
        <f t="shared" si="134"/>
        <v>0</v>
      </c>
      <c r="BC217" s="35">
        <f t="shared" si="135"/>
        <v>0</v>
      </c>
    </row>
    <row r="218" spans="1:55" s="35" customFormat="1" x14ac:dyDescent="0.35">
      <c r="A218" s="36">
        <v>38184</v>
      </c>
      <c r="B218" s="35" t="s">
        <v>1231</v>
      </c>
      <c r="C218" s="35" t="s">
        <v>45</v>
      </c>
      <c r="D218" s="35" t="s">
        <v>602</v>
      </c>
      <c r="E218" s="35" t="s">
        <v>47</v>
      </c>
      <c r="F218" s="139">
        <f t="shared" si="108"/>
        <v>0</v>
      </c>
      <c r="G218" s="35">
        <v>235000000</v>
      </c>
      <c r="H218" s="139">
        <f t="shared" si="109"/>
        <v>8.3710678622717367</v>
      </c>
      <c r="I218" s="35">
        <f t="shared" si="142"/>
        <v>235000000</v>
      </c>
      <c r="J218" s="35">
        <v>0</v>
      </c>
      <c r="K218" s="36">
        <v>39387</v>
      </c>
      <c r="L218" s="35">
        <v>205000000</v>
      </c>
      <c r="M218" s="21">
        <f t="shared" si="110"/>
        <v>3.2958904109589042</v>
      </c>
      <c r="N218" s="21">
        <f t="shared" si="136"/>
        <v>0.51797276288337002</v>
      </c>
      <c r="O218" s="35">
        <v>0</v>
      </c>
      <c r="P218" s="35">
        <f t="shared" si="111"/>
        <v>0</v>
      </c>
      <c r="Q218" s="35">
        <v>18</v>
      </c>
      <c r="R218" s="35">
        <f t="shared" si="112"/>
        <v>1.2787536009528289</v>
      </c>
      <c r="S218" s="45">
        <v>2.95</v>
      </c>
      <c r="T218" s="45">
        <f t="shared" si="137"/>
        <v>0.46982201597816303</v>
      </c>
      <c r="U218" s="175">
        <f t="shared" si="113"/>
        <v>-0.12765957446808507</v>
      </c>
      <c r="V218" s="48">
        <f t="shared" si="114"/>
        <v>-5.9314001215981953E-2</v>
      </c>
      <c r="W218" s="35">
        <v>1455.046</v>
      </c>
      <c r="X218" s="35">
        <f t="shared" si="115"/>
        <v>3.1628767233771686</v>
      </c>
      <c r="Y218" s="35">
        <v>4062.5129999999999</v>
      </c>
      <c r="Z218" s="35">
        <f t="shared" si="116"/>
        <v>3.6087947637270492</v>
      </c>
      <c r="AA218" s="35">
        <v>0</v>
      </c>
      <c r="AB218" s="37">
        <f t="shared" si="117"/>
        <v>0</v>
      </c>
      <c r="AC218" s="35">
        <v>85</v>
      </c>
      <c r="AD218" s="35">
        <f t="shared" si="138"/>
        <v>1.9294189257142926</v>
      </c>
      <c r="AE218" s="48">
        <v>24.6</v>
      </c>
      <c r="AF218" s="48">
        <f t="shared" si="139"/>
        <v>1.3909351071033791</v>
      </c>
      <c r="AG218" s="43">
        <v>36.876470987978301</v>
      </c>
      <c r="AH218" s="43">
        <f t="shared" si="140"/>
        <v>1.5667493531684615</v>
      </c>
      <c r="AI218" s="39">
        <v>-0.01</v>
      </c>
      <c r="AJ218" s="48">
        <f t="shared" si="118"/>
        <v>-4.3648054024500883E-3</v>
      </c>
      <c r="AK218" s="35">
        <v>33</v>
      </c>
      <c r="AL218" s="35">
        <f t="shared" si="141"/>
        <v>1.5185139398778875</v>
      </c>
      <c r="AM218" s="35">
        <f t="shared" si="119"/>
        <v>0</v>
      </c>
      <c r="AN218" s="35">
        <f t="shared" si="120"/>
        <v>1</v>
      </c>
      <c r="AO218" s="35">
        <f t="shared" si="121"/>
        <v>0</v>
      </c>
      <c r="AP218" s="35">
        <f t="shared" si="122"/>
        <v>0</v>
      </c>
      <c r="AQ218" s="35">
        <f t="shared" si="123"/>
        <v>0</v>
      </c>
      <c r="AR218" s="35">
        <f t="shared" si="124"/>
        <v>0</v>
      </c>
      <c r="AS218" s="35">
        <f t="shared" si="125"/>
        <v>0</v>
      </c>
      <c r="AT218" s="35">
        <f t="shared" si="126"/>
        <v>0</v>
      </c>
      <c r="AU218" s="35">
        <f t="shared" si="127"/>
        <v>0</v>
      </c>
      <c r="AV218" s="35">
        <f t="shared" si="128"/>
        <v>0</v>
      </c>
      <c r="AW218" s="35">
        <f t="shared" si="129"/>
        <v>0</v>
      </c>
      <c r="AX218" s="35">
        <f t="shared" si="130"/>
        <v>0</v>
      </c>
      <c r="AY218" s="35">
        <f t="shared" si="131"/>
        <v>0</v>
      </c>
      <c r="AZ218" s="35">
        <f t="shared" si="132"/>
        <v>0</v>
      </c>
      <c r="BA218" s="35">
        <f t="shared" si="133"/>
        <v>0</v>
      </c>
      <c r="BB218" s="35">
        <f t="shared" si="134"/>
        <v>0</v>
      </c>
      <c r="BC218" s="35">
        <f t="shared" si="135"/>
        <v>0</v>
      </c>
    </row>
    <row r="219" spans="1:55" s="35" customFormat="1" x14ac:dyDescent="0.35">
      <c r="A219" s="36">
        <v>38184</v>
      </c>
      <c r="B219" s="35" t="s">
        <v>1231</v>
      </c>
      <c r="C219" s="35" t="s">
        <v>45</v>
      </c>
      <c r="D219" s="35" t="s">
        <v>602</v>
      </c>
      <c r="E219" s="35" t="s">
        <v>47</v>
      </c>
      <c r="F219" s="139">
        <f t="shared" si="108"/>
        <v>0</v>
      </c>
      <c r="G219" s="35">
        <v>235000000</v>
      </c>
      <c r="H219" s="139">
        <f t="shared" si="109"/>
        <v>8.3710678622717367</v>
      </c>
      <c r="I219" s="35">
        <f t="shared" si="142"/>
        <v>235000000</v>
      </c>
      <c r="J219" s="35">
        <v>0</v>
      </c>
      <c r="K219" s="36">
        <v>39387</v>
      </c>
      <c r="L219" s="35">
        <v>205020000</v>
      </c>
      <c r="M219" s="21">
        <f t="shared" si="110"/>
        <v>3.2958904109589042</v>
      </c>
      <c r="N219" s="21">
        <f t="shared" si="136"/>
        <v>0.51797276288337002</v>
      </c>
      <c r="O219" s="35">
        <v>0</v>
      </c>
      <c r="P219" s="35">
        <f t="shared" si="111"/>
        <v>0</v>
      </c>
      <c r="Q219" s="35">
        <v>20</v>
      </c>
      <c r="R219" s="35">
        <f t="shared" si="112"/>
        <v>1.3222192947339193</v>
      </c>
      <c r="S219" s="45">
        <v>2.95</v>
      </c>
      <c r="T219" s="45">
        <f t="shared" si="137"/>
        <v>0.46982201597816303</v>
      </c>
      <c r="U219" s="175">
        <f t="shared" si="113"/>
        <v>-0.12757446808510642</v>
      </c>
      <c r="V219" s="48">
        <f t="shared" si="114"/>
        <v>-5.9271633089329853E-2</v>
      </c>
      <c r="W219" s="35">
        <v>3287.5739644970417</v>
      </c>
      <c r="X219" s="35">
        <f t="shared" si="115"/>
        <v>3.5168755324519045</v>
      </c>
      <c r="Y219" s="35">
        <v>6440.2366863905318</v>
      </c>
      <c r="Z219" s="35">
        <f t="shared" si="116"/>
        <v>3.8089018284940463</v>
      </c>
      <c r="AA219" s="35">
        <v>0</v>
      </c>
      <c r="AB219" s="37">
        <f t="shared" si="117"/>
        <v>0</v>
      </c>
      <c r="AC219" s="35">
        <v>85</v>
      </c>
      <c r="AD219" s="35">
        <f t="shared" si="138"/>
        <v>1.9294189257142926</v>
      </c>
      <c r="AE219" s="48">
        <v>24.6</v>
      </c>
      <c r="AF219" s="48">
        <f t="shared" si="139"/>
        <v>1.3909351071033791</v>
      </c>
      <c r="AG219" s="43">
        <v>36.876470987978301</v>
      </c>
      <c r="AH219" s="43">
        <f t="shared" si="140"/>
        <v>1.5667493531684615</v>
      </c>
      <c r="AI219" s="39">
        <v>0.5</v>
      </c>
      <c r="AJ219" s="48">
        <f t="shared" si="118"/>
        <v>0.17609125905568124</v>
      </c>
      <c r="AK219" s="35">
        <v>9</v>
      </c>
      <c r="AL219" s="35">
        <f t="shared" si="141"/>
        <v>0.95424250943932487</v>
      </c>
      <c r="AM219" s="35">
        <f t="shared" si="119"/>
        <v>0</v>
      </c>
      <c r="AN219" s="35">
        <f t="shared" si="120"/>
        <v>1</v>
      </c>
      <c r="AO219" s="35">
        <f t="shared" si="121"/>
        <v>0</v>
      </c>
      <c r="AP219" s="35">
        <f t="shared" si="122"/>
        <v>0</v>
      </c>
      <c r="AQ219" s="35">
        <f t="shared" si="123"/>
        <v>0</v>
      </c>
      <c r="AR219" s="35">
        <f t="shared" si="124"/>
        <v>0</v>
      </c>
      <c r="AS219" s="35">
        <f t="shared" si="125"/>
        <v>0</v>
      </c>
      <c r="AT219" s="35">
        <f t="shared" si="126"/>
        <v>0</v>
      </c>
      <c r="AU219" s="35">
        <f t="shared" si="127"/>
        <v>0</v>
      </c>
      <c r="AV219" s="35">
        <f t="shared" si="128"/>
        <v>0</v>
      </c>
      <c r="AW219" s="35">
        <f t="shared" si="129"/>
        <v>0</v>
      </c>
      <c r="AX219" s="35">
        <f t="shared" si="130"/>
        <v>0</v>
      </c>
      <c r="AY219" s="35">
        <f t="shared" si="131"/>
        <v>0</v>
      </c>
      <c r="AZ219" s="35">
        <f t="shared" si="132"/>
        <v>0</v>
      </c>
      <c r="BA219" s="35">
        <f t="shared" si="133"/>
        <v>0</v>
      </c>
      <c r="BB219" s="35">
        <f t="shared" si="134"/>
        <v>0</v>
      </c>
      <c r="BC219" s="35">
        <f t="shared" si="135"/>
        <v>0</v>
      </c>
    </row>
    <row r="220" spans="1:55" s="35" customFormat="1" x14ac:dyDescent="0.35">
      <c r="A220" s="36">
        <v>38187</v>
      </c>
      <c r="B220" s="35" t="s">
        <v>481</v>
      </c>
      <c r="C220" s="35" t="s">
        <v>59</v>
      </c>
      <c r="D220" s="35" t="s">
        <v>59</v>
      </c>
      <c r="E220" s="35" t="s">
        <v>102</v>
      </c>
      <c r="F220" s="139">
        <f t="shared" si="108"/>
        <v>0</v>
      </c>
      <c r="G220" s="35">
        <v>320000000</v>
      </c>
      <c r="H220" s="139">
        <f t="shared" si="109"/>
        <v>8.5051499783199063</v>
      </c>
      <c r="I220" s="35">
        <v>320760000</v>
      </c>
      <c r="J220" s="35">
        <v>-760000</v>
      </c>
      <c r="K220" s="36">
        <v>42794</v>
      </c>
      <c r="L220" s="35">
        <v>1091550000</v>
      </c>
      <c r="M220" s="21">
        <f t="shared" si="110"/>
        <v>12.621917808219179</v>
      </c>
      <c r="N220" s="21">
        <f t="shared" si="136"/>
        <v>1.1011253477962051</v>
      </c>
      <c r="O220" s="35">
        <v>0</v>
      </c>
      <c r="P220" s="35">
        <f t="shared" si="111"/>
        <v>0</v>
      </c>
      <c r="Q220" s="35">
        <v>71</v>
      </c>
      <c r="R220" s="35">
        <f t="shared" si="112"/>
        <v>1.8573324964312685</v>
      </c>
      <c r="S220" s="45">
        <v>3.29</v>
      </c>
      <c r="T220" s="45">
        <f t="shared" si="137"/>
        <v>0.51719589794997434</v>
      </c>
      <c r="U220" s="175">
        <f t="shared" si="113"/>
        <v>2.41109375</v>
      </c>
      <c r="V220" s="48">
        <f t="shared" si="114"/>
        <v>0.53289365565722702</v>
      </c>
      <c r="W220" s="176">
        <v>1709.090909090909</v>
      </c>
      <c r="X220" s="35">
        <f t="shared" si="115"/>
        <v>3.2327651641054547</v>
      </c>
      <c r="Y220" s="35">
        <v>8968.5950413223145</v>
      </c>
      <c r="Z220" s="35">
        <f t="shared" si="116"/>
        <v>3.9527244147731087</v>
      </c>
      <c r="AA220" s="37">
        <v>0</v>
      </c>
      <c r="AB220" s="37">
        <f t="shared" si="117"/>
        <v>0</v>
      </c>
      <c r="AC220" s="35">
        <v>85</v>
      </c>
      <c r="AD220" s="35">
        <f t="shared" si="138"/>
        <v>1.9294189257142926</v>
      </c>
      <c r="AE220" s="48">
        <v>32.299999999999997</v>
      </c>
      <c r="AF220" s="48">
        <f t="shared" si="139"/>
        <v>1.5092025223311027</v>
      </c>
      <c r="AG220" s="43">
        <v>40.040400531970803</v>
      </c>
      <c r="AH220" s="43">
        <f t="shared" si="140"/>
        <v>1.6024984131617945</v>
      </c>
      <c r="AI220" s="39">
        <v>0.63</v>
      </c>
      <c r="AJ220" s="48">
        <f t="shared" si="118"/>
        <v>0.21218760440395779</v>
      </c>
      <c r="AK220" s="35">
        <v>24</v>
      </c>
      <c r="AL220" s="35">
        <f t="shared" si="141"/>
        <v>1.3802112417116059</v>
      </c>
      <c r="AM220" s="35">
        <f t="shared" si="119"/>
        <v>0</v>
      </c>
      <c r="AN220" s="35">
        <f t="shared" si="120"/>
        <v>0</v>
      </c>
      <c r="AO220" s="35">
        <f t="shared" si="121"/>
        <v>1</v>
      </c>
      <c r="AP220" s="35">
        <f t="shared" si="122"/>
        <v>0</v>
      </c>
      <c r="AQ220" s="35">
        <f t="shared" si="123"/>
        <v>0</v>
      </c>
      <c r="AR220" s="35">
        <f t="shared" si="124"/>
        <v>0</v>
      </c>
      <c r="AS220" s="35">
        <f t="shared" si="125"/>
        <v>0</v>
      </c>
      <c r="AT220" s="35">
        <f t="shared" si="126"/>
        <v>0</v>
      </c>
      <c r="AU220" s="35">
        <f t="shared" si="127"/>
        <v>0</v>
      </c>
      <c r="AV220" s="35">
        <f t="shared" si="128"/>
        <v>0</v>
      </c>
      <c r="AW220" s="35">
        <f t="shared" si="129"/>
        <v>0</v>
      </c>
      <c r="AX220" s="35">
        <f t="shared" si="130"/>
        <v>0</v>
      </c>
      <c r="AY220" s="35">
        <f t="shared" si="131"/>
        <v>0</v>
      </c>
      <c r="AZ220" s="35">
        <f t="shared" si="132"/>
        <v>0</v>
      </c>
      <c r="BA220" s="35">
        <f t="shared" si="133"/>
        <v>0</v>
      </c>
      <c r="BB220" s="35">
        <f t="shared" si="134"/>
        <v>0</v>
      </c>
      <c r="BC220" s="35">
        <f t="shared" si="135"/>
        <v>0</v>
      </c>
    </row>
    <row r="221" spans="1:55" s="35" customFormat="1" x14ac:dyDescent="0.35">
      <c r="A221" s="36">
        <v>38218</v>
      </c>
      <c r="B221" s="35" t="s">
        <v>384</v>
      </c>
      <c r="C221" s="35" t="s">
        <v>163</v>
      </c>
      <c r="D221" s="35" t="s">
        <v>45</v>
      </c>
      <c r="E221" s="35" t="s">
        <v>125</v>
      </c>
      <c r="F221" s="139">
        <f t="shared" si="108"/>
        <v>1</v>
      </c>
      <c r="G221" s="35">
        <v>12000000</v>
      </c>
      <c r="H221" s="139">
        <f t="shared" si="109"/>
        <v>7.0791812460476251</v>
      </c>
      <c r="I221" s="35">
        <v>12000000</v>
      </c>
      <c r="J221" s="35">
        <v>0</v>
      </c>
      <c r="K221" s="36">
        <v>38615</v>
      </c>
      <c r="L221" s="35">
        <v>18500000</v>
      </c>
      <c r="M221" s="21">
        <f t="shared" si="110"/>
        <v>1.0876712328767124</v>
      </c>
      <c r="N221" s="21">
        <f t="shared" si="136"/>
        <v>3.649764230664039E-2</v>
      </c>
      <c r="O221" s="35">
        <v>6164.6</v>
      </c>
      <c r="P221" s="35">
        <f t="shared" si="111"/>
        <v>3.7899753459779522</v>
      </c>
      <c r="Q221" s="35">
        <v>5</v>
      </c>
      <c r="R221" s="35">
        <f t="shared" si="112"/>
        <v>0.77815125038364363</v>
      </c>
      <c r="S221" s="45">
        <v>3.18</v>
      </c>
      <c r="T221" s="45">
        <f t="shared" si="137"/>
        <v>0.50242711998443268</v>
      </c>
      <c r="U221" s="175">
        <f t="shared" si="113"/>
        <v>0.54166666666666674</v>
      </c>
      <c r="V221" s="48">
        <f t="shared" si="114"/>
        <v>0.18799048235538898</v>
      </c>
      <c r="W221" s="35">
        <v>1518.5350000000001</v>
      </c>
      <c r="X221" s="35">
        <f t="shared" si="115"/>
        <v>3.1814248062191788</v>
      </c>
      <c r="Y221" s="35">
        <v>5363.16</v>
      </c>
      <c r="Z221" s="35">
        <f t="shared" si="116"/>
        <v>3.7294207535322617</v>
      </c>
      <c r="AA221" s="37">
        <v>583.83333333333303</v>
      </c>
      <c r="AB221" s="37">
        <f t="shared" si="117"/>
        <v>2.7670321178317625</v>
      </c>
      <c r="AC221" s="35">
        <v>70</v>
      </c>
      <c r="AD221" s="35">
        <f t="shared" si="138"/>
        <v>1.8450980400142569</v>
      </c>
      <c r="AE221" s="48">
        <v>42.4</v>
      </c>
      <c r="AF221" s="48">
        <f t="shared" si="139"/>
        <v>1.6273658565927327</v>
      </c>
      <c r="AG221" s="43">
        <v>52.984855215816303</v>
      </c>
      <c r="AH221" s="43">
        <f t="shared" si="140"/>
        <v>1.7241517519382803</v>
      </c>
      <c r="AI221" s="39">
        <v>0.32</v>
      </c>
      <c r="AJ221" s="48">
        <f t="shared" si="118"/>
        <v>0.12057393120584989</v>
      </c>
      <c r="AK221" s="35">
        <v>16</v>
      </c>
      <c r="AL221" s="35">
        <f t="shared" si="141"/>
        <v>1.2041199826559248</v>
      </c>
      <c r="AM221" s="35">
        <f t="shared" si="119"/>
        <v>0</v>
      </c>
      <c r="AN221" s="35">
        <f t="shared" si="120"/>
        <v>0</v>
      </c>
      <c r="AO221" s="35">
        <f t="shared" si="121"/>
        <v>0</v>
      </c>
      <c r="AP221" s="35">
        <f t="shared" si="122"/>
        <v>0</v>
      </c>
      <c r="AQ221" s="35">
        <f t="shared" si="123"/>
        <v>0</v>
      </c>
      <c r="AR221" s="35">
        <f t="shared" si="124"/>
        <v>0</v>
      </c>
      <c r="AS221" s="35">
        <f t="shared" si="125"/>
        <v>0</v>
      </c>
      <c r="AT221" s="35">
        <f t="shared" si="126"/>
        <v>1</v>
      </c>
      <c r="AU221" s="35">
        <f t="shared" si="127"/>
        <v>0</v>
      </c>
      <c r="AV221" s="35">
        <f t="shared" si="128"/>
        <v>0</v>
      </c>
      <c r="AW221" s="35">
        <f t="shared" si="129"/>
        <v>0</v>
      </c>
      <c r="AX221" s="35">
        <f t="shared" si="130"/>
        <v>0</v>
      </c>
      <c r="AY221" s="35">
        <f t="shared" si="131"/>
        <v>0</v>
      </c>
      <c r="AZ221" s="35">
        <f t="shared" si="132"/>
        <v>0</v>
      </c>
      <c r="BA221" s="35">
        <f t="shared" si="133"/>
        <v>0</v>
      </c>
      <c r="BB221" s="35">
        <f t="shared" si="134"/>
        <v>0</v>
      </c>
      <c r="BC221" s="35">
        <f t="shared" si="135"/>
        <v>0</v>
      </c>
    </row>
    <row r="222" spans="1:55" s="35" customFormat="1" x14ac:dyDescent="0.35">
      <c r="A222" s="36">
        <v>38230</v>
      </c>
      <c r="B222" s="35" t="s">
        <v>537</v>
      </c>
      <c r="C222" s="35" t="s">
        <v>59</v>
      </c>
      <c r="D222" s="35" t="s">
        <v>45</v>
      </c>
      <c r="E222" s="35" t="s">
        <v>125</v>
      </c>
      <c r="F222" s="139">
        <f t="shared" si="108"/>
        <v>1</v>
      </c>
      <c r="G222" s="35">
        <v>273500000</v>
      </c>
      <c r="H222" s="139">
        <f t="shared" si="109"/>
        <v>8.4369573306694488</v>
      </c>
      <c r="I222" s="35">
        <f>G222</f>
        <v>273500000</v>
      </c>
      <c r="J222" s="35">
        <v>0</v>
      </c>
      <c r="K222" s="36">
        <v>39617</v>
      </c>
      <c r="L222" s="35">
        <v>776297459</v>
      </c>
      <c r="M222" s="21">
        <f t="shared" si="110"/>
        <v>3.8</v>
      </c>
      <c r="N222" s="21">
        <f t="shared" si="136"/>
        <v>0.57978359661681012</v>
      </c>
      <c r="O222" s="35">
        <v>5897.96</v>
      </c>
      <c r="P222" s="35">
        <f t="shared" si="111"/>
        <v>3.7707754512906644</v>
      </c>
      <c r="Q222" s="35">
        <v>41</v>
      </c>
      <c r="R222" s="35">
        <f t="shared" si="112"/>
        <v>1.6232492903979006</v>
      </c>
      <c r="S222" s="45">
        <v>2.3199999999999998</v>
      </c>
      <c r="T222" s="45">
        <f t="shared" si="137"/>
        <v>0.36548798489089962</v>
      </c>
      <c r="U222" s="175">
        <f t="shared" si="113"/>
        <v>1.8383819341864718</v>
      </c>
      <c r="V222" s="48">
        <f t="shared" si="114"/>
        <v>0.45307083395064052</v>
      </c>
      <c r="W222" s="35">
        <v>2232.1428571428569</v>
      </c>
      <c r="X222" s="35">
        <f t="shared" si="115"/>
        <v>3.348721986001856</v>
      </c>
      <c r="Y222" s="35">
        <v>5650.5102040816337</v>
      </c>
      <c r="Z222" s="35">
        <f t="shared" si="116"/>
        <v>3.7520876635386311</v>
      </c>
      <c r="AA222" s="37">
        <v>132</v>
      </c>
      <c r="AB222" s="37">
        <f t="shared" si="117"/>
        <v>2.1238516409670858</v>
      </c>
      <c r="AC222" s="35">
        <v>85</v>
      </c>
      <c r="AD222" s="35">
        <f t="shared" si="138"/>
        <v>1.9294189257142926</v>
      </c>
      <c r="AE222" s="48">
        <v>32.299999999999997</v>
      </c>
      <c r="AF222" s="48">
        <f t="shared" si="139"/>
        <v>1.5092025223311027</v>
      </c>
      <c r="AG222" s="43">
        <v>40.040400531970803</v>
      </c>
      <c r="AH222" s="43">
        <f t="shared" si="140"/>
        <v>1.6024984131617945</v>
      </c>
      <c r="AI222" s="39">
        <v>-0.26</v>
      </c>
      <c r="AJ222" s="48">
        <f t="shared" si="118"/>
        <v>-0.13076828026902382</v>
      </c>
      <c r="AK222" s="35">
        <v>19</v>
      </c>
      <c r="AL222" s="35">
        <f t="shared" si="141"/>
        <v>1.2787536009528289</v>
      </c>
      <c r="AM222" s="35">
        <f t="shared" si="119"/>
        <v>0</v>
      </c>
      <c r="AN222" s="35">
        <f t="shared" si="120"/>
        <v>0</v>
      </c>
      <c r="AO222" s="35">
        <f t="shared" si="121"/>
        <v>1</v>
      </c>
      <c r="AP222" s="35">
        <f t="shared" si="122"/>
        <v>0</v>
      </c>
      <c r="AQ222" s="35">
        <f t="shared" si="123"/>
        <v>0</v>
      </c>
      <c r="AR222" s="35">
        <f t="shared" si="124"/>
        <v>0</v>
      </c>
      <c r="AS222" s="35">
        <f t="shared" si="125"/>
        <v>0</v>
      </c>
      <c r="AT222" s="35">
        <f t="shared" si="126"/>
        <v>0</v>
      </c>
      <c r="AU222" s="35">
        <f t="shared" si="127"/>
        <v>0</v>
      </c>
      <c r="AV222" s="35">
        <f t="shared" si="128"/>
        <v>0</v>
      </c>
      <c r="AW222" s="35">
        <f t="shared" si="129"/>
        <v>0</v>
      </c>
      <c r="AX222" s="35">
        <f t="shared" si="130"/>
        <v>0</v>
      </c>
      <c r="AY222" s="35">
        <f t="shared" si="131"/>
        <v>0</v>
      </c>
      <c r="AZ222" s="35">
        <f t="shared" si="132"/>
        <v>0</v>
      </c>
      <c r="BA222" s="35">
        <f t="shared" si="133"/>
        <v>0</v>
      </c>
      <c r="BB222" s="35">
        <f t="shared" si="134"/>
        <v>0</v>
      </c>
      <c r="BC222" s="35">
        <f t="shared" si="135"/>
        <v>0</v>
      </c>
    </row>
    <row r="223" spans="1:55" s="35" customFormat="1" x14ac:dyDescent="0.35">
      <c r="A223" s="36">
        <v>38244</v>
      </c>
      <c r="B223" s="35" t="s">
        <v>214</v>
      </c>
      <c r="C223" s="35" t="s">
        <v>45</v>
      </c>
      <c r="D223" s="35" t="s">
        <v>45</v>
      </c>
      <c r="E223" s="139" t="s">
        <v>47</v>
      </c>
      <c r="F223" s="139">
        <f t="shared" si="108"/>
        <v>0</v>
      </c>
      <c r="G223" s="35">
        <v>700000000</v>
      </c>
      <c r="H223" s="139">
        <f t="shared" si="109"/>
        <v>8.8450980400142569</v>
      </c>
      <c r="I223" s="35">
        <v>700000000</v>
      </c>
      <c r="J223" s="35">
        <v>0</v>
      </c>
      <c r="K223" s="178">
        <v>42270</v>
      </c>
      <c r="L223" s="35">
        <v>2065000000</v>
      </c>
      <c r="M223" s="21">
        <f t="shared" si="110"/>
        <v>11.03013698630137</v>
      </c>
      <c r="N223" s="21">
        <f t="shared" si="136"/>
        <v>1.0425809060961611</v>
      </c>
      <c r="O223" s="35">
        <v>0</v>
      </c>
      <c r="P223" s="35">
        <f t="shared" si="111"/>
        <v>0</v>
      </c>
      <c r="Q223" s="35">
        <v>0</v>
      </c>
      <c r="R223" s="35">
        <f t="shared" si="112"/>
        <v>0</v>
      </c>
      <c r="S223" s="45">
        <v>2.95</v>
      </c>
      <c r="T223" s="45">
        <f t="shared" si="137"/>
        <v>0.46982201597816303</v>
      </c>
      <c r="U223" s="175">
        <f t="shared" si="113"/>
        <v>1.9500000000000002</v>
      </c>
      <c r="V223" s="48">
        <f t="shared" si="114"/>
        <v>0.46982201597816303</v>
      </c>
      <c r="W223" s="35">
        <v>1246.953</v>
      </c>
      <c r="X223" s="35">
        <f t="shared" si="115"/>
        <v>3.0958500844125241</v>
      </c>
      <c r="Y223" s="35">
        <v>3219.7179999999998</v>
      </c>
      <c r="Z223" s="35">
        <f t="shared" si="116"/>
        <v>3.5078178355445662</v>
      </c>
      <c r="AA223" s="37">
        <v>0</v>
      </c>
      <c r="AB223" s="37">
        <f t="shared" si="117"/>
        <v>0</v>
      </c>
      <c r="AC223" s="35">
        <v>85</v>
      </c>
      <c r="AD223" s="35">
        <f t="shared" si="138"/>
        <v>1.9294189257142926</v>
      </c>
      <c r="AE223" s="48">
        <v>24.6</v>
      </c>
      <c r="AF223" s="48">
        <f t="shared" si="139"/>
        <v>1.3909351071033791</v>
      </c>
      <c r="AG223" s="43">
        <v>36.876470987978301</v>
      </c>
      <c r="AH223" s="43">
        <f t="shared" si="140"/>
        <v>1.5667493531684615</v>
      </c>
      <c r="AI223" s="39">
        <v>-0.19</v>
      </c>
      <c r="AJ223" s="48">
        <f t="shared" si="118"/>
        <v>-9.1514981121350217E-2</v>
      </c>
      <c r="AK223" s="35">
        <v>26</v>
      </c>
      <c r="AL223" s="35">
        <f t="shared" si="141"/>
        <v>1.414973347970818</v>
      </c>
      <c r="AM223" s="35">
        <f t="shared" si="119"/>
        <v>0</v>
      </c>
      <c r="AN223" s="35">
        <f t="shared" si="120"/>
        <v>1</v>
      </c>
      <c r="AO223" s="35">
        <f t="shared" si="121"/>
        <v>0</v>
      </c>
      <c r="AP223" s="35">
        <f t="shared" si="122"/>
        <v>0</v>
      </c>
      <c r="AQ223" s="35">
        <f t="shared" si="123"/>
        <v>0</v>
      </c>
      <c r="AR223" s="35">
        <f t="shared" si="124"/>
        <v>0</v>
      </c>
      <c r="AS223" s="35">
        <f t="shared" si="125"/>
        <v>0</v>
      </c>
      <c r="AT223" s="35">
        <f t="shared" si="126"/>
        <v>0</v>
      </c>
      <c r="AU223" s="35">
        <f t="shared" si="127"/>
        <v>0</v>
      </c>
      <c r="AV223" s="35">
        <f t="shared" si="128"/>
        <v>0</v>
      </c>
      <c r="AW223" s="35">
        <f t="shared" si="129"/>
        <v>0</v>
      </c>
      <c r="AX223" s="35">
        <f t="shared" si="130"/>
        <v>0</v>
      </c>
      <c r="AY223" s="35">
        <f t="shared" si="131"/>
        <v>0</v>
      </c>
      <c r="AZ223" s="35">
        <f t="shared" si="132"/>
        <v>0</v>
      </c>
      <c r="BA223" s="35">
        <f t="shared" si="133"/>
        <v>0</v>
      </c>
      <c r="BB223" s="35">
        <f t="shared" si="134"/>
        <v>0</v>
      </c>
      <c r="BC223" s="35">
        <f t="shared" si="135"/>
        <v>0</v>
      </c>
    </row>
    <row r="224" spans="1:55" s="35" customFormat="1" x14ac:dyDescent="0.35">
      <c r="A224" s="36">
        <v>38246</v>
      </c>
      <c r="B224" s="35" t="s">
        <v>637</v>
      </c>
      <c r="C224" s="35" t="s">
        <v>59</v>
      </c>
      <c r="D224" s="35" t="s">
        <v>602</v>
      </c>
      <c r="E224" s="35" t="s">
        <v>64</v>
      </c>
      <c r="F224" s="139">
        <f t="shared" si="108"/>
        <v>1</v>
      </c>
      <c r="G224" s="35">
        <v>162000000</v>
      </c>
      <c r="H224" s="139">
        <f t="shared" si="109"/>
        <v>8.2095150145426317</v>
      </c>
      <c r="I224" s="35">
        <f>G224</f>
        <v>162000000</v>
      </c>
      <c r="J224" s="35">
        <v>0</v>
      </c>
      <c r="K224" s="36">
        <v>39150</v>
      </c>
      <c r="L224" s="35">
        <v>196300000</v>
      </c>
      <c r="M224" s="21">
        <f t="shared" si="110"/>
        <v>2.4767123287671233</v>
      </c>
      <c r="N224" s="21">
        <f t="shared" si="136"/>
        <v>0.39387556601888862</v>
      </c>
      <c r="O224" s="35">
        <v>5897.96</v>
      </c>
      <c r="P224" s="35">
        <f t="shared" si="111"/>
        <v>3.7707754512906644</v>
      </c>
      <c r="Q224" s="35">
        <v>9</v>
      </c>
      <c r="R224" s="35">
        <f t="shared" si="112"/>
        <v>1</v>
      </c>
      <c r="S224" s="45">
        <v>2.3199999999999998</v>
      </c>
      <c r="T224" s="45">
        <f t="shared" si="137"/>
        <v>0.36548798489089962</v>
      </c>
      <c r="U224" s="175">
        <f t="shared" si="113"/>
        <v>0.21172839506172836</v>
      </c>
      <c r="V224" s="48">
        <f t="shared" si="114"/>
        <v>8.3405285057375253E-2</v>
      </c>
      <c r="W224" s="35">
        <v>2315.9650000000001</v>
      </c>
      <c r="X224" s="35">
        <f t="shared" si="115"/>
        <v>3.3647319918335836</v>
      </c>
      <c r="Y224" s="35">
        <v>3703.9029999999998</v>
      </c>
      <c r="Z224" s="35">
        <f t="shared" si="116"/>
        <v>3.568659604598353</v>
      </c>
      <c r="AA224" s="37">
        <v>132</v>
      </c>
      <c r="AB224" s="37">
        <f t="shared" si="117"/>
        <v>2.1238516409670858</v>
      </c>
      <c r="AC224" s="35">
        <v>85</v>
      </c>
      <c r="AD224" s="35">
        <f t="shared" si="138"/>
        <v>1.9294189257142926</v>
      </c>
      <c r="AE224" s="48">
        <v>32.299999999999997</v>
      </c>
      <c r="AF224" s="48">
        <f t="shared" si="139"/>
        <v>1.5092025223311027</v>
      </c>
      <c r="AG224" s="43">
        <v>40.040400531970803</v>
      </c>
      <c r="AH224" s="43">
        <f t="shared" si="140"/>
        <v>1.6024984131617945</v>
      </c>
      <c r="AI224" s="39">
        <v>0.79</v>
      </c>
      <c r="AJ224" s="48">
        <f t="shared" si="118"/>
        <v>0.2528530309798932</v>
      </c>
      <c r="AK224" s="35">
        <v>29</v>
      </c>
      <c r="AL224" s="35">
        <f t="shared" si="141"/>
        <v>1.4623979978989561</v>
      </c>
      <c r="AM224" s="35">
        <f t="shared" si="119"/>
        <v>0</v>
      </c>
      <c r="AN224" s="35">
        <f t="shared" si="120"/>
        <v>0</v>
      </c>
      <c r="AO224" s="35">
        <f t="shared" si="121"/>
        <v>1</v>
      </c>
      <c r="AP224" s="35">
        <f t="shared" si="122"/>
        <v>0</v>
      </c>
      <c r="AQ224" s="35">
        <f t="shared" si="123"/>
        <v>0</v>
      </c>
      <c r="AR224" s="35">
        <f t="shared" si="124"/>
        <v>0</v>
      </c>
      <c r="AS224" s="35">
        <f t="shared" si="125"/>
        <v>0</v>
      </c>
      <c r="AT224" s="35">
        <f t="shared" si="126"/>
        <v>0</v>
      </c>
      <c r="AU224" s="35">
        <f t="shared" si="127"/>
        <v>0</v>
      </c>
      <c r="AV224" s="35">
        <f t="shared" si="128"/>
        <v>0</v>
      </c>
      <c r="AW224" s="35">
        <f t="shared" si="129"/>
        <v>0</v>
      </c>
      <c r="AX224" s="35">
        <f t="shared" si="130"/>
        <v>0</v>
      </c>
      <c r="AY224" s="35">
        <f t="shared" si="131"/>
        <v>0</v>
      </c>
      <c r="AZ224" s="35">
        <f t="shared" si="132"/>
        <v>0</v>
      </c>
      <c r="BA224" s="35">
        <f t="shared" si="133"/>
        <v>0</v>
      </c>
      <c r="BB224" s="35">
        <f t="shared" si="134"/>
        <v>0</v>
      </c>
      <c r="BC224" s="35">
        <f t="shared" si="135"/>
        <v>0</v>
      </c>
    </row>
    <row r="225" spans="1:55" s="35" customFormat="1" x14ac:dyDescent="0.35">
      <c r="A225" s="36">
        <v>38251</v>
      </c>
      <c r="B225" s="35" t="s">
        <v>479</v>
      </c>
      <c r="C225" s="35" t="s">
        <v>5</v>
      </c>
      <c r="D225" s="35" t="s">
        <v>59</v>
      </c>
      <c r="E225" s="35" t="s">
        <v>125</v>
      </c>
      <c r="F225" s="139">
        <f t="shared" si="108"/>
        <v>1</v>
      </c>
      <c r="G225" s="35">
        <v>300000000</v>
      </c>
      <c r="H225" s="139">
        <f t="shared" si="109"/>
        <v>8.4771212547196626</v>
      </c>
      <c r="I225" s="35">
        <f>G225</f>
        <v>300000000</v>
      </c>
      <c r="J225" s="35">
        <v>0</v>
      </c>
      <c r="K225" s="36">
        <v>39375</v>
      </c>
      <c r="L225" s="35">
        <v>700000000</v>
      </c>
      <c r="M225" s="21">
        <f t="shared" si="110"/>
        <v>3.0794520547945203</v>
      </c>
      <c r="N225" s="21">
        <f t="shared" si="136"/>
        <v>0.48847344677656757</v>
      </c>
      <c r="O225" s="35">
        <v>357.29</v>
      </c>
      <c r="P225" s="35">
        <f t="shared" si="111"/>
        <v>2.5542346870234227</v>
      </c>
      <c r="Q225" s="35">
        <v>13</v>
      </c>
      <c r="R225" s="35">
        <f t="shared" si="112"/>
        <v>1.146128035678238</v>
      </c>
      <c r="S225" s="45">
        <v>3.16</v>
      </c>
      <c r="T225" s="45">
        <f t="shared" si="137"/>
        <v>0.49968708261840383</v>
      </c>
      <c r="U225" s="175">
        <f t="shared" si="113"/>
        <v>1.3333333333333335</v>
      </c>
      <c r="V225" s="48">
        <f t="shared" si="114"/>
        <v>0.36797678529459443</v>
      </c>
      <c r="W225" s="176">
        <v>1709.090909090909</v>
      </c>
      <c r="X225" s="35">
        <f t="shared" si="115"/>
        <v>3.2327651641054547</v>
      </c>
      <c r="Y225" s="35">
        <v>8968.5950413223145</v>
      </c>
      <c r="Z225" s="35">
        <f t="shared" si="116"/>
        <v>3.9527244147731087</v>
      </c>
      <c r="AA225" s="37">
        <v>971</v>
      </c>
      <c r="AB225" s="37">
        <f t="shared" si="117"/>
        <v>2.9876662649262746</v>
      </c>
      <c r="AC225" s="35">
        <v>70</v>
      </c>
      <c r="AD225" s="35">
        <f t="shared" si="138"/>
        <v>1.8450980400142569</v>
      </c>
      <c r="AE225" s="48">
        <v>34.799999999999997</v>
      </c>
      <c r="AF225" s="48">
        <f t="shared" si="139"/>
        <v>1.541579243946581</v>
      </c>
      <c r="AG225" s="43">
        <v>43.471204603938098</v>
      </c>
      <c r="AH225" s="43">
        <f t="shared" si="140"/>
        <v>1.6382016748260968</v>
      </c>
      <c r="AI225" s="39">
        <v>-0.14000000000000001</v>
      </c>
      <c r="AJ225" s="48">
        <f t="shared" si="118"/>
        <v>-6.5501548756432285E-2</v>
      </c>
      <c r="AK225" s="35">
        <v>24</v>
      </c>
      <c r="AL225" s="35">
        <f t="shared" si="141"/>
        <v>1.3802112417116059</v>
      </c>
      <c r="AM225" s="35">
        <f t="shared" si="119"/>
        <v>0</v>
      </c>
      <c r="AN225" s="35">
        <f t="shared" si="120"/>
        <v>0</v>
      </c>
      <c r="AO225" s="35">
        <f t="shared" si="121"/>
        <v>0</v>
      </c>
      <c r="AP225" s="35">
        <f t="shared" si="122"/>
        <v>0</v>
      </c>
      <c r="AQ225" s="35">
        <f t="shared" si="123"/>
        <v>0</v>
      </c>
      <c r="AR225" s="35">
        <f t="shared" si="124"/>
        <v>0</v>
      </c>
      <c r="AS225" s="35">
        <f t="shared" si="125"/>
        <v>1</v>
      </c>
      <c r="AT225" s="35">
        <f t="shared" si="126"/>
        <v>0</v>
      </c>
      <c r="AU225" s="35">
        <f t="shared" si="127"/>
        <v>0</v>
      </c>
      <c r="AV225" s="35">
        <f t="shared" si="128"/>
        <v>0</v>
      </c>
      <c r="AW225" s="35">
        <f t="shared" si="129"/>
        <v>0</v>
      </c>
      <c r="AX225" s="35">
        <f t="shared" si="130"/>
        <v>0</v>
      </c>
      <c r="AY225" s="35">
        <f t="shared" si="131"/>
        <v>0</v>
      </c>
      <c r="AZ225" s="35">
        <f t="shared" si="132"/>
        <v>0</v>
      </c>
      <c r="BA225" s="35">
        <f t="shared" si="133"/>
        <v>0</v>
      </c>
      <c r="BB225" s="35">
        <f t="shared" si="134"/>
        <v>0</v>
      </c>
      <c r="BC225" s="35">
        <f t="shared" si="135"/>
        <v>0</v>
      </c>
    </row>
    <row r="226" spans="1:55" s="35" customFormat="1" x14ac:dyDescent="0.35">
      <c r="A226" s="36">
        <v>38253</v>
      </c>
      <c r="B226" s="35" t="s">
        <v>1181</v>
      </c>
      <c r="C226" s="35" t="s">
        <v>45</v>
      </c>
      <c r="D226" s="35" t="s">
        <v>602</v>
      </c>
      <c r="E226" s="35" t="s">
        <v>47</v>
      </c>
      <c r="F226" s="139">
        <f t="shared" si="108"/>
        <v>0</v>
      </c>
      <c r="G226" s="35">
        <v>1750000000</v>
      </c>
      <c r="H226" s="139">
        <f t="shared" si="109"/>
        <v>9.2430380486862944</v>
      </c>
      <c r="I226" s="35">
        <f>G226</f>
        <v>1750000000</v>
      </c>
      <c r="J226" s="35">
        <v>0</v>
      </c>
      <c r="K226" s="36">
        <v>41548</v>
      </c>
      <c r="L226" s="35">
        <v>4095920000</v>
      </c>
      <c r="M226" s="21">
        <f t="shared" si="110"/>
        <v>9.0273972602739718</v>
      </c>
      <c r="N226" s="21">
        <f t="shared" si="136"/>
        <v>0.95556255447355387</v>
      </c>
      <c r="O226" s="35">
        <v>0</v>
      </c>
      <c r="P226" s="35">
        <f t="shared" si="111"/>
        <v>0</v>
      </c>
      <c r="Q226" s="35">
        <v>7</v>
      </c>
      <c r="R226" s="35">
        <f t="shared" si="112"/>
        <v>0.90308998699194354</v>
      </c>
      <c r="S226" s="45">
        <v>2.95</v>
      </c>
      <c r="T226" s="45">
        <f t="shared" si="137"/>
        <v>0.46982201597816303</v>
      </c>
      <c r="U226" s="175">
        <f t="shared" si="113"/>
        <v>1.3405257142857141</v>
      </c>
      <c r="V226" s="48">
        <f t="shared" si="114"/>
        <v>0.369313416884544</v>
      </c>
      <c r="W226" s="35">
        <v>2315.9650000000001</v>
      </c>
      <c r="X226" s="35">
        <f t="shared" si="115"/>
        <v>3.3647319918335836</v>
      </c>
      <c r="Y226" s="35">
        <v>3703.9029999999998</v>
      </c>
      <c r="Z226" s="35">
        <f t="shared" si="116"/>
        <v>3.568659604598353</v>
      </c>
      <c r="AA226" s="35">
        <v>0</v>
      </c>
      <c r="AB226" s="37">
        <f t="shared" si="117"/>
        <v>0</v>
      </c>
      <c r="AC226" s="35">
        <v>85</v>
      </c>
      <c r="AD226" s="35">
        <f t="shared" si="138"/>
        <v>1.9294189257142926</v>
      </c>
      <c r="AE226" s="48">
        <v>24.6</v>
      </c>
      <c r="AF226" s="48">
        <f t="shared" si="139"/>
        <v>1.3909351071033791</v>
      </c>
      <c r="AG226" s="43">
        <v>36.876470987978301</v>
      </c>
      <c r="AH226" s="43">
        <f t="shared" si="140"/>
        <v>1.5667493531684615</v>
      </c>
      <c r="AI226" s="39">
        <v>-0.35</v>
      </c>
      <c r="AJ226" s="48">
        <f t="shared" si="118"/>
        <v>-0.18708664335714442</v>
      </c>
      <c r="AK226" s="35">
        <v>19</v>
      </c>
      <c r="AL226" s="35">
        <f t="shared" si="141"/>
        <v>1.2787536009528289</v>
      </c>
      <c r="AM226" s="35">
        <f t="shared" si="119"/>
        <v>0</v>
      </c>
      <c r="AN226" s="35">
        <f t="shared" si="120"/>
        <v>1</v>
      </c>
      <c r="AO226" s="35">
        <f t="shared" si="121"/>
        <v>0</v>
      </c>
      <c r="AP226" s="35">
        <f t="shared" si="122"/>
        <v>0</v>
      </c>
      <c r="AQ226" s="35">
        <f t="shared" si="123"/>
        <v>0</v>
      </c>
      <c r="AR226" s="35">
        <f t="shared" si="124"/>
        <v>0</v>
      </c>
      <c r="AS226" s="35">
        <f t="shared" si="125"/>
        <v>0</v>
      </c>
      <c r="AT226" s="35">
        <f t="shared" si="126"/>
        <v>0</v>
      </c>
      <c r="AU226" s="35">
        <f t="shared" si="127"/>
        <v>0</v>
      </c>
      <c r="AV226" s="35">
        <f t="shared" si="128"/>
        <v>0</v>
      </c>
      <c r="AW226" s="35">
        <f t="shared" si="129"/>
        <v>0</v>
      </c>
      <c r="AX226" s="35">
        <f t="shared" si="130"/>
        <v>0</v>
      </c>
      <c r="AY226" s="35">
        <f t="shared" si="131"/>
        <v>0</v>
      </c>
      <c r="AZ226" s="35">
        <f t="shared" si="132"/>
        <v>0</v>
      </c>
      <c r="BA226" s="35">
        <f t="shared" si="133"/>
        <v>0</v>
      </c>
      <c r="BB226" s="35">
        <f t="shared" si="134"/>
        <v>0</v>
      </c>
      <c r="BC226" s="35">
        <f t="shared" si="135"/>
        <v>0</v>
      </c>
    </row>
    <row r="227" spans="1:55" s="35" customFormat="1" x14ac:dyDescent="0.35">
      <c r="A227" s="36">
        <v>38254</v>
      </c>
      <c r="B227" s="35" t="s">
        <v>893</v>
      </c>
      <c r="C227" s="35" t="s">
        <v>2</v>
      </c>
      <c r="D227" s="35" t="s">
        <v>59</v>
      </c>
      <c r="E227" s="35" t="s">
        <v>64</v>
      </c>
      <c r="F227" s="139">
        <f t="shared" si="108"/>
        <v>1</v>
      </c>
      <c r="G227" s="35">
        <v>110000000</v>
      </c>
      <c r="H227" s="139">
        <f t="shared" si="109"/>
        <v>8.0413926851582254</v>
      </c>
      <c r="I227" s="35">
        <f>G227</f>
        <v>110000000</v>
      </c>
      <c r="J227" s="35">
        <v>0</v>
      </c>
      <c r="K227" s="36">
        <v>40659</v>
      </c>
      <c r="L227" s="35">
        <v>170000000</v>
      </c>
      <c r="M227" s="21">
        <f t="shared" si="110"/>
        <v>6.5890410958904111</v>
      </c>
      <c r="N227" s="21">
        <f t="shared" si="136"/>
        <v>0.81882221625337592</v>
      </c>
      <c r="O227" s="35">
        <v>917.19</v>
      </c>
      <c r="P227" s="35">
        <f t="shared" si="111"/>
        <v>2.9629325585580042</v>
      </c>
      <c r="Q227" s="35">
        <v>0</v>
      </c>
      <c r="R227" s="35">
        <f t="shared" si="112"/>
        <v>0</v>
      </c>
      <c r="S227" s="45">
        <v>2.62</v>
      </c>
      <c r="T227" s="45">
        <f t="shared" si="137"/>
        <v>0.41830129131974547</v>
      </c>
      <c r="U227" s="175">
        <f t="shared" si="113"/>
        <v>0.54545454545454541</v>
      </c>
      <c r="V227" s="48">
        <f t="shared" si="114"/>
        <v>0.18905623622004888</v>
      </c>
      <c r="W227" s="35">
        <v>2417.5229853975125</v>
      </c>
      <c r="X227" s="35">
        <f t="shared" si="115"/>
        <v>3.3833706119727633</v>
      </c>
      <c r="Y227" s="35">
        <v>9545.7003785830148</v>
      </c>
      <c r="Z227" s="35">
        <f t="shared" si="116"/>
        <v>3.9798077985646683</v>
      </c>
      <c r="AA227" s="37">
        <v>854.66666666666697</v>
      </c>
      <c r="AB227" s="37">
        <f t="shared" si="117"/>
        <v>2.9323046139517812</v>
      </c>
      <c r="AC227" s="35">
        <v>70</v>
      </c>
      <c r="AD227" s="35">
        <f t="shared" si="138"/>
        <v>1.8450980400142569</v>
      </c>
      <c r="AE227" s="48">
        <v>33.9</v>
      </c>
      <c r="AF227" s="48">
        <f t="shared" si="139"/>
        <v>1.5301996982030821</v>
      </c>
      <c r="AG227" s="43">
        <v>46.312020505412598</v>
      </c>
      <c r="AH227" s="43">
        <f t="shared" si="140"/>
        <v>1.6656937288498501</v>
      </c>
      <c r="AI227" s="39">
        <v>0.46</v>
      </c>
      <c r="AJ227" s="48">
        <f t="shared" si="118"/>
        <v>0.16435285578443709</v>
      </c>
      <c r="AK227" s="35">
        <v>26</v>
      </c>
      <c r="AL227" s="35">
        <f t="shared" si="141"/>
        <v>1.414973347970818</v>
      </c>
      <c r="AM227" s="35">
        <f t="shared" si="119"/>
        <v>0</v>
      </c>
      <c r="AN227" s="35">
        <f t="shared" si="120"/>
        <v>0</v>
      </c>
      <c r="AO227" s="35">
        <f t="shared" si="121"/>
        <v>0</v>
      </c>
      <c r="AP227" s="35">
        <f t="shared" si="122"/>
        <v>0</v>
      </c>
      <c r="AQ227" s="35">
        <f t="shared" si="123"/>
        <v>0</v>
      </c>
      <c r="AR227" s="35">
        <f t="shared" si="124"/>
        <v>0</v>
      </c>
      <c r="AS227" s="35">
        <f t="shared" si="125"/>
        <v>0</v>
      </c>
      <c r="AT227" s="35">
        <f t="shared" si="126"/>
        <v>0</v>
      </c>
      <c r="AU227" s="35">
        <f t="shared" si="127"/>
        <v>0</v>
      </c>
      <c r="AV227" s="35">
        <f t="shared" si="128"/>
        <v>1</v>
      </c>
      <c r="AW227" s="35">
        <f t="shared" si="129"/>
        <v>0</v>
      </c>
      <c r="AX227" s="35">
        <f t="shared" si="130"/>
        <v>0</v>
      </c>
      <c r="AY227" s="35">
        <f t="shared" si="131"/>
        <v>0</v>
      </c>
      <c r="AZ227" s="35">
        <f t="shared" si="132"/>
        <v>0</v>
      </c>
      <c r="BA227" s="35">
        <f t="shared" si="133"/>
        <v>0</v>
      </c>
      <c r="BB227" s="35">
        <f t="shared" si="134"/>
        <v>0</v>
      </c>
      <c r="BC227" s="35">
        <f t="shared" si="135"/>
        <v>0</v>
      </c>
    </row>
    <row r="228" spans="1:55" s="35" customFormat="1" x14ac:dyDescent="0.35">
      <c r="A228" s="36">
        <v>38260</v>
      </c>
      <c r="B228" s="139" t="s">
        <v>87</v>
      </c>
      <c r="C228" s="139" t="s">
        <v>59</v>
      </c>
      <c r="D228" s="139" t="s">
        <v>59</v>
      </c>
      <c r="E228" s="139" t="s">
        <v>47</v>
      </c>
      <c r="F228" s="139">
        <f t="shared" si="108"/>
        <v>0</v>
      </c>
      <c r="G228" s="139">
        <v>49000000</v>
      </c>
      <c r="H228" s="139">
        <f t="shared" si="109"/>
        <v>7.6901960800285138</v>
      </c>
      <c r="I228" s="139">
        <v>49000000</v>
      </c>
      <c r="J228" s="139">
        <v>0</v>
      </c>
      <c r="K228" s="18">
        <v>38825</v>
      </c>
      <c r="L228" s="139">
        <v>30680586</v>
      </c>
      <c r="M228" s="21">
        <f t="shared" si="110"/>
        <v>1.547945205479452</v>
      </c>
      <c r="N228" s="21">
        <f t="shared" si="136"/>
        <v>0.1897555833629638</v>
      </c>
      <c r="O228" s="35">
        <v>0</v>
      </c>
      <c r="P228" s="35">
        <f t="shared" si="111"/>
        <v>0</v>
      </c>
      <c r="Q228" s="35">
        <v>107</v>
      </c>
      <c r="R228" s="35">
        <f t="shared" si="112"/>
        <v>2.0334237554869499</v>
      </c>
      <c r="S228" s="45">
        <v>3.29</v>
      </c>
      <c r="T228" s="45">
        <f t="shared" si="137"/>
        <v>0.51719589794997434</v>
      </c>
      <c r="U228" s="175">
        <f t="shared" si="113"/>
        <v>-0.37386559183673473</v>
      </c>
      <c r="V228" s="48">
        <f t="shared" si="114"/>
        <v>-0.20333242963631826</v>
      </c>
      <c r="W228" s="35">
        <v>2908.1632653061233</v>
      </c>
      <c r="X228" s="35">
        <f t="shared" si="115"/>
        <v>3.4636187843160156</v>
      </c>
      <c r="Y228" s="35">
        <v>9311.2244897959172</v>
      </c>
      <c r="Z228" s="35">
        <f t="shared" si="116"/>
        <v>3.9690067974360175</v>
      </c>
      <c r="AA228" s="37">
        <v>0</v>
      </c>
      <c r="AB228" s="37">
        <f t="shared" si="117"/>
        <v>0</v>
      </c>
      <c r="AC228" s="35">
        <v>85</v>
      </c>
      <c r="AD228" s="35">
        <f t="shared" si="138"/>
        <v>1.9294189257142926</v>
      </c>
      <c r="AE228" s="48">
        <v>32.299999999999997</v>
      </c>
      <c r="AF228" s="48">
        <f t="shared" si="139"/>
        <v>1.5092025223311027</v>
      </c>
      <c r="AG228" s="43">
        <v>40.040400531970803</v>
      </c>
      <c r="AH228" s="43">
        <f t="shared" si="140"/>
        <v>1.6024984131617945</v>
      </c>
      <c r="AI228" s="39">
        <v>0.71</v>
      </c>
      <c r="AJ228" s="48">
        <f t="shared" si="118"/>
        <v>0.23299611039215382</v>
      </c>
      <c r="AK228" s="35">
        <v>24</v>
      </c>
      <c r="AL228" s="35">
        <f t="shared" si="141"/>
        <v>1.3802112417116059</v>
      </c>
      <c r="AM228" s="35">
        <f t="shared" si="119"/>
        <v>0</v>
      </c>
      <c r="AN228" s="35">
        <f t="shared" si="120"/>
        <v>0</v>
      </c>
      <c r="AO228" s="35">
        <f t="shared" si="121"/>
        <v>1</v>
      </c>
      <c r="AP228" s="35">
        <f t="shared" si="122"/>
        <v>0</v>
      </c>
      <c r="AQ228" s="35">
        <f t="shared" si="123"/>
        <v>0</v>
      </c>
      <c r="AR228" s="35">
        <f t="shared" si="124"/>
        <v>0</v>
      </c>
      <c r="AS228" s="35">
        <f t="shared" si="125"/>
        <v>0</v>
      </c>
      <c r="AT228" s="35">
        <f t="shared" si="126"/>
        <v>0</v>
      </c>
      <c r="AU228" s="35">
        <f t="shared" si="127"/>
        <v>0</v>
      </c>
      <c r="AV228" s="35">
        <f t="shared" si="128"/>
        <v>0</v>
      </c>
      <c r="AW228" s="35">
        <f t="shared" si="129"/>
        <v>0</v>
      </c>
      <c r="AX228" s="35">
        <f t="shared" si="130"/>
        <v>0</v>
      </c>
      <c r="AY228" s="35">
        <f t="shared" si="131"/>
        <v>0</v>
      </c>
      <c r="AZ228" s="35">
        <f t="shared" si="132"/>
        <v>0</v>
      </c>
      <c r="BA228" s="35">
        <f t="shared" si="133"/>
        <v>0</v>
      </c>
      <c r="BB228" s="35">
        <f t="shared" si="134"/>
        <v>0</v>
      </c>
      <c r="BC228" s="35">
        <f t="shared" si="135"/>
        <v>0</v>
      </c>
    </row>
    <row r="229" spans="1:55" s="35" customFormat="1" x14ac:dyDescent="0.35">
      <c r="A229" s="36">
        <v>38260</v>
      </c>
      <c r="B229" s="35" t="s">
        <v>585</v>
      </c>
      <c r="C229" s="35" t="s">
        <v>1</v>
      </c>
      <c r="D229" s="35" t="s">
        <v>577</v>
      </c>
      <c r="E229" s="35" t="s">
        <v>125</v>
      </c>
      <c r="F229" s="139">
        <f t="shared" si="108"/>
        <v>1</v>
      </c>
      <c r="G229" s="35">
        <v>300000000</v>
      </c>
      <c r="H229" s="139">
        <f t="shared" si="109"/>
        <v>8.4771212547196626</v>
      </c>
      <c r="I229" s="35">
        <f>G229</f>
        <v>300000000</v>
      </c>
      <c r="J229" s="35">
        <v>0</v>
      </c>
      <c r="K229" s="36">
        <v>40970</v>
      </c>
      <c r="L229" s="35">
        <v>527863000</v>
      </c>
      <c r="M229" s="21">
        <f t="shared" si="110"/>
        <v>7.4246575342465757</v>
      </c>
      <c r="N229" s="21">
        <f t="shared" si="136"/>
        <v>0.87067642641793108</v>
      </c>
      <c r="O229" s="139">
        <v>1153.8900000000001</v>
      </c>
      <c r="P229" s="35">
        <f t="shared" si="111"/>
        <v>3.0625406208792199</v>
      </c>
      <c r="Q229" s="35">
        <v>12</v>
      </c>
      <c r="R229" s="35">
        <f t="shared" si="112"/>
        <v>1.1139433523068367</v>
      </c>
      <c r="S229" s="45">
        <v>3.42</v>
      </c>
      <c r="T229" s="45">
        <f t="shared" si="137"/>
        <v>0.53402610605613499</v>
      </c>
      <c r="U229" s="175">
        <f t="shared" si="113"/>
        <v>0.75954333333333324</v>
      </c>
      <c r="V229" s="48">
        <f t="shared" si="114"/>
        <v>0.24539996693467084</v>
      </c>
      <c r="W229" s="35">
        <v>1895.918367346939</v>
      </c>
      <c r="X229" s="35">
        <f t="shared" si="115"/>
        <v>3.277819633965128</v>
      </c>
      <c r="Y229" s="35">
        <v>8519.3877551020414</v>
      </c>
      <c r="Z229" s="35">
        <f t="shared" si="116"/>
        <v>3.9304083853612104</v>
      </c>
      <c r="AA229" s="177">
        <v>742.83333333333337</v>
      </c>
      <c r="AB229" s="37">
        <f t="shared" si="117"/>
        <v>2.8714756364568856</v>
      </c>
      <c r="AC229" s="35">
        <v>70</v>
      </c>
      <c r="AD229" s="35">
        <f t="shared" si="138"/>
        <v>1.8450980400142569</v>
      </c>
      <c r="AE229" s="48">
        <v>42.4</v>
      </c>
      <c r="AF229" s="48">
        <f t="shared" si="139"/>
        <v>1.6273658565927327</v>
      </c>
      <c r="AG229" s="43">
        <v>44.9782573439335</v>
      </c>
      <c r="AH229" s="43">
        <f t="shared" si="140"/>
        <v>1.6530026249418825</v>
      </c>
      <c r="AI229" s="39">
        <v>0.73</v>
      </c>
      <c r="AJ229" s="48">
        <f t="shared" si="118"/>
        <v>0.2380461031287954</v>
      </c>
      <c r="AK229" s="35">
        <v>23</v>
      </c>
      <c r="AL229" s="35">
        <f t="shared" si="141"/>
        <v>1.3617278360175928</v>
      </c>
      <c r="AM229" s="35">
        <f t="shared" si="119"/>
        <v>0</v>
      </c>
      <c r="AN229" s="35">
        <f t="shared" si="120"/>
        <v>0</v>
      </c>
      <c r="AO229" s="35">
        <f t="shared" si="121"/>
        <v>0</v>
      </c>
      <c r="AP229" s="35">
        <f t="shared" si="122"/>
        <v>1</v>
      </c>
      <c r="AQ229" s="35">
        <f t="shared" si="123"/>
        <v>0</v>
      </c>
      <c r="AR229" s="35">
        <f t="shared" si="124"/>
        <v>0</v>
      </c>
      <c r="AS229" s="35">
        <f t="shared" si="125"/>
        <v>0</v>
      </c>
      <c r="AT229" s="35">
        <f t="shared" si="126"/>
        <v>0</v>
      </c>
      <c r="AU229" s="35">
        <f t="shared" si="127"/>
        <v>0</v>
      </c>
      <c r="AV229" s="35">
        <f t="shared" si="128"/>
        <v>0</v>
      </c>
      <c r="AW229" s="35">
        <f t="shared" si="129"/>
        <v>0</v>
      </c>
      <c r="AX229" s="35">
        <f t="shared" si="130"/>
        <v>0</v>
      </c>
      <c r="AY229" s="35">
        <f t="shared" si="131"/>
        <v>0</v>
      </c>
      <c r="AZ229" s="35">
        <f t="shared" si="132"/>
        <v>0</v>
      </c>
      <c r="BA229" s="35">
        <f t="shared" si="133"/>
        <v>0</v>
      </c>
      <c r="BB229" s="35">
        <f t="shared" si="134"/>
        <v>0</v>
      </c>
      <c r="BC229" s="35">
        <f t="shared" si="135"/>
        <v>0</v>
      </c>
    </row>
    <row r="230" spans="1:55" s="35" customFormat="1" x14ac:dyDescent="0.35">
      <c r="A230" s="36">
        <v>38260</v>
      </c>
      <c r="B230" s="35" t="s">
        <v>1175</v>
      </c>
      <c r="C230" s="35" t="s">
        <v>45</v>
      </c>
      <c r="D230" s="35" t="s">
        <v>602</v>
      </c>
      <c r="E230" s="35" t="s">
        <v>47</v>
      </c>
      <c r="F230" s="139">
        <f t="shared" si="108"/>
        <v>0</v>
      </c>
      <c r="G230" s="35">
        <v>105000000</v>
      </c>
      <c r="H230" s="139">
        <f t="shared" si="109"/>
        <v>8.0211892990699383</v>
      </c>
      <c r="I230" s="35">
        <f>G230</f>
        <v>105000000</v>
      </c>
      <c r="J230" s="35">
        <v>0</v>
      </c>
      <c r="K230" s="36">
        <v>42464</v>
      </c>
      <c r="L230" s="35">
        <v>604800000</v>
      </c>
      <c r="M230" s="21">
        <f t="shared" si="110"/>
        <v>11.517808219178082</v>
      </c>
      <c r="N230" s="21">
        <f t="shared" si="136"/>
        <v>1.06136984289973</v>
      </c>
      <c r="O230" s="35">
        <v>0</v>
      </c>
      <c r="P230" s="35">
        <f t="shared" si="111"/>
        <v>0</v>
      </c>
      <c r="Q230" s="35">
        <v>28</v>
      </c>
      <c r="R230" s="35">
        <f t="shared" si="112"/>
        <v>1.4623979978989561</v>
      </c>
      <c r="S230" s="45">
        <v>2.95</v>
      </c>
      <c r="T230" s="45">
        <f t="shared" si="137"/>
        <v>0.46982201597816303</v>
      </c>
      <c r="U230" s="175">
        <f t="shared" si="113"/>
        <v>4.76</v>
      </c>
      <c r="V230" s="48">
        <f t="shared" si="114"/>
        <v>0.76042248342321206</v>
      </c>
      <c r="W230" s="35">
        <v>1455.045546765431</v>
      </c>
      <c r="X230" s="35">
        <f t="shared" si="115"/>
        <v>3.1628765880980758</v>
      </c>
      <c r="Y230" s="35">
        <v>4062.5127653490554</v>
      </c>
      <c r="Z230" s="35">
        <f t="shared" si="116"/>
        <v>3.6087947386421786</v>
      </c>
      <c r="AA230" s="35">
        <v>0</v>
      </c>
      <c r="AB230" s="37">
        <f t="shared" si="117"/>
        <v>0</v>
      </c>
      <c r="AC230" s="35">
        <v>85</v>
      </c>
      <c r="AD230" s="35">
        <f t="shared" si="138"/>
        <v>1.9294189257142926</v>
      </c>
      <c r="AE230" s="48">
        <v>24.6</v>
      </c>
      <c r="AF230" s="48">
        <f t="shared" si="139"/>
        <v>1.3909351071033791</v>
      </c>
      <c r="AG230" s="43">
        <v>36.876470987978301</v>
      </c>
      <c r="AH230" s="43">
        <f t="shared" si="140"/>
        <v>1.5667493531684615</v>
      </c>
      <c r="AI230" s="39">
        <v>0.98</v>
      </c>
      <c r="AJ230" s="48">
        <f t="shared" si="118"/>
        <v>0.2966651902615311</v>
      </c>
      <c r="AK230" s="35">
        <v>23</v>
      </c>
      <c r="AL230" s="35">
        <f t="shared" si="141"/>
        <v>1.3617278360175928</v>
      </c>
      <c r="AM230" s="35">
        <f t="shared" si="119"/>
        <v>0</v>
      </c>
      <c r="AN230" s="35">
        <f t="shared" si="120"/>
        <v>1</v>
      </c>
      <c r="AO230" s="35">
        <f t="shared" si="121"/>
        <v>0</v>
      </c>
      <c r="AP230" s="35">
        <f t="shared" si="122"/>
        <v>0</v>
      </c>
      <c r="AQ230" s="35">
        <f t="shared" si="123"/>
        <v>0</v>
      </c>
      <c r="AR230" s="35">
        <f t="shared" si="124"/>
        <v>0</v>
      </c>
      <c r="AS230" s="35">
        <f t="shared" si="125"/>
        <v>0</v>
      </c>
      <c r="AT230" s="35">
        <f t="shared" si="126"/>
        <v>0</v>
      </c>
      <c r="AU230" s="35">
        <f t="shared" si="127"/>
        <v>0</v>
      </c>
      <c r="AV230" s="35">
        <f t="shared" si="128"/>
        <v>0</v>
      </c>
      <c r="AW230" s="35">
        <f t="shared" si="129"/>
        <v>0</v>
      </c>
      <c r="AX230" s="35">
        <f t="shared" si="130"/>
        <v>0</v>
      </c>
      <c r="AY230" s="35">
        <f t="shared" si="131"/>
        <v>0</v>
      </c>
      <c r="AZ230" s="35">
        <f t="shared" si="132"/>
        <v>0</v>
      </c>
      <c r="BA230" s="35">
        <f t="shared" si="133"/>
        <v>0</v>
      </c>
      <c r="BB230" s="35">
        <f t="shared" si="134"/>
        <v>0</v>
      </c>
      <c r="BC230" s="35">
        <f t="shared" si="135"/>
        <v>0</v>
      </c>
    </row>
    <row r="231" spans="1:55" s="35" customFormat="1" x14ac:dyDescent="0.35">
      <c r="A231" s="36">
        <v>38261</v>
      </c>
      <c r="B231" s="35" t="s">
        <v>1119</v>
      </c>
      <c r="C231" s="35" t="s">
        <v>59</v>
      </c>
      <c r="D231" s="35" t="s">
        <v>577</v>
      </c>
      <c r="E231" s="35" t="s">
        <v>47</v>
      </c>
      <c r="F231" s="139">
        <f t="shared" si="108"/>
        <v>0</v>
      </c>
      <c r="G231" s="35">
        <v>1750000000</v>
      </c>
      <c r="H231" s="139">
        <f t="shared" si="109"/>
        <v>9.2430380486862944</v>
      </c>
      <c r="I231" s="35">
        <f>G231</f>
        <v>1750000000</v>
      </c>
      <c r="J231" s="35">
        <v>0</v>
      </c>
      <c r="K231" s="36">
        <v>42564</v>
      </c>
      <c r="L231" s="35">
        <f>(1119089000+180950000)</f>
        <v>1300039000</v>
      </c>
      <c r="M231" s="21">
        <f t="shared" si="110"/>
        <v>11.789041095890411</v>
      </c>
      <c r="N231" s="21">
        <f t="shared" si="136"/>
        <v>1.0714784816260807</v>
      </c>
      <c r="O231" s="35">
        <v>0</v>
      </c>
      <c r="P231" s="35">
        <f t="shared" si="111"/>
        <v>0</v>
      </c>
      <c r="Q231" s="35">
        <v>99</v>
      </c>
      <c r="R231" s="35">
        <f t="shared" si="112"/>
        <v>2</v>
      </c>
      <c r="S231" s="45">
        <v>3.29</v>
      </c>
      <c r="T231" s="45">
        <f t="shared" si="137"/>
        <v>0.51719589794997434</v>
      </c>
      <c r="U231" s="175">
        <f t="shared" si="113"/>
        <v>-0.25712057142857148</v>
      </c>
      <c r="V231" s="48">
        <f t="shared" si="114"/>
        <v>-0.1290816677404292</v>
      </c>
      <c r="W231" s="35">
        <v>1861.76</v>
      </c>
      <c r="X231" s="35">
        <f t="shared" si="115"/>
        <v>3.2699236952309465</v>
      </c>
      <c r="Y231" s="35">
        <v>4993.92</v>
      </c>
      <c r="Z231" s="35">
        <f t="shared" si="116"/>
        <v>3.6984415808994222</v>
      </c>
      <c r="AA231" s="37">
        <v>0</v>
      </c>
      <c r="AB231" s="37">
        <f t="shared" si="117"/>
        <v>0</v>
      </c>
      <c r="AC231" s="35">
        <v>85</v>
      </c>
      <c r="AD231" s="35">
        <f t="shared" si="138"/>
        <v>1.9294189257142926</v>
      </c>
      <c r="AE231" s="48">
        <v>32.299999999999997</v>
      </c>
      <c r="AF231" s="48">
        <f t="shared" si="139"/>
        <v>1.5092025223311027</v>
      </c>
      <c r="AG231" s="43">
        <v>40.040400531970803</v>
      </c>
      <c r="AH231" s="43">
        <f t="shared" si="140"/>
        <v>1.6024984131617945</v>
      </c>
      <c r="AI231" s="39">
        <v>-0.14000000000000001</v>
      </c>
      <c r="AJ231" s="48">
        <f t="shared" si="118"/>
        <v>-6.5501548756432285E-2</v>
      </c>
      <c r="AK231" s="35">
        <v>21</v>
      </c>
      <c r="AL231" s="35">
        <f t="shared" si="141"/>
        <v>1.3222192947339193</v>
      </c>
      <c r="AM231" s="35">
        <f t="shared" si="119"/>
        <v>0</v>
      </c>
      <c r="AN231" s="35">
        <f t="shared" si="120"/>
        <v>0</v>
      </c>
      <c r="AO231" s="35">
        <f t="shared" si="121"/>
        <v>1</v>
      </c>
      <c r="AP231" s="35">
        <f t="shared" si="122"/>
        <v>0</v>
      </c>
      <c r="AQ231" s="35">
        <f t="shared" si="123"/>
        <v>0</v>
      </c>
      <c r="AR231" s="35">
        <f t="shared" si="124"/>
        <v>0</v>
      </c>
      <c r="AS231" s="35">
        <f t="shared" si="125"/>
        <v>0</v>
      </c>
      <c r="AT231" s="35">
        <f t="shared" si="126"/>
        <v>0</v>
      </c>
      <c r="AU231" s="35">
        <f t="shared" si="127"/>
        <v>0</v>
      </c>
      <c r="AV231" s="35">
        <f t="shared" si="128"/>
        <v>0</v>
      </c>
      <c r="AW231" s="35">
        <f t="shared" si="129"/>
        <v>0</v>
      </c>
      <c r="AX231" s="35">
        <f t="shared" si="130"/>
        <v>0</v>
      </c>
      <c r="AY231" s="35">
        <f t="shared" si="131"/>
        <v>0</v>
      </c>
      <c r="AZ231" s="35">
        <f t="shared" si="132"/>
        <v>0</v>
      </c>
      <c r="BA231" s="35">
        <f t="shared" si="133"/>
        <v>0</v>
      </c>
      <c r="BB231" s="35">
        <f t="shared" si="134"/>
        <v>0</v>
      </c>
      <c r="BC231" s="35">
        <f t="shared" si="135"/>
        <v>0</v>
      </c>
    </row>
    <row r="232" spans="1:55" s="35" customFormat="1" x14ac:dyDescent="0.35">
      <c r="A232" s="36">
        <v>38283</v>
      </c>
      <c r="B232" s="35" t="s">
        <v>491</v>
      </c>
      <c r="C232" s="35" t="s">
        <v>163</v>
      </c>
      <c r="D232" s="35" t="s">
        <v>577</v>
      </c>
      <c r="E232" s="35" t="s">
        <v>64</v>
      </c>
      <c r="F232" s="139">
        <f t="shared" si="108"/>
        <v>1</v>
      </c>
      <c r="G232" s="35">
        <v>1310000000</v>
      </c>
      <c r="H232" s="139">
        <f t="shared" si="109"/>
        <v>9.1172712956557636</v>
      </c>
      <c r="I232" s="35">
        <f>G232</f>
        <v>1310000000</v>
      </c>
      <c r="J232" s="35">
        <v>0</v>
      </c>
      <c r="K232" s="36">
        <v>40527</v>
      </c>
      <c r="L232" s="35">
        <v>1500000000</v>
      </c>
      <c r="M232" s="21">
        <f t="shared" si="110"/>
        <v>6.1479452054794521</v>
      </c>
      <c r="N232" s="21">
        <f t="shared" si="136"/>
        <v>0.78872998812764905</v>
      </c>
      <c r="O232" s="35">
        <v>342.74</v>
      </c>
      <c r="P232" s="35">
        <f t="shared" si="111"/>
        <v>2.5362300726332561</v>
      </c>
      <c r="Q232" s="35">
        <v>98</v>
      </c>
      <c r="R232" s="35">
        <f t="shared" si="112"/>
        <v>1.9956351945975499</v>
      </c>
      <c r="S232" s="45">
        <v>2.3199999999999998</v>
      </c>
      <c r="T232" s="45">
        <f t="shared" si="137"/>
        <v>0.36548798489089962</v>
      </c>
      <c r="U232" s="175">
        <f t="shared" si="113"/>
        <v>0.14503816793893121</v>
      </c>
      <c r="V232" s="48">
        <f t="shared" si="114"/>
        <v>5.881996339991695E-2</v>
      </c>
      <c r="W232" s="35">
        <v>1655.1111111111111</v>
      </c>
      <c r="X232" s="35">
        <f t="shared" si="115"/>
        <v>3.2188271541979425</v>
      </c>
      <c r="Y232" s="35">
        <v>5715.5555555555547</v>
      </c>
      <c r="Z232" s="35">
        <f t="shared" si="116"/>
        <v>3.7570584504768405</v>
      </c>
      <c r="AA232" s="37">
        <v>569.16666666666697</v>
      </c>
      <c r="AB232" s="37">
        <f t="shared" si="117"/>
        <v>2.756001823801419</v>
      </c>
      <c r="AC232" s="35">
        <v>70</v>
      </c>
      <c r="AD232" s="35">
        <f t="shared" si="138"/>
        <v>1.8450980400142569</v>
      </c>
      <c r="AE232" s="48">
        <v>42.4</v>
      </c>
      <c r="AF232" s="48">
        <f t="shared" si="139"/>
        <v>1.6273658565927327</v>
      </c>
      <c r="AG232" s="43">
        <v>52.984855215816303</v>
      </c>
      <c r="AH232" s="43">
        <f t="shared" si="140"/>
        <v>1.7241517519382803</v>
      </c>
      <c r="AI232" s="39">
        <v>0.13</v>
      </c>
      <c r="AJ232" s="48">
        <f t="shared" si="118"/>
        <v>5.3078443483419682E-2</v>
      </c>
      <c r="AK232" s="35">
        <v>18</v>
      </c>
      <c r="AL232" s="35">
        <f t="shared" si="141"/>
        <v>1.255272505103306</v>
      </c>
      <c r="AM232" s="35">
        <f t="shared" si="119"/>
        <v>0</v>
      </c>
      <c r="AN232" s="35">
        <f t="shared" si="120"/>
        <v>0</v>
      </c>
      <c r="AO232" s="35">
        <f t="shared" si="121"/>
        <v>0</v>
      </c>
      <c r="AP232" s="35">
        <f t="shared" si="122"/>
        <v>0</v>
      </c>
      <c r="AQ232" s="35">
        <f t="shared" si="123"/>
        <v>0</v>
      </c>
      <c r="AR232" s="35">
        <f t="shared" si="124"/>
        <v>0</v>
      </c>
      <c r="AS232" s="35">
        <f t="shared" si="125"/>
        <v>0</v>
      </c>
      <c r="AT232" s="35">
        <f t="shared" si="126"/>
        <v>1</v>
      </c>
      <c r="AU232" s="35">
        <f t="shared" si="127"/>
        <v>0</v>
      </c>
      <c r="AV232" s="35">
        <f t="shared" si="128"/>
        <v>0</v>
      </c>
      <c r="AW232" s="35">
        <f t="shared" si="129"/>
        <v>0</v>
      </c>
      <c r="AX232" s="35">
        <f t="shared" si="130"/>
        <v>0</v>
      </c>
      <c r="AY232" s="35">
        <f t="shared" si="131"/>
        <v>0</v>
      </c>
      <c r="AZ232" s="35">
        <f t="shared" si="132"/>
        <v>0</v>
      </c>
      <c r="BA232" s="35">
        <f t="shared" si="133"/>
        <v>0</v>
      </c>
      <c r="BB232" s="35">
        <f t="shared" si="134"/>
        <v>0</v>
      </c>
      <c r="BC232" s="35">
        <f t="shared" si="135"/>
        <v>0</v>
      </c>
    </row>
    <row r="233" spans="1:55" s="35" customFormat="1" x14ac:dyDescent="0.35">
      <c r="A233" s="36">
        <v>38284</v>
      </c>
      <c r="B233" s="35" t="s">
        <v>600</v>
      </c>
      <c r="C233" s="35" t="s">
        <v>2</v>
      </c>
      <c r="D233" s="35" t="s">
        <v>602</v>
      </c>
      <c r="E233" s="35" t="s">
        <v>64</v>
      </c>
      <c r="F233" s="139">
        <f t="shared" si="108"/>
        <v>1</v>
      </c>
      <c r="G233" s="35">
        <v>142063002</v>
      </c>
      <c r="H233" s="139">
        <f t="shared" si="109"/>
        <v>8.15248098771362</v>
      </c>
      <c r="I233" s="35">
        <v>142063002</v>
      </c>
      <c r="J233" s="35">
        <v>0</v>
      </c>
      <c r="K233" s="36">
        <v>41631</v>
      </c>
      <c r="L233" s="35">
        <v>316110000</v>
      </c>
      <c r="M233" s="21">
        <f t="shared" si="110"/>
        <v>9.169863013698631</v>
      </c>
      <c r="N233" s="21">
        <f t="shared" si="136"/>
        <v>0.96236284790130244</v>
      </c>
      <c r="O233" s="35">
        <v>6815.73</v>
      </c>
      <c r="P233" s="35">
        <f t="shared" si="111"/>
        <v>3.8335760926148099</v>
      </c>
      <c r="Q233" s="35">
        <v>11</v>
      </c>
      <c r="R233" s="35">
        <f t="shared" si="112"/>
        <v>1.0791812460476249</v>
      </c>
      <c r="S233" s="45">
        <v>2.85</v>
      </c>
      <c r="T233" s="45">
        <f t="shared" si="137"/>
        <v>0.45484486000851021</v>
      </c>
      <c r="U233" s="175">
        <f t="shared" si="113"/>
        <v>1.2251395194365946</v>
      </c>
      <c r="V233" s="48">
        <f t="shared" si="114"/>
        <v>0.34735724705707294</v>
      </c>
      <c r="W233" s="35">
        <v>1246.953</v>
      </c>
      <c r="X233" s="35">
        <f t="shared" si="115"/>
        <v>3.0958500844125241</v>
      </c>
      <c r="Y233" s="35">
        <v>3219.7179999999998</v>
      </c>
      <c r="Z233" s="35">
        <f t="shared" si="116"/>
        <v>3.5078178355445662</v>
      </c>
      <c r="AA233" s="37">
        <v>819</v>
      </c>
      <c r="AB233" s="37">
        <f t="shared" si="117"/>
        <v>2.9138138523837167</v>
      </c>
      <c r="AC233" s="35">
        <v>70</v>
      </c>
      <c r="AD233" s="35">
        <f t="shared" si="138"/>
        <v>1.8450980400142569</v>
      </c>
      <c r="AE233" s="48">
        <v>33.9</v>
      </c>
      <c r="AF233" s="48">
        <f t="shared" si="139"/>
        <v>1.5301996982030821</v>
      </c>
      <c r="AG233" s="43">
        <v>46.312020505412598</v>
      </c>
      <c r="AH233" s="43">
        <f t="shared" si="140"/>
        <v>1.6656937288498501</v>
      </c>
      <c r="AI233" s="39">
        <v>0.1</v>
      </c>
      <c r="AJ233" s="48">
        <f t="shared" si="118"/>
        <v>4.1392685158225077E-2</v>
      </c>
      <c r="AK233" s="35">
        <v>17</v>
      </c>
      <c r="AL233" s="35">
        <f t="shared" si="141"/>
        <v>1.2304489213782739</v>
      </c>
      <c r="AM233" s="35">
        <f t="shared" si="119"/>
        <v>0</v>
      </c>
      <c r="AN233" s="35">
        <f t="shared" si="120"/>
        <v>0</v>
      </c>
      <c r="AO233" s="35">
        <f t="shared" si="121"/>
        <v>0</v>
      </c>
      <c r="AP233" s="35">
        <f t="shared" si="122"/>
        <v>0</v>
      </c>
      <c r="AQ233" s="35">
        <f t="shared" si="123"/>
        <v>0</v>
      </c>
      <c r="AR233" s="35">
        <f t="shared" si="124"/>
        <v>0</v>
      </c>
      <c r="AS233" s="35">
        <f t="shared" si="125"/>
        <v>0</v>
      </c>
      <c r="AT233" s="35">
        <f t="shared" si="126"/>
        <v>0</v>
      </c>
      <c r="AU233" s="35">
        <f t="shared" si="127"/>
        <v>0</v>
      </c>
      <c r="AV233" s="35">
        <f t="shared" si="128"/>
        <v>1</v>
      </c>
      <c r="AW233" s="35">
        <f t="shared" si="129"/>
        <v>0</v>
      </c>
      <c r="AX233" s="35">
        <f t="shared" si="130"/>
        <v>0</v>
      </c>
      <c r="AY233" s="35">
        <f t="shared" si="131"/>
        <v>0</v>
      </c>
      <c r="AZ233" s="35">
        <f t="shared" si="132"/>
        <v>0</v>
      </c>
      <c r="BA233" s="35">
        <f t="shared" si="133"/>
        <v>0</v>
      </c>
      <c r="BB233" s="35">
        <f t="shared" si="134"/>
        <v>0</v>
      </c>
      <c r="BC233" s="35">
        <f t="shared" si="135"/>
        <v>0</v>
      </c>
    </row>
    <row r="234" spans="1:55" s="35" customFormat="1" x14ac:dyDescent="0.35">
      <c r="A234" s="36">
        <v>38288</v>
      </c>
      <c r="B234" s="139" t="s">
        <v>90</v>
      </c>
      <c r="C234" s="139" t="s">
        <v>4</v>
      </c>
      <c r="D234" s="139" t="s">
        <v>4</v>
      </c>
      <c r="E234" s="139" t="s">
        <v>47</v>
      </c>
      <c r="F234" s="139">
        <f t="shared" si="108"/>
        <v>0</v>
      </c>
      <c r="G234" s="139">
        <v>274920000</v>
      </c>
      <c r="H234" s="139">
        <f t="shared" si="109"/>
        <v>8.4392063352370226</v>
      </c>
      <c r="I234" s="139">
        <v>274920000</v>
      </c>
      <c r="J234" s="139">
        <v>0</v>
      </c>
      <c r="K234" s="25">
        <v>38770</v>
      </c>
      <c r="L234" s="139">
        <v>207780000</v>
      </c>
      <c r="M234" s="21">
        <f t="shared" si="110"/>
        <v>1.3205479452054794</v>
      </c>
      <c r="N234" s="21">
        <f t="shared" si="136"/>
        <v>0.12075417378237484</v>
      </c>
      <c r="O234" s="35">
        <v>0</v>
      </c>
      <c r="P234" s="35">
        <f t="shared" si="111"/>
        <v>0</v>
      </c>
      <c r="Q234" s="35">
        <v>51</v>
      </c>
      <c r="R234" s="35">
        <f t="shared" si="112"/>
        <v>1.7160033436347992</v>
      </c>
      <c r="S234" s="45">
        <v>3.59</v>
      </c>
      <c r="T234" s="45">
        <f t="shared" si="137"/>
        <v>0.55509444857831913</v>
      </c>
      <c r="U234" s="175">
        <f t="shared" si="113"/>
        <v>-0.24421649934526413</v>
      </c>
      <c r="V234" s="48">
        <f t="shared" si="114"/>
        <v>-0.12160259330391791</v>
      </c>
      <c r="W234" s="35">
        <v>1630.2786555587475</v>
      </c>
      <c r="X234" s="35">
        <f t="shared" si="115"/>
        <v>3.212261842580872</v>
      </c>
      <c r="Y234" s="35">
        <v>8569.3766159149673</v>
      </c>
      <c r="Z234" s="35">
        <f t="shared" si="116"/>
        <v>3.9329492300777744</v>
      </c>
      <c r="AA234" s="37">
        <v>0</v>
      </c>
      <c r="AB234" s="37">
        <f t="shared" si="117"/>
        <v>0</v>
      </c>
      <c r="AC234" s="35">
        <v>70</v>
      </c>
      <c r="AD234" s="35">
        <f t="shared" si="138"/>
        <v>1.8450980400142569</v>
      </c>
      <c r="AE234" s="48">
        <v>45.7</v>
      </c>
      <c r="AF234" s="48">
        <f t="shared" si="139"/>
        <v>1.6599162000698502</v>
      </c>
      <c r="AG234" s="43">
        <v>52.379377176281302</v>
      </c>
      <c r="AH234" s="43">
        <f t="shared" si="140"/>
        <v>1.7191603300855409</v>
      </c>
      <c r="AI234" s="39">
        <v>-0.22</v>
      </c>
      <c r="AJ234" s="48">
        <f t="shared" si="118"/>
        <v>-0.10790539730951958</v>
      </c>
      <c r="AK234" s="35">
        <v>13</v>
      </c>
      <c r="AL234" s="35">
        <f t="shared" si="141"/>
        <v>1.1139433523068367</v>
      </c>
      <c r="AM234" s="35">
        <f t="shared" si="119"/>
        <v>0</v>
      </c>
      <c r="AN234" s="35">
        <f t="shared" si="120"/>
        <v>0</v>
      </c>
      <c r="AO234" s="35">
        <f t="shared" si="121"/>
        <v>0</v>
      </c>
      <c r="AP234" s="35">
        <f t="shared" si="122"/>
        <v>0</v>
      </c>
      <c r="AQ234" s="35">
        <f t="shared" si="123"/>
        <v>0</v>
      </c>
      <c r="AR234" s="35">
        <f t="shared" si="124"/>
        <v>1</v>
      </c>
      <c r="AS234" s="35">
        <f t="shared" si="125"/>
        <v>0</v>
      </c>
      <c r="AT234" s="35">
        <f t="shared" si="126"/>
        <v>0</v>
      </c>
      <c r="AU234" s="35">
        <f t="shared" si="127"/>
        <v>0</v>
      </c>
      <c r="AV234" s="35">
        <f t="shared" si="128"/>
        <v>0</v>
      </c>
      <c r="AW234" s="35">
        <f t="shared" si="129"/>
        <v>0</v>
      </c>
      <c r="AX234" s="35">
        <f t="shared" si="130"/>
        <v>0</v>
      </c>
      <c r="AY234" s="35">
        <f t="shared" si="131"/>
        <v>0</v>
      </c>
      <c r="AZ234" s="35">
        <f t="shared" si="132"/>
        <v>0</v>
      </c>
      <c r="BA234" s="35">
        <f t="shared" si="133"/>
        <v>0</v>
      </c>
      <c r="BB234" s="35">
        <f t="shared" si="134"/>
        <v>0</v>
      </c>
      <c r="BC234" s="35">
        <f t="shared" si="135"/>
        <v>0</v>
      </c>
    </row>
    <row r="235" spans="1:55" s="35" customFormat="1" x14ac:dyDescent="0.35">
      <c r="A235" s="36">
        <v>38292</v>
      </c>
      <c r="B235" s="35" t="s">
        <v>160</v>
      </c>
      <c r="C235" s="35" t="s">
        <v>59</v>
      </c>
      <c r="D235" s="35" t="s">
        <v>577</v>
      </c>
      <c r="E235" s="35" t="s">
        <v>47</v>
      </c>
      <c r="F235" s="139">
        <f t="shared" si="108"/>
        <v>0</v>
      </c>
      <c r="G235" s="35">
        <v>72000000</v>
      </c>
      <c r="H235" s="139">
        <f t="shared" si="109"/>
        <v>7.8573324964312681</v>
      </c>
      <c r="I235" s="35">
        <f>G235</f>
        <v>72000000</v>
      </c>
      <c r="J235" s="35">
        <v>0</v>
      </c>
      <c r="K235" s="36">
        <v>42780</v>
      </c>
      <c r="L235" s="35">
        <v>130000000</v>
      </c>
      <c r="M235" s="21">
        <f t="shared" si="110"/>
        <v>12.295890410958904</v>
      </c>
      <c r="N235" s="21">
        <f t="shared" si="136"/>
        <v>1.0897599837916303</v>
      </c>
      <c r="O235" s="35">
        <v>0</v>
      </c>
      <c r="P235" s="35">
        <f t="shared" si="111"/>
        <v>0</v>
      </c>
      <c r="Q235" s="35">
        <v>0</v>
      </c>
      <c r="R235" s="35">
        <f t="shared" si="112"/>
        <v>0</v>
      </c>
      <c r="S235" s="45">
        <v>3.29</v>
      </c>
      <c r="T235" s="45">
        <f t="shared" si="137"/>
        <v>0.51719589794997434</v>
      </c>
      <c r="U235" s="175">
        <f t="shared" si="113"/>
        <v>0.80555555555555558</v>
      </c>
      <c r="V235" s="48">
        <f t="shared" si="114"/>
        <v>0.25661085587556831</v>
      </c>
      <c r="W235" s="35">
        <v>1801.1079999999999</v>
      </c>
      <c r="X235" s="35">
        <f t="shared" si="115"/>
        <v>3.2555397552391718</v>
      </c>
      <c r="Y235" s="35">
        <v>8416.6209999999992</v>
      </c>
      <c r="Z235" s="35">
        <f t="shared" si="116"/>
        <v>3.9251377713585649</v>
      </c>
      <c r="AA235" s="37">
        <v>0</v>
      </c>
      <c r="AB235" s="37">
        <f t="shared" si="117"/>
        <v>0</v>
      </c>
      <c r="AC235" s="35">
        <v>85</v>
      </c>
      <c r="AD235" s="35">
        <f t="shared" si="138"/>
        <v>1.9294189257142926</v>
      </c>
      <c r="AE235" s="48">
        <v>32.299999999999997</v>
      </c>
      <c r="AF235" s="48">
        <f t="shared" si="139"/>
        <v>1.5092025223311027</v>
      </c>
      <c r="AG235" s="43">
        <v>40.040400531970803</v>
      </c>
      <c r="AH235" s="43">
        <f t="shared" si="140"/>
        <v>1.6024984131617945</v>
      </c>
      <c r="AI235" s="39">
        <v>-0.14000000000000001</v>
      </c>
      <c r="AJ235" s="48">
        <f t="shared" si="118"/>
        <v>-6.5501548756432285E-2</v>
      </c>
      <c r="AK235" s="35">
        <v>13</v>
      </c>
      <c r="AL235" s="35">
        <f t="shared" si="141"/>
        <v>1.1139433523068367</v>
      </c>
      <c r="AM235" s="35">
        <f t="shared" si="119"/>
        <v>0</v>
      </c>
      <c r="AN235" s="35">
        <f t="shared" si="120"/>
        <v>0</v>
      </c>
      <c r="AO235" s="35">
        <f t="shared" si="121"/>
        <v>1</v>
      </c>
      <c r="AP235" s="35">
        <f t="shared" si="122"/>
        <v>0</v>
      </c>
      <c r="AQ235" s="35">
        <f t="shared" si="123"/>
        <v>0</v>
      </c>
      <c r="AR235" s="35">
        <f t="shared" si="124"/>
        <v>0</v>
      </c>
      <c r="AS235" s="35">
        <f t="shared" si="125"/>
        <v>0</v>
      </c>
      <c r="AT235" s="35">
        <f t="shared" si="126"/>
        <v>0</v>
      </c>
      <c r="AU235" s="35">
        <f t="shared" si="127"/>
        <v>0</v>
      </c>
      <c r="AV235" s="35">
        <f t="shared" si="128"/>
        <v>0</v>
      </c>
      <c r="AW235" s="35">
        <f t="shared" si="129"/>
        <v>0</v>
      </c>
      <c r="AX235" s="35">
        <f t="shared" si="130"/>
        <v>0</v>
      </c>
      <c r="AY235" s="35">
        <f t="shared" si="131"/>
        <v>0</v>
      </c>
      <c r="AZ235" s="35">
        <f t="shared" si="132"/>
        <v>0</v>
      </c>
      <c r="BA235" s="35">
        <f t="shared" si="133"/>
        <v>0</v>
      </c>
      <c r="BB235" s="35">
        <f t="shared" si="134"/>
        <v>0</v>
      </c>
      <c r="BC235" s="35">
        <f t="shared" si="135"/>
        <v>0</v>
      </c>
    </row>
    <row r="236" spans="1:55" s="35" customFormat="1" ht="15" customHeight="1" x14ac:dyDescent="0.35">
      <c r="A236" s="36">
        <v>38294</v>
      </c>
      <c r="B236" s="35" t="s">
        <v>653</v>
      </c>
      <c r="C236" s="35" t="s">
        <v>5</v>
      </c>
      <c r="D236" s="35" t="s">
        <v>602</v>
      </c>
      <c r="E236" s="35" t="s">
        <v>64</v>
      </c>
      <c r="F236" s="139">
        <f t="shared" si="108"/>
        <v>1</v>
      </c>
      <c r="G236" s="35">
        <v>659570000</v>
      </c>
      <c r="H236" s="139">
        <f t="shared" si="109"/>
        <v>8.8192608938937127</v>
      </c>
      <c r="I236" s="35">
        <v>762490000</v>
      </c>
      <c r="J236" s="35">
        <v>102920000</v>
      </c>
      <c r="K236" s="36">
        <v>38700</v>
      </c>
      <c r="L236" s="35">
        <v>632852000</v>
      </c>
      <c r="M236" s="21">
        <f t="shared" si="110"/>
        <v>1.1123287671232878</v>
      </c>
      <c r="N236" s="21">
        <f t="shared" si="136"/>
        <v>4.6233169120719446E-2</v>
      </c>
      <c r="O236" s="35">
        <v>6188.89</v>
      </c>
      <c r="P236" s="35">
        <f t="shared" si="111"/>
        <v>3.7916829312790057</v>
      </c>
      <c r="Q236" s="35">
        <v>6</v>
      </c>
      <c r="R236" s="35">
        <f t="shared" si="112"/>
        <v>0.84509804001425681</v>
      </c>
      <c r="S236" s="45">
        <v>2.72</v>
      </c>
      <c r="T236" s="45">
        <f t="shared" si="137"/>
        <v>0.43456890403419873</v>
      </c>
      <c r="U236" s="175">
        <f t="shared" si="113"/>
        <v>-4.0508209894325131E-2</v>
      </c>
      <c r="V236" s="48">
        <f t="shared" si="114"/>
        <v>-1.795873695462381E-2</v>
      </c>
      <c r="W236" s="35">
        <v>2315.9650000000001</v>
      </c>
      <c r="X236" s="35">
        <f t="shared" si="115"/>
        <v>3.3647319918335836</v>
      </c>
      <c r="Y236" s="35">
        <v>3703.9029999999998</v>
      </c>
      <c r="Z236" s="35">
        <f t="shared" si="116"/>
        <v>3.568659604598353</v>
      </c>
      <c r="AA236" s="37">
        <v>1084.3333333333301</v>
      </c>
      <c r="AB236" s="37">
        <f t="shared" si="117"/>
        <v>3.0355631414974997</v>
      </c>
      <c r="AC236" s="35">
        <v>70</v>
      </c>
      <c r="AD236" s="35">
        <f t="shared" si="138"/>
        <v>1.8450980400142569</v>
      </c>
      <c r="AE236" s="48">
        <v>34.799999999999997</v>
      </c>
      <c r="AF236" s="48">
        <f t="shared" si="139"/>
        <v>1.541579243946581</v>
      </c>
      <c r="AG236" s="43">
        <v>43.471204603938098</v>
      </c>
      <c r="AH236" s="43">
        <f t="shared" si="140"/>
        <v>1.6382016748260968</v>
      </c>
      <c r="AI236" s="39">
        <v>0.14000000000000001</v>
      </c>
      <c r="AJ236" s="48">
        <f t="shared" si="118"/>
        <v>5.6904851336472641E-2</v>
      </c>
      <c r="AK236" s="35">
        <v>11</v>
      </c>
      <c r="AL236" s="35">
        <f t="shared" si="141"/>
        <v>1.0413926851582251</v>
      </c>
      <c r="AM236" s="35">
        <f t="shared" si="119"/>
        <v>0</v>
      </c>
      <c r="AN236" s="35">
        <f t="shared" si="120"/>
        <v>0</v>
      </c>
      <c r="AO236" s="35">
        <f t="shared" si="121"/>
        <v>0</v>
      </c>
      <c r="AP236" s="35">
        <f t="shared" si="122"/>
        <v>0</v>
      </c>
      <c r="AQ236" s="35">
        <f t="shared" si="123"/>
        <v>0</v>
      </c>
      <c r="AR236" s="35">
        <f t="shared" si="124"/>
        <v>0</v>
      </c>
      <c r="AS236" s="35">
        <f t="shared" si="125"/>
        <v>1</v>
      </c>
      <c r="AT236" s="35">
        <f t="shared" si="126"/>
        <v>0</v>
      </c>
      <c r="AU236" s="35">
        <f t="shared" si="127"/>
        <v>0</v>
      </c>
      <c r="AV236" s="35">
        <f t="shared" si="128"/>
        <v>0</v>
      </c>
      <c r="AW236" s="35">
        <f t="shared" si="129"/>
        <v>0</v>
      </c>
      <c r="AX236" s="35">
        <f t="shared" si="130"/>
        <v>0</v>
      </c>
      <c r="AY236" s="35">
        <f t="shared" si="131"/>
        <v>0</v>
      </c>
      <c r="AZ236" s="35">
        <f t="shared" si="132"/>
        <v>0</v>
      </c>
      <c r="BA236" s="35">
        <f t="shared" si="133"/>
        <v>0</v>
      </c>
      <c r="BB236" s="35">
        <f t="shared" si="134"/>
        <v>0</v>
      </c>
      <c r="BC236" s="35">
        <f t="shared" si="135"/>
        <v>0</v>
      </c>
    </row>
    <row r="237" spans="1:55" s="35" customFormat="1" ht="13.5" customHeight="1" x14ac:dyDescent="0.35">
      <c r="A237" s="36">
        <v>38295</v>
      </c>
      <c r="B237" s="90" t="s">
        <v>1025</v>
      </c>
      <c r="C237" s="35" t="s">
        <v>59</v>
      </c>
      <c r="D237" s="35" t="s">
        <v>45</v>
      </c>
      <c r="E237" s="35" t="s">
        <v>64</v>
      </c>
      <c r="F237" s="139">
        <f t="shared" si="108"/>
        <v>1</v>
      </c>
      <c r="G237" s="35">
        <v>38570000</v>
      </c>
      <c r="H237" s="139">
        <f t="shared" si="109"/>
        <v>7.5862496388660423</v>
      </c>
      <c r="I237" s="35">
        <f t="shared" ref="I237:I243" si="143">G237</f>
        <v>38570000</v>
      </c>
      <c r="J237" s="35">
        <v>0</v>
      </c>
      <c r="K237" s="36">
        <v>40512</v>
      </c>
      <c r="L237" s="35">
        <v>159790000</v>
      </c>
      <c r="M237" s="21">
        <f t="shared" si="110"/>
        <v>6.0739726027397261</v>
      </c>
      <c r="N237" s="21">
        <f t="shared" si="136"/>
        <v>0.78347282865801349</v>
      </c>
      <c r="O237" s="35">
        <v>5897.96</v>
      </c>
      <c r="P237" s="35">
        <f t="shared" si="111"/>
        <v>3.7707754512906644</v>
      </c>
      <c r="Q237" s="35">
        <v>7</v>
      </c>
      <c r="R237" s="35">
        <f t="shared" si="112"/>
        <v>0.90308998699194354</v>
      </c>
      <c r="S237" s="45">
        <v>2.3199999999999998</v>
      </c>
      <c r="T237" s="45">
        <f t="shared" si="137"/>
        <v>0.36548798489089962</v>
      </c>
      <c r="U237" s="175">
        <f t="shared" si="113"/>
        <v>3.1428571428571432</v>
      </c>
      <c r="V237" s="48">
        <f t="shared" si="114"/>
        <v>0.61729995788469927</v>
      </c>
      <c r="W237" s="35">
        <v>2162.0762565470354</v>
      </c>
      <c r="X237" s="35">
        <f t="shared" si="115"/>
        <v>3.3348710074773962</v>
      </c>
      <c r="Y237" s="35">
        <v>3168.4194524674895</v>
      </c>
      <c r="Z237" s="35">
        <f t="shared" si="116"/>
        <v>3.5008426709709495</v>
      </c>
      <c r="AA237" s="37">
        <v>132</v>
      </c>
      <c r="AB237" s="37">
        <f t="shared" si="117"/>
        <v>2.1238516409670858</v>
      </c>
      <c r="AC237" s="35">
        <v>85</v>
      </c>
      <c r="AD237" s="35">
        <f t="shared" si="138"/>
        <v>1.9294189257142926</v>
      </c>
      <c r="AE237" s="48">
        <v>32.299999999999997</v>
      </c>
      <c r="AF237" s="48">
        <f t="shared" si="139"/>
        <v>1.5092025223311027</v>
      </c>
      <c r="AG237" s="43">
        <v>40.040400531970803</v>
      </c>
      <c r="AH237" s="43">
        <f t="shared" si="140"/>
        <v>1.6024984131617945</v>
      </c>
      <c r="AI237" s="39">
        <v>0.57999999999999996</v>
      </c>
      <c r="AJ237" s="48">
        <f t="shared" si="118"/>
        <v>0.19865708695442263</v>
      </c>
      <c r="AK237" s="35">
        <v>27</v>
      </c>
      <c r="AL237" s="35">
        <f t="shared" si="141"/>
        <v>1.4313637641589874</v>
      </c>
      <c r="AM237" s="35">
        <f t="shared" si="119"/>
        <v>0</v>
      </c>
      <c r="AN237" s="35">
        <f t="shared" si="120"/>
        <v>0</v>
      </c>
      <c r="AO237" s="35">
        <f t="shared" si="121"/>
        <v>1</v>
      </c>
      <c r="AP237" s="35">
        <f t="shared" si="122"/>
        <v>0</v>
      </c>
      <c r="AQ237" s="35">
        <f t="shared" si="123"/>
        <v>0</v>
      </c>
      <c r="AR237" s="35">
        <f t="shared" si="124"/>
        <v>0</v>
      </c>
      <c r="AS237" s="35">
        <f t="shared" si="125"/>
        <v>0</v>
      </c>
      <c r="AT237" s="35">
        <f t="shared" si="126"/>
        <v>0</v>
      </c>
      <c r="AU237" s="35">
        <f t="shared" si="127"/>
        <v>0</v>
      </c>
      <c r="AV237" s="35">
        <f t="shared" si="128"/>
        <v>0</v>
      </c>
      <c r="AW237" s="35">
        <f t="shared" si="129"/>
        <v>0</v>
      </c>
      <c r="AX237" s="35">
        <f t="shared" si="130"/>
        <v>0</v>
      </c>
      <c r="AY237" s="35">
        <f t="shared" si="131"/>
        <v>0</v>
      </c>
      <c r="AZ237" s="35">
        <f t="shared" si="132"/>
        <v>0</v>
      </c>
      <c r="BA237" s="35">
        <f t="shared" si="133"/>
        <v>0</v>
      </c>
      <c r="BB237" s="35">
        <f t="shared" si="134"/>
        <v>0</v>
      </c>
      <c r="BC237" s="35">
        <f t="shared" si="135"/>
        <v>0</v>
      </c>
    </row>
    <row r="238" spans="1:55" s="35" customFormat="1" ht="14.25" customHeight="1" x14ac:dyDescent="0.35">
      <c r="A238" s="36">
        <v>38300</v>
      </c>
      <c r="B238" s="35" t="s">
        <v>509</v>
      </c>
      <c r="C238" s="35" t="s">
        <v>5</v>
      </c>
      <c r="D238" s="35" t="s">
        <v>45</v>
      </c>
      <c r="E238" s="35" t="s">
        <v>125</v>
      </c>
      <c r="F238" s="139">
        <f t="shared" si="108"/>
        <v>1</v>
      </c>
      <c r="G238" s="35">
        <v>22000000</v>
      </c>
      <c r="H238" s="139">
        <f t="shared" si="109"/>
        <v>7.3424226808222066</v>
      </c>
      <c r="I238" s="35">
        <f t="shared" si="143"/>
        <v>22000000</v>
      </c>
      <c r="J238" s="35">
        <v>0</v>
      </c>
      <c r="K238" s="36">
        <v>38624</v>
      </c>
      <c r="L238" s="35">
        <v>62323398</v>
      </c>
      <c r="M238" s="21">
        <f t="shared" si="110"/>
        <v>0.88767123287671235</v>
      </c>
      <c r="N238" s="21">
        <f t="shared" si="136"/>
        <v>-5.1747854249862557E-2</v>
      </c>
      <c r="O238" s="35">
        <v>6188.89</v>
      </c>
      <c r="P238" s="35">
        <f t="shared" si="111"/>
        <v>3.7916829312790057</v>
      </c>
      <c r="Q238" s="35">
        <v>9</v>
      </c>
      <c r="R238" s="35">
        <f t="shared" si="112"/>
        <v>1</v>
      </c>
      <c r="S238" s="45">
        <v>2.72</v>
      </c>
      <c r="T238" s="45">
        <f t="shared" si="137"/>
        <v>0.43456890403419873</v>
      </c>
      <c r="U238" s="175">
        <f t="shared" si="113"/>
        <v>1.8328817272727274</v>
      </c>
      <c r="V238" s="48">
        <f t="shared" si="114"/>
        <v>0.45222844311731442</v>
      </c>
      <c r="W238" s="35">
        <v>2391.8556165052146</v>
      </c>
      <c r="X238" s="35">
        <f t="shared" si="115"/>
        <v>3.3787349600790799</v>
      </c>
      <c r="Y238" s="35">
        <v>5485.5754437712858</v>
      </c>
      <c r="Z238" s="35">
        <f t="shared" si="116"/>
        <v>3.7392221923384441</v>
      </c>
      <c r="AA238" s="37">
        <v>1084.3333333333301</v>
      </c>
      <c r="AB238" s="37">
        <f t="shared" si="117"/>
        <v>3.0355631414974997</v>
      </c>
      <c r="AC238" s="35">
        <v>70</v>
      </c>
      <c r="AD238" s="35">
        <f t="shared" si="138"/>
        <v>1.8450980400142569</v>
      </c>
      <c r="AE238" s="48">
        <v>34.799999999999997</v>
      </c>
      <c r="AF238" s="48">
        <f t="shared" si="139"/>
        <v>1.541579243946581</v>
      </c>
      <c r="AG238" s="43">
        <v>43.471204603938098</v>
      </c>
      <c r="AH238" s="43">
        <f t="shared" si="140"/>
        <v>1.6382016748260968</v>
      </c>
      <c r="AI238" s="39">
        <v>0.64</v>
      </c>
      <c r="AJ238" s="48">
        <f t="shared" si="118"/>
        <v>0.21484384804769791</v>
      </c>
      <c r="AK238" s="35">
        <v>27</v>
      </c>
      <c r="AL238" s="35">
        <f t="shared" si="141"/>
        <v>1.4313637641589874</v>
      </c>
      <c r="AM238" s="35">
        <f t="shared" si="119"/>
        <v>0</v>
      </c>
      <c r="AN238" s="35">
        <f t="shared" si="120"/>
        <v>0</v>
      </c>
      <c r="AO238" s="35">
        <f t="shared" si="121"/>
        <v>0</v>
      </c>
      <c r="AP238" s="35">
        <f t="shared" si="122"/>
        <v>0</v>
      </c>
      <c r="AQ238" s="35">
        <f t="shared" si="123"/>
        <v>0</v>
      </c>
      <c r="AR238" s="35">
        <f t="shared" si="124"/>
        <v>0</v>
      </c>
      <c r="AS238" s="35">
        <f t="shared" si="125"/>
        <v>1</v>
      </c>
      <c r="AT238" s="35">
        <f t="shared" si="126"/>
        <v>0</v>
      </c>
      <c r="AU238" s="35">
        <f t="shared" si="127"/>
        <v>0</v>
      </c>
      <c r="AV238" s="35">
        <f t="shared" si="128"/>
        <v>0</v>
      </c>
      <c r="AW238" s="35">
        <f t="shared" si="129"/>
        <v>0</v>
      </c>
      <c r="AX238" s="35">
        <f t="shared" si="130"/>
        <v>0</v>
      </c>
      <c r="AY238" s="35">
        <f t="shared" si="131"/>
        <v>0</v>
      </c>
      <c r="AZ238" s="35">
        <f t="shared" si="132"/>
        <v>0</v>
      </c>
      <c r="BA238" s="35">
        <f t="shared" si="133"/>
        <v>0</v>
      </c>
      <c r="BB238" s="35">
        <f t="shared" si="134"/>
        <v>0</v>
      </c>
      <c r="BC238" s="35">
        <f t="shared" si="135"/>
        <v>0</v>
      </c>
    </row>
    <row r="239" spans="1:55" s="35" customFormat="1" ht="12.75" customHeight="1" x14ac:dyDescent="0.35">
      <c r="A239" s="36">
        <v>38300</v>
      </c>
      <c r="B239" s="35" t="s">
        <v>544</v>
      </c>
      <c r="C239" s="35" t="s">
        <v>434</v>
      </c>
      <c r="D239" s="35" t="s">
        <v>45</v>
      </c>
      <c r="E239" s="35" t="s">
        <v>125</v>
      </c>
      <c r="F239" s="139">
        <f t="shared" si="108"/>
        <v>1</v>
      </c>
      <c r="G239" s="35">
        <v>250000000</v>
      </c>
      <c r="H239" s="139">
        <f t="shared" si="109"/>
        <v>8.3979400086720375</v>
      </c>
      <c r="I239" s="35">
        <f t="shared" si="143"/>
        <v>250000000</v>
      </c>
      <c r="J239" s="35">
        <v>0</v>
      </c>
      <c r="K239" s="36">
        <v>41367</v>
      </c>
      <c r="L239" s="35">
        <v>495000000</v>
      </c>
      <c r="M239" s="21">
        <f t="shared" si="110"/>
        <v>8.4027397260273968</v>
      </c>
      <c r="N239" s="21">
        <f t="shared" si="136"/>
        <v>0.9244209115260108</v>
      </c>
      <c r="O239" s="35">
        <v>7216.98</v>
      </c>
      <c r="P239" s="35">
        <f t="shared" si="111"/>
        <v>3.8584156743566731</v>
      </c>
      <c r="Q239" s="35">
        <v>58</v>
      </c>
      <c r="R239" s="35">
        <f t="shared" si="112"/>
        <v>1.7708520116421442</v>
      </c>
      <c r="S239" s="45">
        <v>2.66</v>
      </c>
      <c r="T239" s="45">
        <f t="shared" si="137"/>
        <v>0.42488163663106698</v>
      </c>
      <c r="U239" s="175">
        <f t="shared" si="113"/>
        <v>0.98</v>
      </c>
      <c r="V239" s="48">
        <f t="shared" si="114"/>
        <v>0.2966651902615311</v>
      </c>
      <c r="W239" s="35">
        <v>2232.1428571428569</v>
      </c>
      <c r="X239" s="35">
        <f t="shared" si="115"/>
        <v>3.348721986001856</v>
      </c>
      <c r="Y239" s="35">
        <v>5650.5102040816337</v>
      </c>
      <c r="Z239" s="35">
        <f t="shared" si="116"/>
        <v>3.7520876635386311</v>
      </c>
      <c r="AA239" s="37">
        <v>649.83333333333303</v>
      </c>
      <c r="AB239" s="37">
        <f t="shared" si="117"/>
        <v>2.8134697878296753</v>
      </c>
      <c r="AC239" s="35">
        <v>70</v>
      </c>
      <c r="AD239" s="35">
        <f t="shared" si="138"/>
        <v>1.8450980400142569</v>
      </c>
      <c r="AE239" s="48">
        <v>39.33</v>
      </c>
      <c r="AF239" s="48">
        <f t="shared" si="139"/>
        <v>1.5947239464097467</v>
      </c>
      <c r="AG239" s="43">
        <v>46.838198746764199</v>
      </c>
      <c r="AH239" s="43">
        <f t="shared" si="140"/>
        <v>1.6706001850898524</v>
      </c>
      <c r="AI239" s="39">
        <v>0.51</v>
      </c>
      <c r="AJ239" s="48">
        <f t="shared" si="118"/>
        <v>0.17897694729316943</v>
      </c>
      <c r="AK239" s="35">
        <v>26</v>
      </c>
      <c r="AL239" s="35">
        <f t="shared" si="141"/>
        <v>1.414973347970818</v>
      </c>
      <c r="AM239" s="35">
        <f t="shared" si="119"/>
        <v>0</v>
      </c>
      <c r="AN239" s="35">
        <f t="shared" si="120"/>
        <v>0</v>
      </c>
      <c r="AO239" s="35">
        <f t="shared" si="121"/>
        <v>0</v>
      </c>
      <c r="AP239" s="35">
        <f t="shared" si="122"/>
        <v>0</v>
      </c>
      <c r="AQ239" s="35">
        <f t="shared" si="123"/>
        <v>0</v>
      </c>
      <c r="AR239" s="35">
        <f t="shared" si="124"/>
        <v>0</v>
      </c>
      <c r="AS239" s="35">
        <f t="shared" si="125"/>
        <v>0</v>
      </c>
      <c r="AT239" s="35">
        <f t="shared" si="126"/>
        <v>0</v>
      </c>
      <c r="AU239" s="35">
        <f t="shared" si="127"/>
        <v>0</v>
      </c>
      <c r="AV239" s="35">
        <f t="shared" si="128"/>
        <v>0</v>
      </c>
      <c r="AW239" s="35">
        <f t="shared" si="129"/>
        <v>1</v>
      </c>
      <c r="AX239" s="35">
        <f t="shared" si="130"/>
        <v>0</v>
      </c>
      <c r="AY239" s="35">
        <f t="shared" si="131"/>
        <v>0</v>
      </c>
      <c r="AZ239" s="35">
        <f t="shared" si="132"/>
        <v>0</v>
      </c>
      <c r="BA239" s="35">
        <f t="shared" si="133"/>
        <v>0</v>
      </c>
      <c r="BB239" s="35">
        <f t="shared" si="134"/>
        <v>0</v>
      </c>
      <c r="BC239" s="35">
        <f t="shared" si="135"/>
        <v>0</v>
      </c>
    </row>
    <row r="240" spans="1:55" s="35" customFormat="1" ht="15.75" customHeight="1" x14ac:dyDescent="0.35">
      <c r="A240" s="36">
        <v>38320</v>
      </c>
      <c r="B240" s="35" t="s">
        <v>467</v>
      </c>
      <c r="C240" s="35" t="s">
        <v>7</v>
      </c>
      <c r="D240" s="35" t="s">
        <v>59</v>
      </c>
      <c r="E240" s="35" t="s">
        <v>125</v>
      </c>
      <c r="F240" s="139">
        <f t="shared" si="108"/>
        <v>1</v>
      </c>
      <c r="G240" s="35">
        <v>2075000000</v>
      </c>
      <c r="H240" s="139">
        <f t="shared" si="109"/>
        <v>9.3170181010481112</v>
      </c>
      <c r="I240" s="35">
        <f t="shared" si="143"/>
        <v>2075000000</v>
      </c>
      <c r="J240" s="35">
        <v>0</v>
      </c>
      <c r="K240" s="36">
        <v>40480</v>
      </c>
      <c r="L240" s="35">
        <v>0</v>
      </c>
      <c r="M240" s="21">
        <f t="shared" si="110"/>
        <v>5.9178082191780819</v>
      </c>
      <c r="N240" s="21">
        <f t="shared" si="136"/>
        <v>0.77216088669445615</v>
      </c>
      <c r="O240" s="35">
        <v>489.17</v>
      </c>
      <c r="P240" s="35">
        <f t="shared" si="111"/>
        <v>2.6903467274930635</v>
      </c>
      <c r="Q240" s="35">
        <v>36</v>
      </c>
      <c r="R240" s="35">
        <f t="shared" si="112"/>
        <v>1.568201724066995</v>
      </c>
      <c r="S240" s="45">
        <v>2.59</v>
      </c>
      <c r="T240" s="45">
        <f t="shared" si="137"/>
        <v>0.4132997640812518</v>
      </c>
      <c r="U240" s="175">
        <f t="shared" si="113"/>
        <v>-1</v>
      </c>
      <c r="V240" s="48">
        <f t="shared" si="114"/>
        <v>-1</v>
      </c>
      <c r="W240" s="35">
        <v>1248.0746999999999</v>
      </c>
      <c r="X240" s="35">
        <f t="shared" si="115"/>
        <v>3.0962405795987471</v>
      </c>
      <c r="Y240" s="35">
        <v>2518.2170000000001</v>
      </c>
      <c r="Z240" s="35">
        <f t="shared" si="116"/>
        <v>3.4010931514437841</v>
      </c>
      <c r="AA240" s="37">
        <v>562.5</v>
      </c>
      <c r="AB240" s="37">
        <f t="shared" si="117"/>
        <v>2.7508939203821252</v>
      </c>
      <c r="AC240" s="35">
        <v>85</v>
      </c>
      <c r="AD240" s="35">
        <f t="shared" si="138"/>
        <v>1.9294189257142926</v>
      </c>
      <c r="AE240" s="48">
        <v>36.5</v>
      </c>
      <c r="AF240" s="48">
        <f t="shared" si="139"/>
        <v>1.5622928644564746</v>
      </c>
      <c r="AG240" s="43">
        <v>43.824698342891402</v>
      </c>
      <c r="AH240" s="43">
        <f t="shared" si="140"/>
        <v>1.641718935411159</v>
      </c>
      <c r="AI240" s="39">
        <v>-0.06</v>
      </c>
      <c r="AJ240" s="48">
        <f t="shared" si="118"/>
        <v>-2.6872146400301365E-2</v>
      </c>
      <c r="AK240" s="35">
        <v>21</v>
      </c>
      <c r="AL240" s="35">
        <f t="shared" si="141"/>
        <v>1.3222192947339193</v>
      </c>
      <c r="AM240" s="35">
        <f t="shared" si="119"/>
        <v>1</v>
      </c>
      <c r="AN240" s="35">
        <f t="shared" si="120"/>
        <v>0</v>
      </c>
      <c r="AO240" s="35">
        <f t="shared" si="121"/>
        <v>0</v>
      </c>
      <c r="AP240" s="35">
        <f t="shared" si="122"/>
        <v>0</v>
      </c>
      <c r="AQ240" s="35">
        <f t="shared" si="123"/>
        <v>0</v>
      </c>
      <c r="AR240" s="35">
        <f t="shared" si="124"/>
        <v>0</v>
      </c>
      <c r="AS240" s="35">
        <f t="shared" si="125"/>
        <v>0</v>
      </c>
      <c r="AT240" s="35">
        <f t="shared" si="126"/>
        <v>0</v>
      </c>
      <c r="AU240" s="35">
        <f t="shared" si="127"/>
        <v>0</v>
      </c>
      <c r="AV240" s="35">
        <f t="shared" si="128"/>
        <v>0</v>
      </c>
      <c r="AW240" s="35">
        <f t="shared" si="129"/>
        <v>0</v>
      </c>
      <c r="AX240" s="35">
        <f t="shared" si="130"/>
        <v>0</v>
      </c>
      <c r="AY240" s="35">
        <f t="shared" si="131"/>
        <v>1</v>
      </c>
      <c r="AZ240" s="35">
        <f t="shared" si="132"/>
        <v>0</v>
      </c>
      <c r="BA240" s="35">
        <f t="shared" si="133"/>
        <v>0</v>
      </c>
      <c r="BB240" s="35">
        <f t="shared" si="134"/>
        <v>0</v>
      </c>
      <c r="BC240" s="35">
        <f t="shared" si="135"/>
        <v>0</v>
      </c>
    </row>
    <row r="241" spans="1:55" s="35" customFormat="1" ht="16.5" customHeight="1" x14ac:dyDescent="0.35">
      <c r="A241" s="36">
        <v>38321</v>
      </c>
      <c r="B241" s="35" t="s">
        <v>588</v>
      </c>
      <c r="C241" s="35" t="s">
        <v>419</v>
      </c>
      <c r="D241" s="35" t="s">
        <v>577</v>
      </c>
      <c r="E241" s="35" t="s">
        <v>125</v>
      </c>
      <c r="F241" s="139">
        <f t="shared" si="108"/>
        <v>1</v>
      </c>
      <c r="G241" s="35">
        <v>190000000</v>
      </c>
      <c r="H241" s="139">
        <f t="shared" si="109"/>
        <v>8.2787536009528289</v>
      </c>
      <c r="I241" s="35">
        <f t="shared" si="143"/>
        <v>190000000</v>
      </c>
      <c r="J241" s="35">
        <v>0</v>
      </c>
      <c r="K241" s="36">
        <v>39304</v>
      </c>
      <c r="L241" s="35">
        <v>650000000</v>
      </c>
      <c r="M241" s="21">
        <f t="shared" si="110"/>
        <v>2.6931506849315068</v>
      </c>
      <c r="N241" s="21">
        <f t="shared" si="136"/>
        <v>0.43026065337566088</v>
      </c>
      <c r="O241" s="35">
        <v>787.45</v>
      </c>
      <c r="P241" s="35">
        <f t="shared" si="111"/>
        <v>2.8967741575094288</v>
      </c>
      <c r="Q241" s="35">
        <v>6</v>
      </c>
      <c r="R241" s="35">
        <f t="shared" si="112"/>
        <v>0.84509804001425681</v>
      </c>
      <c r="S241" s="45">
        <v>3.48</v>
      </c>
      <c r="T241" s="45">
        <f t="shared" si="137"/>
        <v>0.54157924394658097</v>
      </c>
      <c r="U241" s="175">
        <f t="shared" si="113"/>
        <v>2.4210526315789473</v>
      </c>
      <c r="V241" s="48">
        <f t="shared" si="114"/>
        <v>0.53415975569002661</v>
      </c>
      <c r="W241" s="35">
        <v>1895.918367346939</v>
      </c>
      <c r="X241" s="35">
        <f t="shared" si="115"/>
        <v>3.277819633965128</v>
      </c>
      <c r="Y241" s="35">
        <v>8519.3877551020414</v>
      </c>
      <c r="Z241" s="35">
        <f t="shared" si="116"/>
        <v>3.9304083853612104</v>
      </c>
      <c r="AA241" s="37">
        <v>76.3333333333333</v>
      </c>
      <c r="AB241" s="37">
        <f t="shared" si="117"/>
        <v>1.888366730171237</v>
      </c>
      <c r="AC241" s="35">
        <v>85</v>
      </c>
      <c r="AD241" s="35">
        <f t="shared" si="138"/>
        <v>1.9294189257142926</v>
      </c>
      <c r="AE241" s="48">
        <v>41.8</v>
      </c>
      <c r="AF241" s="48">
        <f t="shared" si="139"/>
        <v>1.6211762817750353</v>
      </c>
      <c r="AG241" s="43">
        <v>49.305577465499702</v>
      </c>
      <c r="AH241" s="43">
        <f t="shared" si="140"/>
        <v>1.6928960496115248</v>
      </c>
      <c r="AI241" s="39">
        <v>0.06</v>
      </c>
      <c r="AJ241" s="48">
        <f t="shared" si="118"/>
        <v>2.5305865264770262E-2</v>
      </c>
      <c r="AK241" s="35">
        <v>21</v>
      </c>
      <c r="AL241" s="35">
        <f t="shared" si="141"/>
        <v>1.3222192947339193</v>
      </c>
      <c r="AM241" s="35">
        <f t="shared" si="119"/>
        <v>0</v>
      </c>
      <c r="AN241" s="35">
        <f t="shared" si="120"/>
        <v>0</v>
      </c>
      <c r="AO241" s="35">
        <f t="shared" si="121"/>
        <v>0</v>
      </c>
      <c r="AP241" s="35">
        <f t="shared" si="122"/>
        <v>0</v>
      </c>
      <c r="AQ241" s="35">
        <f t="shared" si="123"/>
        <v>0</v>
      </c>
      <c r="AR241" s="35">
        <f t="shared" si="124"/>
        <v>0</v>
      </c>
      <c r="AS241" s="35">
        <f t="shared" si="125"/>
        <v>0</v>
      </c>
      <c r="AT241" s="35">
        <f t="shared" si="126"/>
        <v>0</v>
      </c>
      <c r="AU241" s="35">
        <f t="shared" si="127"/>
        <v>0</v>
      </c>
      <c r="AV241" s="35">
        <f t="shared" si="128"/>
        <v>0</v>
      </c>
      <c r="AW241" s="35">
        <f t="shared" si="129"/>
        <v>0</v>
      </c>
      <c r="AX241" s="35">
        <f t="shared" si="130"/>
        <v>0</v>
      </c>
      <c r="AY241" s="35">
        <f t="shared" si="131"/>
        <v>0</v>
      </c>
      <c r="AZ241" s="35">
        <f t="shared" si="132"/>
        <v>0</v>
      </c>
      <c r="BA241" s="35">
        <f t="shared" si="133"/>
        <v>0</v>
      </c>
      <c r="BB241" s="35">
        <f t="shared" si="134"/>
        <v>0</v>
      </c>
      <c r="BC241" s="35">
        <f t="shared" si="135"/>
        <v>1</v>
      </c>
    </row>
    <row r="242" spans="1:55" s="35" customFormat="1" ht="15.75" customHeight="1" x14ac:dyDescent="0.35">
      <c r="A242" s="36">
        <v>38324</v>
      </c>
      <c r="B242" s="35" t="s">
        <v>464</v>
      </c>
      <c r="C242" s="35" t="s">
        <v>163</v>
      </c>
      <c r="D242" s="35" t="s">
        <v>59</v>
      </c>
      <c r="E242" s="35" t="s">
        <v>125</v>
      </c>
      <c r="F242" s="139">
        <f t="shared" si="108"/>
        <v>1</v>
      </c>
      <c r="G242" s="35">
        <v>337000000</v>
      </c>
      <c r="H242" s="139">
        <f t="shared" si="109"/>
        <v>8.5276299008713394</v>
      </c>
      <c r="I242" s="35">
        <f t="shared" si="143"/>
        <v>337000000</v>
      </c>
      <c r="J242" s="35">
        <v>0</v>
      </c>
      <c r="K242" s="36">
        <v>39105</v>
      </c>
      <c r="L242" s="35">
        <v>367762353</v>
      </c>
      <c r="M242" s="21">
        <f t="shared" si="110"/>
        <v>2.1397260273972605</v>
      </c>
      <c r="N242" s="21">
        <f t="shared" si="136"/>
        <v>0.33035816942082569</v>
      </c>
      <c r="O242" s="35">
        <v>342.74</v>
      </c>
      <c r="P242" s="35">
        <f t="shared" si="111"/>
        <v>2.5362300726332561</v>
      </c>
      <c r="Q242" s="35">
        <v>27</v>
      </c>
      <c r="R242" s="35">
        <f t="shared" si="112"/>
        <v>1.4471580313422192</v>
      </c>
      <c r="S242" s="45">
        <v>2.3199999999999998</v>
      </c>
      <c r="T242" s="45">
        <f t="shared" si="137"/>
        <v>0.36548798489089962</v>
      </c>
      <c r="U242" s="175">
        <f t="shared" si="113"/>
        <v>9.1282946587537106E-2</v>
      </c>
      <c r="V242" s="48">
        <f t="shared" si="114"/>
        <v>3.7937368562579774E-2</v>
      </c>
      <c r="W242" s="35">
        <v>1248.0746999999999</v>
      </c>
      <c r="X242" s="35">
        <f t="shared" si="115"/>
        <v>3.0962405795987471</v>
      </c>
      <c r="Y242" s="35">
        <v>2518.2170000000001</v>
      </c>
      <c r="Z242" s="35">
        <f t="shared" si="116"/>
        <v>3.4010931514437841</v>
      </c>
      <c r="AA242" s="37">
        <v>569.16666666666697</v>
      </c>
      <c r="AB242" s="37">
        <f t="shared" si="117"/>
        <v>2.756001823801419</v>
      </c>
      <c r="AC242" s="35">
        <v>70</v>
      </c>
      <c r="AD242" s="35">
        <f t="shared" si="138"/>
        <v>1.8450980400142569</v>
      </c>
      <c r="AE242" s="48">
        <v>42.4</v>
      </c>
      <c r="AF242" s="48">
        <f t="shared" si="139"/>
        <v>1.6273658565927327</v>
      </c>
      <c r="AG242" s="43">
        <v>52.984855215816303</v>
      </c>
      <c r="AH242" s="43">
        <f t="shared" si="140"/>
        <v>1.7241517519382803</v>
      </c>
      <c r="AI242" s="39">
        <v>0.78</v>
      </c>
      <c r="AJ242" s="48">
        <f t="shared" si="118"/>
        <v>0.250420002308894</v>
      </c>
      <c r="AK242" s="35">
        <v>25</v>
      </c>
      <c r="AL242" s="35">
        <f t="shared" si="141"/>
        <v>1.3979400086720377</v>
      </c>
      <c r="AM242" s="35">
        <f t="shared" si="119"/>
        <v>0</v>
      </c>
      <c r="AN242" s="35">
        <f t="shared" si="120"/>
        <v>0</v>
      </c>
      <c r="AO242" s="35">
        <f t="shared" si="121"/>
        <v>0</v>
      </c>
      <c r="AP242" s="35">
        <f t="shared" si="122"/>
        <v>0</v>
      </c>
      <c r="AQ242" s="35">
        <f t="shared" si="123"/>
        <v>0</v>
      </c>
      <c r="AR242" s="35">
        <f t="shared" si="124"/>
        <v>0</v>
      </c>
      <c r="AS242" s="35">
        <f t="shared" si="125"/>
        <v>0</v>
      </c>
      <c r="AT242" s="35">
        <f t="shared" si="126"/>
        <v>1</v>
      </c>
      <c r="AU242" s="35">
        <f t="shared" si="127"/>
        <v>0</v>
      </c>
      <c r="AV242" s="35">
        <f t="shared" si="128"/>
        <v>0</v>
      </c>
      <c r="AW242" s="35">
        <f t="shared" si="129"/>
        <v>0</v>
      </c>
      <c r="AX242" s="35">
        <f t="shared" si="130"/>
        <v>0</v>
      </c>
      <c r="AY242" s="35">
        <f t="shared" si="131"/>
        <v>0</v>
      </c>
      <c r="AZ242" s="35">
        <f t="shared" si="132"/>
        <v>0</v>
      </c>
      <c r="BA242" s="35">
        <f t="shared" si="133"/>
        <v>0</v>
      </c>
      <c r="BB242" s="35">
        <f t="shared" si="134"/>
        <v>0</v>
      </c>
      <c r="BC242" s="35">
        <f t="shared" si="135"/>
        <v>0</v>
      </c>
    </row>
    <row r="243" spans="1:55" s="35" customFormat="1" ht="15" customHeight="1" x14ac:dyDescent="0.35">
      <c r="A243" s="36">
        <v>38334</v>
      </c>
      <c r="B243" s="35" t="s">
        <v>1142</v>
      </c>
      <c r="C243" s="35" t="s">
        <v>59</v>
      </c>
      <c r="D243" s="35" t="s">
        <v>577</v>
      </c>
      <c r="E243" s="35" t="s">
        <v>47</v>
      </c>
      <c r="F243" s="139">
        <f t="shared" si="108"/>
        <v>0</v>
      </c>
      <c r="G243" s="35">
        <v>64000000</v>
      </c>
      <c r="H243" s="139">
        <f t="shared" si="109"/>
        <v>7.8061799739838875</v>
      </c>
      <c r="I243" s="35">
        <f t="shared" si="143"/>
        <v>64000000</v>
      </c>
      <c r="J243" s="35">
        <v>0</v>
      </c>
      <c r="K243" s="36">
        <v>40290</v>
      </c>
      <c r="L243" s="35">
        <v>0</v>
      </c>
      <c r="M243" s="21">
        <f t="shared" si="110"/>
        <v>5.3589041095890408</v>
      </c>
      <c r="N243" s="21">
        <f t="shared" si="136"/>
        <v>0.72907598599510792</v>
      </c>
      <c r="O243" s="35">
        <v>0</v>
      </c>
      <c r="P243" s="35">
        <f t="shared" si="111"/>
        <v>0</v>
      </c>
      <c r="Q243" s="35">
        <v>40</v>
      </c>
      <c r="R243" s="35">
        <f t="shared" si="112"/>
        <v>1.6127838567197355</v>
      </c>
      <c r="S243" s="45">
        <v>3.29</v>
      </c>
      <c r="T243" s="45">
        <f t="shared" si="137"/>
        <v>0.51719589794997434</v>
      </c>
      <c r="U243" s="175">
        <f t="shared" si="113"/>
        <v>-1</v>
      </c>
      <c r="V243" s="48">
        <f t="shared" si="114"/>
        <v>-1</v>
      </c>
      <c r="W243" s="35">
        <v>1801.1079999999999</v>
      </c>
      <c r="X243" s="35">
        <f t="shared" si="115"/>
        <v>3.2555397552391718</v>
      </c>
      <c r="Y243" s="35">
        <v>8416.6209999999992</v>
      </c>
      <c r="Z243" s="35">
        <f t="shared" si="116"/>
        <v>3.9251377713585649</v>
      </c>
      <c r="AA243" s="35">
        <v>0</v>
      </c>
      <c r="AB243" s="37">
        <f t="shared" si="117"/>
        <v>0</v>
      </c>
      <c r="AC243" s="35">
        <v>85</v>
      </c>
      <c r="AD243" s="35">
        <f t="shared" si="138"/>
        <v>1.9294189257142926</v>
      </c>
      <c r="AE243" s="48">
        <v>32.299999999999997</v>
      </c>
      <c r="AF243" s="48">
        <f t="shared" si="139"/>
        <v>1.5092025223311027</v>
      </c>
      <c r="AG243" s="43">
        <v>40.040400531970803</v>
      </c>
      <c r="AH243" s="43">
        <f t="shared" si="140"/>
        <v>1.6024984131617945</v>
      </c>
      <c r="AI243" s="39">
        <v>0.28000000000000003</v>
      </c>
      <c r="AJ243" s="48">
        <f t="shared" si="118"/>
        <v>0.10720996964786837</v>
      </c>
      <c r="AK243" s="35">
        <v>28</v>
      </c>
      <c r="AL243" s="35">
        <f t="shared" si="141"/>
        <v>1.4471580313422192</v>
      </c>
      <c r="AM243" s="35">
        <f t="shared" si="119"/>
        <v>1</v>
      </c>
      <c r="AN243" s="35">
        <f t="shared" si="120"/>
        <v>0</v>
      </c>
      <c r="AO243" s="35">
        <f t="shared" si="121"/>
        <v>1</v>
      </c>
      <c r="AP243" s="35">
        <f t="shared" si="122"/>
        <v>0</v>
      </c>
      <c r="AQ243" s="35">
        <f t="shared" si="123"/>
        <v>0</v>
      </c>
      <c r="AR243" s="35">
        <f t="shared" si="124"/>
        <v>0</v>
      </c>
      <c r="AS243" s="35">
        <f t="shared" si="125"/>
        <v>0</v>
      </c>
      <c r="AT243" s="35">
        <f t="shared" si="126"/>
        <v>0</v>
      </c>
      <c r="AU243" s="35">
        <f t="shared" si="127"/>
        <v>0</v>
      </c>
      <c r="AV243" s="35">
        <f t="shared" si="128"/>
        <v>0</v>
      </c>
      <c r="AW243" s="35">
        <f t="shared" si="129"/>
        <v>0</v>
      </c>
      <c r="AX243" s="35">
        <f t="shared" si="130"/>
        <v>0</v>
      </c>
      <c r="AY243" s="35">
        <f t="shared" si="131"/>
        <v>0</v>
      </c>
      <c r="AZ243" s="35">
        <f t="shared" si="132"/>
        <v>0</v>
      </c>
      <c r="BA243" s="35">
        <f t="shared" si="133"/>
        <v>0</v>
      </c>
      <c r="BB243" s="35">
        <f t="shared" si="134"/>
        <v>0</v>
      </c>
      <c r="BC243" s="35">
        <f t="shared" si="135"/>
        <v>0</v>
      </c>
    </row>
    <row r="244" spans="1:55" s="35" customFormat="1" x14ac:dyDescent="0.35">
      <c r="A244" s="36">
        <v>38335</v>
      </c>
      <c r="B244" s="35" t="s">
        <v>1234</v>
      </c>
      <c r="C244" s="35" t="s">
        <v>45</v>
      </c>
      <c r="D244" s="35" t="s">
        <v>602</v>
      </c>
      <c r="E244" s="35" t="s">
        <v>47</v>
      </c>
      <c r="F244" s="139">
        <f t="shared" si="108"/>
        <v>0</v>
      </c>
      <c r="G244" s="35">
        <v>3602100000</v>
      </c>
      <c r="H244" s="139">
        <f t="shared" si="109"/>
        <v>9.5565557653534068</v>
      </c>
      <c r="I244" s="35">
        <f>G244+J244</f>
        <v>3557540000</v>
      </c>
      <c r="J244" s="35">
        <v>-44560000</v>
      </c>
      <c r="K244" s="36">
        <v>38750</v>
      </c>
      <c r="L244" s="35">
        <v>5800000000</v>
      </c>
      <c r="M244" s="21">
        <f t="shared" si="110"/>
        <v>1.1369863013698631</v>
      </c>
      <c r="N244" s="21">
        <f t="shared" si="136"/>
        <v>5.5755232255618042E-2</v>
      </c>
      <c r="O244" s="35">
        <v>0</v>
      </c>
      <c r="P244" s="35">
        <f t="shared" si="111"/>
        <v>0</v>
      </c>
      <c r="Q244" s="35">
        <v>3</v>
      </c>
      <c r="R244" s="35">
        <f t="shared" si="112"/>
        <v>0.6020599913279624</v>
      </c>
      <c r="S244" s="45">
        <v>2.95</v>
      </c>
      <c r="T244" s="45">
        <f t="shared" si="137"/>
        <v>0.46982201597816303</v>
      </c>
      <c r="U244" s="175">
        <f t="shared" si="113"/>
        <v>0.61017184420199322</v>
      </c>
      <c r="V244" s="48">
        <f t="shared" si="114"/>
        <v>0.20687222820953113</v>
      </c>
      <c r="W244" s="35">
        <v>1455.046</v>
      </c>
      <c r="X244" s="35">
        <f t="shared" si="115"/>
        <v>3.1628767233771686</v>
      </c>
      <c r="Y244" s="35">
        <v>4062.5129999999999</v>
      </c>
      <c r="Z244" s="35">
        <f t="shared" si="116"/>
        <v>3.6087947637270492</v>
      </c>
      <c r="AA244" s="35">
        <v>0</v>
      </c>
      <c r="AB244" s="37">
        <f t="shared" si="117"/>
        <v>0</v>
      </c>
      <c r="AC244" s="35">
        <v>85</v>
      </c>
      <c r="AD244" s="35">
        <f t="shared" si="138"/>
        <v>1.9294189257142926</v>
      </c>
      <c r="AE244" s="48">
        <v>24.6</v>
      </c>
      <c r="AF244" s="48">
        <f t="shared" si="139"/>
        <v>1.3909351071033791</v>
      </c>
      <c r="AG244" s="43">
        <v>36.876470987978301</v>
      </c>
      <c r="AH244" s="43">
        <f t="shared" si="140"/>
        <v>1.5667493531684615</v>
      </c>
      <c r="AI244" s="39">
        <v>0.1</v>
      </c>
      <c r="AJ244" s="48">
        <f t="shared" si="118"/>
        <v>4.1392685158225077E-2</v>
      </c>
      <c r="AK244" s="35">
        <v>19</v>
      </c>
      <c r="AL244" s="35">
        <f t="shared" si="141"/>
        <v>1.2787536009528289</v>
      </c>
      <c r="AM244" s="35">
        <f t="shared" si="119"/>
        <v>0</v>
      </c>
      <c r="AN244" s="35">
        <f t="shared" si="120"/>
        <v>1</v>
      </c>
      <c r="AO244" s="35">
        <f t="shared" si="121"/>
        <v>0</v>
      </c>
      <c r="AP244" s="35">
        <f t="shared" si="122"/>
        <v>0</v>
      </c>
      <c r="AQ244" s="35">
        <f t="shared" si="123"/>
        <v>0</v>
      </c>
      <c r="AR244" s="35">
        <f t="shared" si="124"/>
        <v>0</v>
      </c>
      <c r="AS244" s="35">
        <f t="shared" si="125"/>
        <v>0</v>
      </c>
      <c r="AT244" s="35">
        <f t="shared" si="126"/>
        <v>0</v>
      </c>
      <c r="AU244" s="35">
        <f t="shared" si="127"/>
        <v>0</v>
      </c>
      <c r="AV244" s="35">
        <f t="shared" si="128"/>
        <v>0</v>
      </c>
      <c r="AW244" s="35">
        <f t="shared" si="129"/>
        <v>0</v>
      </c>
      <c r="AX244" s="35">
        <f t="shared" si="130"/>
        <v>0</v>
      </c>
      <c r="AY244" s="35">
        <f t="shared" si="131"/>
        <v>0</v>
      </c>
      <c r="AZ244" s="35">
        <f t="shared" si="132"/>
        <v>0</v>
      </c>
      <c r="BA244" s="35">
        <f t="shared" si="133"/>
        <v>0</v>
      </c>
      <c r="BB244" s="35">
        <f t="shared" si="134"/>
        <v>0</v>
      </c>
      <c r="BC244" s="35">
        <f t="shared" si="135"/>
        <v>0</v>
      </c>
    </row>
    <row r="245" spans="1:55" s="35" customFormat="1" x14ac:dyDescent="0.35">
      <c r="A245" s="36">
        <v>38337</v>
      </c>
      <c r="B245" s="35" t="s">
        <v>271</v>
      </c>
      <c r="C245" s="35" t="s">
        <v>4</v>
      </c>
      <c r="D245" s="35" t="s">
        <v>59</v>
      </c>
      <c r="E245" s="35" t="s">
        <v>125</v>
      </c>
      <c r="F245" s="139">
        <f t="shared" si="108"/>
        <v>1</v>
      </c>
      <c r="G245" s="35">
        <v>465000000</v>
      </c>
      <c r="H245" s="139">
        <f t="shared" si="109"/>
        <v>8.6674529528899544</v>
      </c>
      <c r="I245" s="35">
        <f>G245</f>
        <v>465000000</v>
      </c>
      <c r="J245" s="35">
        <v>0</v>
      </c>
      <c r="K245" s="36">
        <v>39263</v>
      </c>
      <c r="L245" s="35">
        <v>1200000000</v>
      </c>
      <c r="M245" s="21">
        <f t="shared" si="110"/>
        <v>2.536986301369863</v>
      </c>
      <c r="N245" s="21">
        <f t="shared" si="136"/>
        <v>0.40431812222545965</v>
      </c>
      <c r="O245" s="35">
        <v>1433.25</v>
      </c>
      <c r="P245" s="35">
        <f t="shared" si="111"/>
        <v>3.1566248585544785</v>
      </c>
      <c r="Q245" s="35">
        <v>62</v>
      </c>
      <c r="R245" s="35">
        <f t="shared" si="112"/>
        <v>1.7993405494535817</v>
      </c>
      <c r="S245" s="45">
        <v>3.03</v>
      </c>
      <c r="T245" s="45">
        <f t="shared" si="137"/>
        <v>0.48144262850230496</v>
      </c>
      <c r="U245" s="175">
        <f t="shared" si="113"/>
        <v>1.5806451612903225</v>
      </c>
      <c r="V245" s="48">
        <f t="shared" si="114"/>
        <v>0.4117282931576709</v>
      </c>
      <c r="W245" s="176">
        <v>1709.090909090909</v>
      </c>
      <c r="X245" s="35">
        <f t="shared" si="115"/>
        <v>3.2327651641054547</v>
      </c>
      <c r="Y245" s="35">
        <v>8968.5950413223145</v>
      </c>
      <c r="Z245" s="35">
        <f t="shared" si="116"/>
        <v>3.9527244147731087</v>
      </c>
      <c r="AA245" s="37">
        <v>697</v>
      </c>
      <c r="AB245" s="37">
        <f t="shared" si="117"/>
        <v>2.8438554226231609</v>
      </c>
      <c r="AC245" s="35">
        <v>70</v>
      </c>
      <c r="AD245" s="35">
        <f t="shared" si="138"/>
        <v>1.8450980400142569</v>
      </c>
      <c r="AE245" s="48">
        <v>45.7</v>
      </c>
      <c r="AF245" s="48">
        <f t="shared" si="139"/>
        <v>1.6599162000698502</v>
      </c>
      <c r="AG245" s="43">
        <v>52.379377176281302</v>
      </c>
      <c r="AH245" s="43">
        <f t="shared" si="140"/>
        <v>1.7191603300855409</v>
      </c>
      <c r="AI245" s="39">
        <v>0.65</v>
      </c>
      <c r="AJ245" s="48">
        <f t="shared" si="118"/>
        <v>0.21748394421390627</v>
      </c>
      <c r="AK245" s="35">
        <v>18</v>
      </c>
      <c r="AL245" s="35">
        <f t="shared" si="141"/>
        <v>1.255272505103306</v>
      </c>
      <c r="AM245" s="35">
        <f t="shared" si="119"/>
        <v>0</v>
      </c>
      <c r="AN245" s="35">
        <f t="shared" si="120"/>
        <v>0</v>
      </c>
      <c r="AO245" s="35">
        <f t="shared" si="121"/>
        <v>0</v>
      </c>
      <c r="AP245" s="35">
        <f t="shared" si="122"/>
        <v>0</v>
      </c>
      <c r="AQ245" s="35">
        <f t="shared" si="123"/>
        <v>0</v>
      </c>
      <c r="AR245" s="35">
        <f t="shared" si="124"/>
        <v>1</v>
      </c>
      <c r="AS245" s="35">
        <f t="shared" si="125"/>
        <v>0</v>
      </c>
      <c r="AT245" s="35">
        <f t="shared" si="126"/>
        <v>0</v>
      </c>
      <c r="AU245" s="35">
        <f t="shared" si="127"/>
        <v>0</v>
      </c>
      <c r="AV245" s="35">
        <f t="shared" si="128"/>
        <v>0</v>
      </c>
      <c r="AW245" s="35">
        <f t="shared" si="129"/>
        <v>0</v>
      </c>
      <c r="AX245" s="35">
        <f t="shared" si="130"/>
        <v>0</v>
      </c>
      <c r="AY245" s="35">
        <f t="shared" si="131"/>
        <v>0</v>
      </c>
      <c r="AZ245" s="35">
        <f t="shared" si="132"/>
        <v>0</v>
      </c>
      <c r="BA245" s="35">
        <f t="shared" si="133"/>
        <v>0</v>
      </c>
      <c r="BB245" s="35">
        <f t="shared" si="134"/>
        <v>0</v>
      </c>
      <c r="BC245" s="35">
        <f t="shared" si="135"/>
        <v>0</v>
      </c>
    </row>
    <row r="246" spans="1:55" s="35" customFormat="1" x14ac:dyDescent="0.35">
      <c r="A246" s="36">
        <v>38341</v>
      </c>
      <c r="B246" s="35" t="s">
        <v>412</v>
      </c>
      <c r="C246" s="35" t="s">
        <v>3</v>
      </c>
      <c r="D246" s="35" t="s">
        <v>4</v>
      </c>
      <c r="E246" s="35" t="s">
        <v>125</v>
      </c>
      <c r="F246" s="139">
        <f t="shared" si="108"/>
        <v>1</v>
      </c>
      <c r="G246" s="35">
        <v>712065680</v>
      </c>
      <c r="H246" s="139">
        <f t="shared" si="109"/>
        <v>8.852520054235173</v>
      </c>
      <c r="I246" s="35">
        <f>G246</f>
        <v>712065680</v>
      </c>
      <c r="J246" s="35">
        <v>0</v>
      </c>
      <c r="K246" s="36">
        <v>40661</v>
      </c>
      <c r="L246" s="35">
        <f>(373133797+608192429)</f>
        <v>981326226</v>
      </c>
      <c r="M246" s="21">
        <f t="shared" si="110"/>
        <v>6.3561643835616435</v>
      </c>
      <c r="N246" s="21">
        <f t="shared" si="136"/>
        <v>0.80319512043442498</v>
      </c>
      <c r="O246" s="35">
        <v>522.27</v>
      </c>
      <c r="P246" s="35">
        <f t="shared" si="111"/>
        <v>2.7187258365781268</v>
      </c>
      <c r="Q246" s="35">
        <v>98</v>
      </c>
      <c r="R246" s="35">
        <f t="shared" si="112"/>
        <v>1.9956351945975499</v>
      </c>
      <c r="S246" s="45">
        <v>3.58</v>
      </c>
      <c r="T246" s="45">
        <f t="shared" si="137"/>
        <v>0.55388302664387434</v>
      </c>
      <c r="U246" s="175">
        <f t="shared" si="113"/>
        <v>0.37814004180063843</v>
      </c>
      <c r="V246" s="48">
        <f t="shared" si="114"/>
        <v>0.13929335130964862</v>
      </c>
      <c r="W246" s="35">
        <v>1630.2786555587475</v>
      </c>
      <c r="X246" s="35">
        <f t="shared" si="115"/>
        <v>3.212261842580872</v>
      </c>
      <c r="Y246" s="35">
        <v>8569.3766159149673</v>
      </c>
      <c r="Z246" s="35">
        <f t="shared" si="116"/>
        <v>3.9329492300777744</v>
      </c>
      <c r="AA246" s="37">
        <v>1232.1666666666699</v>
      </c>
      <c r="AB246" s="37">
        <f t="shared" si="117"/>
        <v>3.0910217769380406</v>
      </c>
      <c r="AC246" s="35">
        <v>100</v>
      </c>
      <c r="AD246" s="35">
        <f t="shared" si="138"/>
        <v>2</v>
      </c>
      <c r="AE246" s="48">
        <v>46.4</v>
      </c>
      <c r="AF246" s="48">
        <f t="shared" si="139"/>
        <v>1.6665179805548809</v>
      </c>
      <c r="AG246" s="43">
        <v>52.997375167745602</v>
      </c>
      <c r="AH246" s="43">
        <f t="shared" si="140"/>
        <v>1.7242543605745053</v>
      </c>
      <c r="AI246" s="39">
        <v>-0.21</v>
      </c>
      <c r="AJ246" s="48">
        <f t="shared" si="118"/>
        <v>-0.10237290870955855</v>
      </c>
      <c r="AK246" s="35">
        <v>15</v>
      </c>
      <c r="AL246" s="35">
        <f t="shared" si="141"/>
        <v>1.1760912590556813</v>
      </c>
      <c r="AM246" s="35">
        <f t="shared" si="119"/>
        <v>0</v>
      </c>
      <c r="AN246" s="35">
        <f t="shared" si="120"/>
        <v>0</v>
      </c>
      <c r="AO246" s="35">
        <f t="shared" si="121"/>
        <v>0</v>
      </c>
      <c r="AP246" s="35">
        <f t="shared" si="122"/>
        <v>0</v>
      </c>
      <c r="AQ246" s="35">
        <f t="shared" si="123"/>
        <v>1</v>
      </c>
      <c r="AR246" s="35">
        <f t="shared" si="124"/>
        <v>0</v>
      </c>
      <c r="AS246" s="35">
        <f t="shared" si="125"/>
        <v>0</v>
      </c>
      <c r="AT246" s="35">
        <f t="shared" si="126"/>
        <v>0</v>
      </c>
      <c r="AU246" s="35">
        <f t="shared" si="127"/>
        <v>0</v>
      </c>
      <c r="AV246" s="35">
        <f t="shared" si="128"/>
        <v>0</v>
      </c>
      <c r="AW246" s="35">
        <f t="shared" si="129"/>
        <v>0</v>
      </c>
      <c r="AX246" s="35">
        <f t="shared" si="130"/>
        <v>0</v>
      </c>
      <c r="AY246" s="35">
        <f t="shared" si="131"/>
        <v>0</v>
      </c>
      <c r="AZ246" s="35">
        <f t="shared" si="132"/>
        <v>0</v>
      </c>
      <c r="BA246" s="35">
        <f t="shared" si="133"/>
        <v>0</v>
      </c>
      <c r="BB246" s="35">
        <f t="shared" si="134"/>
        <v>0</v>
      </c>
      <c r="BC246" s="35">
        <f t="shared" si="135"/>
        <v>0</v>
      </c>
    </row>
    <row r="247" spans="1:55" s="35" customFormat="1" x14ac:dyDescent="0.35">
      <c r="A247" s="36">
        <v>38341</v>
      </c>
      <c r="B247" s="35" t="s">
        <v>660</v>
      </c>
      <c r="C247" s="35" t="s">
        <v>2</v>
      </c>
      <c r="D247" s="35" t="s">
        <v>602</v>
      </c>
      <c r="E247" s="35" t="s">
        <v>64</v>
      </c>
      <c r="F247" s="139">
        <f t="shared" si="108"/>
        <v>1</v>
      </c>
      <c r="G247" s="35">
        <v>600000000</v>
      </c>
      <c r="H247" s="139">
        <f t="shared" si="109"/>
        <v>8.7781512503836439</v>
      </c>
      <c r="I247" s="35">
        <f>G247</f>
        <v>600000000</v>
      </c>
      <c r="J247" s="35">
        <v>0</v>
      </c>
      <c r="K247" s="36">
        <v>39554</v>
      </c>
      <c r="L247" s="35">
        <v>702523596</v>
      </c>
      <c r="M247" s="21">
        <f t="shared" si="110"/>
        <v>3.3232876712328765</v>
      </c>
      <c r="N247" s="21">
        <f t="shared" si="136"/>
        <v>0.52156793641009824</v>
      </c>
      <c r="O247" s="35">
        <v>6815.73</v>
      </c>
      <c r="P247" s="35">
        <f t="shared" si="111"/>
        <v>3.8335760926148099</v>
      </c>
      <c r="Q247" s="35">
        <v>140</v>
      </c>
      <c r="R247" s="35">
        <f t="shared" si="112"/>
        <v>2.1492191126553797</v>
      </c>
      <c r="S247" s="45">
        <v>2.85</v>
      </c>
      <c r="T247" s="45">
        <f t="shared" si="137"/>
        <v>0.45484486000851021</v>
      </c>
      <c r="U247" s="175">
        <f t="shared" si="113"/>
        <v>0.1708726599999999</v>
      </c>
      <c r="V247" s="48">
        <f t="shared" si="114"/>
        <v>6.8509665297384587E-2</v>
      </c>
      <c r="W247" s="35">
        <v>2315.9650000000001</v>
      </c>
      <c r="X247" s="35">
        <f t="shared" si="115"/>
        <v>3.3647319918335836</v>
      </c>
      <c r="Y247" s="35">
        <v>3703.9029999999998</v>
      </c>
      <c r="Z247" s="35">
        <f t="shared" si="116"/>
        <v>3.568659604598353</v>
      </c>
      <c r="AA247" s="37">
        <v>819</v>
      </c>
      <c r="AB247" s="37">
        <f t="shared" si="117"/>
        <v>2.9138138523837167</v>
      </c>
      <c r="AC247" s="35">
        <v>70</v>
      </c>
      <c r="AD247" s="35">
        <f t="shared" si="138"/>
        <v>1.8450980400142569</v>
      </c>
      <c r="AE247" s="48">
        <v>33.9</v>
      </c>
      <c r="AF247" s="48">
        <f t="shared" si="139"/>
        <v>1.5301996982030821</v>
      </c>
      <c r="AG247" s="43">
        <v>46.312020505412598</v>
      </c>
      <c r="AH247" s="43">
        <f t="shared" si="140"/>
        <v>1.6656937288498501</v>
      </c>
      <c r="AI247" s="39">
        <v>0.51</v>
      </c>
      <c r="AJ247" s="48">
        <f t="shared" si="118"/>
        <v>0.17897694729316943</v>
      </c>
      <c r="AK247" s="35">
        <v>12</v>
      </c>
      <c r="AL247" s="35">
        <f t="shared" si="141"/>
        <v>1.0791812460476249</v>
      </c>
      <c r="AM247" s="35">
        <f t="shared" si="119"/>
        <v>0</v>
      </c>
      <c r="AN247" s="35">
        <f t="shared" si="120"/>
        <v>0</v>
      </c>
      <c r="AO247" s="35">
        <f t="shared" si="121"/>
        <v>0</v>
      </c>
      <c r="AP247" s="35">
        <f t="shared" si="122"/>
        <v>0</v>
      </c>
      <c r="AQ247" s="35">
        <f t="shared" si="123"/>
        <v>0</v>
      </c>
      <c r="AR247" s="35">
        <f t="shared" si="124"/>
        <v>0</v>
      </c>
      <c r="AS247" s="35">
        <f t="shared" si="125"/>
        <v>0</v>
      </c>
      <c r="AT247" s="35">
        <f t="shared" si="126"/>
        <v>0</v>
      </c>
      <c r="AU247" s="35">
        <f t="shared" si="127"/>
        <v>0</v>
      </c>
      <c r="AV247" s="35">
        <f t="shared" si="128"/>
        <v>1</v>
      </c>
      <c r="AW247" s="35">
        <f t="shared" si="129"/>
        <v>0</v>
      </c>
      <c r="AX247" s="35">
        <f t="shared" si="130"/>
        <v>0</v>
      </c>
      <c r="AY247" s="35">
        <f t="shared" si="131"/>
        <v>0</v>
      </c>
      <c r="AZ247" s="35">
        <f t="shared" si="132"/>
        <v>0</v>
      </c>
      <c r="BA247" s="35">
        <f t="shared" si="133"/>
        <v>0</v>
      </c>
      <c r="BB247" s="35">
        <f t="shared" si="134"/>
        <v>0</v>
      </c>
      <c r="BC247" s="35">
        <f t="shared" si="135"/>
        <v>0</v>
      </c>
    </row>
    <row r="248" spans="1:55" s="35" customFormat="1" x14ac:dyDescent="0.35">
      <c r="A248" s="36">
        <v>38342</v>
      </c>
      <c r="B248" s="35" t="s">
        <v>211</v>
      </c>
      <c r="C248" s="35" t="s">
        <v>2</v>
      </c>
      <c r="D248" s="35" t="s">
        <v>45</v>
      </c>
      <c r="E248" s="139" t="s">
        <v>64</v>
      </c>
      <c r="F248" s="139">
        <f t="shared" si="108"/>
        <v>1</v>
      </c>
      <c r="G248" s="35">
        <v>300000000</v>
      </c>
      <c r="H248" s="139">
        <f t="shared" si="109"/>
        <v>8.4771212547196626</v>
      </c>
      <c r="I248" s="35">
        <v>300000000</v>
      </c>
      <c r="J248" s="35">
        <v>0</v>
      </c>
      <c r="K248" s="36">
        <v>39311</v>
      </c>
      <c r="L248" s="35">
        <v>708760000</v>
      </c>
      <c r="M248" s="21">
        <f t="shared" si="110"/>
        <v>2.6547945205479451</v>
      </c>
      <c r="N248" s="21">
        <f t="shared" si="136"/>
        <v>0.4240309125942906</v>
      </c>
      <c r="O248" s="35">
        <v>6815.73</v>
      </c>
      <c r="P248" s="35">
        <f t="shared" si="111"/>
        <v>3.8335760926148099</v>
      </c>
      <c r="Q248" s="35">
        <v>1</v>
      </c>
      <c r="R248" s="35">
        <f t="shared" si="112"/>
        <v>0.3010299956639812</v>
      </c>
      <c r="S248" s="45">
        <v>2.85</v>
      </c>
      <c r="T248" s="45">
        <f t="shared" si="137"/>
        <v>0.45484486000851021</v>
      </c>
      <c r="U248" s="175">
        <f t="shared" si="113"/>
        <v>1.3625333333333334</v>
      </c>
      <c r="V248" s="48">
        <f t="shared" si="114"/>
        <v>0.37337794474981029</v>
      </c>
      <c r="W248" s="35">
        <v>1246.953</v>
      </c>
      <c r="X248" s="35">
        <f t="shared" si="115"/>
        <v>3.0958500844125241</v>
      </c>
      <c r="Y248" s="35">
        <v>3219.7179999999998</v>
      </c>
      <c r="Z248" s="35">
        <f t="shared" si="116"/>
        <v>3.5078178355445662</v>
      </c>
      <c r="AA248" s="37">
        <v>819</v>
      </c>
      <c r="AB248" s="37">
        <f t="shared" si="117"/>
        <v>2.9138138523837167</v>
      </c>
      <c r="AC248" s="35">
        <v>70</v>
      </c>
      <c r="AD248" s="35">
        <f t="shared" si="138"/>
        <v>1.8450980400142569</v>
      </c>
      <c r="AE248" s="48">
        <v>33.9</v>
      </c>
      <c r="AF248" s="48">
        <f t="shared" si="139"/>
        <v>1.5301996982030821</v>
      </c>
      <c r="AG248" s="43">
        <v>46.312020505412598</v>
      </c>
      <c r="AH248" s="43">
        <f t="shared" si="140"/>
        <v>1.6656937288498501</v>
      </c>
      <c r="AI248" s="39">
        <v>-0.19</v>
      </c>
      <c r="AJ248" s="48">
        <f t="shared" si="118"/>
        <v>-9.1514981121350217E-2</v>
      </c>
      <c r="AK248" s="35">
        <v>22</v>
      </c>
      <c r="AL248" s="35">
        <f t="shared" si="141"/>
        <v>1.3424226808222062</v>
      </c>
      <c r="AM248" s="35">
        <f t="shared" si="119"/>
        <v>0</v>
      </c>
      <c r="AN248" s="35">
        <f t="shared" si="120"/>
        <v>0</v>
      </c>
      <c r="AO248" s="35">
        <f t="shared" si="121"/>
        <v>0</v>
      </c>
      <c r="AP248" s="35">
        <f t="shared" si="122"/>
        <v>0</v>
      </c>
      <c r="AQ248" s="35">
        <f t="shared" si="123"/>
        <v>0</v>
      </c>
      <c r="AR248" s="35">
        <f t="shared" si="124"/>
        <v>0</v>
      </c>
      <c r="AS248" s="35">
        <f t="shared" si="125"/>
        <v>0</v>
      </c>
      <c r="AT248" s="35">
        <f t="shared" si="126"/>
        <v>0</v>
      </c>
      <c r="AU248" s="35">
        <f t="shared" si="127"/>
        <v>0</v>
      </c>
      <c r="AV248" s="35">
        <f t="shared" si="128"/>
        <v>1</v>
      </c>
      <c r="AW248" s="35">
        <f t="shared" si="129"/>
        <v>0</v>
      </c>
      <c r="AX248" s="35">
        <f t="shared" si="130"/>
        <v>0</v>
      </c>
      <c r="AY248" s="35">
        <f t="shared" si="131"/>
        <v>0</v>
      </c>
      <c r="AZ248" s="35">
        <f t="shared" si="132"/>
        <v>0</v>
      </c>
      <c r="BA248" s="35">
        <f t="shared" si="133"/>
        <v>0</v>
      </c>
      <c r="BB248" s="35">
        <f t="shared" si="134"/>
        <v>0</v>
      </c>
      <c r="BC248" s="35">
        <f t="shared" si="135"/>
        <v>0</v>
      </c>
    </row>
    <row r="249" spans="1:55" s="35" customFormat="1" x14ac:dyDescent="0.35">
      <c r="A249" s="36">
        <v>38343</v>
      </c>
      <c r="B249" s="35" t="s">
        <v>978</v>
      </c>
      <c r="C249" s="35" t="s">
        <v>434</v>
      </c>
      <c r="D249" s="35" t="s">
        <v>45</v>
      </c>
      <c r="E249" s="35" t="s">
        <v>64</v>
      </c>
      <c r="F249" s="139">
        <f t="shared" si="108"/>
        <v>1</v>
      </c>
      <c r="G249" s="35">
        <v>200000000</v>
      </c>
      <c r="H249" s="139">
        <f t="shared" si="109"/>
        <v>8.3010299956639813</v>
      </c>
      <c r="I249" s="35">
        <f>G249</f>
        <v>200000000</v>
      </c>
      <c r="J249" s="35">
        <v>0</v>
      </c>
      <c r="K249" s="36">
        <v>40450</v>
      </c>
      <c r="L249" s="35">
        <v>470145833</v>
      </c>
      <c r="M249" s="21">
        <f t="shared" si="110"/>
        <v>5.7726027397260271</v>
      </c>
      <c r="N249" s="21">
        <f t="shared" si="136"/>
        <v>0.76137167115162541</v>
      </c>
      <c r="O249" s="35">
        <v>7216.98</v>
      </c>
      <c r="P249" s="35">
        <f t="shared" si="111"/>
        <v>3.8584156743566731</v>
      </c>
      <c r="Q249" s="35">
        <v>25</v>
      </c>
      <c r="R249" s="35">
        <f t="shared" si="112"/>
        <v>1.414973347970818</v>
      </c>
      <c r="S249" s="45">
        <v>2.66</v>
      </c>
      <c r="T249" s="45">
        <f t="shared" si="137"/>
        <v>0.42488163663106698</v>
      </c>
      <c r="U249" s="175">
        <f t="shared" si="113"/>
        <v>1.3507291650000002</v>
      </c>
      <c r="V249" s="48">
        <f t="shared" si="114"/>
        <v>0.37120259555558283</v>
      </c>
      <c r="W249" s="35">
        <v>1618.5219999999999</v>
      </c>
      <c r="X249" s="35">
        <f t="shared" si="115"/>
        <v>3.20911860699078</v>
      </c>
      <c r="Y249" s="35">
        <v>3845.9059999999999</v>
      </c>
      <c r="Z249" s="35">
        <f t="shared" si="116"/>
        <v>3.5849986651910224</v>
      </c>
      <c r="AA249" s="37">
        <v>649.83333333333303</v>
      </c>
      <c r="AB249" s="37">
        <f t="shared" si="117"/>
        <v>2.8134697878296753</v>
      </c>
      <c r="AC249" s="35">
        <v>70</v>
      </c>
      <c r="AD249" s="35">
        <f t="shared" si="138"/>
        <v>1.8450980400142569</v>
      </c>
      <c r="AE249" s="48">
        <v>39.33</v>
      </c>
      <c r="AF249" s="48">
        <f t="shared" si="139"/>
        <v>1.5947239464097467</v>
      </c>
      <c r="AG249" s="43">
        <v>46.838198746764199</v>
      </c>
      <c r="AH249" s="43">
        <f t="shared" si="140"/>
        <v>1.6706001850898524</v>
      </c>
      <c r="AI249" s="39">
        <v>0.18</v>
      </c>
      <c r="AJ249" s="48">
        <f t="shared" si="118"/>
        <v>7.1882007306125359E-2</v>
      </c>
      <c r="AK249" s="35">
        <v>20</v>
      </c>
      <c r="AL249" s="35">
        <f t="shared" si="141"/>
        <v>1.3010299956639813</v>
      </c>
      <c r="AM249" s="35">
        <f t="shared" si="119"/>
        <v>0</v>
      </c>
      <c r="AN249" s="35">
        <f t="shared" si="120"/>
        <v>0</v>
      </c>
      <c r="AO249" s="35">
        <f t="shared" si="121"/>
        <v>0</v>
      </c>
      <c r="AP249" s="35">
        <f t="shared" si="122"/>
        <v>0</v>
      </c>
      <c r="AQ249" s="35">
        <f t="shared" si="123"/>
        <v>0</v>
      </c>
      <c r="AR249" s="35">
        <f t="shared" si="124"/>
        <v>0</v>
      </c>
      <c r="AS249" s="35">
        <f t="shared" si="125"/>
        <v>0</v>
      </c>
      <c r="AT249" s="35">
        <f t="shared" si="126"/>
        <v>0</v>
      </c>
      <c r="AU249" s="35">
        <f t="shared" si="127"/>
        <v>0</v>
      </c>
      <c r="AV249" s="35">
        <f t="shared" si="128"/>
        <v>0</v>
      </c>
      <c r="AW249" s="35">
        <f t="shared" si="129"/>
        <v>1</v>
      </c>
      <c r="AX249" s="35">
        <f t="shared" si="130"/>
        <v>0</v>
      </c>
      <c r="AY249" s="35">
        <f t="shared" si="131"/>
        <v>0</v>
      </c>
      <c r="AZ249" s="35">
        <f t="shared" si="132"/>
        <v>0</v>
      </c>
      <c r="BA249" s="35">
        <f t="shared" si="133"/>
        <v>0</v>
      </c>
      <c r="BB249" s="35">
        <f t="shared" si="134"/>
        <v>0</v>
      </c>
      <c r="BC249" s="35">
        <f t="shared" si="135"/>
        <v>0</v>
      </c>
    </row>
    <row r="250" spans="1:55" s="35" customFormat="1" x14ac:dyDescent="0.35">
      <c r="A250" s="36">
        <v>38347</v>
      </c>
      <c r="B250" s="35" t="s">
        <v>915</v>
      </c>
      <c r="C250" s="35" t="s">
        <v>59</v>
      </c>
      <c r="D250" s="35" t="s">
        <v>59</v>
      </c>
      <c r="E250" s="35" t="s">
        <v>47</v>
      </c>
      <c r="F250" s="139">
        <f t="shared" si="108"/>
        <v>0</v>
      </c>
      <c r="G250" s="35">
        <v>75000000</v>
      </c>
      <c r="H250" s="139">
        <f t="shared" si="109"/>
        <v>7.8750612633917001</v>
      </c>
      <c r="I250" s="35">
        <f>G250</f>
        <v>75000000</v>
      </c>
      <c r="J250" s="35">
        <v>0</v>
      </c>
      <c r="K250" s="36">
        <v>40250</v>
      </c>
      <c r="L250" s="35">
        <v>100000000</v>
      </c>
      <c r="M250" s="21">
        <f t="shared" si="110"/>
        <v>5.2136986301369861</v>
      </c>
      <c r="N250" s="21">
        <f t="shared" si="136"/>
        <v>0.71714592383054576</v>
      </c>
      <c r="O250" s="35">
        <v>0</v>
      </c>
      <c r="P250" s="35">
        <f t="shared" si="111"/>
        <v>0</v>
      </c>
      <c r="Q250" s="35">
        <v>1</v>
      </c>
      <c r="R250" s="35">
        <f t="shared" si="112"/>
        <v>0.3010299956639812</v>
      </c>
      <c r="S250" s="45">
        <v>3.29</v>
      </c>
      <c r="T250" s="45">
        <f t="shared" si="137"/>
        <v>0.51719589794997434</v>
      </c>
      <c r="U250" s="175">
        <f t="shared" si="113"/>
        <v>0.33333333333333326</v>
      </c>
      <c r="V250" s="48">
        <f t="shared" si="114"/>
        <v>0.12493873660829993</v>
      </c>
      <c r="W250" s="35">
        <v>3425.6694367497698</v>
      </c>
      <c r="X250" s="35">
        <f t="shared" si="115"/>
        <v>3.5347454529897258</v>
      </c>
      <c r="Y250" s="35">
        <v>9322.8685749461365</v>
      </c>
      <c r="Z250" s="35">
        <f t="shared" si="116"/>
        <v>3.9695495619878729</v>
      </c>
      <c r="AA250" s="37">
        <v>0</v>
      </c>
      <c r="AB250" s="37">
        <f t="shared" si="117"/>
        <v>0</v>
      </c>
      <c r="AC250" s="35">
        <v>85</v>
      </c>
      <c r="AD250" s="35">
        <f t="shared" si="138"/>
        <v>1.9294189257142926</v>
      </c>
      <c r="AE250" s="48">
        <v>32.299999999999997</v>
      </c>
      <c r="AF250" s="48">
        <f t="shared" si="139"/>
        <v>1.5092025223311027</v>
      </c>
      <c r="AG250" s="43">
        <v>40.040400531970803</v>
      </c>
      <c r="AH250" s="43">
        <f t="shared" si="140"/>
        <v>1.6024984131617945</v>
      </c>
      <c r="AI250" s="39">
        <v>0.59</v>
      </c>
      <c r="AJ250" s="48">
        <f t="shared" si="118"/>
        <v>0.20139712432045145</v>
      </c>
      <c r="AK250" s="35">
        <v>27</v>
      </c>
      <c r="AL250" s="35">
        <f t="shared" si="141"/>
        <v>1.4313637641589874</v>
      </c>
      <c r="AM250" s="35">
        <f t="shared" si="119"/>
        <v>0</v>
      </c>
      <c r="AN250" s="35">
        <f t="shared" si="120"/>
        <v>0</v>
      </c>
      <c r="AO250" s="35">
        <f t="shared" si="121"/>
        <v>1</v>
      </c>
      <c r="AP250" s="35">
        <f t="shared" si="122"/>
        <v>0</v>
      </c>
      <c r="AQ250" s="35">
        <f t="shared" si="123"/>
        <v>0</v>
      </c>
      <c r="AR250" s="35">
        <f t="shared" si="124"/>
        <v>0</v>
      </c>
      <c r="AS250" s="35">
        <f t="shared" si="125"/>
        <v>0</v>
      </c>
      <c r="AT250" s="35">
        <f t="shared" si="126"/>
        <v>0</v>
      </c>
      <c r="AU250" s="35">
        <f t="shared" si="127"/>
        <v>0</v>
      </c>
      <c r="AV250" s="35">
        <f t="shared" si="128"/>
        <v>0</v>
      </c>
      <c r="AW250" s="35">
        <f t="shared" si="129"/>
        <v>0</v>
      </c>
      <c r="AX250" s="35">
        <f t="shared" si="130"/>
        <v>0</v>
      </c>
      <c r="AY250" s="35">
        <f t="shared" si="131"/>
        <v>0</v>
      </c>
      <c r="AZ250" s="35">
        <f t="shared" si="132"/>
        <v>0</v>
      </c>
      <c r="BA250" s="35">
        <f t="shared" si="133"/>
        <v>0</v>
      </c>
      <c r="BB250" s="35">
        <f t="shared" si="134"/>
        <v>0</v>
      </c>
      <c r="BC250" s="35">
        <f t="shared" si="135"/>
        <v>0</v>
      </c>
    </row>
    <row r="251" spans="1:55" s="35" customFormat="1" x14ac:dyDescent="0.35">
      <c r="A251" s="36">
        <v>38348</v>
      </c>
      <c r="B251" s="35" t="s">
        <v>389</v>
      </c>
      <c r="C251" s="35" t="s">
        <v>45</v>
      </c>
      <c r="D251" s="35" t="s">
        <v>45</v>
      </c>
      <c r="E251" s="35" t="s">
        <v>102</v>
      </c>
      <c r="F251" s="139">
        <f t="shared" si="108"/>
        <v>0</v>
      </c>
      <c r="G251" s="35">
        <v>1140330000</v>
      </c>
      <c r="H251" s="139">
        <f t="shared" si="109"/>
        <v>9.0570305499678359</v>
      </c>
      <c r="I251" s="35">
        <v>725860000</v>
      </c>
      <c r="J251" s="35">
        <v>414470000</v>
      </c>
      <c r="K251" s="36">
        <v>41151</v>
      </c>
      <c r="L251" s="35">
        <v>2745880000</v>
      </c>
      <c r="M251" s="21">
        <f t="shared" si="110"/>
        <v>7.6794520547945204</v>
      </c>
      <c r="N251" s="21">
        <f t="shared" si="136"/>
        <v>0.88533023330381144</v>
      </c>
      <c r="O251" s="35">
        <v>0</v>
      </c>
      <c r="P251" s="35">
        <f t="shared" si="111"/>
        <v>0</v>
      </c>
      <c r="Q251" s="35">
        <v>84</v>
      </c>
      <c r="R251" s="35">
        <f t="shared" si="112"/>
        <v>1.9294189257142926</v>
      </c>
      <c r="S251" s="45">
        <v>2.95</v>
      </c>
      <c r="T251" s="45">
        <f t="shared" si="137"/>
        <v>0.46982201597816303</v>
      </c>
      <c r="U251" s="175">
        <f t="shared" si="113"/>
        <v>1.4079696228284795</v>
      </c>
      <c r="V251" s="48">
        <f t="shared" si="114"/>
        <v>0.3816510038809775</v>
      </c>
      <c r="W251" s="35">
        <v>1518.5350000000001</v>
      </c>
      <c r="X251" s="35">
        <f t="shared" si="115"/>
        <v>3.1814248062191788</v>
      </c>
      <c r="Y251" s="35">
        <v>5363.16</v>
      </c>
      <c r="Z251" s="35">
        <f t="shared" si="116"/>
        <v>3.7294207535322617</v>
      </c>
      <c r="AA251" s="37">
        <v>0</v>
      </c>
      <c r="AB251" s="37">
        <f t="shared" si="117"/>
        <v>0</v>
      </c>
      <c r="AC251" s="35">
        <v>85</v>
      </c>
      <c r="AD251" s="35">
        <f t="shared" si="138"/>
        <v>1.9294189257142926</v>
      </c>
      <c r="AE251" s="48">
        <v>24.6</v>
      </c>
      <c r="AF251" s="48">
        <f t="shared" si="139"/>
        <v>1.3909351071033791</v>
      </c>
      <c r="AG251" s="43">
        <v>36.876470987978301</v>
      </c>
      <c r="AH251" s="43">
        <f t="shared" si="140"/>
        <v>1.5667493531684615</v>
      </c>
      <c r="AI251" s="39">
        <v>0.15</v>
      </c>
      <c r="AJ251" s="48">
        <f t="shared" si="118"/>
        <v>6.069784035361165E-2</v>
      </c>
      <c r="AK251" s="35">
        <v>23</v>
      </c>
      <c r="AL251" s="35">
        <f t="shared" si="141"/>
        <v>1.3617278360175928</v>
      </c>
      <c r="AM251" s="35">
        <f t="shared" si="119"/>
        <v>0</v>
      </c>
      <c r="AN251" s="35">
        <f t="shared" si="120"/>
        <v>1</v>
      </c>
      <c r="AO251" s="35">
        <f t="shared" si="121"/>
        <v>0</v>
      </c>
      <c r="AP251" s="35">
        <f t="shared" si="122"/>
        <v>0</v>
      </c>
      <c r="AQ251" s="35">
        <f t="shared" si="123"/>
        <v>0</v>
      </c>
      <c r="AR251" s="35">
        <f t="shared" si="124"/>
        <v>0</v>
      </c>
      <c r="AS251" s="35">
        <f t="shared" si="125"/>
        <v>0</v>
      </c>
      <c r="AT251" s="35">
        <f t="shared" si="126"/>
        <v>0</v>
      </c>
      <c r="AU251" s="35">
        <f t="shared" si="127"/>
        <v>0</v>
      </c>
      <c r="AV251" s="35">
        <f t="shared" si="128"/>
        <v>0</v>
      </c>
      <c r="AW251" s="35">
        <f t="shared" si="129"/>
        <v>0</v>
      </c>
      <c r="AX251" s="35">
        <f t="shared" si="130"/>
        <v>0</v>
      </c>
      <c r="AY251" s="35">
        <f t="shared" si="131"/>
        <v>0</v>
      </c>
      <c r="AZ251" s="35">
        <f t="shared" si="132"/>
        <v>0</v>
      </c>
      <c r="BA251" s="35">
        <f t="shared" si="133"/>
        <v>0</v>
      </c>
      <c r="BB251" s="35">
        <f t="shared" si="134"/>
        <v>0</v>
      </c>
      <c r="BC251" s="35">
        <f t="shared" si="135"/>
        <v>0</v>
      </c>
    </row>
    <row r="252" spans="1:55" s="35" customFormat="1" x14ac:dyDescent="0.35">
      <c r="A252" s="36">
        <v>38352</v>
      </c>
      <c r="B252" s="35" t="s">
        <v>297</v>
      </c>
      <c r="C252" s="35" t="s">
        <v>45</v>
      </c>
      <c r="D252" s="35" t="s">
        <v>45</v>
      </c>
      <c r="E252" s="35" t="s">
        <v>102</v>
      </c>
      <c r="F252" s="139">
        <f t="shared" si="108"/>
        <v>0</v>
      </c>
      <c r="G252" s="35">
        <v>130000000</v>
      </c>
      <c r="H252" s="139">
        <f t="shared" si="109"/>
        <v>8.1139433523068369</v>
      </c>
      <c r="I252" s="35">
        <v>130000000</v>
      </c>
      <c r="J252" s="35">
        <v>0</v>
      </c>
      <c r="K252" s="36">
        <v>40543</v>
      </c>
      <c r="L252" s="35">
        <v>1925000000</v>
      </c>
      <c r="M252" s="21">
        <f t="shared" si="110"/>
        <v>6.0027397260273974</v>
      </c>
      <c r="N252" s="21">
        <f t="shared" si="136"/>
        <v>0.77834951310423062</v>
      </c>
      <c r="O252" s="35">
        <v>0</v>
      </c>
      <c r="P252" s="35">
        <f t="shared" si="111"/>
        <v>0</v>
      </c>
      <c r="Q252" s="35">
        <v>0</v>
      </c>
      <c r="R252" s="35">
        <f t="shared" si="112"/>
        <v>0</v>
      </c>
      <c r="S252" s="45">
        <v>2.95</v>
      </c>
      <c r="T252" s="45">
        <f t="shared" si="137"/>
        <v>0.46982201597816303</v>
      </c>
      <c r="U252" s="175">
        <f t="shared" si="113"/>
        <v>13.807692307692308</v>
      </c>
      <c r="V252" s="48">
        <f t="shared" si="114"/>
        <v>1.1704873815376828</v>
      </c>
      <c r="W252" s="35">
        <v>8291.8367346938758</v>
      </c>
      <c r="X252" s="35">
        <f t="shared" si="115"/>
        <v>3.9186507422978978</v>
      </c>
      <c r="Y252" s="35">
        <v>9858.1632653061242</v>
      </c>
      <c r="Z252" s="35">
        <f t="shared" si="116"/>
        <v>3.9937960064170404</v>
      </c>
      <c r="AA252" s="37">
        <v>0</v>
      </c>
      <c r="AB252" s="37">
        <f t="shared" si="117"/>
        <v>0</v>
      </c>
      <c r="AC252" s="35">
        <v>85</v>
      </c>
      <c r="AD252" s="35">
        <f t="shared" si="138"/>
        <v>1.9294189257142926</v>
      </c>
      <c r="AE252" s="48">
        <v>24.6</v>
      </c>
      <c r="AF252" s="48">
        <f t="shared" si="139"/>
        <v>1.3909351071033791</v>
      </c>
      <c r="AG252" s="43">
        <v>36.876470987978301</v>
      </c>
      <c r="AH252" s="43">
        <f t="shared" si="140"/>
        <v>1.5667493531684615</v>
      </c>
      <c r="AI252" s="39">
        <v>-0.11</v>
      </c>
      <c r="AJ252" s="48">
        <f t="shared" si="118"/>
        <v>-5.0609993355087209E-2</v>
      </c>
      <c r="AK252" s="35">
        <v>4</v>
      </c>
      <c r="AL252" s="35">
        <f t="shared" si="141"/>
        <v>0.6020599913279624</v>
      </c>
      <c r="AM252" s="35">
        <f t="shared" si="119"/>
        <v>0</v>
      </c>
      <c r="AN252" s="35">
        <f t="shared" si="120"/>
        <v>1</v>
      </c>
      <c r="AO252" s="35">
        <f t="shared" si="121"/>
        <v>0</v>
      </c>
      <c r="AP252" s="35">
        <f t="shared" si="122"/>
        <v>0</v>
      </c>
      <c r="AQ252" s="35">
        <f t="shared" si="123"/>
        <v>0</v>
      </c>
      <c r="AR252" s="35">
        <f t="shared" si="124"/>
        <v>0</v>
      </c>
      <c r="AS252" s="35">
        <f t="shared" si="125"/>
        <v>0</v>
      </c>
      <c r="AT252" s="35">
        <f t="shared" si="126"/>
        <v>0</v>
      </c>
      <c r="AU252" s="35">
        <f t="shared" si="127"/>
        <v>0</v>
      </c>
      <c r="AV252" s="35">
        <f t="shared" si="128"/>
        <v>0</v>
      </c>
      <c r="AW252" s="35">
        <f t="shared" si="129"/>
        <v>0</v>
      </c>
      <c r="AX252" s="35">
        <f t="shared" si="130"/>
        <v>0</v>
      </c>
      <c r="AY252" s="35">
        <f t="shared" si="131"/>
        <v>0</v>
      </c>
      <c r="AZ252" s="35">
        <f t="shared" si="132"/>
        <v>0</v>
      </c>
      <c r="BA252" s="35">
        <f t="shared" si="133"/>
        <v>0</v>
      </c>
      <c r="BB252" s="35">
        <f t="shared" si="134"/>
        <v>0</v>
      </c>
      <c r="BC252" s="35">
        <f t="shared" si="135"/>
        <v>0</v>
      </c>
    </row>
    <row r="253" spans="1:55" s="35" customFormat="1" x14ac:dyDescent="0.35">
      <c r="A253" s="36">
        <v>38352</v>
      </c>
      <c r="B253" s="35" t="s">
        <v>654</v>
      </c>
      <c r="C253" s="35" t="s">
        <v>2</v>
      </c>
      <c r="D253" s="35" t="s">
        <v>602</v>
      </c>
      <c r="E253" s="35" t="s">
        <v>64</v>
      </c>
      <c r="F253" s="139">
        <f t="shared" si="108"/>
        <v>1</v>
      </c>
      <c r="G253" s="35">
        <v>1390000000</v>
      </c>
      <c r="H253" s="139">
        <f t="shared" si="109"/>
        <v>9.143014800254095</v>
      </c>
      <c r="I253" s="35">
        <f>G253</f>
        <v>1390000000</v>
      </c>
      <c r="J253" s="35">
        <v>0</v>
      </c>
      <c r="K253" s="36">
        <v>39153</v>
      </c>
      <c r="L253" s="35">
        <v>1600000000</v>
      </c>
      <c r="M253" s="21">
        <f t="shared" si="110"/>
        <v>2.1945205479452055</v>
      </c>
      <c r="N253" s="21">
        <f t="shared" si="136"/>
        <v>0.34133965162776297</v>
      </c>
      <c r="O253" s="35">
        <v>6815.73</v>
      </c>
      <c r="P253" s="35">
        <f t="shared" si="111"/>
        <v>3.8335760926148099</v>
      </c>
      <c r="Q253" s="35">
        <v>135</v>
      </c>
      <c r="R253" s="35">
        <f t="shared" si="112"/>
        <v>2.1335389083702174</v>
      </c>
      <c r="S253" s="45">
        <v>2.85</v>
      </c>
      <c r="T253" s="45">
        <f t="shared" si="137"/>
        <v>0.45484486000851021</v>
      </c>
      <c r="U253" s="175">
        <f t="shared" si="113"/>
        <v>0.15107913669064743</v>
      </c>
      <c r="V253" s="48">
        <f t="shared" si="114"/>
        <v>6.1105182401829682E-2</v>
      </c>
      <c r="W253" s="35">
        <v>2315.9650000000001</v>
      </c>
      <c r="X253" s="35">
        <f t="shared" si="115"/>
        <v>3.3647319918335836</v>
      </c>
      <c r="Y253" s="35">
        <v>3703.9029999999998</v>
      </c>
      <c r="Z253" s="35">
        <f t="shared" si="116"/>
        <v>3.568659604598353</v>
      </c>
      <c r="AA253" s="37">
        <v>819</v>
      </c>
      <c r="AB253" s="37">
        <f t="shared" si="117"/>
        <v>2.9138138523837167</v>
      </c>
      <c r="AC253" s="35">
        <v>70</v>
      </c>
      <c r="AD253" s="35">
        <f t="shared" si="138"/>
        <v>1.8450980400142569</v>
      </c>
      <c r="AE253" s="48">
        <v>33.9</v>
      </c>
      <c r="AF253" s="48">
        <f t="shared" si="139"/>
        <v>1.5301996982030821</v>
      </c>
      <c r="AG253" s="43">
        <v>46.312020505412598</v>
      </c>
      <c r="AH253" s="43">
        <f t="shared" si="140"/>
        <v>1.6656937288498501</v>
      </c>
      <c r="AI253" s="39">
        <v>-0.19</v>
      </c>
      <c r="AJ253" s="48">
        <f t="shared" si="118"/>
        <v>-9.1514981121350217E-2</v>
      </c>
      <c r="AK253" s="35">
        <v>15</v>
      </c>
      <c r="AL253" s="35">
        <f t="shared" si="141"/>
        <v>1.1760912590556813</v>
      </c>
      <c r="AM253" s="35">
        <f t="shared" si="119"/>
        <v>0</v>
      </c>
      <c r="AN253" s="35">
        <f t="shared" si="120"/>
        <v>0</v>
      </c>
      <c r="AO253" s="35">
        <f t="shared" si="121"/>
        <v>0</v>
      </c>
      <c r="AP253" s="35">
        <f t="shared" si="122"/>
        <v>0</v>
      </c>
      <c r="AQ253" s="35">
        <f t="shared" si="123"/>
        <v>0</v>
      </c>
      <c r="AR253" s="35">
        <f t="shared" si="124"/>
        <v>0</v>
      </c>
      <c r="AS253" s="35">
        <f t="shared" si="125"/>
        <v>0</v>
      </c>
      <c r="AT253" s="35">
        <f t="shared" si="126"/>
        <v>0</v>
      </c>
      <c r="AU253" s="35">
        <f t="shared" si="127"/>
        <v>0</v>
      </c>
      <c r="AV253" s="35">
        <f t="shared" si="128"/>
        <v>1</v>
      </c>
      <c r="AW253" s="35">
        <f t="shared" si="129"/>
        <v>0</v>
      </c>
      <c r="AX253" s="35">
        <f t="shared" si="130"/>
        <v>0</v>
      </c>
      <c r="AY253" s="35">
        <f t="shared" si="131"/>
        <v>0</v>
      </c>
      <c r="AZ253" s="35">
        <f t="shared" si="132"/>
        <v>0</v>
      </c>
      <c r="BA253" s="35">
        <f t="shared" si="133"/>
        <v>0</v>
      </c>
      <c r="BB253" s="35">
        <f t="shared" si="134"/>
        <v>0</v>
      </c>
      <c r="BC253" s="35">
        <f t="shared" si="135"/>
        <v>0</v>
      </c>
    </row>
    <row r="254" spans="1:55" s="35" customFormat="1" x14ac:dyDescent="0.35">
      <c r="A254" s="36">
        <v>38352</v>
      </c>
      <c r="B254" s="35" t="s">
        <v>673</v>
      </c>
      <c r="C254" s="35" t="s">
        <v>4</v>
      </c>
      <c r="D254" s="35" t="s">
        <v>577</v>
      </c>
      <c r="E254" s="35" t="s">
        <v>64</v>
      </c>
      <c r="F254" s="139">
        <f t="shared" si="108"/>
        <v>1</v>
      </c>
      <c r="G254" s="35">
        <v>424180000</v>
      </c>
      <c r="H254" s="139">
        <f t="shared" si="109"/>
        <v>8.6275501877675218</v>
      </c>
      <c r="I254" s="35">
        <f>G254</f>
        <v>424180000</v>
      </c>
      <c r="J254" s="35">
        <v>0</v>
      </c>
      <c r="K254" s="36">
        <v>39113</v>
      </c>
      <c r="L254" s="35">
        <v>1285000000</v>
      </c>
      <c r="M254" s="21">
        <f t="shared" si="110"/>
        <v>2.0849315068493151</v>
      </c>
      <c r="N254" s="21">
        <f t="shared" si="136"/>
        <v>0.31909179231409812</v>
      </c>
      <c r="O254" s="35">
        <v>1314.22</v>
      </c>
      <c r="P254" s="35">
        <f t="shared" si="111"/>
        <v>3.1189984043805832</v>
      </c>
      <c r="Q254" s="35">
        <v>33</v>
      </c>
      <c r="R254" s="35">
        <f t="shared" si="112"/>
        <v>1.5314789170422551</v>
      </c>
      <c r="S254" s="45">
        <v>2.99</v>
      </c>
      <c r="T254" s="45">
        <f t="shared" si="137"/>
        <v>0.47567118832442967</v>
      </c>
      <c r="U254" s="175">
        <f t="shared" si="113"/>
        <v>2.0293743222216984</v>
      </c>
      <c r="V254" s="48">
        <f t="shared" si="114"/>
        <v>0.481352939899792</v>
      </c>
      <c r="W254" s="35">
        <v>1682.1639898562976</v>
      </c>
      <c r="X254" s="35">
        <f t="shared" si="115"/>
        <v>3.2258683317817765</v>
      </c>
      <c r="Y254" s="35">
        <v>9152.2762951334389</v>
      </c>
      <c r="Z254" s="35">
        <f t="shared" si="116"/>
        <v>3.9615291224236637</v>
      </c>
      <c r="AA254" s="37">
        <v>1177</v>
      </c>
      <c r="AB254" s="37">
        <f t="shared" si="117"/>
        <v>3.0711452904510828</v>
      </c>
      <c r="AC254" s="35">
        <v>70</v>
      </c>
      <c r="AD254" s="35">
        <f t="shared" si="138"/>
        <v>1.8450980400142569</v>
      </c>
      <c r="AE254" s="48">
        <v>45.7</v>
      </c>
      <c r="AF254" s="48">
        <f t="shared" si="139"/>
        <v>1.6599162000698502</v>
      </c>
      <c r="AG254" s="43">
        <v>52.379377176281302</v>
      </c>
      <c r="AH254" s="43">
        <f t="shared" si="140"/>
        <v>1.7191603300855409</v>
      </c>
      <c r="AI254" s="39">
        <v>0.04</v>
      </c>
      <c r="AJ254" s="48">
        <f t="shared" si="118"/>
        <v>1.703333929878037E-2</v>
      </c>
      <c r="AK254" s="35">
        <v>14</v>
      </c>
      <c r="AL254" s="35">
        <f t="shared" si="141"/>
        <v>1.146128035678238</v>
      </c>
      <c r="AM254" s="35">
        <f t="shared" si="119"/>
        <v>0</v>
      </c>
      <c r="AN254" s="35">
        <f t="shared" si="120"/>
        <v>0</v>
      </c>
      <c r="AO254" s="35">
        <f t="shared" si="121"/>
        <v>0</v>
      </c>
      <c r="AP254" s="35">
        <f t="shared" si="122"/>
        <v>0</v>
      </c>
      <c r="AQ254" s="35">
        <f t="shared" si="123"/>
        <v>0</v>
      </c>
      <c r="AR254" s="35">
        <f t="shared" si="124"/>
        <v>1</v>
      </c>
      <c r="AS254" s="35">
        <f t="shared" si="125"/>
        <v>0</v>
      </c>
      <c r="AT254" s="35">
        <f t="shared" si="126"/>
        <v>0</v>
      </c>
      <c r="AU254" s="35">
        <f t="shared" si="127"/>
        <v>0</v>
      </c>
      <c r="AV254" s="35">
        <f t="shared" si="128"/>
        <v>0</v>
      </c>
      <c r="AW254" s="35">
        <f t="shared" si="129"/>
        <v>0</v>
      </c>
      <c r="AX254" s="35">
        <f t="shared" si="130"/>
        <v>0</v>
      </c>
      <c r="AY254" s="35">
        <f t="shared" si="131"/>
        <v>0</v>
      </c>
      <c r="AZ254" s="35">
        <f t="shared" si="132"/>
        <v>0</v>
      </c>
      <c r="BA254" s="35">
        <f t="shared" si="133"/>
        <v>0</v>
      </c>
      <c r="BB254" s="35">
        <f t="shared" si="134"/>
        <v>0</v>
      </c>
      <c r="BC254" s="35">
        <f t="shared" si="135"/>
        <v>0</v>
      </c>
    </row>
    <row r="255" spans="1:55" s="35" customFormat="1" x14ac:dyDescent="0.35">
      <c r="A255" s="36">
        <v>38358</v>
      </c>
      <c r="B255" s="90" t="s">
        <v>968</v>
      </c>
      <c r="C255" s="35" t="s">
        <v>497</v>
      </c>
      <c r="D255" s="35" t="s">
        <v>45</v>
      </c>
      <c r="E255" s="35" t="s">
        <v>64</v>
      </c>
      <c r="F255" s="139">
        <f t="shared" si="108"/>
        <v>1</v>
      </c>
      <c r="G255" s="35">
        <v>2926900000</v>
      </c>
      <c r="H255" s="139">
        <f t="shared" si="109"/>
        <v>9.4664078846510513</v>
      </c>
      <c r="I255" s="35">
        <v>2954500000</v>
      </c>
      <c r="J255" s="35">
        <v>27600000</v>
      </c>
      <c r="K255" s="36">
        <v>40610</v>
      </c>
      <c r="L255" s="35">
        <v>1026000000</v>
      </c>
      <c r="M255" s="21">
        <f t="shared" si="110"/>
        <v>6.1698630136986301</v>
      </c>
      <c r="N255" s="21">
        <f t="shared" si="136"/>
        <v>0.79027552172283388</v>
      </c>
      <c r="O255" s="35">
        <v>5441.73</v>
      </c>
      <c r="P255" s="35">
        <f t="shared" si="111"/>
        <v>3.7358167906061537</v>
      </c>
      <c r="Q255" s="35">
        <v>28</v>
      </c>
      <c r="R255" s="35">
        <f t="shared" si="112"/>
        <v>1.4623979978989561</v>
      </c>
      <c r="S255" s="45">
        <v>2.91</v>
      </c>
      <c r="T255" s="45">
        <f t="shared" si="137"/>
        <v>0.46389298898590731</v>
      </c>
      <c r="U255" s="175">
        <f t="shared" si="113"/>
        <v>-0.64945847142027402</v>
      </c>
      <c r="V255" s="48">
        <f t="shared" si="114"/>
        <v>-0.45526052387525323</v>
      </c>
      <c r="W255" s="35">
        <v>1618.5219999999999</v>
      </c>
      <c r="X255" s="35">
        <f t="shared" si="115"/>
        <v>3.20911860699078</v>
      </c>
      <c r="Y255" s="35">
        <v>3845.9059999999999</v>
      </c>
      <c r="Z255" s="35">
        <f t="shared" si="116"/>
        <v>3.5849986651910224</v>
      </c>
      <c r="AA255" s="37">
        <v>125.833333333333</v>
      </c>
      <c r="AB255" s="37">
        <f t="shared" si="117"/>
        <v>2.103233406386928</v>
      </c>
      <c r="AC255" s="35">
        <v>85</v>
      </c>
      <c r="AD255" s="35">
        <f t="shared" si="138"/>
        <v>1.9294189257142926</v>
      </c>
      <c r="AE255" s="48">
        <v>29.4</v>
      </c>
      <c r="AF255" s="48">
        <f t="shared" si="139"/>
        <v>1.4683473304121573</v>
      </c>
      <c r="AG255" s="43">
        <v>33.3433362985758</v>
      </c>
      <c r="AH255" s="43">
        <f t="shared" si="140"/>
        <v>1.5230090527076294</v>
      </c>
      <c r="AI255" s="39">
        <v>0.53</v>
      </c>
      <c r="AJ255" s="48">
        <f t="shared" si="118"/>
        <v>0.18469143081759881</v>
      </c>
      <c r="AK255" s="35">
        <v>27</v>
      </c>
      <c r="AL255" s="35">
        <f t="shared" si="141"/>
        <v>1.4313637641589874</v>
      </c>
      <c r="AM255" s="35">
        <f t="shared" si="119"/>
        <v>0</v>
      </c>
      <c r="AN255" s="35">
        <f t="shared" si="120"/>
        <v>0</v>
      </c>
      <c r="AO255" s="35">
        <f t="shared" si="121"/>
        <v>0</v>
      </c>
      <c r="AP255" s="35">
        <f t="shared" si="122"/>
        <v>0</v>
      </c>
      <c r="AQ255" s="35">
        <f t="shared" si="123"/>
        <v>0</v>
      </c>
      <c r="AR255" s="35">
        <f t="shared" si="124"/>
        <v>0</v>
      </c>
      <c r="AS255" s="35">
        <f t="shared" si="125"/>
        <v>0</v>
      </c>
      <c r="AT255" s="35">
        <f t="shared" si="126"/>
        <v>0</v>
      </c>
      <c r="AU255" s="35">
        <f t="shared" si="127"/>
        <v>0</v>
      </c>
      <c r="AV255" s="35">
        <f t="shared" si="128"/>
        <v>0</v>
      </c>
      <c r="AW255" s="35">
        <f t="shared" si="129"/>
        <v>0</v>
      </c>
      <c r="AX255" s="35">
        <f t="shared" si="130"/>
        <v>0</v>
      </c>
      <c r="AY255" s="35">
        <f t="shared" si="131"/>
        <v>0</v>
      </c>
      <c r="AZ255" s="35">
        <f t="shared" si="132"/>
        <v>0</v>
      </c>
      <c r="BA255" s="35">
        <f t="shared" si="133"/>
        <v>0</v>
      </c>
      <c r="BB255" s="35">
        <f t="shared" si="134"/>
        <v>1</v>
      </c>
      <c r="BC255" s="35">
        <f t="shared" si="135"/>
        <v>0</v>
      </c>
    </row>
    <row r="256" spans="1:55" s="35" customFormat="1" x14ac:dyDescent="0.35">
      <c r="A256" s="36">
        <v>38380</v>
      </c>
      <c r="B256" s="35" t="s">
        <v>756</v>
      </c>
      <c r="C256" s="35" t="s">
        <v>7</v>
      </c>
      <c r="D256" s="35" t="s">
        <v>577</v>
      </c>
      <c r="E256" s="35" t="s">
        <v>64</v>
      </c>
      <c r="F256" s="139">
        <f t="shared" si="108"/>
        <v>1</v>
      </c>
      <c r="G256" s="35">
        <v>5000000000</v>
      </c>
      <c r="H256" s="139">
        <f t="shared" si="109"/>
        <v>9.6989700043360187</v>
      </c>
      <c r="I256" s="35">
        <f t="shared" ref="I256:I262" si="144">G256</f>
        <v>5000000000</v>
      </c>
      <c r="J256" s="35">
        <v>0</v>
      </c>
      <c r="K256" s="36">
        <v>39482</v>
      </c>
      <c r="L256" s="35">
        <v>16430000000</v>
      </c>
      <c r="M256" s="21">
        <f t="shared" si="110"/>
        <v>3.0191780821917806</v>
      </c>
      <c r="N256" s="21">
        <f t="shared" si="136"/>
        <v>0.4798887300592915</v>
      </c>
      <c r="O256" s="35">
        <v>489.17</v>
      </c>
      <c r="P256" s="35">
        <f t="shared" si="111"/>
        <v>2.6903467274930635</v>
      </c>
      <c r="Q256" s="35">
        <v>41</v>
      </c>
      <c r="R256" s="35">
        <f t="shared" si="112"/>
        <v>1.6232492903979006</v>
      </c>
      <c r="S256" s="45">
        <v>2.59</v>
      </c>
      <c r="T256" s="45">
        <f t="shared" si="137"/>
        <v>0.4132997640812518</v>
      </c>
      <c r="U256" s="175">
        <f t="shared" si="113"/>
        <v>2.286</v>
      </c>
      <c r="V256" s="48">
        <f t="shared" si="114"/>
        <v>0.51666755909904294</v>
      </c>
      <c r="W256" s="35">
        <v>1861.7599999999995</v>
      </c>
      <c r="X256" s="35">
        <f t="shared" si="115"/>
        <v>3.2699236952309461</v>
      </c>
      <c r="Y256" s="35">
        <v>4993.920000000001</v>
      </c>
      <c r="Z256" s="35">
        <f t="shared" si="116"/>
        <v>3.6984415808994222</v>
      </c>
      <c r="AA256" s="37">
        <v>562.5</v>
      </c>
      <c r="AB256" s="37">
        <f t="shared" si="117"/>
        <v>2.7508939203821252</v>
      </c>
      <c r="AC256" s="35">
        <v>85</v>
      </c>
      <c r="AD256" s="35">
        <f t="shared" si="138"/>
        <v>1.9294189257142926</v>
      </c>
      <c r="AE256" s="48">
        <v>37.799999999999997</v>
      </c>
      <c r="AF256" s="48">
        <f t="shared" si="139"/>
        <v>1.5774917998372253</v>
      </c>
      <c r="AG256" s="43">
        <v>43.5787105608064</v>
      </c>
      <c r="AH256" s="43">
        <f t="shared" si="140"/>
        <v>1.6392743758732649</v>
      </c>
      <c r="AI256" s="39">
        <v>0.06</v>
      </c>
      <c r="AJ256" s="48">
        <f t="shared" si="118"/>
        <v>2.5305865264770262E-2</v>
      </c>
      <c r="AK256" s="35">
        <v>21</v>
      </c>
      <c r="AL256" s="35">
        <f t="shared" si="141"/>
        <v>1.3222192947339193</v>
      </c>
      <c r="AM256" s="35">
        <f t="shared" si="119"/>
        <v>0</v>
      </c>
      <c r="AN256" s="35">
        <f t="shared" si="120"/>
        <v>0</v>
      </c>
      <c r="AO256" s="35">
        <f t="shared" si="121"/>
        <v>0</v>
      </c>
      <c r="AP256" s="35">
        <f t="shared" si="122"/>
        <v>0</v>
      </c>
      <c r="AQ256" s="35">
        <f t="shared" si="123"/>
        <v>0</v>
      </c>
      <c r="AR256" s="35">
        <f t="shared" si="124"/>
        <v>0</v>
      </c>
      <c r="AS256" s="35">
        <f t="shared" si="125"/>
        <v>0</v>
      </c>
      <c r="AT256" s="35">
        <f t="shared" si="126"/>
        <v>0</v>
      </c>
      <c r="AU256" s="35">
        <f t="shared" si="127"/>
        <v>0</v>
      </c>
      <c r="AV256" s="35">
        <f t="shared" si="128"/>
        <v>0</v>
      </c>
      <c r="AW256" s="35">
        <f t="shared" si="129"/>
        <v>0</v>
      </c>
      <c r="AX256" s="35">
        <f t="shared" si="130"/>
        <v>0</v>
      </c>
      <c r="AY256" s="35">
        <f t="shared" si="131"/>
        <v>1</v>
      </c>
      <c r="AZ256" s="35">
        <f t="shared" si="132"/>
        <v>0</v>
      </c>
      <c r="BA256" s="35">
        <f t="shared" si="133"/>
        <v>0</v>
      </c>
      <c r="BB256" s="35">
        <f t="shared" si="134"/>
        <v>0</v>
      </c>
      <c r="BC256" s="35">
        <f t="shared" si="135"/>
        <v>0</v>
      </c>
    </row>
    <row r="257" spans="1:55" s="35" customFormat="1" x14ac:dyDescent="0.35">
      <c r="A257" s="36">
        <v>38383</v>
      </c>
      <c r="B257" s="35" t="s">
        <v>849</v>
      </c>
      <c r="C257" s="35" t="s">
        <v>5</v>
      </c>
      <c r="D257" s="35" t="s">
        <v>59</v>
      </c>
      <c r="E257" s="35" t="s">
        <v>64</v>
      </c>
      <c r="F257" s="139">
        <f t="shared" si="108"/>
        <v>1</v>
      </c>
      <c r="G257" s="35">
        <v>30300000</v>
      </c>
      <c r="H257" s="139">
        <f t="shared" si="109"/>
        <v>7.4814426285023048</v>
      </c>
      <c r="I257" s="35">
        <f t="shared" si="144"/>
        <v>30300000</v>
      </c>
      <c r="J257" s="35">
        <v>0</v>
      </c>
      <c r="K257" s="36">
        <v>39082</v>
      </c>
      <c r="L257" s="90">
        <v>96300000</v>
      </c>
      <c r="M257" s="21">
        <f t="shared" si="110"/>
        <v>1.9150684931506849</v>
      </c>
      <c r="N257" s="21">
        <f t="shared" si="136"/>
        <v>0.28218431128920668</v>
      </c>
      <c r="O257" s="35">
        <v>357.29</v>
      </c>
      <c r="P257" s="35">
        <f t="shared" si="111"/>
        <v>2.5542346870234227</v>
      </c>
      <c r="Q257" s="35">
        <v>7</v>
      </c>
      <c r="R257" s="35">
        <f t="shared" si="112"/>
        <v>0.90308998699194354</v>
      </c>
      <c r="S257" s="45">
        <v>3.16</v>
      </c>
      <c r="T257" s="45">
        <f t="shared" si="137"/>
        <v>0.49968708261840383</v>
      </c>
      <c r="U257" s="175">
        <f t="shared" si="113"/>
        <v>2.1782178217821784</v>
      </c>
      <c r="V257" s="48">
        <f t="shared" si="114"/>
        <v>0.50218365862222958</v>
      </c>
      <c r="W257" s="35">
        <v>2207.03125</v>
      </c>
      <c r="X257" s="35">
        <f t="shared" si="115"/>
        <v>3.3438084825075891</v>
      </c>
      <c r="Y257" s="35">
        <v>7753.90625</v>
      </c>
      <c r="Z257" s="35">
        <f t="shared" si="116"/>
        <v>3.8895205457872843</v>
      </c>
      <c r="AA257" s="37">
        <v>971</v>
      </c>
      <c r="AB257" s="37">
        <f t="shared" si="117"/>
        <v>2.9876662649262746</v>
      </c>
      <c r="AC257" s="35">
        <v>70</v>
      </c>
      <c r="AD257" s="35">
        <f t="shared" si="138"/>
        <v>1.8450980400142569</v>
      </c>
      <c r="AE257" s="48">
        <v>35</v>
      </c>
      <c r="AF257" s="48">
        <f t="shared" si="139"/>
        <v>1.5440680443502757</v>
      </c>
      <c r="AG257" s="43">
        <v>42.243452783984999</v>
      </c>
      <c r="AH257" s="43">
        <f t="shared" si="140"/>
        <v>1.625759408194035</v>
      </c>
      <c r="AI257" s="39">
        <v>0.26</v>
      </c>
      <c r="AJ257" s="48">
        <f t="shared" si="118"/>
        <v>0.10037054511756291</v>
      </c>
      <c r="AK257" s="35">
        <v>25</v>
      </c>
      <c r="AL257" s="35">
        <f t="shared" si="141"/>
        <v>1.3979400086720377</v>
      </c>
      <c r="AM257" s="35">
        <f t="shared" si="119"/>
        <v>0</v>
      </c>
      <c r="AN257" s="35">
        <f t="shared" si="120"/>
        <v>0</v>
      </c>
      <c r="AO257" s="35">
        <f t="shared" si="121"/>
        <v>0</v>
      </c>
      <c r="AP257" s="35">
        <f t="shared" si="122"/>
        <v>0</v>
      </c>
      <c r="AQ257" s="35">
        <f t="shared" si="123"/>
        <v>0</v>
      </c>
      <c r="AR257" s="35">
        <f t="shared" si="124"/>
        <v>0</v>
      </c>
      <c r="AS257" s="35">
        <f t="shared" si="125"/>
        <v>1</v>
      </c>
      <c r="AT257" s="35">
        <f t="shared" si="126"/>
        <v>0</v>
      </c>
      <c r="AU257" s="35">
        <f t="shared" si="127"/>
        <v>0</v>
      </c>
      <c r="AV257" s="35">
        <f t="shared" si="128"/>
        <v>0</v>
      </c>
      <c r="AW257" s="35">
        <f t="shared" si="129"/>
        <v>0</v>
      </c>
      <c r="AX257" s="35">
        <f t="shared" si="130"/>
        <v>0</v>
      </c>
      <c r="AY257" s="35">
        <f t="shared" si="131"/>
        <v>0</v>
      </c>
      <c r="AZ257" s="35">
        <f t="shared" si="132"/>
        <v>0</v>
      </c>
      <c r="BA257" s="35">
        <f t="shared" si="133"/>
        <v>0</v>
      </c>
      <c r="BB257" s="35">
        <f t="shared" si="134"/>
        <v>0</v>
      </c>
      <c r="BC257" s="35">
        <f t="shared" si="135"/>
        <v>0</v>
      </c>
    </row>
    <row r="258" spans="1:55" s="35" customFormat="1" x14ac:dyDescent="0.35">
      <c r="A258" s="36">
        <v>38383</v>
      </c>
      <c r="B258" s="35" t="s">
        <v>1290</v>
      </c>
      <c r="C258" s="35" t="s">
        <v>45</v>
      </c>
      <c r="D258" s="35" t="s">
        <v>602</v>
      </c>
      <c r="E258" s="35" t="s">
        <v>47</v>
      </c>
      <c r="F258" s="139">
        <f t="shared" ref="F258:F321" si="145">IF(E258="domestic",0,1)</f>
        <v>0</v>
      </c>
      <c r="G258" s="35">
        <v>75000000</v>
      </c>
      <c r="H258" s="139">
        <f t="shared" ref="H258:H321" si="146">LOG(G258)</f>
        <v>7.8750612633917001</v>
      </c>
      <c r="I258" s="35">
        <f t="shared" si="144"/>
        <v>75000000</v>
      </c>
      <c r="J258" s="35">
        <v>0</v>
      </c>
      <c r="K258" s="36">
        <v>39651</v>
      </c>
      <c r="L258" s="35">
        <v>0</v>
      </c>
      <c r="M258" s="21">
        <f t="shared" ref="M258:M321" si="147">YEARFRAC(A258,K258,3)</f>
        <v>3.473972602739726</v>
      </c>
      <c r="N258" s="21">
        <f t="shared" si="136"/>
        <v>0.54082638908923919</v>
      </c>
      <c r="O258" s="35">
        <v>0</v>
      </c>
      <c r="P258" s="35">
        <f t="shared" ref="P258:P321" si="148">LOG(1+O258)</f>
        <v>0</v>
      </c>
      <c r="Q258" s="35">
        <v>4</v>
      </c>
      <c r="R258" s="35">
        <f t="shared" ref="R258:R321" si="149">LOG(1+Q258)</f>
        <v>0.69897000433601886</v>
      </c>
      <c r="S258" s="45">
        <v>2.95</v>
      </c>
      <c r="T258" s="45">
        <f t="shared" si="137"/>
        <v>0.46982201597816303</v>
      </c>
      <c r="U258" s="175">
        <f t="shared" ref="U258:U321" si="150">(L258/G258)-1</f>
        <v>-1</v>
      </c>
      <c r="V258" s="48">
        <f t="shared" ref="V258:V321" si="151">IF(U258=-1,LOG(0.1),LOG(1+U258))</f>
        <v>-1</v>
      </c>
      <c r="W258" s="35">
        <v>1246.953</v>
      </c>
      <c r="X258" s="35">
        <f t="shared" ref="X258:X321" si="152">LOG(W258)</f>
        <v>3.0958500844125241</v>
      </c>
      <c r="Y258" s="35">
        <v>3219.7179999999998</v>
      </c>
      <c r="Z258" s="35">
        <f t="shared" ref="Z258:Z321" si="153">LOG(Y258)</f>
        <v>3.5078178355445662</v>
      </c>
      <c r="AA258" s="35">
        <v>0</v>
      </c>
      <c r="AB258" s="37">
        <f t="shared" ref="AB258:AB321" si="154">IF(AA258=0,0,LOG(1+AA258))</f>
        <v>0</v>
      </c>
      <c r="AC258" s="35">
        <v>85</v>
      </c>
      <c r="AD258" s="35">
        <f t="shared" si="138"/>
        <v>1.9294189257142926</v>
      </c>
      <c r="AE258" s="48">
        <v>25.9</v>
      </c>
      <c r="AF258" s="48">
        <f t="shared" si="139"/>
        <v>1.4132997640812519</v>
      </c>
      <c r="AG258" s="43">
        <v>36.959146749272797</v>
      </c>
      <c r="AH258" s="43">
        <f t="shared" si="140"/>
        <v>1.5677219364019672</v>
      </c>
      <c r="AI258" s="39">
        <v>0.14000000000000001</v>
      </c>
      <c r="AJ258" s="48">
        <f t="shared" ref="AJ258:AJ321" si="155">LOG(1+AI258)</f>
        <v>5.6904851336472641E-2</v>
      </c>
      <c r="AK258" s="35">
        <v>24</v>
      </c>
      <c r="AL258" s="35">
        <f t="shared" si="141"/>
        <v>1.3802112417116059</v>
      </c>
      <c r="AM258" s="35">
        <f t="shared" ref="AM258:AM321" si="156">IF(V258=-1,1,0)</f>
        <v>1</v>
      </c>
      <c r="AN258" s="35">
        <f t="shared" ref="AN258:AN321" si="157">IF($C258="US",1,0)</f>
        <v>1</v>
      </c>
      <c r="AO258" s="35">
        <f t="shared" ref="AO258:AO321" si="158">IF($C258="UK",1,0)</f>
        <v>0</v>
      </c>
      <c r="AP258" s="35">
        <f t="shared" ref="AP258:AP321" si="159">IF($C258="Norway",1,0)</f>
        <v>0</v>
      </c>
      <c r="AQ258" s="35">
        <f t="shared" ref="AQ258:AQ321" si="160">IF($C258="Denmark",1,0)</f>
        <v>0</v>
      </c>
      <c r="AR258" s="35">
        <f t="shared" ref="AR258:AR321" si="161">IF($C258="Sweden",1,0)</f>
        <v>0</v>
      </c>
      <c r="AS258" s="35">
        <f t="shared" ref="AS258:AS321" si="162">IF($C258="Netherlands",1,0)</f>
        <v>0</v>
      </c>
      <c r="AT258" s="35">
        <f t="shared" ref="AT258:AT321" si="163">IF($C258="France",1,0)</f>
        <v>0</v>
      </c>
      <c r="AU258" s="35">
        <f t="shared" ref="AU258:AU321" si="164">IF($C258="Belgium",1,0)</f>
        <v>0</v>
      </c>
      <c r="AV258" s="35">
        <f t="shared" ref="AV258:AV321" si="165">IF($C258="Germany",1,0)</f>
        <v>0</v>
      </c>
      <c r="AW258" s="35">
        <f t="shared" ref="AW258:AW321" si="166">IF($C258="Italy",1,0)</f>
        <v>0</v>
      </c>
      <c r="AX258" s="35">
        <f t="shared" ref="AX258:AX321" si="167">IF($C258="Spain",1,0)</f>
        <v>0</v>
      </c>
      <c r="AY258" s="35">
        <f t="shared" ref="AY258:AY321" si="168">IF($C258="Luxembourg",1,0)</f>
        <v>0</v>
      </c>
      <c r="AZ258" s="35">
        <f t="shared" ref="AZ258:AZ321" si="169">IF($C258="Portugal",1,0)</f>
        <v>0</v>
      </c>
      <c r="BA258" s="35">
        <f t="shared" ref="BA258:BA321" si="170">IF($C258="Switzerland",1,0)</f>
        <v>0</v>
      </c>
      <c r="BB258" s="35">
        <f t="shared" ref="BB258:BB321" si="171">IF($C258="Ireland",1,0)</f>
        <v>0</v>
      </c>
      <c r="BC258" s="35">
        <f t="shared" ref="BC258:BC321" si="172">IF($C258="Finland",1,0)</f>
        <v>0</v>
      </c>
    </row>
    <row r="259" spans="1:55" s="35" customFormat="1" x14ac:dyDescent="0.35">
      <c r="A259" s="36">
        <v>38392</v>
      </c>
      <c r="B259" s="90" t="s">
        <v>700</v>
      </c>
      <c r="C259" s="35" t="s">
        <v>59</v>
      </c>
      <c r="D259" s="35" t="s">
        <v>602</v>
      </c>
      <c r="E259" s="35" t="s">
        <v>64</v>
      </c>
      <c r="F259" s="139">
        <f t="shared" si="145"/>
        <v>1</v>
      </c>
      <c r="G259" s="35">
        <v>65000000</v>
      </c>
      <c r="H259" s="139">
        <f t="shared" si="146"/>
        <v>7.8129133566428557</v>
      </c>
      <c r="I259" s="35">
        <f t="shared" si="144"/>
        <v>65000000</v>
      </c>
      <c r="J259" s="35">
        <v>0</v>
      </c>
      <c r="K259" s="36">
        <v>40240</v>
      </c>
      <c r="L259" s="35">
        <v>90700000</v>
      </c>
      <c r="M259" s="21">
        <f t="shared" si="147"/>
        <v>5.0630136986301366</v>
      </c>
      <c r="N259" s="21">
        <f t="shared" ref="N259:N322" si="173">IF(M259=0,0,LOG(M259))</f>
        <v>0.70440910242761312</v>
      </c>
      <c r="O259" s="35">
        <v>5897.96</v>
      </c>
      <c r="P259" s="35">
        <f t="shared" si="148"/>
        <v>3.7707754512906644</v>
      </c>
      <c r="Q259" s="35">
        <v>1</v>
      </c>
      <c r="R259" s="35">
        <f t="shared" si="149"/>
        <v>0.3010299956639812</v>
      </c>
      <c r="S259" s="45">
        <v>2.3199999999999998</v>
      </c>
      <c r="T259" s="45">
        <f t="shared" ref="T259:T322" si="174">LOG(S259)</f>
        <v>0.36548798489089962</v>
      </c>
      <c r="U259" s="175">
        <f t="shared" si="150"/>
        <v>0.39538461538461545</v>
      </c>
      <c r="V259" s="48">
        <f t="shared" si="151"/>
        <v>0.14469393041723971</v>
      </c>
      <c r="W259" s="35">
        <v>1421.558</v>
      </c>
      <c r="X259" s="35">
        <f t="shared" si="152"/>
        <v>3.1527645837352773</v>
      </c>
      <c r="Y259" s="35">
        <v>3476.3409999999999</v>
      </c>
      <c r="Z259" s="35">
        <f t="shared" si="153"/>
        <v>3.5411223705253856</v>
      </c>
      <c r="AA259" s="37">
        <v>132</v>
      </c>
      <c r="AB259" s="37">
        <f t="shared" si="154"/>
        <v>2.1238516409670858</v>
      </c>
      <c r="AC259" s="35">
        <v>85</v>
      </c>
      <c r="AD259" s="35">
        <f t="shared" ref="AD259:AD322" si="175">LOG(AC259)</f>
        <v>1.9294189257142926</v>
      </c>
      <c r="AE259" s="48">
        <v>32.700000000000003</v>
      </c>
      <c r="AF259" s="48">
        <f t="shared" ref="AF259:AF322" si="176">LOG(AE259)</f>
        <v>1.5145477526602862</v>
      </c>
      <c r="AG259" s="43">
        <v>41.286751495766303</v>
      </c>
      <c r="AH259" s="43">
        <f t="shared" ref="AH259:AH322" si="177">LOG(AG259)</f>
        <v>1.6158107132703448</v>
      </c>
      <c r="AI259" s="39">
        <v>0.26</v>
      </c>
      <c r="AJ259" s="48">
        <f t="shared" si="155"/>
        <v>0.10037054511756291</v>
      </c>
      <c r="AK259" s="35">
        <v>34</v>
      </c>
      <c r="AL259" s="35">
        <f t="shared" ref="AL259:AL322" si="178">IF(AK259=0,0,LOG(AK259))</f>
        <v>1.5314789170422551</v>
      </c>
      <c r="AM259" s="35">
        <f t="shared" si="156"/>
        <v>0</v>
      </c>
      <c r="AN259" s="35">
        <f t="shared" si="157"/>
        <v>0</v>
      </c>
      <c r="AO259" s="35">
        <f t="shared" si="158"/>
        <v>1</v>
      </c>
      <c r="AP259" s="35">
        <f t="shared" si="159"/>
        <v>0</v>
      </c>
      <c r="AQ259" s="35">
        <f t="shared" si="160"/>
        <v>0</v>
      </c>
      <c r="AR259" s="35">
        <f t="shared" si="161"/>
        <v>0</v>
      </c>
      <c r="AS259" s="35">
        <f t="shared" si="162"/>
        <v>0</v>
      </c>
      <c r="AT259" s="35">
        <f t="shared" si="163"/>
        <v>0</v>
      </c>
      <c r="AU259" s="35">
        <f t="shared" si="164"/>
        <v>0</v>
      </c>
      <c r="AV259" s="35">
        <f t="shared" si="165"/>
        <v>0</v>
      </c>
      <c r="AW259" s="35">
        <f t="shared" si="166"/>
        <v>0</v>
      </c>
      <c r="AX259" s="35">
        <f t="shared" si="167"/>
        <v>0</v>
      </c>
      <c r="AY259" s="35">
        <f t="shared" si="168"/>
        <v>0</v>
      </c>
      <c r="AZ259" s="35">
        <f t="shared" si="169"/>
        <v>0</v>
      </c>
      <c r="BA259" s="35">
        <f t="shared" si="170"/>
        <v>0</v>
      </c>
      <c r="BB259" s="35">
        <f t="shared" si="171"/>
        <v>0</v>
      </c>
      <c r="BC259" s="35">
        <f t="shared" si="172"/>
        <v>0</v>
      </c>
    </row>
    <row r="260" spans="1:55" s="35" customFormat="1" x14ac:dyDescent="0.35">
      <c r="A260" s="36">
        <v>38408</v>
      </c>
      <c r="B260" s="90" t="s">
        <v>957</v>
      </c>
      <c r="C260" s="35" t="s">
        <v>59</v>
      </c>
      <c r="D260" s="35" t="s">
        <v>59</v>
      </c>
      <c r="E260" s="35" t="s">
        <v>47</v>
      </c>
      <c r="F260" s="139">
        <f t="shared" si="145"/>
        <v>0</v>
      </c>
      <c r="G260" s="35">
        <v>18350000</v>
      </c>
      <c r="H260" s="139">
        <f t="shared" si="146"/>
        <v>7.2636360685881085</v>
      </c>
      <c r="I260" s="35">
        <f t="shared" si="144"/>
        <v>18350000</v>
      </c>
      <c r="J260" s="35">
        <v>0</v>
      </c>
      <c r="K260" s="36">
        <v>41486</v>
      </c>
      <c r="L260" s="35">
        <v>47500000</v>
      </c>
      <c r="M260" s="21">
        <f t="shared" si="147"/>
        <v>8.4328767123287669</v>
      </c>
      <c r="N260" s="21">
        <f t="shared" si="173"/>
        <v>0.92597575103898522</v>
      </c>
      <c r="O260" s="35">
        <v>0</v>
      </c>
      <c r="P260" s="35">
        <f t="shared" si="148"/>
        <v>0</v>
      </c>
      <c r="Q260" s="35">
        <v>7</v>
      </c>
      <c r="R260" s="35">
        <f t="shared" si="149"/>
        <v>0.90308998699194354</v>
      </c>
      <c r="S260" s="45">
        <v>3.29</v>
      </c>
      <c r="T260" s="45">
        <f t="shared" si="174"/>
        <v>0.51719589794997434</v>
      </c>
      <c r="U260" s="175">
        <f t="shared" si="150"/>
        <v>1.5885558583106265</v>
      </c>
      <c r="V260" s="48">
        <f t="shared" si="151"/>
        <v>0.4130575410367584</v>
      </c>
      <c r="W260" s="35">
        <v>4375.8573388203013</v>
      </c>
      <c r="X260" s="35">
        <f t="shared" si="152"/>
        <v>3.6410631547392063</v>
      </c>
      <c r="Y260" s="35">
        <v>5027.4348422496569</v>
      </c>
      <c r="Z260" s="35">
        <f t="shared" si="153"/>
        <v>3.7013464506591722</v>
      </c>
      <c r="AA260" s="37">
        <v>0</v>
      </c>
      <c r="AB260" s="37">
        <f t="shared" si="154"/>
        <v>0</v>
      </c>
      <c r="AC260" s="35">
        <v>85</v>
      </c>
      <c r="AD260" s="35">
        <f t="shared" si="175"/>
        <v>1.9294189257142926</v>
      </c>
      <c r="AE260" s="48">
        <v>32.700000000000003</v>
      </c>
      <c r="AF260" s="48">
        <f t="shared" si="176"/>
        <v>1.5145477526602862</v>
      </c>
      <c r="AG260" s="43">
        <v>41.286751495766303</v>
      </c>
      <c r="AH260" s="43">
        <f t="shared" si="177"/>
        <v>1.6158107132703448</v>
      </c>
      <c r="AI260" s="39">
        <v>0.49</v>
      </c>
      <c r="AJ260" s="48">
        <f t="shared" si="155"/>
        <v>0.17318626841227402</v>
      </c>
      <c r="AK260" s="35">
        <v>10</v>
      </c>
      <c r="AL260" s="35">
        <f t="shared" si="178"/>
        <v>1</v>
      </c>
      <c r="AM260" s="35">
        <f t="shared" si="156"/>
        <v>0</v>
      </c>
      <c r="AN260" s="35">
        <f t="shared" si="157"/>
        <v>0</v>
      </c>
      <c r="AO260" s="35">
        <f t="shared" si="158"/>
        <v>1</v>
      </c>
      <c r="AP260" s="35">
        <f t="shared" si="159"/>
        <v>0</v>
      </c>
      <c r="AQ260" s="35">
        <f t="shared" si="160"/>
        <v>0</v>
      </c>
      <c r="AR260" s="35">
        <f t="shared" si="161"/>
        <v>0</v>
      </c>
      <c r="AS260" s="35">
        <f t="shared" si="162"/>
        <v>0</v>
      </c>
      <c r="AT260" s="35">
        <f t="shared" si="163"/>
        <v>0</v>
      </c>
      <c r="AU260" s="35">
        <f t="shared" si="164"/>
        <v>0</v>
      </c>
      <c r="AV260" s="35">
        <f t="shared" si="165"/>
        <v>0</v>
      </c>
      <c r="AW260" s="35">
        <f t="shared" si="166"/>
        <v>0</v>
      </c>
      <c r="AX260" s="35">
        <f t="shared" si="167"/>
        <v>0</v>
      </c>
      <c r="AY260" s="35">
        <f t="shared" si="168"/>
        <v>0</v>
      </c>
      <c r="AZ260" s="35">
        <f t="shared" si="169"/>
        <v>0</v>
      </c>
      <c r="BA260" s="35">
        <f t="shared" si="170"/>
        <v>0</v>
      </c>
      <c r="BB260" s="35">
        <f t="shared" si="171"/>
        <v>0</v>
      </c>
      <c r="BC260" s="35">
        <f t="shared" si="172"/>
        <v>0</v>
      </c>
    </row>
    <row r="261" spans="1:55" s="35" customFormat="1" x14ac:dyDescent="0.35">
      <c r="A261" s="36">
        <v>38411</v>
      </c>
      <c r="B261" s="35" t="s">
        <v>578</v>
      </c>
      <c r="C261" s="35" t="s">
        <v>2</v>
      </c>
      <c r="D261" s="35" t="s">
        <v>577</v>
      </c>
      <c r="E261" s="35" t="s">
        <v>125</v>
      </c>
      <c r="F261" s="139">
        <f t="shared" si="145"/>
        <v>1</v>
      </c>
      <c r="G261" s="35">
        <v>168000000</v>
      </c>
      <c r="H261" s="139">
        <f t="shared" si="146"/>
        <v>8.2253092817258633</v>
      </c>
      <c r="I261" s="35">
        <f t="shared" si="144"/>
        <v>168000000</v>
      </c>
      <c r="J261" s="35">
        <v>0</v>
      </c>
      <c r="K261" s="36">
        <v>39360</v>
      </c>
      <c r="L261" s="35">
        <v>1000000000</v>
      </c>
      <c r="M261" s="21">
        <f t="shared" si="147"/>
        <v>2.6</v>
      </c>
      <c r="N261" s="21">
        <f t="shared" si="173"/>
        <v>0.41497334797081797</v>
      </c>
      <c r="O261" s="35">
        <v>1310.4100000000001</v>
      </c>
      <c r="P261" s="35">
        <f t="shared" si="148"/>
        <v>3.1177384910037165</v>
      </c>
      <c r="Q261" s="35">
        <v>26</v>
      </c>
      <c r="R261" s="35">
        <f t="shared" si="149"/>
        <v>1.4313637641589874</v>
      </c>
      <c r="S261" s="45">
        <v>2.99</v>
      </c>
      <c r="T261" s="45">
        <f t="shared" si="174"/>
        <v>0.47567118832442967</v>
      </c>
      <c r="U261" s="175">
        <f t="shared" si="150"/>
        <v>4.9523809523809526</v>
      </c>
      <c r="V261" s="48">
        <f t="shared" si="151"/>
        <v>0.77469071827413716</v>
      </c>
      <c r="W261" s="35">
        <v>1895.918367346939</v>
      </c>
      <c r="X261" s="35">
        <f t="shared" si="152"/>
        <v>3.277819633965128</v>
      </c>
      <c r="Y261" s="35">
        <v>8519.3877551020414</v>
      </c>
      <c r="Z261" s="35">
        <f t="shared" si="153"/>
        <v>3.9304083853612104</v>
      </c>
      <c r="AA261" s="37">
        <v>787.83333333333303</v>
      </c>
      <c r="AB261" s="37">
        <f t="shared" si="154"/>
        <v>2.8969852540843504</v>
      </c>
      <c r="AC261" s="35">
        <v>70</v>
      </c>
      <c r="AD261" s="35">
        <f t="shared" si="175"/>
        <v>1.8450980400142569</v>
      </c>
      <c r="AE261" s="48">
        <v>33.9</v>
      </c>
      <c r="AF261" s="48">
        <f t="shared" si="176"/>
        <v>1.5301996982030821</v>
      </c>
      <c r="AG261" s="43">
        <v>46.200073016176603</v>
      </c>
      <c r="AH261" s="43">
        <f t="shared" si="177"/>
        <v>1.664642661930531</v>
      </c>
      <c r="AI261" s="39">
        <v>1.22</v>
      </c>
      <c r="AJ261" s="48">
        <f t="shared" si="155"/>
        <v>0.34635297445063856</v>
      </c>
      <c r="AK261" s="35">
        <v>26</v>
      </c>
      <c r="AL261" s="35">
        <f t="shared" si="178"/>
        <v>1.414973347970818</v>
      </c>
      <c r="AM261" s="35">
        <f t="shared" si="156"/>
        <v>0</v>
      </c>
      <c r="AN261" s="35">
        <f t="shared" si="157"/>
        <v>0</v>
      </c>
      <c r="AO261" s="35">
        <f t="shared" si="158"/>
        <v>0</v>
      </c>
      <c r="AP261" s="35">
        <f t="shared" si="159"/>
        <v>0</v>
      </c>
      <c r="AQ261" s="35">
        <f t="shared" si="160"/>
        <v>0</v>
      </c>
      <c r="AR261" s="35">
        <f t="shared" si="161"/>
        <v>0</v>
      </c>
      <c r="AS261" s="35">
        <f t="shared" si="162"/>
        <v>0</v>
      </c>
      <c r="AT261" s="35">
        <f t="shared" si="163"/>
        <v>0</v>
      </c>
      <c r="AU261" s="35">
        <f t="shared" si="164"/>
        <v>0</v>
      </c>
      <c r="AV261" s="35">
        <f t="shared" si="165"/>
        <v>1</v>
      </c>
      <c r="AW261" s="35">
        <f t="shared" si="166"/>
        <v>0</v>
      </c>
      <c r="AX261" s="35">
        <f t="shared" si="167"/>
        <v>0</v>
      </c>
      <c r="AY261" s="35">
        <f t="shared" si="168"/>
        <v>0</v>
      </c>
      <c r="AZ261" s="35">
        <f t="shared" si="169"/>
        <v>0</v>
      </c>
      <c r="BA261" s="35">
        <f t="shared" si="170"/>
        <v>0</v>
      </c>
      <c r="BB261" s="35">
        <f t="shared" si="171"/>
        <v>0</v>
      </c>
      <c r="BC261" s="35">
        <f t="shared" si="172"/>
        <v>0</v>
      </c>
    </row>
    <row r="262" spans="1:55" s="35" customFormat="1" x14ac:dyDescent="0.35">
      <c r="A262" s="36">
        <v>38411</v>
      </c>
      <c r="B262" s="35" t="s">
        <v>1289</v>
      </c>
      <c r="C262" s="35" t="s">
        <v>45</v>
      </c>
      <c r="D262" s="35" t="s">
        <v>602</v>
      </c>
      <c r="E262" s="35" t="s">
        <v>47</v>
      </c>
      <c r="F262" s="139">
        <f t="shared" si="145"/>
        <v>0</v>
      </c>
      <c r="G262" s="35">
        <v>40000000</v>
      </c>
      <c r="H262" s="139">
        <f t="shared" si="146"/>
        <v>7.6020599913279625</v>
      </c>
      <c r="I262" s="35">
        <f t="shared" si="144"/>
        <v>40000000</v>
      </c>
      <c r="J262" s="35">
        <v>0</v>
      </c>
      <c r="K262" s="36">
        <v>40388</v>
      </c>
      <c r="L262" s="35">
        <v>92000000</v>
      </c>
      <c r="M262" s="21">
        <f t="shared" si="147"/>
        <v>5.4164383561643836</v>
      </c>
      <c r="N262" s="21">
        <f t="shared" si="173"/>
        <v>0.73371380485719762</v>
      </c>
      <c r="O262" s="35">
        <v>0</v>
      </c>
      <c r="P262" s="35">
        <f t="shared" si="148"/>
        <v>0</v>
      </c>
      <c r="Q262" s="35">
        <v>33</v>
      </c>
      <c r="R262" s="35">
        <f t="shared" si="149"/>
        <v>1.5314789170422551</v>
      </c>
      <c r="S262" s="45">
        <v>2.95</v>
      </c>
      <c r="T262" s="45">
        <f t="shared" si="174"/>
        <v>0.46982201597816303</v>
      </c>
      <c r="U262" s="175">
        <f t="shared" si="150"/>
        <v>1.2999999999999998</v>
      </c>
      <c r="V262" s="48">
        <f t="shared" si="151"/>
        <v>0.36172783601759284</v>
      </c>
      <c r="W262" s="35">
        <v>1246.953</v>
      </c>
      <c r="X262" s="35">
        <f t="shared" si="152"/>
        <v>3.0958500844125241</v>
      </c>
      <c r="Y262" s="35">
        <v>3219.7179999999998</v>
      </c>
      <c r="Z262" s="35">
        <f t="shared" si="153"/>
        <v>3.5078178355445662</v>
      </c>
      <c r="AA262" s="35">
        <v>0</v>
      </c>
      <c r="AB262" s="37">
        <f t="shared" si="154"/>
        <v>0</v>
      </c>
      <c r="AC262" s="35">
        <v>85</v>
      </c>
      <c r="AD262" s="35">
        <f t="shared" si="175"/>
        <v>1.9294189257142926</v>
      </c>
      <c r="AE262" s="48">
        <v>25.9</v>
      </c>
      <c r="AF262" s="48">
        <f t="shared" si="176"/>
        <v>1.4132997640812519</v>
      </c>
      <c r="AG262" s="43">
        <v>36.959146749272797</v>
      </c>
      <c r="AH262" s="43">
        <f t="shared" si="177"/>
        <v>1.5677219364019672</v>
      </c>
      <c r="AI262" s="39">
        <v>0.21</v>
      </c>
      <c r="AJ262" s="48">
        <f t="shared" si="155"/>
        <v>8.2785370316450071E-2</v>
      </c>
      <c r="AK262" s="35">
        <v>17</v>
      </c>
      <c r="AL262" s="35">
        <f t="shared" si="178"/>
        <v>1.2304489213782739</v>
      </c>
      <c r="AM262" s="35">
        <f t="shared" si="156"/>
        <v>0</v>
      </c>
      <c r="AN262" s="35">
        <f t="shared" si="157"/>
        <v>1</v>
      </c>
      <c r="AO262" s="35">
        <f t="shared" si="158"/>
        <v>0</v>
      </c>
      <c r="AP262" s="35">
        <f t="shared" si="159"/>
        <v>0</v>
      </c>
      <c r="AQ262" s="35">
        <f t="shared" si="160"/>
        <v>0</v>
      </c>
      <c r="AR262" s="35">
        <f t="shared" si="161"/>
        <v>0</v>
      </c>
      <c r="AS262" s="35">
        <f t="shared" si="162"/>
        <v>0</v>
      </c>
      <c r="AT262" s="35">
        <f t="shared" si="163"/>
        <v>0</v>
      </c>
      <c r="AU262" s="35">
        <f t="shared" si="164"/>
        <v>0</v>
      </c>
      <c r="AV262" s="35">
        <f t="shared" si="165"/>
        <v>0</v>
      </c>
      <c r="AW262" s="35">
        <f t="shared" si="166"/>
        <v>0</v>
      </c>
      <c r="AX262" s="35">
        <f t="shared" si="167"/>
        <v>0</v>
      </c>
      <c r="AY262" s="35">
        <f t="shared" si="168"/>
        <v>0</v>
      </c>
      <c r="AZ262" s="35">
        <f t="shared" si="169"/>
        <v>0</v>
      </c>
      <c r="BA262" s="35">
        <f t="shared" si="170"/>
        <v>0</v>
      </c>
      <c r="BB262" s="35">
        <f t="shared" si="171"/>
        <v>0</v>
      </c>
      <c r="BC262" s="35">
        <f t="shared" si="172"/>
        <v>0</v>
      </c>
    </row>
    <row r="263" spans="1:55" s="35" customFormat="1" x14ac:dyDescent="0.35">
      <c r="A263" s="36">
        <v>38428</v>
      </c>
      <c r="B263" s="35" t="s">
        <v>175</v>
      </c>
      <c r="C263" s="35" t="s">
        <v>45</v>
      </c>
      <c r="D263" s="35" t="s">
        <v>45</v>
      </c>
      <c r="E263" s="35" t="s">
        <v>47</v>
      </c>
      <c r="F263" s="139">
        <f t="shared" si="145"/>
        <v>0</v>
      </c>
      <c r="G263" s="35">
        <v>7544390000</v>
      </c>
      <c r="H263" s="139">
        <f t="shared" si="146"/>
        <v>9.8776241307459784</v>
      </c>
      <c r="I263" s="35">
        <v>5967390000</v>
      </c>
      <c r="J263" s="35">
        <v>1577000000</v>
      </c>
      <c r="K263" s="36">
        <v>42997</v>
      </c>
      <c r="L263" s="35">
        <v>0</v>
      </c>
      <c r="M263" s="21">
        <f t="shared" si="147"/>
        <v>12.517808219178082</v>
      </c>
      <c r="N263" s="21">
        <f t="shared" si="173"/>
        <v>1.0975282935992303</v>
      </c>
      <c r="O263" s="35">
        <v>0</v>
      </c>
      <c r="P263" s="35">
        <f t="shared" si="148"/>
        <v>0</v>
      </c>
      <c r="Q263" s="35">
        <v>48</v>
      </c>
      <c r="R263" s="35">
        <f t="shared" si="149"/>
        <v>1.6901960800285136</v>
      </c>
      <c r="S263" s="45">
        <v>2.95</v>
      </c>
      <c r="T263" s="45">
        <f t="shared" si="174"/>
        <v>0.46982201597816303</v>
      </c>
      <c r="U263" s="175">
        <f t="shared" si="150"/>
        <v>-1</v>
      </c>
      <c r="V263" s="48">
        <f t="shared" si="151"/>
        <v>-1</v>
      </c>
      <c r="W263" s="35">
        <v>1171.498</v>
      </c>
      <c r="X263" s="35">
        <f t="shared" si="152"/>
        <v>3.0687415514991745</v>
      </c>
      <c r="Y263" s="35">
        <v>3386.1060000000002</v>
      </c>
      <c r="Z263" s="35">
        <f t="shared" si="153"/>
        <v>3.5297005493117593</v>
      </c>
      <c r="AA263" s="37">
        <v>0</v>
      </c>
      <c r="AB263" s="37">
        <f t="shared" si="154"/>
        <v>0</v>
      </c>
      <c r="AC263" s="35">
        <v>85</v>
      </c>
      <c r="AD263" s="35">
        <f t="shared" si="175"/>
        <v>1.9294189257142926</v>
      </c>
      <c r="AE263" s="48">
        <v>25.9</v>
      </c>
      <c r="AF263" s="48">
        <f t="shared" si="176"/>
        <v>1.4132997640812519</v>
      </c>
      <c r="AG263" s="43">
        <v>36.959146749272797</v>
      </c>
      <c r="AH263" s="43">
        <f t="shared" si="177"/>
        <v>1.5677219364019672</v>
      </c>
      <c r="AI263" s="39">
        <v>0.4</v>
      </c>
      <c r="AJ263" s="48">
        <f t="shared" si="155"/>
        <v>0.14612803567823801</v>
      </c>
      <c r="AK263" s="35">
        <v>3</v>
      </c>
      <c r="AL263" s="35">
        <f t="shared" si="178"/>
        <v>0.47712125471966244</v>
      </c>
      <c r="AM263" s="35">
        <f t="shared" si="156"/>
        <v>1</v>
      </c>
      <c r="AN263" s="35">
        <f t="shared" si="157"/>
        <v>1</v>
      </c>
      <c r="AO263" s="35">
        <f t="shared" si="158"/>
        <v>0</v>
      </c>
      <c r="AP263" s="35">
        <f t="shared" si="159"/>
        <v>0</v>
      </c>
      <c r="AQ263" s="35">
        <f t="shared" si="160"/>
        <v>0</v>
      </c>
      <c r="AR263" s="35">
        <f t="shared" si="161"/>
        <v>0</v>
      </c>
      <c r="AS263" s="35">
        <f t="shared" si="162"/>
        <v>0</v>
      </c>
      <c r="AT263" s="35">
        <f t="shared" si="163"/>
        <v>0</v>
      </c>
      <c r="AU263" s="35">
        <f t="shared" si="164"/>
        <v>0</v>
      </c>
      <c r="AV263" s="35">
        <f t="shared" si="165"/>
        <v>0</v>
      </c>
      <c r="AW263" s="35">
        <f t="shared" si="166"/>
        <v>0</v>
      </c>
      <c r="AX263" s="35">
        <f t="shared" si="167"/>
        <v>0</v>
      </c>
      <c r="AY263" s="35">
        <f t="shared" si="168"/>
        <v>0</v>
      </c>
      <c r="AZ263" s="35">
        <f t="shared" si="169"/>
        <v>0</v>
      </c>
      <c r="BA263" s="35">
        <f t="shared" si="170"/>
        <v>0</v>
      </c>
      <c r="BB263" s="35">
        <f t="shared" si="171"/>
        <v>0</v>
      </c>
      <c r="BC263" s="35">
        <f t="shared" si="172"/>
        <v>0</v>
      </c>
    </row>
    <row r="264" spans="1:55" s="35" customFormat="1" x14ac:dyDescent="0.35">
      <c r="A264" s="36">
        <v>38432</v>
      </c>
      <c r="B264" s="35" t="s">
        <v>1062</v>
      </c>
      <c r="C264" s="35" t="s">
        <v>2</v>
      </c>
      <c r="D264" s="35" t="s">
        <v>45</v>
      </c>
      <c r="E264" s="35" t="s">
        <v>64</v>
      </c>
      <c r="F264" s="139">
        <f t="shared" si="145"/>
        <v>1</v>
      </c>
      <c r="G264" s="35">
        <v>1220000000</v>
      </c>
      <c r="H264" s="139">
        <f t="shared" si="146"/>
        <v>9.0863598306747484</v>
      </c>
      <c r="I264" s="35">
        <f>G264</f>
        <v>1220000000</v>
      </c>
      <c r="J264" s="35">
        <v>0</v>
      </c>
      <c r="K264" s="36">
        <v>39190</v>
      </c>
      <c r="L264" s="35">
        <v>523207200</v>
      </c>
      <c r="M264" s="21">
        <f t="shared" si="147"/>
        <v>2.0767123287671234</v>
      </c>
      <c r="N264" s="21">
        <f t="shared" si="173"/>
        <v>0.31737634117557884</v>
      </c>
      <c r="O264" s="35">
        <v>6815.73</v>
      </c>
      <c r="P264" s="35">
        <f t="shared" si="148"/>
        <v>3.8335760926148099</v>
      </c>
      <c r="Q264" s="35">
        <v>99</v>
      </c>
      <c r="R264" s="35">
        <f t="shared" si="149"/>
        <v>2</v>
      </c>
      <c r="S264" s="45">
        <v>2.85</v>
      </c>
      <c r="T264" s="45">
        <f t="shared" si="174"/>
        <v>0.45484486000851021</v>
      </c>
      <c r="U264" s="175">
        <f t="shared" si="150"/>
        <v>-0.57114163934426232</v>
      </c>
      <c r="V264" s="48">
        <f t="shared" si="151"/>
        <v>-0.36768611887009245</v>
      </c>
      <c r="W264" s="35">
        <v>1455.5555555555557</v>
      </c>
      <c r="X264" s="35">
        <f t="shared" si="152"/>
        <v>3.1630287862164392</v>
      </c>
      <c r="Y264" s="35">
        <v>6605.5555555555547</v>
      </c>
      <c r="Z264" s="35">
        <f t="shared" si="153"/>
        <v>3.8199093495153855</v>
      </c>
      <c r="AA264" s="37">
        <v>819</v>
      </c>
      <c r="AB264" s="37">
        <f t="shared" si="154"/>
        <v>2.9138138523837167</v>
      </c>
      <c r="AC264" s="35">
        <v>70</v>
      </c>
      <c r="AD264" s="35">
        <f t="shared" si="175"/>
        <v>1.8450980400142569</v>
      </c>
      <c r="AE264" s="48">
        <v>33.9</v>
      </c>
      <c r="AF264" s="48">
        <f t="shared" si="176"/>
        <v>1.5301996982030821</v>
      </c>
      <c r="AG264" s="43">
        <v>46.200073016176603</v>
      </c>
      <c r="AH264" s="43">
        <f t="shared" si="177"/>
        <v>1.664642661930531</v>
      </c>
      <c r="AI264" s="39">
        <v>0.4</v>
      </c>
      <c r="AJ264" s="48">
        <f t="shared" si="155"/>
        <v>0.14612803567823801</v>
      </c>
      <c r="AK264" s="35">
        <v>2</v>
      </c>
      <c r="AL264" s="35">
        <f t="shared" si="178"/>
        <v>0.3010299956639812</v>
      </c>
      <c r="AM264" s="35">
        <f t="shared" si="156"/>
        <v>0</v>
      </c>
      <c r="AN264" s="35">
        <f t="shared" si="157"/>
        <v>0</v>
      </c>
      <c r="AO264" s="35">
        <f t="shared" si="158"/>
        <v>0</v>
      </c>
      <c r="AP264" s="35">
        <f t="shared" si="159"/>
        <v>0</v>
      </c>
      <c r="AQ264" s="35">
        <f t="shared" si="160"/>
        <v>0</v>
      </c>
      <c r="AR264" s="35">
        <f t="shared" si="161"/>
        <v>0</v>
      </c>
      <c r="AS264" s="35">
        <f t="shared" si="162"/>
        <v>0</v>
      </c>
      <c r="AT264" s="35">
        <f t="shared" si="163"/>
        <v>0</v>
      </c>
      <c r="AU264" s="35">
        <f t="shared" si="164"/>
        <v>0</v>
      </c>
      <c r="AV264" s="35">
        <f t="shared" si="165"/>
        <v>1</v>
      </c>
      <c r="AW264" s="35">
        <f t="shared" si="166"/>
        <v>0</v>
      </c>
      <c r="AX264" s="35">
        <f t="shared" si="167"/>
        <v>0</v>
      </c>
      <c r="AY264" s="35">
        <f t="shared" si="168"/>
        <v>0</v>
      </c>
      <c r="AZ264" s="35">
        <f t="shared" si="169"/>
        <v>0</v>
      </c>
      <c r="BA264" s="35">
        <f t="shared" si="170"/>
        <v>0</v>
      </c>
      <c r="BB264" s="35">
        <f t="shared" si="171"/>
        <v>0</v>
      </c>
      <c r="BC264" s="35">
        <f t="shared" si="172"/>
        <v>0</v>
      </c>
    </row>
    <row r="265" spans="1:55" s="35" customFormat="1" x14ac:dyDescent="0.35">
      <c r="A265" s="36">
        <v>38439</v>
      </c>
      <c r="B265" s="35" t="s">
        <v>177</v>
      </c>
      <c r="C265" s="35" t="s">
        <v>45</v>
      </c>
      <c r="D265" s="35" t="s">
        <v>45</v>
      </c>
      <c r="E265" s="35" t="s">
        <v>47</v>
      </c>
      <c r="F265" s="139">
        <f t="shared" si="145"/>
        <v>0</v>
      </c>
      <c r="G265" s="35">
        <v>10591520000</v>
      </c>
      <c r="H265" s="139">
        <f t="shared" si="146"/>
        <v>10.024958290630849</v>
      </c>
      <c r="I265" s="35">
        <v>10712090000</v>
      </c>
      <c r="J265" s="35">
        <v>-120570000</v>
      </c>
      <c r="K265" s="36">
        <v>42346</v>
      </c>
      <c r="L265" s="35">
        <v>9100000000</v>
      </c>
      <c r="M265" s="21">
        <f t="shared" si="147"/>
        <v>10.704109589041096</v>
      </c>
      <c r="N265" s="21">
        <f t="shared" si="173"/>
        <v>1.0295505467683097</v>
      </c>
      <c r="O265" s="35">
        <v>0</v>
      </c>
      <c r="P265" s="35">
        <f t="shared" si="148"/>
        <v>0</v>
      </c>
      <c r="Q265" s="35">
        <v>37</v>
      </c>
      <c r="R265" s="35">
        <f t="shared" si="149"/>
        <v>1.5797835966168101</v>
      </c>
      <c r="S265" s="45">
        <v>2.95</v>
      </c>
      <c r="T265" s="45">
        <f t="shared" si="174"/>
        <v>0.46982201597816303</v>
      </c>
      <c r="U265" s="175">
        <f t="shared" si="150"/>
        <v>-0.14082209163557258</v>
      </c>
      <c r="V265" s="48">
        <f t="shared" si="151"/>
        <v>-6.5916898309755723E-2</v>
      </c>
      <c r="W265" s="35">
        <v>1171.498</v>
      </c>
      <c r="X265" s="35">
        <f t="shared" si="152"/>
        <v>3.0687415514991745</v>
      </c>
      <c r="Y265" s="35">
        <v>3386.1060000000002</v>
      </c>
      <c r="Z265" s="35">
        <f t="shared" si="153"/>
        <v>3.5297005493117593</v>
      </c>
      <c r="AA265" s="37">
        <v>0</v>
      </c>
      <c r="AB265" s="37">
        <f t="shared" si="154"/>
        <v>0</v>
      </c>
      <c r="AC265" s="35">
        <v>85</v>
      </c>
      <c r="AD265" s="35">
        <f t="shared" si="175"/>
        <v>1.9294189257142926</v>
      </c>
      <c r="AE265" s="48">
        <v>25.9</v>
      </c>
      <c r="AF265" s="48">
        <f t="shared" si="176"/>
        <v>1.4132997640812519</v>
      </c>
      <c r="AG265" s="43">
        <v>36.959146749272797</v>
      </c>
      <c r="AH265" s="43">
        <f t="shared" si="177"/>
        <v>1.5677219364019672</v>
      </c>
      <c r="AI265" s="39">
        <v>0.51</v>
      </c>
      <c r="AJ265" s="48">
        <f t="shared" si="155"/>
        <v>0.17897694729316943</v>
      </c>
      <c r="AK265" s="35">
        <v>0</v>
      </c>
      <c r="AL265" s="35">
        <f t="shared" si="178"/>
        <v>0</v>
      </c>
      <c r="AM265" s="35">
        <f t="shared" si="156"/>
        <v>0</v>
      </c>
      <c r="AN265" s="35">
        <f t="shared" si="157"/>
        <v>1</v>
      </c>
      <c r="AO265" s="35">
        <f t="shared" si="158"/>
        <v>0</v>
      </c>
      <c r="AP265" s="35">
        <f t="shared" si="159"/>
        <v>0</v>
      </c>
      <c r="AQ265" s="35">
        <f t="shared" si="160"/>
        <v>0</v>
      </c>
      <c r="AR265" s="35">
        <f t="shared" si="161"/>
        <v>0</v>
      </c>
      <c r="AS265" s="35">
        <f t="shared" si="162"/>
        <v>0</v>
      </c>
      <c r="AT265" s="35">
        <f t="shared" si="163"/>
        <v>0</v>
      </c>
      <c r="AU265" s="35">
        <f t="shared" si="164"/>
        <v>0</v>
      </c>
      <c r="AV265" s="35">
        <f t="shared" si="165"/>
        <v>0</v>
      </c>
      <c r="AW265" s="35">
        <f t="shared" si="166"/>
        <v>0</v>
      </c>
      <c r="AX265" s="35">
        <f t="shared" si="167"/>
        <v>0</v>
      </c>
      <c r="AY265" s="35">
        <f t="shared" si="168"/>
        <v>0</v>
      </c>
      <c r="AZ265" s="35">
        <f t="shared" si="169"/>
        <v>0</v>
      </c>
      <c r="BA265" s="35">
        <f t="shared" si="170"/>
        <v>0</v>
      </c>
      <c r="BB265" s="35">
        <f t="shared" si="171"/>
        <v>0</v>
      </c>
      <c r="BC265" s="35">
        <f t="shared" si="172"/>
        <v>0</v>
      </c>
    </row>
    <row r="266" spans="1:55" s="35" customFormat="1" x14ac:dyDescent="0.35">
      <c r="A266" s="36">
        <v>38448</v>
      </c>
      <c r="B266" s="35" t="s">
        <v>617</v>
      </c>
      <c r="C266" s="35" t="s">
        <v>163</v>
      </c>
      <c r="D266" s="35" t="s">
        <v>602</v>
      </c>
      <c r="E266" s="35" t="s">
        <v>64</v>
      </c>
      <c r="F266" s="139">
        <f t="shared" si="145"/>
        <v>1</v>
      </c>
      <c r="G266" s="35">
        <v>42000000</v>
      </c>
      <c r="H266" s="139">
        <f t="shared" si="146"/>
        <v>7.6232492903979008</v>
      </c>
      <c r="I266" s="35">
        <f>G266</f>
        <v>42000000</v>
      </c>
      <c r="J266" s="35">
        <v>0</v>
      </c>
      <c r="K266" s="36">
        <v>39307</v>
      </c>
      <c r="L266" s="35">
        <v>82230000</v>
      </c>
      <c r="M266" s="21">
        <f t="shared" si="147"/>
        <v>2.3534246575342466</v>
      </c>
      <c r="N266" s="21">
        <f t="shared" si="173"/>
        <v>0.37170029937476762</v>
      </c>
      <c r="O266" s="35">
        <v>6164.6</v>
      </c>
      <c r="P266" s="35">
        <f t="shared" si="148"/>
        <v>3.7899753459779522</v>
      </c>
      <c r="Q266" s="35">
        <v>76</v>
      </c>
      <c r="R266" s="35">
        <f t="shared" si="149"/>
        <v>1.8864907251724818</v>
      </c>
      <c r="S266" s="45">
        <v>3.18</v>
      </c>
      <c r="T266" s="45">
        <f t="shared" si="174"/>
        <v>0.50242711998443268</v>
      </c>
      <c r="U266" s="175">
        <f t="shared" si="150"/>
        <v>0.95785714285714296</v>
      </c>
      <c r="V266" s="48">
        <f t="shared" si="151"/>
        <v>0.29178099986126038</v>
      </c>
      <c r="W266" s="35">
        <v>1246.953</v>
      </c>
      <c r="X266" s="35">
        <f t="shared" si="152"/>
        <v>3.0958500844125241</v>
      </c>
      <c r="Y266" s="35">
        <v>3219.7179999999998</v>
      </c>
      <c r="Z266" s="35">
        <f t="shared" si="153"/>
        <v>3.5078178355445662</v>
      </c>
      <c r="AA266" s="37">
        <v>583.83333333333303</v>
      </c>
      <c r="AB266" s="37">
        <f t="shared" si="154"/>
        <v>2.7670321178317625</v>
      </c>
      <c r="AC266" s="35">
        <v>70</v>
      </c>
      <c r="AD266" s="35">
        <f t="shared" si="175"/>
        <v>1.8450980400142569</v>
      </c>
      <c r="AE266" s="48">
        <v>42.9</v>
      </c>
      <c r="AF266" s="48">
        <f t="shared" si="176"/>
        <v>1.6324572921847242</v>
      </c>
      <c r="AG266" s="43">
        <v>53.2941466273667</v>
      </c>
      <c r="AH266" s="43">
        <f t="shared" si="177"/>
        <v>1.7266795124593939</v>
      </c>
      <c r="AI266" s="39">
        <v>0.39</v>
      </c>
      <c r="AJ266" s="48">
        <f t="shared" si="155"/>
        <v>0.14301480025409513</v>
      </c>
      <c r="AK266" s="35">
        <v>36</v>
      </c>
      <c r="AL266" s="35">
        <f t="shared" si="178"/>
        <v>1.5563025007672873</v>
      </c>
      <c r="AM266" s="35">
        <f t="shared" si="156"/>
        <v>0</v>
      </c>
      <c r="AN266" s="35">
        <f t="shared" si="157"/>
        <v>0</v>
      </c>
      <c r="AO266" s="35">
        <f t="shared" si="158"/>
        <v>0</v>
      </c>
      <c r="AP266" s="35">
        <f t="shared" si="159"/>
        <v>0</v>
      </c>
      <c r="AQ266" s="35">
        <f t="shared" si="160"/>
        <v>0</v>
      </c>
      <c r="AR266" s="35">
        <f t="shared" si="161"/>
        <v>0</v>
      </c>
      <c r="AS266" s="35">
        <f t="shared" si="162"/>
        <v>0</v>
      </c>
      <c r="AT266" s="35">
        <f t="shared" si="163"/>
        <v>1</v>
      </c>
      <c r="AU266" s="35">
        <f t="shared" si="164"/>
        <v>0</v>
      </c>
      <c r="AV266" s="35">
        <f t="shared" si="165"/>
        <v>0</v>
      </c>
      <c r="AW266" s="35">
        <f t="shared" si="166"/>
        <v>0</v>
      </c>
      <c r="AX266" s="35">
        <f t="shared" si="167"/>
        <v>0</v>
      </c>
      <c r="AY266" s="35">
        <f t="shared" si="168"/>
        <v>0</v>
      </c>
      <c r="AZ266" s="35">
        <f t="shared" si="169"/>
        <v>0</v>
      </c>
      <c r="BA266" s="35">
        <f t="shared" si="170"/>
        <v>0</v>
      </c>
      <c r="BB266" s="35">
        <f t="shared" si="171"/>
        <v>0</v>
      </c>
      <c r="BC266" s="35">
        <f t="shared" si="172"/>
        <v>0</v>
      </c>
    </row>
    <row r="267" spans="1:55" s="35" customFormat="1" x14ac:dyDescent="0.35">
      <c r="A267" s="36">
        <v>38453</v>
      </c>
      <c r="B267" s="35" t="s">
        <v>1212</v>
      </c>
      <c r="C267" s="35" t="s">
        <v>45</v>
      </c>
      <c r="D267" s="35" t="s">
        <v>602</v>
      </c>
      <c r="E267" s="35" t="s">
        <v>47</v>
      </c>
      <c r="F267" s="139">
        <f t="shared" si="145"/>
        <v>0</v>
      </c>
      <c r="G267" s="35">
        <v>4812070000</v>
      </c>
      <c r="H267" s="139">
        <f t="shared" si="146"/>
        <v>9.6823319362888824</v>
      </c>
      <c r="I267" s="35">
        <v>2850910000</v>
      </c>
      <c r="J267" s="35">
        <v>1961160000</v>
      </c>
      <c r="K267" s="36">
        <v>40485</v>
      </c>
      <c r="L267" s="35">
        <v>0</v>
      </c>
      <c r="M267" s="21">
        <f t="shared" si="147"/>
        <v>5.5671232876712331</v>
      </c>
      <c r="N267" s="21">
        <f t="shared" si="173"/>
        <v>0.74563083915540695</v>
      </c>
      <c r="O267" s="35">
        <v>0</v>
      </c>
      <c r="P267" s="35">
        <f t="shared" si="148"/>
        <v>0</v>
      </c>
      <c r="Q267" s="35">
        <v>81</v>
      </c>
      <c r="R267" s="35">
        <f t="shared" si="149"/>
        <v>1.9138138523837167</v>
      </c>
      <c r="S267" s="45">
        <v>2.95</v>
      </c>
      <c r="T267" s="45">
        <f t="shared" si="174"/>
        <v>0.46982201597816303</v>
      </c>
      <c r="U267" s="175">
        <f t="shared" si="150"/>
        <v>-1</v>
      </c>
      <c r="V267" s="48">
        <f t="shared" si="151"/>
        <v>-1</v>
      </c>
      <c r="W267" s="35">
        <v>1455.046</v>
      </c>
      <c r="X267" s="35">
        <f t="shared" si="152"/>
        <v>3.1628767233771686</v>
      </c>
      <c r="Y267" s="35">
        <v>4062.5129999999999</v>
      </c>
      <c r="Z267" s="35">
        <f t="shared" si="153"/>
        <v>3.6087947637270492</v>
      </c>
      <c r="AA267" s="35">
        <v>0</v>
      </c>
      <c r="AB267" s="37">
        <f t="shared" si="154"/>
        <v>0</v>
      </c>
      <c r="AC267" s="35">
        <v>85</v>
      </c>
      <c r="AD267" s="35">
        <f t="shared" si="175"/>
        <v>1.9294189257142926</v>
      </c>
      <c r="AE267" s="48">
        <v>25.9</v>
      </c>
      <c r="AF267" s="48">
        <f t="shared" si="176"/>
        <v>1.4132997640812519</v>
      </c>
      <c r="AG267" s="43">
        <v>36.959146749272797</v>
      </c>
      <c r="AH267" s="43">
        <f t="shared" si="177"/>
        <v>1.5677219364019672</v>
      </c>
      <c r="AI267" s="39">
        <v>0.5</v>
      </c>
      <c r="AJ267" s="48">
        <f t="shared" si="155"/>
        <v>0.17609125905568124</v>
      </c>
      <c r="AK267" s="35">
        <v>34</v>
      </c>
      <c r="AL267" s="35">
        <f t="shared" si="178"/>
        <v>1.5314789170422551</v>
      </c>
      <c r="AM267" s="35">
        <f t="shared" si="156"/>
        <v>1</v>
      </c>
      <c r="AN267" s="35">
        <f t="shared" si="157"/>
        <v>1</v>
      </c>
      <c r="AO267" s="35">
        <f t="shared" si="158"/>
        <v>0</v>
      </c>
      <c r="AP267" s="35">
        <f t="shared" si="159"/>
        <v>0</v>
      </c>
      <c r="AQ267" s="35">
        <f t="shared" si="160"/>
        <v>0</v>
      </c>
      <c r="AR267" s="35">
        <f t="shared" si="161"/>
        <v>0</v>
      </c>
      <c r="AS267" s="35">
        <f t="shared" si="162"/>
        <v>0</v>
      </c>
      <c r="AT267" s="35">
        <f t="shared" si="163"/>
        <v>0</v>
      </c>
      <c r="AU267" s="35">
        <f t="shared" si="164"/>
        <v>0</v>
      </c>
      <c r="AV267" s="35">
        <f t="shared" si="165"/>
        <v>0</v>
      </c>
      <c r="AW267" s="35">
        <f t="shared" si="166"/>
        <v>0</v>
      </c>
      <c r="AX267" s="35">
        <f t="shared" si="167"/>
        <v>0</v>
      </c>
      <c r="AY267" s="35">
        <f t="shared" si="168"/>
        <v>0</v>
      </c>
      <c r="AZ267" s="35">
        <f t="shared" si="169"/>
        <v>0</v>
      </c>
      <c r="BA267" s="35">
        <f t="shared" si="170"/>
        <v>0</v>
      </c>
      <c r="BB267" s="35">
        <f t="shared" si="171"/>
        <v>0</v>
      </c>
      <c r="BC267" s="35">
        <f t="shared" si="172"/>
        <v>0</v>
      </c>
    </row>
    <row r="268" spans="1:55" s="35" customFormat="1" x14ac:dyDescent="0.35">
      <c r="A268" s="36">
        <v>38455</v>
      </c>
      <c r="B268" s="35" t="s">
        <v>295</v>
      </c>
      <c r="C268" s="35" t="s">
        <v>5</v>
      </c>
      <c r="D268" s="35" t="s">
        <v>5</v>
      </c>
      <c r="E268" s="35" t="s">
        <v>102</v>
      </c>
      <c r="F268" s="139">
        <f t="shared" si="145"/>
        <v>0</v>
      </c>
      <c r="G268" s="35">
        <v>152000000</v>
      </c>
      <c r="H268" s="139">
        <f t="shared" si="146"/>
        <v>8.1818435879447726</v>
      </c>
      <c r="I268" s="35">
        <v>152000000</v>
      </c>
      <c r="J268" s="35">
        <v>0</v>
      </c>
      <c r="K268" s="36">
        <v>39263</v>
      </c>
      <c r="L268" s="35">
        <v>650000000</v>
      </c>
      <c r="M268" s="21">
        <f t="shared" si="147"/>
        <v>2.2136986301369861</v>
      </c>
      <c r="N268" s="21">
        <f t="shared" si="173"/>
        <v>0.34511849631811142</v>
      </c>
      <c r="O268" s="35">
        <v>0</v>
      </c>
      <c r="P268" s="35">
        <f t="shared" si="148"/>
        <v>0</v>
      </c>
      <c r="Q268" s="35">
        <v>87</v>
      </c>
      <c r="R268" s="35">
        <f t="shared" si="149"/>
        <v>1.9444826721501687</v>
      </c>
      <c r="S268" s="45">
        <v>3.28</v>
      </c>
      <c r="T268" s="45">
        <f t="shared" si="174"/>
        <v>0.5158738437116791</v>
      </c>
      <c r="U268" s="175">
        <f t="shared" si="150"/>
        <v>3.2763157894736841</v>
      </c>
      <c r="V268" s="48">
        <f t="shared" si="151"/>
        <v>0.63106976869808307</v>
      </c>
      <c r="W268" s="35">
        <v>2366.2306777645658</v>
      </c>
      <c r="X268" s="35">
        <f t="shared" si="152"/>
        <v>3.3740570806117947</v>
      </c>
      <c r="Y268" s="14">
        <v>9334.126040428062</v>
      </c>
      <c r="Z268" s="35">
        <f t="shared" si="153"/>
        <v>3.9700736609473402</v>
      </c>
      <c r="AA268" s="37">
        <v>0</v>
      </c>
      <c r="AB268" s="37">
        <f t="shared" si="154"/>
        <v>0</v>
      </c>
      <c r="AC268" s="35">
        <v>70</v>
      </c>
      <c r="AD268" s="35">
        <f t="shared" si="175"/>
        <v>1.8450980400142569</v>
      </c>
      <c r="AE268" s="48">
        <v>35</v>
      </c>
      <c r="AF268" s="48">
        <f t="shared" si="176"/>
        <v>1.5440680443502757</v>
      </c>
      <c r="AG268" s="43">
        <v>42.243452783984999</v>
      </c>
      <c r="AH268" s="43">
        <f t="shared" si="177"/>
        <v>1.625759408194035</v>
      </c>
      <c r="AI268" s="39">
        <v>0.42</v>
      </c>
      <c r="AJ268" s="48">
        <f t="shared" si="155"/>
        <v>0.15228834438305647</v>
      </c>
      <c r="AK268" s="35">
        <v>32</v>
      </c>
      <c r="AL268" s="35">
        <f t="shared" si="178"/>
        <v>1.505149978319906</v>
      </c>
      <c r="AM268" s="35">
        <f t="shared" si="156"/>
        <v>0</v>
      </c>
      <c r="AN268" s="35">
        <f t="shared" si="157"/>
        <v>0</v>
      </c>
      <c r="AO268" s="35">
        <f t="shared" si="158"/>
        <v>0</v>
      </c>
      <c r="AP268" s="35">
        <f t="shared" si="159"/>
        <v>0</v>
      </c>
      <c r="AQ268" s="35">
        <f t="shared" si="160"/>
        <v>0</v>
      </c>
      <c r="AR268" s="35">
        <f t="shared" si="161"/>
        <v>0</v>
      </c>
      <c r="AS268" s="35">
        <f t="shared" si="162"/>
        <v>1</v>
      </c>
      <c r="AT268" s="35">
        <f t="shared" si="163"/>
        <v>0</v>
      </c>
      <c r="AU268" s="35">
        <f t="shared" si="164"/>
        <v>0</v>
      </c>
      <c r="AV268" s="35">
        <f t="shared" si="165"/>
        <v>0</v>
      </c>
      <c r="AW268" s="35">
        <f t="shared" si="166"/>
        <v>0</v>
      </c>
      <c r="AX268" s="35">
        <f t="shared" si="167"/>
        <v>0</v>
      </c>
      <c r="AY268" s="35">
        <f t="shared" si="168"/>
        <v>0</v>
      </c>
      <c r="AZ268" s="35">
        <f t="shared" si="169"/>
        <v>0</v>
      </c>
      <c r="BA268" s="35">
        <f t="shared" si="170"/>
        <v>0</v>
      </c>
      <c r="BB268" s="35">
        <f t="shared" si="171"/>
        <v>0</v>
      </c>
      <c r="BC268" s="35">
        <f t="shared" si="172"/>
        <v>0</v>
      </c>
    </row>
    <row r="269" spans="1:55" s="35" customFormat="1" x14ac:dyDescent="0.35">
      <c r="A269" s="36">
        <v>38455</v>
      </c>
      <c r="B269" s="35" t="s">
        <v>913</v>
      </c>
      <c r="C269" s="35" t="s">
        <v>59</v>
      </c>
      <c r="D269" s="35" t="s">
        <v>59</v>
      </c>
      <c r="E269" s="35" t="s">
        <v>47</v>
      </c>
      <c r="F269" s="139">
        <f t="shared" si="145"/>
        <v>0</v>
      </c>
      <c r="G269" s="35">
        <v>124000000</v>
      </c>
      <c r="H269" s="139">
        <f t="shared" si="146"/>
        <v>8.0934216851622356</v>
      </c>
      <c r="I269" s="35">
        <f>G269</f>
        <v>124000000</v>
      </c>
      <c r="J269" s="35">
        <v>0</v>
      </c>
      <c r="K269" s="36">
        <v>40209</v>
      </c>
      <c r="L269" s="35">
        <v>190000000</v>
      </c>
      <c r="M269" s="21">
        <f t="shared" si="147"/>
        <v>4.8054794520547945</v>
      </c>
      <c r="N269" s="21">
        <f t="shared" si="173"/>
        <v>0.68173672457354706</v>
      </c>
      <c r="O269" s="35">
        <v>0</v>
      </c>
      <c r="P269" s="35">
        <f t="shared" si="148"/>
        <v>0</v>
      </c>
      <c r="Q269" s="35">
        <v>0</v>
      </c>
      <c r="R269" s="35">
        <f t="shared" si="149"/>
        <v>0</v>
      </c>
      <c r="S269" s="45">
        <v>3.29</v>
      </c>
      <c r="T269" s="45">
        <f t="shared" si="174"/>
        <v>0.51719589794997434</v>
      </c>
      <c r="U269" s="175">
        <f t="shared" si="150"/>
        <v>0.532258064516129</v>
      </c>
      <c r="V269" s="48">
        <f t="shared" si="151"/>
        <v>0.18533191579059388</v>
      </c>
      <c r="W269" s="35">
        <v>3425.6694367497698</v>
      </c>
      <c r="X269" s="35">
        <f t="shared" si="152"/>
        <v>3.5347454529897258</v>
      </c>
      <c r="Y269" s="35">
        <v>9322.8685749461365</v>
      </c>
      <c r="Z269" s="35">
        <f t="shared" si="153"/>
        <v>3.9695495619878729</v>
      </c>
      <c r="AA269" s="37">
        <v>0</v>
      </c>
      <c r="AB269" s="37">
        <f t="shared" si="154"/>
        <v>0</v>
      </c>
      <c r="AC269" s="35">
        <v>85</v>
      </c>
      <c r="AD269" s="35">
        <f t="shared" si="175"/>
        <v>1.9294189257142926</v>
      </c>
      <c r="AE269" s="48">
        <v>32.700000000000003</v>
      </c>
      <c r="AF269" s="48">
        <f t="shared" si="176"/>
        <v>1.5145477526602862</v>
      </c>
      <c r="AG269" s="43">
        <v>41.286751495766303</v>
      </c>
      <c r="AH269" s="43">
        <f t="shared" si="177"/>
        <v>1.6158107132703448</v>
      </c>
      <c r="AI269" s="39">
        <v>0.51</v>
      </c>
      <c r="AJ269" s="48">
        <f t="shared" si="155"/>
        <v>0.17897694729316943</v>
      </c>
      <c r="AK269" s="35">
        <v>28</v>
      </c>
      <c r="AL269" s="35">
        <f t="shared" si="178"/>
        <v>1.4471580313422192</v>
      </c>
      <c r="AM269" s="35">
        <f t="shared" si="156"/>
        <v>0</v>
      </c>
      <c r="AN269" s="35">
        <f t="shared" si="157"/>
        <v>0</v>
      </c>
      <c r="AO269" s="35">
        <f t="shared" si="158"/>
        <v>1</v>
      </c>
      <c r="AP269" s="35">
        <f t="shared" si="159"/>
        <v>0</v>
      </c>
      <c r="AQ269" s="35">
        <f t="shared" si="160"/>
        <v>0</v>
      </c>
      <c r="AR269" s="35">
        <f t="shared" si="161"/>
        <v>0</v>
      </c>
      <c r="AS269" s="35">
        <f t="shared" si="162"/>
        <v>0</v>
      </c>
      <c r="AT269" s="35">
        <f t="shared" si="163"/>
        <v>0</v>
      </c>
      <c r="AU269" s="35">
        <f t="shared" si="164"/>
        <v>0</v>
      </c>
      <c r="AV269" s="35">
        <f t="shared" si="165"/>
        <v>0</v>
      </c>
      <c r="AW269" s="35">
        <f t="shared" si="166"/>
        <v>0</v>
      </c>
      <c r="AX269" s="35">
        <f t="shared" si="167"/>
        <v>0</v>
      </c>
      <c r="AY269" s="35">
        <f t="shared" si="168"/>
        <v>0</v>
      </c>
      <c r="AZ269" s="35">
        <f t="shared" si="169"/>
        <v>0</v>
      </c>
      <c r="BA269" s="35">
        <f t="shared" si="170"/>
        <v>0</v>
      </c>
      <c r="BB269" s="35">
        <f t="shared" si="171"/>
        <v>0</v>
      </c>
      <c r="BC269" s="35">
        <f t="shared" si="172"/>
        <v>0</v>
      </c>
    </row>
    <row r="270" spans="1:55" s="35" customFormat="1" x14ac:dyDescent="0.35">
      <c r="A270" s="36">
        <v>38456</v>
      </c>
      <c r="B270" s="35" t="s">
        <v>1167</v>
      </c>
      <c r="C270" s="35" t="s">
        <v>45</v>
      </c>
      <c r="D270" s="35" t="s">
        <v>602</v>
      </c>
      <c r="E270" s="35" t="s">
        <v>47</v>
      </c>
      <c r="F270" s="139">
        <f t="shared" si="145"/>
        <v>0</v>
      </c>
      <c r="G270" s="35">
        <v>1650000000</v>
      </c>
      <c r="H270" s="139">
        <f t="shared" si="146"/>
        <v>9.2174839442139067</v>
      </c>
      <c r="I270" s="35">
        <f>G270</f>
        <v>1650000000</v>
      </c>
      <c r="J270" s="35">
        <v>0</v>
      </c>
      <c r="K270" s="36">
        <v>39783</v>
      </c>
      <c r="L270" s="35">
        <v>0</v>
      </c>
      <c r="M270" s="21">
        <f t="shared" si="147"/>
        <v>3.6356164383561644</v>
      </c>
      <c r="N270" s="21">
        <f t="shared" si="173"/>
        <v>0.56057805840796082</v>
      </c>
      <c r="O270" s="35">
        <v>0</v>
      </c>
      <c r="P270" s="35">
        <f t="shared" si="148"/>
        <v>0</v>
      </c>
      <c r="Q270" s="35">
        <v>122</v>
      </c>
      <c r="R270" s="35">
        <f t="shared" si="149"/>
        <v>2.0899051114393981</v>
      </c>
      <c r="S270" s="45">
        <v>2.95</v>
      </c>
      <c r="T270" s="45">
        <f t="shared" si="174"/>
        <v>0.46982201597816303</v>
      </c>
      <c r="U270" s="175">
        <f t="shared" si="150"/>
        <v>-1</v>
      </c>
      <c r="V270" s="48">
        <f t="shared" si="151"/>
        <v>-1</v>
      </c>
      <c r="W270" s="35">
        <v>1246.953</v>
      </c>
      <c r="X270" s="35">
        <f t="shared" si="152"/>
        <v>3.0958500844125241</v>
      </c>
      <c r="Y270" s="35">
        <v>3219.7179999999998</v>
      </c>
      <c r="Z270" s="35">
        <f t="shared" si="153"/>
        <v>3.5078178355445662</v>
      </c>
      <c r="AA270" s="35">
        <v>0</v>
      </c>
      <c r="AB270" s="37">
        <f t="shared" si="154"/>
        <v>0</v>
      </c>
      <c r="AC270" s="35">
        <v>85</v>
      </c>
      <c r="AD270" s="35">
        <f t="shared" si="175"/>
        <v>1.9294189257142926</v>
      </c>
      <c r="AE270" s="48">
        <v>25.9</v>
      </c>
      <c r="AF270" s="48">
        <f t="shared" si="176"/>
        <v>1.4132997640812519</v>
      </c>
      <c r="AG270" s="43">
        <v>36.959146749272797</v>
      </c>
      <c r="AH270" s="43">
        <f t="shared" si="177"/>
        <v>1.5677219364019672</v>
      </c>
      <c r="AI270" s="39">
        <v>0.56000000000000005</v>
      </c>
      <c r="AJ270" s="48">
        <f t="shared" si="155"/>
        <v>0.19312459835446161</v>
      </c>
      <c r="AK270" s="35">
        <v>17</v>
      </c>
      <c r="AL270" s="35">
        <f t="shared" si="178"/>
        <v>1.2304489213782739</v>
      </c>
      <c r="AM270" s="35">
        <f t="shared" si="156"/>
        <v>1</v>
      </c>
      <c r="AN270" s="35">
        <f t="shared" si="157"/>
        <v>1</v>
      </c>
      <c r="AO270" s="35">
        <f t="shared" si="158"/>
        <v>0</v>
      </c>
      <c r="AP270" s="35">
        <f t="shared" si="159"/>
        <v>0</v>
      </c>
      <c r="AQ270" s="35">
        <f t="shared" si="160"/>
        <v>0</v>
      </c>
      <c r="AR270" s="35">
        <f t="shared" si="161"/>
        <v>0</v>
      </c>
      <c r="AS270" s="35">
        <f t="shared" si="162"/>
        <v>0</v>
      </c>
      <c r="AT270" s="35">
        <f t="shared" si="163"/>
        <v>0</v>
      </c>
      <c r="AU270" s="35">
        <f t="shared" si="164"/>
        <v>0</v>
      </c>
      <c r="AV270" s="35">
        <f t="shared" si="165"/>
        <v>0</v>
      </c>
      <c r="AW270" s="35">
        <f t="shared" si="166"/>
        <v>0</v>
      </c>
      <c r="AX270" s="35">
        <f t="shared" si="167"/>
        <v>0</v>
      </c>
      <c r="AY270" s="35">
        <f t="shared" si="168"/>
        <v>0</v>
      </c>
      <c r="AZ270" s="35">
        <f t="shared" si="169"/>
        <v>0</v>
      </c>
      <c r="BA270" s="35">
        <f t="shared" si="170"/>
        <v>0</v>
      </c>
      <c r="BB270" s="35">
        <f t="shared" si="171"/>
        <v>0</v>
      </c>
      <c r="BC270" s="35">
        <f t="shared" si="172"/>
        <v>0</v>
      </c>
    </row>
    <row r="271" spans="1:55" s="35" customFormat="1" x14ac:dyDescent="0.35">
      <c r="A271" s="36">
        <v>38457</v>
      </c>
      <c r="B271" s="11" t="s">
        <v>94</v>
      </c>
      <c r="C271" s="139" t="s">
        <v>1</v>
      </c>
      <c r="D271" s="139" t="s">
        <v>1</v>
      </c>
      <c r="E271" s="139" t="s">
        <v>47</v>
      </c>
      <c r="F271" s="139">
        <f t="shared" si="145"/>
        <v>0</v>
      </c>
      <c r="G271" s="139">
        <v>43180000</v>
      </c>
      <c r="H271" s="139">
        <f t="shared" si="146"/>
        <v>7.6352826379982117</v>
      </c>
      <c r="I271" s="139">
        <v>43180000</v>
      </c>
      <c r="J271" s="139">
        <v>0</v>
      </c>
      <c r="K271" s="18">
        <v>41326</v>
      </c>
      <c r="L271" s="139">
        <v>973025000</v>
      </c>
      <c r="M271" s="21">
        <f t="shared" si="147"/>
        <v>7.86027397260274</v>
      </c>
      <c r="N271" s="21">
        <f t="shared" si="173"/>
        <v>0.89543768378952371</v>
      </c>
      <c r="O271" s="35">
        <v>0</v>
      </c>
      <c r="P271" s="35">
        <f t="shared" si="148"/>
        <v>0</v>
      </c>
      <c r="Q271" s="35">
        <v>167</v>
      </c>
      <c r="R271" s="35">
        <f t="shared" si="149"/>
        <v>2.2253092817258628</v>
      </c>
      <c r="S271" s="45">
        <v>3.42</v>
      </c>
      <c r="T271" s="45">
        <f t="shared" si="174"/>
        <v>0.53402610605613499</v>
      </c>
      <c r="U271" s="175">
        <f t="shared" si="150"/>
        <v>21.534159333024547</v>
      </c>
      <c r="V271" s="48">
        <f t="shared" si="151"/>
        <v>1.3528413607722642</v>
      </c>
      <c r="W271" s="35">
        <v>2099.9405116002381</v>
      </c>
      <c r="X271" s="35">
        <f t="shared" si="152"/>
        <v>3.3222069919483515</v>
      </c>
      <c r="Y271" s="35">
        <v>9071.9809637120761</v>
      </c>
      <c r="Z271" s="35">
        <f t="shared" si="153"/>
        <v>3.9577021302433337</v>
      </c>
      <c r="AA271" s="37">
        <v>0</v>
      </c>
      <c r="AB271" s="37">
        <f t="shared" si="154"/>
        <v>0</v>
      </c>
      <c r="AC271" s="35">
        <v>70</v>
      </c>
      <c r="AD271" s="35">
        <f t="shared" si="175"/>
        <v>1.8450980400142569</v>
      </c>
      <c r="AE271" s="48">
        <v>42.6</v>
      </c>
      <c r="AF271" s="48">
        <f t="shared" si="176"/>
        <v>1.6294095991027189</v>
      </c>
      <c r="AG271" s="43">
        <v>42.063871143552703</v>
      </c>
      <c r="AH271" s="43">
        <f t="shared" si="177"/>
        <v>1.6239092383674194</v>
      </c>
      <c r="AI271" s="39">
        <v>0.27</v>
      </c>
      <c r="AJ271" s="48">
        <f t="shared" si="155"/>
        <v>0.10380372095595687</v>
      </c>
      <c r="AK271" s="35">
        <v>13</v>
      </c>
      <c r="AL271" s="35">
        <f t="shared" si="178"/>
        <v>1.1139433523068367</v>
      </c>
      <c r="AM271" s="35">
        <f t="shared" si="156"/>
        <v>0</v>
      </c>
      <c r="AN271" s="35">
        <f t="shared" si="157"/>
        <v>0</v>
      </c>
      <c r="AO271" s="35">
        <f t="shared" si="158"/>
        <v>0</v>
      </c>
      <c r="AP271" s="35">
        <f t="shared" si="159"/>
        <v>1</v>
      </c>
      <c r="AQ271" s="35">
        <f t="shared" si="160"/>
        <v>0</v>
      </c>
      <c r="AR271" s="35">
        <f t="shared" si="161"/>
        <v>0</v>
      </c>
      <c r="AS271" s="35">
        <f t="shared" si="162"/>
        <v>0</v>
      </c>
      <c r="AT271" s="35">
        <f t="shared" si="163"/>
        <v>0</v>
      </c>
      <c r="AU271" s="35">
        <f t="shared" si="164"/>
        <v>0</v>
      </c>
      <c r="AV271" s="35">
        <f t="shared" si="165"/>
        <v>0</v>
      </c>
      <c r="AW271" s="35">
        <f t="shared" si="166"/>
        <v>0</v>
      </c>
      <c r="AX271" s="35">
        <f t="shared" si="167"/>
        <v>0</v>
      </c>
      <c r="AY271" s="35">
        <f t="shared" si="168"/>
        <v>0</v>
      </c>
      <c r="AZ271" s="35">
        <f t="shared" si="169"/>
        <v>0</v>
      </c>
      <c r="BA271" s="35">
        <f t="shared" si="170"/>
        <v>0</v>
      </c>
      <c r="BB271" s="35">
        <f t="shared" si="171"/>
        <v>0</v>
      </c>
      <c r="BC271" s="35">
        <f t="shared" si="172"/>
        <v>0</v>
      </c>
    </row>
    <row r="272" spans="1:55" s="35" customFormat="1" x14ac:dyDescent="0.35">
      <c r="A272" s="36">
        <v>38460</v>
      </c>
      <c r="B272" s="35" t="s">
        <v>1255</v>
      </c>
      <c r="C272" s="35" t="s">
        <v>45</v>
      </c>
      <c r="D272" s="35" t="s">
        <v>602</v>
      </c>
      <c r="E272" s="35" t="s">
        <v>47</v>
      </c>
      <c r="F272" s="139">
        <f t="shared" si="145"/>
        <v>0</v>
      </c>
      <c r="G272" s="35">
        <v>225000000</v>
      </c>
      <c r="H272" s="139">
        <f t="shared" si="146"/>
        <v>8.3521825181113627</v>
      </c>
      <c r="I272" s="35">
        <f>G272</f>
        <v>225000000</v>
      </c>
      <c r="J272" s="35">
        <v>0</v>
      </c>
      <c r="K272" s="36">
        <v>39295</v>
      </c>
      <c r="L272" s="35">
        <v>1325250000</v>
      </c>
      <c r="M272" s="21">
        <f t="shared" si="147"/>
        <v>2.2876712328767121</v>
      </c>
      <c r="N272" s="21">
        <f t="shared" si="173"/>
        <v>0.35939361102712736</v>
      </c>
      <c r="O272" s="35">
        <v>0</v>
      </c>
      <c r="P272" s="35">
        <f t="shared" si="148"/>
        <v>0</v>
      </c>
      <c r="Q272" s="35">
        <v>3</v>
      </c>
      <c r="R272" s="35">
        <f t="shared" si="149"/>
        <v>0.6020599913279624</v>
      </c>
      <c r="S272" s="45">
        <v>2.95</v>
      </c>
      <c r="T272" s="45">
        <f t="shared" si="174"/>
        <v>0.46982201597816303</v>
      </c>
      <c r="U272" s="175">
        <f t="shared" si="150"/>
        <v>4.8899999999999997</v>
      </c>
      <c r="V272" s="48">
        <f t="shared" si="151"/>
        <v>0.77011529478710161</v>
      </c>
      <c r="W272" s="35">
        <v>2315.9650000000001</v>
      </c>
      <c r="X272" s="35">
        <f t="shared" si="152"/>
        <v>3.3647319918335836</v>
      </c>
      <c r="Y272" s="35">
        <v>3703.9029999999998</v>
      </c>
      <c r="Z272" s="35">
        <f t="shared" si="153"/>
        <v>3.568659604598353</v>
      </c>
      <c r="AA272" s="35">
        <v>0</v>
      </c>
      <c r="AB272" s="37">
        <f t="shared" si="154"/>
        <v>0</v>
      </c>
      <c r="AC272" s="35">
        <v>85</v>
      </c>
      <c r="AD272" s="35">
        <f t="shared" si="175"/>
        <v>1.9294189257142926</v>
      </c>
      <c r="AE272" s="48">
        <v>25.9</v>
      </c>
      <c r="AF272" s="48">
        <f t="shared" si="176"/>
        <v>1.4132997640812519</v>
      </c>
      <c r="AG272" s="43">
        <v>36.959146749272797</v>
      </c>
      <c r="AH272" s="43">
        <f t="shared" si="177"/>
        <v>1.5677219364019672</v>
      </c>
      <c r="AI272" s="39">
        <v>0.52</v>
      </c>
      <c r="AJ272" s="48">
        <f t="shared" si="155"/>
        <v>0.18184358794477254</v>
      </c>
      <c r="AK272" s="35">
        <v>12</v>
      </c>
      <c r="AL272" s="35">
        <f t="shared" si="178"/>
        <v>1.0791812460476249</v>
      </c>
      <c r="AM272" s="35">
        <f t="shared" si="156"/>
        <v>0</v>
      </c>
      <c r="AN272" s="35">
        <f t="shared" si="157"/>
        <v>1</v>
      </c>
      <c r="AO272" s="35">
        <f t="shared" si="158"/>
        <v>0</v>
      </c>
      <c r="AP272" s="35">
        <f t="shared" si="159"/>
        <v>0</v>
      </c>
      <c r="AQ272" s="35">
        <f t="shared" si="160"/>
        <v>0</v>
      </c>
      <c r="AR272" s="35">
        <f t="shared" si="161"/>
        <v>0</v>
      </c>
      <c r="AS272" s="35">
        <f t="shared" si="162"/>
        <v>0</v>
      </c>
      <c r="AT272" s="35">
        <f t="shared" si="163"/>
        <v>0</v>
      </c>
      <c r="AU272" s="35">
        <f t="shared" si="164"/>
        <v>0</v>
      </c>
      <c r="AV272" s="35">
        <f t="shared" si="165"/>
        <v>0</v>
      </c>
      <c r="AW272" s="35">
        <f t="shared" si="166"/>
        <v>0</v>
      </c>
      <c r="AX272" s="35">
        <f t="shared" si="167"/>
        <v>0</v>
      </c>
      <c r="AY272" s="35">
        <f t="shared" si="168"/>
        <v>0</v>
      </c>
      <c r="AZ272" s="35">
        <f t="shared" si="169"/>
        <v>0</v>
      </c>
      <c r="BA272" s="35">
        <f t="shared" si="170"/>
        <v>0</v>
      </c>
      <c r="BB272" s="35">
        <f t="shared" si="171"/>
        <v>0</v>
      </c>
      <c r="BC272" s="35">
        <f t="shared" si="172"/>
        <v>0</v>
      </c>
    </row>
    <row r="273" spans="1:55" s="35" customFormat="1" x14ac:dyDescent="0.35">
      <c r="A273" s="36">
        <v>38463</v>
      </c>
      <c r="B273" s="35" t="s">
        <v>1078</v>
      </c>
      <c r="C273" s="35" t="s">
        <v>163</v>
      </c>
      <c r="D273" s="35" t="s">
        <v>163</v>
      </c>
      <c r="E273" s="35" t="s">
        <v>47</v>
      </c>
      <c r="F273" s="139">
        <f t="shared" si="145"/>
        <v>0</v>
      </c>
      <c r="G273" s="35">
        <v>155000000</v>
      </c>
      <c r="H273" s="139">
        <f t="shared" si="146"/>
        <v>8.1903316981702918</v>
      </c>
      <c r="I273" s="35">
        <f>G273</f>
        <v>155000000</v>
      </c>
      <c r="J273" s="35">
        <v>0</v>
      </c>
      <c r="K273" s="36">
        <v>39263</v>
      </c>
      <c r="L273" s="35">
        <v>296600000</v>
      </c>
      <c r="M273" s="21">
        <f t="shared" si="147"/>
        <v>2.1917808219178081</v>
      </c>
      <c r="N273" s="21">
        <f t="shared" si="173"/>
        <v>0.34079712253546884</v>
      </c>
      <c r="O273" s="35">
        <v>0</v>
      </c>
      <c r="P273" s="35">
        <f t="shared" si="148"/>
        <v>0</v>
      </c>
      <c r="Q273" s="35">
        <v>59</v>
      </c>
      <c r="R273" s="35">
        <f t="shared" si="149"/>
        <v>1.7781512503836436</v>
      </c>
      <c r="S273" s="45">
        <v>3.18</v>
      </c>
      <c r="T273" s="45">
        <f t="shared" si="174"/>
        <v>0.50242711998443268</v>
      </c>
      <c r="U273" s="175">
        <f t="shared" si="150"/>
        <v>0.91354838709677422</v>
      </c>
      <c r="V273" s="48">
        <f t="shared" si="151"/>
        <v>0.28183944852207177</v>
      </c>
      <c r="W273" s="35">
        <v>1213.5329999999999</v>
      </c>
      <c r="X273" s="35">
        <f t="shared" si="152"/>
        <v>3.0840515907405019</v>
      </c>
      <c r="Y273" s="35">
        <v>8035.9219999999996</v>
      </c>
      <c r="Z273" s="35">
        <f t="shared" si="153"/>
        <v>3.9050357126538633</v>
      </c>
      <c r="AA273" s="37">
        <v>0</v>
      </c>
      <c r="AB273" s="37">
        <f t="shared" si="154"/>
        <v>0</v>
      </c>
      <c r="AC273" s="35">
        <v>70</v>
      </c>
      <c r="AD273" s="35">
        <f t="shared" si="175"/>
        <v>1.8450980400142569</v>
      </c>
      <c r="AE273" s="48">
        <v>42.9</v>
      </c>
      <c r="AF273" s="48">
        <f t="shared" si="176"/>
        <v>1.6324572921847242</v>
      </c>
      <c r="AG273" s="43">
        <v>53.2941466273667</v>
      </c>
      <c r="AH273" s="43">
        <f t="shared" si="177"/>
        <v>1.7266795124593939</v>
      </c>
      <c r="AI273" s="39">
        <v>0.26</v>
      </c>
      <c r="AJ273" s="48">
        <f t="shared" si="155"/>
        <v>0.10037054511756291</v>
      </c>
      <c r="AK273" s="35">
        <v>8</v>
      </c>
      <c r="AL273" s="35">
        <f t="shared" si="178"/>
        <v>0.90308998699194354</v>
      </c>
      <c r="AM273" s="35">
        <f t="shared" si="156"/>
        <v>0</v>
      </c>
      <c r="AN273" s="35">
        <f t="shared" si="157"/>
        <v>0</v>
      </c>
      <c r="AO273" s="35">
        <f t="shared" si="158"/>
        <v>0</v>
      </c>
      <c r="AP273" s="35">
        <f t="shared" si="159"/>
        <v>0</v>
      </c>
      <c r="AQ273" s="35">
        <f t="shared" si="160"/>
        <v>0</v>
      </c>
      <c r="AR273" s="35">
        <f t="shared" si="161"/>
        <v>0</v>
      </c>
      <c r="AS273" s="35">
        <f t="shared" si="162"/>
        <v>0</v>
      </c>
      <c r="AT273" s="35">
        <f t="shared" si="163"/>
        <v>1</v>
      </c>
      <c r="AU273" s="35">
        <f t="shared" si="164"/>
        <v>0</v>
      </c>
      <c r="AV273" s="35">
        <f t="shared" si="165"/>
        <v>0</v>
      </c>
      <c r="AW273" s="35">
        <f t="shared" si="166"/>
        <v>0</v>
      </c>
      <c r="AX273" s="35">
        <f t="shared" si="167"/>
        <v>0</v>
      </c>
      <c r="AY273" s="35">
        <f t="shared" si="168"/>
        <v>0</v>
      </c>
      <c r="AZ273" s="35">
        <f t="shared" si="169"/>
        <v>0</v>
      </c>
      <c r="BA273" s="35">
        <f t="shared" si="170"/>
        <v>0</v>
      </c>
      <c r="BB273" s="35">
        <f t="shared" si="171"/>
        <v>0</v>
      </c>
      <c r="BC273" s="35">
        <f t="shared" si="172"/>
        <v>0</v>
      </c>
    </row>
    <row r="274" spans="1:55" s="35" customFormat="1" x14ac:dyDescent="0.35">
      <c r="A274" s="36">
        <v>38464</v>
      </c>
      <c r="B274" s="35" t="s">
        <v>428</v>
      </c>
      <c r="C274" s="35" t="s">
        <v>163</v>
      </c>
      <c r="D274" s="35" t="s">
        <v>59</v>
      </c>
      <c r="E274" s="35" t="s">
        <v>125</v>
      </c>
      <c r="F274" s="139">
        <f t="shared" si="145"/>
        <v>1</v>
      </c>
      <c r="G274" s="35">
        <v>320000000</v>
      </c>
      <c r="H274" s="139">
        <f t="shared" si="146"/>
        <v>8.5051499783199063</v>
      </c>
      <c r="I274" s="35">
        <f>G274</f>
        <v>320000000</v>
      </c>
      <c r="J274" s="35">
        <v>0</v>
      </c>
      <c r="K274" s="36">
        <v>39172</v>
      </c>
      <c r="L274" s="35">
        <v>600000000</v>
      </c>
      <c r="M274" s="21">
        <f t="shared" si="147"/>
        <v>1.9397260273972603</v>
      </c>
      <c r="N274" s="21">
        <f t="shared" si="173"/>
        <v>0.28774039323329431</v>
      </c>
      <c r="O274" s="35">
        <v>342.74</v>
      </c>
      <c r="P274" s="35">
        <f t="shared" si="148"/>
        <v>2.5362300726332561</v>
      </c>
      <c r="Q274" s="35">
        <v>14</v>
      </c>
      <c r="R274" s="35">
        <f t="shared" si="149"/>
        <v>1.1760912590556813</v>
      </c>
      <c r="S274" s="45">
        <v>2.3199999999999998</v>
      </c>
      <c r="T274" s="45">
        <f t="shared" si="174"/>
        <v>0.36548798489089962</v>
      </c>
      <c r="U274" s="175">
        <f t="shared" si="150"/>
        <v>0.875</v>
      </c>
      <c r="V274" s="48">
        <f t="shared" si="151"/>
        <v>0.27300127206373764</v>
      </c>
      <c r="W274" s="35">
        <v>2094.0408163265306</v>
      </c>
      <c r="X274" s="35">
        <f t="shared" si="152"/>
        <v>3.3209851425446502</v>
      </c>
      <c r="Y274" s="35">
        <v>9886.3673469387759</v>
      </c>
      <c r="Z274" s="35">
        <f t="shared" si="153"/>
        <v>3.9950367434689285</v>
      </c>
      <c r="AA274" s="37">
        <v>569.16666666666697</v>
      </c>
      <c r="AB274" s="37">
        <f t="shared" si="154"/>
        <v>2.756001823801419</v>
      </c>
      <c r="AC274" s="35">
        <v>70</v>
      </c>
      <c r="AD274" s="35">
        <f t="shared" si="175"/>
        <v>1.8450980400142569</v>
      </c>
      <c r="AE274" s="48">
        <v>42.9</v>
      </c>
      <c r="AF274" s="48">
        <f t="shared" si="176"/>
        <v>1.6324572921847242</v>
      </c>
      <c r="AG274" s="43">
        <v>53.2941466273667</v>
      </c>
      <c r="AH274" s="43">
        <f t="shared" si="177"/>
        <v>1.7266795124593939</v>
      </c>
      <c r="AI274" s="39">
        <v>0.3</v>
      </c>
      <c r="AJ274" s="48">
        <f t="shared" si="155"/>
        <v>0.11394335230683679</v>
      </c>
      <c r="AK274" s="35">
        <v>20</v>
      </c>
      <c r="AL274" s="35">
        <f t="shared" si="178"/>
        <v>1.3010299956639813</v>
      </c>
      <c r="AM274" s="35">
        <f t="shared" si="156"/>
        <v>0</v>
      </c>
      <c r="AN274" s="35">
        <f t="shared" si="157"/>
        <v>0</v>
      </c>
      <c r="AO274" s="35">
        <f t="shared" si="158"/>
        <v>0</v>
      </c>
      <c r="AP274" s="35">
        <f t="shared" si="159"/>
        <v>0</v>
      </c>
      <c r="AQ274" s="35">
        <f t="shared" si="160"/>
        <v>0</v>
      </c>
      <c r="AR274" s="35">
        <f t="shared" si="161"/>
        <v>0</v>
      </c>
      <c r="AS274" s="35">
        <f t="shared" si="162"/>
        <v>0</v>
      </c>
      <c r="AT274" s="35">
        <f t="shared" si="163"/>
        <v>1</v>
      </c>
      <c r="AU274" s="35">
        <f t="shared" si="164"/>
        <v>0</v>
      </c>
      <c r="AV274" s="35">
        <f t="shared" si="165"/>
        <v>0</v>
      </c>
      <c r="AW274" s="35">
        <f t="shared" si="166"/>
        <v>0</v>
      </c>
      <c r="AX274" s="35">
        <f t="shared" si="167"/>
        <v>0</v>
      </c>
      <c r="AY274" s="35">
        <f t="shared" si="168"/>
        <v>0</v>
      </c>
      <c r="AZ274" s="35">
        <f t="shared" si="169"/>
        <v>0</v>
      </c>
      <c r="BA274" s="35">
        <f t="shared" si="170"/>
        <v>0</v>
      </c>
      <c r="BB274" s="35">
        <f t="shared" si="171"/>
        <v>0</v>
      </c>
      <c r="BC274" s="35">
        <f t="shared" si="172"/>
        <v>0</v>
      </c>
    </row>
    <row r="275" spans="1:55" s="35" customFormat="1" x14ac:dyDescent="0.35">
      <c r="A275" s="36">
        <v>38471</v>
      </c>
      <c r="B275" s="35" t="s">
        <v>400</v>
      </c>
      <c r="C275" s="35" t="s">
        <v>59</v>
      </c>
      <c r="D275" s="35" t="s">
        <v>45</v>
      </c>
      <c r="E275" s="35" t="s">
        <v>125</v>
      </c>
      <c r="F275" s="139">
        <f t="shared" si="145"/>
        <v>1</v>
      </c>
      <c r="G275" s="35">
        <v>147874000</v>
      </c>
      <c r="H275" s="139">
        <f t="shared" si="146"/>
        <v>8.1698918207233895</v>
      </c>
      <c r="I275" s="35">
        <v>147874000</v>
      </c>
      <c r="J275" s="35">
        <v>0</v>
      </c>
      <c r="K275" s="36">
        <v>39166</v>
      </c>
      <c r="L275" s="35">
        <v>360000000</v>
      </c>
      <c r="M275" s="21">
        <f t="shared" si="147"/>
        <v>1.904109589041096</v>
      </c>
      <c r="N275" s="21">
        <f t="shared" si="173"/>
        <v>0.27969194013363918</v>
      </c>
      <c r="O275" s="35">
        <v>5897.96</v>
      </c>
      <c r="P275" s="35">
        <f t="shared" si="148"/>
        <v>3.7707754512906644</v>
      </c>
      <c r="Q275" s="35">
        <v>17</v>
      </c>
      <c r="R275" s="35">
        <f t="shared" si="149"/>
        <v>1.255272505103306</v>
      </c>
      <c r="S275" s="45">
        <v>2.3199999999999998</v>
      </c>
      <c r="T275" s="45">
        <f t="shared" si="174"/>
        <v>0.36548798489089962</v>
      </c>
      <c r="U275" s="175">
        <f t="shared" si="150"/>
        <v>1.434505051597982</v>
      </c>
      <c r="V275" s="48">
        <f t="shared" si="151"/>
        <v>0.386410680043898</v>
      </c>
      <c r="W275" s="35">
        <v>1248.0746999999999</v>
      </c>
      <c r="X275" s="35">
        <f t="shared" si="152"/>
        <v>3.0962405795987471</v>
      </c>
      <c r="Y275" s="35">
        <v>2518.2170000000001</v>
      </c>
      <c r="Z275" s="35">
        <f t="shared" si="153"/>
        <v>3.4010931514437841</v>
      </c>
      <c r="AA275" s="37">
        <v>132</v>
      </c>
      <c r="AB275" s="37">
        <f t="shared" si="154"/>
        <v>2.1238516409670858</v>
      </c>
      <c r="AC275" s="35">
        <v>85</v>
      </c>
      <c r="AD275" s="35">
        <f t="shared" si="175"/>
        <v>1.9294189257142926</v>
      </c>
      <c r="AE275" s="48">
        <v>32.700000000000003</v>
      </c>
      <c r="AF275" s="48">
        <f t="shared" si="176"/>
        <v>1.5145477526602862</v>
      </c>
      <c r="AG275" s="43">
        <v>41.286751495766303</v>
      </c>
      <c r="AH275" s="43">
        <f t="shared" si="177"/>
        <v>1.6158107132703448</v>
      </c>
      <c r="AI275" s="39">
        <v>0.11</v>
      </c>
      <c r="AJ275" s="48">
        <f t="shared" si="155"/>
        <v>4.5322978786657475E-2</v>
      </c>
      <c r="AK275" s="35">
        <v>10</v>
      </c>
      <c r="AL275" s="35">
        <f t="shared" si="178"/>
        <v>1</v>
      </c>
      <c r="AM275" s="35">
        <f t="shared" si="156"/>
        <v>0</v>
      </c>
      <c r="AN275" s="35">
        <f t="shared" si="157"/>
        <v>0</v>
      </c>
      <c r="AO275" s="35">
        <f t="shared" si="158"/>
        <v>1</v>
      </c>
      <c r="AP275" s="35">
        <f t="shared" si="159"/>
        <v>0</v>
      </c>
      <c r="AQ275" s="35">
        <f t="shared" si="160"/>
        <v>0</v>
      </c>
      <c r="AR275" s="35">
        <f t="shared" si="161"/>
        <v>0</v>
      </c>
      <c r="AS275" s="35">
        <f t="shared" si="162"/>
        <v>0</v>
      </c>
      <c r="AT275" s="35">
        <f t="shared" si="163"/>
        <v>0</v>
      </c>
      <c r="AU275" s="35">
        <f t="shared" si="164"/>
        <v>0</v>
      </c>
      <c r="AV275" s="35">
        <f t="shared" si="165"/>
        <v>0</v>
      </c>
      <c r="AW275" s="35">
        <f t="shared" si="166"/>
        <v>0</v>
      </c>
      <c r="AX275" s="35">
        <f t="shared" si="167"/>
        <v>0</v>
      </c>
      <c r="AY275" s="35">
        <f t="shared" si="168"/>
        <v>0</v>
      </c>
      <c r="AZ275" s="35">
        <f t="shared" si="169"/>
        <v>0</v>
      </c>
      <c r="BA275" s="35">
        <f t="shared" si="170"/>
        <v>0</v>
      </c>
      <c r="BB275" s="35">
        <f t="shared" si="171"/>
        <v>0</v>
      </c>
      <c r="BC275" s="35">
        <f t="shared" si="172"/>
        <v>0</v>
      </c>
    </row>
    <row r="276" spans="1:55" s="35" customFormat="1" x14ac:dyDescent="0.35">
      <c r="A276" s="36">
        <v>38473</v>
      </c>
      <c r="B276" s="35" t="s">
        <v>565</v>
      </c>
      <c r="C276" s="35" t="s">
        <v>2</v>
      </c>
      <c r="D276" s="35" t="s">
        <v>163</v>
      </c>
      <c r="E276" s="35" t="s">
        <v>64</v>
      </c>
      <c r="F276" s="139">
        <f t="shared" si="145"/>
        <v>1</v>
      </c>
      <c r="G276" s="35">
        <v>370000000</v>
      </c>
      <c r="H276" s="139">
        <f t="shared" si="146"/>
        <v>8.568201724066995</v>
      </c>
      <c r="I276" s="35">
        <f>G276</f>
        <v>370000000</v>
      </c>
      <c r="J276" s="35">
        <v>0</v>
      </c>
      <c r="K276" s="36">
        <v>41486</v>
      </c>
      <c r="L276" s="35">
        <v>400000000</v>
      </c>
      <c r="M276" s="21">
        <f t="shared" si="147"/>
        <v>8.2547945205479447</v>
      </c>
      <c r="N276" s="21">
        <f t="shared" si="173"/>
        <v>0.91670626721688242</v>
      </c>
      <c r="O276" s="35">
        <v>684.28</v>
      </c>
      <c r="P276" s="35">
        <f t="shared" si="148"/>
        <v>2.8358680570524939</v>
      </c>
      <c r="Q276" s="35">
        <v>62</v>
      </c>
      <c r="R276" s="35">
        <f t="shared" si="149"/>
        <v>1.7993405494535817</v>
      </c>
      <c r="S276" s="45">
        <v>2.74</v>
      </c>
      <c r="T276" s="45">
        <f t="shared" si="174"/>
        <v>0.43775056282038799</v>
      </c>
      <c r="U276" s="175">
        <f t="shared" si="150"/>
        <v>8.1081081081081141E-2</v>
      </c>
      <c r="V276" s="48">
        <f t="shared" si="151"/>
        <v>3.3858267260967419E-2</v>
      </c>
      <c r="W276" s="35">
        <v>1682.1639898562976</v>
      </c>
      <c r="X276" s="35">
        <f t="shared" si="152"/>
        <v>3.2258683317817765</v>
      </c>
      <c r="Y276" s="35">
        <v>9152.2762951334389</v>
      </c>
      <c r="Z276" s="35">
        <f t="shared" si="153"/>
        <v>3.9615291224236637</v>
      </c>
      <c r="AA276" s="37">
        <v>1412.5</v>
      </c>
      <c r="AB276" s="37">
        <f t="shared" si="154"/>
        <v>3.1502958128255383</v>
      </c>
      <c r="AC276" s="35">
        <v>70</v>
      </c>
      <c r="AD276" s="35">
        <f t="shared" si="175"/>
        <v>1.8450980400142569</v>
      </c>
      <c r="AE276" s="48">
        <v>33.9</v>
      </c>
      <c r="AF276" s="48">
        <f t="shared" si="176"/>
        <v>1.5301996982030821</v>
      </c>
      <c r="AG276" s="43">
        <v>46.200073016176603</v>
      </c>
      <c r="AH276" s="43">
        <f t="shared" si="177"/>
        <v>1.664642661930531</v>
      </c>
      <c r="AI276" s="39">
        <v>0.48</v>
      </c>
      <c r="AJ276" s="48">
        <f t="shared" si="155"/>
        <v>0.17026171539495738</v>
      </c>
      <c r="AK276" s="35">
        <v>15</v>
      </c>
      <c r="AL276" s="35">
        <f t="shared" si="178"/>
        <v>1.1760912590556813</v>
      </c>
      <c r="AM276" s="35">
        <f t="shared" si="156"/>
        <v>0</v>
      </c>
      <c r="AN276" s="35">
        <f t="shared" si="157"/>
        <v>0</v>
      </c>
      <c r="AO276" s="35">
        <f t="shared" si="158"/>
        <v>0</v>
      </c>
      <c r="AP276" s="35">
        <f t="shared" si="159"/>
        <v>0</v>
      </c>
      <c r="AQ276" s="35">
        <f t="shared" si="160"/>
        <v>0</v>
      </c>
      <c r="AR276" s="35">
        <f t="shared" si="161"/>
        <v>0</v>
      </c>
      <c r="AS276" s="35">
        <f t="shared" si="162"/>
        <v>0</v>
      </c>
      <c r="AT276" s="35">
        <f t="shared" si="163"/>
        <v>0</v>
      </c>
      <c r="AU276" s="35">
        <f t="shared" si="164"/>
        <v>0</v>
      </c>
      <c r="AV276" s="35">
        <f t="shared" si="165"/>
        <v>1</v>
      </c>
      <c r="AW276" s="35">
        <f t="shared" si="166"/>
        <v>0</v>
      </c>
      <c r="AX276" s="35">
        <f t="shared" si="167"/>
        <v>0</v>
      </c>
      <c r="AY276" s="35">
        <f t="shared" si="168"/>
        <v>0</v>
      </c>
      <c r="AZ276" s="35">
        <f t="shared" si="169"/>
        <v>0</v>
      </c>
      <c r="BA276" s="35">
        <f t="shared" si="170"/>
        <v>0</v>
      </c>
      <c r="BB276" s="35">
        <f t="shared" si="171"/>
        <v>0</v>
      </c>
      <c r="BC276" s="35">
        <f t="shared" si="172"/>
        <v>0</v>
      </c>
    </row>
    <row r="277" spans="1:55" s="35" customFormat="1" x14ac:dyDescent="0.35">
      <c r="A277" s="36">
        <v>38488</v>
      </c>
      <c r="B277" s="90" t="s">
        <v>953</v>
      </c>
      <c r="C277" s="35" t="s">
        <v>954</v>
      </c>
      <c r="D277" s="35" t="s">
        <v>59</v>
      </c>
      <c r="E277" s="35" t="s">
        <v>64</v>
      </c>
      <c r="F277" s="139">
        <f t="shared" si="145"/>
        <v>1</v>
      </c>
      <c r="G277" s="35">
        <v>12000000</v>
      </c>
      <c r="H277" s="139">
        <f t="shared" si="146"/>
        <v>7.0791812460476251</v>
      </c>
      <c r="I277" s="35">
        <f>G277</f>
        <v>12000000</v>
      </c>
      <c r="J277" s="35">
        <v>0</v>
      </c>
      <c r="K277" s="36">
        <v>39321</v>
      </c>
      <c r="L277" s="35">
        <v>147000000</v>
      </c>
      <c r="M277" s="21">
        <f t="shared" si="147"/>
        <v>2.2821917808219179</v>
      </c>
      <c r="N277" s="21">
        <f t="shared" si="173"/>
        <v>0.35835213695031287</v>
      </c>
      <c r="O277" s="35">
        <v>1585.78</v>
      </c>
      <c r="P277" s="35">
        <f t="shared" si="148"/>
        <v>3.2005167179274112</v>
      </c>
      <c r="Q277" s="35">
        <v>8</v>
      </c>
      <c r="R277" s="35">
        <f t="shared" si="149"/>
        <v>0.95424250943932487</v>
      </c>
      <c r="S277" s="45">
        <v>2.4700000000000002</v>
      </c>
      <c r="T277" s="45">
        <f t="shared" si="174"/>
        <v>0.39269695325966575</v>
      </c>
      <c r="U277" s="175">
        <f t="shared" si="150"/>
        <v>11.25</v>
      </c>
      <c r="V277" s="48">
        <f t="shared" si="151"/>
        <v>1.0881360887005513</v>
      </c>
      <c r="W277" s="35">
        <v>4375.8573388203013</v>
      </c>
      <c r="X277" s="35">
        <f t="shared" si="152"/>
        <v>3.6410631547392063</v>
      </c>
      <c r="Y277" s="35">
        <v>5027.4348422496569</v>
      </c>
      <c r="Z277" s="35">
        <f t="shared" si="153"/>
        <v>3.7013464506591722</v>
      </c>
      <c r="AA277" s="37">
        <v>1962.33</v>
      </c>
      <c r="AB277" s="37">
        <f t="shared" si="154"/>
        <v>3.2929933027247387</v>
      </c>
      <c r="AC277" s="35">
        <v>70</v>
      </c>
      <c r="AD277" s="35">
        <f t="shared" si="175"/>
        <v>1.8450980400142569</v>
      </c>
      <c r="AE277" s="48">
        <v>30.8</v>
      </c>
      <c r="AF277" s="48">
        <f t="shared" si="176"/>
        <v>1.4885507165004443</v>
      </c>
      <c r="AG277" s="43">
        <v>46.676832990761902</v>
      </c>
      <c r="AH277" s="43">
        <f t="shared" si="177"/>
        <v>1.6691013816214919</v>
      </c>
      <c r="AI277" s="39">
        <v>0.11</v>
      </c>
      <c r="AJ277" s="48">
        <f t="shared" si="155"/>
        <v>4.5322978786657475E-2</v>
      </c>
      <c r="AK277" s="35">
        <v>7</v>
      </c>
      <c r="AL277" s="35">
        <f t="shared" si="178"/>
        <v>0.84509804001425681</v>
      </c>
      <c r="AM277" s="35">
        <f t="shared" si="156"/>
        <v>0</v>
      </c>
      <c r="AN277" s="35">
        <f t="shared" si="157"/>
        <v>0</v>
      </c>
      <c r="AO277" s="35">
        <f t="shared" si="158"/>
        <v>0</v>
      </c>
      <c r="AP277" s="35">
        <f t="shared" si="159"/>
        <v>0</v>
      </c>
      <c r="AQ277" s="35">
        <f t="shared" si="160"/>
        <v>0</v>
      </c>
      <c r="AR277" s="35">
        <f t="shared" si="161"/>
        <v>0</v>
      </c>
      <c r="AS277" s="35">
        <f t="shared" si="162"/>
        <v>0</v>
      </c>
      <c r="AT277" s="35">
        <f t="shared" si="163"/>
        <v>0</v>
      </c>
      <c r="AU277" s="35">
        <f t="shared" si="164"/>
        <v>0</v>
      </c>
      <c r="AV277" s="35">
        <f t="shared" si="165"/>
        <v>0</v>
      </c>
      <c r="AW277" s="35">
        <f t="shared" si="166"/>
        <v>0</v>
      </c>
      <c r="AX277" s="35">
        <f t="shared" si="167"/>
        <v>0</v>
      </c>
      <c r="AY277" s="35">
        <f t="shared" si="168"/>
        <v>0</v>
      </c>
      <c r="AZ277" s="35">
        <f t="shared" si="169"/>
        <v>1</v>
      </c>
      <c r="BA277" s="35">
        <f t="shared" si="170"/>
        <v>0</v>
      </c>
      <c r="BB277" s="35">
        <f t="shared" si="171"/>
        <v>0</v>
      </c>
      <c r="BC277" s="35">
        <f t="shared" si="172"/>
        <v>0</v>
      </c>
    </row>
    <row r="278" spans="1:55" s="35" customFormat="1" x14ac:dyDescent="0.35">
      <c r="A278" s="36">
        <v>38492</v>
      </c>
      <c r="B278" s="35" t="s">
        <v>680</v>
      </c>
      <c r="C278" s="35" t="s">
        <v>2</v>
      </c>
      <c r="D278" s="35" t="s">
        <v>602</v>
      </c>
      <c r="E278" s="35" t="s">
        <v>64</v>
      </c>
      <c r="F278" s="139">
        <f t="shared" si="145"/>
        <v>1</v>
      </c>
      <c r="G278" s="35">
        <v>265000000</v>
      </c>
      <c r="H278" s="139">
        <f t="shared" si="146"/>
        <v>8.423245873936807</v>
      </c>
      <c r="I278" s="35">
        <f>G278</f>
        <v>265000000</v>
      </c>
      <c r="J278" s="35">
        <v>0</v>
      </c>
      <c r="K278" s="36">
        <v>39223</v>
      </c>
      <c r="L278" s="35">
        <v>327249500</v>
      </c>
      <c r="M278" s="21">
        <f t="shared" si="147"/>
        <v>2.0027397260273974</v>
      </c>
      <c r="N278" s="21">
        <f t="shared" si="173"/>
        <v>0.30162451250138578</v>
      </c>
      <c r="O278" s="35">
        <v>6815.73</v>
      </c>
      <c r="P278" s="35">
        <f t="shared" si="148"/>
        <v>3.8335760926148099</v>
      </c>
      <c r="Q278" s="35">
        <v>14</v>
      </c>
      <c r="R278" s="35">
        <f t="shared" si="149"/>
        <v>1.1760912590556813</v>
      </c>
      <c r="S278" s="45">
        <v>2.85</v>
      </c>
      <c r="T278" s="45">
        <f t="shared" si="174"/>
        <v>0.45484486000851021</v>
      </c>
      <c r="U278" s="175">
        <f t="shared" si="150"/>
        <v>0.23490377358490555</v>
      </c>
      <c r="V278" s="48">
        <f t="shared" si="151"/>
        <v>9.1633117733940173E-2</v>
      </c>
      <c r="W278" s="35">
        <v>1455.046</v>
      </c>
      <c r="X278" s="35">
        <f t="shared" si="152"/>
        <v>3.1628767233771686</v>
      </c>
      <c r="Y278" s="35">
        <v>4062.5129999999999</v>
      </c>
      <c r="Z278" s="35">
        <f t="shared" si="153"/>
        <v>3.6087947637270492</v>
      </c>
      <c r="AA278" s="37">
        <v>819</v>
      </c>
      <c r="AB278" s="37">
        <f t="shared" si="154"/>
        <v>2.9138138523837167</v>
      </c>
      <c r="AC278" s="35">
        <v>70</v>
      </c>
      <c r="AD278" s="35">
        <f t="shared" si="175"/>
        <v>1.8450980400142569</v>
      </c>
      <c r="AE278" s="48">
        <v>33.9</v>
      </c>
      <c r="AF278" s="48">
        <f t="shared" si="176"/>
        <v>1.5301996982030821</v>
      </c>
      <c r="AG278" s="43">
        <v>46.200073016176603</v>
      </c>
      <c r="AH278" s="43">
        <f t="shared" si="177"/>
        <v>1.664642661930531</v>
      </c>
      <c r="AI278" s="39">
        <v>0.71</v>
      </c>
      <c r="AJ278" s="48">
        <f t="shared" si="155"/>
        <v>0.23299611039215382</v>
      </c>
      <c r="AK278" s="35">
        <v>32</v>
      </c>
      <c r="AL278" s="35">
        <f t="shared" si="178"/>
        <v>1.505149978319906</v>
      </c>
      <c r="AM278" s="35">
        <f t="shared" si="156"/>
        <v>0</v>
      </c>
      <c r="AN278" s="35">
        <f t="shared" si="157"/>
        <v>0</v>
      </c>
      <c r="AO278" s="35">
        <f t="shared" si="158"/>
        <v>0</v>
      </c>
      <c r="AP278" s="35">
        <f t="shared" si="159"/>
        <v>0</v>
      </c>
      <c r="AQ278" s="35">
        <f t="shared" si="160"/>
        <v>0</v>
      </c>
      <c r="AR278" s="35">
        <f t="shared" si="161"/>
        <v>0</v>
      </c>
      <c r="AS278" s="35">
        <f t="shared" si="162"/>
        <v>0</v>
      </c>
      <c r="AT278" s="35">
        <f t="shared" si="163"/>
        <v>0</v>
      </c>
      <c r="AU278" s="35">
        <f t="shared" si="164"/>
        <v>0</v>
      </c>
      <c r="AV278" s="35">
        <f t="shared" si="165"/>
        <v>1</v>
      </c>
      <c r="AW278" s="35">
        <f t="shared" si="166"/>
        <v>0</v>
      </c>
      <c r="AX278" s="35">
        <f t="shared" si="167"/>
        <v>0</v>
      </c>
      <c r="AY278" s="35">
        <f t="shared" si="168"/>
        <v>0</v>
      </c>
      <c r="AZ278" s="35">
        <f t="shared" si="169"/>
        <v>0</v>
      </c>
      <c r="BA278" s="35">
        <f t="shared" si="170"/>
        <v>0</v>
      </c>
      <c r="BB278" s="35">
        <f t="shared" si="171"/>
        <v>0</v>
      </c>
      <c r="BC278" s="35">
        <f t="shared" si="172"/>
        <v>0</v>
      </c>
    </row>
    <row r="279" spans="1:55" s="35" customFormat="1" x14ac:dyDescent="0.35">
      <c r="A279" s="36">
        <v>38502</v>
      </c>
      <c r="B279" s="35" t="s">
        <v>1107</v>
      </c>
      <c r="C279" s="35" t="s">
        <v>2</v>
      </c>
      <c r="D279" s="35" t="s">
        <v>1105</v>
      </c>
      <c r="E279" s="35" t="s">
        <v>47</v>
      </c>
      <c r="F279" s="139">
        <f t="shared" si="145"/>
        <v>0</v>
      </c>
      <c r="G279" s="35">
        <v>108337600</v>
      </c>
      <c r="H279" s="139">
        <f t="shared" si="146"/>
        <v>8.0347792104435261</v>
      </c>
      <c r="I279" s="35">
        <f>G279</f>
        <v>108337600</v>
      </c>
      <c r="J279" s="35">
        <v>0</v>
      </c>
      <c r="K279" s="36">
        <v>42478</v>
      </c>
      <c r="L279" s="35">
        <v>354228093</v>
      </c>
      <c r="M279" s="21">
        <f t="shared" si="147"/>
        <v>10.893150684931507</v>
      </c>
      <c r="N279" s="21">
        <f t="shared" si="173"/>
        <v>1.0371535112688011</v>
      </c>
      <c r="O279" s="35">
        <v>0</v>
      </c>
      <c r="P279" s="35">
        <f t="shared" si="148"/>
        <v>0</v>
      </c>
      <c r="Q279" s="35">
        <v>9</v>
      </c>
      <c r="R279" s="35">
        <f t="shared" si="149"/>
        <v>1</v>
      </c>
      <c r="S279" s="45">
        <v>3.5</v>
      </c>
      <c r="T279" s="45">
        <f t="shared" si="174"/>
        <v>0.54406804435027567</v>
      </c>
      <c r="U279" s="175">
        <f t="shared" si="150"/>
        <v>2.2696690068821903</v>
      </c>
      <c r="V279" s="48">
        <f t="shared" si="151"/>
        <v>0.51450379065407925</v>
      </c>
      <c r="W279" s="35">
        <v>1495.578623606305</v>
      </c>
      <c r="X279" s="35">
        <f t="shared" si="152"/>
        <v>3.1748092491298348</v>
      </c>
      <c r="Y279" s="35">
        <v>3763.9369473279512</v>
      </c>
      <c r="Z279" s="35">
        <f t="shared" si="153"/>
        <v>3.5756423396072652</v>
      </c>
      <c r="AA279" s="37">
        <v>0</v>
      </c>
      <c r="AB279" s="37">
        <f t="shared" si="154"/>
        <v>0</v>
      </c>
      <c r="AC279" s="35">
        <v>70</v>
      </c>
      <c r="AD279" s="35">
        <f t="shared" si="175"/>
        <v>1.8450980400142569</v>
      </c>
      <c r="AE279" s="48">
        <v>33.9</v>
      </c>
      <c r="AF279" s="48">
        <f t="shared" si="176"/>
        <v>1.5301996982030821</v>
      </c>
      <c r="AG279" s="43">
        <v>46.200073016176603</v>
      </c>
      <c r="AH279" s="43">
        <f t="shared" si="177"/>
        <v>1.664642661930531</v>
      </c>
      <c r="AI279" s="39">
        <v>0.13</v>
      </c>
      <c r="AJ279" s="48">
        <f t="shared" si="155"/>
        <v>5.3078443483419682E-2</v>
      </c>
      <c r="AK279" s="35">
        <v>33</v>
      </c>
      <c r="AL279" s="35">
        <f t="shared" si="178"/>
        <v>1.5185139398778875</v>
      </c>
      <c r="AM279" s="35">
        <f t="shared" si="156"/>
        <v>0</v>
      </c>
      <c r="AN279" s="35">
        <f t="shared" si="157"/>
        <v>0</v>
      </c>
      <c r="AO279" s="35">
        <f t="shared" si="158"/>
        <v>0</v>
      </c>
      <c r="AP279" s="35">
        <f t="shared" si="159"/>
        <v>0</v>
      </c>
      <c r="AQ279" s="35">
        <f t="shared" si="160"/>
        <v>0</v>
      </c>
      <c r="AR279" s="35">
        <f t="shared" si="161"/>
        <v>0</v>
      </c>
      <c r="AS279" s="35">
        <f t="shared" si="162"/>
        <v>0</v>
      </c>
      <c r="AT279" s="35">
        <f t="shared" si="163"/>
        <v>0</v>
      </c>
      <c r="AU279" s="35">
        <f t="shared" si="164"/>
        <v>0</v>
      </c>
      <c r="AV279" s="35">
        <f t="shared" si="165"/>
        <v>1</v>
      </c>
      <c r="AW279" s="35">
        <f t="shared" si="166"/>
        <v>0</v>
      </c>
      <c r="AX279" s="35">
        <f t="shared" si="167"/>
        <v>0</v>
      </c>
      <c r="AY279" s="35">
        <f t="shared" si="168"/>
        <v>0</v>
      </c>
      <c r="AZ279" s="35">
        <f t="shared" si="169"/>
        <v>0</v>
      </c>
      <c r="BA279" s="35">
        <f t="shared" si="170"/>
        <v>0</v>
      </c>
      <c r="BB279" s="35">
        <f t="shared" si="171"/>
        <v>0</v>
      </c>
      <c r="BC279" s="35">
        <f t="shared" si="172"/>
        <v>0</v>
      </c>
    </row>
    <row r="280" spans="1:55" s="35" customFormat="1" x14ac:dyDescent="0.35">
      <c r="A280" s="36">
        <v>38510</v>
      </c>
      <c r="B280" s="35" t="s">
        <v>418</v>
      </c>
      <c r="C280" s="35" t="s">
        <v>419</v>
      </c>
      <c r="D280" s="35" t="s">
        <v>4</v>
      </c>
      <c r="E280" s="35" t="s">
        <v>125</v>
      </c>
      <c r="F280" s="139">
        <f t="shared" si="145"/>
        <v>1</v>
      </c>
      <c r="G280" s="35">
        <v>599000000</v>
      </c>
      <c r="H280" s="139">
        <f t="shared" si="146"/>
        <v>8.7774268223893106</v>
      </c>
      <c r="I280" s="35">
        <f>G280</f>
        <v>599000000</v>
      </c>
      <c r="J280" s="35">
        <v>0</v>
      </c>
      <c r="K280" s="36">
        <v>42704</v>
      </c>
      <c r="L280" s="35">
        <v>396802802</v>
      </c>
      <c r="M280" s="21">
        <f t="shared" si="147"/>
        <v>11.490410958904109</v>
      </c>
      <c r="N280" s="21">
        <f t="shared" si="173"/>
        <v>1.0603355616728503</v>
      </c>
      <c r="O280" s="35">
        <v>395.92</v>
      </c>
      <c r="P280" s="35">
        <f t="shared" si="148"/>
        <v>2.5987029826834349</v>
      </c>
      <c r="Q280" s="35">
        <v>99</v>
      </c>
      <c r="R280" s="35">
        <f t="shared" si="149"/>
        <v>2</v>
      </c>
      <c r="S280" s="45">
        <v>3.35</v>
      </c>
      <c r="T280" s="45">
        <f t="shared" si="174"/>
        <v>0.5250448070368452</v>
      </c>
      <c r="U280" s="175">
        <f t="shared" si="150"/>
        <v>-0.33755792654424044</v>
      </c>
      <c r="V280" s="48">
        <f t="shared" si="151"/>
        <v>-0.17885209215101669</v>
      </c>
      <c r="W280" s="35">
        <v>1630.2786555587475</v>
      </c>
      <c r="X280" s="35">
        <f t="shared" si="152"/>
        <v>3.212261842580872</v>
      </c>
      <c r="Y280" s="35">
        <v>8569.3766159149673</v>
      </c>
      <c r="Z280" s="35">
        <f t="shared" si="153"/>
        <v>3.9329492300777744</v>
      </c>
      <c r="AA280" s="37">
        <v>345.83333333333297</v>
      </c>
      <c r="AB280" s="37">
        <f t="shared" si="154"/>
        <v>2.5401208298279827</v>
      </c>
      <c r="AC280" s="35">
        <v>85</v>
      </c>
      <c r="AD280" s="35">
        <f t="shared" si="175"/>
        <v>1.9294189257142926</v>
      </c>
      <c r="AE280" s="48">
        <v>42.1</v>
      </c>
      <c r="AF280" s="48">
        <f t="shared" si="176"/>
        <v>1.6242820958356683</v>
      </c>
      <c r="AG280" s="43">
        <v>49.275185994026302</v>
      </c>
      <c r="AH280" s="43">
        <f t="shared" si="177"/>
        <v>1.6926282722417263</v>
      </c>
      <c r="AI280" s="39">
        <v>0.51</v>
      </c>
      <c r="AJ280" s="48">
        <f t="shared" si="155"/>
        <v>0.17897694729316943</v>
      </c>
      <c r="AK280" s="35">
        <v>24</v>
      </c>
      <c r="AL280" s="35">
        <f t="shared" si="178"/>
        <v>1.3802112417116059</v>
      </c>
      <c r="AM280" s="35">
        <f t="shared" si="156"/>
        <v>0</v>
      </c>
      <c r="AN280" s="35">
        <f t="shared" si="157"/>
        <v>0</v>
      </c>
      <c r="AO280" s="35">
        <f t="shared" si="158"/>
        <v>0</v>
      </c>
      <c r="AP280" s="35">
        <f t="shared" si="159"/>
        <v>0</v>
      </c>
      <c r="AQ280" s="35">
        <f t="shared" si="160"/>
        <v>0</v>
      </c>
      <c r="AR280" s="35">
        <f t="shared" si="161"/>
        <v>0</v>
      </c>
      <c r="AS280" s="35">
        <f t="shared" si="162"/>
        <v>0</v>
      </c>
      <c r="AT280" s="35">
        <f t="shared" si="163"/>
        <v>0</v>
      </c>
      <c r="AU280" s="35">
        <f t="shared" si="164"/>
        <v>0</v>
      </c>
      <c r="AV280" s="35">
        <f t="shared" si="165"/>
        <v>0</v>
      </c>
      <c r="AW280" s="35">
        <f t="shared" si="166"/>
        <v>0</v>
      </c>
      <c r="AX280" s="35">
        <f t="shared" si="167"/>
        <v>0</v>
      </c>
      <c r="AY280" s="35">
        <f t="shared" si="168"/>
        <v>0</v>
      </c>
      <c r="AZ280" s="35">
        <f t="shared" si="169"/>
        <v>0</v>
      </c>
      <c r="BA280" s="35">
        <f t="shared" si="170"/>
        <v>0</v>
      </c>
      <c r="BB280" s="35">
        <f t="shared" si="171"/>
        <v>0</v>
      </c>
      <c r="BC280" s="35">
        <f t="shared" si="172"/>
        <v>1</v>
      </c>
    </row>
    <row r="281" spans="1:55" s="35" customFormat="1" x14ac:dyDescent="0.35">
      <c r="A281" s="36">
        <v>38517</v>
      </c>
      <c r="B281" s="35" t="s">
        <v>169</v>
      </c>
      <c r="C281" s="35" t="s">
        <v>59</v>
      </c>
      <c r="D281" s="35" t="s">
        <v>59</v>
      </c>
      <c r="E281" s="35" t="s">
        <v>102</v>
      </c>
      <c r="F281" s="139">
        <f t="shared" si="145"/>
        <v>0</v>
      </c>
      <c r="G281" s="35">
        <v>225000000</v>
      </c>
      <c r="H281" s="139">
        <f t="shared" si="146"/>
        <v>8.3521825181113627</v>
      </c>
      <c r="I281" s="35">
        <v>225000000</v>
      </c>
      <c r="J281" s="35">
        <v>0</v>
      </c>
      <c r="K281" s="36">
        <v>39571</v>
      </c>
      <c r="L281" s="35">
        <v>514000000</v>
      </c>
      <c r="M281" s="21">
        <f t="shared" si="147"/>
        <v>2.8876712328767122</v>
      </c>
      <c r="N281" s="21">
        <f t="shared" si="173"/>
        <v>0.46054774642005308</v>
      </c>
      <c r="O281" s="35">
        <v>0</v>
      </c>
      <c r="P281" s="35">
        <f t="shared" si="148"/>
        <v>0</v>
      </c>
      <c r="Q281" s="35">
        <v>48</v>
      </c>
      <c r="R281" s="35">
        <f t="shared" si="149"/>
        <v>1.6901960800285136</v>
      </c>
      <c r="S281" s="45">
        <v>3.29</v>
      </c>
      <c r="T281" s="45">
        <f t="shared" si="174"/>
        <v>0.51719589794997434</v>
      </c>
      <c r="U281" s="175">
        <f t="shared" si="150"/>
        <v>1.2844444444444445</v>
      </c>
      <c r="V281" s="48">
        <f t="shared" si="151"/>
        <v>0.35878060088391328</v>
      </c>
      <c r="W281" s="35">
        <v>1801.1079999999999</v>
      </c>
      <c r="X281" s="35">
        <f t="shared" si="152"/>
        <v>3.2555397552391718</v>
      </c>
      <c r="Y281" s="35">
        <v>8416.6209999999992</v>
      </c>
      <c r="Z281" s="35">
        <f t="shared" si="153"/>
        <v>3.9251377713585649</v>
      </c>
      <c r="AA281" s="37">
        <v>0</v>
      </c>
      <c r="AB281" s="37">
        <f t="shared" si="154"/>
        <v>0</v>
      </c>
      <c r="AC281" s="35">
        <v>85</v>
      </c>
      <c r="AD281" s="35">
        <f t="shared" si="175"/>
        <v>1.9294189257142926</v>
      </c>
      <c r="AE281" s="48">
        <v>32.700000000000003</v>
      </c>
      <c r="AF281" s="48">
        <f t="shared" si="176"/>
        <v>1.5145477526602862</v>
      </c>
      <c r="AG281" s="43">
        <v>41.286751495766303</v>
      </c>
      <c r="AH281" s="43">
        <f t="shared" si="177"/>
        <v>1.6158107132703448</v>
      </c>
      <c r="AI281" s="39">
        <v>0.3</v>
      </c>
      <c r="AJ281" s="48">
        <f t="shared" si="155"/>
        <v>0.11394335230683679</v>
      </c>
      <c r="AK281" s="35">
        <v>25</v>
      </c>
      <c r="AL281" s="35">
        <f t="shared" si="178"/>
        <v>1.3979400086720377</v>
      </c>
      <c r="AM281" s="35">
        <f t="shared" si="156"/>
        <v>0</v>
      </c>
      <c r="AN281" s="35">
        <f t="shared" si="157"/>
        <v>0</v>
      </c>
      <c r="AO281" s="35">
        <f t="shared" si="158"/>
        <v>1</v>
      </c>
      <c r="AP281" s="35">
        <f t="shared" si="159"/>
        <v>0</v>
      </c>
      <c r="AQ281" s="35">
        <f t="shared" si="160"/>
        <v>0</v>
      </c>
      <c r="AR281" s="35">
        <f t="shared" si="161"/>
        <v>0</v>
      </c>
      <c r="AS281" s="35">
        <f t="shared" si="162"/>
        <v>0</v>
      </c>
      <c r="AT281" s="35">
        <f t="shared" si="163"/>
        <v>0</v>
      </c>
      <c r="AU281" s="35">
        <f t="shared" si="164"/>
        <v>0</v>
      </c>
      <c r="AV281" s="35">
        <f t="shared" si="165"/>
        <v>0</v>
      </c>
      <c r="AW281" s="35">
        <f t="shared" si="166"/>
        <v>0</v>
      </c>
      <c r="AX281" s="35">
        <f t="shared" si="167"/>
        <v>0</v>
      </c>
      <c r="AY281" s="35">
        <f t="shared" si="168"/>
        <v>0</v>
      </c>
      <c r="AZ281" s="35">
        <f t="shared" si="169"/>
        <v>0</v>
      </c>
      <c r="BA281" s="35">
        <f t="shared" si="170"/>
        <v>0</v>
      </c>
      <c r="BB281" s="35">
        <f t="shared" si="171"/>
        <v>0</v>
      </c>
      <c r="BC281" s="35">
        <f t="shared" si="172"/>
        <v>0</v>
      </c>
    </row>
    <row r="282" spans="1:55" s="35" customFormat="1" x14ac:dyDescent="0.35">
      <c r="A282" s="36">
        <v>38517</v>
      </c>
      <c r="B282" s="35" t="s">
        <v>694</v>
      </c>
      <c r="C282" s="35" t="s">
        <v>7</v>
      </c>
      <c r="D282" s="35" t="s">
        <v>602</v>
      </c>
      <c r="E282" s="35" t="s">
        <v>64</v>
      </c>
      <c r="F282" s="139">
        <f t="shared" si="145"/>
        <v>1</v>
      </c>
      <c r="G282" s="35">
        <v>600000000</v>
      </c>
      <c r="H282" s="139">
        <f t="shared" si="146"/>
        <v>8.7781512503836439</v>
      </c>
      <c r="I282" s="35">
        <f>G282</f>
        <v>600000000</v>
      </c>
      <c r="J282" s="35">
        <v>0</v>
      </c>
      <c r="K282" s="36">
        <v>41456</v>
      </c>
      <c r="L282" s="35">
        <v>550000000</v>
      </c>
      <c r="M282" s="21">
        <f t="shared" si="147"/>
        <v>8.0520547945205472</v>
      </c>
      <c r="N282" s="21">
        <f t="shared" si="173"/>
        <v>0.90590672161613783</v>
      </c>
      <c r="O282" s="35">
        <v>6385.66</v>
      </c>
      <c r="P282" s="35">
        <f t="shared" si="148"/>
        <v>3.8052737966880943</v>
      </c>
      <c r="Q282" s="35">
        <v>9</v>
      </c>
      <c r="R282" s="35">
        <f t="shared" si="149"/>
        <v>1</v>
      </c>
      <c r="S282" s="45">
        <v>2.99</v>
      </c>
      <c r="T282" s="45">
        <f t="shared" si="174"/>
        <v>0.47567118832442967</v>
      </c>
      <c r="U282" s="175">
        <f t="shared" si="150"/>
        <v>-8.333333333333337E-2</v>
      </c>
      <c r="V282" s="48">
        <f t="shared" si="151"/>
        <v>-3.7788560889399803E-2</v>
      </c>
      <c r="W282" s="35">
        <v>1421.558</v>
      </c>
      <c r="X282" s="35">
        <f t="shared" si="152"/>
        <v>3.1527645837352773</v>
      </c>
      <c r="Y282" s="35">
        <v>3476.3409999999999</v>
      </c>
      <c r="Z282" s="35">
        <f t="shared" si="153"/>
        <v>3.5411223705253856</v>
      </c>
      <c r="AA282" s="37">
        <v>693.16666666666697</v>
      </c>
      <c r="AB282" s="37">
        <f t="shared" si="154"/>
        <v>2.8414637553591628</v>
      </c>
      <c r="AC282" s="35">
        <v>85</v>
      </c>
      <c r="AD282" s="35">
        <f t="shared" si="175"/>
        <v>1.9294189257142926</v>
      </c>
      <c r="AE282" s="48">
        <v>37.799999999999997</v>
      </c>
      <c r="AF282" s="48">
        <f t="shared" si="176"/>
        <v>1.5774917998372253</v>
      </c>
      <c r="AG282" s="43">
        <v>43.5787105608064</v>
      </c>
      <c r="AH282" s="43">
        <f t="shared" si="177"/>
        <v>1.6392743758732649</v>
      </c>
      <c r="AI282" s="39">
        <v>0.36</v>
      </c>
      <c r="AJ282" s="48">
        <f t="shared" si="155"/>
        <v>0.13353890837021748</v>
      </c>
      <c r="AK282" s="35">
        <v>28</v>
      </c>
      <c r="AL282" s="35">
        <f t="shared" si="178"/>
        <v>1.4471580313422192</v>
      </c>
      <c r="AM282" s="35">
        <f t="shared" si="156"/>
        <v>0</v>
      </c>
      <c r="AN282" s="35">
        <f t="shared" si="157"/>
        <v>0</v>
      </c>
      <c r="AO282" s="35">
        <f t="shared" si="158"/>
        <v>0</v>
      </c>
      <c r="AP282" s="35">
        <f t="shared" si="159"/>
        <v>0</v>
      </c>
      <c r="AQ282" s="35">
        <f t="shared" si="160"/>
        <v>0</v>
      </c>
      <c r="AR282" s="35">
        <f t="shared" si="161"/>
        <v>0</v>
      </c>
      <c r="AS282" s="35">
        <f t="shared" si="162"/>
        <v>0</v>
      </c>
      <c r="AT282" s="35">
        <f t="shared" si="163"/>
        <v>0</v>
      </c>
      <c r="AU282" s="35">
        <f t="shared" si="164"/>
        <v>0</v>
      </c>
      <c r="AV282" s="35">
        <f t="shared" si="165"/>
        <v>0</v>
      </c>
      <c r="AW282" s="35">
        <f t="shared" si="166"/>
        <v>0</v>
      </c>
      <c r="AX282" s="35">
        <f t="shared" si="167"/>
        <v>0</v>
      </c>
      <c r="AY282" s="35">
        <f t="shared" si="168"/>
        <v>1</v>
      </c>
      <c r="AZ282" s="35">
        <f t="shared" si="169"/>
        <v>0</v>
      </c>
      <c r="BA282" s="35">
        <f t="shared" si="170"/>
        <v>0</v>
      </c>
      <c r="BB282" s="35">
        <f t="shared" si="171"/>
        <v>0</v>
      </c>
      <c r="BC282" s="35">
        <f t="shared" si="172"/>
        <v>0</v>
      </c>
    </row>
    <row r="283" spans="1:55" s="35" customFormat="1" x14ac:dyDescent="0.35">
      <c r="A283" s="36">
        <v>38546</v>
      </c>
      <c r="B283" s="35" t="s">
        <v>647</v>
      </c>
      <c r="C283" s="35" t="s">
        <v>59</v>
      </c>
      <c r="D283" s="35" t="s">
        <v>602</v>
      </c>
      <c r="E283" s="35" t="s">
        <v>64</v>
      </c>
      <c r="F283" s="139">
        <f t="shared" si="145"/>
        <v>1</v>
      </c>
      <c r="G283" s="35">
        <v>1723361008</v>
      </c>
      <c r="H283" s="139">
        <f t="shared" si="146"/>
        <v>9.2363762625668429</v>
      </c>
      <c r="I283" s="35">
        <f>G283</f>
        <v>1723361008</v>
      </c>
      <c r="J283" s="35">
        <v>0</v>
      </c>
      <c r="K283" s="36">
        <v>42066</v>
      </c>
      <c r="L283" s="35">
        <v>2478020000</v>
      </c>
      <c r="M283" s="21">
        <f t="shared" si="147"/>
        <v>9.6438356164383556</v>
      </c>
      <c r="N283" s="21">
        <f t="shared" si="173"/>
        <v>0.98424979902165632</v>
      </c>
      <c r="O283" s="35">
        <v>5897.96</v>
      </c>
      <c r="P283" s="35">
        <f t="shared" si="148"/>
        <v>3.7707754512906644</v>
      </c>
      <c r="Q283" s="35">
        <v>7</v>
      </c>
      <c r="R283" s="35">
        <f t="shared" si="149"/>
        <v>0.90308998699194354</v>
      </c>
      <c r="S283" s="45">
        <v>2.3199999999999998</v>
      </c>
      <c r="T283" s="45">
        <f t="shared" si="174"/>
        <v>0.36548798489089962</v>
      </c>
      <c r="U283" s="175">
        <f t="shared" si="150"/>
        <v>0.4378995396186891</v>
      </c>
      <c r="V283" s="48">
        <f t="shared" si="151"/>
        <v>0.15772854466068537</v>
      </c>
      <c r="W283" s="35">
        <v>2315.9650000000001</v>
      </c>
      <c r="X283" s="35">
        <f t="shared" si="152"/>
        <v>3.3647319918335836</v>
      </c>
      <c r="Y283" s="35">
        <v>3703.9029999999998</v>
      </c>
      <c r="Z283" s="35">
        <f t="shared" si="153"/>
        <v>3.568659604598353</v>
      </c>
      <c r="AA283" s="37">
        <v>132</v>
      </c>
      <c r="AB283" s="37">
        <f t="shared" si="154"/>
        <v>2.1238516409670858</v>
      </c>
      <c r="AC283" s="35">
        <v>85</v>
      </c>
      <c r="AD283" s="35">
        <f t="shared" si="175"/>
        <v>1.9294189257142926</v>
      </c>
      <c r="AE283" s="48">
        <v>32.700000000000003</v>
      </c>
      <c r="AF283" s="48">
        <f t="shared" si="176"/>
        <v>1.5145477526602862</v>
      </c>
      <c r="AG283" s="43">
        <v>41.286751495766303</v>
      </c>
      <c r="AH283" s="43">
        <f t="shared" si="177"/>
        <v>1.6158107132703448</v>
      </c>
      <c r="AI283" s="39">
        <v>0.46</v>
      </c>
      <c r="AJ283" s="48">
        <f t="shared" si="155"/>
        <v>0.16435285578443709</v>
      </c>
      <c r="AK283" s="35">
        <v>15</v>
      </c>
      <c r="AL283" s="35">
        <f t="shared" si="178"/>
        <v>1.1760912590556813</v>
      </c>
      <c r="AM283" s="35">
        <f t="shared" si="156"/>
        <v>0</v>
      </c>
      <c r="AN283" s="35">
        <f t="shared" si="157"/>
        <v>0</v>
      </c>
      <c r="AO283" s="35">
        <f t="shared" si="158"/>
        <v>1</v>
      </c>
      <c r="AP283" s="35">
        <f t="shared" si="159"/>
        <v>0</v>
      </c>
      <c r="AQ283" s="35">
        <f t="shared" si="160"/>
        <v>0</v>
      </c>
      <c r="AR283" s="35">
        <f t="shared" si="161"/>
        <v>0</v>
      </c>
      <c r="AS283" s="35">
        <f t="shared" si="162"/>
        <v>0</v>
      </c>
      <c r="AT283" s="35">
        <f t="shared" si="163"/>
        <v>0</v>
      </c>
      <c r="AU283" s="35">
        <f t="shared" si="164"/>
        <v>0</v>
      </c>
      <c r="AV283" s="35">
        <f t="shared" si="165"/>
        <v>0</v>
      </c>
      <c r="AW283" s="35">
        <f t="shared" si="166"/>
        <v>0</v>
      </c>
      <c r="AX283" s="35">
        <f t="shared" si="167"/>
        <v>0</v>
      </c>
      <c r="AY283" s="35">
        <f t="shared" si="168"/>
        <v>0</v>
      </c>
      <c r="AZ283" s="35">
        <f t="shared" si="169"/>
        <v>0</v>
      </c>
      <c r="BA283" s="35">
        <f t="shared" si="170"/>
        <v>0</v>
      </c>
      <c r="BB283" s="35">
        <f t="shared" si="171"/>
        <v>0</v>
      </c>
      <c r="BC283" s="35">
        <f t="shared" si="172"/>
        <v>0</v>
      </c>
    </row>
    <row r="284" spans="1:55" s="35" customFormat="1" x14ac:dyDescent="0.35">
      <c r="A284" s="36">
        <v>38555</v>
      </c>
      <c r="B284" s="35" t="s">
        <v>877</v>
      </c>
      <c r="C284" s="35" t="s">
        <v>45</v>
      </c>
      <c r="D284" s="35" t="s">
        <v>59</v>
      </c>
      <c r="E284" s="35" t="s">
        <v>47</v>
      </c>
      <c r="F284" s="139">
        <f t="shared" si="145"/>
        <v>0</v>
      </c>
      <c r="G284" s="35">
        <v>17800000</v>
      </c>
      <c r="H284" s="139">
        <f t="shared" si="146"/>
        <v>7.2504200023088936</v>
      </c>
      <c r="I284" s="35">
        <f>G284</f>
        <v>17800000</v>
      </c>
      <c r="J284" s="35">
        <v>0</v>
      </c>
      <c r="K284" s="36">
        <v>39720</v>
      </c>
      <c r="L284" s="35">
        <v>63100000</v>
      </c>
      <c r="M284" s="21">
        <f t="shared" si="147"/>
        <v>3.1917808219178081</v>
      </c>
      <c r="N284" s="21">
        <f t="shared" si="173"/>
        <v>0.5040330609055631</v>
      </c>
      <c r="O284" s="35">
        <v>5897.96</v>
      </c>
      <c r="P284" s="35">
        <f t="shared" si="148"/>
        <v>3.7707754512906644</v>
      </c>
      <c r="Q284" s="35">
        <v>8</v>
      </c>
      <c r="R284" s="35">
        <f t="shared" si="149"/>
        <v>0.95424250943932487</v>
      </c>
      <c r="S284" s="45">
        <v>2.3199999999999998</v>
      </c>
      <c r="T284" s="45">
        <f t="shared" si="174"/>
        <v>0.36548798489089962</v>
      </c>
      <c r="U284" s="175">
        <f t="shared" si="150"/>
        <v>2.5449438202247192</v>
      </c>
      <c r="V284" s="48">
        <f t="shared" si="151"/>
        <v>0.54960935693524038</v>
      </c>
      <c r="W284" s="35">
        <v>2777.7777777777774</v>
      </c>
      <c r="X284" s="35">
        <f t="shared" si="152"/>
        <v>3.4436974992327127</v>
      </c>
      <c r="Y284" s="35">
        <v>7222.2222222222235</v>
      </c>
      <c r="Z284" s="35">
        <f t="shared" si="153"/>
        <v>3.8586708472035309</v>
      </c>
      <c r="AA284" s="37">
        <v>132</v>
      </c>
      <c r="AB284" s="37">
        <f t="shared" si="154"/>
        <v>2.1238516409670858</v>
      </c>
      <c r="AC284" s="35">
        <v>85</v>
      </c>
      <c r="AD284" s="35">
        <f t="shared" si="175"/>
        <v>1.9294189257142926</v>
      </c>
      <c r="AE284" s="48">
        <v>25.9</v>
      </c>
      <c r="AF284" s="48">
        <f t="shared" si="176"/>
        <v>1.4132997640812519</v>
      </c>
      <c r="AG284" s="43">
        <v>36.959146749272797</v>
      </c>
      <c r="AH284" s="43">
        <f t="shared" si="177"/>
        <v>1.5677219364019672</v>
      </c>
      <c r="AI284" s="39">
        <v>1.91</v>
      </c>
      <c r="AJ284" s="48">
        <f t="shared" si="155"/>
        <v>0.46389298898590731</v>
      </c>
      <c r="AK284" s="35">
        <v>10</v>
      </c>
      <c r="AL284" s="35">
        <f t="shared" si="178"/>
        <v>1</v>
      </c>
      <c r="AM284" s="35">
        <f t="shared" si="156"/>
        <v>0</v>
      </c>
      <c r="AN284" s="35">
        <f t="shared" si="157"/>
        <v>1</v>
      </c>
      <c r="AO284" s="35">
        <f t="shared" si="158"/>
        <v>0</v>
      </c>
      <c r="AP284" s="35">
        <f t="shared" si="159"/>
        <v>0</v>
      </c>
      <c r="AQ284" s="35">
        <f t="shared" si="160"/>
        <v>0</v>
      </c>
      <c r="AR284" s="35">
        <f t="shared" si="161"/>
        <v>0</v>
      </c>
      <c r="AS284" s="35">
        <f t="shared" si="162"/>
        <v>0</v>
      </c>
      <c r="AT284" s="35">
        <f t="shared" si="163"/>
        <v>0</v>
      </c>
      <c r="AU284" s="35">
        <f t="shared" si="164"/>
        <v>0</v>
      </c>
      <c r="AV284" s="35">
        <f t="shared" si="165"/>
        <v>0</v>
      </c>
      <c r="AW284" s="35">
        <f t="shared" si="166"/>
        <v>0</v>
      </c>
      <c r="AX284" s="35">
        <f t="shared" si="167"/>
        <v>0</v>
      </c>
      <c r="AY284" s="35">
        <f t="shared" si="168"/>
        <v>0</v>
      </c>
      <c r="AZ284" s="35">
        <f t="shared" si="169"/>
        <v>0</v>
      </c>
      <c r="BA284" s="35">
        <f t="shared" si="170"/>
        <v>0</v>
      </c>
      <c r="BB284" s="35">
        <f t="shared" si="171"/>
        <v>0</v>
      </c>
      <c r="BC284" s="35">
        <f t="shared" si="172"/>
        <v>0</v>
      </c>
    </row>
    <row r="285" spans="1:55" s="35" customFormat="1" x14ac:dyDescent="0.35">
      <c r="A285" s="36">
        <v>38567</v>
      </c>
      <c r="B285" s="139" t="s">
        <v>98</v>
      </c>
      <c r="C285" s="139" t="s">
        <v>45</v>
      </c>
      <c r="D285" s="139" t="s">
        <v>45</v>
      </c>
      <c r="E285" s="139" t="s">
        <v>47</v>
      </c>
      <c r="F285" s="139">
        <f t="shared" si="145"/>
        <v>0</v>
      </c>
      <c r="G285" s="139">
        <v>417060000</v>
      </c>
      <c r="H285" s="139">
        <f t="shared" si="146"/>
        <v>8.6201985388932822</v>
      </c>
      <c r="I285" s="139">
        <v>417060000</v>
      </c>
      <c r="J285" s="139">
        <v>0</v>
      </c>
      <c r="K285" s="18">
        <v>39239</v>
      </c>
      <c r="L285" s="139">
        <v>308200000</v>
      </c>
      <c r="M285" s="21">
        <f t="shared" si="147"/>
        <v>1.8410958904109589</v>
      </c>
      <c r="N285" s="21">
        <f t="shared" si="173"/>
        <v>0.26507640859735054</v>
      </c>
      <c r="O285" s="35">
        <v>0</v>
      </c>
      <c r="P285" s="35">
        <f t="shared" si="148"/>
        <v>0</v>
      </c>
      <c r="Q285" s="35">
        <v>13</v>
      </c>
      <c r="R285" s="35">
        <f t="shared" si="149"/>
        <v>1.146128035678238</v>
      </c>
      <c r="S285" s="45">
        <v>2.95</v>
      </c>
      <c r="T285" s="45">
        <f t="shared" si="174"/>
        <v>0.46982201597816303</v>
      </c>
      <c r="U285" s="175">
        <f t="shared" si="150"/>
        <v>-0.26101759938617941</v>
      </c>
      <c r="V285" s="48">
        <f t="shared" si="151"/>
        <v>-0.13136590451088112</v>
      </c>
      <c r="W285" s="35">
        <v>4192.5515477649324</v>
      </c>
      <c r="X285" s="35">
        <f t="shared" si="152"/>
        <v>3.6224784109972026</v>
      </c>
      <c r="Y285" s="35">
        <v>6098.886461718791</v>
      </c>
      <c r="Z285" s="35">
        <f t="shared" si="153"/>
        <v>3.7852505485064163</v>
      </c>
      <c r="AA285" s="37">
        <v>0</v>
      </c>
      <c r="AB285" s="37">
        <f t="shared" si="154"/>
        <v>0</v>
      </c>
      <c r="AC285" s="35">
        <v>85</v>
      </c>
      <c r="AD285" s="35">
        <f t="shared" si="175"/>
        <v>1.9294189257142926</v>
      </c>
      <c r="AE285" s="48">
        <v>25.9</v>
      </c>
      <c r="AF285" s="48">
        <f t="shared" si="176"/>
        <v>1.4132997640812519</v>
      </c>
      <c r="AG285" s="43">
        <v>36.959146749272797</v>
      </c>
      <c r="AH285" s="43">
        <f t="shared" si="177"/>
        <v>1.5677219364019672</v>
      </c>
      <c r="AI285" s="39">
        <v>0.18</v>
      </c>
      <c r="AJ285" s="48">
        <f t="shared" si="155"/>
        <v>7.1882007306125359E-2</v>
      </c>
      <c r="AK285" s="35">
        <v>9</v>
      </c>
      <c r="AL285" s="35">
        <f t="shared" si="178"/>
        <v>0.95424250943932487</v>
      </c>
      <c r="AM285" s="35">
        <f t="shared" si="156"/>
        <v>0</v>
      </c>
      <c r="AN285" s="35">
        <f t="shared" si="157"/>
        <v>1</v>
      </c>
      <c r="AO285" s="35">
        <f t="shared" si="158"/>
        <v>0</v>
      </c>
      <c r="AP285" s="35">
        <f t="shared" si="159"/>
        <v>0</v>
      </c>
      <c r="AQ285" s="35">
        <f t="shared" si="160"/>
        <v>0</v>
      </c>
      <c r="AR285" s="35">
        <f t="shared" si="161"/>
        <v>0</v>
      </c>
      <c r="AS285" s="35">
        <f t="shared" si="162"/>
        <v>0</v>
      </c>
      <c r="AT285" s="35">
        <f t="shared" si="163"/>
        <v>0</v>
      </c>
      <c r="AU285" s="35">
        <f t="shared" si="164"/>
        <v>0</v>
      </c>
      <c r="AV285" s="35">
        <f t="shared" si="165"/>
        <v>0</v>
      </c>
      <c r="AW285" s="35">
        <f t="shared" si="166"/>
        <v>0</v>
      </c>
      <c r="AX285" s="35">
        <f t="shared" si="167"/>
        <v>0</v>
      </c>
      <c r="AY285" s="35">
        <f t="shared" si="168"/>
        <v>0</v>
      </c>
      <c r="AZ285" s="35">
        <f t="shared" si="169"/>
        <v>0</v>
      </c>
      <c r="BA285" s="35">
        <f t="shared" si="170"/>
        <v>0</v>
      </c>
      <c r="BB285" s="35">
        <f t="shared" si="171"/>
        <v>0</v>
      </c>
      <c r="BC285" s="35">
        <f t="shared" si="172"/>
        <v>0</v>
      </c>
    </row>
    <row r="286" spans="1:55" s="35" customFormat="1" x14ac:dyDescent="0.35">
      <c r="A286" s="36">
        <v>38577</v>
      </c>
      <c r="B286" s="35" t="s">
        <v>1267</v>
      </c>
      <c r="C286" s="35" t="s">
        <v>45</v>
      </c>
      <c r="D286" s="35" t="s">
        <v>602</v>
      </c>
      <c r="E286" s="35" t="s">
        <v>47</v>
      </c>
      <c r="F286" s="139">
        <f t="shared" si="145"/>
        <v>0</v>
      </c>
      <c r="G286" s="35">
        <v>555000000</v>
      </c>
      <c r="H286" s="139">
        <f t="shared" si="146"/>
        <v>8.7442929831226763</v>
      </c>
      <c r="I286" s="35">
        <f t="shared" ref="I286:I292" si="179">G286</f>
        <v>555000000</v>
      </c>
      <c r="J286" s="35">
        <v>0</v>
      </c>
      <c r="K286" s="36">
        <v>41428</v>
      </c>
      <c r="L286" s="35">
        <v>320000000</v>
      </c>
      <c r="M286" s="21">
        <f t="shared" si="147"/>
        <v>7.8109589041095893</v>
      </c>
      <c r="N286" s="21">
        <f t="shared" si="173"/>
        <v>0.89270435285298533</v>
      </c>
      <c r="O286" s="35">
        <v>0</v>
      </c>
      <c r="P286" s="35">
        <f t="shared" si="148"/>
        <v>0</v>
      </c>
      <c r="Q286" s="35">
        <v>12</v>
      </c>
      <c r="R286" s="35">
        <f t="shared" si="149"/>
        <v>1.1139433523068367</v>
      </c>
      <c r="S286" s="45">
        <v>2.95</v>
      </c>
      <c r="T286" s="45">
        <f t="shared" si="174"/>
        <v>0.46982201597816303</v>
      </c>
      <c r="U286" s="175">
        <f t="shared" si="150"/>
        <v>-0.42342342342342343</v>
      </c>
      <c r="V286" s="48">
        <f t="shared" si="151"/>
        <v>-0.23914300480277026</v>
      </c>
      <c r="W286" s="35">
        <v>1246.953</v>
      </c>
      <c r="X286" s="35">
        <f t="shared" si="152"/>
        <v>3.0958500844125241</v>
      </c>
      <c r="Y286" s="35">
        <v>3219.7179999999998</v>
      </c>
      <c r="Z286" s="35">
        <f t="shared" si="153"/>
        <v>3.5078178355445662</v>
      </c>
      <c r="AA286" s="35">
        <v>0</v>
      </c>
      <c r="AB286" s="37">
        <f t="shared" si="154"/>
        <v>0</v>
      </c>
      <c r="AC286" s="35">
        <v>85</v>
      </c>
      <c r="AD286" s="35">
        <f t="shared" si="175"/>
        <v>1.9294189257142926</v>
      </c>
      <c r="AE286" s="48">
        <v>25.9</v>
      </c>
      <c r="AF286" s="48">
        <f t="shared" si="176"/>
        <v>1.4132997640812519</v>
      </c>
      <c r="AG286" s="43">
        <v>36.959146749272797</v>
      </c>
      <c r="AH286" s="43">
        <f t="shared" si="177"/>
        <v>1.5677219364019672</v>
      </c>
      <c r="AI286" s="39">
        <v>0.32</v>
      </c>
      <c r="AJ286" s="48">
        <f t="shared" si="155"/>
        <v>0.12057393120584989</v>
      </c>
      <c r="AK286" s="35">
        <v>9</v>
      </c>
      <c r="AL286" s="35">
        <f t="shared" si="178"/>
        <v>0.95424250943932487</v>
      </c>
      <c r="AM286" s="35">
        <f t="shared" si="156"/>
        <v>0</v>
      </c>
      <c r="AN286" s="35">
        <f t="shared" si="157"/>
        <v>1</v>
      </c>
      <c r="AO286" s="35">
        <f t="shared" si="158"/>
        <v>0</v>
      </c>
      <c r="AP286" s="35">
        <f t="shared" si="159"/>
        <v>0</v>
      </c>
      <c r="AQ286" s="35">
        <f t="shared" si="160"/>
        <v>0</v>
      </c>
      <c r="AR286" s="35">
        <f t="shared" si="161"/>
        <v>0</v>
      </c>
      <c r="AS286" s="35">
        <f t="shared" si="162"/>
        <v>0</v>
      </c>
      <c r="AT286" s="35">
        <f t="shared" si="163"/>
        <v>0</v>
      </c>
      <c r="AU286" s="35">
        <f t="shared" si="164"/>
        <v>0</v>
      </c>
      <c r="AV286" s="35">
        <f t="shared" si="165"/>
        <v>0</v>
      </c>
      <c r="AW286" s="35">
        <f t="shared" si="166"/>
        <v>0</v>
      </c>
      <c r="AX286" s="35">
        <f t="shared" si="167"/>
        <v>0</v>
      </c>
      <c r="AY286" s="35">
        <f t="shared" si="168"/>
        <v>0</v>
      </c>
      <c r="AZ286" s="35">
        <f t="shared" si="169"/>
        <v>0</v>
      </c>
      <c r="BA286" s="35">
        <f t="shared" si="170"/>
        <v>0</v>
      </c>
      <c r="BB286" s="35">
        <f t="shared" si="171"/>
        <v>0</v>
      </c>
      <c r="BC286" s="35">
        <f t="shared" si="172"/>
        <v>0</v>
      </c>
    </row>
    <row r="287" spans="1:55" s="35" customFormat="1" x14ac:dyDescent="0.35">
      <c r="A287" s="36">
        <v>38579</v>
      </c>
      <c r="B287" s="35" t="s">
        <v>846</v>
      </c>
      <c r="C287" s="35" t="s">
        <v>59</v>
      </c>
      <c r="D287" s="35" t="s">
        <v>59</v>
      </c>
      <c r="E287" s="35" t="s">
        <v>47</v>
      </c>
      <c r="F287" s="139">
        <f t="shared" si="145"/>
        <v>0</v>
      </c>
      <c r="G287" s="35">
        <v>288650000</v>
      </c>
      <c r="H287" s="139">
        <f t="shared" si="146"/>
        <v>8.4603715618346502</v>
      </c>
      <c r="I287" s="35">
        <f t="shared" si="179"/>
        <v>288650000</v>
      </c>
      <c r="J287" s="35">
        <v>0</v>
      </c>
      <c r="K287" s="36">
        <v>39090</v>
      </c>
      <c r="L287" s="35">
        <v>570000000</v>
      </c>
      <c r="M287" s="21">
        <f t="shared" si="147"/>
        <v>1.4</v>
      </c>
      <c r="N287" s="21">
        <f t="shared" si="173"/>
        <v>0.14612803567823801</v>
      </c>
      <c r="O287" s="35">
        <v>0</v>
      </c>
      <c r="P287" s="35">
        <f t="shared" si="148"/>
        <v>0</v>
      </c>
      <c r="Q287" s="35">
        <v>11</v>
      </c>
      <c r="R287" s="35">
        <f t="shared" si="149"/>
        <v>1.0791812460476249</v>
      </c>
      <c r="S287" s="45">
        <v>3.29</v>
      </c>
      <c r="T287" s="45">
        <f t="shared" si="174"/>
        <v>0.51719589794997434</v>
      </c>
      <c r="U287" s="175">
        <f t="shared" si="150"/>
        <v>0.97470985622726491</v>
      </c>
      <c r="V287" s="48">
        <f t="shared" si="151"/>
        <v>0.29550329383784157</v>
      </c>
      <c r="W287" s="35">
        <v>2207.03125</v>
      </c>
      <c r="X287" s="35">
        <f t="shared" si="152"/>
        <v>3.3438084825075891</v>
      </c>
      <c r="Y287" s="35">
        <v>7753.90625</v>
      </c>
      <c r="Z287" s="35">
        <f t="shared" si="153"/>
        <v>3.8895205457872843</v>
      </c>
      <c r="AA287" s="37">
        <v>0</v>
      </c>
      <c r="AB287" s="37">
        <f t="shared" si="154"/>
        <v>0</v>
      </c>
      <c r="AC287" s="35">
        <v>85</v>
      </c>
      <c r="AD287" s="35">
        <f t="shared" si="175"/>
        <v>1.9294189257142926</v>
      </c>
      <c r="AE287" s="48">
        <v>32.700000000000003</v>
      </c>
      <c r="AF287" s="48">
        <f t="shared" si="176"/>
        <v>1.5145477526602862</v>
      </c>
      <c r="AG287" s="43">
        <v>41.286751495766303</v>
      </c>
      <c r="AH287" s="43">
        <f t="shared" si="177"/>
        <v>1.6158107132703448</v>
      </c>
      <c r="AI287" s="39">
        <v>0.26</v>
      </c>
      <c r="AJ287" s="48">
        <f t="shared" si="155"/>
        <v>0.10037054511756291</v>
      </c>
      <c r="AK287" s="35">
        <v>20</v>
      </c>
      <c r="AL287" s="35">
        <f t="shared" si="178"/>
        <v>1.3010299956639813</v>
      </c>
      <c r="AM287" s="35">
        <f t="shared" si="156"/>
        <v>0</v>
      </c>
      <c r="AN287" s="35">
        <f t="shared" si="157"/>
        <v>0</v>
      </c>
      <c r="AO287" s="35">
        <f t="shared" si="158"/>
        <v>1</v>
      </c>
      <c r="AP287" s="35">
        <f t="shared" si="159"/>
        <v>0</v>
      </c>
      <c r="AQ287" s="35">
        <f t="shared" si="160"/>
        <v>0</v>
      </c>
      <c r="AR287" s="35">
        <f t="shared" si="161"/>
        <v>0</v>
      </c>
      <c r="AS287" s="35">
        <f t="shared" si="162"/>
        <v>0</v>
      </c>
      <c r="AT287" s="35">
        <f t="shared" si="163"/>
        <v>0</v>
      </c>
      <c r="AU287" s="35">
        <f t="shared" si="164"/>
        <v>0</v>
      </c>
      <c r="AV287" s="35">
        <f t="shared" si="165"/>
        <v>0</v>
      </c>
      <c r="AW287" s="35">
        <f t="shared" si="166"/>
        <v>0</v>
      </c>
      <c r="AX287" s="35">
        <f t="shared" si="167"/>
        <v>0</v>
      </c>
      <c r="AY287" s="35">
        <f t="shared" si="168"/>
        <v>0</v>
      </c>
      <c r="AZ287" s="35">
        <f t="shared" si="169"/>
        <v>0</v>
      </c>
      <c r="BA287" s="35">
        <f t="shared" si="170"/>
        <v>0</v>
      </c>
      <c r="BB287" s="35">
        <f t="shared" si="171"/>
        <v>0</v>
      </c>
      <c r="BC287" s="35">
        <f t="shared" si="172"/>
        <v>0</v>
      </c>
    </row>
    <row r="288" spans="1:55" s="35" customFormat="1" x14ac:dyDescent="0.35">
      <c r="A288" s="36">
        <v>38581</v>
      </c>
      <c r="B288" s="35" t="s">
        <v>247</v>
      </c>
      <c r="C288" s="35" t="s">
        <v>59</v>
      </c>
      <c r="D288" s="35" t="s">
        <v>163</v>
      </c>
      <c r="E288" s="35" t="s">
        <v>64</v>
      </c>
      <c r="F288" s="139">
        <f t="shared" si="145"/>
        <v>1</v>
      </c>
      <c r="G288" s="35">
        <v>800000000</v>
      </c>
      <c r="H288" s="139">
        <f t="shared" si="146"/>
        <v>8.9030899869919438</v>
      </c>
      <c r="I288" s="35">
        <f t="shared" si="179"/>
        <v>800000000</v>
      </c>
      <c r="J288" s="35">
        <v>0</v>
      </c>
      <c r="K288" s="36">
        <v>40728</v>
      </c>
      <c r="L288" s="35">
        <v>637000000</v>
      </c>
      <c r="M288" s="21">
        <f t="shared" si="147"/>
        <v>5.882191780821918</v>
      </c>
      <c r="N288" s="21">
        <f t="shared" si="173"/>
        <v>0.76953917997977395</v>
      </c>
      <c r="O288" s="35">
        <v>342.74</v>
      </c>
      <c r="P288" s="35">
        <f t="shared" si="148"/>
        <v>2.5362300726332561</v>
      </c>
      <c r="Q288" s="35">
        <v>10</v>
      </c>
      <c r="R288" s="35">
        <f t="shared" si="149"/>
        <v>1.0413926851582251</v>
      </c>
      <c r="S288" s="45">
        <v>2.5499999999999998</v>
      </c>
      <c r="T288" s="45">
        <f t="shared" si="174"/>
        <v>0.40654018043395512</v>
      </c>
      <c r="U288" s="175">
        <f t="shared" si="150"/>
        <v>-0.20374999999999999</v>
      </c>
      <c r="V288" s="48">
        <f t="shared" si="151"/>
        <v>-9.8950554656593151E-2</v>
      </c>
      <c r="W288" s="35">
        <v>1213.5328018155212</v>
      </c>
      <c r="X288" s="35">
        <f t="shared" si="152"/>
        <v>3.0840515198150036</v>
      </c>
      <c r="Y288" s="35">
        <v>8035.9222431246071</v>
      </c>
      <c r="Z288" s="35">
        <f t="shared" si="153"/>
        <v>3.905035725793323</v>
      </c>
      <c r="AA288" s="37">
        <v>569.16666666666697</v>
      </c>
      <c r="AB288" s="37">
        <f t="shared" si="154"/>
        <v>2.756001823801419</v>
      </c>
      <c r="AC288" s="35">
        <v>85</v>
      </c>
      <c r="AD288" s="35">
        <f t="shared" si="175"/>
        <v>1.9294189257142926</v>
      </c>
      <c r="AE288" s="48">
        <v>32.700000000000003</v>
      </c>
      <c r="AF288" s="48">
        <f t="shared" si="176"/>
        <v>1.5145477526602862</v>
      </c>
      <c r="AG288" s="43">
        <v>41.286751495766303</v>
      </c>
      <c r="AH288" s="43">
        <f t="shared" si="177"/>
        <v>1.6158107132703448</v>
      </c>
      <c r="AI288" s="39">
        <v>0.39</v>
      </c>
      <c r="AJ288" s="48">
        <f t="shared" si="155"/>
        <v>0.14301480025409513</v>
      </c>
      <c r="AK288" s="35">
        <v>18</v>
      </c>
      <c r="AL288" s="35">
        <f t="shared" si="178"/>
        <v>1.255272505103306</v>
      </c>
      <c r="AM288" s="35">
        <f t="shared" si="156"/>
        <v>0</v>
      </c>
      <c r="AN288" s="35">
        <f t="shared" si="157"/>
        <v>0</v>
      </c>
      <c r="AO288" s="35">
        <f t="shared" si="158"/>
        <v>1</v>
      </c>
      <c r="AP288" s="35">
        <f t="shared" si="159"/>
        <v>0</v>
      </c>
      <c r="AQ288" s="35">
        <f t="shared" si="160"/>
        <v>0</v>
      </c>
      <c r="AR288" s="35">
        <f t="shared" si="161"/>
        <v>0</v>
      </c>
      <c r="AS288" s="35">
        <f t="shared" si="162"/>
        <v>0</v>
      </c>
      <c r="AT288" s="35">
        <f t="shared" si="163"/>
        <v>0</v>
      </c>
      <c r="AU288" s="35">
        <f t="shared" si="164"/>
        <v>0</v>
      </c>
      <c r="AV288" s="35">
        <f t="shared" si="165"/>
        <v>0</v>
      </c>
      <c r="AW288" s="35">
        <f t="shared" si="166"/>
        <v>0</v>
      </c>
      <c r="AX288" s="35">
        <f t="shared" si="167"/>
        <v>0</v>
      </c>
      <c r="AY288" s="35">
        <f t="shared" si="168"/>
        <v>0</v>
      </c>
      <c r="AZ288" s="35">
        <f t="shared" si="169"/>
        <v>0</v>
      </c>
      <c r="BA288" s="35">
        <f t="shared" si="170"/>
        <v>0</v>
      </c>
      <c r="BB288" s="35">
        <f t="shared" si="171"/>
        <v>0</v>
      </c>
      <c r="BC288" s="35">
        <f t="shared" si="172"/>
        <v>0</v>
      </c>
    </row>
    <row r="289" spans="1:55" s="35" customFormat="1" x14ac:dyDescent="0.35">
      <c r="A289" s="36">
        <v>38587</v>
      </c>
      <c r="B289" s="35" t="s">
        <v>566</v>
      </c>
      <c r="C289" s="35" t="s">
        <v>4</v>
      </c>
      <c r="D289" s="35" t="s">
        <v>419</v>
      </c>
      <c r="E289" s="35" t="s">
        <v>125</v>
      </c>
      <c r="F289" s="139">
        <f t="shared" si="145"/>
        <v>1</v>
      </c>
      <c r="G289" s="35">
        <v>41225702</v>
      </c>
      <c r="H289" s="139">
        <f t="shared" si="146"/>
        <v>7.6151680596380977</v>
      </c>
      <c r="I289" s="35">
        <f t="shared" si="179"/>
        <v>41225702</v>
      </c>
      <c r="J289" s="35">
        <v>0</v>
      </c>
      <c r="K289" s="36">
        <v>40574</v>
      </c>
      <c r="L289" s="35">
        <v>189382831</v>
      </c>
      <c r="M289" s="21">
        <f t="shared" si="147"/>
        <v>5.4438356164383563</v>
      </c>
      <c r="N289" s="21">
        <f t="shared" si="173"/>
        <v>0.73590500265334047</v>
      </c>
      <c r="O289" s="35">
        <v>395.92</v>
      </c>
      <c r="P289" s="35">
        <f t="shared" si="148"/>
        <v>2.5987029826834349</v>
      </c>
      <c r="Q289" s="35">
        <v>8</v>
      </c>
      <c r="R289" s="35">
        <f t="shared" si="149"/>
        <v>0.95424250943932487</v>
      </c>
      <c r="S289" s="45">
        <v>3.35</v>
      </c>
      <c r="T289" s="45">
        <f t="shared" si="174"/>
        <v>0.5250448070368452</v>
      </c>
      <c r="U289" s="175">
        <f t="shared" si="150"/>
        <v>3.5938048792959307</v>
      </c>
      <c r="V289" s="48">
        <f t="shared" si="151"/>
        <v>0.66217254470212683</v>
      </c>
      <c r="W289" s="35">
        <v>1895.918367346939</v>
      </c>
      <c r="X289" s="35">
        <f t="shared" si="152"/>
        <v>3.277819633965128</v>
      </c>
      <c r="Y289" s="35">
        <v>8519.3877551020414</v>
      </c>
      <c r="Z289" s="35">
        <f t="shared" si="153"/>
        <v>3.9304083853612104</v>
      </c>
      <c r="AA289" s="37">
        <v>345.83333333333297</v>
      </c>
      <c r="AB289" s="37">
        <f t="shared" si="154"/>
        <v>2.5401208298279827</v>
      </c>
      <c r="AC289" s="35">
        <v>70</v>
      </c>
      <c r="AD289" s="35">
        <f t="shared" si="175"/>
        <v>1.8450980400142569</v>
      </c>
      <c r="AE289" s="48">
        <v>46.6</v>
      </c>
      <c r="AF289" s="48">
        <f t="shared" si="176"/>
        <v>1.6683859166900001</v>
      </c>
      <c r="AG289" s="43">
        <v>52.311776995296299</v>
      </c>
      <c r="AH289" s="43">
        <f t="shared" si="177"/>
        <v>1.7185994729646119</v>
      </c>
      <c r="AI289" s="39">
        <v>0.1</v>
      </c>
      <c r="AJ289" s="48">
        <f t="shared" si="155"/>
        <v>4.1392685158225077E-2</v>
      </c>
      <c r="AK289" s="35">
        <v>18</v>
      </c>
      <c r="AL289" s="35">
        <f t="shared" si="178"/>
        <v>1.255272505103306</v>
      </c>
      <c r="AM289" s="35">
        <f t="shared" si="156"/>
        <v>0</v>
      </c>
      <c r="AN289" s="35">
        <f t="shared" si="157"/>
        <v>0</v>
      </c>
      <c r="AO289" s="35">
        <f t="shared" si="158"/>
        <v>0</v>
      </c>
      <c r="AP289" s="35">
        <f t="shared" si="159"/>
        <v>0</v>
      </c>
      <c r="AQ289" s="35">
        <f t="shared" si="160"/>
        <v>0</v>
      </c>
      <c r="AR289" s="35">
        <f t="shared" si="161"/>
        <v>1</v>
      </c>
      <c r="AS289" s="35">
        <f t="shared" si="162"/>
        <v>0</v>
      </c>
      <c r="AT289" s="35">
        <f t="shared" si="163"/>
        <v>0</v>
      </c>
      <c r="AU289" s="35">
        <f t="shared" si="164"/>
        <v>0</v>
      </c>
      <c r="AV289" s="35">
        <f t="shared" si="165"/>
        <v>0</v>
      </c>
      <c r="AW289" s="35">
        <f t="shared" si="166"/>
        <v>0</v>
      </c>
      <c r="AX289" s="35">
        <f t="shared" si="167"/>
        <v>0</v>
      </c>
      <c r="AY289" s="35">
        <f t="shared" si="168"/>
        <v>0</v>
      </c>
      <c r="AZ289" s="35">
        <f t="shared" si="169"/>
        <v>0</v>
      </c>
      <c r="BA289" s="35">
        <f t="shared" si="170"/>
        <v>0</v>
      </c>
      <c r="BB289" s="35">
        <f t="shared" si="171"/>
        <v>0</v>
      </c>
      <c r="BC289" s="35">
        <f t="shared" si="172"/>
        <v>0</v>
      </c>
    </row>
    <row r="290" spans="1:55" s="35" customFormat="1" x14ac:dyDescent="0.35">
      <c r="A290" s="36">
        <v>38600</v>
      </c>
      <c r="B290" s="35" t="s">
        <v>982</v>
      </c>
      <c r="C290" s="35" t="s">
        <v>59</v>
      </c>
      <c r="D290" s="35" t="s">
        <v>45</v>
      </c>
      <c r="E290" s="35" t="s">
        <v>64</v>
      </c>
      <c r="F290" s="139">
        <f t="shared" si="145"/>
        <v>1</v>
      </c>
      <c r="G290" s="35">
        <v>293000000</v>
      </c>
      <c r="H290" s="139">
        <f t="shared" si="146"/>
        <v>8.46686762035411</v>
      </c>
      <c r="I290" s="35">
        <f t="shared" si="179"/>
        <v>293000000</v>
      </c>
      <c r="J290" s="35">
        <v>0</v>
      </c>
      <c r="K290" s="36">
        <v>39314</v>
      </c>
      <c r="L290" s="35">
        <v>436128000</v>
      </c>
      <c r="M290" s="21">
        <f t="shared" si="147"/>
        <v>1.9561643835616438</v>
      </c>
      <c r="N290" s="21">
        <f t="shared" si="173"/>
        <v>0.29140534731969969</v>
      </c>
      <c r="O290" s="35">
        <v>5897.96</v>
      </c>
      <c r="P290" s="35">
        <f t="shared" si="148"/>
        <v>3.7707754512906644</v>
      </c>
      <c r="Q290" s="35">
        <v>25</v>
      </c>
      <c r="R290" s="35">
        <f t="shared" si="149"/>
        <v>1.414973347970818</v>
      </c>
      <c r="S290" s="45">
        <v>2.3199999999999998</v>
      </c>
      <c r="T290" s="45">
        <f t="shared" si="174"/>
        <v>0.36548798489089962</v>
      </c>
      <c r="U290" s="175">
        <f t="shared" si="150"/>
        <v>0.48849146757679174</v>
      </c>
      <c r="V290" s="48">
        <f t="shared" si="151"/>
        <v>0.17274634950008499</v>
      </c>
      <c r="W290" s="35">
        <v>2065.9722222222217</v>
      </c>
      <c r="X290" s="35">
        <f t="shared" si="152"/>
        <v>3.3151244779693188</v>
      </c>
      <c r="Y290" s="35">
        <v>7039.9305555555566</v>
      </c>
      <c r="Z290" s="35">
        <f t="shared" si="153"/>
        <v>3.8475683751239629</v>
      </c>
      <c r="AA290" s="37">
        <v>132</v>
      </c>
      <c r="AB290" s="37">
        <f t="shared" si="154"/>
        <v>2.1238516409670858</v>
      </c>
      <c r="AC290" s="35">
        <v>85</v>
      </c>
      <c r="AD290" s="35">
        <f t="shared" si="175"/>
        <v>1.9294189257142926</v>
      </c>
      <c r="AE290" s="48">
        <v>32.700000000000003</v>
      </c>
      <c r="AF290" s="48">
        <f t="shared" si="176"/>
        <v>1.5145477526602862</v>
      </c>
      <c r="AG290" s="43">
        <v>41.286751495766303</v>
      </c>
      <c r="AH290" s="43">
        <f t="shared" si="177"/>
        <v>1.6158107132703448</v>
      </c>
      <c r="AI290" s="39">
        <v>0.24</v>
      </c>
      <c r="AJ290" s="48">
        <f t="shared" si="155"/>
        <v>9.3421685162235063E-2</v>
      </c>
      <c r="AK290" s="35">
        <v>15</v>
      </c>
      <c r="AL290" s="35">
        <f t="shared" si="178"/>
        <v>1.1760912590556813</v>
      </c>
      <c r="AM290" s="35">
        <f t="shared" si="156"/>
        <v>0</v>
      </c>
      <c r="AN290" s="35">
        <f t="shared" si="157"/>
        <v>0</v>
      </c>
      <c r="AO290" s="35">
        <f t="shared" si="158"/>
        <v>1</v>
      </c>
      <c r="AP290" s="35">
        <f t="shared" si="159"/>
        <v>0</v>
      </c>
      <c r="AQ290" s="35">
        <f t="shared" si="160"/>
        <v>0</v>
      </c>
      <c r="AR290" s="35">
        <f t="shared" si="161"/>
        <v>0</v>
      </c>
      <c r="AS290" s="35">
        <f t="shared" si="162"/>
        <v>0</v>
      </c>
      <c r="AT290" s="35">
        <f t="shared" si="163"/>
        <v>0</v>
      </c>
      <c r="AU290" s="35">
        <f t="shared" si="164"/>
        <v>0</v>
      </c>
      <c r="AV290" s="35">
        <f t="shared" si="165"/>
        <v>0</v>
      </c>
      <c r="AW290" s="35">
        <f t="shared" si="166"/>
        <v>0</v>
      </c>
      <c r="AX290" s="35">
        <f t="shared" si="167"/>
        <v>0</v>
      </c>
      <c r="AY290" s="35">
        <f t="shared" si="168"/>
        <v>0</v>
      </c>
      <c r="AZ290" s="35">
        <f t="shared" si="169"/>
        <v>0</v>
      </c>
      <c r="BA290" s="35">
        <f t="shared" si="170"/>
        <v>0</v>
      </c>
      <c r="BB290" s="35">
        <f t="shared" si="171"/>
        <v>0</v>
      </c>
      <c r="BC290" s="35">
        <f t="shared" si="172"/>
        <v>0</v>
      </c>
    </row>
    <row r="291" spans="1:55" s="35" customFormat="1" x14ac:dyDescent="0.35">
      <c r="A291" s="36">
        <v>38610</v>
      </c>
      <c r="B291" s="35" t="s">
        <v>169</v>
      </c>
      <c r="C291" s="35" t="s">
        <v>59</v>
      </c>
      <c r="D291" s="35" t="s">
        <v>577</v>
      </c>
      <c r="E291" s="35" t="s">
        <v>47</v>
      </c>
      <c r="F291" s="139">
        <f t="shared" si="145"/>
        <v>0</v>
      </c>
      <c r="G291" s="35">
        <v>225000000</v>
      </c>
      <c r="H291" s="139">
        <f t="shared" si="146"/>
        <v>8.3521825181113627</v>
      </c>
      <c r="I291" s="35">
        <f t="shared" si="179"/>
        <v>225000000</v>
      </c>
      <c r="J291" s="35">
        <v>0</v>
      </c>
      <c r="K291" s="36">
        <v>39512</v>
      </c>
      <c r="L291" s="35">
        <v>514000000</v>
      </c>
      <c r="M291" s="21">
        <f t="shared" si="147"/>
        <v>2.4712328767123286</v>
      </c>
      <c r="N291" s="21">
        <f t="shared" si="173"/>
        <v>0.39291367308546699</v>
      </c>
      <c r="O291" s="35">
        <v>0</v>
      </c>
      <c r="P291" s="35">
        <f t="shared" si="148"/>
        <v>0</v>
      </c>
      <c r="Q291" s="35">
        <v>48</v>
      </c>
      <c r="R291" s="35">
        <f t="shared" si="149"/>
        <v>1.6901960800285136</v>
      </c>
      <c r="S291" s="45">
        <v>3.29</v>
      </c>
      <c r="T291" s="45">
        <f t="shared" si="174"/>
        <v>0.51719589794997434</v>
      </c>
      <c r="U291" s="175">
        <f t="shared" si="150"/>
        <v>1.2844444444444445</v>
      </c>
      <c r="V291" s="48">
        <f t="shared" si="151"/>
        <v>0.35878060088391328</v>
      </c>
      <c r="W291" s="35">
        <v>1801.1079999999999</v>
      </c>
      <c r="X291" s="35">
        <f t="shared" si="152"/>
        <v>3.2555397552391718</v>
      </c>
      <c r="Y291" s="35">
        <v>8416.6209999999992</v>
      </c>
      <c r="Z291" s="35">
        <f t="shared" si="153"/>
        <v>3.9251377713585649</v>
      </c>
      <c r="AA291" s="37">
        <v>0</v>
      </c>
      <c r="AB291" s="37">
        <f t="shared" si="154"/>
        <v>0</v>
      </c>
      <c r="AC291" s="35">
        <v>85</v>
      </c>
      <c r="AD291" s="35">
        <f t="shared" si="175"/>
        <v>1.9294189257142926</v>
      </c>
      <c r="AE291" s="48">
        <v>32.700000000000003</v>
      </c>
      <c r="AF291" s="48">
        <f t="shared" si="176"/>
        <v>1.5145477526602862</v>
      </c>
      <c r="AG291" s="43">
        <v>41.286751495766303</v>
      </c>
      <c r="AH291" s="43">
        <f t="shared" si="177"/>
        <v>1.6158107132703448</v>
      </c>
      <c r="AI291" s="39">
        <v>-0.44</v>
      </c>
      <c r="AJ291" s="48">
        <f t="shared" si="155"/>
        <v>-0.25181197299379954</v>
      </c>
      <c r="AK291" s="35">
        <v>11</v>
      </c>
      <c r="AL291" s="35">
        <f t="shared" si="178"/>
        <v>1.0413926851582251</v>
      </c>
      <c r="AM291" s="35">
        <f t="shared" si="156"/>
        <v>0</v>
      </c>
      <c r="AN291" s="35">
        <f t="shared" si="157"/>
        <v>0</v>
      </c>
      <c r="AO291" s="35">
        <f t="shared" si="158"/>
        <v>1</v>
      </c>
      <c r="AP291" s="35">
        <f t="shared" si="159"/>
        <v>0</v>
      </c>
      <c r="AQ291" s="35">
        <f t="shared" si="160"/>
        <v>0</v>
      </c>
      <c r="AR291" s="35">
        <f t="shared" si="161"/>
        <v>0</v>
      </c>
      <c r="AS291" s="35">
        <f t="shared" si="162"/>
        <v>0</v>
      </c>
      <c r="AT291" s="35">
        <f t="shared" si="163"/>
        <v>0</v>
      </c>
      <c r="AU291" s="35">
        <f t="shared" si="164"/>
        <v>0</v>
      </c>
      <c r="AV291" s="35">
        <f t="shared" si="165"/>
        <v>0</v>
      </c>
      <c r="AW291" s="35">
        <f t="shared" si="166"/>
        <v>0</v>
      </c>
      <c r="AX291" s="35">
        <f t="shared" si="167"/>
        <v>0</v>
      </c>
      <c r="AY291" s="35">
        <f t="shared" si="168"/>
        <v>0</v>
      </c>
      <c r="AZ291" s="35">
        <f t="shared" si="169"/>
        <v>0</v>
      </c>
      <c r="BA291" s="35">
        <f t="shared" si="170"/>
        <v>0</v>
      </c>
      <c r="BB291" s="35">
        <f t="shared" si="171"/>
        <v>0</v>
      </c>
      <c r="BC291" s="35">
        <f t="shared" si="172"/>
        <v>0</v>
      </c>
    </row>
    <row r="292" spans="1:55" s="35" customFormat="1" x14ac:dyDescent="0.35">
      <c r="A292" s="36">
        <v>38625</v>
      </c>
      <c r="B292" s="35" t="s">
        <v>709</v>
      </c>
      <c r="C292" s="35" t="s">
        <v>7</v>
      </c>
      <c r="D292" s="35" t="s">
        <v>577</v>
      </c>
      <c r="E292" s="35" t="s">
        <v>64</v>
      </c>
      <c r="F292" s="139">
        <f t="shared" si="145"/>
        <v>1</v>
      </c>
      <c r="G292" s="35">
        <v>830430000</v>
      </c>
      <c r="H292" s="139">
        <f t="shared" si="146"/>
        <v>8.9193030300505232</v>
      </c>
      <c r="I292" s="35">
        <f t="shared" si="179"/>
        <v>830430000</v>
      </c>
      <c r="J292" s="35">
        <v>0</v>
      </c>
      <c r="K292" s="36">
        <v>41890</v>
      </c>
      <c r="L292" s="35">
        <v>2200000000</v>
      </c>
      <c r="M292" s="21">
        <f t="shared" si="147"/>
        <v>8.9452054794520546</v>
      </c>
      <c r="N292" s="21">
        <f t="shared" si="173"/>
        <v>0.95159032115461806</v>
      </c>
      <c r="O292" s="35">
        <v>489.17</v>
      </c>
      <c r="P292" s="35">
        <f t="shared" si="148"/>
        <v>2.6903467274930635</v>
      </c>
      <c r="Q292" s="35">
        <v>85</v>
      </c>
      <c r="R292" s="35">
        <f t="shared" si="149"/>
        <v>1.9344984512435677</v>
      </c>
      <c r="S292" s="45">
        <v>2.59</v>
      </c>
      <c r="T292" s="45">
        <f t="shared" si="174"/>
        <v>0.4132997640812518</v>
      </c>
      <c r="U292" s="175">
        <f t="shared" si="150"/>
        <v>1.6492299170309357</v>
      </c>
      <c r="V292" s="48">
        <f t="shared" si="151"/>
        <v>0.42311965077168279</v>
      </c>
      <c r="W292" s="35">
        <v>1669.0315179326171</v>
      </c>
      <c r="X292" s="35">
        <f t="shared" si="152"/>
        <v>3.22246453795844</v>
      </c>
      <c r="Y292" s="35">
        <v>5094.7953145755328</v>
      </c>
      <c r="Z292" s="35">
        <f t="shared" si="153"/>
        <v>3.7071267407396937</v>
      </c>
      <c r="AA292" s="37">
        <v>562.5</v>
      </c>
      <c r="AB292" s="37">
        <f t="shared" si="154"/>
        <v>2.7508939203821252</v>
      </c>
      <c r="AC292" s="35">
        <v>85</v>
      </c>
      <c r="AD292" s="35">
        <f t="shared" si="175"/>
        <v>1.9294189257142926</v>
      </c>
      <c r="AE292" s="48">
        <v>37.799999999999997</v>
      </c>
      <c r="AF292" s="48">
        <f t="shared" si="176"/>
        <v>1.5774917998372253</v>
      </c>
      <c r="AG292" s="43">
        <v>43.5787105608064</v>
      </c>
      <c r="AH292" s="43">
        <f t="shared" si="177"/>
        <v>1.6392743758732649</v>
      </c>
      <c r="AI292" s="39">
        <v>0.09</v>
      </c>
      <c r="AJ292" s="48">
        <f t="shared" si="155"/>
        <v>3.7426497940623665E-2</v>
      </c>
      <c r="AK292" s="35">
        <v>6</v>
      </c>
      <c r="AL292" s="35">
        <f t="shared" si="178"/>
        <v>0.77815125038364363</v>
      </c>
      <c r="AM292" s="35">
        <f t="shared" si="156"/>
        <v>0</v>
      </c>
      <c r="AN292" s="35">
        <f t="shared" si="157"/>
        <v>0</v>
      </c>
      <c r="AO292" s="35">
        <f t="shared" si="158"/>
        <v>0</v>
      </c>
      <c r="AP292" s="35">
        <f t="shared" si="159"/>
        <v>0</v>
      </c>
      <c r="AQ292" s="35">
        <f t="shared" si="160"/>
        <v>0</v>
      </c>
      <c r="AR292" s="35">
        <f t="shared" si="161"/>
        <v>0</v>
      </c>
      <c r="AS292" s="35">
        <f t="shared" si="162"/>
        <v>0</v>
      </c>
      <c r="AT292" s="35">
        <f t="shared" si="163"/>
        <v>0</v>
      </c>
      <c r="AU292" s="35">
        <f t="shared" si="164"/>
        <v>0</v>
      </c>
      <c r="AV292" s="35">
        <f t="shared" si="165"/>
        <v>0</v>
      </c>
      <c r="AW292" s="35">
        <f t="shared" si="166"/>
        <v>0</v>
      </c>
      <c r="AX292" s="35">
        <f t="shared" si="167"/>
        <v>0</v>
      </c>
      <c r="AY292" s="35">
        <f t="shared" si="168"/>
        <v>1</v>
      </c>
      <c r="AZ292" s="35">
        <f t="shared" si="169"/>
        <v>0</v>
      </c>
      <c r="BA292" s="35">
        <f t="shared" si="170"/>
        <v>0</v>
      </c>
      <c r="BB292" s="35">
        <f t="shared" si="171"/>
        <v>0</v>
      </c>
      <c r="BC292" s="35">
        <f t="shared" si="172"/>
        <v>0</v>
      </c>
    </row>
    <row r="293" spans="1:55" s="35" customFormat="1" x14ac:dyDescent="0.35">
      <c r="A293" s="36">
        <v>38632</v>
      </c>
      <c r="B293" s="35" t="s">
        <v>1232</v>
      </c>
      <c r="C293" s="35" t="s">
        <v>45</v>
      </c>
      <c r="D293" s="35" t="s">
        <v>602</v>
      </c>
      <c r="E293" s="35" t="s">
        <v>47</v>
      </c>
      <c r="F293" s="139">
        <f t="shared" si="145"/>
        <v>0</v>
      </c>
      <c r="G293" s="35">
        <v>5044340000</v>
      </c>
      <c r="H293" s="139">
        <f t="shared" si="146"/>
        <v>9.7028043513244029</v>
      </c>
      <c r="I293" s="35">
        <v>4945230000</v>
      </c>
      <c r="J293" s="35">
        <v>99110000</v>
      </c>
      <c r="K293" s="36">
        <v>41572</v>
      </c>
      <c r="L293" s="35">
        <v>6000000000</v>
      </c>
      <c r="M293" s="21">
        <f t="shared" si="147"/>
        <v>8.0547945205479454</v>
      </c>
      <c r="N293" s="21">
        <f t="shared" si="173"/>
        <v>0.90605446595568262</v>
      </c>
      <c r="O293" s="35">
        <v>0</v>
      </c>
      <c r="P293" s="35">
        <f t="shared" si="148"/>
        <v>0</v>
      </c>
      <c r="Q293" s="35">
        <v>98</v>
      </c>
      <c r="R293" s="35">
        <f t="shared" si="149"/>
        <v>1.9956351945975499</v>
      </c>
      <c r="S293" s="45">
        <v>2.95</v>
      </c>
      <c r="T293" s="45">
        <f t="shared" si="174"/>
        <v>0.46982201597816303</v>
      </c>
      <c r="U293" s="175">
        <f t="shared" si="150"/>
        <v>0.18945194019435641</v>
      </c>
      <c r="V293" s="48">
        <f t="shared" si="151"/>
        <v>7.5346899059240954E-2</v>
      </c>
      <c r="W293" s="35">
        <v>1455.046</v>
      </c>
      <c r="X293" s="35">
        <f t="shared" si="152"/>
        <v>3.1628767233771686</v>
      </c>
      <c r="Y293" s="35">
        <v>4062.5129999999999</v>
      </c>
      <c r="Z293" s="35">
        <f t="shared" si="153"/>
        <v>3.6087947637270492</v>
      </c>
      <c r="AA293" s="35">
        <v>0</v>
      </c>
      <c r="AB293" s="37">
        <f t="shared" si="154"/>
        <v>0</v>
      </c>
      <c r="AC293" s="35">
        <v>85</v>
      </c>
      <c r="AD293" s="35">
        <f t="shared" si="175"/>
        <v>1.9294189257142926</v>
      </c>
      <c r="AE293" s="48">
        <v>25.9</v>
      </c>
      <c r="AF293" s="48">
        <f t="shared" si="176"/>
        <v>1.4132997640812519</v>
      </c>
      <c r="AG293" s="43">
        <v>36.959146749272797</v>
      </c>
      <c r="AH293" s="43">
        <f t="shared" si="177"/>
        <v>1.5677219364019672</v>
      </c>
      <c r="AI293" s="39">
        <v>0.42</v>
      </c>
      <c r="AJ293" s="48">
        <f t="shared" si="155"/>
        <v>0.15228834438305647</v>
      </c>
      <c r="AK293" s="35">
        <v>18</v>
      </c>
      <c r="AL293" s="35">
        <f t="shared" si="178"/>
        <v>1.255272505103306</v>
      </c>
      <c r="AM293" s="35">
        <f t="shared" si="156"/>
        <v>0</v>
      </c>
      <c r="AN293" s="35">
        <f t="shared" si="157"/>
        <v>1</v>
      </c>
      <c r="AO293" s="35">
        <f t="shared" si="158"/>
        <v>0</v>
      </c>
      <c r="AP293" s="35">
        <f t="shared" si="159"/>
        <v>0</v>
      </c>
      <c r="AQ293" s="35">
        <f t="shared" si="160"/>
        <v>0</v>
      </c>
      <c r="AR293" s="35">
        <f t="shared" si="161"/>
        <v>0</v>
      </c>
      <c r="AS293" s="35">
        <f t="shared" si="162"/>
        <v>0</v>
      </c>
      <c r="AT293" s="35">
        <f t="shared" si="163"/>
        <v>0</v>
      </c>
      <c r="AU293" s="35">
        <f t="shared" si="164"/>
        <v>0</v>
      </c>
      <c r="AV293" s="35">
        <f t="shared" si="165"/>
        <v>0</v>
      </c>
      <c r="AW293" s="35">
        <f t="shared" si="166"/>
        <v>0</v>
      </c>
      <c r="AX293" s="35">
        <f t="shared" si="167"/>
        <v>0</v>
      </c>
      <c r="AY293" s="35">
        <f t="shared" si="168"/>
        <v>0</v>
      </c>
      <c r="AZ293" s="35">
        <f t="shared" si="169"/>
        <v>0</v>
      </c>
      <c r="BA293" s="35">
        <f t="shared" si="170"/>
        <v>0</v>
      </c>
      <c r="BB293" s="35">
        <f t="shared" si="171"/>
        <v>0</v>
      </c>
      <c r="BC293" s="35">
        <f t="shared" si="172"/>
        <v>0</v>
      </c>
    </row>
    <row r="294" spans="1:55" s="35" customFormat="1" x14ac:dyDescent="0.35">
      <c r="A294" s="36">
        <v>38635</v>
      </c>
      <c r="B294" s="35" t="s">
        <v>179</v>
      </c>
      <c r="C294" s="35" t="s">
        <v>45</v>
      </c>
      <c r="D294" s="35" t="s">
        <v>45</v>
      </c>
      <c r="E294" s="35" t="s">
        <v>47</v>
      </c>
      <c r="F294" s="139">
        <f t="shared" si="145"/>
        <v>0</v>
      </c>
      <c r="G294" s="35">
        <v>1270000000</v>
      </c>
      <c r="H294" s="139">
        <f t="shared" si="146"/>
        <v>9.1038037209559572</v>
      </c>
      <c r="I294" s="35">
        <v>1270000000</v>
      </c>
      <c r="J294" s="35">
        <v>0</v>
      </c>
      <c r="K294" s="36">
        <v>42243</v>
      </c>
      <c r="L294" s="35">
        <v>1744040000</v>
      </c>
      <c r="M294" s="21">
        <f t="shared" si="147"/>
        <v>9.8849315068493144</v>
      </c>
      <c r="N294" s="21">
        <f t="shared" si="173"/>
        <v>0.99497366441342938</v>
      </c>
      <c r="O294" s="35">
        <v>0</v>
      </c>
      <c r="P294" s="35">
        <f t="shared" si="148"/>
        <v>0</v>
      </c>
      <c r="Q294" s="35">
        <v>13</v>
      </c>
      <c r="R294" s="35">
        <f t="shared" si="149"/>
        <v>1.146128035678238</v>
      </c>
      <c r="S294" s="45">
        <v>2.95</v>
      </c>
      <c r="T294" s="45">
        <f t="shared" si="174"/>
        <v>0.46982201597816303</v>
      </c>
      <c r="U294" s="175">
        <f t="shared" si="150"/>
        <v>0.37325984251968514</v>
      </c>
      <c r="V294" s="48">
        <f t="shared" si="151"/>
        <v>0.13775272040897549</v>
      </c>
      <c r="W294" s="35">
        <v>1171.498</v>
      </c>
      <c r="X294" s="35">
        <f t="shared" si="152"/>
        <v>3.0687415514991745</v>
      </c>
      <c r="Y294" s="35">
        <v>3386.1060000000002</v>
      </c>
      <c r="Z294" s="35">
        <f t="shared" si="153"/>
        <v>3.5297005493117593</v>
      </c>
      <c r="AA294" s="37">
        <v>0</v>
      </c>
      <c r="AB294" s="37">
        <f t="shared" si="154"/>
        <v>0</v>
      </c>
      <c r="AC294" s="35">
        <v>85</v>
      </c>
      <c r="AD294" s="35">
        <f t="shared" si="175"/>
        <v>1.9294189257142926</v>
      </c>
      <c r="AE294" s="48">
        <v>25.9</v>
      </c>
      <c r="AF294" s="48">
        <f t="shared" si="176"/>
        <v>1.4132997640812519</v>
      </c>
      <c r="AG294" s="43">
        <v>36.959146749272797</v>
      </c>
      <c r="AH294" s="43">
        <f t="shared" si="177"/>
        <v>1.5677219364019672</v>
      </c>
      <c r="AI294" s="39">
        <v>1.19</v>
      </c>
      <c r="AJ294" s="48">
        <f t="shared" si="155"/>
        <v>0.34044411484011833</v>
      </c>
      <c r="AK294" s="35">
        <v>7</v>
      </c>
      <c r="AL294" s="35">
        <f t="shared" si="178"/>
        <v>0.84509804001425681</v>
      </c>
      <c r="AM294" s="35">
        <f t="shared" si="156"/>
        <v>0</v>
      </c>
      <c r="AN294" s="35">
        <f t="shared" si="157"/>
        <v>1</v>
      </c>
      <c r="AO294" s="35">
        <f t="shared" si="158"/>
        <v>0</v>
      </c>
      <c r="AP294" s="35">
        <f t="shared" si="159"/>
        <v>0</v>
      </c>
      <c r="AQ294" s="35">
        <f t="shared" si="160"/>
        <v>0</v>
      </c>
      <c r="AR294" s="35">
        <f t="shared" si="161"/>
        <v>0</v>
      </c>
      <c r="AS294" s="35">
        <f t="shared" si="162"/>
        <v>0</v>
      </c>
      <c r="AT294" s="35">
        <f t="shared" si="163"/>
        <v>0</v>
      </c>
      <c r="AU294" s="35">
        <f t="shared" si="164"/>
        <v>0</v>
      </c>
      <c r="AV294" s="35">
        <f t="shared" si="165"/>
        <v>0</v>
      </c>
      <c r="AW294" s="35">
        <f t="shared" si="166"/>
        <v>0</v>
      </c>
      <c r="AX294" s="35">
        <f t="shared" si="167"/>
        <v>0</v>
      </c>
      <c r="AY294" s="35">
        <f t="shared" si="168"/>
        <v>0</v>
      </c>
      <c r="AZ294" s="35">
        <f t="shared" si="169"/>
        <v>0</v>
      </c>
      <c r="BA294" s="35">
        <f t="shared" si="170"/>
        <v>0</v>
      </c>
      <c r="BB294" s="35">
        <f t="shared" si="171"/>
        <v>0</v>
      </c>
      <c r="BC294" s="35">
        <f t="shared" si="172"/>
        <v>0</v>
      </c>
    </row>
    <row r="295" spans="1:55" s="35" customFormat="1" x14ac:dyDescent="0.35">
      <c r="A295" s="36">
        <v>38656</v>
      </c>
      <c r="B295" s="35" t="s">
        <v>629</v>
      </c>
      <c r="C295" s="35" t="s">
        <v>59</v>
      </c>
      <c r="D295" s="35" t="s">
        <v>602</v>
      </c>
      <c r="E295" s="35" t="s">
        <v>64</v>
      </c>
      <c r="F295" s="139">
        <f t="shared" si="145"/>
        <v>1</v>
      </c>
      <c r="G295" s="35">
        <v>230000000</v>
      </c>
      <c r="H295" s="139">
        <f t="shared" si="146"/>
        <v>8.3617278360175931</v>
      </c>
      <c r="I295" s="35">
        <f>G295</f>
        <v>230000000</v>
      </c>
      <c r="J295" s="35">
        <v>0</v>
      </c>
      <c r="K295" s="36">
        <v>40504</v>
      </c>
      <c r="L295" s="35">
        <v>450000000</v>
      </c>
      <c r="M295" s="21">
        <f t="shared" si="147"/>
        <v>5.0630136986301366</v>
      </c>
      <c r="N295" s="21">
        <f t="shared" si="173"/>
        <v>0.70440910242761312</v>
      </c>
      <c r="O295" s="35">
        <v>5897.96</v>
      </c>
      <c r="P295" s="35">
        <f t="shared" si="148"/>
        <v>3.7707754512906644</v>
      </c>
      <c r="Q295" s="35">
        <v>0</v>
      </c>
      <c r="R295" s="35">
        <f t="shared" si="149"/>
        <v>0</v>
      </c>
      <c r="S295" s="45">
        <v>2.3199999999999998</v>
      </c>
      <c r="T295" s="45">
        <f t="shared" si="174"/>
        <v>0.36548798489089962</v>
      </c>
      <c r="U295" s="175">
        <f t="shared" si="150"/>
        <v>0.95652173913043481</v>
      </c>
      <c r="V295" s="48">
        <f t="shared" si="151"/>
        <v>0.29148467775775083</v>
      </c>
      <c r="W295" s="35">
        <v>1246.953</v>
      </c>
      <c r="X295" s="35">
        <f t="shared" si="152"/>
        <v>3.0958500844125241</v>
      </c>
      <c r="Y295" s="35">
        <v>3219.7179999999998</v>
      </c>
      <c r="Z295" s="35">
        <f t="shared" si="153"/>
        <v>3.5078178355445662</v>
      </c>
      <c r="AA295" s="37">
        <v>132</v>
      </c>
      <c r="AB295" s="37">
        <f t="shared" si="154"/>
        <v>2.1238516409670858</v>
      </c>
      <c r="AC295" s="35">
        <v>85</v>
      </c>
      <c r="AD295" s="35">
        <f t="shared" si="175"/>
        <v>1.9294189257142926</v>
      </c>
      <c r="AE295" s="48">
        <v>32.700000000000003</v>
      </c>
      <c r="AF295" s="48">
        <f t="shared" si="176"/>
        <v>1.5145477526602862</v>
      </c>
      <c r="AG295" s="43">
        <v>41.286751495766303</v>
      </c>
      <c r="AH295" s="43">
        <f t="shared" si="177"/>
        <v>1.6158107132703448</v>
      </c>
      <c r="AI295" s="39">
        <v>-7.0000000000000007E-2</v>
      </c>
      <c r="AJ295" s="48">
        <f t="shared" si="155"/>
        <v>-3.1517051446064911E-2</v>
      </c>
      <c r="AK295" s="35">
        <v>5</v>
      </c>
      <c r="AL295" s="35">
        <f t="shared" si="178"/>
        <v>0.69897000433601886</v>
      </c>
      <c r="AM295" s="35">
        <f t="shared" si="156"/>
        <v>0</v>
      </c>
      <c r="AN295" s="35">
        <f t="shared" si="157"/>
        <v>0</v>
      </c>
      <c r="AO295" s="35">
        <f t="shared" si="158"/>
        <v>1</v>
      </c>
      <c r="AP295" s="35">
        <f t="shared" si="159"/>
        <v>0</v>
      </c>
      <c r="AQ295" s="35">
        <f t="shared" si="160"/>
        <v>0</v>
      </c>
      <c r="AR295" s="35">
        <f t="shared" si="161"/>
        <v>0</v>
      </c>
      <c r="AS295" s="35">
        <f t="shared" si="162"/>
        <v>0</v>
      </c>
      <c r="AT295" s="35">
        <f t="shared" si="163"/>
        <v>0</v>
      </c>
      <c r="AU295" s="35">
        <f t="shared" si="164"/>
        <v>0</v>
      </c>
      <c r="AV295" s="35">
        <f t="shared" si="165"/>
        <v>0</v>
      </c>
      <c r="AW295" s="35">
        <f t="shared" si="166"/>
        <v>0</v>
      </c>
      <c r="AX295" s="35">
        <f t="shared" si="167"/>
        <v>0</v>
      </c>
      <c r="AY295" s="35">
        <f t="shared" si="168"/>
        <v>0</v>
      </c>
      <c r="AZ295" s="35">
        <f t="shared" si="169"/>
        <v>0</v>
      </c>
      <c r="BA295" s="35">
        <f t="shared" si="170"/>
        <v>0</v>
      </c>
      <c r="BB295" s="35">
        <f t="shared" si="171"/>
        <v>0</v>
      </c>
      <c r="BC295" s="35">
        <f t="shared" si="172"/>
        <v>0</v>
      </c>
    </row>
    <row r="296" spans="1:55" s="35" customFormat="1" x14ac:dyDescent="0.35">
      <c r="A296" s="36">
        <v>38656</v>
      </c>
      <c r="B296" s="35" t="s">
        <v>857</v>
      </c>
      <c r="C296" s="35" t="s">
        <v>45</v>
      </c>
      <c r="D296" s="35" t="s">
        <v>497</v>
      </c>
      <c r="E296" s="35" t="s">
        <v>64</v>
      </c>
      <c r="F296" s="139">
        <f t="shared" si="145"/>
        <v>1</v>
      </c>
      <c r="G296" s="35">
        <v>520000000</v>
      </c>
      <c r="H296" s="139">
        <f t="shared" si="146"/>
        <v>8.7160033436347994</v>
      </c>
      <c r="I296" s="35">
        <f>G296</f>
        <v>520000000</v>
      </c>
      <c r="J296" s="35">
        <v>0</v>
      </c>
      <c r="K296" s="36">
        <v>41222</v>
      </c>
      <c r="L296" s="35">
        <v>585250000</v>
      </c>
      <c r="M296" s="21">
        <f t="shared" si="147"/>
        <v>7.0301369863013701</v>
      </c>
      <c r="N296" s="21">
        <f t="shared" si="173"/>
        <v>0.84696378758243496</v>
      </c>
      <c r="O296" s="35">
        <v>0</v>
      </c>
      <c r="P296" s="35">
        <f t="shared" si="148"/>
        <v>0</v>
      </c>
      <c r="Q296" s="35">
        <v>0</v>
      </c>
      <c r="R296" s="35">
        <f t="shared" si="149"/>
        <v>0</v>
      </c>
      <c r="S296" s="45">
        <v>2.81</v>
      </c>
      <c r="T296" s="45">
        <f t="shared" si="174"/>
        <v>0.44870631990507992</v>
      </c>
      <c r="U296" s="175">
        <f t="shared" si="150"/>
        <v>0.12548076923076934</v>
      </c>
      <c r="V296" s="48">
        <f t="shared" si="151"/>
        <v>5.1338078733862841E-2</v>
      </c>
      <c r="W296" s="35">
        <v>2445.7102171591318</v>
      </c>
      <c r="X296" s="35">
        <f t="shared" si="152"/>
        <v>3.3884049978579722</v>
      </c>
      <c r="Y296" s="35">
        <v>7210.2229667110805</v>
      </c>
      <c r="Z296" s="35">
        <f t="shared" si="153"/>
        <v>3.8579486949156889</v>
      </c>
      <c r="AA296" s="37">
        <v>125.833333333333</v>
      </c>
      <c r="AB296" s="37">
        <f t="shared" si="154"/>
        <v>2.103233406386928</v>
      </c>
      <c r="AC296" s="35">
        <v>85</v>
      </c>
      <c r="AD296" s="35">
        <f t="shared" si="175"/>
        <v>1.9294189257142926</v>
      </c>
      <c r="AE296" s="48">
        <v>25.9</v>
      </c>
      <c r="AF296" s="48">
        <f t="shared" si="176"/>
        <v>1.4132997640812519</v>
      </c>
      <c r="AG296" s="43">
        <v>36.959146749272797</v>
      </c>
      <c r="AH296" s="43">
        <f t="shared" si="177"/>
        <v>1.5677219364019672</v>
      </c>
      <c r="AI296" s="39">
        <v>0.79</v>
      </c>
      <c r="AJ296" s="48">
        <f t="shared" si="155"/>
        <v>0.2528530309798932</v>
      </c>
      <c r="AK296" s="35">
        <v>5</v>
      </c>
      <c r="AL296" s="35">
        <f t="shared" si="178"/>
        <v>0.69897000433601886</v>
      </c>
      <c r="AM296" s="35">
        <f t="shared" si="156"/>
        <v>0</v>
      </c>
      <c r="AN296" s="35">
        <f t="shared" si="157"/>
        <v>1</v>
      </c>
      <c r="AO296" s="35">
        <f t="shared" si="158"/>
        <v>0</v>
      </c>
      <c r="AP296" s="35">
        <f t="shared" si="159"/>
        <v>0</v>
      </c>
      <c r="AQ296" s="35">
        <f t="shared" si="160"/>
        <v>0</v>
      </c>
      <c r="AR296" s="35">
        <f t="shared" si="161"/>
        <v>0</v>
      </c>
      <c r="AS296" s="35">
        <f t="shared" si="162"/>
        <v>0</v>
      </c>
      <c r="AT296" s="35">
        <f t="shared" si="163"/>
        <v>0</v>
      </c>
      <c r="AU296" s="35">
        <f t="shared" si="164"/>
        <v>0</v>
      </c>
      <c r="AV296" s="35">
        <f t="shared" si="165"/>
        <v>0</v>
      </c>
      <c r="AW296" s="35">
        <f t="shared" si="166"/>
        <v>0</v>
      </c>
      <c r="AX296" s="35">
        <f t="shared" si="167"/>
        <v>0</v>
      </c>
      <c r="AY296" s="35">
        <f t="shared" si="168"/>
        <v>0</v>
      </c>
      <c r="AZ296" s="35">
        <f t="shared" si="169"/>
        <v>0</v>
      </c>
      <c r="BA296" s="35">
        <f t="shared" si="170"/>
        <v>0</v>
      </c>
      <c r="BB296" s="35">
        <f t="shared" si="171"/>
        <v>0</v>
      </c>
      <c r="BC296" s="35">
        <f t="shared" si="172"/>
        <v>0</v>
      </c>
    </row>
    <row r="297" spans="1:55" s="35" customFormat="1" x14ac:dyDescent="0.35">
      <c r="A297" s="36">
        <v>38660</v>
      </c>
      <c r="B297" s="35" t="s">
        <v>541</v>
      </c>
      <c r="C297" s="35" t="s">
        <v>447</v>
      </c>
      <c r="D297" s="35" t="s">
        <v>45</v>
      </c>
      <c r="E297" s="35" t="s">
        <v>125</v>
      </c>
      <c r="F297" s="139">
        <f t="shared" si="145"/>
        <v>1</v>
      </c>
      <c r="G297" s="35">
        <v>534000000</v>
      </c>
      <c r="H297" s="139">
        <f t="shared" si="146"/>
        <v>8.7275412570285571</v>
      </c>
      <c r="I297" s="35">
        <f>G297</f>
        <v>534000000</v>
      </c>
      <c r="J297" s="35">
        <v>0</v>
      </c>
      <c r="K297" s="36">
        <v>41843</v>
      </c>
      <c r="L297" s="35">
        <v>3844800000</v>
      </c>
      <c r="M297" s="21">
        <f t="shared" si="147"/>
        <v>8.7205479452054799</v>
      </c>
      <c r="N297" s="21">
        <f t="shared" si="173"/>
        <v>0.94054377416452839</v>
      </c>
      <c r="O297" s="35">
        <v>6087.84</v>
      </c>
      <c r="P297" s="35">
        <f t="shared" si="148"/>
        <v>3.7845345619950592</v>
      </c>
      <c r="Q297" s="35">
        <v>5</v>
      </c>
      <c r="R297" s="35">
        <f t="shared" si="149"/>
        <v>0.77815125038364363</v>
      </c>
      <c r="S297" s="45">
        <v>2.81</v>
      </c>
      <c r="T297" s="45">
        <f t="shared" si="174"/>
        <v>0.44870631990507992</v>
      </c>
      <c r="U297" s="175">
        <f t="shared" si="150"/>
        <v>6.2</v>
      </c>
      <c r="V297" s="48">
        <f t="shared" si="151"/>
        <v>0.85733249643126852</v>
      </c>
      <c r="W297" s="35">
        <v>2232.1428571428569</v>
      </c>
      <c r="X297" s="35">
        <f t="shared" si="152"/>
        <v>3.348721986001856</v>
      </c>
      <c r="Y297" s="35">
        <v>5650.5102040816337</v>
      </c>
      <c r="Z297" s="35">
        <f t="shared" si="153"/>
        <v>3.7520876635386311</v>
      </c>
      <c r="AA297" s="37">
        <v>824.83333333333303</v>
      </c>
      <c r="AB297" s="37">
        <f t="shared" si="154"/>
        <v>2.9168924084376502</v>
      </c>
      <c r="AC297" s="35">
        <v>70</v>
      </c>
      <c r="AD297" s="35">
        <f t="shared" si="175"/>
        <v>1.8450980400142569</v>
      </c>
      <c r="AE297" s="48">
        <v>35.14</v>
      </c>
      <c r="AF297" s="48">
        <f t="shared" si="176"/>
        <v>1.5458017571592761</v>
      </c>
      <c r="AG297" s="43">
        <v>38.315068463709203</v>
      </c>
      <c r="AH297" s="43">
        <f t="shared" si="177"/>
        <v>1.5833696059173574</v>
      </c>
      <c r="AI297" s="39">
        <v>0.15</v>
      </c>
      <c r="AJ297" s="48">
        <f t="shared" si="155"/>
        <v>6.069784035361165E-2</v>
      </c>
      <c r="AK297" s="35">
        <v>3</v>
      </c>
      <c r="AL297" s="35">
        <f t="shared" si="178"/>
        <v>0.47712125471966244</v>
      </c>
      <c r="AM297" s="35">
        <f t="shared" si="156"/>
        <v>0</v>
      </c>
      <c r="AN297" s="35">
        <f t="shared" si="157"/>
        <v>0</v>
      </c>
      <c r="AO297" s="35">
        <f t="shared" si="158"/>
        <v>0</v>
      </c>
      <c r="AP297" s="35">
        <f t="shared" si="159"/>
        <v>0</v>
      </c>
      <c r="AQ297" s="35">
        <f t="shared" si="160"/>
        <v>0</v>
      </c>
      <c r="AR297" s="35">
        <f t="shared" si="161"/>
        <v>0</v>
      </c>
      <c r="AS297" s="35">
        <f t="shared" si="162"/>
        <v>0</v>
      </c>
      <c r="AT297" s="35">
        <f t="shared" si="163"/>
        <v>0</v>
      </c>
      <c r="AU297" s="35">
        <f t="shared" si="164"/>
        <v>0</v>
      </c>
      <c r="AV297" s="35">
        <f t="shared" si="165"/>
        <v>0</v>
      </c>
      <c r="AW297" s="35">
        <f t="shared" si="166"/>
        <v>0</v>
      </c>
      <c r="AX297" s="35">
        <f t="shared" si="167"/>
        <v>1</v>
      </c>
      <c r="AY297" s="35">
        <f t="shared" si="168"/>
        <v>0</v>
      </c>
      <c r="AZ297" s="35">
        <f t="shared" si="169"/>
        <v>0</v>
      </c>
      <c r="BA297" s="35">
        <f t="shared" si="170"/>
        <v>0</v>
      </c>
      <c r="BB297" s="35">
        <f t="shared" si="171"/>
        <v>0</v>
      </c>
      <c r="BC297" s="35">
        <f t="shared" si="172"/>
        <v>0</v>
      </c>
    </row>
    <row r="298" spans="1:55" s="35" customFormat="1" x14ac:dyDescent="0.35">
      <c r="A298" s="36">
        <v>38666</v>
      </c>
      <c r="B298" s="35" t="s">
        <v>998</v>
      </c>
      <c r="C298" s="35" t="s">
        <v>2</v>
      </c>
      <c r="D298" s="35" t="s">
        <v>45</v>
      </c>
      <c r="E298" s="35" t="s">
        <v>64</v>
      </c>
      <c r="F298" s="139">
        <f t="shared" si="145"/>
        <v>1</v>
      </c>
      <c r="G298" s="35">
        <v>1000000000</v>
      </c>
      <c r="H298" s="139">
        <f t="shared" si="146"/>
        <v>9</v>
      </c>
      <c r="I298" s="35">
        <f>G298</f>
        <v>1000000000</v>
      </c>
      <c r="J298" s="35">
        <v>0</v>
      </c>
      <c r="K298" s="36">
        <v>39294</v>
      </c>
      <c r="L298" s="35">
        <v>1690000000</v>
      </c>
      <c r="M298" s="21">
        <f t="shared" si="147"/>
        <v>1.7205479452054795</v>
      </c>
      <c r="N298" s="21">
        <f t="shared" si="173"/>
        <v>0.23566677928072144</v>
      </c>
      <c r="O298" s="35">
        <v>6815.73</v>
      </c>
      <c r="P298" s="35">
        <f t="shared" si="148"/>
        <v>3.8335760926148099</v>
      </c>
      <c r="Q298" s="35">
        <v>7</v>
      </c>
      <c r="R298" s="35">
        <f t="shared" si="149"/>
        <v>0.90308998699194354</v>
      </c>
      <c r="S298" s="45">
        <v>2.85</v>
      </c>
      <c r="T298" s="45">
        <f t="shared" si="174"/>
        <v>0.45484486000851021</v>
      </c>
      <c r="U298" s="175">
        <f t="shared" si="150"/>
        <v>0.69</v>
      </c>
      <c r="V298" s="48">
        <f t="shared" si="151"/>
        <v>0.22788670461367352</v>
      </c>
      <c r="W298" s="35">
        <v>2121.1374095989472</v>
      </c>
      <c r="X298" s="35">
        <f t="shared" si="152"/>
        <v>3.3265688034989269</v>
      </c>
      <c r="Y298" s="35">
        <v>4465.8119658119658</v>
      </c>
      <c r="Z298" s="35">
        <f t="shared" si="153"/>
        <v>3.64990043303693</v>
      </c>
      <c r="AA298" s="37">
        <v>819</v>
      </c>
      <c r="AB298" s="37">
        <f t="shared" si="154"/>
        <v>2.9138138523837167</v>
      </c>
      <c r="AC298" s="35">
        <v>70</v>
      </c>
      <c r="AD298" s="35">
        <f t="shared" si="175"/>
        <v>1.8450980400142569</v>
      </c>
      <c r="AE298" s="48">
        <v>33.9</v>
      </c>
      <c r="AF298" s="48">
        <f t="shared" si="176"/>
        <v>1.5301996982030821</v>
      </c>
      <c r="AG298" s="43">
        <v>46.200073016176603</v>
      </c>
      <c r="AH298" s="43">
        <f t="shared" si="177"/>
        <v>1.664642661930531</v>
      </c>
      <c r="AI298" s="39">
        <v>0.2</v>
      </c>
      <c r="AJ298" s="48">
        <f t="shared" si="155"/>
        <v>7.9181246047624818E-2</v>
      </c>
      <c r="AK298" s="35">
        <v>3</v>
      </c>
      <c r="AL298" s="35">
        <f t="shared" si="178"/>
        <v>0.47712125471966244</v>
      </c>
      <c r="AM298" s="35">
        <f t="shared" si="156"/>
        <v>0</v>
      </c>
      <c r="AN298" s="35">
        <f t="shared" si="157"/>
        <v>0</v>
      </c>
      <c r="AO298" s="35">
        <f t="shared" si="158"/>
        <v>0</v>
      </c>
      <c r="AP298" s="35">
        <f t="shared" si="159"/>
        <v>0</v>
      </c>
      <c r="AQ298" s="35">
        <f t="shared" si="160"/>
        <v>0</v>
      </c>
      <c r="AR298" s="35">
        <f t="shared" si="161"/>
        <v>0</v>
      </c>
      <c r="AS298" s="35">
        <f t="shared" si="162"/>
        <v>0</v>
      </c>
      <c r="AT298" s="35">
        <f t="shared" si="163"/>
        <v>0</v>
      </c>
      <c r="AU298" s="35">
        <f t="shared" si="164"/>
        <v>0</v>
      </c>
      <c r="AV298" s="35">
        <f t="shared" si="165"/>
        <v>1</v>
      </c>
      <c r="AW298" s="35">
        <f t="shared" si="166"/>
        <v>0</v>
      </c>
      <c r="AX298" s="35">
        <f t="shared" si="167"/>
        <v>0</v>
      </c>
      <c r="AY298" s="35">
        <f t="shared" si="168"/>
        <v>0</v>
      </c>
      <c r="AZ298" s="35">
        <f t="shared" si="169"/>
        <v>0</v>
      </c>
      <c r="BA298" s="35">
        <f t="shared" si="170"/>
        <v>0</v>
      </c>
      <c r="BB298" s="35">
        <f t="shared" si="171"/>
        <v>0</v>
      </c>
      <c r="BC298" s="35">
        <f t="shared" si="172"/>
        <v>0</v>
      </c>
    </row>
    <row r="299" spans="1:55" s="35" customFormat="1" x14ac:dyDescent="0.35">
      <c r="A299" s="36">
        <v>38681</v>
      </c>
      <c r="B299" s="35" t="s">
        <v>1265</v>
      </c>
      <c r="C299" s="35" t="s">
        <v>45</v>
      </c>
      <c r="D299" s="35" t="s">
        <v>602</v>
      </c>
      <c r="E299" s="35" t="s">
        <v>47</v>
      </c>
      <c r="F299" s="139">
        <f t="shared" si="145"/>
        <v>0</v>
      </c>
      <c r="G299" s="35">
        <v>800540000</v>
      </c>
      <c r="H299" s="139">
        <f t="shared" si="146"/>
        <v>8.9033830368740166</v>
      </c>
      <c r="I299" s="35">
        <v>908790000</v>
      </c>
      <c r="J299" s="35">
        <v>-108250000</v>
      </c>
      <c r="K299" s="36">
        <v>40267</v>
      </c>
      <c r="L299" s="35">
        <v>43125831</v>
      </c>
      <c r="M299" s="21">
        <f t="shared" si="147"/>
        <v>4.3452054794520549</v>
      </c>
      <c r="N299" s="21">
        <f t="shared" si="173"/>
        <v>0.63801031852511025</v>
      </c>
      <c r="O299" s="35">
        <v>0</v>
      </c>
      <c r="P299" s="35">
        <f t="shared" si="148"/>
        <v>0</v>
      </c>
      <c r="Q299" s="35">
        <v>19</v>
      </c>
      <c r="R299" s="35">
        <f t="shared" si="149"/>
        <v>1.3010299956639813</v>
      </c>
      <c r="S299" s="45">
        <v>2.95</v>
      </c>
      <c r="T299" s="45">
        <f t="shared" si="174"/>
        <v>0.46982201597816303</v>
      </c>
      <c r="U299" s="175">
        <f t="shared" si="150"/>
        <v>-0.94612907412496561</v>
      </c>
      <c r="V299" s="48">
        <f t="shared" si="151"/>
        <v>-1.2686455602074718</v>
      </c>
      <c r="W299" s="35">
        <v>1246.953</v>
      </c>
      <c r="X299" s="35">
        <f t="shared" si="152"/>
        <v>3.0958500844125241</v>
      </c>
      <c r="Y299" s="35">
        <v>3219.7179999999998</v>
      </c>
      <c r="Z299" s="35">
        <f t="shared" si="153"/>
        <v>3.5078178355445662</v>
      </c>
      <c r="AA299" s="35">
        <v>0</v>
      </c>
      <c r="AB299" s="37">
        <f t="shared" si="154"/>
        <v>0</v>
      </c>
      <c r="AC299" s="35">
        <v>85</v>
      </c>
      <c r="AD299" s="35">
        <f t="shared" si="175"/>
        <v>1.9294189257142926</v>
      </c>
      <c r="AE299" s="48">
        <v>25.9</v>
      </c>
      <c r="AF299" s="48">
        <f t="shared" si="176"/>
        <v>1.4132997640812519</v>
      </c>
      <c r="AG299" s="43">
        <v>36.959146749272797</v>
      </c>
      <c r="AH299" s="43">
        <f t="shared" si="177"/>
        <v>1.5677219364019672</v>
      </c>
      <c r="AI299" s="39">
        <v>0.5</v>
      </c>
      <c r="AJ299" s="48">
        <f t="shared" si="155"/>
        <v>0.17609125905568124</v>
      </c>
      <c r="AK299" s="35">
        <v>10</v>
      </c>
      <c r="AL299" s="35">
        <f t="shared" si="178"/>
        <v>1</v>
      </c>
      <c r="AM299" s="35">
        <f t="shared" si="156"/>
        <v>0</v>
      </c>
      <c r="AN299" s="35">
        <f t="shared" si="157"/>
        <v>1</v>
      </c>
      <c r="AO299" s="35">
        <f t="shared" si="158"/>
        <v>0</v>
      </c>
      <c r="AP299" s="35">
        <f t="shared" si="159"/>
        <v>0</v>
      </c>
      <c r="AQ299" s="35">
        <f t="shared" si="160"/>
        <v>0</v>
      </c>
      <c r="AR299" s="35">
        <f t="shared" si="161"/>
        <v>0</v>
      </c>
      <c r="AS299" s="35">
        <f t="shared" si="162"/>
        <v>0</v>
      </c>
      <c r="AT299" s="35">
        <f t="shared" si="163"/>
        <v>0</v>
      </c>
      <c r="AU299" s="35">
        <f t="shared" si="164"/>
        <v>0</v>
      </c>
      <c r="AV299" s="35">
        <f t="shared" si="165"/>
        <v>0</v>
      </c>
      <c r="AW299" s="35">
        <f t="shared" si="166"/>
        <v>0</v>
      </c>
      <c r="AX299" s="35">
        <f t="shared" si="167"/>
        <v>0</v>
      </c>
      <c r="AY299" s="35">
        <f t="shared" si="168"/>
        <v>0</v>
      </c>
      <c r="AZ299" s="35">
        <f t="shared" si="169"/>
        <v>0</v>
      </c>
      <c r="BA299" s="35">
        <f t="shared" si="170"/>
        <v>0</v>
      </c>
      <c r="BB299" s="35">
        <f t="shared" si="171"/>
        <v>0</v>
      </c>
      <c r="BC299" s="35">
        <f t="shared" si="172"/>
        <v>0</v>
      </c>
    </row>
    <row r="300" spans="1:55" s="35" customFormat="1" x14ac:dyDescent="0.35">
      <c r="A300" s="36">
        <v>38694</v>
      </c>
      <c r="B300" s="35" t="s">
        <v>767</v>
      </c>
      <c r="C300" s="35" t="s">
        <v>45</v>
      </c>
      <c r="D300" s="35" t="s">
        <v>577</v>
      </c>
      <c r="E300" s="35" t="s">
        <v>64</v>
      </c>
      <c r="F300" s="139">
        <f t="shared" si="145"/>
        <v>1</v>
      </c>
      <c r="G300" s="35">
        <v>946310000</v>
      </c>
      <c r="H300" s="139">
        <f t="shared" si="146"/>
        <v>8.9760334294622268</v>
      </c>
      <c r="I300" s="35">
        <f>G300</f>
        <v>946310000</v>
      </c>
      <c r="J300" s="35">
        <v>0</v>
      </c>
      <c r="K300" s="36">
        <v>40749</v>
      </c>
      <c r="L300" s="35">
        <v>950000000</v>
      </c>
      <c r="M300" s="21">
        <f t="shared" si="147"/>
        <v>5.6301369863013697</v>
      </c>
      <c r="N300" s="21">
        <f t="shared" si="173"/>
        <v>0.75051896175561328</v>
      </c>
      <c r="O300" s="35">
        <v>5897.96</v>
      </c>
      <c r="P300" s="35">
        <f t="shared" si="148"/>
        <v>3.7707754512906644</v>
      </c>
      <c r="Q300" s="35">
        <v>26</v>
      </c>
      <c r="R300" s="35">
        <f t="shared" si="149"/>
        <v>1.4313637641589874</v>
      </c>
      <c r="S300" s="45">
        <v>2.3199999999999998</v>
      </c>
      <c r="T300" s="45">
        <f t="shared" si="174"/>
        <v>0.36548798489089962</v>
      </c>
      <c r="U300" s="175">
        <f t="shared" si="150"/>
        <v>3.8993564476756948E-3</v>
      </c>
      <c r="V300" s="48">
        <f t="shared" si="151"/>
        <v>1.6901758266215719E-3</v>
      </c>
      <c r="W300" s="35">
        <v>1801.108033240997</v>
      </c>
      <c r="X300" s="35">
        <f t="shared" si="152"/>
        <v>3.25553976325445</v>
      </c>
      <c r="Y300" s="35">
        <v>8416.6204986149605</v>
      </c>
      <c r="Z300" s="35">
        <f t="shared" si="153"/>
        <v>3.9251377454872847</v>
      </c>
      <c r="AA300" s="37">
        <v>132</v>
      </c>
      <c r="AB300" s="37">
        <f t="shared" si="154"/>
        <v>2.1238516409670858</v>
      </c>
      <c r="AC300" s="35">
        <v>85</v>
      </c>
      <c r="AD300" s="35">
        <f t="shared" si="175"/>
        <v>1.9294189257142926</v>
      </c>
      <c r="AE300" s="48">
        <v>25.9</v>
      </c>
      <c r="AF300" s="48">
        <f t="shared" si="176"/>
        <v>1.4132997640812519</v>
      </c>
      <c r="AG300" s="43">
        <v>36.959146749272797</v>
      </c>
      <c r="AH300" s="43">
        <f t="shared" si="177"/>
        <v>1.5677219364019672</v>
      </c>
      <c r="AI300" s="39">
        <v>1.68</v>
      </c>
      <c r="AJ300" s="48">
        <f t="shared" si="155"/>
        <v>0.42813479402878879</v>
      </c>
      <c r="AK300" s="35">
        <v>7</v>
      </c>
      <c r="AL300" s="35">
        <f t="shared" si="178"/>
        <v>0.84509804001425681</v>
      </c>
      <c r="AM300" s="35">
        <f t="shared" si="156"/>
        <v>0</v>
      </c>
      <c r="AN300" s="35">
        <f t="shared" si="157"/>
        <v>1</v>
      </c>
      <c r="AO300" s="35">
        <f t="shared" si="158"/>
        <v>0</v>
      </c>
      <c r="AP300" s="35">
        <f t="shared" si="159"/>
        <v>0</v>
      </c>
      <c r="AQ300" s="35">
        <f t="shared" si="160"/>
        <v>0</v>
      </c>
      <c r="AR300" s="35">
        <f t="shared" si="161"/>
        <v>0</v>
      </c>
      <c r="AS300" s="35">
        <f t="shared" si="162"/>
        <v>0</v>
      </c>
      <c r="AT300" s="35">
        <f t="shared" si="163"/>
        <v>0</v>
      </c>
      <c r="AU300" s="35">
        <f t="shared" si="164"/>
        <v>0</v>
      </c>
      <c r="AV300" s="35">
        <f t="shared" si="165"/>
        <v>0</v>
      </c>
      <c r="AW300" s="35">
        <f t="shared" si="166"/>
        <v>0</v>
      </c>
      <c r="AX300" s="35">
        <f t="shared" si="167"/>
        <v>0</v>
      </c>
      <c r="AY300" s="35">
        <f t="shared" si="168"/>
        <v>0</v>
      </c>
      <c r="AZ300" s="35">
        <f t="shared" si="169"/>
        <v>0</v>
      </c>
      <c r="BA300" s="35">
        <f t="shared" si="170"/>
        <v>0</v>
      </c>
      <c r="BB300" s="35">
        <f t="shared" si="171"/>
        <v>0</v>
      </c>
      <c r="BC300" s="35">
        <f t="shared" si="172"/>
        <v>0</v>
      </c>
    </row>
    <row r="301" spans="1:55" s="35" customFormat="1" x14ac:dyDescent="0.35">
      <c r="A301" s="36">
        <v>38698</v>
      </c>
      <c r="B301" s="35" t="s">
        <v>525</v>
      </c>
      <c r="C301" s="35" t="s">
        <v>163</v>
      </c>
      <c r="D301" s="35" t="s">
        <v>59</v>
      </c>
      <c r="E301" s="35" t="s">
        <v>125</v>
      </c>
      <c r="F301" s="139">
        <f t="shared" si="145"/>
        <v>1</v>
      </c>
      <c r="G301" s="35">
        <v>500000000</v>
      </c>
      <c r="H301" s="139">
        <f t="shared" si="146"/>
        <v>8.6989700043360187</v>
      </c>
      <c r="I301" s="35">
        <f>G301</f>
        <v>500000000</v>
      </c>
      <c r="J301" s="35">
        <v>0</v>
      </c>
      <c r="K301" s="36">
        <v>41568</v>
      </c>
      <c r="L301" s="35">
        <v>385000000</v>
      </c>
      <c r="M301" s="21">
        <f t="shared" si="147"/>
        <v>7.8630136986301373</v>
      </c>
      <c r="N301" s="21">
        <f t="shared" si="173"/>
        <v>0.89558903227751763</v>
      </c>
      <c r="O301" s="35">
        <v>342.74</v>
      </c>
      <c r="P301" s="35">
        <f t="shared" si="148"/>
        <v>2.5362300726332561</v>
      </c>
      <c r="Q301" s="35">
        <v>21</v>
      </c>
      <c r="R301" s="35">
        <f t="shared" si="149"/>
        <v>1.3424226808222062</v>
      </c>
      <c r="S301" s="45">
        <v>2.3199999999999998</v>
      </c>
      <c r="T301" s="45">
        <f t="shared" si="174"/>
        <v>0.36548798489089962</v>
      </c>
      <c r="U301" s="175">
        <f t="shared" si="150"/>
        <v>-0.22999999999999998</v>
      </c>
      <c r="V301" s="48">
        <f t="shared" si="151"/>
        <v>-0.11350927482751812</v>
      </c>
      <c r="W301" s="35">
        <v>2144.9704142011828</v>
      </c>
      <c r="X301" s="35">
        <f t="shared" si="152"/>
        <v>3.3314213062933389</v>
      </c>
      <c r="Y301" s="35">
        <v>7670.1183431952677</v>
      </c>
      <c r="Z301" s="35">
        <f t="shared" si="153"/>
        <v>3.884802064783424</v>
      </c>
      <c r="AA301" s="37">
        <v>569.16666666666697</v>
      </c>
      <c r="AB301" s="37">
        <f t="shared" si="154"/>
        <v>2.756001823801419</v>
      </c>
      <c r="AC301" s="35">
        <v>70</v>
      </c>
      <c r="AD301" s="35">
        <f t="shared" si="175"/>
        <v>1.8450980400142569</v>
      </c>
      <c r="AE301" s="48">
        <v>42.9</v>
      </c>
      <c r="AF301" s="48">
        <f t="shared" si="176"/>
        <v>1.6324572921847242</v>
      </c>
      <c r="AG301" s="43">
        <v>53.2941466273667</v>
      </c>
      <c r="AH301" s="43">
        <f t="shared" si="177"/>
        <v>1.7266795124593939</v>
      </c>
      <c r="AI301" s="39">
        <v>-7.0000000000000007E-2</v>
      </c>
      <c r="AJ301" s="48">
        <f t="shared" si="155"/>
        <v>-3.1517051446064911E-2</v>
      </c>
      <c r="AK301" s="35">
        <v>4</v>
      </c>
      <c r="AL301" s="35">
        <f t="shared" si="178"/>
        <v>0.6020599913279624</v>
      </c>
      <c r="AM301" s="35">
        <f t="shared" si="156"/>
        <v>0</v>
      </c>
      <c r="AN301" s="35">
        <f t="shared" si="157"/>
        <v>0</v>
      </c>
      <c r="AO301" s="35">
        <f t="shared" si="158"/>
        <v>0</v>
      </c>
      <c r="AP301" s="35">
        <f t="shared" si="159"/>
        <v>0</v>
      </c>
      <c r="AQ301" s="35">
        <f t="shared" si="160"/>
        <v>0</v>
      </c>
      <c r="AR301" s="35">
        <f t="shared" si="161"/>
        <v>0</v>
      </c>
      <c r="AS301" s="35">
        <f t="shared" si="162"/>
        <v>0</v>
      </c>
      <c r="AT301" s="35">
        <f t="shared" si="163"/>
        <v>1</v>
      </c>
      <c r="AU301" s="35">
        <f t="shared" si="164"/>
        <v>0</v>
      </c>
      <c r="AV301" s="35">
        <f t="shared" si="165"/>
        <v>0</v>
      </c>
      <c r="AW301" s="35">
        <f t="shared" si="166"/>
        <v>0</v>
      </c>
      <c r="AX301" s="35">
        <f t="shared" si="167"/>
        <v>0</v>
      </c>
      <c r="AY301" s="35">
        <f t="shared" si="168"/>
        <v>0</v>
      </c>
      <c r="AZ301" s="35">
        <f t="shared" si="169"/>
        <v>0</v>
      </c>
      <c r="BA301" s="35">
        <f t="shared" si="170"/>
        <v>0</v>
      </c>
      <c r="BB301" s="35">
        <f t="shared" si="171"/>
        <v>0</v>
      </c>
      <c r="BC301" s="35">
        <f t="shared" si="172"/>
        <v>0</v>
      </c>
    </row>
    <row r="302" spans="1:55" s="35" customFormat="1" x14ac:dyDescent="0.35">
      <c r="A302" s="36">
        <v>38702</v>
      </c>
      <c r="B302" s="35" t="s">
        <v>522</v>
      </c>
      <c r="C302" s="35" t="s">
        <v>163</v>
      </c>
      <c r="D302" s="35" t="s">
        <v>59</v>
      </c>
      <c r="E302" s="35" t="s">
        <v>125</v>
      </c>
      <c r="F302" s="139">
        <f t="shared" si="145"/>
        <v>1</v>
      </c>
      <c r="G302" s="35">
        <v>350000000</v>
      </c>
      <c r="H302" s="139">
        <f t="shared" si="146"/>
        <v>8.5440680443502757</v>
      </c>
      <c r="I302" s="35">
        <f>G302</f>
        <v>350000000</v>
      </c>
      <c r="J302" s="35">
        <v>0</v>
      </c>
      <c r="K302" s="36">
        <v>39615</v>
      </c>
      <c r="L302" s="35">
        <v>700000000</v>
      </c>
      <c r="M302" s="21">
        <f t="shared" si="147"/>
        <v>2.5013698630136987</v>
      </c>
      <c r="N302" s="21">
        <f t="shared" si="173"/>
        <v>0.39817791307782424</v>
      </c>
      <c r="O302" s="35">
        <v>342.74</v>
      </c>
      <c r="P302" s="35">
        <f t="shared" si="148"/>
        <v>2.5362300726332561</v>
      </c>
      <c r="Q302" s="35">
        <v>0</v>
      </c>
      <c r="R302" s="35">
        <f t="shared" si="149"/>
        <v>0</v>
      </c>
      <c r="S302" s="45">
        <v>2.3199999999999998</v>
      </c>
      <c r="T302" s="45">
        <f t="shared" si="174"/>
        <v>0.36548798489089962</v>
      </c>
      <c r="U302" s="175">
        <f t="shared" si="150"/>
        <v>1</v>
      </c>
      <c r="V302" s="48">
        <f t="shared" si="151"/>
        <v>0.3010299956639812</v>
      </c>
      <c r="W302" s="35">
        <v>2144.9704142011828</v>
      </c>
      <c r="X302" s="35">
        <f t="shared" si="152"/>
        <v>3.3314213062933389</v>
      </c>
      <c r="Y302" s="35">
        <v>7670.1183431952677</v>
      </c>
      <c r="Z302" s="35">
        <f t="shared" si="153"/>
        <v>3.884802064783424</v>
      </c>
      <c r="AA302" s="37">
        <v>569.16666666666697</v>
      </c>
      <c r="AB302" s="37">
        <f t="shared" si="154"/>
        <v>2.756001823801419</v>
      </c>
      <c r="AC302" s="35">
        <v>70</v>
      </c>
      <c r="AD302" s="35">
        <f t="shared" si="175"/>
        <v>1.8450980400142569</v>
      </c>
      <c r="AE302" s="48">
        <v>42.9</v>
      </c>
      <c r="AF302" s="48">
        <f t="shared" si="176"/>
        <v>1.6324572921847242</v>
      </c>
      <c r="AG302" s="43">
        <v>53.2941466273667</v>
      </c>
      <c r="AH302" s="43">
        <f t="shared" si="177"/>
        <v>1.7266795124593939</v>
      </c>
      <c r="AI302" s="39">
        <v>0.14000000000000001</v>
      </c>
      <c r="AJ302" s="48">
        <f t="shared" si="155"/>
        <v>5.6904851336472641E-2</v>
      </c>
      <c r="AK302" s="35">
        <v>2</v>
      </c>
      <c r="AL302" s="35">
        <f t="shared" si="178"/>
        <v>0.3010299956639812</v>
      </c>
      <c r="AM302" s="35">
        <f t="shared" si="156"/>
        <v>0</v>
      </c>
      <c r="AN302" s="35">
        <f t="shared" si="157"/>
        <v>0</v>
      </c>
      <c r="AO302" s="35">
        <f t="shared" si="158"/>
        <v>0</v>
      </c>
      <c r="AP302" s="35">
        <f t="shared" si="159"/>
        <v>0</v>
      </c>
      <c r="AQ302" s="35">
        <f t="shared" si="160"/>
        <v>0</v>
      </c>
      <c r="AR302" s="35">
        <f t="shared" si="161"/>
        <v>0</v>
      </c>
      <c r="AS302" s="35">
        <f t="shared" si="162"/>
        <v>0</v>
      </c>
      <c r="AT302" s="35">
        <f t="shared" si="163"/>
        <v>1</v>
      </c>
      <c r="AU302" s="35">
        <f t="shared" si="164"/>
        <v>0</v>
      </c>
      <c r="AV302" s="35">
        <f t="shared" si="165"/>
        <v>0</v>
      </c>
      <c r="AW302" s="35">
        <f t="shared" si="166"/>
        <v>0</v>
      </c>
      <c r="AX302" s="35">
        <f t="shared" si="167"/>
        <v>0</v>
      </c>
      <c r="AY302" s="35">
        <f t="shared" si="168"/>
        <v>0</v>
      </c>
      <c r="AZ302" s="35">
        <f t="shared" si="169"/>
        <v>0</v>
      </c>
      <c r="BA302" s="35">
        <f t="shared" si="170"/>
        <v>0</v>
      </c>
      <c r="BB302" s="35">
        <f t="shared" si="171"/>
        <v>0</v>
      </c>
      <c r="BC302" s="35">
        <f t="shared" si="172"/>
        <v>0</v>
      </c>
    </row>
    <row r="303" spans="1:55" s="35" customFormat="1" x14ac:dyDescent="0.35">
      <c r="A303" s="36">
        <v>38717</v>
      </c>
      <c r="B303" s="35" t="s">
        <v>431</v>
      </c>
      <c r="C303" s="35" t="s">
        <v>163</v>
      </c>
      <c r="D303" s="35" t="s">
        <v>59</v>
      </c>
      <c r="E303" s="35" t="s">
        <v>125</v>
      </c>
      <c r="F303" s="139">
        <f t="shared" si="145"/>
        <v>1</v>
      </c>
      <c r="G303" s="35">
        <v>893000000</v>
      </c>
      <c r="H303" s="139">
        <f t="shared" si="146"/>
        <v>8.9508514588885468</v>
      </c>
      <c r="I303" s="35">
        <f>G303</f>
        <v>893000000</v>
      </c>
      <c r="J303" s="35">
        <v>0</v>
      </c>
      <c r="K303" s="36">
        <v>41851</v>
      </c>
      <c r="L303" s="35">
        <v>600000000</v>
      </c>
      <c r="M303" s="21">
        <f t="shared" si="147"/>
        <v>8.5863013698630137</v>
      </c>
      <c r="N303" s="21">
        <f t="shared" si="173"/>
        <v>0.93380612767609661</v>
      </c>
      <c r="O303" s="35">
        <v>342.74</v>
      </c>
      <c r="P303" s="35">
        <f t="shared" si="148"/>
        <v>2.5362300726332561</v>
      </c>
      <c r="Q303" s="35">
        <v>70</v>
      </c>
      <c r="R303" s="35">
        <f t="shared" si="149"/>
        <v>1.8512583487190752</v>
      </c>
      <c r="S303" s="45">
        <v>2.3199999999999998</v>
      </c>
      <c r="T303" s="45">
        <f t="shared" si="174"/>
        <v>0.36548798489089962</v>
      </c>
      <c r="U303" s="175">
        <f t="shared" si="150"/>
        <v>-0.32810750279955203</v>
      </c>
      <c r="V303" s="48">
        <f t="shared" si="151"/>
        <v>-0.17270020850490278</v>
      </c>
      <c r="W303" s="35">
        <v>1248.0746999999999</v>
      </c>
      <c r="X303" s="35">
        <f t="shared" si="152"/>
        <v>3.0962405795987471</v>
      </c>
      <c r="Y303" s="35">
        <v>2518.2170000000001</v>
      </c>
      <c r="Z303" s="35">
        <f t="shared" si="153"/>
        <v>3.4010931514437841</v>
      </c>
      <c r="AA303" s="37">
        <v>569.16666666666697</v>
      </c>
      <c r="AB303" s="37">
        <f t="shared" si="154"/>
        <v>2.756001823801419</v>
      </c>
      <c r="AC303" s="35">
        <v>70</v>
      </c>
      <c r="AD303" s="35">
        <f t="shared" si="175"/>
        <v>1.8450980400142569</v>
      </c>
      <c r="AE303" s="48">
        <v>42.9</v>
      </c>
      <c r="AF303" s="48">
        <f t="shared" si="176"/>
        <v>1.6324572921847242</v>
      </c>
      <c r="AG303" s="43">
        <v>53.2941466273667</v>
      </c>
      <c r="AH303" s="43">
        <f t="shared" si="177"/>
        <v>1.7266795124593939</v>
      </c>
      <c r="AI303" s="39">
        <v>0.16</v>
      </c>
      <c r="AJ303" s="48">
        <f t="shared" si="155"/>
        <v>6.445798922691845E-2</v>
      </c>
      <c r="AK303" s="35">
        <v>0</v>
      </c>
      <c r="AL303" s="35">
        <f t="shared" si="178"/>
        <v>0</v>
      </c>
      <c r="AM303" s="35">
        <f t="shared" si="156"/>
        <v>0</v>
      </c>
      <c r="AN303" s="35">
        <f t="shared" si="157"/>
        <v>0</v>
      </c>
      <c r="AO303" s="35">
        <f t="shared" si="158"/>
        <v>0</v>
      </c>
      <c r="AP303" s="35">
        <f t="shared" si="159"/>
        <v>0</v>
      </c>
      <c r="AQ303" s="35">
        <f t="shared" si="160"/>
        <v>0</v>
      </c>
      <c r="AR303" s="35">
        <f t="shared" si="161"/>
        <v>0</v>
      </c>
      <c r="AS303" s="35">
        <f t="shared" si="162"/>
        <v>0</v>
      </c>
      <c r="AT303" s="35">
        <f t="shared" si="163"/>
        <v>1</v>
      </c>
      <c r="AU303" s="35">
        <f t="shared" si="164"/>
        <v>0</v>
      </c>
      <c r="AV303" s="35">
        <f t="shared" si="165"/>
        <v>0</v>
      </c>
      <c r="AW303" s="35">
        <f t="shared" si="166"/>
        <v>0</v>
      </c>
      <c r="AX303" s="35">
        <f t="shared" si="167"/>
        <v>0</v>
      </c>
      <c r="AY303" s="35">
        <f t="shared" si="168"/>
        <v>0</v>
      </c>
      <c r="AZ303" s="35">
        <f t="shared" si="169"/>
        <v>0</v>
      </c>
      <c r="BA303" s="35">
        <f t="shared" si="170"/>
        <v>0</v>
      </c>
      <c r="BB303" s="35">
        <f t="shared" si="171"/>
        <v>0</v>
      </c>
      <c r="BC303" s="35">
        <f t="shared" si="172"/>
        <v>0</v>
      </c>
    </row>
    <row r="304" spans="1:55" s="35" customFormat="1" x14ac:dyDescent="0.35">
      <c r="A304" s="36">
        <v>38741</v>
      </c>
      <c r="B304" s="35" t="s">
        <v>476</v>
      </c>
      <c r="C304" s="35" t="s">
        <v>1</v>
      </c>
      <c r="D304" s="35" t="s">
        <v>59</v>
      </c>
      <c r="E304" s="35" t="s">
        <v>125</v>
      </c>
      <c r="F304" s="139">
        <f t="shared" si="145"/>
        <v>1</v>
      </c>
      <c r="G304" s="35">
        <v>450000000</v>
      </c>
      <c r="H304" s="139">
        <f t="shared" si="146"/>
        <v>8.653212513775344</v>
      </c>
      <c r="I304" s="35">
        <f>G304</f>
        <v>450000000</v>
      </c>
      <c r="J304" s="35">
        <v>0</v>
      </c>
      <c r="K304" s="36">
        <v>39406</v>
      </c>
      <c r="L304" s="35">
        <v>727900000</v>
      </c>
      <c r="M304" s="21">
        <f t="shared" si="147"/>
        <v>1.821917808219178</v>
      </c>
      <c r="N304" s="21">
        <f t="shared" si="173"/>
        <v>0.26052878084662989</v>
      </c>
      <c r="O304" s="35">
        <v>1153.8900000000001</v>
      </c>
      <c r="P304" s="35">
        <f t="shared" si="148"/>
        <v>3.0625406208792199</v>
      </c>
      <c r="Q304" s="35">
        <v>37</v>
      </c>
      <c r="R304" s="35">
        <f t="shared" si="149"/>
        <v>1.5797835966168101</v>
      </c>
      <c r="S304" s="45">
        <v>3.06</v>
      </c>
      <c r="T304" s="45">
        <f t="shared" si="174"/>
        <v>0.48572142648158001</v>
      </c>
      <c r="U304" s="175">
        <f t="shared" si="150"/>
        <v>0.61755555555555564</v>
      </c>
      <c r="V304" s="48">
        <f t="shared" si="151"/>
        <v>0.20885920560465057</v>
      </c>
      <c r="W304" s="176">
        <v>1709.090909090909</v>
      </c>
      <c r="X304" s="35">
        <f t="shared" si="152"/>
        <v>3.2327651641054547</v>
      </c>
      <c r="Y304" s="35">
        <v>8968.5950413223145</v>
      </c>
      <c r="Z304" s="35">
        <f t="shared" si="153"/>
        <v>3.9527244147731087</v>
      </c>
      <c r="AA304" s="37">
        <v>742.83333333333303</v>
      </c>
      <c r="AB304" s="37">
        <f t="shared" si="154"/>
        <v>2.8714756364568856</v>
      </c>
      <c r="AC304" s="35">
        <v>91.4</v>
      </c>
      <c r="AD304" s="35">
        <f t="shared" si="175"/>
        <v>1.9609461957338314</v>
      </c>
      <c r="AE304" s="48">
        <v>42.8</v>
      </c>
      <c r="AF304" s="48">
        <f t="shared" si="176"/>
        <v>1.631443769013172</v>
      </c>
      <c r="AG304" s="43">
        <v>40.8082924662531</v>
      </c>
      <c r="AH304" s="43">
        <f t="shared" si="177"/>
        <v>1.6107484230506914</v>
      </c>
      <c r="AI304" s="39">
        <v>-0.08</v>
      </c>
      <c r="AJ304" s="48">
        <f t="shared" si="155"/>
        <v>-3.6212172654444715E-2</v>
      </c>
      <c r="AK304" s="35">
        <v>0</v>
      </c>
      <c r="AL304" s="35">
        <f t="shared" si="178"/>
        <v>0</v>
      </c>
      <c r="AM304" s="35">
        <f t="shared" si="156"/>
        <v>0</v>
      </c>
      <c r="AN304" s="35">
        <f t="shared" si="157"/>
        <v>0</v>
      </c>
      <c r="AO304" s="35">
        <f t="shared" si="158"/>
        <v>0</v>
      </c>
      <c r="AP304" s="35">
        <f t="shared" si="159"/>
        <v>1</v>
      </c>
      <c r="AQ304" s="35">
        <f t="shared" si="160"/>
        <v>0</v>
      </c>
      <c r="AR304" s="35">
        <f t="shared" si="161"/>
        <v>0</v>
      </c>
      <c r="AS304" s="35">
        <f t="shared" si="162"/>
        <v>0</v>
      </c>
      <c r="AT304" s="35">
        <f t="shared" si="163"/>
        <v>0</v>
      </c>
      <c r="AU304" s="35">
        <f t="shared" si="164"/>
        <v>0</v>
      </c>
      <c r="AV304" s="35">
        <f t="shared" si="165"/>
        <v>0</v>
      </c>
      <c r="AW304" s="35">
        <f t="shared" si="166"/>
        <v>0</v>
      </c>
      <c r="AX304" s="35">
        <f t="shared" si="167"/>
        <v>0</v>
      </c>
      <c r="AY304" s="35">
        <f t="shared" si="168"/>
        <v>0</v>
      </c>
      <c r="AZ304" s="35">
        <f t="shared" si="169"/>
        <v>0</v>
      </c>
      <c r="BA304" s="35">
        <f t="shared" si="170"/>
        <v>0</v>
      </c>
      <c r="BB304" s="35">
        <f t="shared" si="171"/>
        <v>0</v>
      </c>
      <c r="BC304" s="35">
        <f t="shared" si="172"/>
        <v>0</v>
      </c>
    </row>
    <row r="305" spans="1:55" s="35" customFormat="1" x14ac:dyDescent="0.35">
      <c r="A305" s="36">
        <v>38742</v>
      </c>
      <c r="B305" s="35" t="s">
        <v>650</v>
      </c>
      <c r="C305" s="35" t="s">
        <v>3</v>
      </c>
      <c r="D305" s="35" t="s">
        <v>602</v>
      </c>
      <c r="E305" s="35" t="s">
        <v>64</v>
      </c>
      <c r="F305" s="139">
        <f t="shared" si="145"/>
        <v>1</v>
      </c>
      <c r="G305" s="35">
        <v>7987460000</v>
      </c>
      <c r="H305" s="139">
        <f t="shared" si="146"/>
        <v>9.9024086962903652</v>
      </c>
      <c r="I305" s="35">
        <v>6063860000</v>
      </c>
      <c r="J305" s="35">
        <v>1923600000</v>
      </c>
      <c r="K305" s="36">
        <v>41360</v>
      </c>
      <c r="L305" s="35">
        <v>2035595139</v>
      </c>
      <c r="M305" s="21">
        <f t="shared" si="147"/>
        <v>7.1726027397260275</v>
      </c>
      <c r="N305" s="21">
        <f t="shared" si="173"/>
        <v>0.85567677775826234</v>
      </c>
      <c r="O305" s="35">
        <v>6511.1</v>
      </c>
      <c r="P305" s="35">
        <f t="shared" si="148"/>
        <v>3.8137210609712455</v>
      </c>
      <c r="Q305" s="35">
        <v>16</v>
      </c>
      <c r="R305" s="35">
        <f t="shared" si="149"/>
        <v>1.2304489213782739</v>
      </c>
      <c r="S305" s="45">
        <v>2.86</v>
      </c>
      <c r="T305" s="45">
        <f t="shared" si="174"/>
        <v>0.456366033129043</v>
      </c>
      <c r="U305" s="175">
        <f t="shared" si="150"/>
        <v>-0.74515113202444838</v>
      </c>
      <c r="V305" s="48">
        <f t="shared" si="151"/>
        <v>-0.59371729118283922</v>
      </c>
      <c r="W305" s="35">
        <v>2315.9650000000001</v>
      </c>
      <c r="X305" s="35">
        <f t="shared" si="152"/>
        <v>3.3647319918335836</v>
      </c>
      <c r="Y305" s="35">
        <v>3703.9029999999998</v>
      </c>
      <c r="Z305" s="35">
        <f t="shared" si="153"/>
        <v>3.568659604598353</v>
      </c>
      <c r="AA305" s="37">
        <v>835.16666666666697</v>
      </c>
      <c r="AB305" s="37">
        <f t="shared" si="154"/>
        <v>2.9222928506441082</v>
      </c>
      <c r="AC305" s="35">
        <v>94.6</v>
      </c>
      <c r="AD305" s="35">
        <f t="shared" si="175"/>
        <v>1.9758911364017928</v>
      </c>
      <c r="AE305" s="48">
        <v>46.5</v>
      </c>
      <c r="AF305" s="48">
        <f t="shared" si="176"/>
        <v>1.667452952889954</v>
      </c>
      <c r="AG305" s="43">
        <v>49.829752832499103</v>
      </c>
      <c r="AH305" s="43">
        <f t="shared" si="177"/>
        <v>1.69748873297182</v>
      </c>
      <c r="AI305" s="39">
        <v>-0.1</v>
      </c>
      <c r="AJ305" s="48">
        <f t="shared" si="155"/>
        <v>-4.5757490560675115E-2</v>
      </c>
      <c r="AK305" s="35">
        <v>0</v>
      </c>
      <c r="AL305" s="35">
        <f t="shared" si="178"/>
        <v>0</v>
      </c>
      <c r="AM305" s="35">
        <f t="shared" si="156"/>
        <v>0</v>
      </c>
      <c r="AN305" s="35">
        <f t="shared" si="157"/>
        <v>0</v>
      </c>
      <c r="AO305" s="35">
        <f t="shared" si="158"/>
        <v>0</v>
      </c>
      <c r="AP305" s="35">
        <f t="shared" si="159"/>
        <v>0</v>
      </c>
      <c r="AQ305" s="35">
        <f t="shared" si="160"/>
        <v>1</v>
      </c>
      <c r="AR305" s="35">
        <f t="shared" si="161"/>
        <v>0</v>
      </c>
      <c r="AS305" s="35">
        <f t="shared" si="162"/>
        <v>0</v>
      </c>
      <c r="AT305" s="35">
        <f t="shared" si="163"/>
        <v>0</v>
      </c>
      <c r="AU305" s="35">
        <f t="shared" si="164"/>
        <v>0</v>
      </c>
      <c r="AV305" s="35">
        <f t="shared" si="165"/>
        <v>0</v>
      </c>
      <c r="AW305" s="35">
        <f t="shared" si="166"/>
        <v>0</v>
      </c>
      <c r="AX305" s="35">
        <f t="shared" si="167"/>
        <v>0</v>
      </c>
      <c r="AY305" s="35">
        <f t="shared" si="168"/>
        <v>0</v>
      </c>
      <c r="AZ305" s="35">
        <f t="shared" si="169"/>
        <v>0</v>
      </c>
      <c r="BA305" s="35">
        <f t="shared" si="170"/>
        <v>0</v>
      </c>
      <c r="BB305" s="35">
        <f t="shared" si="171"/>
        <v>0</v>
      </c>
      <c r="BC305" s="35">
        <f t="shared" si="172"/>
        <v>0</v>
      </c>
    </row>
    <row r="306" spans="1:55" s="35" customFormat="1" x14ac:dyDescent="0.35">
      <c r="A306" s="36">
        <v>38744</v>
      </c>
      <c r="B306" s="35" t="s">
        <v>261</v>
      </c>
      <c r="C306" s="35" t="s">
        <v>4</v>
      </c>
      <c r="D306" s="35" t="s">
        <v>602</v>
      </c>
      <c r="E306" s="35" t="s">
        <v>64</v>
      </c>
      <c r="F306" s="139">
        <f t="shared" si="145"/>
        <v>1</v>
      </c>
      <c r="G306" s="35">
        <v>498259398</v>
      </c>
      <c r="H306" s="139">
        <f t="shared" si="146"/>
        <v>8.6974554989651978</v>
      </c>
      <c r="I306" s="35">
        <f>G306</f>
        <v>498259398</v>
      </c>
      <c r="J306" s="35">
        <v>0</v>
      </c>
      <c r="K306" s="36">
        <v>40807</v>
      </c>
      <c r="L306" s="35">
        <v>1848918842</v>
      </c>
      <c r="M306" s="21">
        <f t="shared" si="147"/>
        <v>5.6520547945205477</v>
      </c>
      <c r="N306" s="21">
        <f t="shared" si="173"/>
        <v>0.7522063635166768</v>
      </c>
      <c r="O306" s="35">
        <v>6635.86</v>
      </c>
      <c r="P306" s="35">
        <f t="shared" si="148"/>
        <v>3.8219626565950726</v>
      </c>
      <c r="Q306" s="35">
        <v>23</v>
      </c>
      <c r="R306" s="35">
        <f t="shared" si="149"/>
        <v>1.3802112417116059</v>
      </c>
      <c r="S306" s="45">
        <v>3.03</v>
      </c>
      <c r="T306" s="45">
        <f t="shared" si="174"/>
        <v>0.48144262850230496</v>
      </c>
      <c r="U306" s="175">
        <f t="shared" si="150"/>
        <v>2.7107555811721991</v>
      </c>
      <c r="V306" s="48">
        <f t="shared" si="151"/>
        <v>0.56946234932479256</v>
      </c>
      <c r="W306" s="35">
        <v>1246.953</v>
      </c>
      <c r="X306" s="35">
        <f t="shared" si="152"/>
        <v>3.0958500844125241</v>
      </c>
      <c r="Y306" s="35">
        <v>3219.7179999999998</v>
      </c>
      <c r="Z306" s="35">
        <f t="shared" si="153"/>
        <v>3.5078178355445662</v>
      </c>
      <c r="AA306" s="37">
        <v>808</v>
      </c>
      <c r="AB306" s="37">
        <f t="shared" si="154"/>
        <v>2.9079485216122722</v>
      </c>
      <c r="AC306" s="35">
        <v>96.1</v>
      </c>
      <c r="AD306" s="35">
        <f t="shared" si="175"/>
        <v>1.9827233876685453</v>
      </c>
      <c r="AE306" s="48">
        <v>46</v>
      </c>
      <c r="AF306" s="48">
        <f t="shared" si="176"/>
        <v>1.6627578316815741</v>
      </c>
      <c r="AG306" s="43">
        <v>50.974560675820896</v>
      </c>
      <c r="AH306" s="43">
        <f t="shared" si="177"/>
        <v>1.7073534914999287</v>
      </c>
      <c r="AI306" s="39">
        <v>-0.14000000000000001</v>
      </c>
      <c r="AJ306" s="48">
        <f t="shared" si="155"/>
        <v>-6.5501548756432285E-2</v>
      </c>
      <c r="AK306" s="35">
        <v>0</v>
      </c>
      <c r="AL306" s="35">
        <f t="shared" si="178"/>
        <v>0</v>
      </c>
      <c r="AM306" s="35">
        <f t="shared" si="156"/>
        <v>0</v>
      </c>
      <c r="AN306" s="35">
        <f t="shared" si="157"/>
        <v>0</v>
      </c>
      <c r="AO306" s="35">
        <f t="shared" si="158"/>
        <v>0</v>
      </c>
      <c r="AP306" s="35">
        <f t="shared" si="159"/>
        <v>0</v>
      </c>
      <c r="AQ306" s="35">
        <f t="shared" si="160"/>
        <v>0</v>
      </c>
      <c r="AR306" s="35">
        <f t="shared" si="161"/>
        <v>1</v>
      </c>
      <c r="AS306" s="35">
        <f t="shared" si="162"/>
        <v>0</v>
      </c>
      <c r="AT306" s="35">
        <f t="shared" si="163"/>
        <v>0</v>
      </c>
      <c r="AU306" s="35">
        <f t="shared" si="164"/>
        <v>0</v>
      </c>
      <c r="AV306" s="35">
        <f t="shared" si="165"/>
        <v>0</v>
      </c>
      <c r="AW306" s="35">
        <f t="shared" si="166"/>
        <v>0</v>
      </c>
      <c r="AX306" s="35">
        <f t="shared" si="167"/>
        <v>0</v>
      </c>
      <c r="AY306" s="35">
        <f t="shared" si="168"/>
        <v>0</v>
      </c>
      <c r="AZ306" s="35">
        <f t="shared" si="169"/>
        <v>0</v>
      </c>
      <c r="BA306" s="35">
        <f t="shared" si="170"/>
        <v>0</v>
      </c>
      <c r="BB306" s="35">
        <f t="shared" si="171"/>
        <v>0</v>
      </c>
      <c r="BC306" s="35">
        <f t="shared" si="172"/>
        <v>0</v>
      </c>
    </row>
    <row r="307" spans="1:55" s="35" customFormat="1" x14ac:dyDescent="0.35">
      <c r="A307" s="36">
        <v>38751</v>
      </c>
      <c r="B307" s="35" t="s">
        <v>616</v>
      </c>
      <c r="C307" s="35" t="s">
        <v>163</v>
      </c>
      <c r="D307" s="35" t="s">
        <v>602</v>
      </c>
      <c r="E307" s="35" t="s">
        <v>64</v>
      </c>
      <c r="F307" s="139">
        <f t="shared" si="145"/>
        <v>1</v>
      </c>
      <c r="G307" s="35">
        <v>264410000</v>
      </c>
      <c r="H307" s="139">
        <f t="shared" si="146"/>
        <v>8.4222778761641806</v>
      </c>
      <c r="I307" s="35">
        <v>96870000</v>
      </c>
      <c r="J307" s="35">
        <v>167550000</v>
      </c>
      <c r="K307" s="36">
        <v>40477</v>
      </c>
      <c r="L307" s="35">
        <v>244300000</v>
      </c>
      <c r="M307" s="21">
        <f t="shared" si="147"/>
        <v>4.7287671232876711</v>
      </c>
      <c r="N307" s="21">
        <f t="shared" si="173"/>
        <v>0.67474792692271612</v>
      </c>
      <c r="O307" s="35">
        <v>6164.6</v>
      </c>
      <c r="P307" s="35">
        <f t="shared" si="148"/>
        <v>3.7899753459779522</v>
      </c>
      <c r="Q307" s="35">
        <v>28</v>
      </c>
      <c r="R307" s="35">
        <f t="shared" si="149"/>
        <v>1.4623979978989561</v>
      </c>
      <c r="S307" s="45">
        <v>3.18</v>
      </c>
      <c r="T307" s="45">
        <f t="shared" si="174"/>
        <v>0.50242711998443268</v>
      </c>
      <c r="U307" s="175">
        <f t="shared" si="150"/>
        <v>-7.6056124957452398E-2</v>
      </c>
      <c r="V307" s="48">
        <f t="shared" si="151"/>
        <v>-3.4354409190743784E-2</v>
      </c>
      <c r="W307" s="35">
        <v>1246.953</v>
      </c>
      <c r="X307" s="35">
        <f t="shared" si="152"/>
        <v>3.0958500844125241</v>
      </c>
      <c r="Y307" s="35">
        <v>3219.7179999999998</v>
      </c>
      <c r="Z307" s="35">
        <f t="shared" si="153"/>
        <v>3.5078178355445662</v>
      </c>
      <c r="AA307" s="37">
        <v>583.83333333333303</v>
      </c>
      <c r="AB307" s="37">
        <f t="shared" si="154"/>
        <v>2.7670321178317625</v>
      </c>
      <c r="AC307" s="35">
        <v>88</v>
      </c>
      <c r="AD307" s="35">
        <f t="shared" si="175"/>
        <v>1.9444826721501687</v>
      </c>
      <c r="AE307" s="48">
        <v>43.3</v>
      </c>
      <c r="AF307" s="48">
        <f t="shared" si="176"/>
        <v>1.6364878963533653</v>
      </c>
      <c r="AG307" s="43">
        <v>52.875711995394298</v>
      </c>
      <c r="AH307" s="43">
        <f t="shared" si="177"/>
        <v>1.7232562283942385</v>
      </c>
      <c r="AI307" s="39">
        <v>-0.03</v>
      </c>
      <c r="AJ307" s="48">
        <f t="shared" si="155"/>
        <v>-1.322826573375516E-2</v>
      </c>
      <c r="AK307" s="35">
        <v>0</v>
      </c>
      <c r="AL307" s="35">
        <f t="shared" si="178"/>
        <v>0</v>
      </c>
      <c r="AM307" s="35">
        <f t="shared" si="156"/>
        <v>0</v>
      </c>
      <c r="AN307" s="35">
        <f t="shared" si="157"/>
        <v>0</v>
      </c>
      <c r="AO307" s="35">
        <f t="shared" si="158"/>
        <v>0</v>
      </c>
      <c r="AP307" s="35">
        <f t="shared" si="159"/>
        <v>0</v>
      </c>
      <c r="AQ307" s="35">
        <f t="shared" si="160"/>
        <v>0</v>
      </c>
      <c r="AR307" s="35">
        <f t="shared" si="161"/>
        <v>0</v>
      </c>
      <c r="AS307" s="35">
        <f t="shared" si="162"/>
        <v>0</v>
      </c>
      <c r="AT307" s="35">
        <f t="shared" si="163"/>
        <v>1</v>
      </c>
      <c r="AU307" s="35">
        <f t="shared" si="164"/>
        <v>0</v>
      </c>
      <c r="AV307" s="35">
        <f t="shared" si="165"/>
        <v>0</v>
      </c>
      <c r="AW307" s="35">
        <f t="shared" si="166"/>
        <v>0</v>
      </c>
      <c r="AX307" s="35">
        <f t="shared" si="167"/>
        <v>0</v>
      </c>
      <c r="AY307" s="35">
        <f t="shared" si="168"/>
        <v>0</v>
      </c>
      <c r="AZ307" s="35">
        <f t="shared" si="169"/>
        <v>0</v>
      </c>
      <c r="BA307" s="35">
        <f t="shared" si="170"/>
        <v>0</v>
      </c>
      <c r="BB307" s="35">
        <f t="shared" si="171"/>
        <v>0</v>
      </c>
      <c r="BC307" s="35">
        <f t="shared" si="172"/>
        <v>0</v>
      </c>
    </row>
    <row r="308" spans="1:55" s="35" customFormat="1" x14ac:dyDescent="0.35">
      <c r="A308" s="36">
        <v>38769</v>
      </c>
      <c r="B308" s="35" t="s">
        <v>194</v>
      </c>
      <c r="C308" s="35" t="s">
        <v>45</v>
      </c>
      <c r="D308" s="35" t="s">
        <v>45</v>
      </c>
      <c r="E308" s="139" t="s">
        <v>47</v>
      </c>
      <c r="F308" s="139">
        <f t="shared" si="145"/>
        <v>0</v>
      </c>
      <c r="G308" s="35">
        <v>1000000000</v>
      </c>
      <c r="H308" s="139">
        <f t="shared" si="146"/>
        <v>9</v>
      </c>
      <c r="I308" s="35">
        <v>1000000000</v>
      </c>
      <c r="J308" s="35">
        <v>0</v>
      </c>
      <c r="K308" s="36">
        <v>40428</v>
      </c>
      <c r="L308" s="35">
        <v>3100000000</v>
      </c>
      <c r="M308" s="21">
        <f t="shared" si="147"/>
        <v>4.5452054794520551</v>
      </c>
      <c r="N308" s="21">
        <f t="shared" si="173"/>
        <v>0.65755352156788605</v>
      </c>
      <c r="O308" s="35">
        <v>0</v>
      </c>
      <c r="P308" s="35">
        <f t="shared" si="148"/>
        <v>0</v>
      </c>
      <c r="Q308" s="35">
        <v>26</v>
      </c>
      <c r="R308" s="35">
        <f t="shared" si="149"/>
        <v>1.4313637641589874</v>
      </c>
      <c r="S308" s="45">
        <v>2.95</v>
      </c>
      <c r="T308" s="45">
        <f t="shared" si="174"/>
        <v>0.46982201597816303</v>
      </c>
      <c r="U308" s="175">
        <f t="shared" si="150"/>
        <v>2.1</v>
      </c>
      <c r="V308" s="48">
        <f t="shared" si="151"/>
        <v>0.49136169383427269</v>
      </c>
      <c r="W308" s="35">
        <v>1246.953</v>
      </c>
      <c r="X308" s="35">
        <f t="shared" si="152"/>
        <v>3.0958500844125241</v>
      </c>
      <c r="Y308" s="35">
        <v>3219.7179999999998</v>
      </c>
      <c r="Z308" s="35">
        <f t="shared" si="153"/>
        <v>3.5078178355445662</v>
      </c>
      <c r="AA308" s="37">
        <v>0</v>
      </c>
      <c r="AB308" s="37">
        <f t="shared" si="154"/>
        <v>0</v>
      </c>
      <c r="AC308" s="35">
        <v>93.2</v>
      </c>
      <c r="AD308" s="35">
        <f t="shared" si="175"/>
        <v>1.9694159123539814</v>
      </c>
      <c r="AE308" s="48">
        <v>26.7</v>
      </c>
      <c r="AF308" s="48">
        <f t="shared" si="176"/>
        <v>1.4265112613645752</v>
      </c>
      <c r="AG308" s="43">
        <v>36.669158714517401</v>
      </c>
      <c r="AH308" s="43">
        <f t="shared" si="177"/>
        <v>1.5643009462345601</v>
      </c>
      <c r="AI308" s="39">
        <v>0.22</v>
      </c>
      <c r="AJ308" s="48">
        <f t="shared" si="155"/>
        <v>8.6359830674748214E-2</v>
      </c>
      <c r="AK308" s="35">
        <v>12</v>
      </c>
      <c r="AL308" s="35">
        <f t="shared" si="178"/>
        <v>1.0791812460476249</v>
      </c>
      <c r="AM308" s="35">
        <f t="shared" si="156"/>
        <v>0</v>
      </c>
      <c r="AN308" s="35">
        <f t="shared" si="157"/>
        <v>1</v>
      </c>
      <c r="AO308" s="35">
        <f t="shared" si="158"/>
        <v>0</v>
      </c>
      <c r="AP308" s="35">
        <f t="shared" si="159"/>
        <v>0</v>
      </c>
      <c r="AQ308" s="35">
        <f t="shared" si="160"/>
        <v>0</v>
      </c>
      <c r="AR308" s="35">
        <f t="shared" si="161"/>
        <v>0</v>
      </c>
      <c r="AS308" s="35">
        <f t="shared" si="162"/>
        <v>0</v>
      </c>
      <c r="AT308" s="35">
        <f t="shared" si="163"/>
        <v>0</v>
      </c>
      <c r="AU308" s="35">
        <f t="shared" si="164"/>
        <v>0</v>
      </c>
      <c r="AV308" s="35">
        <f t="shared" si="165"/>
        <v>0</v>
      </c>
      <c r="AW308" s="35">
        <f t="shared" si="166"/>
        <v>0</v>
      </c>
      <c r="AX308" s="35">
        <f t="shared" si="167"/>
        <v>0</v>
      </c>
      <c r="AY308" s="35">
        <f t="shared" si="168"/>
        <v>0</v>
      </c>
      <c r="AZ308" s="35">
        <f t="shared" si="169"/>
        <v>0</v>
      </c>
      <c r="BA308" s="35">
        <f t="shared" si="170"/>
        <v>0</v>
      </c>
      <c r="BB308" s="35">
        <f t="shared" si="171"/>
        <v>0</v>
      </c>
      <c r="BC308" s="35">
        <f t="shared" si="172"/>
        <v>0</v>
      </c>
    </row>
    <row r="309" spans="1:55" s="35" customFormat="1" x14ac:dyDescent="0.35">
      <c r="A309" s="36">
        <v>38789</v>
      </c>
      <c r="B309" s="35" t="s">
        <v>804</v>
      </c>
      <c r="C309" s="35" t="s">
        <v>45</v>
      </c>
      <c r="D309" s="35" t="s">
        <v>602</v>
      </c>
      <c r="E309" s="35" t="s">
        <v>47</v>
      </c>
      <c r="F309" s="139">
        <f t="shared" si="145"/>
        <v>0</v>
      </c>
      <c r="G309" s="35">
        <v>1092150000</v>
      </c>
      <c r="H309" s="139">
        <f t="shared" si="146"/>
        <v>9.0382822901072792</v>
      </c>
      <c r="I309" s="35">
        <v>1003710000</v>
      </c>
      <c r="J309" s="35">
        <v>88440000</v>
      </c>
      <c r="K309" s="36">
        <v>41708</v>
      </c>
      <c r="L309" s="35">
        <v>763990000</v>
      </c>
      <c r="M309" s="21">
        <f t="shared" si="147"/>
        <v>7.9972602739726026</v>
      </c>
      <c r="N309" s="21">
        <f t="shared" si="173"/>
        <v>0.90294123053153963</v>
      </c>
      <c r="O309" s="35">
        <v>0</v>
      </c>
      <c r="P309" s="35">
        <f t="shared" si="148"/>
        <v>0</v>
      </c>
      <c r="Q309" s="35">
        <v>26</v>
      </c>
      <c r="R309" s="35">
        <f t="shared" si="149"/>
        <v>1.4313637641589874</v>
      </c>
      <c r="S309" s="45">
        <v>2.95</v>
      </c>
      <c r="T309" s="45">
        <f t="shared" si="174"/>
        <v>0.46982201597816303</v>
      </c>
      <c r="U309" s="175">
        <f t="shared" si="150"/>
        <v>-0.30047154694867917</v>
      </c>
      <c r="V309" s="48">
        <f t="shared" si="151"/>
        <v>-0.15519461605153834</v>
      </c>
      <c r="W309" s="35">
        <v>3287.5739644970417</v>
      </c>
      <c r="X309" s="35">
        <f t="shared" si="152"/>
        <v>3.5168755324519045</v>
      </c>
      <c r="Y309" s="35">
        <v>6440.2366863905318</v>
      </c>
      <c r="Z309" s="35">
        <f t="shared" si="153"/>
        <v>3.8089018284940463</v>
      </c>
      <c r="AA309" s="35">
        <v>0</v>
      </c>
      <c r="AB309" s="37">
        <f t="shared" si="154"/>
        <v>0</v>
      </c>
      <c r="AC309" s="35">
        <v>93.2</v>
      </c>
      <c r="AD309" s="35">
        <f t="shared" si="175"/>
        <v>1.9694159123539814</v>
      </c>
      <c r="AE309" s="48">
        <v>26.7</v>
      </c>
      <c r="AF309" s="48">
        <f t="shared" si="176"/>
        <v>1.4265112613645752</v>
      </c>
      <c r="AG309" s="43">
        <v>36.669158714517401</v>
      </c>
      <c r="AH309" s="43">
        <f t="shared" si="177"/>
        <v>1.5643009462345601</v>
      </c>
      <c r="AI309" s="39">
        <v>-0.08</v>
      </c>
      <c r="AJ309" s="48">
        <f t="shared" si="155"/>
        <v>-3.6212172654444715E-2</v>
      </c>
      <c r="AK309" s="35">
        <v>5</v>
      </c>
      <c r="AL309" s="35">
        <f t="shared" si="178"/>
        <v>0.69897000433601886</v>
      </c>
      <c r="AM309" s="35">
        <f t="shared" si="156"/>
        <v>0</v>
      </c>
      <c r="AN309" s="35">
        <f t="shared" si="157"/>
        <v>1</v>
      </c>
      <c r="AO309" s="35">
        <f t="shared" si="158"/>
        <v>0</v>
      </c>
      <c r="AP309" s="35">
        <f t="shared" si="159"/>
        <v>0</v>
      </c>
      <c r="AQ309" s="35">
        <f t="shared" si="160"/>
        <v>0</v>
      </c>
      <c r="AR309" s="35">
        <f t="shared" si="161"/>
        <v>0</v>
      </c>
      <c r="AS309" s="35">
        <f t="shared" si="162"/>
        <v>0</v>
      </c>
      <c r="AT309" s="35">
        <f t="shared" si="163"/>
        <v>0</v>
      </c>
      <c r="AU309" s="35">
        <f t="shared" si="164"/>
        <v>0</v>
      </c>
      <c r="AV309" s="35">
        <f t="shared" si="165"/>
        <v>0</v>
      </c>
      <c r="AW309" s="35">
        <f t="shared" si="166"/>
        <v>0</v>
      </c>
      <c r="AX309" s="35">
        <f t="shared" si="167"/>
        <v>0</v>
      </c>
      <c r="AY309" s="35">
        <f t="shared" si="168"/>
        <v>0</v>
      </c>
      <c r="AZ309" s="35">
        <f t="shared" si="169"/>
        <v>0</v>
      </c>
      <c r="BA309" s="35">
        <f t="shared" si="170"/>
        <v>0</v>
      </c>
      <c r="BB309" s="35">
        <f t="shared" si="171"/>
        <v>0</v>
      </c>
      <c r="BC309" s="35">
        <f t="shared" si="172"/>
        <v>0</v>
      </c>
    </row>
    <row r="310" spans="1:55" s="35" customFormat="1" x14ac:dyDescent="0.35">
      <c r="A310" s="36">
        <v>38796</v>
      </c>
      <c r="B310" s="35" t="s">
        <v>1076</v>
      </c>
      <c r="C310" s="35" t="s">
        <v>163</v>
      </c>
      <c r="D310" s="35" t="s">
        <v>45</v>
      </c>
      <c r="E310" s="35" t="s">
        <v>64</v>
      </c>
      <c r="F310" s="139">
        <f t="shared" si="145"/>
        <v>1</v>
      </c>
      <c r="G310" s="35">
        <v>418820000</v>
      </c>
      <c r="H310" s="139">
        <f t="shared" si="146"/>
        <v>8.6220274124582019</v>
      </c>
      <c r="I310" s="35">
        <f>G310</f>
        <v>418820000</v>
      </c>
      <c r="J310" s="35">
        <v>0</v>
      </c>
      <c r="K310" s="36">
        <v>40533</v>
      </c>
      <c r="L310" s="35">
        <v>680000000</v>
      </c>
      <c r="M310" s="21">
        <f t="shared" si="147"/>
        <v>4.7589041095890412</v>
      </c>
      <c r="N310" s="21">
        <f t="shared" si="173"/>
        <v>0.67750695399062388</v>
      </c>
      <c r="O310" s="35">
        <v>6164.6</v>
      </c>
      <c r="P310" s="35">
        <f t="shared" si="148"/>
        <v>3.7899753459779522</v>
      </c>
      <c r="Q310" s="35">
        <v>0</v>
      </c>
      <c r="R310" s="35">
        <f t="shared" si="149"/>
        <v>0</v>
      </c>
      <c r="S310" s="45">
        <v>3.18</v>
      </c>
      <c r="T310" s="45">
        <f t="shared" si="174"/>
        <v>0.50242711998443268</v>
      </c>
      <c r="U310" s="175">
        <f t="shared" si="150"/>
        <v>0.62360918771787399</v>
      </c>
      <c r="V310" s="48">
        <f t="shared" si="151"/>
        <v>0.21048150024803425</v>
      </c>
      <c r="W310" s="35">
        <v>1566.077003121748</v>
      </c>
      <c r="X310" s="35">
        <f t="shared" si="152"/>
        <v>3.1948131122613166</v>
      </c>
      <c r="Y310" s="35">
        <v>6768.9906347554625</v>
      </c>
      <c r="Z310" s="35">
        <f t="shared" si="153"/>
        <v>3.8305239132290598</v>
      </c>
      <c r="AA310" s="37">
        <v>583.83333333333303</v>
      </c>
      <c r="AB310" s="37">
        <f t="shared" si="154"/>
        <v>2.7670321178317625</v>
      </c>
      <c r="AC310" s="35">
        <v>88</v>
      </c>
      <c r="AD310" s="35">
        <f t="shared" si="175"/>
        <v>1.9444826721501687</v>
      </c>
      <c r="AE310" s="48">
        <v>43.3</v>
      </c>
      <c r="AF310" s="48">
        <f t="shared" si="176"/>
        <v>1.6364878963533653</v>
      </c>
      <c r="AG310" s="43">
        <v>52.875711995394298</v>
      </c>
      <c r="AH310" s="43">
        <f t="shared" si="177"/>
        <v>1.7232562283942385</v>
      </c>
      <c r="AI310" s="39">
        <v>0.4</v>
      </c>
      <c r="AJ310" s="48">
        <f t="shared" si="155"/>
        <v>0.14612803567823801</v>
      </c>
      <c r="AK310" s="35">
        <v>6</v>
      </c>
      <c r="AL310" s="35">
        <f t="shared" si="178"/>
        <v>0.77815125038364363</v>
      </c>
      <c r="AM310" s="35">
        <f t="shared" si="156"/>
        <v>0</v>
      </c>
      <c r="AN310" s="35">
        <f t="shared" si="157"/>
        <v>0</v>
      </c>
      <c r="AO310" s="35">
        <f t="shared" si="158"/>
        <v>0</v>
      </c>
      <c r="AP310" s="35">
        <f t="shared" si="159"/>
        <v>0</v>
      </c>
      <c r="AQ310" s="35">
        <f t="shared" si="160"/>
        <v>0</v>
      </c>
      <c r="AR310" s="35">
        <f t="shared" si="161"/>
        <v>0</v>
      </c>
      <c r="AS310" s="35">
        <f t="shared" si="162"/>
        <v>0</v>
      </c>
      <c r="AT310" s="35">
        <f t="shared" si="163"/>
        <v>1</v>
      </c>
      <c r="AU310" s="35">
        <f t="shared" si="164"/>
        <v>0</v>
      </c>
      <c r="AV310" s="35">
        <f t="shared" si="165"/>
        <v>0</v>
      </c>
      <c r="AW310" s="35">
        <f t="shared" si="166"/>
        <v>0</v>
      </c>
      <c r="AX310" s="35">
        <f t="shared" si="167"/>
        <v>0</v>
      </c>
      <c r="AY310" s="35">
        <f t="shared" si="168"/>
        <v>0</v>
      </c>
      <c r="AZ310" s="35">
        <f t="shared" si="169"/>
        <v>0</v>
      </c>
      <c r="BA310" s="35">
        <f t="shared" si="170"/>
        <v>0</v>
      </c>
      <c r="BB310" s="35">
        <f t="shared" si="171"/>
        <v>0</v>
      </c>
      <c r="BC310" s="35">
        <f t="shared" si="172"/>
        <v>0</v>
      </c>
    </row>
    <row r="311" spans="1:55" s="35" customFormat="1" x14ac:dyDescent="0.35">
      <c r="A311" s="36">
        <v>38798</v>
      </c>
      <c r="B311" s="35" t="s">
        <v>1118</v>
      </c>
      <c r="C311" s="35" t="s">
        <v>59</v>
      </c>
      <c r="D311" s="35" t="s">
        <v>577</v>
      </c>
      <c r="E311" s="35" t="s">
        <v>47</v>
      </c>
      <c r="F311" s="139">
        <f t="shared" si="145"/>
        <v>0</v>
      </c>
      <c r="G311" s="35">
        <v>320000000</v>
      </c>
      <c r="H311" s="139">
        <f t="shared" si="146"/>
        <v>8.5051499783199063</v>
      </c>
      <c r="I311" s="35">
        <f>G311</f>
        <v>320000000</v>
      </c>
      <c r="J311" s="35">
        <v>0</v>
      </c>
      <c r="K311" s="36">
        <v>41905</v>
      </c>
      <c r="L311" s="35">
        <v>531000000</v>
      </c>
      <c r="M311" s="21">
        <f t="shared" si="147"/>
        <v>8.5123287671232877</v>
      </c>
      <c r="N311" s="21">
        <f t="shared" si="173"/>
        <v>0.93004838879849971</v>
      </c>
      <c r="O311" s="35">
        <v>0</v>
      </c>
      <c r="P311" s="35">
        <f t="shared" si="148"/>
        <v>0</v>
      </c>
      <c r="Q311" s="35">
        <v>10</v>
      </c>
      <c r="R311" s="35">
        <f t="shared" si="149"/>
        <v>1.0413926851582251</v>
      </c>
      <c r="S311" s="45">
        <v>3.29</v>
      </c>
      <c r="T311" s="45">
        <f t="shared" si="174"/>
        <v>0.51719589794997434</v>
      </c>
      <c r="U311" s="175">
        <f t="shared" si="150"/>
        <v>0.65937500000000004</v>
      </c>
      <c r="V311" s="48">
        <f t="shared" si="151"/>
        <v>0.21994454276156311</v>
      </c>
      <c r="W311" s="35">
        <v>1861.76</v>
      </c>
      <c r="X311" s="35">
        <f t="shared" si="152"/>
        <v>3.2699236952309465</v>
      </c>
      <c r="Y311" s="35">
        <v>4993.92</v>
      </c>
      <c r="Z311" s="35">
        <f t="shared" si="153"/>
        <v>3.6984415808994222</v>
      </c>
      <c r="AA311" s="37">
        <v>0</v>
      </c>
      <c r="AB311" s="37">
        <f t="shared" si="154"/>
        <v>0</v>
      </c>
      <c r="AC311" s="35">
        <v>91.5</v>
      </c>
      <c r="AD311" s="35">
        <f t="shared" si="175"/>
        <v>1.9614210940664483</v>
      </c>
      <c r="AE311" s="48">
        <v>32.9</v>
      </c>
      <c r="AF311" s="48">
        <f t="shared" si="176"/>
        <v>1.5171958979499742</v>
      </c>
      <c r="AG311" s="43">
        <v>40.767390998852598</v>
      </c>
      <c r="AH311" s="43">
        <f t="shared" si="177"/>
        <v>1.6103129186864549</v>
      </c>
      <c r="AI311" s="39">
        <v>0.37</v>
      </c>
      <c r="AJ311" s="48">
        <f t="shared" si="155"/>
        <v>0.13672056715640679</v>
      </c>
      <c r="AK311" s="35">
        <v>57</v>
      </c>
      <c r="AL311" s="35">
        <f t="shared" si="178"/>
        <v>1.7558748556724915</v>
      </c>
      <c r="AM311" s="35">
        <f t="shared" si="156"/>
        <v>0</v>
      </c>
      <c r="AN311" s="35">
        <f t="shared" si="157"/>
        <v>0</v>
      </c>
      <c r="AO311" s="35">
        <f t="shared" si="158"/>
        <v>1</v>
      </c>
      <c r="AP311" s="35">
        <f t="shared" si="159"/>
        <v>0</v>
      </c>
      <c r="AQ311" s="35">
        <f t="shared" si="160"/>
        <v>0</v>
      </c>
      <c r="AR311" s="35">
        <f t="shared" si="161"/>
        <v>0</v>
      </c>
      <c r="AS311" s="35">
        <f t="shared" si="162"/>
        <v>0</v>
      </c>
      <c r="AT311" s="35">
        <f t="shared" si="163"/>
        <v>0</v>
      </c>
      <c r="AU311" s="35">
        <f t="shared" si="164"/>
        <v>0</v>
      </c>
      <c r="AV311" s="35">
        <f t="shared" si="165"/>
        <v>0</v>
      </c>
      <c r="AW311" s="35">
        <f t="shared" si="166"/>
        <v>0</v>
      </c>
      <c r="AX311" s="35">
        <f t="shared" si="167"/>
        <v>0</v>
      </c>
      <c r="AY311" s="35">
        <f t="shared" si="168"/>
        <v>0</v>
      </c>
      <c r="AZ311" s="35">
        <f t="shared" si="169"/>
        <v>0</v>
      </c>
      <c r="BA311" s="35">
        <f t="shared" si="170"/>
        <v>0</v>
      </c>
      <c r="BB311" s="35">
        <f t="shared" si="171"/>
        <v>0</v>
      </c>
      <c r="BC311" s="35">
        <f t="shared" si="172"/>
        <v>0</v>
      </c>
    </row>
    <row r="312" spans="1:55" s="35" customFormat="1" x14ac:dyDescent="0.35">
      <c r="A312" s="36">
        <v>38807</v>
      </c>
      <c r="B312" s="35" t="s">
        <v>742</v>
      </c>
      <c r="C312" s="35" t="s">
        <v>45</v>
      </c>
      <c r="D312" s="35" t="s">
        <v>577</v>
      </c>
      <c r="E312" s="35" t="s">
        <v>64</v>
      </c>
      <c r="F312" s="139">
        <f t="shared" si="145"/>
        <v>1</v>
      </c>
      <c r="G312" s="35">
        <v>765000000</v>
      </c>
      <c r="H312" s="139">
        <f t="shared" si="146"/>
        <v>8.8836614351536181</v>
      </c>
      <c r="I312" s="35">
        <f>G312</f>
        <v>765000000</v>
      </c>
      <c r="J312" s="35">
        <v>0</v>
      </c>
      <c r="K312" s="36">
        <v>39539</v>
      </c>
      <c r="L312" s="35">
        <v>1200000000</v>
      </c>
      <c r="M312" s="21">
        <f t="shared" si="147"/>
        <v>2.0054794520547947</v>
      </c>
      <c r="N312" s="21">
        <f t="shared" si="173"/>
        <v>0.30221821660191722</v>
      </c>
      <c r="O312" s="35">
        <v>5897.96</v>
      </c>
      <c r="P312" s="35">
        <f t="shared" si="148"/>
        <v>3.7707754512906644</v>
      </c>
      <c r="Q312" s="35">
        <v>16</v>
      </c>
      <c r="R312" s="35">
        <f t="shared" si="149"/>
        <v>1.2304489213782739</v>
      </c>
      <c r="S312" s="45">
        <v>2.3199999999999998</v>
      </c>
      <c r="T312" s="45">
        <f t="shared" si="174"/>
        <v>0.36548798489089962</v>
      </c>
      <c r="U312" s="175">
        <f t="shared" si="150"/>
        <v>0.56862745098039214</v>
      </c>
      <c r="V312" s="48">
        <f t="shared" si="151"/>
        <v>0.19551981089400722</v>
      </c>
      <c r="W312" s="35">
        <v>1861.7599999999995</v>
      </c>
      <c r="X312" s="35">
        <f t="shared" si="152"/>
        <v>3.2699236952309461</v>
      </c>
      <c r="Y312" s="35">
        <v>4993.920000000001</v>
      </c>
      <c r="Z312" s="35">
        <f t="shared" si="153"/>
        <v>3.6984415808994222</v>
      </c>
      <c r="AA312" s="37">
        <v>132</v>
      </c>
      <c r="AB312" s="37">
        <f t="shared" si="154"/>
        <v>2.1238516409670858</v>
      </c>
      <c r="AC312" s="35">
        <v>93.2</v>
      </c>
      <c r="AD312" s="35">
        <f t="shared" si="175"/>
        <v>1.9694159123539814</v>
      </c>
      <c r="AE312" s="48">
        <v>26.7</v>
      </c>
      <c r="AF312" s="48">
        <f t="shared" si="176"/>
        <v>1.4265112613645752</v>
      </c>
      <c r="AG312" s="43">
        <v>36.669158714517401</v>
      </c>
      <c r="AH312" s="43">
        <f t="shared" si="177"/>
        <v>1.5643009462345601</v>
      </c>
      <c r="AI312" s="39">
        <v>-0.1</v>
      </c>
      <c r="AJ312" s="48">
        <f t="shared" si="155"/>
        <v>-4.5757490560675115E-2</v>
      </c>
      <c r="AK312" s="35">
        <v>23</v>
      </c>
      <c r="AL312" s="35">
        <f t="shared" si="178"/>
        <v>1.3617278360175928</v>
      </c>
      <c r="AM312" s="35">
        <f t="shared" si="156"/>
        <v>0</v>
      </c>
      <c r="AN312" s="35">
        <f t="shared" si="157"/>
        <v>1</v>
      </c>
      <c r="AO312" s="35">
        <f t="shared" si="158"/>
        <v>0</v>
      </c>
      <c r="AP312" s="35">
        <f t="shared" si="159"/>
        <v>0</v>
      </c>
      <c r="AQ312" s="35">
        <f t="shared" si="160"/>
        <v>0</v>
      </c>
      <c r="AR312" s="35">
        <f t="shared" si="161"/>
        <v>0</v>
      </c>
      <c r="AS312" s="35">
        <f t="shared" si="162"/>
        <v>0</v>
      </c>
      <c r="AT312" s="35">
        <f t="shared" si="163"/>
        <v>0</v>
      </c>
      <c r="AU312" s="35">
        <f t="shared" si="164"/>
        <v>0</v>
      </c>
      <c r="AV312" s="35">
        <f t="shared" si="165"/>
        <v>0</v>
      </c>
      <c r="AW312" s="35">
        <f t="shared" si="166"/>
        <v>0</v>
      </c>
      <c r="AX312" s="35">
        <f t="shared" si="167"/>
        <v>0</v>
      </c>
      <c r="AY312" s="35">
        <f t="shared" si="168"/>
        <v>0</v>
      </c>
      <c r="AZ312" s="35">
        <f t="shared" si="169"/>
        <v>0</v>
      </c>
      <c r="BA312" s="35">
        <f t="shared" si="170"/>
        <v>0</v>
      </c>
      <c r="BB312" s="35">
        <f t="shared" si="171"/>
        <v>0</v>
      </c>
      <c r="BC312" s="35">
        <f t="shared" si="172"/>
        <v>0</v>
      </c>
    </row>
    <row r="313" spans="1:55" s="35" customFormat="1" x14ac:dyDescent="0.35">
      <c r="A313" s="36">
        <v>38833</v>
      </c>
      <c r="B313" s="90" t="s">
        <v>280</v>
      </c>
      <c r="C313" s="35" t="s">
        <v>2</v>
      </c>
      <c r="D313" s="35" t="s">
        <v>4</v>
      </c>
      <c r="E313" s="35" t="s">
        <v>125</v>
      </c>
      <c r="F313" s="139">
        <f t="shared" si="145"/>
        <v>1</v>
      </c>
      <c r="G313" s="35">
        <v>1300000000</v>
      </c>
      <c r="H313" s="139">
        <f t="shared" si="146"/>
        <v>9.1139433523068369</v>
      </c>
      <c r="I313" s="35">
        <v>59236000</v>
      </c>
      <c r="J313" s="35">
        <v>1240764000</v>
      </c>
      <c r="K313" s="36">
        <v>40623</v>
      </c>
      <c r="L313" s="35">
        <v>3160000000</v>
      </c>
      <c r="M313" s="21">
        <f t="shared" si="147"/>
        <v>4.904109589041096</v>
      </c>
      <c r="N313" s="21">
        <f t="shared" si="173"/>
        <v>0.69056016652341845</v>
      </c>
      <c r="O313" s="35">
        <v>1314.22</v>
      </c>
      <c r="P313" s="35">
        <f t="shared" si="148"/>
        <v>3.1189984043805832</v>
      </c>
      <c r="Q313" s="35">
        <v>5</v>
      </c>
      <c r="R313" s="35">
        <f t="shared" si="149"/>
        <v>0.77815125038364363</v>
      </c>
      <c r="S313" s="45">
        <v>3.13</v>
      </c>
      <c r="T313" s="45">
        <f t="shared" si="174"/>
        <v>0.49554433754644844</v>
      </c>
      <c r="U313" s="175">
        <f t="shared" si="150"/>
        <v>1.4307692307692306</v>
      </c>
      <c r="V313" s="48">
        <f t="shared" si="151"/>
        <v>0.385743730311567</v>
      </c>
      <c r="W313" s="35">
        <v>1450.8446376578247</v>
      </c>
      <c r="X313" s="35">
        <f t="shared" si="152"/>
        <v>3.1616209089088487</v>
      </c>
      <c r="Y313" s="35">
        <v>6306.1358665754287</v>
      </c>
      <c r="Z313" s="35">
        <f t="shared" si="153"/>
        <v>3.7997633234477775</v>
      </c>
      <c r="AA313" s="37">
        <v>1177</v>
      </c>
      <c r="AB313" s="37">
        <f t="shared" si="154"/>
        <v>3.0711452904510828</v>
      </c>
      <c r="AC313" s="35">
        <v>89.1</v>
      </c>
      <c r="AD313" s="35">
        <f t="shared" si="175"/>
        <v>1.9498777040368747</v>
      </c>
      <c r="AE313" s="48">
        <v>34.5</v>
      </c>
      <c r="AF313" s="48">
        <f t="shared" si="176"/>
        <v>1.5378190950732742</v>
      </c>
      <c r="AG313" s="43">
        <v>44.696333437793797</v>
      </c>
      <c r="AH313" s="43">
        <f t="shared" si="177"/>
        <v>1.6502718982315996</v>
      </c>
      <c r="AI313" s="39">
        <v>0.66</v>
      </c>
      <c r="AJ313" s="48">
        <f t="shared" si="155"/>
        <v>0.22010808804005513</v>
      </c>
      <c r="AK313" s="35">
        <v>18</v>
      </c>
      <c r="AL313" s="35">
        <f t="shared" si="178"/>
        <v>1.255272505103306</v>
      </c>
      <c r="AM313" s="35">
        <f t="shared" si="156"/>
        <v>0</v>
      </c>
      <c r="AN313" s="35">
        <f t="shared" si="157"/>
        <v>0</v>
      </c>
      <c r="AO313" s="35">
        <f t="shared" si="158"/>
        <v>0</v>
      </c>
      <c r="AP313" s="35">
        <f t="shared" si="159"/>
        <v>0</v>
      </c>
      <c r="AQ313" s="35">
        <f t="shared" si="160"/>
        <v>0</v>
      </c>
      <c r="AR313" s="35">
        <f t="shared" si="161"/>
        <v>0</v>
      </c>
      <c r="AS313" s="35">
        <f t="shared" si="162"/>
        <v>0</v>
      </c>
      <c r="AT313" s="35">
        <f t="shared" si="163"/>
        <v>0</v>
      </c>
      <c r="AU313" s="35">
        <f t="shared" si="164"/>
        <v>0</v>
      </c>
      <c r="AV313" s="35">
        <f t="shared" si="165"/>
        <v>1</v>
      </c>
      <c r="AW313" s="35">
        <f t="shared" si="166"/>
        <v>0</v>
      </c>
      <c r="AX313" s="35">
        <f t="shared" si="167"/>
        <v>0</v>
      </c>
      <c r="AY313" s="35">
        <f t="shared" si="168"/>
        <v>0</v>
      </c>
      <c r="AZ313" s="35">
        <f t="shared" si="169"/>
        <v>0</v>
      </c>
      <c r="BA313" s="35">
        <f t="shared" si="170"/>
        <v>0</v>
      </c>
      <c r="BB313" s="35">
        <f t="shared" si="171"/>
        <v>0</v>
      </c>
      <c r="BC313" s="35">
        <f t="shared" si="172"/>
        <v>0</v>
      </c>
    </row>
    <row r="314" spans="1:55" s="35" customFormat="1" x14ac:dyDescent="0.35">
      <c r="A314" s="36">
        <v>38838</v>
      </c>
      <c r="B314" s="90" t="s">
        <v>945</v>
      </c>
      <c r="C314" s="35" t="s">
        <v>2</v>
      </c>
      <c r="D314" s="35" t="s">
        <v>5</v>
      </c>
      <c r="E314" s="35" t="s">
        <v>64</v>
      </c>
      <c r="F314" s="139">
        <f t="shared" si="145"/>
        <v>1</v>
      </c>
      <c r="G314" s="35">
        <v>27000000</v>
      </c>
      <c r="H314" s="139">
        <f t="shared" si="146"/>
        <v>7.4313637641589869</v>
      </c>
      <c r="I314" s="35">
        <f>G314</f>
        <v>27000000</v>
      </c>
      <c r="J314" s="35">
        <v>0</v>
      </c>
      <c r="K314" s="36">
        <v>39589</v>
      </c>
      <c r="L314" s="35">
        <v>150000000</v>
      </c>
      <c r="M314" s="21">
        <f t="shared" si="147"/>
        <v>2.0575342465753423</v>
      </c>
      <c r="N314" s="21">
        <f t="shared" si="173"/>
        <v>0.31334707254769367</v>
      </c>
      <c r="O314" s="35">
        <v>173.83</v>
      </c>
      <c r="P314" s="35">
        <f t="shared" si="148"/>
        <v>2.2426159575692655</v>
      </c>
      <c r="Q314" s="35">
        <v>5</v>
      </c>
      <c r="R314" s="35">
        <f t="shared" si="149"/>
        <v>0.77815125038364363</v>
      </c>
      <c r="S314" s="45">
        <v>2.84</v>
      </c>
      <c r="T314" s="45">
        <f t="shared" si="174"/>
        <v>0.45331834004703764</v>
      </c>
      <c r="U314" s="175">
        <f t="shared" si="150"/>
        <v>4.5555555555555554</v>
      </c>
      <c r="V314" s="48">
        <f t="shared" si="151"/>
        <v>0.74472749489669388</v>
      </c>
      <c r="W314" s="35">
        <v>7345.0955681579517</v>
      </c>
      <c r="X314" s="35">
        <f t="shared" si="152"/>
        <v>3.8659974508347341</v>
      </c>
      <c r="Y314" s="35">
        <v>6765.3854232304138</v>
      </c>
      <c r="Z314" s="35">
        <f t="shared" si="153"/>
        <v>3.8302925433451809</v>
      </c>
      <c r="AA314" s="37">
        <v>108.67</v>
      </c>
      <c r="AB314" s="37">
        <f t="shared" si="154"/>
        <v>2.0400878434698808</v>
      </c>
      <c r="AC314" s="35">
        <v>89.1</v>
      </c>
      <c r="AD314" s="35">
        <f t="shared" si="175"/>
        <v>1.9498777040368747</v>
      </c>
      <c r="AE314" s="48">
        <v>34.5</v>
      </c>
      <c r="AF314" s="48">
        <f t="shared" si="176"/>
        <v>1.5378190950732742</v>
      </c>
      <c r="AG314" s="43">
        <v>44.696333437793797</v>
      </c>
      <c r="AH314" s="43">
        <f t="shared" si="177"/>
        <v>1.6502718982315996</v>
      </c>
      <c r="AI314" s="39">
        <v>0.21</v>
      </c>
      <c r="AJ314" s="48">
        <f t="shared" si="155"/>
        <v>8.2785370316450071E-2</v>
      </c>
      <c r="AK314" s="35">
        <v>16</v>
      </c>
      <c r="AL314" s="35">
        <f t="shared" si="178"/>
        <v>1.2041199826559248</v>
      </c>
      <c r="AM314" s="35">
        <f t="shared" si="156"/>
        <v>0</v>
      </c>
      <c r="AN314" s="35">
        <f t="shared" si="157"/>
        <v>0</v>
      </c>
      <c r="AO314" s="35">
        <f t="shared" si="158"/>
        <v>0</v>
      </c>
      <c r="AP314" s="35">
        <f t="shared" si="159"/>
        <v>0</v>
      </c>
      <c r="AQ314" s="35">
        <f t="shared" si="160"/>
        <v>0</v>
      </c>
      <c r="AR314" s="35">
        <f t="shared" si="161"/>
        <v>0</v>
      </c>
      <c r="AS314" s="35">
        <f t="shared" si="162"/>
        <v>0</v>
      </c>
      <c r="AT314" s="35">
        <f t="shared" si="163"/>
        <v>0</v>
      </c>
      <c r="AU314" s="35">
        <f t="shared" si="164"/>
        <v>0</v>
      </c>
      <c r="AV314" s="35">
        <f t="shared" si="165"/>
        <v>1</v>
      </c>
      <c r="AW314" s="35">
        <f t="shared" si="166"/>
        <v>0</v>
      </c>
      <c r="AX314" s="35">
        <f t="shared" si="167"/>
        <v>0</v>
      </c>
      <c r="AY314" s="35">
        <f t="shared" si="168"/>
        <v>0</v>
      </c>
      <c r="AZ314" s="35">
        <f t="shared" si="169"/>
        <v>0</v>
      </c>
      <c r="BA314" s="35">
        <f t="shared" si="170"/>
        <v>0</v>
      </c>
      <c r="BB314" s="35">
        <f t="shared" si="171"/>
        <v>0</v>
      </c>
      <c r="BC314" s="35">
        <f t="shared" si="172"/>
        <v>0</v>
      </c>
    </row>
    <row r="315" spans="1:55" s="35" customFormat="1" x14ac:dyDescent="0.35">
      <c r="A315" s="36">
        <v>38852</v>
      </c>
      <c r="B315" s="35" t="s">
        <v>639</v>
      </c>
      <c r="C315" s="35" t="s">
        <v>59</v>
      </c>
      <c r="D315" s="35" t="s">
        <v>602</v>
      </c>
      <c r="E315" s="35" t="s">
        <v>64</v>
      </c>
      <c r="F315" s="139">
        <f t="shared" si="145"/>
        <v>1</v>
      </c>
      <c r="G315" s="35">
        <v>265460000</v>
      </c>
      <c r="H315" s="139">
        <f t="shared" si="146"/>
        <v>8.4239990900577286</v>
      </c>
      <c r="I315" s="35">
        <v>204170000</v>
      </c>
      <c r="J315" s="35">
        <v>61290000</v>
      </c>
      <c r="K315" s="36">
        <v>42219</v>
      </c>
      <c r="L315" s="35">
        <v>1252918452</v>
      </c>
      <c r="M315" s="21">
        <f t="shared" si="147"/>
        <v>9.2246575342465746</v>
      </c>
      <c r="N315" s="21">
        <f t="shared" si="173"/>
        <v>0.96495025193161388</v>
      </c>
      <c r="O315" s="35">
        <v>5897.96</v>
      </c>
      <c r="P315" s="35">
        <f t="shared" si="148"/>
        <v>3.7707754512906644</v>
      </c>
      <c r="Q315" s="35">
        <v>19</v>
      </c>
      <c r="R315" s="35">
        <f t="shared" si="149"/>
        <v>1.3010299956639813</v>
      </c>
      <c r="S315" s="45">
        <v>2.3199999999999998</v>
      </c>
      <c r="T315" s="45">
        <f t="shared" si="174"/>
        <v>0.36548798489089962</v>
      </c>
      <c r="U315" s="175">
        <f t="shared" si="150"/>
        <v>3.7198012958637836</v>
      </c>
      <c r="V315" s="48">
        <f t="shared" si="151"/>
        <v>0.67392371517510419</v>
      </c>
      <c r="W315" s="35">
        <v>2315.9650000000001</v>
      </c>
      <c r="X315" s="35">
        <f t="shared" si="152"/>
        <v>3.3647319918335836</v>
      </c>
      <c r="Y315" s="35">
        <v>3703.9029999999998</v>
      </c>
      <c r="Z315" s="35">
        <f t="shared" si="153"/>
        <v>3.568659604598353</v>
      </c>
      <c r="AA315" s="37">
        <v>132</v>
      </c>
      <c r="AB315" s="37">
        <f t="shared" si="154"/>
        <v>2.1238516409670858</v>
      </c>
      <c r="AC315" s="35">
        <v>91.5</v>
      </c>
      <c r="AD315" s="35">
        <f t="shared" si="175"/>
        <v>1.9614210940664483</v>
      </c>
      <c r="AE315" s="48">
        <v>32.9</v>
      </c>
      <c r="AF315" s="48">
        <f t="shared" si="176"/>
        <v>1.5171958979499742</v>
      </c>
      <c r="AG315" s="43">
        <v>40.767390998852598</v>
      </c>
      <c r="AH315" s="43">
        <f t="shared" si="177"/>
        <v>1.6103129186864549</v>
      </c>
      <c r="AI315" s="39">
        <v>-0.06</v>
      </c>
      <c r="AJ315" s="48">
        <f t="shared" si="155"/>
        <v>-2.6872146400301365E-2</v>
      </c>
      <c r="AK315" s="35">
        <v>13</v>
      </c>
      <c r="AL315" s="35">
        <f t="shared" si="178"/>
        <v>1.1139433523068367</v>
      </c>
      <c r="AM315" s="35">
        <f t="shared" si="156"/>
        <v>0</v>
      </c>
      <c r="AN315" s="35">
        <f t="shared" si="157"/>
        <v>0</v>
      </c>
      <c r="AO315" s="35">
        <f t="shared" si="158"/>
        <v>1</v>
      </c>
      <c r="AP315" s="35">
        <f t="shared" si="159"/>
        <v>0</v>
      </c>
      <c r="AQ315" s="35">
        <f t="shared" si="160"/>
        <v>0</v>
      </c>
      <c r="AR315" s="35">
        <f t="shared" si="161"/>
        <v>0</v>
      </c>
      <c r="AS315" s="35">
        <f t="shared" si="162"/>
        <v>0</v>
      </c>
      <c r="AT315" s="35">
        <f t="shared" si="163"/>
        <v>0</v>
      </c>
      <c r="AU315" s="35">
        <f t="shared" si="164"/>
        <v>0</v>
      </c>
      <c r="AV315" s="35">
        <f t="shared" si="165"/>
        <v>0</v>
      </c>
      <c r="AW315" s="35">
        <f t="shared" si="166"/>
        <v>0</v>
      </c>
      <c r="AX315" s="35">
        <f t="shared" si="167"/>
        <v>0</v>
      </c>
      <c r="AY315" s="35">
        <f t="shared" si="168"/>
        <v>0</v>
      </c>
      <c r="AZ315" s="35">
        <f t="shared" si="169"/>
        <v>0</v>
      </c>
      <c r="BA315" s="35">
        <f t="shared" si="170"/>
        <v>0</v>
      </c>
      <c r="BB315" s="35">
        <f t="shared" si="171"/>
        <v>0</v>
      </c>
      <c r="BC315" s="35">
        <f t="shared" si="172"/>
        <v>0</v>
      </c>
    </row>
    <row r="316" spans="1:55" s="35" customFormat="1" x14ac:dyDescent="0.35">
      <c r="A316" s="36">
        <v>38876</v>
      </c>
      <c r="B316" s="35" t="s">
        <v>1032</v>
      </c>
      <c r="C316" s="35" t="s">
        <v>59</v>
      </c>
      <c r="D316" s="35" t="s">
        <v>45</v>
      </c>
      <c r="E316" s="35" t="s">
        <v>64</v>
      </c>
      <c r="F316" s="139">
        <f t="shared" si="145"/>
        <v>1</v>
      </c>
      <c r="G316" s="35">
        <v>571000000</v>
      </c>
      <c r="H316" s="139">
        <f t="shared" si="146"/>
        <v>8.7566361082458481</v>
      </c>
      <c r="I316" s="35">
        <f>G316</f>
        <v>571000000</v>
      </c>
      <c r="J316" s="35">
        <v>0</v>
      </c>
      <c r="K316" s="36">
        <v>41806</v>
      </c>
      <c r="L316" s="35">
        <v>266000000</v>
      </c>
      <c r="M316" s="21">
        <f t="shared" si="147"/>
        <v>8.0273972602739718</v>
      </c>
      <c r="N316" s="21">
        <f t="shared" si="173"/>
        <v>0.9045747558976347</v>
      </c>
      <c r="O316" s="35">
        <v>5897.96</v>
      </c>
      <c r="P316" s="35">
        <f t="shared" si="148"/>
        <v>3.7707754512906644</v>
      </c>
      <c r="Q316" s="35">
        <v>0</v>
      </c>
      <c r="R316" s="35">
        <f t="shared" si="149"/>
        <v>0</v>
      </c>
      <c r="S316" s="45">
        <v>2.3199999999999998</v>
      </c>
      <c r="T316" s="45">
        <f t="shared" si="174"/>
        <v>0.36548798489089962</v>
      </c>
      <c r="U316" s="175">
        <f t="shared" si="150"/>
        <v>-0.53415061295971977</v>
      </c>
      <c r="V316" s="48">
        <f t="shared" si="151"/>
        <v>-0.33175447161478105</v>
      </c>
      <c r="W316" s="35">
        <v>2056.25</v>
      </c>
      <c r="X316" s="35">
        <f t="shared" si="152"/>
        <v>3.3130759152940494</v>
      </c>
      <c r="Y316" s="35">
        <v>6190.625</v>
      </c>
      <c r="Z316" s="35">
        <f t="shared" si="153"/>
        <v>3.7917344972186413</v>
      </c>
      <c r="AA316" s="37">
        <v>132</v>
      </c>
      <c r="AB316" s="37">
        <f t="shared" si="154"/>
        <v>2.1238516409670858</v>
      </c>
      <c r="AC316" s="35">
        <v>91.5</v>
      </c>
      <c r="AD316" s="35">
        <f t="shared" si="175"/>
        <v>1.9614210940664483</v>
      </c>
      <c r="AE316" s="48">
        <v>32.9</v>
      </c>
      <c r="AF316" s="48">
        <f t="shared" si="176"/>
        <v>1.5171958979499742</v>
      </c>
      <c r="AG316" s="43">
        <v>40.767390998852598</v>
      </c>
      <c r="AH316" s="43">
        <f t="shared" si="177"/>
        <v>1.6103129186864549</v>
      </c>
      <c r="AI316" s="39">
        <v>0.13</v>
      </c>
      <c r="AJ316" s="48">
        <f t="shared" si="155"/>
        <v>5.3078443483419682E-2</v>
      </c>
      <c r="AK316" s="35">
        <v>9</v>
      </c>
      <c r="AL316" s="35">
        <f t="shared" si="178"/>
        <v>0.95424250943932487</v>
      </c>
      <c r="AM316" s="35">
        <f t="shared" si="156"/>
        <v>0</v>
      </c>
      <c r="AN316" s="35">
        <f t="shared" si="157"/>
        <v>0</v>
      </c>
      <c r="AO316" s="35">
        <f t="shared" si="158"/>
        <v>1</v>
      </c>
      <c r="AP316" s="35">
        <f t="shared" si="159"/>
        <v>0</v>
      </c>
      <c r="AQ316" s="35">
        <f t="shared" si="160"/>
        <v>0</v>
      </c>
      <c r="AR316" s="35">
        <f t="shared" si="161"/>
        <v>0</v>
      </c>
      <c r="AS316" s="35">
        <f t="shared" si="162"/>
        <v>0</v>
      </c>
      <c r="AT316" s="35">
        <f t="shared" si="163"/>
        <v>0</v>
      </c>
      <c r="AU316" s="35">
        <f t="shared" si="164"/>
        <v>0</v>
      </c>
      <c r="AV316" s="35">
        <f t="shared" si="165"/>
        <v>0</v>
      </c>
      <c r="AW316" s="35">
        <f t="shared" si="166"/>
        <v>0</v>
      </c>
      <c r="AX316" s="35">
        <f t="shared" si="167"/>
        <v>0</v>
      </c>
      <c r="AY316" s="35">
        <f t="shared" si="168"/>
        <v>0</v>
      </c>
      <c r="AZ316" s="35">
        <f t="shared" si="169"/>
        <v>0</v>
      </c>
      <c r="BA316" s="35">
        <f t="shared" si="170"/>
        <v>0</v>
      </c>
      <c r="BB316" s="35">
        <f t="shared" si="171"/>
        <v>0</v>
      </c>
      <c r="BC316" s="35">
        <f t="shared" si="172"/>
        <v>0</v>
      </c>
    </row>
    <row r="317" spans="1:55" s="35" customFormat="1" x14ac:dyDescent="0.35">
      <c r="A317" s="36">
        <v>38896</v>
      </c>
      <c r="B317" s="139" t="s">
        <v>52</v>
      </c>
      <c r="C317" s="139" t="s">
        <v>45</v>
      </c>
      <c r="D317" s="139" t="s">
        <v>45</v>
      </c>
      <c r="E317" s="139" t="s">
        <v>102</v>
      </c>
      <c r="F317" s="139">
        <f t="shared" si="145"/>
        <v>0</v>
      </c>
      <c r="G317" s="139">
        <v>2250000000</v>
      </c>
      <c r="H317" s="139">
        <f t="shared" si="146"/>
        <v>9.3521825181113627</v>
      </c>
      <c r="I317" s="139">
        <v>2250000000</v>
      </c>
      <c r="J317" s="139">
        <v>0</v>
      </c>
      <c r="K317" s="18">
        <v>41856</v>
      </c>
      <c r="L317" s="139">
        <v>1501300000</v>
      </c>
      <c r="M317" s="21">
        <f t="shared" si="147"/>
        <v>8.1095890410958908</v>
      </c>
      <c r="N317" s="21">
        <f t="shared" si="173"/>
        <v>0.90899884660246388</v>
      </c>
      <c r="O317" s="35">
        <v>0</v>
      </c>
      <c r="P317" s="35">
        <f t="shared" si="148"/>
        <v>0</v>
      </c>
      <c r="Q317" s="35">
        <v>39</v>
      </c>
      <c r="R317" s="35">
        <f t="shared" si="149"/>
        <v>1.6020599913279623</v>
      </c>
      <c r="S317" s="45">
        <v>2.95</v>
      </c>
      <c r="T317" s="45">
        <f t="shared" si="174"/>
        <v>0.46982201597816303</v>
      </c>
      <c r="U317" s="175">
        <f t="shared" si="150"/>
        <v>-0.33275555555555558</v>
      </c>
      <c r="V317" s="48">
        <f t="shared" si="151"/>
        <v>-0.17571503351222853</v>
      </c>
      <c r="W317" s="35">
        <v>1518.5350000000001</v>
      </c>
      <c r="X317" s="35">
        <f t="shared" si="152"/>
        <v>3.1814248062191788</v>
      </c>
      <c r="Y317" s="35">
        <v>5363.16</v>
      </c>
      <c r="Z317" s="35">
        <f t="shared" si="153"/>
        <v>3.7294207535322617</v>
      </c>
      <c r="AA317" s="37">
        <v>0</v>
      </c>
      <c r="AB317" s="37">
        <f t="shared" si="154"/>
        <v>0</v>
      </c>
      <c r="AC317" s="35">
        <v>93.2</v>
      </c>
      <c r="AD317" s="35">
        <f t="shared" si="175"/>
        <v>1.9694159123539814</v>
      </c>
      <c r="AE317" s="48">
        <v>26.7</v>
      </c>
      <c r="AF317" s="48">
        <f t="shared" si="176"/>
        <v>1.4265112613645752</v>
      </c>
      <c r="AG317" s="43">
        <v>36.669158714517401</v>
      </c>
      <c r="AH317" s="43">
        <f t="shared" si="177"/>
        <v>1.5643009462345601</v>
      </c>
      <c r="AI317" s="39">
        <v>0.3</v>
      </c>
      <c r="AJ317" s="48">
        <f t="shared" si="155"/>
        <v>0.11394335230683679</v>
      </c>
      <c r="AK317" s="35">
        <v>27</v>
      </c>
      <c r="AL317" s="35">
        <f t="shared" si="178"/>
        <v>1.4313637641589874</v>
      </c>
      <c r="AM317" s="35">
        <f t="shared" si="156"/>
        <v>0</v>
      </c>
      <c r="AN317" s="35">
        <f t="shared" si="157"/>
        <v>1</v>
      </c>
      <c r="AO317" s="35">
        <f t="shared" si="158"/>
        <v>0</v>
      </c>
      <c r="AP317" s="35">
        <f t="shared" si="159"/>
        <v>0</v>
      </c>
      <c r="AQ317" s="35">
        <f t="shared" si="160"/>
        <v>0</v>
      </c>
      <c r="AR317" s="35">
        <f t="shared" si="161"/>
        <v>0</v>
      </c>
      <c r="AS317" s="35">
        <f t="shared" si="162"/>
        <v>0</v>
      </c>
      <c r="AT317" s="35">
        <f t="shared" si="163"/>
        <v>0</v>
      </c>
      <c r="AU317" s="35">
        <f t="shared" si="164"/>
        <v>0</v>
      </c>
      <c r="AV317" s="35">
        <f t="shared" si="165"/>
        <v>0</v>
      </c>
      <c r="AW317" s="35">
        <f t="shared" si="166"/>
        <v>0</v>
      </c>
      <c r="AX317" s="35">
        <f t="shared" si="167"/>
        <v>0</v>
      </c>
      <c r="AY317" s="35">
        <f t="shared" si="168"/>
        <v>0</v>
      </c>
      <c r="AZ317" s="35">
        <f t="shared" si="169"/>
        <v>0</v>
      </c>
      <c r="BA317" s="35">
        <f t="shared" si="170"/>
        <v>0</v>
      </c>
      <c r="BB317" s="35">
        <f t="shared" si="171"/>
        <v>0</v>
      </c>
      <c r="BC317" s="35">
        <f t="shared" si="172"/>
        <v>0</v>
      </c>
    </row>
    <row r="318" spans="1:55" s="35" customFormat="1" x14ac:dyDescent="0.35">
      <c r="A318" s="36">
        <v>38918</v>
      </c>
      <c r="B318" s="35" t="s">
        <v>258</v>
      </c>
      <c r="C318" s="35" t="s">
        <v>4</v>
      </c>
      <c r="D318" s="35" t="s">
        <v>4</v>
      </c>
      <c r="E318" s="35" t="s">
        <v>102</v>
      </c>
      <c r="F318" s="139">
        <f t="shared" si="145"/>
        <v>0</v>
      </c>
      <c r="G318" s="35">
        <v>4191360000</v>
      </c>
      <c r="H318" s="139">
        <f t="shared" si="146"/>
        <v>9.622354964412688</v>
      </c>
      <c r="I318" s="35">
        <v>5051570000</v>
      </c>
      <c r="J318" s="35">
        <v>-860210000</v>
      </c>
      <c r="K318" s="178">
        <v>41434</v>
      </c>
      <c r="L318" s="35">
        <v>4019810000</v>
      </c>
      <c r="M318" s="21">
        <f t="shared" si="147"/>
        <v>6.8931506849315065</v>
      </c>
      <c r="N318" s="21">
        <f t="shared" si="173"/>
        <v>0.83841777231675663</v>
      </c>
      <c r="O318" s="35">
        <v>0</v>
      </c>
      <c r="P318" s="35">
        <f t="shared" si="148"/>
        <v>0</v>
      </c>
      <c r="Q318" s="35">
        <v>42</v>
      </c>
      <c r="R318" s="35">
        <f t="shared" si="149"/>
        <v>1.6334684555795864</v>
      </c>
      <c r="S318" s="45">
        <v>3.59</v>
      </c>
      <c r="T318" s="45">
        <f t="shared" si="174"/>
        <v>0.55509444857831913</v>
      </c>
      <c r="U318" s="175">
        <f t="shared" si="150"/>
        <v>-4.0929435791723923E-2</v>
      </c>
      <c r="V318" s="48">
        <f t="shared" si="151"/>
        <v>-1.8149438169419448E-2</v>
      </c>
      <c r="W318" s="35">
        <v>1450.8446376578247</v>
      </c>
      <c r="X318" s="35">
        <f t="shared" si="152"/>
        <v>3.1616209089088487</v>
      </c>
      <c r="Y318" s="35">
        <v>6306.1358665754287</v>
      </c>
      <c r="Z318" s="35">
        <f t="shared" si="153"/>
        <v>3.7997633234477775</v>
      </c>
      <c r="AA318" s="37">
        <v>0</v>
      </c>
      <c r="AB318" s="37">
        <f t="shared" si="154"/>
        <v>0</v>
      </c>
      <c r="AC318" s="35">
        <v>96.1</v>
      </c>
      <c r="AD318" s="35">
        <f t="shared" si="175"/>
        <v>1.9827233876685453</v>
      </c>
      <c r="AE318" s="48">
        <v>46</v>
      </c>
      <c r="AF318" s="48">
        <f t="shared" si="176"/>
        <v>1.6627578316815741</v>
      </c>
      <c r="AG318" s="43">
        <v>50.974560675820896</v>
      </c>
      <c r="AH318" s="43">
        <f t="shared" si="177"/>
        <v>1.7073534914999287</v>
      </c>
      <c r="AI318" s="39">
        <v>0.48</v>
      </c>
      <c r="AJ318" s="48">
        <f t="shared" si="155"/>
        <v>0.17026171539495738</v>
      </c>
      <c r="AK318" s="35">
        <v>28</v>
      </c>
      <c r="AL318" s="35">
        <f t="shared" si="178"/>
        <v>1.4471580313422192</v>
      </c>
      <c r="AM318" s="35">
        <f t="shared" si="156"/>
        <v>0</v>
      </c>
      <c r="AN318" s="35">
        <f t="shared" si="157"/>
        <v>0</v>
      </c>
      <c r="AO318" s="35">
        <f t="shared" si="158"/>
        <v>0</v>
      </c>
      <c r="AP318" s="35">
        <f t="shared" si="159"/>
        <v>0</v>
      </c>
      <c r="AQ318" s="35">
        <f t="shared" si="160"/>
        <v>0</v>
      </c>
      <c r="AR318" s="35">
        <f t="shared" si="161"/>
        <v>1</v>
      </c>
      <c r="AS318" s="35">
        <f t="shared" si="162"/>
        <v>0</v>
      </c>
      <c r="AT318" s="35">
        <f t="shared" si="163"/>
        <v>0</v>
      </c>
      <c r="AU318" s="35">
        <f t="shared" si="164"/>
        <v>0</v>
      </c>
      <c r="AV318" s="35">
        <f t="shared" si="165"/>
        <v>0</v>
      </c>
      <c r="AW318" s="35">
        <f t="shared" si="166"/>
        <v>0</v>
      </c>
      <c r="AX318" s="35">
        <f t="shared" si="167"/>
        <v>0</v>
      </c>
      <c r="AY318" s="35">
        <f t="shared" si="168"/>
        <v>0</v>
      </c>
      <c r="AZ318" s="35">
        <f t="shared" si="169"/>
        <v>0</v>
      </c>
      <c r="BA318" s="35">
        <f t="shared" si="170"/>
        <v>0</v>
      </c>
      <c r="BB318" s="35">
        <f t="shared" si="171"/>
        <v>0</v>
      </c>
      <c r="BC318" s="35">
        <f t="shared" si="172"/>
        <v>0</v>
      </c>
    </row>
    <row r="319" spans="1:55" s="35" customFormat="1" x14ac:dyDescent="0.35">
      <c r="A319" s="36">
        <v>38923</v>
      </c>
      <c r="B319" s="35" t="s">
        <v>979</v>
      </c>
      <c r="C319" s="35" t="s">
        <v>45</v>
      </c>
      <c r="D319" s="35" t="s">
        <v>45</v>
      </c>
      <c r="E319" s="35" t="s">
        <v>47</v>
      </c>
      <c r="F319" s="139">
        <f t="shared" si="145"/>
        <v>0</v>
      </c>
      <c r="G319" s="35">
        <v>130000000</v>
      </c>
      <c r="H319" s="139">
        <f t="shared" si="146"/>
        <v>8.1139433523068369</v>
      </c>
      <c r="I319" s="35">
        <f t="shared" ref="I319:I326" si="180">G319</f>
        <v>130000000</v>
      </c>
      <c r="J319" s="35">
        <v>0</v>
      </c>
      <c r="K319" s="36">
        <v>40442</v>
      </c>
      <c r="L319" s="35">
        <v>0</v>
      </c>
      <c r="M319" s="21">
        <f t="shared" si="147"/>
        <v>4.161643835616438</v>
      </c>
      <c r="N319" s="21">
        <f t="shared" si="173"/>
        <v>0.61926490940631163</v>
      </c>
      <c r="O319" s="35">
        <v>0</v>
      </c>
      <c r="P319" s="35">
        <f t="shared" si="148"/>
        <v>0</v>
      </c>
      <c r="Q319" s="35">
        <v>46</v>
      </c>
      <c r="R319" s="35">
        <f t="shared" si="149"/>
        <v>1.6720978579357175</v>
      </c>
      <c r="S319" s="45">
        <v>2.95</v>
      </c>
      <c r="T319" s="45">
        <f t="shared" si="174"/>
        <v>0.46982201597816303</v>
      </c>
      <c r="U319" s="175">
        <f t="shared" si="150"/>
        <v>-1</v>
      </c>
      <c r="V319" s="48">
        <f t="shared" si="151"/>
        <v>-1</v>
      </c>
      <c r="W319" s="35">
        <v>2229.0809327846364</v>
      </c>
      <c r="X319" s="35">
        <f t="shared" si="152"/>
        <v>3.3481258369969185</v>
      </c>
      <c r="Y319" s="35">
        <v>7475.9945130315509</v>
      </c>
      <c r="Z319" s="35">
        <f t="shared" si="153"/>
        <v>3.8736689739586678</v>
      </c>
      <c r="AA319" s="37">
        <v>0</v>
      </c>
      <c r="AB319" s="37">
        <f t="shared" si="154"/>
        <v>0</v>
      </c>
      <c r="AC319" s="35">
        <v>93.2</v>
      </c>
      <c r="AD319" s="35">
        <f t="shared" si="175"/>
        <v>1.9694159123539814</v>
      </c>
      <c r="AE319" s="48">
        <v>26.7</v>
      </c>
      <c r="AF319" s="48">
        <f t="shared" si="176"/>
        <v>1.4265112613645752</v>
      </c>
      <c r="AG319" s="43">
        <v>36.669158714517401</v>
      </c>
      <c r="AH319" s="43">
        <f t="shared" si="177"/>
        <v>1.5643009462345601</v>
      </c>
      <c r="AI319" s="39">
        <v>0.69</v>
      </c>
      <c r="AJ319" s="48">
        <f t="shared" si="155"/>
        <v>0.22788670461367352</v>
      </c>
      <c r="AK319" s="35">
        <v>25</v>
      </c>
      <c r="AL319" s="35">
        <f t="shared" si="178"/>
        <v>1.3979400086720377</v>
      </c>
      <c r="AM319" s="35">
        <f t="shared" si="156"/>
        <v>1</v>
      </c>
      <c r="AN319" s="35">
        <f t="shared" si="157"/>
        <v>1</v>
      </c>
      <c r="AO319" s="35">
        <f t="shared" si="158"/>
        <v>0</v>
      </c>
      <c r="AP319" s="35">
        <f t="shared" si="159"/>
        <v>0</v>
      </c>
      <c r="AQ319" s="35">
        <f t="shared" si="160"/>
        <v>0</v>
      </c>
      <c r="AR319" s="35">
        <f t="shared" si="161"/>
        <v>0</v>
      </c>
      <c r="AS319" s="35">
        <f t="shared" si="162"/>
        <v>0</v>
      </c>
      <c r="AT319" s="35">
        <f t="shared" si="163"/>
        <v>0</v>
      </c>
      <c r="AU319" s="35">
        <f t="shared" si="164"/>
        <v>0</v>
      </c>
      <c r="AV319" s="35">
        <f t="shared" si="165"/>
        <v>0</v>
      </c>
      <c r="AW319" s="35">
        <f t="shared" si="166"/>
        <v>0</v>
      </c>
      <c r="AX319" s="35">
        <f t="shared" si="167"/>
        <v>0</v>
      </c>
      <c r="AY319" s="35">
        <f t="shared" si="168"/>
        <v>0</v>
      </c>
      <c r="AZ319" s="35">
        <f t="shared" si="169"/>
        <v>0</v>
      </c>
      <c r="BA319" s="35">
        <f t="shared" si="170"/>
        <v>0</v>
      </c>
      <c r="BB319" s="35">
        <f t="shared" si="171"/>
        <v>0</v>
      </c>
      <c r="BC319" s="35">
        <f t="shared" si="172"/>
        <v>0</v>
      </c>
    </row>
    <row r="320" spans="1:55" s="35" customFormat="1" x14ac:dyDescent="0.35">
      <c r="A320" s="36">
        <v>38924</v>
      </c>
      <c r="B320" s="35" t="s">
        <v>1023</v>
      </c>
      <c r="C320" s="35" t="s">
        <v>59</v>
      </c>
      <c r="D320" s="35" t="s">
        <v>45</v>
      </c>
      <c r="E320" s="35" t="s">
        <v>64</v>
      </c>
      <c r="F320" s="139">
        <f t="shared" si="145"/>
        <v>1</v>
      </c>
      <c r="G320" s="35">
        <v>62000000</v>
      </c>
      <c r="H320" s="139">
        <f t="shared" si="146"/>
        <v>7.7923916894982534</v>
      </c>
      <c r="I320" s="35">
        <f t="shared" si="180"/>
        <v>62000000</v>
      </c>
      <c r="J320" s="35">
        <v>0</v>
      </c>
      <c r="K320" s="36">
        <v>39665</v>
      </c>
      <c r="L320" s="35">
        <v>170000000</v>
      </c>
      <c r="M320" s="21">
        <f t="shared" si="147"/>
        <v>2.0301369863013701</v>
      </c>
      <c r="N320" s="21">
        <f t="shared" si="173"/>
        <v>0.30752534352285349</v>
      </c>
      <c r="O320" s="35">
        <v>5897.96</v>
      </c>
      <c r="P320" s="35">
        <f t="shared" si="148"/>
        <v>3.7707754512906644</v>
      </c>
      <c r="Q320" s="35">
        <v>20</v>
      </c>
      <c r="R320" s="35">
        <f t="shared" si="149"/>
        <v>1.3222192947339193</v>
      </c>
      <c r="S320" s="45">
        <v>2.3199999999999998</v>
      </c>
      <c r="T320" s="45">
        <f t="shared" si="174"/>
        <v>0.36548798489089962</v>
      </c>
      <c r="U320" s="175">
        <f t="shared" si="150"/>
        <v>1.7419354838709675</v>
      </c>
      <c r="V320" s="48">
        <f t="shared" si="151"/>
        <v>0.43805723188001999</v>
      </c>
      <c r="W320" s="35">
        <v>5683.8649945290799</v>
      </c>
      <c r="X320" s="35">
        <f t="shared" si="152"/>
        <v>3.754643753838935</v>
      </c>
      <c r="Y320" s="35">
        <v>6345.4254692365948</v>
      </c>
      <c r="Z320" s="35">
        <f t="shared" si="153"/>
        <v>3.8024607474309908</v>
      </c>
      <c r="AA320" s="37">
        <v>132</v>
      </c>
      <c r="AB320" s="37">
        <f t="shared" si="154"/>
        <v>2.1238516409670858</v>
      </c>
      <c r="AC320" s="35">
        <v>91.5</v>
      </c>
      <c r="AD320" s="35">
        <f t="shared" si="175"/>
        <v>1.9614210940664483</v>
      </c>
      <c r="AE320" s="48">
        <v>32.9</v>
      </c>
      <c r="AF320" s="48">
        <f t="shared" si="176"/>
        <v>1.5171958979499742</v>
      </c>
      <c r="AG320" s="43">
        <v>40.767390998852598</v>
      </c>
      <c r="AH320" s="43">
        <f t="shared" si="177"/>
        <v>1.6103129186864549</v>
      </c>
      <c r="AI320" s="39">
        <v>1.08</v>
      </c>
      <c r="AJ320" s="48">
        <f t="shared" si="155"/>
        <v>0.31806333496276157</v>
      </c>
      <c r="AK320" s="35">
        <v>24</v>
      </c>
      <c r="AL320" s="35">
        <f t="shared" si="178"/>
        <v>1.3802112417116059</v>
      </c>
      <c r="AM320" s="35">
        <f t="shared" si="156"/>
        <v>0</v>
      </c>
      <c r="AN320" s="35">
        <f t="shared" si="157"/>
        <v>0</v>
      </c>
      <c r="AO320" s="35">
        <f t="shared" si="158"/>
        <v>1</v>
      </c>
      <c r="AP320" s="35">
        <f t="shared" si="159"/>
        <v>0</v>
      </c>
      <c r="AQ320" s="35">
        <f t="shared" si="160"/>
        <v>0</v>
      </c>
      <c r="AR320" s="35">
        <f t="shared" si="161"/>
        <v>0</v>
      </c>
      <c r="AS320" s="35">
        <f t="shared" si="162"/>
        <v>0</v>
      </c>
      <c r="AT320" s="35">
        <f t="shared" si="163"/>
        <v>0</v>
      </c>
      <c r="AU320" s="35">
        <f t="shared" si="164"/>
        <v>0</v>
      </c>
      <c r="AV320" s="35">
        <f t="shared" si="165"/>
        <v>0</v>
      </c>
      <c r="AW320" s="35">
        <f t="shared" si="166"/>
        <v>0</v>
      </c>
      <c r="AX320" s="35">
        <f t="shared" si="167"/>
        <v>0</v>
      </c>
      <c r="AY320" s="35">
        <f t="shared" si="168"/>
        <v>0</v>
      </c>
      <c r="AZ320" s="35">
        <f t="shared" si="169"/>
        <v>0</v>
      </c>
      <c r="BA320" s="35">
        <f t="shared" si="170"/>
        <v>0</v>
      </c>
      <c r="BB320" s="35">
        <f t="shared" si="171"/>
        <v>0</v>
      </c>
      <c r="BC320" s="35">
        <f t="shared" si="172"/>
        <v>0</v>
      </c>
    </row>
    <row r="321" spans="1:55" s="35" customFormat="1" x14ac:dyDescent="0.35">
      <c r="A321" s="36">
        <v>38925</v>
      </c>
      <c r="B321" s="35" t="s">
        <v>1089</v>
      </c>
      <c r="C321" s="35" t="s">
        <v>163</v>
      </c>
      <c r="D321" s="35" t="s">
        <v>163</v>
      </c>
      <c r="E321" s="35" t="s">
        <v>47</v>
      </c>
      <c r="F321" s="139">
        <f t="shared" si="145"/>
        <v>0</v>
      </c>
      <c r="G321" s="35">
        <v>1040000000</v>
      </c>
      <c r="H321" s="139">
        <f t="shared" si="146"/>
        <v>9.0170333392987807</v>
      </c>
      <c r="I321" s="35">
        <f t="shared" si="180"/>
        <v>1040000000</v>
      </c>
      <c r="J321" s="35">
        <v>0</v>
      </c>
      <c r="K321" s="36">
        <v>40785</v>
      </c>
      <c r="L321" s="35">
        <v>2100000000</v>
      </c>
      <c r="M321" s="21">
        <f t="shared" si="147"/>
        <v>5.095890410958904</v>
      </c>
      <c r="N321" s="21">
        <f t="shared" si="173"/>
        <v>0.70722007976144163</v>
      </c>
      <c r="O321" s="35">
        <v>0</v>
      </c>
      <c r="P321" s="35">
        <f t="shared" si="148"/>
        <v>0</v>
      </c>
      <c r="Q321" s="35">
        <v>106</v>
      </c>
      <c r="R321" s="35">
        <f t="shared" si="149"/>
        <v>2.0293837776852097</v>
      </c>
      <c r="S321" s="45">
        <v>3.18</v>
      </c>
      <c r="T321" s="45">
        <f t="shared" si="174"/>
        <v>0.50242711998443268</v>
      </c>
      <c r="U321" s="175">
        <f t="shared" si="150"/>
        <v>1.0192307692307692</v>
      </c>
      <c r="V321" s="48">
        <f t="shared" si="151"/>
        <v>0.30518595543513888</v>
      </c>
      <c r="W321" s="35">
        <v>1682.164</v>
      </c>
      <c r="X321" s="35">
        <f t="shared" si="152"/>
        <v>3.2258683344006376</v>
      </c>
      <c r="Y321" s="35">
        <v>9152.2764999999999</v>
      </c>
      <c r="Z321" s="35">
        <f t="shared" si="153"/>
        <v>3.9615291321450066</v>
      </c>
      <c r="AA321" s="37">
        <v>0</v>
      </c>
      <c r="AB321" s="37">
        <f t="shared" si="154"/>
        <v>0</v>
      </c>
      <c r="AC321" s="35">
        <v>88</v>
      </c>
      <c r="AD321" s="35">
        <f t="shared" si="175"/>
        <v>1.9444826721501687</v>
      </c>
      <c r="AE321" s="48">
        <v>43.3</v>
      </c>
      <c r="AF321" s="48">
        <f t="shared" si="176"/>
        <v>1.6364878963533653</v>
      </c>
      <c r="AG321" s="43">
        <v>52.875711995394298</v>
      </c>
      <c r="AH321" s="43">
        <f t="shared" si="177"/>
        <v>1.7232562283942385</v>
      </c>
      <c r="AI321" s="39">
        <v>0.21</v>
      </c>
      <c r="AJ321" s="48">
        <f t="shared" si="155"/>
        <v>8.2785370316450071E-2</v>
      </c>
      <c r="AK321" s="35">
        <v>19</v>
      </c>
      <c r="AL321" s="35">
        <f t="shared" si="178"/>
        <v>1.2787536009528289</v>
      </c>
      <c r="AM321" s="35">
        <f t="shared" si="156"/>
        <v>0</v>
      </c>
      <c r="AN321" s="35">
        <f t="shared" si="157"/>
        <v>0</v>
      </c>
      <c r="AO321" s="35">
        <f t="shared" si="158"/>
        <v>0</v>
      </c>
      <c r="AP321" s="35">
        <f t="shared" si="159"/>
        <v>0</v>
      </c>
      <c r="AQ321" s="35">
        <f t="shared" si="160"/>
        <v>0</v>
      </c>
      <c r="AR321" s="35">
        <f t="shared" si="161"/>
        <v>0</v>
      </c>
      <c r="AS321" s="35">
        <f t="shared" si="162"/>
        <v>0</v>
      </c>
      <c r="AT321" s="35">
        <f t="shared" si="163"/>
        <v>1</v>
      </c>
      <c r="AU321" s="35">
        <f t="shared" si="164"/>
        <v>0</v>
      </c>
      <c r="AV321" s="35">
        <f t="shared" si="165"/>
        <v>0</v>
      </c>
      <c r="AW321" s="35">
        <f t="shared" si="166"/>
        <v>0</v>
      </c>
      <c r="AX321" s="35">
        <f t="shared" si="167"/>
        <v>0</v>
      </c>
      <c r="AY321" s="35">
        <f t="shared" si="168"/>
        <v>0</v>
      </c>
      <c r="AZ321" s="35">
        <f t="shared" si="169"/>
        <v>0</v>
      </c>
      <c r="BA321" s="35">
        <f t="shared" si="170"/>
        <v>0</v>
      </c>
      <c r="BB321" s="35">
        <f t="shared" si="171"/>
        <v>0</v>
      </c>
      <c r="BC321" s="35">
        <f t="shared" si="172"/>
        <v>0</v>
      </c>
    </row>
    <row r="322" spans="1:55" s="35" customFormat="1" x14ac:dyDescent="0.35">
      <c r="A322" s="36">
        <v>38929</v>
      </c>
      <c r="B322" s="35" t="s">
        <v>1268</v>
      </c>
      <c r="C322" s="35" t="s">
        <v>45</v>
      </c>
      <c r="D322" s="35" t="s">
        <v>602</v>
      </c>
      <c r="E322" s="35" t="s">
        <v>47</v>
      </c>
      <c r="F322" s="139">
        <f t="shared" ref="F322:F385" si="181">IF(E322="domestic",0,1)</f>
        <v>0</v>
      </c>
      <c r="G322" s="35">
        <v>1100000000</v>
      </c>
      <c r="H322" s="139">
        <f t="shared" ref="H322:H385" si="182">LOG(G322)</f>
        <v>9.0413926851582254</v>
      </c>
      <c r="I322" s="35">
        <f t="shared" si="180"/>
        <v>1100000000</v>
      </c>
      <c r="J322" s="35">
        <v>0</v>
      </c>
      <c r="K322" s="36">
        <v>40415</v>
      </c>
      <c r="L322" s="35">
        <v>0</v>
      </c>
      <c r="M322" s="21">
        <f t="shared" ref="M322:M385" si="183">YEARFRAC(A322,K322,3)</f>
        <v>4.0712328767123287</v>
      </c>
      <c r="N322" s="21">
        <f t="shared" si="173"/>
        <v>0.60972594496808175</v>
      </c>
      <c r="O322" s="35">
        <v>0</v>
      </c>
      <c r="P322" s="35">
        <f t="shared" ref="P322:P385" si="184">LOG(1+O322)</f>
        <v>0</v>
      </c>
      <c r="Q322" s="35">
        <v>74</v>
      </c>
      <c r="R322" s="35">
        <f t="shared" ref="R322:R385" si="185">LOG(1+Q322)</f>
        <v>1.8750612633917001</v>
      </c>
      <c r="S322" s="45">
        <v>2.95</v>
      </c>
      <c r="T322" s="45">
        <f t="shared" si="174"/>
        <v>0.46982201597816303</v>
      </c>
      <c r="U322" s="175">
        <f t="shared" ref="U322:U385" si="186">(L322/G322)-1</f>
        <v>-1</v>
      </c>
      <c r="V322" s="48">
        <f t="shared" ref="V322:V385" si="187">IF(U322=-1,LOG(0.1),LOG(1+U322))</f>
        <v>-1</v>
      </c>
      <c r="W322" s="35">
        <v>1246.953</v>
      </c>
      <c r="X322" s="35">
        <f t="shared" ref="X322:X385" si="188">LOG(W322)</f>
        <v>3.0958500844125241</v>
      </c>
      <c r="Y322" s="35">
        <v>3219.7179999999998</v>
      </c>
      <c r="Z322" s="35">
        <f t="shared" ref="Z322:Z385" si="189">LOG(Y322)</f>
        <v>3.5078178355445662</v>
      </c>
      <c r="AA322" s="35">
        <v>0</v>
      </c>
      <c r="AB322" s="37">
        <f t="shared" ref="AB322:AB385" si="190">IF(AA322=0,0,LOG(1+AA322))</f>
        <v>0</v>
      </c>
      <c r="AC322" s="35">
        <v>93.2</v>
      </c>
      <c r="AD322" s="35">
        <f t="shared" si="175"/>
        <v>1.9694159123539814</v>
      </c>
      <c r="AE322" s="48">
        <v>26.7</v>
      </c>
      <c r="AF322" s="48">
        <f t="shared" si="176"/>
        <v>1.4265112613645752</v>
      </c>
      <c r="AG322" s="43">
        <v>36.669158714517401</v>
      </c>
      <c r="AH322" s="43">
        <f t="shared" si="177"/>
        <v>1.5643009462345601</v>
      </c>
      <c r="AI322" s="39">
        <v>-0.14000000000000001</v>
      </c>
      <c r="AJ322" s="48">
        <f t="shared" ref="AJ322:AJ385" si="191">LOG(1+AI322)</f>
        <v>-6.5501548756432285E-2</v>
      </c>
      <c r="AK322" s="35">
        <v>16</v>
      </c>
      <c r="AL322" s="35">
        <f t="shared" si="178"/>
        <v>1.2041199826559248</v>
      </c>
      <c r="AM322" s="35">
        <f t="shared" ref="AM322:AM385" si="192">IF(V322=-1,1,0)</f>
        <v>1</v>
      </c>
      <c r="AN322" s="35">
        <f t="shared" ref="AN322:AN385" si="193">IF($C322="US",1,0)</f>
        <v>1</v>
      </c>
      <c r="AO322" s="35">
        <f t="shared" ref="AO322:AO385" si="194">IF($C322="UK",1,0)</f>
        <v>0</v>
      </c>
      <c r="AP322" s="35">
        <f t="shared" ref="AP322:AP385" si="195">IF($C322="Norway",1,0)</f>
        <v>0</v>
      </c>
      <c r="AQ322" s="35">
        <f t="shared" ref="AQ322:AQ385" si="196">IF($C322="Denmark",1,0)</f>
        <v>0</v>
      </c>
      <c r="AR322" s="35">
        <f t="shared" ref="AR322:AR385" si="197">IF($C322="Sweden",1,0)</f>
        <v>0</v>
      </c>
      <c r="AS322" s="35">
        <f t="shared" ref="AS322:AS385" si="198">IF($C322="Netherlands",1,0)</f>
        <v>0</v>
      </c>
      <c r="AT322" s="35">
        <f t="shared" ref="AT322:AT385" si="199">IF($C322="France",1,0)</f>
        <v>0</v>
      </c>
      <c r="AU322" s="35">
        <f t="shared" ref="AU322:AU385" si="200">IF($C322="Belgium",1,0)</f>
        <v>0</v>
      </c>
      <c r="AV322" s="35">
        <f t="shared" ref="AV322:AV385" si="201">IF($C322="Germany",1,0)</f>
        <v>0</v>
      </c>
      <c r="AW322" s="35">
        <f t="shared" ref="AW322:AW385" si="202">IF($C322="Italy",1,0)</f>
        <v>0</v>
      </c>
      <c r="AX322" s="35">
        <f t="shared" ref="AX322:AX385" si="203">IF($C322="Spain",1,0)</f>
        <v>0</v>
      </c>
      <c r="AY322" s="35">
        <f t="shared" ref="AY322:AY385" si="204">IF($C322="Luxembourg",1,0)</f>
        <v>0</v>
      </c>
      <c r="AZ322" s="35">
        <f t="shared" ref="AZ322:AZ385" si="205">IF($C322="Portugal",1,0)</f>
        <v>0</v>
      </c>
      <c r="BA322" s="35">
        <f t="shared" ref="BA322:BA385" si="206">IF($C322="Switzerland",1,0)</f>
        <v>0</v>
      </c>
      <c r="BB322" s="35">
        <f t="shared" ref="BB322:BB385" si="207">IF($C322="Ireland",1,0)</f>
        <v>0</v>
      </c>
      <c r="BC322" s="35">
        <f t="shared" ref="BC322:BC385" si="208">IF($C322="Finland",1,0)</f>
        <v>0</v>
      </c>
    </row>
    <row r="323" spans="1:55" s="35" customFormat="1" x14ac:dyDescent="0.35">
      <c r="A323" s="36">
        <v>38944</v>
      </c>
      <c r="B323" s="35" t="s">
        <v>1251</v>
      </c>
      <c r="C323" s="35" t="s">
        <v>45</v>
      </c>
      <c r="D323" s="35" t="s">
        <v>602</v>
      </c>
      <c r="E323" s="35" t="s">
        <v>47</v>
      </c>
      <c r="F323" s="139">
        <f t="shared" si="181"/>
        <v>0</v>
      </c>
      <c r="G323" s="35">
        <v>400000000</v>
      </c>
      <c r="H323" s="139">
        <f t="shared" si="182"/>
        <v>8.6020599913279625</v>
      </c>
      <c r="I323" s="35">
        <f t="shared" si="180"/>
        <v>400000000</v>
      </c>
      <c r="J323" s="35">
        <v>0</v>
      </c>
      <c r="K323" s="36">
        <v>40648</v>
      </c>
      <c r="L323" s="35">
        <v>350000000</v>
      </c>
      <c r="M323" s="21">
        <f t="shared" si="183"/>
        <v>4.6684931506849319</v>
      </c>
      <c r="N323" s="21">
        <f t="shared" ref="N323:N386" si="209">IF(M323=0,0,LOG(M323))</f>
        <v>0.66917672597420663</v>
      </c>
      <c r="O323" s="35">
        <v>0</v>
      </c>
      <c r="P323" s="35">
        <f t="shared" si="184"/>
        <v>0</v>
      </c>
      <c r="Q323" s="35">
        <v>29</v>
      </c>
      <c r="R323" s="35">
        <f t="shared" si="185"/>
        <v>1.4771212547196624</v>
      </c>
      <c r="S323" s="45">
        <v>2.95</v>
      </c>
      <c r="T323" s="45">
        <f t="shared" ref="T323:T386" si="210">LOG(S323)</f>
        <v>0.46982201597816303</v>
      </c>
      <c r="U323" s="175">
        <f t="shared" si="186"/>
        <v>-0.125</v>
      </c>
      <c r="V323" s="48">
        <f t="shared" si="187"/>
        <v>-5.7991946977686754E-2</v>
      </c>
      <c r="W323" s="35">
        <v>2315.9650000000001</v>
      </c>
      <c r="X323" s="35">
        <f t="shared" si="188"/>
        <v>3.3647319918335836</v>
      </c>
      <c r="Y323" s="35">
        <v>3703.9029999999998</v>
      </c>
      <c r="Z323" s="35">
        <f t="shared" si="189"/>
        <v>3.568659604598353</v>
      </c>
      <c r="AA323" s="35">
        <v>0</v>
      </c>
      <c r="AB323" s="37">
        <f t="shared" si="190"/>
        <v>0</v>
      </c>
      <c r="AC323" s="35">
        <v>93.2</v>
      </c>
      <c r="AD323" s="35">
        <f t="shared" ref="AD323:AD386" si="211">LOG(AC323)</f>
        <v>1.9694159123539814</v>
      </c>
      <c r="AE323" s="48">
        <v>26.7</v>
      </c>
      <c r="AF323" s="48">
        <f t="shared" ref="AF323:AF386" si="212">LOG(AE323)</f>
        <v>1.4265112613645752</v>
      </c>
      <c r="AG323" s="43">
        <v>36.669158714517401</v>
      </c>
      <c r="AH323" s="43">
        <f t="shared" ref="AH323:AH386" si="213">LOG(AG323)</f>
        <v>1.5643009462345601</v>
      </c>
      <c r="AI323" s="39">
        <v>-0.13</v>
      </c>
      <c r="AJ323" s="48">
        <f t="shared" si="191"/>
        <v>-6.0480747381381476E-2</v>
      </c>
      <c r="AK323" s="35">
        <v>15</v>
      </c>
      <c r="AL323" s="35">
        <f t="shared" ref="AL323:AL386" si="214">IF(AK323=0,0,LOG(AK323))</f>
        <v>1.1760912590556813</v>
      </c>
      <c r="AM323" s="35">
        <f t="shared" si="192"/>
        <v>0</v>
      </c>
      <c r="AN323" s="35">
        <f t="shared" si="193"/>
        <v>1</v>
      </c>
      <c r="AO323" s="35">
        <f t="shared" si="194"/>
        <v>0</v>
      </c>
      <c r="AP323" s="35">
        <f t="shared" si="195"/>
        <v>0</v>
      </c>
      <c r="AQ323" s="35">
        <f t="shared" si="196"/>
        <v>0</v>
      </c>
      <c r="AR323" s="35">
        <f t="shared" si="197"/>
        <v>0</v>
      </c>
      <c r="AS323" s="35">
        <f t="shared" si="198"/>
        <v>0</v>
      </c>
      <c r="AT323" s="35">
        <f t="shared" si="199"/>
        <v>0</v>
      </c>
      <c r="AU323" s="35">
        <f t="shared" si="200"/>
        <v>0</v>
      </c>
      <c r="AV323" s="35">
        <f t="shared" si="201"/>
        <v>0</v>
      </c>
      <c r="AW323" s="35">
        <f t="shared" si="202"/>
        <v>0</v>
      </c>
      <c r="AX323" s="35">
        <f t="shared" si="203"/>
        <v>0</v>
      </c>
      <c r="AY323" s="35">
        <f t="shared" si="204"/>
        <v>0</v>
      </c>
      <c r="AZ323" s="35">
        <f t="shared" si="205"/>
        <v>0</v>
      </c>
      <c r="BA323" s="35">
        <f t="shared" si="206"/>
        <v>0</v>
      </c>
      <c r="BB323" s="35">
        <f t="shared" si="207"/>
        <v>0</v>
      </c>
      <c r="BC323" s="35">
        <f t="shared" si="208"/>
        <v>0</v>
      </c>
    </row>
    <row r="324" spans="1:55" s="35" customFormat="1" x14ac:dyDescent="0.35">
      <c r="A324" s="36">
        <v>38960</v>
      </c>
      <c r="B324" s="35" t="s">
        <v>1071</v>
      </c>
      <c r="C324" s="35" t="s">
        <v>163</v>
      </c>
      <c r="D324" s="35" t="s">
        <v>45</v>
      </c>
      <c r="E324" s="35" t="s">
        <v>64</v>
      </c>
      <c r="F324" s="139">
        <f t="shared" si="181"/>
        <v>1</v>
      </c>
      <c r="G324" s="35">
        <v>110000000</v>
      </c>
      <c r="H324" s="139">
        <f t="shared" si="182"/>
        <v>8.0413926851582254</v>
      </c>
      <c r="I324" s="35">
        <f t="shared" si="180"/>
        <v>110000000</v>
      </c>
      <c r="J324" s="35">
        <v>0</v>
      </c>
      <c r="K324" s="36">
        <v>40555</v>
      </c>
      <c r="L324" s="35">
        <v>52580000</v>
      </c>
      <c r="M324" s="21">
        <f t="shared" si="183"/>
        <v>4.3698630136986303</v>
      </c>
      <c r="N324" s="21">
        <f t="shared" si="209"/>
        <v>0.64046782293672522</v>
      </c>
      <c r="O324" s="35">
        <v>6164.6</v>
      </c>
      <c r="P324" s="35">
        <f t="shared" si="184"/>
        <v>3.7899753459779522</v>
      </c>
      <c r="Q324" s="35">
        <v>125</v>
      </c>
      <c r="R324" s="35">
        <f t="shared" si="185"/>
        <v>2.1003705451175629</v>
      </c>
      <c r="S324" s="45">
        <v>3.18</v>
      </c>
      <c r="T324" s="45">
        <f t="shared" si="210"/>
        <v>0.50242711998443268</v>
      </c>
      <c r="U324" s="175">
        <f t="shared" si="186"/>
        <v>-0.52200000000000002</v>
      </c>
      <c r="V324" s="48">
        <f t="shared" si="187"/>
        <v>-0.32057210338788111</v>
      </c>
      <c r="W324" s="35">
        <v>1989.0260631001368</v>
      </c>
      <c r="X324" s="35">
        <f t="shared" si="188"/>
        <v>3.2986404739170001</v>
      </c>
      <c r="Y324" s="35">
        <v>5994.5130315500692</v>
      </c>
      <c r="Z324" s="35">
        <f t="shared" si="189"/>
        <v>3.7777539086524472</v>
      </c>
      <c r="AA324" s="37">
        <v>583.83333333333303</v>
      </c>
      <c r="AB324" s="37">
        <f t="shared" si="190"/>
        <v>2.7670321178317625</v>
      </c>
      <c r="AC324" s="35">
        <v>88</v>
      </c>
      <c r="AD324" s="35">
        <f t="shared" si="211"/>
        <v>1.9444826721501687</v>
      </c>
      <c r="AE324" s="48">
        <v>43.3</v>
      </c>
      <c r="AF324" s="48">
        <f t="shared" si="212"/>
        <v>1.6364878963533653</v>
      </c>
      <c r="AG324" s="43">
        <v>52.875711995394298</v>
      </c>
      <c r="AH324" s="43">
        <f t="shared" si="213"/>
        <v>1.7232562283942385</v>
      </c>
      <c r="AI324" s="39">
        <v>-0.2</v>
      </c>
      <c r="AJ324" s="48">
        <f t="shared" si="191"/>
        <v>-9.6910013008056392E-2</v>
      </c>
      <c r="AK324" s="35">
        <v>15</v>
      </c>
      <c r="AL324" s="35">
        <f t="shared" si="214"/>
        <v>1.1760912590556813</v>
      </c>
      <c r="AM324" s="35">
        <f t="shared" si="192"/>
        <v>0</v>
      </c>
      <c r="AN324" s="35">
        <f t="shared" si="193"/>
        <v>0</v>
      </c>
      <c r="AO324" s="35">
        <f t="shared" si="194"/>
        <v>0</v>
      </c>
      <c r="AP324" s="35">
        <f t="shared" si="195"/>
        <v>0</v>
      </c>
      <c r="AQ324" s="35">
        <f t="shared" si="196"/>
        <v>0</v>
      </c>
      <c r="AR324" s="35">
        <f t="shared" si="197"/>
        <v>0</v>
      </c>
      <c r="AS324" s="35">
        <f t="shared" si="198"/>
        <v>0</v>
      </c>
      <c r="AT324" s="35">
        <f t="shared" si="199"/>
        <v>1</v>
      </c>
      <c r="AU324" s="35">
        <f t="shared" si="200"/>
        <v>0</v>
      </c>
      <c r="AV324" s="35">
        <f t="shared" si="201"/>
        <v>0</v>
      </c>
      <c r="AW324" s="35">
        <f t="shared" si="202"/>
        <v>0</v>
      </c>
      <c r="AX324" s="35">
        <f t="shared" si="203"/>
        <v>0</v>
      </c>
      <c r="AY324" s="35">
        <f t="shared" si="204"/>
        <v>0</v>
      </c>
      <c r="AZ324" s="35">
        <f t="shared" si="205"/>
        <v>0</v>
      </c>
      <c r="BA324" s="35">
        <f t="shared" si="206"/>
        <v>0</v>
      </c>
      <c r="BB324" s="35">
        <f t="shared" si="207"/>
        <v>0</v>
      </c>
      <c r="BC324" s="35">
        <f t="shared" si="208"/>
        <v>0</v>
      </c>
    </row>
    <row r="325" spans="1:55" s="35" customFormat="1" x14ac:dyDescent="0.35">
      <c r="A325" s="36">
        <v>38966</v>
      </c>
      <c r="B325" s="35" t="s">
        <v>1184</v>
      </c>
      <c r="C325" s="35" t="s">
        <v>59</v>
      </c>
      <c r="D325" s="35" t="s">
        <v>602</v>
      </c>
      <c r="E325" s="35" t="s">
        <v>64</v>
      </c>
      <c r="F325" s="139">
        <f t="shared" si="181"/>
        <v>1</v>
      </c>
      <c r="G325" s="35">
        <v>84000000</v>
      </c>
      <c r="H325" s="139">
        <f t="shared" si="182"/>
        <v>7.924279286061882</v>
      </c>
      <c r="I325" s="35">
        <f t="shared" si="180"/>
        <v>84000000</v>
      </c>
      <c r="J325" s="35">
        <v>0</v>
      </c>
      <c r="K325" s="36">
        <v>39427</v>
      </c>
      <c r="L325" s="35">
        <v>200000000</v>
      </c>
      <c r="M325" s="21">
        <f t="shared" si="183"/>
        <v>1.263013698630137</v>
      </c>
      <c r="N325" s="21">
        <f t="shared" si="209"/>
        <v>0.10140806093317345</v>
      </c>
      <c r="O325" s="35">
        <v>5897.96</v>
      </c>
      <c r="P325" s="35">
        <f t="shared" si="184"/>
        <v>3.7707754512906644</v>
      </c>
      <c r="Q325" s="35">
        <v>18</v>
      </c>
      <c r="R325" s="35">
        <f t="shared" si="185"/>
        <v>1.2787536009528289</v>
      </c>
      <c r="S325" s="45">
        <v>2.3199999999999998</v>
      </c>
      <c r="T325" s="45">
        <f t="shared" si="210"/>
        <v>0.36548798489089962</v>
      </c>
      <c r="U325" s="175">
        <f t="shared" si="186"/>
        <v>1.3809523809523809</v>
      </c>
      <c r="V325" s="48">
        <f t="shared" si="187"/>
        <v>0.37675070960209955</v>
      </c>
      <c r="W325" s="35">
        <v>2446.450593263969</v>
      </c>
      <c r="X325" s="35">
        <f t="shared" si="188"/>
        <v>3.3885364494891754</v>
      </c>
      <c r="Y325" s="35">
        <v>6578.8244872547029</v>
      </c>
      <c r="Z325" s="35">
        <f t="shared" si="189"/>
        <v>3.818148300254375</v>
      </c>
      <c r="AA325" s="35">
        <v>132</v>
      </c>
      <c r="AB325" s="37">
        <f t="shared" si="190"/>
        <v>2.1238516409670858</v>
      </c>
      <c r="AC325" s="35">
        <v>91.5</v>
      </c>
      <c r="AD325" s="35">
        <f t="shared" si="211"/>
        <v>1.9614210940664483</v>
      </c>
      <c r="AE325" s="48">
        <v>32.9</v>
      </c>
      <c r="AF325" s="48">
        <f t="shared" si="212"/>
        <v>1.5171958979499742</v>
      </c>
      <c r="AG325" s="43">
        <v>40.767390998852598</v>
      </c>
      <c r="AH325" s="43">
        <f t="shared" si="213"/>
        <v>1.6103129186864549</v>
      </c>
      <c r="AI325" s="39">
        <v>-0.16</v>
      </c>
      <c r="AJ325" s="48">
        <f t="shared" si="191"/>
        <v>-7.5720713938118356E-2</v>
      </c>
      <c r="AK325" s="35">
        <v>14</v>
      </c>
      <c r="AL325" s="35">
        <f t="shared" si="214"/>
        <v>1.146128035678238</v>
      </c>
      <c r="AM325" s="35">
        <f t="shared" si="192"/>
        <v>0</v>
      </c>
      <c r="AN325" s="35">
        <f t="shared" si="193"/>
        <v>0</v>
      </c>
      <c r="AO325" s="35">
        <f t="shared" si="194"/>
        <v>1</v>
      </c>
      <c r="AP325" s="35">
        <f t="shared" si="195"/>
        <v>0</v>
      </c>
      <c r="AQ325" s="35">
        <f t="shared" si="196"/>
        <v>0</v>
      </c>
      <c r="AR325" s="35">
        <f t="shared" si="197"/>
        <v>0</v>
      </c>
      <c r="AS325" s="35">
        <f t="shared" si="198"/>
        <v>0</v>
      </c>
      <c r="AT325" s="35">
        <f t="shared" si="199"/>
        <v>0</v>
      </c>
      <c r="AU325" s="35">
        <f t="shared" si="200"/>
        <v>0</v>
      </c>
      <c r="AV325" s="35">
        <f t="shared" si="201"/>
        <v>0</v>
      </c>
      <c r="AW325" s="35">
        <f t="shared" si="202"/>
        <v>0</v>
      </c>
      <c r="AX325" s="35">
        <f t="shared" si="203"/>
        <v>0</v>
      </c>
      <c r="AY325" s="35">
        <f t="shared" si="204"/>
        <v>0</v>
      </c>
      <c r="AZ325" s="35">
        <f t="shared" si="205"/>
        <v>0</v>
      </c>
      <c r="BA325" s="35">
        <f t="shared" si="206"/>
        <v>0</v>
      </c>
      <c r="BB325" s="35">
        <f t="shared" si="207"/>
        <v>0</v>
      </c>
      <c r="BC325" s="35">
        <f t="shared" si="208"/>
        <v>0</v>
      </c>
    </row>
    <row r="326" spans="1:55" s="35" customFormat="1" x14ac:dyDescent="0.35">
      <c r="A326" s="170">
        <v>38990</v>
      </c>
      <c r="B326" s="35" t="s">
        <v>457</v>
      </c>
      <c r="C326" s="35" t="s">
        <v>5</v>
      </c>
      <c r="D326" s="35" t="s">
        <v>59</v>
      </c>
      <c r="E326" s="35" t="s">
        <v>125</v>
      </c>
      <c r="F326" s="139">
        <f t="shared" si="181"/>
        <v>1</v>
      </c>
      <c r="G326" s="35">
        <v>4700000000</v>
      </c>
      <c r="H326" s="139">
        <f t="shared" si="182"/>
        <v>9.672097857935718</v>
      </c>
      <c r="I326" s="35">
        <f t="shared" si="180"/>
        <v>4700000000</v>
      </c>
      <c r="J326" s="35">
        <v>0</v>
      </c>
      <c r="K326" s="36">
        <v>41390</v>
      </c>
      <c r="L326" s="35">
        <v>2992600000</v>
      </c>
      <c r="M326" s="21">
        <f t="shared" si="183"/>
        <v>6.5753424657534243</v>
      </c>
      <c r="N326" s="21">
        <f t="shared" si="209"/>
        <v>0.81791837725513128</v>
      </c>
      <c r="O326" s="35">
        <v>357.29</v>
      </c>
      <c r="P326" s="35">
        <f t="shared" si="184"/>
        <v>2.5542346870234227</v>
      </c>
      <c r="Q326" s="35">
        <v>0</v>
      </c>
      <c r="R326" s="35">
        <f t="shared" si="185"/>
        <v>0</v>
      </c>
      <c r="S326" s="45">
        <v>3.16</v>
      </c>
      <c r="T326" s="45">
        <f t="shared" si="210"/>
        <v>0.49968708261840383</v>
      </c>
      <c r="U326" s="175">
        <f t="shared" si="186"/>
        <v>-0.36327659574468085</v>
      </c>
      <c r="V326" s="48">
        <f t="shared" si="187"/>
        <v>-0.19604918633510771</v>
      </c>
      <c r="W326" s="35">
        <v>1248.0746999999999</v>
      </c>
      <c r="X326" s="35">
        <f t="shared" si="188"/>
        <v>3.0962405795987471</v>
      </c>
      <c r="Y326" s="35">
        <v>2518.2170000000001</v>
      </c>
      <c r="Z326" s="35">
        <f t="shared" si="189"/>
        <v>3.4010931514437841</v>
      </c>
      <c r="AA326" s="37">
        <v>971</v>
      </c>
      <c r="AB326" s="37">
        <f t="shared" si="190"/>
        <v>2.9876662649262746</v>
      </c>
      <c r="AC326" s="35">
        <v>87.5</v>
      </c>
      <c r="AD326" s="35">
        <f t="shared" si="211"/>
        <v>1.9420080530223132</v>
      </c>
      <c r="AE326" s="48">
        <v>36</v>
      </c>
      <c r="AF326" s="48">
        <f t="shared" si="212"/>
        <v>1.5563025007672873</v>
      </c>
      <c r="AG326" s="43">
        <v>42.967191632480599</v>
      </c>
      <c r="AH326" s="43">
        <f t="shared" si="213"/>
        <v>1.6331369688020121</v>
      </c>
      <c r="AI326" s="39">
        <v>-0.02</v>
      </c>
      <c r="AJ326" s="48">
        <f t="shared" si="191"/>
        <v>-8.7739243075051505E-3</v>
      </c>
      <c r="AK326" s="35">
        <v>13</v>
      </c>
      <c r="AL326" s="35">
        <f t="shared" si="214"/>
        <v>1.1139433523068367</v>
      </c>
      <c r="AM326" s="35">
        <f t="shared" si="192"/>
        <v>0</v>
      </c>
      <c r="AN326" s="35">
        <f t="shared" si="193"/>
        <v>0</v>
      </c>
      <c r="AO326" s="35">
        <f t="shared" si="194"/>
        <v>0</v>
      </c>
      <c r="AP326" s="35">
        <f t="shared" si="195"/>
        <v>0</v>
      </c>
      <c r="AQ326" s="35">
        <f t="shared" si="196"/>
        <v>0</v>
      </c>
      <c r="AR326" s="35">
        <f t="shared" si="197"/>
        <v>0</v>
      </c>
      <c r="AS326" s="35">
        <f t="shared" si="198"/>
        <v>1</v>
      </c>
      <c r="AT326" s="35">
        <f t="shared" si="199"/>
        <v>0</v>
      </c>
      <c r="AU326" s="35">
        <f t="shared" si="200"/>
        <v>0</v>
      </c>
      <c r="AV326" s="35">
        <f t="shared" si="201"/>
        <v>0</v>
      </c>
      <c r="AW326" s="35">
        <f t="shared" si="202"/>
        <v>0</v>
      </c>
      <c r="AX326" s="35">
        <f t="shared" si="203"/>
        <v>0</v>
      </c>
      <c r="AY326" s="35">
        <f t="shared" si="204"/>
        <v>0</v>
      </c>
      <c r="AZ326" s="35">
        <f t="shared" si="205"/>
        <v>0</v>
      </c>
      <c r="BA326" s="35">
        <f t="shared" si="206"/>
        <v>0</v>
      </c>
      <c r="BB326" s="35">
        <f t="shared" si="207"/>
        <v>0</v>
      </c>
      <c r="BC326" s="35">
        <f t="shared" si="208"/>
        <v>0</v>
      </c>
    </row>
    <row r="327" spans="1:55" s="35" customFormat="1" x14ac:dyDescent="0.35">
      <c r="A327" s="36">
        <v>39006</v>
      </c>
      <c r="B327" s="139" t="s">
        <v>104</v>
      </c>
      <c r="C327" s="139" t="s">
        <v>45</v>
      </c>
      <c r="D327" s="139" t="s">
        <v>45</v>
      </c>
      <c r="E327" s="139" t="s">
        <v>102</v>
      </c>
      <c r="F327" s="139">
        <f t="shared" si="181"/>
        <v>0</v>
      </c>
      <c r="G327" s="139">
        <v>1271390000</v>
      </c>
      <c r="H327" s="139">
        <f t="shared" si="182"/>
        <v>9.1042787912049477</v>
      </c>
      <c r="I327" s="139">
        <v>831060000</v>
      </c>
      <c r="J327" s="139">
        <v>440330000</v>
      </c>
      <c r="K327" s="18">
        <v>41288</v>
      </c>
      <c r="L327" s="139">
        <v>1015000000</v>
      </c>
      <c r="M327" s="21">
        <f t="shared" si="183"/>
        <v>6.2520547945205482</v>
      </c>
      <c r="N327" s="21">
        <f t="shared" si="209"/>
        <v>0.7960227756257211</v>
      </c>
      <c r="O327" s="35">
        <v>0</v>
      </c>
      <c r="P327" s="35">
        <f t="shared" si="184"/>
        <v>0</v>
      </c>
      <c r="Q327" s="35">
        <v>14</v>
      </c>
      <c r="R327" s="35">
        <f t="shared" si="185"/>
        <v>1.1760912590556813</v>
      </c>
      <c r="S327" s="45">
        <v>2.95</v>
      </c>
      <c r="T327" s="45">
        <f t="shared" si="210"/>
        <v>0.46982201597816303</v>
      </c>
      <c r="U327" s="175">
        <f t="shared" si="186"/>
        <v>-0.20166117399067163</v>
      </c>
      <c r="V327" s="48">
        <f t="shared" si="187"/>
        <v>-9.7812748955715761E-2</v>
      </c>
      <c r="W327" s="48">
        <v>1246.953</v>
      </c>
      <c r="X327" s="35">
        <f t="shared" si="188"/>
        <v>3.0958500844125241</v>
      </c>
      <c r="Y327" s="35">
        <v>3219.7179999999998</v>
      </c>
      <c r="Z327" s="35">
        <f t="shared" si="189"/>
        <v>3.5078178355445662</v>
      </c>
      <c r="AA327" s="37">
        <v>0</v>
      </c>
      <c r="AB327" s="37">
        <f t="shared" si="190"/>
        <v>0</v>
      </c>
      <c r="AC327" s="35">
        <v>93.2</v>
      </c>
      <c r="AD327" s="35">
        <f t="shared" si="211"/>
        <v>1.9694159123539814</v>
      </c>
      <c r="AE327" s="48">
        <v>26.7</v>
      </c>
      <c r="AF327" s="48">
        <f t="shared" si="212"/>
        <v>1.4265112613645752</v>
      </c>
      <c r="AG327" s="43">
        <v>36.669158714517401</v>
      </c>
      <c r="AH327" s="43">
        <f t="shared" si="213"/>
        <v>1.5643009462345601</v>
      </c>
      <c r="AI327" s="39">
        <v>-0.15</v>
      </c>
      <c r="AJ327" s="48">
        <f t="shared" si="191"/>
        <v>-7.0581074285707285E-2</v>
      </c>
      <c r="AK327" s="35">
        <v>12</v>
      </c>
      <c r="AL327" s="35">
        <f t="shared" si="214"/>
        <v>1.0791812460476249</v>
      </c>
      <c r="AM327" s="35">
        <f t="shared" si="192"/>
        <v>0</v>
      </c>
      <c r="AN327" s="35">
        <f t="shared" si="193"/>
        <v>1</v>
      </c>
      <c r="AO327" s="35">
        <f t="shared" si="194"/>
        <v>0</v>
      </c>
      <c r="AP327" s="35">
        <f t="shared" si="195"/>
        <v>0</v>
      </c>
      <c r="AQ327" s="35">
        <f t="shared" si="196"/>
        <v>0</v>
      </c>
      <c r="AR327" s="35">
        <f t="shared" si="197"/>
        <v>0</v>
      </c>
      <c r="AS327" s="35">
        <f t="shared" si="198"/>
        <v>0</v>
      </c>
      <c r="AT327" s="35">
        <f t="shared" si="199"/>
        <v>0</v>
      </c>
      <c r="AU327" s="35">
        <f t="shared" si="200"/>
        <v>0</v>
      </c>
      <c r="AV327" s="35">
        <f t="shared" si="201"/>
        <v>0</v>
      </c>
      <c r="AW327" s="35">
        <f t="shared" si="202"/>
        <v>0</v>
      </c>
      <c r="AX327" s="35">
        <f t="shared" si="203"/>
        <v>0</v>
      </c>
      <c r="AY327" s="35">
        <f t="shared" si="204"/>
        <v>0</v>
      </c>
      <c r="AZ327" s="35">
        <f t="shared" si="205"/>
        <v>0</v>
      </c>
      <c r="BA327" s="35">
        <f t="shared" si="206"/>
        <v>0</v>
      </c>
      <c r="BB327" s="35">
        <f t="shared" si="207"/>
        <v>0</v>
      </c>
      <c r="BC327" s="35">
        <f t="shared" si="208"/>
        <v>0</v>
      </c>
    </row>
    <row r="328" spans="1:55" s="35" customFormat="1" x14ac:dyDescent="0.35">
      <c r="A328" s="36">
        <v>39015</v>
      </c>
      <c r="B328" s="139" t="s">
        <v>108</v>
      </c>
      <c r="C328" s="139" t="s">
        <v>45</v>
      </c>
      <c r="D328" s="139" t="s">
        <v>45</v>
      </c>
      <c r="E328" s="139" t="s">
        <v>102</v>
      </c>
      <c r="F328" s="139">
        <f t="shared" si="181"/>
        <v>0</v>
      </c>
      <c r="G328" s="139">
        <v>1640080000</v>
      </c>
      <c r="H328" s="139">
        <f t="shared" si="182"/>
        <v>9.2148650326276833</v>
      </c>
      <c r="I328" s="139">
        <v>1398680000</v>
      </c>
      <c r="J328" s="139">
        <v>241400000</v>
      </c>
      <c r="K328" s="18">
        <v>41550</v>
      </c>
      <c r="L328" s="139">
        <v>1800000000</v>
      </c>
      <c r="M328" s="21">
        <f t="shared" si="183"/>
        <v>6.9452054794520546</v>
      </c>
      <c r="N328" s="21">
        <f t="shared" si="209"/>
        <v>0.84168509921288004</v>
      </c>
      <c r="O328" s="35">
        <v>0</v>
      </c>
      <c r="P328" s="35">
        <f t="shared" si="184"/>
        <v>0</v>
      </c>
      <c r="Q328" s="35">
        <v>37</v>
      </c>
      <c r="R328" s="35">
        <f t="shared" si="185"/>
        <v>1.5797835966168101</v>
      </c>
      <c r="S328" s="45">
        <v>2.95</v>
      </c>
      <c r="T328" s="45">
        <f t="shared" si="210"/>
        <v>0.46982201597816303</v>
      </c>
      <c r="U328" s="175">
        <f t="shared" si="186"/>
        <v>9.7507438661528667E-2</v>
      </c>
      <c r="V328" s="48">
        <f t="shared" si="187"/>
        <v>4.0407472475622833E-2</v>
      </c>
      <c r="W328" s="35">
        <v>1486.1596345068529</v>
      </c>
      <c r="X328" s="35">
        <f t="shared" si="188"/>
        <v>3.172065461283164</v>
      </c>
      <c r="Y328" s="35">
        <v>7950.819672131146</v>
      </c>
      <c r="Z328" s="35">
        <f t="shared" si="189"/>
        <v>3.9004119035914964</v>
      </c>
      <c r="AA328" s="37">
        <v>0</v>
      </c>
      <c r="AB328" s="37">
        <f t="shared" si="190"/>
        <v>0</v>
      </c>
      <c r="AC328" s="35">
        <v>93.2</v>
      </c>
      <c r="AD328" s="35">
        <f t="shared" si="211"/>
        <v>1.9694159123539814</v>
      </c>
      <c r="AE328" s="48">
        <v>26.7</v>
      </c>
      <c r="AF328" s="48">
        <f t="shared" si="212"/>
        <v>1.4265112613645752</v>
      </c>
      <c r="AG328" s="43">
        <v>36.669158714517401</v>
      </c>
      <c r="AH328" s="43">
        <f t="shared" si="213"/>
        <v>1.5643009462345601</v>
      </c>
      <c r="AI328" s="39">
        <v>0.84</v>
      </c>
      <c r="AJ328" s="48">
        <f t="shared" si="191"/>
        <v>0.26481782300953643</v>
      </c>
      <c r="AK328" s="35">
        <v>11</v>
      </c>
      <c r="AL328" s="35">
        <f t="shared" si="214"/>
        <v>1.0413926851582251</v>
      </c>
      <c r="AM328" s="35">
        <f t="shared" si="192"/>
        <v>0</v>
      </c>
      <c r="AN328" s="35">
        <f t="shared" si="193"/>
        <v>1</v>
      </c>
      <c r="AO328" s="35">
        <f t="shared" si="194"/>
        <v>0</v>
      </c>
      <c r="AP328" s="35">
        <f t="shared" si="195"/>
        <v>0</v>
      </c>
      <c r="AQ328" s="35">
        <f t="shared" si="196"/>
        <v>0</v>
      </c>
      <c r="AR328" s="35">
        <f t="shared" si="197"/>
        <v>0</v>
      </c>
      <c r="AS328" s="35">
        <f t="shared" si="198"/>
        <v>0</v>
      </c>
      <c r="AT328" s="35">
        <f t="shared" si="199"/>
        <v>0</v>
      </c>
      <c r="AU328" s="35">
        <f t="shared" si="200"/>
        <v>0</v>
      </c>
      <c r="AV328" s="35">
        <f t="shared" si="201"/>
        <v>0</v>
      </c>
      <c r="AW328" s="35">
        <f t="shared" si="202"/>
        <v>0</v>
      </c>
      <c r="AX328" s="35">
        <f t="shared" si="203"/>
        <v>0</v>
      </c>
      <c r="AY328" s="35">
        <f t="shared" si="204"/>
        <v>0</v>
      </c>
      <c r="AZ328" s="35">
        <f t="shared" si="205"/>
        <v>0</v>
      </c>
      <c r="BA328" s="35">
        <f t="shared" si="206"/>
        <v>0</v>
      </c>
      <c r="BB328" s="35">
        <f t="shared" si="207"/>
        <v>0</v>
      </c>
      <c r="BC328" s="35">
        <f t="shared" si="208"/>
        <v>0</v>
      </c>
    </row>
    <row r="329" spans="1:55" s="35" customFormat="1" x14ac:dyDescent="0.35">
      <c r="A329" s="36">
        <v>39015</v>
      </c>
      <c r="B329" s="35" t="s">
        <v>230</v>
      </c>
      <c r="C329" s="35" t="s">
        <v>59</v>
      </c>
      <c r="D329" s="35" t="s">
        <v>45</v>
      </c>
      <c r="E329" s="139" t="s">
        <v>64</v>
      </c>
      <c r="F329" s="139">
        <f t="shared" si="181"/>
        <v>1</v>
      </c>
      <c r="G329" s="35">
        <v>1864800000</v>
      </c>
      <c r="H329" s="139">
        <f t="shared" si="182"/>
        <v>9.2706322605125209</v>
      </c>
      <c r="I329" s="35">
        <v>1864800000</v>
      </c>
      <c r="J329" s="35">
        <v>0</v>
      </c>
      <c r="K329" s="36">
        <v>41709</v>
      </c>
      <c r="L329" s="35">
        <v>3073154000</v>
      </c>
      <c r="M329" s="21">
        <f t="shared" si="183"/>
        <v>7.3808219178082188</v>
      </c>
      <c r="N329" s="21">
        <f t="shared" si="209"/>
        <v>0.86810472693049212</v>
      </c>
      <c r="O329" s="35">
        <v>5897.96</v>
      </c>
      <c r="P329" s="35">
        <f t="shared" si="184"/>
        <v>3.7707754512906644</v>
      </c>
      <c r="Q329" s="35">
        <v>58</v>
      </c>
      <c r="R329" s="35">
        <f t="shared" si="185"/>
        <v>1.7708520116421442</v>
      </c>
      <c r="S329" s="45">
        <v>2.3199999999999998</v>
      </c>
      <c r="T329" s="45">
        <f t="shared" si="210"/>
        <v>0.36548798489089962</v>
      </c>
      <c r="U329" s="175">
        <f t="shared" si="186"/>
        <v>0.64798048048048051</v>
      </c>
      <c r="V329" s="48">
        <f t="shared" si="187"/>
        <v>0.21695206338669118</v>
      </c>
      <c r="W329" s="35">
        <v>2315.9650000000001</v>
      </c>
      <c r="X329" s="35">
        <f t="shared" si="188"/>
        <v>3.3647319918335836</v>
      </c>
      <c r="Y329" s="35">
        <v>3703.9029999999998</v>
      </c>
      <c r="Z329" s="35">
        <f t="shared" si="189"/>
        <v>3.568659604598353</v>
      </c>
      <c r="AA329" s="37">
        <v>132</v>
      </c>
      <c r="AB329" s="37">
        <f t="shared" si="190"/>
        <v>2.1238516409670858</v>
      </c>
      <c r="AC329" s="35">
        <v>91.5</v>
      </c>
      <c r="AD329" s="35">
        <f t="shared" si="211"/>
        <v>1.9614210940664483</v>
      </c>
      <c r="AE329" s="48">
        <v>32.9</v>
      </c>
      <c r="AF329" s="48">
        <f t="shared" si="212"/>
        <v>1.5171958979499742</v>
      </c>
      <c r="AG329" s="43">
        <v>40.767390998852598</v>
      </c>
      <c r="AH329" s="43">
        <f t="shared" si="213"/>
        <v>1.6103129186864549</v>
      </c>
      <c r="AI329" s="39">
        <v>0.47</v>
      </c>
      <c r="AJ329" s="48">
        <f t="shared" si="191"/>
        <v>0.16731733474817609</v>
      </c>
      <c r="AK329" s="35">
        <v>14</v>
      </c>
      <c r="AL329" s="35">
        <f t="shared" si="214"/>
        <v>1.146128035678238</v>
      </c>
      <c r="AM329" s="35">
        <f t="shared" si="192"/>
        <v>0</v>
      </c>
      <c r="AN329" s="35">
        <f t="shared" si="193"/>
        <v>0</v>
      </c>
      <c r="AO329" s="35">
        <f t="shared" si="194"/>
        <v>1</v>
      </c>
      <c r="AP329" s="35">
        <f t="shared" si="195"/>
        <v>0</v>
      </c>
      <c r="AQ329" s="35">
        <f t="shared" si="196"/>
        <v>0</v>
      </c>
      <c r="AR329" s="35">
        <f t="shared" si="197"/>
        <v>0</v>
      </c>
      <c r="AS329" s="35">
        <f t="shared" si="198"/>
        <v>0</v>
      </c>
      <c r="AT329" s="35">
        <f t="shared" si="199"/>
        <v>0</v>
      </c>
      <c r="AU329" s="35">
        <f t="shared" si="200"/>
        <v>0</v>
      </c>
      <c r="AV329" s="35">
        <f t="shared" si="201"/>
        <v>0</v>
      </c>
      <c r="AW329" s="35">
        <f t="shared" si="202"/>
        <v>0</v>
      </c>
      <c r="AX329" s="35">
        <f t="shared" si="203"/>
        <v>0</v>
      </c>
      <c r="AY329" s="35">
        <f t="shared" si="204"/>
        <v>0</v>
      </c>
      <c r="AZ329" s="35">
        <f t="shared" si="205"/>
        <v>0</v>
      </c>
      <c r="BA329" s="35">
        <f t="shared" si="206"/>
        <v>0</v>
      </c>
      <c r="BB329" s="35">
        <f t="shared" si="207"/>
        <v>0</v>
      </c>
      <c r="BC329" s="35">
        <f t="shared" si="208"/>
        <v>0</v>
      </c>
    </row>
    <row r="330" spans="1:55" s="35" customFormat="1" x14ac:dyDescent="0.35">
      <c r="A330" s="36">
        <v>39017</v>
      </c>
      <c r="B330" s="35" t="s">
        <v>1235</v>
      </c>
      <c r="C330" s="35" t="s">
        <v>45</v>
      </c>
      <c r="D330" s="35" t="s">
        <v>602</v>
      </c>
      <c r="E330" s="35" t="s">
        <v>47</v>
      </c>
      <c r="F330" s="139">
        <f t="shared" si="181"/>
        <v>0</v>
      </c>
      <c r="G330" s="35">
        <v>1793700000</v>
      </c>
      <c r="H330" s="139">
        <f t="shared" si="182"/>
        <v>9.253749808139812</v>
      </c>
      <c r="I330" s="35">
        <v>1657630000</v>
      </c>
      <c r="J330" s="35">
        <v>136070000</v>
      </c>
      <c r="K330" s="36">
        <v>42410</v>
      </c>
      <c r="L330" s="35">
        <v>4600000000</v>
      </c>
      <c r="M330" s="21">
        <f t="shared" si="183"/>
        <v>9.2958904109589042</v>
      </c>
      <c r="N330" s="21">
        <f t="shared" si="209"/>
        <v>0.96829099518864303</v>
      </c>
      <c r="O330" s="35">
        <v>0</v>
      </c>
      <c r="P330" s="35">
        <f t="shared" si="184"/>
        <v>0</v>
      </c>
      <c r="Q330" s="35">
        <v>41</v>
      </c>
      <c r="R330" s="35">
        <f t="shared" si="185"/>
        <v>1.6232492903979006</v>
      </c>
      <c r="S330" s="45">
        <v>2.95</v>
      </c>
      <c r="T330" s="45">
        <f t="shared" si="210"/>
        <v>0.46982201597816303</v>
      </c>
      <c r="U330" s="175">
        <f t="shared" si="186"/>
        <v>1.56453141550984</v>
      </c>
      <c r="V330" s="48">
        <f t="shared" si="187"/>
        <v>0.40900802354176158</v>
      </c>
      <c r="W330" s="35">
        <v>1455.046</v>
      </c>
      <c r="X330" s="35">
        <f t="shared" si="188"/>
        <v>3.1628767233771686</v>
      </c>
      <c r="Y330" s="35">
        <v>4062.5129999999999</v>
      </c>
      <c r="Z330" s="35">
        <f t="shared" si="189"/>
        <v>3.6087947637270492</v>
      </c>
      <c r="AA330" s="35">
        <v>0</v>
      </c>
      <c r="AB330" s="37">
        <f t="shared" si="190"/>
        <v>0</v>
      </c>
      <c r="AC330" s="35">
        <v>93.2</v>
      </c>
      <c r="AD330" s="35">
        <f t="shared" si="211"/>
        <v>1.9694159123539814</v>
      </c>
      <c r="AE330" s="48">
        <v>26.7</v>
      </c>
      <c r="AF330" s="48">
        <f t="shared" si="212"/>
        <v>1.4265112613645752</v>
      </c>
      <c r="AG330" s="43">
        <v>36.669158714517401</v>
      </c>
      <c r="AH330" s="43">
        <f t="shared" si="213"/>
        <v>1.5643009462345601</v>
      </c>
      <c r="AI330" s="39">
        <v>0.46</v>
      </c>
      <c r="AJ330" s="48">
        <f t="shared" si="191"/>
        <v>0.16435285578443709</v>
      </c>
      <c r="AK330" s="35">
        <v>24</v>
      </c>
      <c r="AL330" s="35">
        <f t="shared" si="214"/>
        <v>1.3802112417116059</v>
      </c>
      <c r="AM330" s="35">
        <f t="shared" si="192"/>
        <v>0</v>
      </c>
      <c r="AN330" s="35">
        <f t="shared" si="193"/>
        <v>1</v>
      </c>
      <c r="AO330" s="35">
        <f t="shared" si="194"/>
        <v>0</v>
      </c>
      <c r="AP330" s="35">
        <f t="shared" si="195"/>
        <v>0</v>
      </c>
      <c r="AQ330" s="35">
        <f t="shared" si="196"/>
        <v>0</v>
      </c>
      <c r="AR330" s="35">
        <f t="shared" si="197"/>
        <v>0</v>
      </c>
      <c r="AS330" s="35">
        <f t="shared" si="198"/>
        <v>0</v>
      </c>
      <c r="AT330" s="35">
        <f t="shared" si="199"/>
        <v>0</v>
      </c>
      <c r="AU330" s="35">
        <f t="shared" si="200"/>
        <v>0</v>
      </c>
      <c r="AV330" s="35">
        <f t="shared" si="201"/>
        <v>0</v>
      </c>
      <c r="AW330" s="35">
        <f t="shared" si="202"/>
        <v>0</v>
      </c>
      <c r="AX330" s="35">
        <f t="shared" si="203"/>
        <v>0</v>
      </c>
      <c r="AY330" s="35">
        <f t="shared" si="204"/>
        <v>0</v>
      </c>
      <c r="AZ330" s="35">
        <f t="shared" si="205"/>
        <v>0</v>
      </c>
      <c r="BA330" s="35">
        <f t="shared" si="206"/>
        <v>0</v>
      </c>
      <c r="BB330" s="35">
        <f t="shared" si="207"/>
        <v>0</v>
      </c>
      <c r="BC330" s="35">
        <f t="shared" si="208"/>
        <v>0</v>
      </c>
    </row>
    <row r="331" spans="1:55" s="35" customFormat="1" x14ac:dyDescent="0.35">
      <c r="A331" s="36">
        <v>39019</v>
      </c>
      <c r="B331" s="35" t="s">
        <v>1193</v>
      </c>
      <c r="C331" s="35" t="s">
        <v>447</v>
      </c>
      <c r="D331" s="35" t="s">
        <v>602</v>
      </c>
      <c r="E331" s="35" t="s">
        <v>64</v>
      </c>
      <c r="F331" s="139">
        <f t="shared" si="181"/>
        <v>1</v>
      </c>
      <c r="G331" s="35">
        <v>153000000</v>
      </c>
      <c r="H331" s="139">
        <f t="shared" si="182"/>
        <v>8.1846914308175993</v>
      </c>
      <c r="I331" s="35">
        <f>G331</f>
        <v>153000000</v>
      </c>
      <c r="J331" s="35">
        <v>0</v>
      </c>
      <c r="K331" s="36">
        <v>40393</v>
      </c>
      <c r="L331" s="35">
        <v>324700000</v>
      </c>
      <c r="M331" s="21">
        <f t="shared" si="183"/>
        <v>3.7643835616438355</v>
      </c>
      <c r="N331" s="21">
        <f t="shared" si="209"/>
        <v>0.57569386826705693</v>
      </c>
      <c r="O331" s="35">
        <v>6087.84</v>
      </c>
      <c r="P331" s="35">
        <f t="shared" si="184"/>
        <v>3.7845345619950592</v>
      </c>
      <c r="Q331" s="35">
        <v>7</v>
      </c>
      <c r="R331" s="35">
        <f t="shared" si="185"/>
        <v>0.90308998699194354</v>
      </c>
      <c r="S331" s="45">
        <v>2.81</v>
      </c>
      <c r="T331" s="45">
        <f t="shared" si="210"/>
        <v>0.44870631990507992</v>
      </c>
      <c r="U331" s="175">
        <f t="shared" si="186"/>
        <v>1.1222222222222222</v>
      </c>
      <c r="V331" s="48">
        <f t="shared" si="187"/>
        <v>0.32679085780840267</v>
      </c>
      <c r="W331" s="35">
        <v>2446.450593263969</v>
      </c>
      <c r="X331" s="35">
        <f t="shared" si="188"/>
        <v>3.3885364494891754</v>
      </c>
      <c r="Y331" s="35">
        <v>6578.8244872547029</v>
      </c>
      <c r="Z331" s="35">
        <f t="shared" si="189"/>
        <v>3.818148300254375</v>
      </c>
      <c r="AA331" s="35">
        <v>824.83333333333303</v>
      </c>
      <c r="AB331" s="37">
        <f t="shared" si="190"/>
        <v>2.9168924084376502</v>
      </c>
      <c r="AC331" s="35">
        <v>78.7</v>
      </c>
      <c r="AD331" s="35">
        <f t="shared" si="211"/>
        <v>1.8959747323590646</v>
      </c>
      <c r="AE331" s="48">
        <v>35.93</v>
      </c>
      <c r="AF331" s="48">
        <f t="shared" si="212"/>
        <v>1.5554572172046495</v>
      </c>
      <c r="AG331" s="43">
        <v>38.284221616827402</v>
      </c>
      <c r="AH331" s="43">
        <f t="shared" si="213"/>
        <v>1.5830198215761455</v>
      </c>
      <c r="AI331" s="39">
        <v>1.04</v>
      </c>
      <c r="AJ331" s="48">
        <f t="shared" si="191"/>
        <v>0.30963016742589877</v>
      </c>
      <c r="AK331" s="35">
        <v>23</v>
      </c>
      <c r="AL331" s="35">
        <f t="shared" si="214"/>
        <v>1.3617278360175928</v>
      </c>
      <c r="AM331" s="35">
        <f t="shared" si="192"/>
        <v>0</v>
      </c>
      <c r="AN331" s="35">
        <f t="shared" si="193"/>
        <v>0</v>
      </c>
      <c r="AO331" s="35">
        <f t="shared" si="194"/>
        <v>0</v>
      </c>
      <c r="AP331" s="35">
        <f t="shared" si="195"/>
        <v>0</v>
      </c>
      <c r="AQ331" s="35">
        <f t="shared" si="196"/>
        <v>0</v>
      </c>
      <c r="AR331" s="35">
        <f t="shared" si="197"/>
        <v>0</v>
      </c>
      <c r="AS331" s="35">
        <f t="shared" si="198"/>
        <v>0</v>
      </c>
      <c r="AT331" s="35">
        <f t="shared" si="199"/>
        <v>0</v>
      </c>
      <c r="AU331" s="35">
        <f t="shared" si="200"/>
        <v>0</v>
      </c>
      <c r="AV331" s="35">
        <f t="shared" si="201"/>
        <v>0</v>
      </c>
      <c r="AW331" s="35">
        <f t="shared" si="202"/>
        <v>0</v>
      </c>
      <c r="AX331" s="35">
        <f t="shared" si="203"/>
        <v>1</v>
      </c>
      <c r="AY331" s="35">
        <f t="shared" si="204"/>
        <v>0</v>
      </c>
      <c r="AZ331" s="35">
        <f t="shared" si="205"/>
        <v>0</v>
      </c>
      <c r="BA331" s="35">
        <f t="shared" si="206"/>
        <v>0</v>
      </c>
      <c r="BB331" s="35">
        <f t="shared" si="207"/>
        <v>0</v>
      </c>
      <c r="BC331" s="35">
        <f t="shared" si="208"/>
        <v>0</v>
      </c>
    </row>
    <row r="332" spans="1:55" s="35" customFormat="1" x14ac:dyDescent="0.35">
      <c r="A332" s="36">
        <v>39051</v>
      </c>
      <c r="B332" s="35" t="s">
        <v>1236</v>
      </c>
      <c r="C332" s="35" t="s">
        <v>45</v>
      </c>
      <c r="D332" s="35" t="s">
        <v>602</v>
      </c>
      <c r="E332" s="35" t="s">
        <v>47</v>
      </c>
      <c r="F332" s="139">
        <f t="shared" si="181"/>
        <v>0</v>
      </c>
      <c r="G332" s="35">
        <v>1072870000</v>
      </c>
      <c r="H332" s="139">
        <f t="shared" si="182"/>
        <v>9.030547101553049</v>
      </c>
      <c r="I332" s="35">
        <v>1320400000</v>
      </c>
      <c r="J332" s="35">
        <v>-247530000</v>
      </c>
      <c r="K332" s="36">
        <v>40479</v>
      </c>
      <c r="L332" s="35">
        <v>2125000000</v>
      </c>
      <c r="M332" s="21">
        <f t="shared" si="183"/>
        <v>3.9123287671232876</v>
      </c>
      <c r="N332" s="21">
        <f t="shared" si="209"/>
        <v>0.59243534298368083</v>
      </c>
      <c r="O332" s="35">
        <v>0</v>
      </c>
      <c r="P332" s="35">
        <f t="shared" si="184"/>
        <v>0</v>
      </c>
      <c r="Q332" s="35">
        <v>37</v>
      </c>
      <c r="R332" s="35">
        <f t="shared" si="185"/>
        <v>1.5797835966168101</v>
      </c>
      <c r="S332" s="45">
        <v>2.95</v>
      </c>
      <c r="T332" s="45">
        <f t="shared" si="210"/>
        <v>0.46982201597816303</v>
      </c>
      <c r="U332" s="175">
        <f t="shared" si="186"/>
        <v>0.98066867374425604</v>
      </c>
      <c r="V332" s="48">
        <f t="shared" si="187"/>
        <v>0.29681183283328078</v>
      </c>
      <c r="W332" s="35">
        <v>1455.046</v>
      </c>
      <c r="X332" s="35">
        <f t="shared" si="188"/>
        <v>3.1628767233771686</v>
      </c>
      <c r="Y332" s="35">
        <v>4062.5129999999999</v>
      </c>
      <c r="Z332" s="35">
        <f t="shared" si="189"/>
        <v>3.6087947637270492</v>
      </c>
      <c r="AA332" s="35">
        <v>0</v>
      </c>
      <c r="AB332" s="37">
        <f t="shared" si="190"/>
        <v>0</v>
      </c>
      <c r="AC332" s="35">
        <v>93.2</v>
      </c>
      <c r="AD332" s="35">
        <f t="shared" si="211"/>
        <v>1.9694159123539814</v>
      </c>
      <c r="AE332" s="48">
        <v>26.7</v>
      </c>
      <c r="AF332" s="48">
        <f t="shared" si="212"/>
        <v>1.4265112613645752</v>
      </c>
      <c r="AG332" s="43">
        <v>36.669158714517401</v>
      </c>
      <c r="AH332" s="43">
        <f t="shared" si="213"/>
        <v>1.5643009462345601</v>
      </c>
      <c r="AI332" s="39">
        <v>0.41</v>
      </c>
      <c r="AJ332" s="48">
        <f t="shared" si="191"/>
        <v>0.14921911265537988</v>
      </c>
      <c r="AK332" s="35">
        <v>23</v>
      </c>
      <c r="AL332" s="35">
        <f t="shared" si="214"/>
        <v>1.3617278360175928</v>
      </c>
      <c r="AM332" s="35">
        <f t="shared" si="192"/>
        <v>0</v>
      </c>
      <c r="AN332" s="35">
        <f t="shared" si="193"/>
        <v>1</v>
      </c>
      <c r="AO332" s="35">
        <f t="shared" si="194"/>
        <v>0</v>
      </c>
      <c r="AP332" s="35">
        <f t="shared" si="195"/>
        <v>0</v>
      </c>
      <c r="AQ332" s="35">
        <f t="shared" si="196"/>
        <v>0</v>
      </c>
      <c r="AR332" s="35">
        <f t="shared" si="197"/>
        <v>0</v>
      </c>
      <c r="AS332" s="35">
        <f t="shared" si="198"/>
        <v>0</v>
      </c>
      <c r="AT332" s="35">
        <f t="shared" si="199"/>
        <v>0</v>
      </c>
      <c r="AU332" s="35">
        <f t="shared" si="200"/>
        <v>0</v>
      </c>
      <c r="AV332" s="35">
        <f t="shared" si="201"/>
        <v>0</v>
      </c>
      <c r="AW332" s="35">
        <f t="shared" si="202"/>
        <v>0</v>
      </c>
      <c r="AX332" s="35">
        <f t="shared" si="203"/>
        <v>0</v>
      </c>
      <c r="AY332" s="35">
        <f t="shared" si="204"/>
        <v>0</v>
      </c>
      <c r="AZ332" s="35">
        <f t="shared" si="205"/>
        <v>0</v>
      </c>
      <c r="BA332" s="35">
        <f t="shared" si="206"/>
        <v>0</v>
      </c>
      <c r="BB332" s="35">
        <f t="shared" si="207"/>
        <v>0</v>
      </c>
      <c r="BC332" s="35">
        <f t="shared" si="208"/>
        <v>0</v>
      </c>
    </row>
    <row r="333" spans="1:55" s="35" customFormat="1" x14ac:dyDescent="0.35">
      <c r="A333" s="36">
        <v>39055</v>
      </c>
      <c r="B333" s="35" t="s">
        <v>741</v>
      </c>
      <c r="C333" s="35" t="s">
        <v>45</v>
      </c>
      <c r="D333" s="35" t="s">
        <v>577</v>
      </c>
      <c r="E333" s="35" t="s">
        <v>64</v>
      </c>
      <c r="F333" s="139">
        <f t="shared" si="181"/>
        <v>1</v>
      </c>
      <c r="G333" s="35">
        <v>12828530000</v>
      </c>
      <c r="H333" s="139">
        <f t="shared" si="182"/>
        <v>10.108176894140763</v>
      </c>
      <c r="I333" s="35">
        <f>G333-J333</f>
        <v>13025440000</v>
      </c>
      <c r="J333" s="35">
        <v>-196910000</v>
      </c>
      <c r="K333" s="36">
        <v>40688</v>
      </c>
      <c r="L333" s="35">
        <v>15354111245</v>
      </c>
      <c r="M333" s="21">
        <f t="shared" si="183"/>
        <v>4.4739726027397264</v>
      </c>
      <c r="N333" s="21">
        <f t="shared" si="209"/>
        <v>0.65069332028019344</v>
      </c>
      <c r="O333" s="35">
        <v>5897.96</v>
      </c>
      <c r="P333" s="35">
        <f t="shared" si="184"/>
        <v>3.7707754512906644</v>
      </c>
      <c r="Q333" s="35">
        <v>2</v>
      </c>
      <c r="R333" s="35">
        <f t="shared" si="185"/>
        <v>0.47712125471966244</v>
      </c>
      <c r="S333" s="45">
        <v>2.3199999999999998</v>
      </c>
      <c r="T333" s="45">
        <f t="shared" si="210"/>
        <v>0.36548798489089962</v>
      </c>
      <c r="U333" s="175">
        <f t="shared" si="186"/>
        <v>0.19687222503279789</v>
      </c>
      <c r="V333" s="48">
        <f t="shared" si="187"/>
        <v>7.8047788731252177E-2</v>
      </c>
      <c r="W333" s="35">
        <v>1861.7599999999995</v>
      </c>
      <c r="X333" s="35">
        <f t="shared" si="188"/>
        <v>3.2699236952309461</v>
      </c>
      <c r="Y333" s="35">
        <v>4993.920000000001</v>
      </c>
      <c r="Z333" s="35">
        <f t="shared" si="189"/>
        <v>3.6984415808994222</v>
      </c>
      <c r="AA333" s="37">
        <v>132</v>
      </c>
      <c r="AB333" s="37">
        <f t="shared" si="190"/>
        <v>2.1238516409670858</v>
      </c>
      <c r="AC333" s="35">
        <v>93.2</v>
      </c>
      <c r="AD333" s="35">
        <f t="shared" si="211"/>
        <v>1.9694159123539814</v>
      </c>
      <c r="AE333" s="48">
        <v>26.7</v>
      </c>
      <c r="AF333" s="48">
        <f t="shared" si="212"/>
        <v>1.4265112613645752</v>
      </c>
      <c r="AG333" s="43">
        <v>36.669158714517401</v>
      </c>
      <c r="AH333" s="43">
        <f t="shared" si="213"/>
        <v>1.5643009462345601</v>
      </c>
      <c r="AI333" s="39">
        <v>0.62</v>
      </c>
      <c r="AJ333" s="48">
        <f t="shared" si="191"/>
        <v>0.20951501454263097</v>
      </c>
      <c r="AK333" s="35">
        <v>22</v>
      </c>
      <c r="AL333" s="35">
        <f t="shared" si="214"/>
        <v>1.3424226808222062</v>
      </c>
      <c r="AM333" s="35">
        <f t="shared" si="192"/>
        <v>0</v>
      </c>
      <c r="AN333" s="35">
        <f t="shared" si="193"/>
        <v>1</v>
      </c>
      <c r="AO333" s="35">
        <f t="shared" si="194"/>
        <v>0</v>
      </c>
      <c r="AP333" s="35">
        <f t="shared" si="195"/>
        <v>0</v>
      </c>
      <c r="AQ333" s="35">
        <f t="shared" si="196"/>
        <v>0</v>
      </c>
      <c r="AR333" s="35">
        <f t="shared" si="197"/>
        <v>0</v>
      </c>
      <c r="AS333" s="35">
        <f t="shared" si="198"/>
        <v>0</v>
      </c>
      <c r="AT333" s="35">
        <f t="shared" si="199"/>
        <v>0</v>
      </c>
      <c r="AU333" s="35">
        <f t="shared" si="200"/>
        <v>0</v>
      </c>
      <c r="AV333" s="35">
        <f t="shared" si="201"/>
        <v>0</v>
      </c>
      <c r="AW333" s="35">
        <f t="shared" si="202"/>
        <v>0</v>
      </c>
      <c r="AX333" s="35">
        <f t="shared" si="203"/>
        <v>0</v>
      </c>
      <c r="AY333" s="35">
        <f t="shared" si="204"/>
        <v>0</v>
      </c>
      <c r="AZ333" s="35">
        <f t="shared" si="205"/>
        <v>0</v>
      </c>
      <c r="BA333" s="35">
        <f t="shared" si="206"/>
        <v>0</v>
      </c>
      <c r="BB333" s="35">
        <f t="shared" si="207"/>
        <v>0</v>
      </c>
      <c r="BC333" s="35">
        <f t="shared" si="208"/>
        <v>0</v>
      </c>
    </row>
    <row r="334" spans="1:55" s="35" customFormat="1" x14ac:dyDescent="0.35">
      <c r="A334" s="36">
        <v>39065</v>
      </c>
      <c r="B334" s="35" t="s">
        <v>474</v>
      </c>
      <c r="C334" s="35" t="s">
        <v>434</v>
      </c>
      <c r="D334" s="35" t="s">
        <v>59</v>
      </c>
      <c r="E334" s="35" t="s">
        <v>125</v>
      </c>
      <c r="F334" s="139">
        <f t="shared" si="181"/>
        <v>1</v>
      </c>
      <c r="G334" s="35">
        <v>2570000000</v>
      </c>
      <c r="H334" s="139">
        <f t="shared" si="182"/>
        <v>9.4099331233312942</v>
      </c>
      <c r="I334" s="35">
        <f>G334</f>
        <v>2570000000</v>
      </c>
      <c r="J334" s="35">
        <v>0</v>
      </c>
      <c r="K334" s="36">
        <v>41487</v>
      </c>
      <c r="L334" s="35">
        <v>3655000000</v>
      </c>
      <c r="M334" s="21">
        <f t="shared" si="183"/>
        <v>6.6356164383561644</v>
      </c>
      <c r="N334" s="21">
        <f t="shared" si="209"/>
        <v>0.82188127435055869</v>
      </c>
      <c r="O334" s="35">
        <v>1434.12</v>
      </c>
      <c r="P334" s="35">
        <f t="shared" si="184"/>
        <v>3.1568882168601933</v>
      </c>
      <c r="Q334" s="35">
        <v>98</v>
      </c>
      <c r="R334" s="35">
        <f t="shared" si="185"/>
        <v>1.9956351945975499</v>
      </c>
      <c r="S334" s="45">
        <v>2.5099999999999998</v>
      </c>
      <c r="T334" s="45">
        <f t="shared" si="210"/>
        <v>0.39967372148103808</v>
      </c>
      <c r="U334" s="175">
        <f t="shared" si="186"/>
        <v>0.4221789883268483</v>
      </c>
      <c r="V334" s="48">
        <f t="shared" si="187"/>
        <v>0.15295425796258474</v>
      </c>
      <c r="W334" s="35">
        <v>1248.0746999999999</v>
      </c>
      <c r="X334" s="35">
        <f t="shared" si="188"/>
        <v>3.0962405795987471</v>
      </c>
      <c r="Y334" s="35">
        <v>2518.2170000000001</v>
      </c>
      <c r="Z334" s="35">
        <f t="shared" si="189"/>
        <v>3.4010931514437841</v>
      </c>
      <c r="AA334" s="37">
        <v>605.16666666666697</v>
      </c>
      <c r="AB334" s="37">
        <f t="shared" si="190"/>
        <v>2.7825920506710684</v>
      </c>
      <c r="AC334" s="35">
        <v>78.400000000000006</v>
      </c>
      <c r="AD334" s="35">
        <f t="shared" si="211"/>
        <v>1.8943160626844384</v>
      </c>
      <c r="AE334" s="48">
        <v>40.57</v>
      </c>
      <c r="AF334" s="48">
        <f t="shared" si="212"/>
        <v>1.6082050077043262</v>
      </c>
      <c r="AG334" s="43">
        <v>47.629620244041597</v>
      </c>
      <c r="AH334" s="43">
        <f t="shared" si="213"/>
        <v>1.6778771188499342</v>
      </c>
      <c r="AI334" s="39">
        <v>0.03</v>
      </c>
      <c r="AJ334" s="48">
        <f t="shared" si="191"/>
        <v>1.2837224705172217E-2</v>
      </c>
      <c r="AK334" s="35">
        <v>19</v>
      </c>
      <c r="AL334" s="35">
        <f t="shared" si="214"/>
        <v>1.2787536009528289</v>
      </c>
      <c r="AM334" s="35">
        <f t="shared" si="192"/>
        <v>0</v>
      </c>
      <c r="AN334" s="35">
        <f t="shared" si="193"/>
        <v>0</v>
      </c>
      <c r="AO334" s="35">
        <f t="shared" si="194"/>
        <v>0</v>
      </c>
      <c r="AP334" s="35">
        <f t="shared" si="195"/>
        <v>0</v>
      </c>
      <c r="AQ334" s="35">
        <f t="shared" si="196"/>
        <v>0</v>
      </c>
      <c r="AR334" s="35">
        <f t="shared" si="197"/>
        <v>0</v>
      </c>
      <c r="AS334" s="35">
        <f t="shared" si="198"/>
        <v>0</v>
      </c>
      <c r="AT334" s="35">
        <f t="shared" si="199"/>
        <v>0</v>
      </c>
      <c r="AU334" s="35">
        <f t="shared" si="200"/>
        <v>0</v>
      </c>
      <c r="AV334" s="35">
        <f t="shared" si="201"/>
        <v>0</v>
      </c>
      <c r="AW334" s="35">
        <f t="shared" si="202"/>
        <v>1</v>
      </c>
      <c r="AX334" s="35">
        <f t="shared" si="203"/>
        <v>0</v>
      </c>
      <c r="AY334" s="35">
        <f t="shared" si="204"/>
        <v>0</v>
      </c>
      <c r="AZ334" s="35">
        <f t="shared" si="205"/>
        <v>0</v>
      </c>
      <c r="BA334" s="35">
        <f t="shared" si="206"/>
        <v>0</v>
      </c>
      <c r="BB334" s="35">
        <f t="shared" si="207"/>
        <v>0</v>
      </c>
      <c r="BC334" s="35">
        <f t="shared" si="208"/>
        <v>0</v>
      </c>
    </row>
    <row r="335" spans="1:55" s="35" customFormat="1" x14ac:dyDescent="0.35">
      <c r="A335" s="36">
        <v>39082</v>
      </c>
      <c r="B335" s="35" t="s">
        <v>868</v>
      </c>
      <c r="C335" s="35" t="s">
        <v>434</v>
      </c>
      <c r="D335" s="35" t="s">
        <v>45</v>
      </c>
      <c r="E335" s="35" t="s">
        <v>64</v>
      </c>
      <c r="F335" s="139">
        <f t="shared" si="181"/>
        <v>1</v>
      </c>
      <c r="G335" s="35">
        <v>740000000</v>
      </c>
      <c r="H335" s="139">
        <f t="shared" si="182"/>
        <v>8.8692317197309762</v>
      </c>
      <c r="I335" s="35">
        <f>G335</f>
        <v>740000000</v>
      </c>
      <c r="J335" s="35">
        <v>0</v>
      </c>
      <c r="K335" s="36">
        <v>39519</v>
      </c>
      <c r="L335" s="35">
        <v>835500000</v>
      </c>
      <c r="M335" s="21">
        <f t="shared" si="183"/>
        <v>1.1972602739726028</v>
      </c>
      <c r="N335" s="21">
        <f t="shared" si="209"/>
        <v>7.818857251394716E-2</v>
      </c>
      <c r="O335" s="35">
        <v>7216.98</v>
      </c>
      <c r="P335" s="35">
        <f t="shared" si="184"/>
        <v>3.8584156743566731</v>
      </c>
      <c r="Q335" s="35">
        <v>116</v>
      </c>
      <c r="R335" s="35">
        <f t="shared" si="185"/>
        <v>2.0681858617461617</v>
      </c>
      <c r="S335" s="45">
        <v>2.66</v>
      </c>
      <c r="T335" s="45">
        <f t="shared" si="210"/>
        <v>0.42488163663106698</v>
      </c>
      <c r="U335" s="175">
        <f t="shared" si="186"/>
        <v>0.12905405405405412</v>
      </c>
      <c r="V335" s="48">
        <f t="shared" si="187"/>
        <v>5.2714734498433974E-2</v>
      </c>
      <c r="W335" s="35">
        <v>1537.2400756143668</v>
      </c>
      <c r="X335" s="35">
        <f t="shared" si="188"/>
        <v>3.1867416979308154</v>
      </c>
      <c r="Y335" s="35">
        <v>4542.1550094517952</v>
      </c>
      <c r="Z335" s="35">
        <f t="shared" si="189"/>
        <v>3.6572619512401316</v>
      </c>
      <c r="AA335" s="37">
        <v>649.83333333333303</v>
      </c>
      <c r="AB335" s="37">
        <f t="shared" si="190"/>
        <v>2.8134697878296753</v>
      </c>
      <c r="AC335" s="35">
        <v>78.400000000000006</v>
      </c>
      <c r="AD335" s="35">
        <f t="shared" si="211"/>
        <v>1.8943160626844384</v>
      </c>
      <c r="AE335" s="48">
        <v>40.57</v>
      </c>
      <c r="AF335" s="48">
        <f t="shared" si="212"/>
        <v>1.6082050077043262</v>
      </c>
      <c r="AG335" s="43">
        <v>47.629620244041597</v>
      </c>
      <c r="AH335" s="43">
        <f t="shared" si="213"/>
        <v>1.6778771188499342</v>
      </c>
      <c r="AI335" s="39">
        <v>-0.05</v>
      </c>
      <c r="AJ335" s="48">
        <f t="shared" si="191"/>
        <v>-2.2276394711152253E-2</v>
      </c>
      <c r="AK335" s="35">
        <v>16</v>
      </c>
      <c r="AL335" s="35">
        <f t="shared" si="214"/>
        <v>1.2041199826559248</v>
      </c>
      <c r="AM335" s="35">
        <f t="shared" si="192"/>
        <v>0</v>
      </c>
      <c r="AN335" s="35">
        <f t="shared" si="193"/>
        <v>0</v>
      </c>
      <c r="AO335" s="35">
        <f t="shared" si="194"/>
        <v>0</v>
      </c>
      <c r="AP335" s="35">
        <f t="shared" si="195"/>
        <v>0</v>
      </c>
      <c r="AQ335" s="35">
        <f t="shared" si="196"/>
        <v>0</v>
      </c>
      <c r="AR335" s="35">
        <f t="shared" si="197"/>
        <v>0</v>
      </c>
      <c r="AS335" s="35">
        <f t="shared" si="198"/>
        <v>0</v>
      </c>
      <c r="AT335" s="35">
        <f t="shared" si="199"/>
        <v>0</v>
      </c>
      <c r="AU335" s="35">
        <f t="shared" si="200"/>
        <v>0</v>
      </c>
      <c r="AV335" s="35">
        <f t="shared" si="201"/>
        <v>0</v>
      </c>
      <c r="AW335" s="35">
        <f t="shared" si="202"/>
        <v>1</v>
      </c>
      <c r="AX335" s="35">
        <f t="shared" si="203"/>
        <v>0</v>
      </c>
      <c r="AY335" s="35">
        <f t="shared" si="204"/>
        <v>0</v>
      </c>
      <c r="AZ335" s="35">
        <f t="shared" si="205"/>
        <v>0</v>
      </c>
      <c r="BA335" s="35">
        <f t="shared" si="206"/>
        <v>0</v>
      </c>
      <c r="BB335" s="35">
        <f t="shared" si="207"/>
        <v>0</v>
      </c>
      <c r="BC335" s="35">
        <f t="shared" si="208"/>
        <v>0</v>
      </c>
    </row>
    <row r="336" spans="1:55" s="35" customFormat="1" x14ac:dyDescent="0.35">
      <c r="A336" s="36">
        <v>39082</v>
      </c>
      <c r="B336" s="35" t="s">
        <v>868</v>
      </c>
      <c r="C336" s="35" t="s">
        <v>434</v>
      </c>
      <c r="D336" s="35" t="s">
        <v>45</v>
      </c>
      <c r="E336" s="35" t="s">
        <v>64</v>
      </c>
      <c r="F336" s="139">
        <f t="shared" si="181"/>
        <v>1</v>
      </c>
      <c r="G336" s="35">
        <v>740000000</v>
      </c>
      <c r="H336" s="139">
        <f t="shared" si="182"/>
        <v>8.8692317197309762</v>
      </c>
      <c r="I336" s="35">
        <f>G336</f>
        <v>740000000</v>
      </c>
      <c r="J336" s="35">
        <v>0</v>
      </c>
      <c r="K336" s="36">
        <v>39519</v>
      </c>
      <c r="L336" s="35">
        <v>835500000</v>
      </c>
      <c r="M336" s="21">
        <f t="shared" si="183"/>
        <v>1.1972602739726028</v>
      </c>
      <c r="N336" s="21">
        <f t="shared" si="209"/>
        <v>7.818857251394716E-2</v>
      </c>
      <c r="O336" s="35">
        <v>7216.98</v>
      </c>
      <c r="P336" s="35">
        <f t="shared" si="184"/>
        <v>3.8584156743566731</v>
      </c>
      <c r="Q336" s="35">
        <v>116</v>
      </c>
      <c r="R336" s="35">
        <f t="shared" si="185"/>
        <v>2.0681858617461617</v>
      </c>
      <c r="S336" s="45">
        <v>2.66</v>
      </c>
      <c r="T336" s="45">
        <f t="shared" si="210"/>
        <v>0.42488163663106698</v>
      </c>
      <c r="U336" s="175">
        <f t="shared" si="186"/>
        <v>0.12905405405405412</v>
      </c>
      <c r="V336" s="48">
        <f t="shared" si="187"/>
        <v>5.2714734498433974E-2</v>
      </c>
      <c r="W336" s="35">
        <v>1537.2400756143668</v>
      </c>
      <c r="X336" s="35">
        <f t="shared" si="188"/>
        <v>3.1867416979308154</v>
      </c>
      <c r="Y336" s="35">
        <v>4542.1550094517952</v>
      </c>
      <c r="Z336" s="35">
        <f t="shared" si="189"/>
        <v>3.6572619512401316</v>
      </c>
      <c r="AA336" s="37">
        <v>649.83333333333303</v>
      </c>
      <c r="AB336" s="37">
        <f t="shared" si="190"/>
        <v>2.8134697878296753</v>
      </c>
      <c r="AC336" s="35">
        <v>78.400000000000006</v>
      </c>
      <c r="AD336" s="35">
        <f t="shared" si="211"/>
        <v>1.8943160626844384</v>
      </c>
      <c r="AE336" s="48">
        <v>40.57</v>
      </c>
      <c r="AF336" s="48">
        <f t="shared" si="212"/>
        <v>1.6082050077043262</v>
      </c>
      <c r="AG336" s="43">
        <v>47.629620244041597</v>
      </c>
      <c r="AH336" s="43">
        <f t="shared" si="213"/>
        <v>1.6778771188499342</v>
      </c>
      <c r="AI336" s="39">
        <v>0.31</v>
      </c>
      <c r="AJ336" s="48">
        <f t="shared" si="191"/>
        <v>0.11727129565576427</v>
      </c>
      <c r="AK336" s="35">
        <v>16</v>
      </c>
      <c r="AL336" s="35">
        <f t="shared" si="214"/>
        <v>1.2041199826559248</v>
      </c>
      <c r="AM336" s="35">
        <f t="shared" si="192"/>
        <v>0</v>
      </c>
      <c r="AN336" s="35">
        <f t="shared" si="193"/>
        <v>0</v>
      </c>
      <c r="AO336" s="35">
        <f t="shared" si="194"/>
        <v>0</v>
      </c>
      <c r="AP336" s="35">
        <f t="shared" si="195"/>
        <v>0</v>
      </c>
      <c r="AQ336" s="35">
        <f t="shared" si="196"/>
        <v>0</v>
      </c>
      <c r="AR336" s="35">
        <f t="shared" si="197"/>
        <v>0</v>
      </c>
      <c r="AS336" s="35">
        <f t="shared" si="198"/>
        <v>0</v>
      </c>
      <c r="AT336" s="35">
        <f t="shared" si="199"/>
        <v>0</v>
      </c>
      <c r="AU336" s="35">
        <f t="shared" si="200"/>
        <v>0</v>
      </c>
      <c r="AV336" s="35">
        <f t="shared" si="201"/>
        <v>0</v>
      </c>
      <c r="AW336" s="35">
        <f t="shared" si="202"/>
        <v>1</v>
      </c>
      <c r="AX336" s="35">
        <f t="shared" si="203"/>
        <v>0</v>
      </c>
      <c r="AY336" s="35">
        <f t="shared" si="204"/>
        <v>0</v>
      </c>
      <c r="AZ336" s="35">
        <f t="shared" si="205"/>
        <v>0</v>
      </c>
      <c r="BA336" s="35">
        <f t="shared" si="206"/>
        <v>0</v>
      </c>
      <c r="BB336" s="35">
        <f t="shared" si="207"/>
        <v>0</v>
      </c>
      <c r="BC336" s="35">
        <f t="shared" si="208"/>
        <v>0</v>
      </c>
    </row>
    <row r="337" spans="1:55" s="35" customFormat="1" x14ac:dyDescent="0.35">
      <c r="A337" s="36">
        <v>40207</v>
      </c>
      <c r="B337" s="90" t="s">
        <v>699</v>
      </c>
      <c r="C337" s="35" t="s">
        <v>59</v>
      </c>
      <c r="D337" s="35" t="s">
        <v>602</v>
      </c>
      <c r="E337" s="35" t="s">
        <v>64</v>
      </c>
      <c r="F337" s="139">
        <f t="shared" si="181"/>
        <v>1</v>
      </c>
      <c r="G337" s="35">
        <v>280000000</v>
      </c>
      <c r="H337" s="139">
        <f t="shared" si="182"/>
        <v>8.4471580313422194</v>
      </c>
      <c r="I337" s="35">
        <f>G337</f>
        <v>280000000</v>
      </c>
      <c r="J337" s="35">
        <v>0</v>
      </c>
      <c r="K337" s="36">
        <v>42075</v>
      </c>
      <c r="L337" s="35">
        <v>680000000</v>
      </c>
      <c r="M337" s="21">
        <f t="shared" si="183"/>
        <v>5.117808219178082</v>
      </c>
      <c r="N337" s="21">
        <f t="shared" si="209"/>
        <v>0.70908400743759981</v>
      </c>
      <c r="O337" s="35">
        <v>5897.96</v>
      </c>
      <c r="P337" s="35">
        <f t="shared" si="184"/>
        <v>3.7707754512906644</v>
      </c>
      <c r="Q337" s="35">
        <v>90</v>
      </c>
      <c r="R337" s="35">
        <f t="shared" si="185"/>
        <v>1.9590413923210936</v>
      </c>
      <c r="S337" s="45">
        <v>2.3199999999999998</v>
      </c>
      <c r="T337" s="45">
        <f t="shared" si="210"/>
        <v>0.36548798489089962</v>
      </c>
      <c r="U337" s="175">
        <f t="shared" si="186"/>
        <v>1.4285714285714284</v>
      </c>
      <c r="V337" s="48">
        <f t="shared" si="187"/>
        <v>0.38535088136401707</v>
      </c>
      <c r="W337" s="35">
        <v>1421.558</v>
      </c>
      <c r="X337" s="35">
        <f t="shared" si="188"/>
        <v>3.1527645837352773</v>
      </c>
      <c r="Y337" s="35">
        <v>3476.3409999999999</v>
      </c>
      <c r="Z337" s="35">
        <f t="shared" si="189"/>
        <v>3.5411223705253856</v>
      </c>
      <c r="AA337" s="37">
        <v>132</v>
      </c>
      <c r="AB337" s="37">
        <f t="shared" si="190"/>
        <v>2.1238516409670858</v>
      </c>
      <c r="AC337" s="35">
        <v>94.9</v>
      </c>
      <c r="AD337" s="35">
        <f t="shared" si="211"/>
        <v>1.9772662124272926</v>
      </c>
      <c r="AE337" s="48">
        <v>32.299999999999997</v>
      </c>
      <c r="AF337" s="48">
        <f t="shared" si="212"/>
        <v>1.5092025223311027</v>
      </c>
      <c r="AG337" s="43">
        <v>47.560703662314701</v>
      </c>
      <c r="AH337" s="43">
        <f t="shared" si="213"/>
        <v>1.6772482713966061</v>
      </c>
      <c r="AI337" s="39">
        <v>0.63</v>
      </c>
      <c r="AJ337" s="48">
        <f t="shared" si="191"/>
        <v>0.21218760440395779</v>
      </c>
      <c r="AK337" s="35">
        <v>24</v>
      </c>
      <c r="AL337" s="35">
        <f t="shared" si="214"/>
        <v>1.3802112417116059</v>
      </c>
      <c r="AM337" s="35">
        <f t="shared" si="192"/>
        <v>0</v>
      </c>
      <c r="AN337" s="35">
        <f t="shared" si="193"/>
        <v>0</v>
      </c>
      <c r="AO337" s="35">
        <f t="shared" si="194"/>
        <v>1</v>
      </c>
      <c r="AP337" s="35">
        <f t="shared" si="195"/>
        <v>0</v>
      </c>
      <c r="AQ337" s="35">
        <f t="shared" si="196"/>
        <v>0</v>
      </c>
      <c r="AR337" s="35">
        <f t="shared" si="197"/>
        <v>0</v>
      </c>
      <c r="AS337" s="35">
        <f t="shared" si="198"/>
        <v>0</v>
      </c>
      <c r="AT337" s="35">
        <f t="shared" si="199"/>
        <v>0</v>
      </c>
      <c r="AU337" s="35">
        <f t="shared" si="200"/>
        <v>0</v>
      </c>
      <c r="AV337" s="35">
        <f t="shared" si="201"/>
        <v>0</v>
      </c>
      <c r="AW337" s="35">
        <f t="shared" si="202"/>
        <v>0</v>
      </c>
      <c r="AX337" s="35">
        <f t="shared" si="203"/>
        <v>0</v>
      </c>
      <c r="AY337" s="35">
        <f t="shared" si="204"/>
        <v>0</v>
      </c>
      <c r="AZ337" s="35">
        <f t="shared" si="205"/>
        <v>0</v>
      </c>
      <c r="BA337" s="35">
        <f t="shared" si="206"/>
        <v>0</v>
      </c>
      <c r="BB337" s="35">
        <f t="shared" si="207"/>
        <v>0</v>
      </c>
      <c r="BC337" s="35">
        <f t="shared" si="208"/>
        <v>0</v>
      </c>
    </row>
    <row r="338" spans="1:55" s="35" customFormat="1" x14ac:dyDescent="0.35">
      <c r="A338" s="36">
        <v>40211</v>
      </c>
      <c r="B338" s="35" t="s">
        <v>277</v>
      </c>
      <c r="C338" s="35" t="s">
        <v>2</v>
      </c>
      <c r="D338" s="35" t="s">
        <v>4</v>
      </c>
      <c r="E338" s="35" t="s">
        <v>125</v>
      </c>
      <c r="F338" s="139">
        <f t="shared" si="181"/>
        <v>1</v>
      </c>
      <c r="G338" s="35">
        <v>2300000000</v>
      </c>
      <c r="H338" s="139">
        <f t="shared" si="182"/>
        <v>9.3617278360175931</v>
      </c>
      <c r="I338" s="35">
        <v>2300000000</v>
      </c>
      <c r="J338" s="35">
        <v>0</v>
      </c>
      <c r="K338" s="36">
        <v>41501</v>
      </c>
      <c r="L338" s="35">
        <v>3330000000</v>
      </c>
      <c r="M338" s="21">
        <f t="shared" si="183"/>
        <v>3.5342465753424657</v>
      </c>
      <c r="N338" s="21">
        <f t="shared" si="209"/>
        <v>0.54829684584277427</v>
      </c>
      <c r="O338" s="35">
        <v>1314.22</v>
      </c>
      <c r="P338" s="35">
        <f t="shared" si="184"/>
        <v>3.1189984043805832</v>
      </c>
      <c r="Q338" s="35">
        <v>168</v>
      </c>
      <c r="R338" s="35">
        <f t="shared" si="185"/>
        <v>2.2278867046136734</v>
      </c>
      <c r="S338" s="45">
        <v>3.13</v>
      </c>
      <c r="T338" s="45">
        <f t="shared" si="210"/>
        <v>0.49554433754644844</v>
      </c>
      <c r="U338" s="175">
        <f t="shared" si="186"/>
        <v>0.44782608695652182</v>
      </c>
      <c r="V338" s="48">
        <f t="shared" si="187"/>
        <v>0.16071639748872701</v>
      </c>
      <c r="W338" s="35">
        <v>1450.8446376578247</v>
      </c>
      <c r="X338" s="35">
        <f t="shared" si="188"/>
        <v>3.1616209089088487</v>
      </c>
      <c r="Y338" s="35">
        <v>6306.1358665754287</v>
      </c>
      <c r="Z338" s="35">
        <f t="shared" si="189"/>
        <v>3.7997633234477775</v>
      </c>
      <c r="AA338" s="37">
        <v>1177</v>
      </c>
      <c r="AB338" s="37">
        <f t="shared" si="190"/>
        <v>3.0711452904510828</v>
      </c>
      <c r="AC338" s="35">
        <v>89.6</v>
      </c>
      <c r="AD338" s="35">
        <f t="shared" si="211"/>
        <v>1.9523080096621253</v>
      </c>
      <c r="AE338" s="48">
        <v>35</v>
      </c>
      <c r="AF338" s="48">
        <f t="shared" si="212"/>
        <v>1.5440680443502757</v>
      </c>
      <c r="AG338" s="43">
        <v>47.255451423610303</v>
      </c>
      <c r="AH338" s="43">
        <f t="shared" si="213"/>
        <v>1.6744519162659719</v>
      </c>
      <c r="AI338" s="39">
        <v>0.44</v>
      </c>
      <c r="AJ338" s="48">
        <f t="shared" si="191"/>
        <v>0.15836249209524964</v>
      </c>
      <c r="AK338" s="35">
        <v>22</v>
      </c>
      <c r="AL338" s="35">
        <f t="shared" si="214"/>
        <v>1.3424226808222062</v>
      </c>
      <c r="AM338" s="35">
        <f t="shared" si="192"/>
        <v>0</v>
      </c>
      <c r="AN338" s="35">
        <f t="shared" si="193"/>
        <v>0</v>
      </c>
      <c r="AO338" s="35">
        <f t="shared" si="194"/>
        <v>0</v>
      </c>
      <c r="AP338" s="35">
        <f t="shared" si="195"/>
        <v>0</v>
      </c>
      <c r="AQ338" s="35">
        <f t="shared" si="196"/>
        <v>0</v>
      </c>
      <c r="AR338" s="35">
        <f t="shared" si="197"/>
        <v>0</v>
      </c>
      <c r="AS338" s="35">
        <f t="shared" si="198"/>
        <v>0</v>
      </c>
      <c r="AT338" s="35">
        <f t="shared" si="199"/>
        <v>0</v>
      </c>
      <c r="AU338" s="35">
        <f t="shared" si="200"/>
        <v>0</v>
      </c>
      <c r="AV338" s="35">
        <f t="shared" si="201"/>
        <v>1</v>
      </c>
      <c r="AW338" s="35">
        <f t="shared" si="202"/>
        <v>0</v>
      </c>
      <c r="AX338" s="35">
        <f t="shared" si="203"/>
        <v>0</v>
      </c>
      <c r="AY338" s="35">
        <f t="shared" si="204"/>
        <v>0</v>
      </c>
      <c r="AZ338" s="35">
        <f t="shared" si="205"/>
        <v>0</v>
      </c>
      <c r="BA338" s="35">
        <f t="shared" si="206"/>
        <v>0</v>
      </c>
      <c r="BB338" s="35">
        <f t="shared" si="207"/>
        <v>0</v>
      </c>
      <c r="BC338" s="35">
        <f t="shared" si="208"/>
        <v>0</v>
      </c>
    </row>
    <row r="339" spans="1:55" s="35" customFormat="1" x14ac:dyDescent="0.35">
      <c r="A339" s="36">
        <v>40220</v>
      </c>
      <c r="B339" s="139" t="s">
        <v>132</v>
      </c>
      <c r="C339" s="139" t="s">
        <v>59</v>
      </c>
      <c r="D339" s="139" t="s">
        <v>59</v>
      </c>
      <c r="E339" s="139" t="s">
        <v>102</v>
      </c>
      <c r="F339" s="139">
        <f t="shared" si="181"/>
        <v>0</v>
      </c>
      <c r="G339" s="139">
        <v>185000000</v>
      </c>
      <c r="H339" s="139">
        <f t="shared" si="182"/>
        <v>8.2671717284030137</v>
      </c>
      <c r="I339" s="139">
        <v>185000000</v>
      </c>
      <c r="J339" s="139">
        <v>0</v>
      </c>
      <c r="K339" s="18">
        <v>41355</v>
      </c>
      <c r="L339" s="139">
        <v>446317819</v>
      </c>
      <c r="M339" s="21">
        <f t="shared" si="183"/>
        <v>3.1095890410958904</v>
      </c>
      <c r="N339" s="21">
        <f t="shared" si="209"/>
        <v>0.49270299707266679</v>
      </c>
      <c r="O339" s="35">
        <v>0</v>
      </c>
      <c r="P339" s="35">
        <f t="shared" si="184"/>
        <v>0</v>
      </c>
      <c r="Q339" s="35">
        <v>10</v>
      </c>
      <c r="R339" s="35">
        <f t="shared" si="185"/>
        <v>1.0413926851582251</v>
      </c>
      <c r="S339" s="45">
        <v>3.29</v>
      </c>
      <c r="T339" s="45">
        <f t="shared" si="210"/>
        <v>0.51719589794997434</v>
      </c>
      <c r="U339" s="175">
        <f t="shared" si="186"/>
        <v>1.4125287513513514</v>
      </c>
      <c r="V339" s="48">
        <f t="shared" si="187"/>
        <v>0.38247249775835224</v>
      </c>
      <c r="W339" s="35">
        <v>1539.0581717451521</v>
      </c>
      <c r="X339" s="35">
        <f t="shared" si="188"/>
        <v>3.1872550351599198</v>
      </c>
      <c r="Y339" s="14">
        <v>7713.0193905817187</v>
      </c>
      <c r="Z339" s="35">
        <f t="shared" si="189"/>
        <v>3.8872244231830928</v>
      </c>
      <c r="AA339" s="37">
        <v>0</v>
      </c>
      <c r="AB339" s="37">
        <f t="shared" si="190"/>
        <v>0</v>
      </c>
      <c r="AC339" s="35">
        <v>94.9</v>
      </c>
      <c r="AD339" s="35">
        <f t="shared" si="211"/>
        <v>1.9772662124272926</v>
      </c>
      <c r="AE339" s="48">
        <v>32.299999999999997</v>
      </c>
      <c r="AF339" s="48">
        <f t="shared" si="212"/>
        <v>1.5092025223311027</v>
      </c>
      <c r="AG339" s="43">
        <v>47.560703662314701</v>
      </c>
      <c r="AH339" s="43">
        <f t="shared" si="213"/>
        <v>1.6772482713966061</v>
      </c>
      <c r="AI339" s="39">
        <v>0.52</v>
      </c>
      <c r="AJ339" s="48">
        <f t="shared" si="191"/>
        <v>0.18184358794477254</v>
      </c>
      <c r="AK339" s="35">
        <v>21</v>
      </c>
      <c r="AL339" s="35">
        <f t="shared" si="214"/>
        <v>1.3222192947339193</v>
      </c>
      <c r="AM339" s="35">
        <f t="shared" si="192"/>
        <v>0</v>
      </c>
      <c r="AN339" s="35">
        <f t="shared" si="193"/>
        <v>0</v>
      </c>
      <c r="AO339" s="35">
        <f t="shared" si="194"/>
        <v>1</v>
      </c>
      <c r="AP339" s="35">
        <f t="shared" si="195"/>
        <v>0</v>
      </c>
      <c r="AQ339" s="35">
        <f t="shared" si="196"/>
        <v>0</v>
      </c>
      <c r="AR339" s="35">
        <f t="shared" si="197"/>
        <v>0</v>
      </c>
      <c r="AS339" s="35">
        <f t="shared" si="198"/>
        <v>0</v>
      </c>
      <c r="AT339" s="35">
        <f t="shared" si="199"/>
        <v>0</v>
      </c>
      <c r="AU339" s="35">
        <f t="shared" si="200"/>
        <v>0</v>
      </c>
      <c r="AV339" s="35">
        <f t="shared" si="201"/>
        <v>0</v>
      </c>
      <c r="AW339" s="35">
        <f t="shared" si="202"/>
        <v>0</v>
      </c>
      <c r="AX339" s="35">
        <f t="shared" si="203"/>
        <v>0</v>
      </c>
      <c r="AY339" s="35">
        <f t="shared" si="204"/>
        <v>0</v>
      </c>
      <c r="AZ339" s="35">
        <f t="shared" si="205"/>
        <v>0</v>
      </c>
      <c r="BA339" s="35">
        <f t="shared" si="206"/>
        <v>0</v>
      </c>
      <c r="BB339" s="35">
        <f t="shared" si="207"/>
        <v>0</v>
      </c>
      <c r="BC339" s="35">
        <f t="shared" si="208"/>
        <v>0</v>
      </c>
    </row>
    <row r="340" spans="1:55" s="35" customFormat="1" x14ac:dyDescent="0.35">
      <c r="A340" s="36">
        <v>40225</v>
      </c>
      <c r="B340" s="35" t="s">
        <v>723</v>
      </c>
      <c r="C340" s="35" t="s">
        <v>163</v>
      </c>
      <c r="D340" s="35" t="s">
        <v>577</v>
      </c>
      <c r="E340" s="35" t="s">
        <v>64</v>
      </c>
      <c r="F340" s="139">
        <f t="shared" si="181"/>
        <v>1</v>
      </c>
      <c r="G340" s="35">
        <v>806407825</v>
      </c>
      <c r="H340" s="139">
        <f t="shared" si="182"/>
        <v>8.9065547333100721</v>
      </c>
      <c r="I340" s="35">
        <f>G340</f>
        <v>806407825</v>
      </c>
      <c r="J340" s="35">
        <v>0</v>
      </c>
      <c r="K340" s="36">
        <v>41926</v>
      </c>
      <c r="L340" s="35">
        <v>1011346446</v>
      </c>
      <c r="M340" s="21">
        <f t="shared" si="183"/>
        <v>4.6602739726027398</v>
      </c>
      <c r="N340" s="21">
        <f t="shared" si="209"/>
        <v>0.66841144915609429</v>
      </c>
      <c r="O340" s="35">
        <v>342.74</v>
      </c>
      <c r="P340" s="35">
        <f t="shared" si="184"/>
        <v>2.5362300726332561</v>
      </c>
      <c r="Q340" s="35">
        <v>5</v>
      </c>
      <c r="R340" s="35">
        <f t="shared" si="185"/>
        <v>0.77815125038364363</v>
      </c>
      <c r="S340" s="45">
        <v>2.3199999999999998</v>
      </c>
      <c r="T340" s="45">
        <f t="shared" si="210"/>
        <v>0.36548798489089962</v>
      </c>
      <c r="U340" s="175">
        <f t="shared" si="186"/>
        <v>0.25413768895409716</v>
      </c>
      <c r="V340" s="48">
        <f t="shared" si="187"/>
        <v>9.8345219325912878E-2</v>
      </c>
      <c r="W340" s="35">
        <v>1655.1111111111111</v>
      </c>
      <c r="X340" s="35">
        <f t="shared" si="188"/>
        <v>3.2188271541979425</v>
      </c>
      <c r="Y340" s="35">
        <v>5715.5555555555547</v>
      </c>
      <c r="Z340" s="35">
        <f t="shared" si="189"/>
        <v>3.7570584504768405</v>
      </c>
      <c r="AA340" s="37">
        <v>569.16666666666697</v>
      </c>
      <c r="AB340" s="37">
        <f t="shared" si="190"/>
        <v>2.756001823801419</v>
      </c>
      <c r="AC340" s="35">
        <v>86.3</v>
      </c>
      <c r="AD340" s="35">
        <f t="shared" si="211"/>
        <v>1.9360107957152095</v>
      </c>
      <c r="AE340" s="48">
        <v>42.1</v>
      </c>
      <c r="AF340" s="48">
        <f t="shared" si="212"/>
        <v>1.6242820958356683</v>
      </c>
      <c r="AG340" s="43">
        <v>56.8818351627258</v>
      </c>
      <c r="AH340" s="43">
        <f t="shared" si="213"/>
        <v>1.7549735994690439</v>
      </c>
      <c r="AI340" s="39">
        <v>0.9</v>
      </c>
      <c r="AJ340" s="48">
        <f t="shared" si="191"/>
        <v>0.27875360095282892</v>
      </c>
      <c r="AK340" s="35">
        <v>19</v>
      </c>
      <c r="AL340" s="35">
        <f t="shared" si="214"/>
        <v>1.2787536009528289</v>
      </c>
      <c r="AM340" s="35">
        <f t="shared" si="192"/>
        <v>0</v>
      </c>
      <c r="AN340" s="35">
        <f t="shared" si="193"/>
        <v>0</v>
      </c>
      <c r="AO340" s="35">
        <f t="shared" si="194"/>
        <v>0</v>
      </c>
      <c r="AP340" s="35">
        <f t="shared" si="195"/>
        <v>0</v>
      </c>
      <c r="AQ340" s="35">
        <f t="shared" si="196"/>
        <v>0</v>
      </c>
      <c r="AR340" s="35">
        <f t="shared" si="197"/>
        <v>0</v>
      </c>
      <c r="AS340" s="35">
        <f t="shared" si="198"/>
        <v>0</v>
      </c>
      <c r="AT340" s="35">
        <f t="shared" si="199"/>
        <v>1</v>
      </c>
      <c r="AU340" s="35">
        <f t="shared" si="200"/>
        <v>0</v>
      </c>
      <c r="AV340" s="35">
        <f t="shared" si="201"/>
        <v>0</v>
      </c>
      <c r="AW340" s="35">
        <f t="shared" si="202"/>
        <v>0</v>
      </c>
      <c r="AX340" s="35">
        <f t="shared" si="203"/>
        <v>0</v>
      </c>
      <c r="AY340" s="35">
        <f t="shared" si="204"/>
        <v>0</v>
      </c>
      <c r="AZ340" s="35">
        <f t="shared" si="205"/>
        <v>0</v>
      </c>
      <c r="BA340" s="35">
        <f t="shared" si="206"/>
        <v>0</v>
      </c>
      <c r="BB340" s="35">
        <f t="shared" si="207"/>
        <v>0</v>
      </c>
      <c r="BC340" s="35">
        <f t="shared" si="208"/>
        <v>0</v>
      </c>
    </row>
    <row r="341" spans="1:55" s="35" customFormat="1" x14ac:dyDescent="0.35">
      <c r="A341" s="36">
        <v>40252</v>
      </c>
      <c r="B341" s="35" t="s">
        <v>463</v>
      </c>
      <c r="C341" s="35" t="s">
        <v>163</v>
      </c>
      <c r="D341" s="35" t="s">
        <v>59</v>
      </c>
      <c r="E341" s="35" t="s">
        <v>125</v>
      </c>
      <c r="F341" s="139">
        <f t="shared" si="181"/>
        <v>1</v>
      </c>
      <c r="G341" s="35">
        <v>800000000</v>
      </c>
      <c r="H341" s="139">
        <f t="shared" si="182"/>
        <v>8.9030899869919438</v>
      </c>
      <c r="I341" s="35">
        <f>G341</f>
        <v>800000000</v>
      </c>
      <c r="J341" s="35">
        <v>0</v>
      </c>
      <c r="K341" s="36">
        <v>41990</v>
      </c>
      <c r="L341" s="35">
        <v>1400000000</v>
      </c>
      <c r="M341" s="21">
        <f t="shared" si="183"/>
        <v>4.7616438356164386</v>
      </c>
      <c r="N341" s="21">
        <f t="shared" si="209"/>
        <v>0.67775690765617302</v>
      </c>
      <c r="O341" s="35">
        <v>342.74</v>
      </c>
      <c r="P341" s="35">
        <f t="shared" si="184"/>
        <v>2.5362300726332561</v>
      </c>
      <c r="Q341" s="35">
        <v>4</v>
      </c>
      <c r="R341" s="35">
        <f t="shared" si="185"/>
        <v>0.69897000433601886</v>
      </c>
      <c r="S341" s="45">
        <v>2.3199999999999998</v>
      </c>
      <c r="T341" s="45">
        <f t="shared" si="210"/>
        <v>0.36548798489089962</v>
      </c>
      <c r="U341" s="175">
        <f t="shared" si="186"/>
        <v>0.75</v>
      </c>
      <c r="V341" s="48">
        <f t="shared" si="187"/>
        <v>0.24303804868629444</v>
      </c>
      <c r="W341" s="35">
        <v>1248.0746999999999</v>
      </c>
      <c r="X341" s="35">
        <f t="shared" si="188"/>
        <v>3.0962405795987471</v>
      </c>
      <c r="Y341" s="35">
        <v>2518.2170000000001</v>
      </c>
      <c r="Z341" s="35">
        <f t="shared" si="189"/>
        <v>3.4010931514437841</v>
      </c>
      <c r="AA341" s="37">
        <v>569.16666666666697</v>
      </c>
      <c r="AB341" s="37">
        <f t="shared" si="190"/>
        <v>2.756001823801419</v>
      </c>
      <c r="AC341" s="35">
        <v>86.3</v>
      </c>
      <c r="AD341" s="35">
        <f t="shared" si="211"/>
        <v>1.9360107957152095</v>
      </c>
      <c r="AE341" s="48">
        <v>42.1</v>
      </c>
      <c r="AF341" s="48">
        <f t="shared" si="212"/>
        <v>1.6242820958356683</v>
      </c>
      <c r="AG341" s="43">
        <v>56.8818351627258</v>
      </c>
      <c r="AH341" s="43">
        <f t="shared" si="213"/>
        <v>1.7549735994690439</v>
      </c>
      <c r="AI341" s="39">
        <v>0.84</v>
      </c>
      <c r="AJ341" s="48">
        <f t="shared" si="191"/>
        <v>0.26481782300953643</v>
      </c>
      <c r="AK341" s="35">
        <v>19</v>
      </c>
      <c r="AL341" s="35">
        <f t="shared" si="214"/>
        <v>1.2787536009528289</v>
      </c>
      <c r="AM341" s="35">
        <f t="shared" si="192"/>
        <v>0</v>
      </c>
      <c r="AN341" s="35">
        <f t="shared" si="193"/>
        <v>0</v>
      </c>
      <c r="AO341" s="35">
        <f t="shared" si="194"/>
        <v>0</v>
      </c>
      <c r="AP341" s="35">
        <f t="shared" si="195"/>
        <v>0</v>
      </c>
      <c r="AQ341" s="35">
        <f t="shared" si="196"/>
        <v>0</v>
      </c>
      <c r="AR341" s="35">
        <f t="shared" si="197"/>
        <v>0</v>
      </c>
      <c r="AS341" s="35">
        <f t="shared" si="198"/>
        <v>0</v>
      </c>
      <c r="AT341" s="35">
        <f t="shared" si="199"/>
        <v>1</v>
      </c>
      <c r="AU341" s="35">
        <f t="shared" si="200"/>
        <v>0</v>
      </c>
      <c r="AV341" s="35">
        <f t="shared" si="201"/>
        <v>0</v>
      </c>
      <c r="AW341" s="35">
        <f t="shared" si="202"/>
        <v>0</v>
      </c>
      <c r="AX341" s="35">
        <f t="shared" si="203"/>
        <v>0</v>
      </c>
      <c r="AY341" s="35">
        <f t="shared" si="204"/>
        <v>0</v>
      </c>
      <c r="AZ341" s="35">
        <f t="shared" si="205"/>
        <v>0</v>
      </c>
      <c r="BA341" s="35">
        <f t="shared" si="206"/>
        <v>0</v>
      </c>
      <c r="BB341" s="35">
        <f t="shared" si="207"/>
        <v>0</v>
      </c>
      <c r="BC341" s="35">
        <f t="shared" si="208"/>
        <v>0</v>
      </c>
    </row>
    <row r="342" spans="1:55" s="35" customFormat="1" x14ac:dyDescent="0.35">
      <c r="A342" s="36">
        <v>40260</v>
      </c>
      <c r="B342" s="35" t="s">
        <v>593</v>
      </c>
      <c r="C342" s="35" t="s">
        <v>1</v>
      </c>
      <c r="D342" s="35" t="s">
        <v>577</v>
      </c>
      <c r="E342" s="35" t="s">
        <v>102</v>
      </c>
      <c r="F342" s="139">
        <f t="shared" si="181"/>
        <v>0</v>
      </c>
      <c r="G342" s="35">
        <v>24300000</v>
      </c>
      <c r="H342" s="139">
        <f t="shared" si="182"/>
        <v>7.3856062735983121</v>
      </c>
      <c r="I342" s="35">
        <f>G342</f>
        <v>24300000</v>
      </c>
      <c r="J342" s="35">
        <v>0</v>
      </c>
      <c r="K342" s="36">
        <v>42045</v>
      </c>
      <c r="L342" s="35">
        <v>0</v>
      </c>
      <c r="M342" s="21">
        <f t="shared" si="183"/>
        <v>4.8904109589041092</v>
      </c>
      <c r="N342" s="21">
        <f t="shared" si="209"/>
        <v>0.6893453559917373</v>
      </c>
      <c r="O342" s="35">
        <v>0</v>
      </c>
      <c r="P342" s="35">
        <f t="shared" si="184"/>
        <v>0</v>
      </c>
      <c r="Q342" s="35">
        <v>1</v>
      </c>
      <c r="R342" s="35">
        <f t="shared" si="185"/>
        <v>0.3010299956639812</v>
      </c>
      <c r="S342" s="45">
        <v>3.42</v>
      </c>
      <c r="T342" s="45">
        <f t="shared" si="210"/>
        <v>0.53402610605613499</v>
      </c>
      <c r="U342" s="175">
        <f t="shared" si="186"/>
        <v>-1</v>
      </c>
      <c r="V342" s="48">
        <f t="shared" si="187"/>
        <v>-1</v>
      </c>
      <c r="W342" s="35">
        <v>3472</v>
      </c>
      <c r="X342" s="35">
        <f t="shared" si="188"/>
        <v>3.5405797165044541</v>
      </c>
      <c r="Y342" s="35">
        <v>7848</v>
      </c>
      <c r="Z342" s="35">
        <f t="shared" si="189"/>
        <v>3.8947589943718919</v>
      </c>
      <c r="AA342" s="37">
        <v>0</v>
      </c>
      <c r="AB342" s="37">
        <f t="shared" si="190"/>
        <v>0</v>
      </c>
      <c r="AC342" s="35">
        <v>88.8</v>
      </c>
      <c r="AD342" s="35">
        <f t="shared" si="211"/>
        <v>1.9484129657786009</v>
      </c>
      <c r="AE342" s="48">
        <v>41.9</v>
      </c>
      <c r="AF342" s="48">
        <f t="shared" si="212"/>
        <v>1.6222140229662954</v>
      </c>
      <c r="AG342" s="43">
        <v>44.943689399743</v>
      </c>
      <c r="AH342" s="43">
        <f t="shared" si="213"/>
        <v>1.6526687205126336</v>
      </c>
      <c r="AI342" s="39">
        <v>0.19</v>
      </c>
      <c r="AJ342" s="48">
        <f t="shared" si="191"/>
        <v>7.554696139253074E-2</v>
      </c>
      <c r="AK342" s="35">
        <v>18</v>
      </c>
      <c r="AL342" s="35">
        <f t="shared" si="214"/>
        <v>1.255272505103306</v>
      </c>
      <c r="AM342" s="35">
        <f t="shared" si="192"/>
        <v>1</v>
      </c>
      <c r="AN342" s="35">
        <f t="shared" si="193"/>
        <v>0</v>
      </c>
      <c r="AO342" s="35">
        <f t="shared" si="194"/>
        <v>0</v>
      </c>
      <c r="AP342" s="35">
        <f t="shared" si="195"/>
        <v>1</v>
      </c>
      <c r="AQ342" s="35">
        <f t="shared" si="196"/>
        <v>0</v>
      </c>
      <c r="AR342" s="35">
        <f t="shared" si="197"/>
        <v>0</v>
      </c>
      <c r="AS342" s="35">
        <f t="shared" si="198"/>
        <v>0</v>
      </c>
      <c r="AT342" s="35">
        <f t="shared" si="199"/>
        <v>0</v>
      </c>
      <c r="AU342" s="35">
        <f t="shared" si="200"/>
        <v>0</v>
      </c>
      <c r="AV342" s="35">
        <f t="shared" si="201"/>
        <v>0</v>
      </c>
      <c r="AW342" s="35">
        <f t="shared" si="202"/>
        <v>0</v>
      </c>
      <c r="AX342" s="35">
        <f t="shared" si="203"/>
        <v>0</v>
      </c>
      <c r="AY342" s="35">
        <f t="shared" si="204"/>
        <v>0</v>
      </c>
      <c r="AZ342" s="35">
        <f t="shared" si="205"/>
        <v>0</v>
      </c>
      <c r="BA342" s="35">
        <f t="shared" si="206"/>
        <v>0</v>
      </c>
      <c r="BB342" s="35">
        <f t="shared" si="207"/>
        <v>0</v>
      </c>
      <c r="BC342" s="35">
        <f t="shared" si="208"/>
        <v>0</v>
      </c>
    </row>
    <row r="343" spans="1:55" s="35" customFormat="1" x14ac:dyDescent="0.35">
      <c r="A343" s="36">
        <v>40300</v>
      </c>
      <c r="B343" s="35" t="s">
        <v>910</v>
      </c>
      <c r="C343" s="35" t="s">
        <v>59</v>
      </c>
      <c r="D343" s="35" t="s">
        <v>59</v>
      </c>
      <c r="E343" s="35" t="s">
        <v>47</v>
      </c>
      <c r="F343" s="139">
        <f t="shared" si="181"/>
        <v>0</v>
      </c>
      <c r="G343" s="35">
        <v>95286000</v>
      </c>
      <c r="H343" s="139">
        <f t="shared" si="182"/>
        <v>7.9790290961326695</v>
      </c>
      <c r="I343" s="35">
        <f>G343</f>
        <v>95286000</v>
      </c>
      <c r="J343" s="35">
        <v>0</v>
      </c>
      <c r="K343" s="36">
        <v>42377</v>
      </c>
      <c r="L343" s="35">
        <v>35000000</v>
      </c>
      <c r="M343" s="21">
        <f t="shared" si="183"/>
        <v>5.6904109589041099</v>
      </c>
      <c r="N343" s="21">
        <f t="shared" si="209"/>
        <v>0.75514363207862445</v>
      </c>
      <c r="O343" s="35">
        <v>0</v>
      </c>
      <c r="P343" s="35">
        <f t="shared" si="184"/>
        <v>0</v>
      </c>
      <c r="Q343" s="35">
        <v>21</v>
      </c>
      <c r="R343" s="35">
        <f t="shared" si="185"/>
        <v>1.3424226808222062</v>
      </c>
      <c r="S343" s="45">
        <v>3.29</v>
      </c>
      <c r="T343" s="45">
        <f t="shared" si="210"/>
        <v>0.51719589794997434</v>
      </c>
      <c r="U343" s="175">
        <f t="shared" si="186"/>
        <v>-0.63268475956593839</v>
      </c>
      <c r="V343" s="48">
        <f t="shared" si="187"/>
        <v>-0.43496105178239375</v>
      </c>
      <c r="W343" s="35">
        <v>3425.6694367497698</v>
      </c>
      <c r="X343" s="35">
        <f t="shared" si="188"/>
        <v>3.5347454529897258</v>
      </c>
      <c r="Y343" s="35">
        <v>9322.8685749461365</v>
      </c>
      <c r="Z343" s="35">
        <f t="shared" si="189"/>
        <v>3.9695495619878729</v>
      </c>
      <c r="AA343" s="37">
        <v>0</v>
      </c>
      <c r="AB343" s="37">
        <f t="shared" si="190"/>
        <v>0</v>
      </c>
      <c r="AC343" s="35">
        <v>94.9</v>
      </c>
      <c r="AD343" s="35">
        <f t="shared" si="211"/>
        <v>1.9772662124272926</v>
      </c>
      <c r="AE343" s="48">
        <v>32.299999999999997</v>
      </c>
      <c r="AF343" s="48">
        <f t="shared" si="212"/>
        <v>1.5092025223311027</v>
      </c>
      <c r="AG343" s="43">
        <v>47.560703662314701</v>
      </c>
      <c r="AH343" s="43">
        <f t="shared" si="213"/>
        <v>1.6772482713966061</v>
      </c>
      <c r="AI343" s="39">
        <v>0.53</v>
      </c>
      <c r="AJ343" s="48">
        <f t="shared" si="191"/>
        <v>0.18469143081759881</v>
      </c>
      <c r="AK343" s="35">
        <v>18</v>
      </c>
      <c r="AL343" s="35">
        <f t="shared" si="214"/>
        <v>1.255272505103306</v>
      </c>
      <c r="AM343" s="35">
        <f t="shared" si="192"/>
        <v>0</v>
      </c>
      <c r="AN343" s="35">
        <f t="shared" si="193"/>
        <v>0</v>
      </c>
      <c r="AO343" s="35">
        <f t="shared" si="194"/>
        <v>1</v>
      </c>
      <c r="AP343" s="35">
        <f t="shared" si="195"/>
        <v>0</v>
      </c>
      <c r="AQ343" s="35">
        <f t="shared" si="196"/>
        <v>0</v>
      </c>
      <c r="AR343" s="35">
        <f t="shared" si="197"/>
        <v>0</v>
      </c>
      <c r="AS343" s="35">
        <f t="shared" si="198"/>
        <v>0</v>
      </c>
      <c r="AT343" s="35">
        <f t="shared" si="199"/>
        <v>0</v>
      </c>
      <c r="AU343" s="35">
        <f t="shared" si="200"/>
        <v>0</v>
      </c>
      <c r="AV343" s="35">
        <f t="shared" si="201"/>
        <v>0</v>
      </c>
      <c r="AW343" s="35">
        <f t="shared" si="202"/>
        <v>0</v>
      </c>
      <c r="AX343" s="35">
        <f t="shared" si="203"/>
        <v>0</v>
      </c>
      <c r="AY343" s="35">
        <f t="shared" si="204"/>
        <v>0</v>
      </c>
      <c r="AZ343" s="35">
        <f t="shared" si="205"/>
        <v>0</v>
      </c>
      <c r="BA343" s="35">
        <f t="shared" si="206"/>
        <v>0</v>
      </c>
      <c r="BB343" s="35">
        <f t="shared" si="207"/>
        <v>0</v>
      </c>
      <c r="BC343" s="35">
        <f t="shared" si="208"/>
        <v>0</v>
      </c>
    </row>
    <row r="344" spans="1:55" s="35" customFormat="1" x14ac:dyDescent="0.35">
      <c r="A344" s="36">
        <v>40311</v>
      </c>
      <c r="B344" s="35" t="s">
        <v>386</v>
      </c>
      <c r="C344" s="35" t="s">
        <v>45</v>
      </c>
      <c r="D344" s="35" t="s">
        <v>45</v>
      </c>
      <c r="E344" s="35" t="s">
        <v>102</v>
      </c>
      <c r="F344" s="139">
        <f t="shared" si="181"/>
        <v>0</v>
      </c>
      <c r="G344" s="35">
        <v>458198000</v>
      </c>
      <c r="H344" s="139">
        <f t="shared" si="182"/>
        <v>8.6610531891945843</v>
      </c>
      <c r="I344" s="35">
        <v>458198000</v>
      </c>
      <c r="J344" s="35">
        <v>0</v>
      </c>
      <c r="K344" s="36">
        <v>43308</v>
      </c>
      <c r="L344" s="35">
        <v>2216401000</v>
      </c>
      <c r="M344" s="21">
        <f t="shared" si="183"/>
        <v>8.2109589041095887</v>
      </c>
      <c r="N344" s="21">
        <f t="shared" si="209"/>
        <v>0.91439387848916998</v>
      </c>
      <c r="O344" s="35">
        <v>0</v>
      </c>
      <c r="P344" s="35">
        <f t="shared" si="184"/>
        <v>0</v>
      </c>
      <c r="Q344" s="35">
        <v>6</v>
      </c>
      <c r="R344" s="35">
        <f t="shared" si="185"/>
        <v>0.84509804001425681</v>
      </c>
      <c r="S344" s="45">
        <v>2.95</v>
      </c>
      <c r="T344" s="45">
        <f t="shared" si="210"/>
        <v>0.46982201597816303</v>
      </c>
      <c r="U344" s="175">
        <f t="shared" si="186"/>
        <v>3.8372122968672935</v>
      </c>
      <c r="V344" s="48">
        <f t="shared" si="187"/>
        <v>0.68459514823913259</v>
      </c>
      <c r="W344" s="35">
        <v>1518.5350000000001</v>
      </c>
      <c r="X344" s="35">
        <f t="shared" si="188"/>
        <v>3.1814248062191788</v>
      </c>
      <c r="Y344" s="35">
        <v>5363.16</v>
      </c>
      <c r="Z344" s="35">
        <f t="shared" si="189"/>
        <v>3.7294207535322617</v>
      </c>
      <c r="AA344" s="37">
        <v>0</v>
      </c>
      <c r="AB344" s="37">
        <f t="shared" si="190"/>
        <v>0</v>
      </c>
      <c r="AC344" s="35">
        <v>91.3</v>
      </c>
      <c r="AD344" s="35">
        <f t="shared" si="211"/>
        <v>1.9604707775342989</v>
      </c>
      <c r="AE344" s="48">
        <v>23.5</v>
      </c>
      <c r="AF344" s="48">
        <f t="shared" si="212"/>
        <v>1.3710678622717363</v>
      </c>
      <c r="AG344" s="43">
        <v>43.1672842383418</v>
      </c>
      <c r="AH344" s="43">
        <f t="shared" si="213"/>
        <v>1.6351547269652249</v>
      </c>
      <c r="AI344" s="39">
        <v>-0.31</v>
      </c>
      <c r="AJ344" s="48">
        <f t="shared" si="191"/>
        <v>-0.16115090926274472</v>
      </c>
      <c r="AK344" s="35">
        <v>15</v>
      </c>
      <c r="AL344" s="35">
        <f t="shared" si="214"/>
        <v>1.1760912590556813</v>
      </c>
      <c r="AM344" s="35">
        <f t="shared" si="192"/>
        <v>0</v>
      </c>
      <c r="AN344" s="35">
        <f t="shared" si="193"/>
        <v>1</v>
      </c>
      <c r="AO344" s="35">
        <f t="shared" si="194"/>
        <v>0</v>
      </c>
      <c r="AP344" s="35">
        <f t="shared" si="195"/>
        <v>0</v>
      </c>
      <c r="AQ344" s="35">
        <f t="shared" si="196"/>
        <v>0</v>
      </c>
      <c r="AR344" s="35">
        <f t="shared" si="197"/>
        <v>0</v>
      </c>
      <c r="AS344" s="35">
        <f t="shared" si="198"/>
        <v>0</v>
      </c>
      <c r="AT344" s="35">
        <f t="shared" si="199"/>
        <v>0</v>
      </c>
      <c r="AU344" s="35">
        <f t="shared" si="200"/>
        <v>0</v>
      </c>
      <c r="AV344" s="35">
        <f t="shared" si="201"/>
        <v>0</v>
      </c>
      <c r="AW344" s="35">
        <f t="shared" si="202"/>
        <v>0</v>
      </c>
      <c r="AX344" s="35">
        <f t="shared" si="203"/>
        <v>0</v>
      </c>
      <c r="AY344" s="35">
        <f t="shared" si="204"/>
        <v>0</v>
      </c>
      <c r="AZ344" s="35">
        <f t="shared" si="205"/>
        <v>0</v>
      </c>
      <c r="BA344" s="35">
        <f t="shared" si="206"/>
        <v>0</v>
      </c>
      <c r="BB344" s="35">
        <f t="shared" si="207"/>
        <v>0</v>
      </c>
      <c r="BC344" s="35">
        <f t="shared" si="208"/>
        <v>0</v>
      </c>
    </row>
    <row r="345" spans="1:55" s="35" customFormat="1" x14ac:dyDescent="0.35">
      <c r="A345" s="36">
        <v>40318</v>
      </c>
      <c r="B345" s="35" t="s">
        <v>718</v>
      </c>
      <c r="C345" s="35" t="s">
        <v>497</v>
      </c>
      <c r="D345" s="35" t="s">
        <v>577</v>
      </c>
      <c r="E345" s="35" t="s">
        <v>64</v>
      </c>
      <c r="F345" s="139">
        <f t="shared" si="181"/>
        <v>1</v>
      </c>
      <c r="G345" s="35">
        <v>1000000000</v>
      </c>
      <c r="H345" s="139">
        <f t="shared" si="182"/>
        <v>9</v>
      </c>
      <c r="I345" s="35">
        <f>G345</f>
        <v>1000000000</v>
      </c>
      <c r="J345" s="35">
        <v>0</v>
      </c>
      <c r="K345" s="36">
        <v>42377</v>
      </c>
      <c r="L345" s="35">
        <v>2345100000</v>
      </c>
      <c r="M345" s="21">
        <f t="shared" si="183"/>
        <v>5.6410958904109592</v>
      </c>
      <c r="N345" s="21">
        <f t="shared" si="209"/>
        <v>0.75136348216155668</v>
      </c>
      <c r="O345" s="35">
        <v>463.97</v>
      </c>
      <c r="P345" s="35">
        <f t="shared" si="184"/>
        <v>2.6674249329872439</v>
      </c>
      <c r="Q345" s="35">
        <v>0</v>
      </c>
      <c r="R345" s="35">
        <f t="shared" si="185"/>
        <v>0</v>
      </c>
      <c r="S345" s="45">
        <v>2.61</v>
      </c>
      <c r="T345" s="45">
        <f t="shared" si="210"/>
        <v>0.41664050733828095</v>
      </c>
      <c r="U345" s="175">
        <f t="shared" si="186"/>
        <v>1.3451</v>
      </c>
      <c r="V345" s="48">
        <f t="shared" si="187"/>
        <v>0.37016136667678035</v>
      </c>
      <c r="W345" s="35">
        <v>1669.0315179326171</v>
      </c>
      <c r="X345" s="35">
        <f t="shared" si="188"/>
        <v>3.22246453795844</v>
      </c>
      <c r="Y345" s="35">
        <v>5094.7953145755328</v>
      </c>
      <c r="Z345" s="35">
        <f t="shared" si="189"/>
        <v>3.7071267407396937</v>
      </c>
      <c r="AA345" s="37">
        <v>193.166666666667</v>
      </c>
      <c r="AB345" s="37">
        <f t="shared" si="190"/>
        <v>2.2881746749783951</v>
      </c>
      <c r="AC345" s="35">
        <v>92.8</v>
      </c>
      <c r="AD345" s="35">
        <f t="shared" si="211"/>
        <v>1.9675479762188621</v>
      </c>
      <c r="AE345" s="48">
        <v>27</v>
      </c>
      <c r="AF345" s="48">
        <f t="shared" si="212"/>
        <v>1.4313637641589874</v>
      </c>
      <c r="AG345" s="43">
        <v>65.041501268831993</v>
      </c>
      <c r="AH345" s="43">
        <f t="shared" si="213"/>
        <v>1.8131905569593969</v>
      </c>
      <c r="AI345" s="39">
        <v>-0.11</v>
      </c>
      <c r="AJ345" s="48">
        <f t="shared" si="191"/>
        <v>-5.0609993355087209E-2</v>
      </c>
      <c r="AK345" s="35">
        <v>15</v>
      </c>
      <c r="AL345" s="35">
        <f t="shared" si="214"/>
        <v>1.1760912590556813</v>
      </c>
      <c r="AM345" s="35">
        <f t="shared" si="192"/>
        <v>0</v>
      </c>
      <c r="AN345" s="35">
        <f t="shared" si="193"/>
        <v>0</v>
      </c>
      <c r="AO345" s="35">
        <f t="shared" si="194"/>
        <v>0</v>
      </c>
      <c r="AP345" s="35">
        <f t="shared" si="195"/>
        <v>0</v>
      </c>
      <c r="AQ345" s="35">
        <f t="shared" si="196"/>
        <v>0</v>
      </c>
      <c r="AR345" s="35">
        <f t="shared" si="197"/>
        <v>0</v>
      </c>
      <c r="AS345" s="35">
        <f t="shared" si="198"/>
        <v>0</v>
      </c>
      <c r="AT345" s="35">
        <f t="shared" si="199"/>
        <v>0</v>
      </c>
      <c r="AU345" s="35">
        <f t="shared" si="200"/>
        <v>0</v>
      </c>
      <c r="AV345" s="35">
        <f t="shared" si="201"/>
        <v>0</v>
      </c>
      <c r="AW345" s="35">
        <f t="shared" si="202"/>
        <v>0</v>
      </c>
      <c r="AX345" s="35">
        <f t="shared" si="203"/>
        <v>0</v>
      </c>
      <c r="AY345" s="35">
        <f t="shared" si="204"/>
        <v>0</v>
      </c>
      <c r="AZ345" s="35">
        <f t="shared" si="205"/>
        <v>0</v>
      </c>
      <c r="BA345" s="35">
        <f t="shared" si="206"/>
        <v>0</v>
      </c>
      <c r="BB345" s="35">
        <f t="shared" si="207"/>
        <v>1</v>
      </c>
      <c r="BC345" s="35">
        <f t="shared" si="208"/>
        <v>0</v>
      </c>
    </row>
    <row r="346" spans="1:55" s="35" customFormat="1" x14ac:dyDescent="0.35">
      <c r="A346" s="36">
        <v>40345</v>
      </c>
      <c r="B346" s="35" t="s">
        <v>562</v>
      </c>
      <c r="C346" s="35" t="s">
        <v>2</v>
      </c>
      <c r="D346" s="35" t="s">
        <v>59</v>
      </c>
      <c r="E346" s="35" t="s">
        <v>125</v>
      </c>
      <c r="F346" s="139">
        <f t="shared" si="181"/>
        <v>1</v>
      </c>
      <c r="G346" s="35">
        <v>125158911</v>
      </c>
      <c r="H346" s="139">
        <f t="shared" si="182"/>
        <v>8.0974617757209728</v>
      </c>
      <c r="I346" s="35">
        <f>G346</f>
        <v>125158911</v>
      </c>
      <c r="J346" s="35">
        <v>0</v>
      </c>
      <c r="K346" s="36">
        <v>42248</v>
      </c>
      <c r="L346" s="35">
        <v>210000000</v>
      </c>
      <c r="M346" s="21">
        <f t="shared" si="183"/>
        <v>5.2136986301369861</v>
      </c>
      <c r="N346" s="21">
        <f t="shared" si="209"/>
        <v>0.71714592383054576</v>
      </c>
      <c r="O346" s="35">
        <v>917.19</v>
      </c>
      <c r="P346" s="35">
        <f t="shared" si="184"/>
        <v>2.9629325585580042</v>
      </c>
      <c r="Q346" s="35">
        <v>15</v>
      </c>
      <c r="R346" s="35">
        <f t="shared" si="185"/>
        <v>1.2041199826559248</v>
      </c>
      <c r="S346" s="45">
        <v>2.62</v>
      </c>
      <c r="T346" s="45">
        <f t="shared" si="210"/>
        <v>0.41830129131974547</v>
      </c>
      <c r="U346" s="175">
        <f t="shared" si="186"/>
        <v>0.67786694788355906</v>
      </c>
      <c r="V346" s="48">
        <f t="shared" si="187"/>
        <v>0.22475751901294613</v>
      </c>
      <c r="W346" s="35">
        <v>1932.09461208012</v>
      </c>
      <c r="X346" s="35">
        <f t="shared" si="188"/>
        <v>3.2860283894181141</v>
      </c>
      <c r="Y346" s="35">
        <v>8126.3909735520938</v>
      </c>
      <c r="Z346" s="35">
        <f t="shared" si="189"/>
        <v>3.9098977130890344</v>
      </c>
      <c r="AA346" s="37">
        <v>854.66666666666697</v>
      </c>
      <c r="AB346" s="37">
        <f t="shared" si="190"/>
        <v>2.9323046139517812</v>
      </c>
      <c r="AC346" s="35">
        <v>89.6</v>
      </c>
      <c r="AD346" s="35">
        <f t="shared" si="211"/>
        <v>1.9523080096621253</v>
      </c>
      <c r="AE346" s="48">
        <v>35</v>
      </c>
      <c r="AF346" s="48">
        <f t="shared" si="212"/>
        <v>1.5440680443502757</v>
      </c>
      <c r="AG346" s="43">
        <v>47.255451423610303</v>
      </c>
      <c r="AH346" s="43">
        <f t="shared" si="213"/>
        <v>1.6744519162659719</v>
      </c>
      <c r="AI346" s="39">
        <v>0.3</v>
      </c>
      <c r="AJ346" s="48">
        <f t="shared" si="191"/>
        <v>0.11394335230683679</v>
      </c>
      <c r="AK346" s="35">
        <v>13</v>
      </c>
      <c r="AL346" s="35">
        <f t="shared" si="214"/>
        <v>1.1139433523068367</v>
      </c>
      <c r="AM346" s="35">
        <f t="shared" si="192"/>
        <v>0</v>
      </c>
      <c r="AN346" s="35">
        <f t="shared" si="193"/>
        <v>0</v>
      </c>
      <c r="AO346" s="35">
        <f t="shared" si="194"/>
        <v>0</v>
      </c>
      <c r="AP346" s="35">
        <f t="shared" si="195"/>
        <v>0</v>
      </c>
      <c r="AQ346" s="35">
        <f t="shared" si="196"/>
        <v>0</v>
      </c>
      <c r="AR346" s="35">
        <f t="shared" si="197"/>
        <v>0</v>
      </c>
      <c r="AS346" s="35">
        <f t="shared" si="198"/>
        <v>0</v>
      </c>
      <c r="AT346" s="35">
        <f t="shared" si="199"/>
        <v>0</v>
      </c>
      <c r="AU346" s="35">
        <f t="shared" si="200"/>
        <v>0</v>
      </c>
      <c r="AV346" s="35">
        <f t="shared" si="201"/>
        <v>1</v>
      </c>
      <c r="AW346" s="35">
        <f t="shared" si="202"/>
        <v>0</v>
      </c>
      <c r="AX346" s="35">
        <f t="shared" si="203"/>
        <v>0</v>
      </c>
      <c r="AY346" s="35">
        <f t="shared" si="204"/>
        <v>0</v>
      </c>
      <c r="AZ346" s="35">
        <f t="shared" si="205"/>
        <v>0</v>
      </c>
      <c r="BA346" s="35">
        <f t="shared" si="206"/>
        <v>0</v>
      </c>
      <c r="BB346" s="35">
        <f t="shared" si="207"/>
        <v>0</v>
      </c>
      <c r="BC346" s="35">
        <f t="shared" si="208"/>
        <v>0</v>
      </c>
    </row>
    <row r="347" spans="1:55" s="35" customFormat="1" x14ac:dyDescent="0.35">
      <c r="A347" s="36">
        <v>40349</v>
      </c>
      <c r="B347" s="35" t="s">
        <v>690</v>
      </c>
      <c r="C347" s="35" t="s">
        <v>59</v>
      </c>
      <c r="D347" s="35" t="s">
        <v>602</v>
      </c>
      <c r="E347" s="35" t="s">
        <v>64</v>
      </c>
      <c r="F347" s="139">
        <f t="shared" si="181"/>
        <v>1</v>
      </c>
      <c r="G347" s="35">
        <v>300000000</v>
      </c>
      <c r="H347" s="139">
        <f t="shared" si="182"/>
        <v>8.4771212547196626</v>
      </c>
      <c r="I347" s="35">
        <f>G347</f>
        <v>300000000</v>
      </c>
      <c r="J347" s="35">
        <v>0</v>
      </c>
      <c r="K347" s="36">
        <v>41318</v>
      </c>
      <c r="L347" s="35">
        <v>0</v>
      </c>
      <c r="M347" s="21">
        <f t="shared" si="183"/>
        <v>2.6547945205479451</v>
      </c>
      <c r="N347" s="21">
        <f t="shared" si="209"/>
        <v>0.4240309125942906</v>
      </c>
      <c r="O347" s="35">
        <v>5897.96</v>
      </c>
      <c r="P347" s="35">
        <f t="shared" si="184"/>
        <v>3.7707754512906644</v>
      </c>
      <c r="Q347" s="35">
        <v>25</v>
      </c>
      <c r="R347" s="35">
        <f t="shared" si="185"/>
        <v>1.414973347970818</v>
      </c>
      <c r="S347" s="45">
        <v>2.3199999999999998</v>
      </c>
      <c r="T347" s="45">
        <f t="shared" si="210"/>
        <v>0.36548798489089962</v>
      </c>
      <c r="U347" s="175">
        <f t="shared" si="186"/>
        <v>-1</v>
      </c>
      <c r="V347" s="48">
        <f t="shared" si="187"/>
        <v>-1</v>
      </c>
      <c r="W347" s="35">
        <v>1455.046</v>
      </c>
      <c r="X347" s="35">
        <f t="shared" si="188"/>
        <v>3.1628767233771686</v>
      </c>
      <c r="Y347" s="35">
        <v>4062.5129999999999</v>
      </c>
      <c r="Z347" s="35">
        <f t="shared" si="189"/>
        <v>3.6087947637270492</v>
      </c>
      <c r="AA347" s="37">
        <v>132</v>
      </c>
      <c r="AB347" s="37">
        <f t="shared" si="190"/>
        <v>2.1238516409670858</v>
      </c>
      <c r="AC347" s="35">
        <v>94.9</v>
      </c>
      <c r="AD347" s="35">
        <f t="shared" si="211"/>
        <v>1.9772662124272926</v>
      </c>
      <c r="AE347" s="48">
        <v>32.299999999999997</v>
      </c>
      <c r="AF347" s="48">
        <f t="shared" si="212"/>
        <v>1.5092025223311027</v>
      </c>
      <c r="AG347" s="43">
        <v>47.560703662314701</v>
      </c>
      <c r="AH347" s="43">
        <f t="shared" si="213"/>
        <v>1.6772482713966061</v>
      </c>
      <c r="AI347" s="39">
        <v>0.48</v>
      </c>
      <c r="AJ347" s="48">
        <f t="shared" si="191"/>
        <v>0.17026171539495738</v>
      </c>
      <c r="AK347" s="35">
        <v>29</v>
      </c>
      <c r="AL347" s="35">
        <f t="shared" si="214"/>
        <v>1.4623979978989561</v>
      </c>
      <c r="AM347" s="35">
        <f t="shared" si="192"/>
        <v>1</v>
      </c>
      <c r="AN347" s="35">
        <f t="shared" si="193"/>
        <v>0</v>
      </c>
      <c r="AO347" s="35">
        <f t="shared" si="194"/>
        <v>1</v>
      </c>
      <c r="AP347" s="35">
        <f t="shared" si="195"/>
        <v>0</v>
      </c>
      <c r="AQ347" s="35">
        <f t="shared" si="196"/>
        <v>0</v>
      </c>
      <c r="AR347" s="35">
        <f t="shared" si="197"/>
        <v>0</v>
      </c>
      <c r="AS347" s="35">
        <f t="shared" si="198"/>
        <v>0</v>
      </c>
      <c r="AT347" s="35">
        <f t="shared" si="199"/>
        <v>0</v>
      </c>
      <c r="AU347" s="35">
        <f t="shared" si="200"/>
        <v>0</v>
      </c>
      <c r="AV347" s="35">
        <f t="shared" si="201"/>
        <v>0</v>
      </c>
      <c r="AW347" s="35">
        <f t="shared" si="202"/>
        <v>0</v>
      </c>
      <c r="AX347" s="35">
        <f t="shared" si="203"/>
        <v>0</v>
      </c>
      <c r="AY347" s="35">
        <f t="shared" si="204"/>
        <v>0</v>
      </c>
      <c r="AZ347" s="35">
        <f t="shared" si="205"/>
        <v>0</v>
      </c>
      <c r="BA347" s="35">
        <f t="shared" si="206"/>
        <v>0</v>
      </c>
      <c r="BB347" s="35">
        <f t="shared" si="207"/>
        <v>0</v>
      </c>
      <c r="BC347" s="35">
        <f t="shared" si="208"/>
        <v>0</v>
      </c>
    </row>
    <row r="348" spans="1:55" s="35" customFormat="1" x14ac:dyDescent="0.35">
      <c r="A348" s="36">
        <v>40388</v>
      </c>
      <c r="B348" s="35" t="s">
        <v>1243</v>
      </c>
      <c r="C348" s="35" t="s">
        <v>45</v>
      </c>
      <c r="D348" s="35" t="s">
        <v>602</v>
      </c>
      <c r="E348" s="35" t="s">
        <v>47</v>
      </c>
      <c r="F348" s="139">
        <f t="shared" si="181"/>
        <v>0</v>
      </c>
      <c r="G348" s="35">
        <v>1400000000</v>
      </c>
      <c r="H348" s="139">
        <f t="shared" si="182"/>
        <v>9.1461280356782382</v>
      </c>
      <c r="I348" s="35">
        <f>G348</f>
        <v>1400000000</v>
      </c>
      <c r="J348" s="35">
        <v>0</v>
      </c>
      <c r="K348" s="36">
        <v>42551</v>
      </c>
      <c r="L348" s="35">
        <v>2700000000</v>
      </c>
      <c r="M348" s="21">
        <f t="shared" si="183"/>
        <v>5.9260273972602739</v>
      </c>
      <c r="N348" s="21">
        <f t="shared" si="209"/>
        <v>0.77276365498261679</v>
      </c>
      <c r="O348" s="35">
        <v>0</v>
      </c>
      <c r="P348" s="35">
        <f t="shared" si="184"/>
        <v>0</v>
      </c>
      <c r="Q348" s="35">
        <v>41</v>
      </c>
      <c r="R348" s="35">
        <f t="shared" si="185"/>
        <v>1.6232492903979006</v>
      </c>
      <c r="S348" s="45">
        <v>2.95</v>
      </c>
      <c r="T348" s="45">
        <f t="shared" si="210"/>
        <v>0.46982201597816303</v>
      </c>
      <c r="U348" s="175">
        <f t="shared" si="186"/>
        <v>0.9285714285714286</v>
      </c>
      <c r="V348" s="48">
        <f t="shared" si="187"/>
        <v>0.2852357284807493</v>
      </c>
      <c r="W348" s="35">
        <v>1455.046</v>
      </c>
      <c r="X348" s="35">
        <f t="shared" si="188"/>
        <v>3.1628767233771686</v>
      </c>
      <c r="Y348" s="35">
        <v>4062.5129999999999</v>
      </c>
      <c r="Z348" s="35">
        <f t="shared" si="189"/>
        <v>3.6087947637270492</v>
      </c>
      <c r="AA348" s="35">
        <v>0</v>
      </c>
      <c r="AB348" s="37">
        <f t="shared" si="190"/>
        <v>0</v>
      </c>
      <c r="AC348" s="35">
        <v>91.3</v>
      </c>
      <c r="AD348" s="35">
        <f t="shared" si="211"/>
        <v>1.9604707775342989</v>
      </c>
      <c r="AE348" s="48">
        <v>23.5</v>
      </c>
      <c r="AF348" s="48">
        <f t="shared" si="212"/>
        <v>1.3710678622717363</v>
      </c>
      <c r="AG348" s="43">
        <v>43.1672842383418</v>
      </c>
      <c r="AH348" s="43">
        <f t="shared" si="213"/>
        <v>1.6351547269652249</v>
      </c>
      <c r="AI348" s="39">
        <v>0.34</v>
      </c>
      <c r="AJ348" s="48">
        <f t="shared" si="191"/>
        <v>0.12710479836480765</v>
      </c>
      <c r="AK348" s="35">
        <v>0</v>
      </c>
      <c r="AL348" s="35">
        <f t="shared" si="214"/>
        <v>0</v>
      </c>
      <c r="AM348" s="35">
        <f t="shared" si="192"/>
        <v>0</v>
      </c>
      <c r="AN348" s="35">
        <f t="shared" si="193"/>
        <v>1</v>
      </c>
      <c r="AO348" s="35">
        <f t="shared" si="194"/>
        <v>0</v>
      </c>
      <c r="AP348" s="35">
        <f t="shared" si="195"/>
        <v>0</v>
      </c>
      <c r="AQ348" s="35">
        <f t="shared" si="196"/>
        <v>0</v>
      </c>
      <c r="AR348" s="35">
        <f t="shared" si="197"/>
        <v>0</v>
      </c>
      <c r="AS348" s="35">
        <f t="shared" si="198"/>
        <v>0</v>
      </c>
      <c r="AT348" s="35">
        <f t="shared" si="199"/>
        <v>0</v>
      </c>
      <c r="AU348" s="35">
        <f t="shared" si="200"/>
        <v>0</v>
      </c>
      <c r="AV348" s="35">
        <f t="shared" si="201"/>
        <v>0</v>
      </c>
      <c r="AW348" s="35">
        <f t="shared" si="202"/>
        <v>0</v>
      </c>
      <c r="AX348" s="35">
        <f t="shared" si="203"/>
        <v>0</v>
      </c>
      <c r="AY348" s="35">
        <f t="shared" si="204"/>
        <v>0</v>
      </c>
      <c r="AZ348" s="35">
        <f t="shared" si="205"/>
        <v>0</v>
      </c>
      <c r="BA348" s="35">
        <f t="shared" si="206"/>
        <v>0</v>
      </c>
      <c r="BB348" s="35">
        <f t="shared" si="207"/>
        <v>0</v>
      </c>
      <c r="BC348" s="35">
        <f t="shared" si="208"/>
        <v>0</v>
      </c>
    </row>
    <row r="349" spans="1:55" s="35" customFormat="1" x14ac:dyDescent="0.35">
      <c r="A349" s="36">
        <v>40389</v>
      </c>
      <c r="B349" s="35" t="s">
        <v>1302</v>
      </c>
      <c r="C349" s="35" t="s">
        <v>45</v>
      </c>
      <c r="D349" s="35" t="s">
        <v>602</v>
      </c>
      <c r="E349" s="35" t="s">
        <v>47</v>
      </c>
      <c r="F349" s="139">
        <f t="shared" si="181"/>
        <v>0</v>
      </c>
      <c r="G349" s="35">
        <v>2996240000</v>
      </c>
      <c r="H349" s="139">
        <f t="shared" si="182"/>
        <v>9.4765765975791929</v>
      </c>
      <c r="I349" s="35">
        <f>G349</f>
        <v>2996240000</v>
      </c>
      <c r="J349" s="35">
        <v>0</v>
      </c>
      <c r="K349" s="36">
        <v>42352</v>
      </c>
      <c r="L349" s="35">
        <v>5200000000</v>
      </c>
      <c r="M349" s="21">
        <f t="shared" si="183"/>
        <v>5.3780821917808215</v>
      </c>
      <c r="N349" s="21">
        <f t="shared" si="209"/>
        <v>0.73062743514353146</v>
      </c>
      <c r="O349" s="35">
        <v>0</v>
      </c>
      <c r="P349" s="35">
        <f t="shared" si="184"/>
        <v>0</v>
      </c>
      <c r="Q349" s="35">
        <v>42</v>
      </c>
      <c r="R349" s="35">
        <f t="shared" si="185"/>
        <v>1.6334684555795864</v>
      </c>
      <c r="S349" s="45">
        <v>2.95</v>
      </c>
      <c r="T349" s="45">
        <f t="shared" si="210"/>
        <v>0.46982201597816303</v>
      </c>
      <c r="U349" s="175">
        <f t="shared" si="186"/>
        <v>0.73550850399166956</v>
      </c>
      <c r="V349" s="48">
        <f t="shared" si="187"/>
        <v>0.23942674605560585</v>
      </c>
      <c r="W349" s="35">
        <v>3287.5739644970417</v>
      </c>
      <c r="X349" s="35">
        <f t="shared" si="188"/>
        <v>3.5168755324519045</v>
      </c>
      <c r="Y349" s="35">
        <v>6440.2366863905318</v>
      </c>
      <c r="Z349" s="35">
        <f t="shared" si="189"/>
        <v>3.8089018284940463</v>
      </c>
      <c r="AA349" s="35">
        <v>0</v>
      </c>
      <c r="AB349" s="37">
        <f t="shared" si="190"/>
        <v>0</v>
      </c>
      <c r="AC349" s="35">
        <v>91.3</v>
      </c>
      <c r="AD349" s="35">
        <f t="shared" si="211"/>
        <v>1.9604707775342989</v>
      </c>
      <c r="AE349" s="48">
        <v>23.5</v>
      </c>
      <c r="AF349" s="48">
        <f t="shared" si="212"/>
        <v>1.3710678622717363</v>
      </c>
      <c r="AG349" s="43">
        <v>43.1672842383418</v>
      </c>
      <c r="AH349" s="43">
        <f t="shared" si="213"/>
        <v>1.6351547269652249</v>
      </c>
      <c r="AI349" s="39">
        <v>0.7</v>
      </c>
      <c r="AJ349" s="48">
        <f t="shared" si="191"/>
        <v>0.23044892137827391</v>
      </c>
      <c r="AK349" s="35">
        <v>23</v>
      </c>
      <c r="AL349" s="35">
        <f t="shared" si="214"/>
        <v>1.3617278360175928</v>
      </c>
      <c r="AM349" s="35">
        <f t="shared" si="192"/>
        <v>0</v>
      </c>
      <c r="AN349" s="35">
        <f t="shared" si="193"/>
        <v>1</v>
      </c>
      <c r="AO349" s="35">
        <f t="shared" si="194"/>
        <v>0</v>
      </c>
      <c r="AP349" s="35">
        <f t="shared" si="195"/>
        <v>0</v>
      </c>
      <c r="AQ349" s="35">
        <f t="shared" si="196"/>
        <v>0</v>
      </c>
      <c r="AR349" s="35">
        <f t="shared" si="197"/>
        <v>0</v>
      </c>
      <c r="AS349" s="35">
        <f t="shared" si="198"/>
        <v>0</v>
      </c>
      <c r="AT349" s="35">
        <f t="shared" si="199"/>
        <v>0</v>
      </c>
      <c r="AU349" s="35">
        <f t="shared" si="200"/>
        <v>0</v>
      </c>
      <c r="AV349" s="35">
        <f t="shared" si="201"/>
        <v>0</v>
      </c>
      <c r="AW349" s="35">
        <f t="shared" si="202"/>
        <v>0</v>
      </c>
      <c r="AX349" s="35">
        <f t="shared" si="203"/>
        <v>0</v>
      </c>
      <c r="AY349" s="35">
        <f t="shared" si="204"/>
        <v>0</v>
      </c>
      <c r="AZ349" s="35">
        <f t="shared" si="205"/>
        <v>0</v>
      </c>
      <c r="BA349" s="35">
        <f t="shared" si="206"/>
        <v>0</v>
      </c>
      <c r="BB349" s="35">
        <f t="shared" si="207"/>
        <v>0</v>
      </c>
      <c r="BC349" s="35">
        <f t="shared" si="208"/>
        <v>0</v>
      </c>
    </row>
    <row r="350" spans="1:55" s="35" customFormat="1" x14ac:dyDescent="0.35">
      <c r="A350" s="36">
        <v>40390</v>
      </c>
      <c r="B350" s="35" t="s">
        <v>208</v>
      </c>
      <c r="C350" s="35" t="s">
        <v>163</v>
      </c>
      <c r="D350" s="35" t="s">
        <v>45</v>
      </c>
      <c r="E350" s="139" t="s">
        <v>64</v>
      </c>
      <c r="F350" s="139">
        <f t="shared" si="181"/>
        <v>1</v>
      </c>
      <c r="G350" s="35">
        <v>485000000</v>
      </c>
      <c r="H350" s="139">
        <f t="shared" si="182"/>
        <v>8.685741738602264</v>
      </c>
      <c r="I350" s="35">
        <v>485000000</v>
      </c>
      <c r="J350" s="35">
        <v>0</v>
      </c>
      <c r="K350" s="36">
        <v>42353</v>
      </c>
      <c r="L350" s="35">
        <v>790000000</v>
      </c>
      <c r="M350" s="21">
        <f t="shared" si="183"/>
        <v>5.3780821917808215</v>
      </c>
      <c r="N350" s="21">
        <f t="shared" si="209"/>
        <v>0.73062743514353146</v>
      </c>
      <c r="O350" s="35">
        <v>6164.6</v>
      </c>
      <c r="P350" s="35">
        <f t="shared" si="184"/>
        <v>3.7899753459779522</v>
      </c>
      <c r="Q350" s="35">
        <v>20</v>
      </c>
      <c r="R350" s="35">
        <f t="shared" si="185"/>
        <v>1.3222192947339193</v>
      </c>
      <c r="S350" s="45">
        <v>3.18</v>
      </c>
      <c r="T350" s="45">
        <f t="shared" si="210"/>
        <v>0.50242711998443268</v>
      </c>
      <c r="U350" s="175">
        <f t="shared" si="186"/>
        <v>0.62886597938144329</v>
      </c>
      <c r="V350" s="48">
        <f t="shared" si="187"/>
        <v>0.21188535268817776</v>
      </c>
      <c r="W350" s="35">
        <v>1246.953</v>
      </c>
      <c r="X350" s="35">
        <f t="shared" si="188"/>
        <v>3.0958500844125241</v>
      </c>
      <c r="Y350" s="35">
        <v>3219.7179999999998</v>
      </c>
      <c r="Z350" s="35">
        <f t="shared" si="189"/>
        <v>3.5078178355445662</v>
      </c>
      <c r="AA350" s="37">
        <v>583.83333333333303</v>
      </c>
      <c r="AB350" s="37">
        <f t="shared" si="190"/>
        <v>2.7670321178317625</v>
      </c>
      <c r="AC350" s="35">
        <v>86.3</v>
      </c>
      <c r="AD350" s="35">
        <f t="shared" si="211"/>
        <v>1.9360107957152095</v>
      </c>
      <c r="AE350" s="48">
        <v>42.1</v>
      </c>
      <c r="AF350" s="48">
        <f t="shared" si="212"/>
        <v>1.6242820958356683</v>
      </c>
      <c r="AG350" s="43">
        <v>56.8818351627258</v>
      </c>
      <c r="AH350" s="43">
        <f t="shared" si="213"/>
        <v>1.7549735994690439</v>
      </c>
      <c r="AI350" s="39">
        <v>0.09</v>
      </c>
      <c r="AJ350" s="48">
        <f t="shared" si="191"/>
        <v>3.7426497940623665E-2</v>
      </c>
      <c r="AK350" s="35">
        <v>21</v>
      </c>
      <c r="AL350" s="35">
        <f t="shared" si="214"/>
        <v>1.3222192947339193</v>
      </c>
      <c r="AM350" s="35">
        <f t="shared" si="192"/>
        <v>0</v>
      </c>
      <c r="AN350" s="35">
        <f t="shared" si="193"/>
        <v>0</v>
      </c>
      <c r="AO350" s="35">
        <f t="shared" si="194"/>
        <v>0</v>
      </c>
      <c r="AP350" s="35">
        <f t="shared" si="195"/>
        <v>0</v>
      </c>
      <c r="AQ350" s="35">
        <f t="shared" si="196"/>
        <v>0</v>
      </c>
      <c r="AR350" s="35">
        <f t="shared" si="197"/>
        <v>0</v>
      </c>
      <c r="AS350" s="35">
        <f t="shared" si="198"/>
        <v>0</v>
      </c>
      <c r="AT350" s="35">
        <f t="shared" si="199"/>
        <v>1</v>
      </c>
      <c r="AU350" s="35">
        <f t="shared" si="200"/>
        <v>0</v>
      </c>
      <c r="AV350" s="35">
        <f t="shared" si="201"/>
        <v>0</v>
      </c>
      <c r="AW350" s="35">
        <f t="shared" si="202"/>
        <v>0</v>
      </c>
      <c r="AX350" s="35">
        <f t="shared" si="203"/>
        <v>0</v>
      </c>
      <c r="AY350" s="35">
        <f t="shared" si="204"/>
        <v>0</v>
      </c>
      <c r="AZ350" s="35">
        <f t="shared" si="205"/>
        <v>0</v>
      </c>
      <c r="BA350" s="35">
        <f t="shared" si="206"/>
        <v>0</v>
      </c>
      <c r="BB350" s="35">
        <f t="shared" si="207"/>
        <v>0</v>
      </c>
      <c r="BC350" s="35">
        <f t="shared" si="208"/>
        <v>0</v>
      </c>
    </row>
    <row r="351" spans="1:55" s="35" customFormat="1" x14ac:dyDescent="0.35">
      <c r="A351" s="36">
        <v>40420</v>
      </c>
      <c r="B351" s="90" t="s">
        <v>854</v>
      </c>
      <c r="C351" s="35" t="s">
        <v>45</v>
      </c>
      <c r="D351" s="35" t="s">
        <v>497</v>
      </c>
      <c r="E351" s="35" t="s">
        <v>64</v>
      </c>
      <c r="F351" s="139">
        <f t="shared" si="181"/>
        <v>1</v>
      </c>
      <c r="G351" s="35">
        <v>61120000</v>
      </c>
      <c r="H351" s="139">
        <f t="shared" si="182"/>
        <v>7.7861833455676335</v>
      </c>
      <c r="I351" s="35">
        <f>G351</f>
        <v>61120000</v>
      </c>
      <c r="J351" s="35">
        <v>0</v>
      </c>
      <c r="K351" s="36">
        <v>43299</v>
      </c>
      <c r="L351" s="35">
        <v>522320000</v>
      </c>
      <c r="M351" s="21">
        <f t="shared" si="183"/>
        <v>7.8876712328767127</v>
      </c>
      <c r="N351" s="21">
        <f t="shared" si="209"/>
        <v>0.8969488004216073</v>
      </c>
      <c r="O351" s="35">
        <v>5441.73</v>
      </c>
      <c r="P351" s="35">
        <f t="shared" si="184"/>
        <v>3.7358167906061537</v>
      </c>
      <c r="Q351" s="35">
        <v>0</v>
      </c>
      <c r="R351" s="35">
        <f t="shared" si="185"/>
        <v>0</v>
      </c>
      <c r="S351" s="45">
        <v>2.81</v>
      </c>
      <c r="T351" s="45">
        <f t="shared" si="210"/>
        <v>0.44870631990507992</v>
      </c>
      <c r="U351" s="175">
        <f t="shared" si="186"/>
        <v>7.5458115183246068</v>
      </c>
      <c r="V351" s="48">
        <f t="shared" si="187"/>
        <v>0.93175331002877337</v>
      </c>
      <c r="W351" s="35">
        <v>2445.7102171591318</v>
      </c>
      <c r="X351" s="35">
        <f t="shared" si="188"/>
        <v>3.3884049978579722</v>
      </c>
      <c r="Y351" s="35">
        <v>7210.2229667110805</v>
      </c>
      <c r="Z351" s="35">
        <f t="shared" si="189"/>
        <v>3.8579486949156889</v>
      </c>
      <c r="AA351" s="37">
        <v>125.833333333333</v>
      </c>
      <c r="AB351" s="37">
        <f t="shared" si="190"/>
        <v>2.103233406386928</v>
      </c>
      <c r="AC351" s="35">
        <v>91.3</v>
      </c>
      <c r="AD351" s="35">
        <f t="shared" si="211"/>
        <v>1.9604707775342989</v>
      </c>
      <c r="AE351" s="48">
        <v>23.5</v>
      </c>
      <c r="AF351" s="48">
        <f t="shared" si="212"/>
        <v>1.3710678622717363</v>
      </c>
      <c r="AG351" s="43">
        <v>43.1672842383418</v>
      </c>
      <c r="AH351" s="43">
        <f t="shared" si="213"/>
        <v>1.6351547269652249</v>
      </c>
      <c r="AI351" s="39">
        <v>1.07</v>
      </c>
      <c r="AJ351" s="48">
        <f t="shared" si="191"/>
        <v>0.31597034545691782</v>
      </c>
      <c r="AK351" s="35">
        <v>20</v>
      </c>
      <c r="AL351" s="35">
        <f t="shared" si="214"/>
        <v>1.3010299956639813</v>
      </c>
      <c r="AM351" s="35">
        <f t="shared" si="192"/>
        <v>0</v>
      </c>
      <c r="AN351" s="35">
        <f t="shared" si="193"/>
        <v>1</v>
      </c>
      <c r="AO351" s="35">
        <f t="shared" si="194"/>
        <v>0</v>
      </c>
      <c r="AP351" s="35">
        <f t="shared" si="195"/>
        <v>0</v>
      </c>
      <c r="AQ351" s="35">
        <f t="shared" si="196"/>
        <v>0</v>
      </c>
      <c r="AR351" s="35">
        <f t="shared" si="197"/>
        <v>0</v>
      </c>
      <c r="AS351" s="35">
        <f t="shared" si="198"/>
        <v>0</v>
      </c>
      <c r="AT351" s="35">
        <f t="shared" si="199"/>
        <v>0</v>
      </c>
      <c r="AU351" s="35">
        <f t="shared" si="200"/>
        <v>0</v>
      </c>
      <c r="AV351" s="35">
        <f t="shared" si="201"/>
        <v>0</v>
      </c>
      <c r="AW351" s="35">
        <f t="shared" si="202"/>
        <v>0</v>
      </c>
      <c r="AX351" s="35">
        <f t="shared" si="203"/>
        <v>0</v>
      </c>
      <c r="AY351" s="35">
        <f t="shared" si="204"/>
        <v>0</v>
      </c>
      <c r="AZ351" s="35">
        <f t="shared" si="205"/>
        <v>0</v>
      </c>
      <c r="BA351" s="35">
        <f t="shared" si="206"/>
        <v>0</v>
      </c>
      <c r="BB351" s="35">
        <f t="shared" si="207"/>
        <v>0</v>
      </c>
      <c r="BC351" s="35">
        <f t="shared" si="208"/>
        <v>0</v>
      </c>
    </row>
    <row r="352" spans="1:55" s="35" customFormat="1" x14ac:dyDescent="0.35">
      <c r="A352" s="36">
        <v>40428</v>
      </c>
      <c r="B352" s="35" t="s">
        <v>194</v>
      </c>
      <c r="C352" s="35" t="s">
        <v>45</v>
      </c>
      <c r="D352" s="35" t="s">
        <v>59</v>
      </c>
      <c r="E352" s="139" t="s">
        <v>64</v>
      </c>
      <c r="F352" s="139">
        <f t="shared" si="181"/>
        <v>1</v>
      </c>
      <c r="G352" s="35">
        <v>3100000000</v>
      </c>
      <c r="H352" s="139">
        <f t="shared" si="182"/>
        <v>9.4913616938342731</v>
      </c>
      <c r="I352" s="35">
        <v>3100000000</v>
      </c>
      <c r="J352" s="35">
        <v>0</v>
      </c>
      <c r="K352" s="36">
        <v>41687</v>
      </c>
      <c r="L352" s="35">
        <v>4400000000</v>
      </c>
      <c r="M352" s="21">
        <f t="shared" si="183"/>
        <v>3.4493150684931506</v>
      </c>
      <c r="N352" s="21">
        <f t="shared" si="209"/>
        <v>0.53773286565138789</v>
      </c>
      <c r="O352" s="35">
        <v>5897.96</v>
      </c>
      <c r="P352" s="35">
        <f t="shared" si="184"/>
        <v>3.7707754512906644</v>
      </c>
      <c r="Q352" s="35">
        <v>30</v>
      </c>
      <c r="R352" s="35">
        <f t="shared" si="185"/>
        <v>1.4913616938342726</v>
      </c>
      <c r="S352" s="45">
        <v>2.3199999999999998</v>
      </c>
      <c r="T352" s="45">
        <f t="shared" si="210"/>
        <v>0.36548798489089962</v>
      </c>
      <c r="U352" s="175">
        <f t="shared" si="186"/>
        <v>0.41935483870967749</v>
      </c>
      <c r="V352" s="48">
        <f t="shared" si="187"/>
        <v>0.15209098265191479</v>
      </c>
      <c r="W352" s="180">
        <v>3287.5740000000001</v>
      </c>
      <c r="X352" s="35">
        <f t="shared" si="188"/>
        <v>3.5168755371419098</v>
      </c>
      <c r="Y352" s="14">
        <v>6440.2359999999999</v>
      </c>
      <c r="Z352" s="35">
        <f t="shared" si="189"/>
        <v>3.8089017822076054</v>
      </c>
      <c r="AA352" s="37">
        <v>132</v>
      </c>
      <c r="AB352" s="37">
        <f t="shared" si="190"/>
        <v>2.1238516409670858</v>
      </c>
      <c r="AC352" s="35">
        <v>91.3</v>
      </c>
      <c r="AD352" s="35">
        <f t="shared" si="211"/>
        <v>1.9604707775342989</v>
      </c>
      <c r="AE352" s="48">
        <v>23.5</v>
      </c>
      <c r="AF352" s="48">
        <f t="shared" si="212"/>
        <v>1.3710678622717363</v>
      </c>
      <c r="AG352" s="43">
        <v>43.1672842383418</v>
      </c>
      <c r="AH352" s="43">
        <f t="shared" si="213"/>
        <v>1.6351547269652249</v>
      </c>
      <c r="AI352" s="39">
        <v>-0.03</v>
      </c>
      <c r="AJ352" s="48">
        <f t="shared" si="191"/>
        <v>-1.322826573375516E-2</v>
      </c>
      <c r="AK352" s="35">
        <v>20</v>
      </c>
      <c r="AL352" s="35">
        <f t="shared" si="214"/>
        <v>1.3010299956639813</v>
      </c>
      <c r="AM352" s="35">
        <f t="shared" si="192"/>
        <v>0</v>
      </c>
      <c r="AN352" s="35">
        <f t="shared" si="193"/>
        <v>1</v>
      </c>
      <c r="AO352" s="35">
        <f t="shared" si="194"/>
        <v>0</v>
      </c>
      <c r="AP352" s="35">
        <f t="shared" si="195"/>
        <v>0</v>
      </c>
      <c r="AQ352" s="35">
        <f t="shared" si="196"/>
        <v>0</v>
      </c>
      <c r="AR352" s="35">
        <f t="shared" si="197"/>
        <v>0</v>
      </c>
      <c r="AS352" s="35">
        <f t="shared" si="198"/>
        <v>0</v>
      </c>
      <c r="AT352" s="35">
        <f t="shared" si="199"/>
        <v>0</v>
      </c>
      <c r="AU352" s="35">
        <f t="shared" si="200"/>
        <v>0</v>
      </c>
      <c r="AV352" s="35">
        <f t="shared" si="201"/>
        <v>0</v>
      </c>
      <c r="AW352" s="35">
        <f t="shared" si="202"/>
        <v>0</v>
      </c>
      <c r="AX352" s="35">
        <f t="shared" si="203"/>
        <v>0</v>
      </c>
      <c r="AY352" s="35">
        <f t="shared" si="204"/>
        <v>0</v>
      </c>
      <c r="AZ352" s="35">
        <f t="shared" si="205"/>
        <v>0</v>
      </c>
      <c r="BA352" s="35">
        <f t="shared" si="206"/>
        <v>0</v>
      </c>
      <c r="BB352" s="35">
        <f t="shared" si="207"/>
        <v>0</v>
      </c>
      <c r="BC352" s="35">
        <f t="shared" si="208"/>
        <v>0</v>
      </c>
    </row>
    <row r="353" spans="1:55" s="35" customFormat="1" x14ac:dyDescent="0.35">
      <c r="A353" s="36">
        <v>40441</v>
      </c>
      <c r="B353" s="139" t="s">
        <v>134</v>
      </c>
      <c r="C353" s="139" t="s">
        <v>45</v>
      </c>
      <c r="D353" s="139" t="s">
        <v>45</v>
      </c>
      <c r="E353" s="139" t="s">
        <v>102</v>
      </c>
      <c r="F353" s="139">
        <f t="shared" si="181"/>
        <v>0</v>
      </c>
      <c r="G353" s="139">
        <v>537340000</v>
      </c>
      <c r="H353" s="139">
        <f t="shared" si="182"/>
        <v>8.7302491709849903</v>
      </c>
      <c r="I353" s="139">
        <v>596040000</v>
      </c>
      <c r="J353" s="139">
        <v>-58700000</v>
      </c>
      <c r="K353" s="18">
        <v>41793</v>
      </c>
      <c r="L353" s="139">
        <v>1100000000</v>
      </c>
      <c r="M353" s="21">
        <f t="shared" si="183"/>
        <v>3.7041095890410958</v>
      </c>
      <c r="N353" s="21">
        <f t="shared" si="209"/>
        <v>0.56868382714914245</v>
      </c>
      <c r="O353" s="35">
        <v>0</v>
      </c>
      <c r="P353" s="35">
        <f t="shared" si="184"/>
        <v>0</v>
      </c>
      <c r="Q353" s="35">
        <v>12</v>
      </c>
      <c r="R353" s="35">
        <f t="shared" si="185"/>
        <v>1.1139433523068367</v>
      </c>
      <c r="S353" s="45">
        <v>2.95</v>
      </c>
      <c r="T353" s="45">
        <f t="shared" si="210"/>
        <v>0.46982201597816303</v>
      </c>
      <c r="U353" s="175">
        <f t="shared" si="186"/>
        <v>1.0471210034614957</v>
      </c>
      <c r="V353" s="48">
        <f t="shared" si="187"/>
        <v>0.31114351417323516</v>
      </c>
      <c r="W353" s="35">
        <v>2108.7257617728528</v>
      </c>
      <c r="X353" s="35">
        <f t="shared" si="188"/>
        <v>3.3240201037352737</v>
      </c>
      <c r="Y353" s="35">
        <v>5865.6509695290861</v>
      </c>
      <c r="Z353" s="35">
        <f t="shared" si="189"/>
        <v>3.7683162170970865</v>
      </c>
      <c r="AA353" s="37">
        <v>0</v>
      </c>
      <c r="AB353" s="37">
        <f t="shared" si="190"/>
        <v>0</v>
      </c>
      <c r="AC353" s="35">
        <v>91.3</v>
      </c>
      <c r="AD353" s="35">
        <f t="shared" si="211"/>
        <v>1.9604707775342989</v>
      </c>
      <c r="AE353" s="48">
        <v>23.5</v>
      </c>
      <c r="AF353" s="48">
        <f t="shared" si="212"/>
        <v>1.3710678622717363</v>
      </c>
      <c r="AG353" s="43">
        <v>43.1672842383418</v>
      </c>
      <c r="AH353" s="43">
        <f t="shared" si="213"/>
        <v>1.6351547269652249</v>
      </c>
      <c r="AI353" s="39">
        <v>0.24</v>
      </c>
      <c r="AJ353" s="48">
        <f t="shared" si="191"/>
        <v>9.3421685162235063E-2</v>
      </c>
      <c r="AK353" s="35">
        <v>19</v>
      </c>
      <c r="AL353" s="35">
        <f t="shared" si="214"/>
        <v>1.2787536009528289</v>
      </c>
      <c r="AM353" s="35">
        <f t="shared" si="192"/>
        <v>0</v>
      </c>
      <c r="AN353" s="35">
        <f t="shared" si="193"/>
        <v>1</v>
      </c>
      <c r="AO353" s="35">
        <f t="shared" si="194"/>
        <v>0</v>
      </c>
      <c r="AP353" s="35">
        <f t="shared" si="195"/>
        <v>0</v>
      </c>
      <c r="AQ353" s="35">
        <f t="shared" si="196"/>
        <v>0</v>
      </c>
      <c r="AR353" s="35">
        <f t="shared" si="197"/>
        <v>0</v>
      </c>
      <c r="AS353" s="35">
        <f t="shared" si="198"/>
        <v>0</v>
      </c>
      <c r="AT353" s="35">
        <f t="shared" si="199"/>
        <v>0</v>
      </c>
      <c r="AU353" s="35">
        <f t="shared" si="200"/>
        <v>0</v>
      </c>
      <c r="AV353" s="35">
        <f t="shared" si="201"/>
        <v>0</v>
      </c>
      <c r="AW353" s="35">
        <f t="shared" si="202"/>
        <v>0</v>
      </c>
      <c r="AX353" s="35">
        <f t="shared" si="203"/>
        <v>0</v>
      </c>
      <c r="AY353" s="35">
        <f t="shared" si="204"/>
        <v>0</v>
      </c>
      <c r="AZ353" s="35">
        <f t="shared" si="205"/>
        <v>0</v>
      </c>
      <c r="BA353" s="35">
        <f t="shared" si="206"/>
        <v>0</v>
      </c>
      <c r="BB353" s="35">
        <f t="shared" si="207"/>
        <v>0</v>
      </c>
      <c r="BC353" s="35">
        <f t="shared" si="208"/>
        <v>0</v>
      </c>
    </row>
    <row r="354" spans="1:55" s="35" customFormat="1" x14ac:dyDescent="0.35">
      <c r="A354" s="36">
        <v>40457</v>
      </c>
      <c r="B354" s="35" t="s">
        <v>743</v>
      </c>
      <c r="C354" s="35" t="s">
        <v>497</v>
      </c>
      <c r="D354" s="35" t="s">
        <v>577</v>
      </c>
      <c r="E354" s="35" t="s">
        <v>64</v>
      </c>
      <c r="F354" s="139">
        <f t="shared" si="181"/>
        <v>1</v>
      </c>
      <c r="G354" s="35">
        <v>220000000</v>
      </c>
      <c r="H354" s="139">
        <f t="shared" si="182"/>
        <v>8.3424226808222066</v>
      </c>
      <c r="I354" s="35">
        <f>G354</f>
        <v>220000000</v>
      </c>
      <c r="J354" s="35">
        <v>0</v>
      </c>
      <c r="K354" s="36">
        <v>42464</v>
      </c>
      <c r="L354" s="35">
        <v>895000000</v>
      </c>
      <c r="M354" s="21">
        <f t="shared" si="183"/>
        <v>5.4986301369863018</v>
      </c>
      <c r="N354" s="21">
        <f t="shared" si="209"/>
        <v>0.74025450803101089</v>
      </c>
      <c r="O354" s="35">
        <v>463.97</v>
      </c>
      <c r="P354" s="35">
        <f t="shared" si="184"/>
        <v>2.6674249329872439</v>
      </c>
      <c r="Q354" s="35">
        <v>31</v>
      </c>
      <c r="R354" s="35">
        <f t="shared" si="185"/>
        <v>1.505149978319906</v>
      </c>
      <c r="S354" s="45">
        <v>2.61</v>
      </c>
      <c r="T354" s="45">
        <f t="shared" si="210"/>
        <v>0.41664050733828095</v>
      </c>
      <c r="U354" s="175">
        <f t="shared" si="186"/>
        <v>3.0681818181818183</v>
      </c>
      <c r="V354" s="48">
        <f t="shared" si="187"/>
        <v>0.60940035449370578</v>
      </c>
      <c r="W354" s="35">
        <v>1861.7599999999995</v>
      </c>
      <c r="X354" s="35">
        <f t="shared" si="188"/>
        <v>3.2699236952309461</v>
      </c>
      <c r="Y354" s="35">
        <v>4993.920000000001</v>
      </c>
      <c r="Z354" s="35">
        <f t="shared" si="189"/>
        <v>3.6984415808994222</v>
      </c>
      <c r="AA354" s="37">
        <v>193.166666666667</v>
      </c>
      <c r="AB354" s="37">
        <f t="shared" si="190"/>
        <v>2.2881746749783951</v>
      </c>
      <c r="AC354" s="35">
        <v>92.8</v>
      </c>
      <c r="AD354" s="35">
        <f t="shared" si="211"/>
        <v>1.9675479762188621</v>
      </c>
      <c r="AE354" s="48">
        <v>27</v>
      </c>
      <c r="AF354" s="48">
        <f t="shared" si="212"/>
        <v>1.4313637641589874</v>
      </c>
      <c r="AG354" s="43">
        <v>65.041501268831993</v>
      </c>
      <c r="AH354" s="43">
        <f t="shared" si="213"/>
        <v>1.8131905569593969</v>
      </c>
      <c r="AI354" s="39">
        <v>0.3</v>
      </c>
      <c r="AJ354" s="48">
        <f t="shared" si="191"/>
        <v>0.11394335230683679</v>
      </c>
      <c r="AK354" s="35">
        <v>19</v>
      </c>
      <c r="AL354" s="35">
        <f t="shared" si="214"/>
        <v>1.2787536009528289</v>
      </c>
      <c r="AM354" s="35">
        <f t="shared" si="192"/>
        <v>0</v>
      </c>
      <c r="AN354" s="35">
        <f t="shared" si="193"/>
        <v>0</v>
      </c>
      <c r="AO354" s="35">
        <f t="shared" si="194"/>
        <v>0</v>
      </c>
      <c r="AP354" s="35">
        <f t="shared" si="195"/>
        <v>0</v>
      </c>
      <c r="AQ354" s="35">
        <f t="shared" si="196"/>
        <v>0</v>
      </c>
      <c r="AR354" s="35">
        <f t="shared" si="197"/>
        <v>0</v>
      </c>
      <c r="AS354" s="35">
        <f t="shared" si="198"/>
        <v>0</v>
      </c>
      <c r="AT354" s="35">
        <f t="shared" si="199"/>
        <v>0</v>
      </c>
      <c r="AU354" s="35">
        <f t="shared" si="200"/>
        <v>0</v>
      </c>
      <c r="AV354" s="35">
        <f t="shared" si="201"/>
        <v>0</v>
      </c>
      <c r="AW354" s="35">
        <f t="shared" si="202"/>
        <v>0</v>
      </c>
      <c r="AX354" s="35">
        <f t="shared" si="203"/>
        <v>0</v>
      </c>
      <c r="AY354" s="35">
        <f t="shared" si="204"/>
        <v>0</v>
      </c>
      <c r="AZ354" s="35">
        <f t="shared" si="205"/>
        <v>0</v>
      </c>
      <c r="BA354" s="35">
        <f t="shared" si="206"/>
        <v>0</v>
      </c>
      <c r="BB354" s="35">
        <f t="shared" si="207"/>
        <v>1</v>
      </c>
      <c r="BC354" s="35">
        <f t="shared" si="208"/>
        <v>0</v>
      </c>
    </row>
    <row r="355" spans="1:55" s="35" customFormat="1" x14ac:dyDescent="0.35">
      <c r="A355" s="36">
        <v>40466</v>
      </c>
      <c r="B355" s="35" t="s">
        <v>1278</v>
      </c>
      <c r="C355" s="35" t="s">
        <v>45</v>
      </c>
      <c r="D355" s="35" t="s">
        <v>602</v>
      </c>
      <c r="E355" s="35" t="s">
        <v>47</v>
      </c>
      <c r="F355" s="139">
        <f t="shared" si="181"/>
        <v>0</v>
      </c>
      <c r="G355" s="35">
        <v>48800000</v>
      </c>
      <c r="H355" s="139">
        <f t="shared" si="182"/>
        <v>7.6884198220027109</v>
      </c>
      <c r="I355" s="35">
        <f>G355</f>
        <v>48800000</v>
      </c>
      <c r="J355" s="35">
        <v>0</v>
      </c>
      <c r="K355" s="36">
        <v>41260</v>
      </c>
      <c r="L355" s="35">
        <v>338050000</v>
      </c>
      <c r="M355" s="21">
        <f t="shared" si="183"/>
        <v>2.1753424657534248</v>
      </c>
      <c r="N355" s="21">
        <f t="shared" si="209"/>
        <v>0.33752763797062157</v>
      </c>
      <c r="O355" s="35">
        <v>0</v>
      </c>
      <c r="P355" s="35">
        <f t="shared" si="184"/>
        <v>0</v>
      </c>
      <c r="Q355" s="35">
        <v>21</v>
      </c>
      <c r="R355" s="35">
        <f t="shared" si="185"/>
        <v>1.3424226808222062</v>
      </c>
      <c r="S355" s="45">
        <v>2.95</v>
      </c>
      <c r="T355" s="45">
        <f t="shared" si="210"/>
        <v>0.46982201597816303</v>
      </c>
      <c r="U355" s="175">
        <f t="shared" si="186"/>
        <v>5.9272540983606561</v>
      </c>
      <c r="V355" s="48">
        <f t="shared" si="187"/>
        <v>0.84056111826942603</v>
      </c>
      <c r="W355" s="35">
        <v>1455.046</v>
      </c>
      <c r="X355" s="35">
        <f t="shared" si="188"/>
        <v>3.1628767233771686</v>
      </c>
      <c r="Y355" s="35">
        <v>4062.5129999999999</v>
      </c>
      <c r="Z355" s="35">
        <f t="shared" si="189"/>
        <v>3.6087947637270492</v>
      </c>
      <c r="AA355" s="35">
        <v>0</v>
      </c>
      <c r="AB355" s="37">
        <f t="shared" si="190"/>
        <v>0</v>
      </c>
      <c r="AC355" s="35">
        <v>91.3</v>
      </c>
      <c r="AD355" s="35">
        <f t="shared" si="211"/>
        <v>1.9604707775342989</v>
      </c>
      <c r="AE355" s="48">
        <v>23.5</v>
      </c>
      <c r="AF355" s="48">
        <f t="shared" si="212"/>
        <v>1.3710678622717363</v>
      </c>
      <c r="AG355" s="43">
        <v>43.1672842383418</v>
      </c>
      <c r="AH355" s="43">
        <f t="shared" si="213"/>
        <v>1.6351547269652249</v>
      </c>
      <c r="AI355" s="39">
        <v>0.23</v>
      </c>
      <c r="AJ355" s="48">
        <f t="shared" si="191"/>
        <v>8.9905111439397931E-2</v>
      </c>
      <c r="AK355" s="35">
        <v>19</v>
      </c>
      <c r="AL355" s="35">
        <f t="shared" si="214"/>
        <v>1.2787536009528289</v>
      </c>
      <c r="AM355" s="35">
        <f t="shared" si="192"/>
        <v>0</v>
      </c>
      <c r="AN355" s="35">
        <f t="shared" si="193"/>
        <v>1</v>
      </c>
      <c r="AO355" s="35">
        <f t="shared" si="194"/>
        <v>0</v>
      </c>
      <c r="AP355" s="35">
        <f t="shared" si="195"/>
        <v>0</v>
      </c>
      <c r="AQ355" s="35">
        <f t="shared" si="196"/>
        <v>0</v>
      </c>
      <c r="AR355" s="35">
        <f t="shared" si="197"/>
        <v>0</v>
      </c>
      <c r="AS355" s="35">
        <f t="shared" si="198"/>
        <v>0</v>
      </c>
      <c r="AT355" s="35">
        <f t="shared" si="199"/>
        <v>0</v>
      </c>
      <c r="AU355" s="35">
        <f t="shared" si="200"/>
        <v>0</v>
      </c>
      <c r="AV355" s="35">
        <f t="shared" si="201"/>
        <v>0</v>
      </c>
      <c r="AW355" s="35">
        <f t="shared" si="202"/>
        <v>0</v>
      </c>
      <c r="AX355" s="35">
        <f t="shared" si="203"/>
        <v>0</v>
      </c>
      <c r="AY355" s="35">
        <f t="shared" si="204"/>
        <v>0</v>
      </c>
      <c r="AZ355" s="35">
        <f t="shared" si="205"/>
        <v>0</v>
      </c>
      <c r="BA355" s="35">
        <f t="shared" si="206"/>
        <v>0</v>
      </c>
      <c r="BB355" s="35">
        <f t="shared" si="207"/>
        <v>0</v>
      </c>
      <c r="BC355" s="35">
        <f t="shared" si="208"/>
        <v>0</v>
      </c>
    </row>
    <row r="356" spans="1:55" s="35" customFormat="1" x14ac:dyDescent="0.35">
      <c r="A356" s="36">
        <v>40490</v>
      </c>
      <c r="B356" s="35" t="s">
        <v>934</v>
      </c>
      <c r="C356" s="35" t="s">
        <v>45</v>
      </c>
      <c r="D356" s="35" t="s">
        <v>59</v>
      </c>
      <c r="E356" s="35" t="s">
        <v>64</v>
      </c>
      <c r="F356" s="139">
        <f t="shared" si="181"/>
        <v>1</v>
      </c>
      <c r="G356" s="35">
        <v>250000000</v>
      </c>
      <c r="H356" s="139">
        <f t="shared" si="182"/>
        <v>8.3979400086720375</v>
      </c>
      <c r="I356" s="35">
        <f>G356</f>
        <v>250000000</v>
      </c>
      <c r="J356" s="35">
        <v>0</v>
      </c>
      <c r="K356" s="36">
        <v>42625</v>
      </c>
      <c r="L356" s="35">
        <v>275000000</v>
      </c>
      <c r="M356" s="21">
        <f t="shared" si="183"/>
        <v>5.8493150684931505</v>
      </c>
      <c r="N356" s="21">
        <f t="shared" si="209"/>
        <v>0.76710501490456795</v>
      </c>
      <c r="O356" s="35">
        <v>5897.96</v>
      </c>
      <c r="P356" s="35">
        <f t="shared" si="184"/>
        <v>3.7707754512906644</v>
      </c>
      <c r="Q356" s="35">
        <v>11</v>
      </c>
      <c r="R356" s="35">
        <f t="shared" si="185"/>
        <v>1.0791812460476249</v>
      </c>
      <c r="S356" s="45">
        <v>2.3199999999999998</v>
      </c>
      <c r="T356" s="45">
        <f t="shared" si="210"/>
        <v>0.36548798489089962</v>
      </c>
      <c r="U356" s="175">
        <f t="shared" si="186"/>
        <v>0.10000000000000009</v>
      </c>
      <c r="V356" s="48">
        <f t="shared" si="187"/>
        <v>4.1392685158225077E-2</v>
      </c>
      <c r="W356" s="35">
        <v>1313.9047790640061</v>
      </c>
      <c r="X356" s="35">
        <f t="shared" si="188"/>
        <v>3.1185638922971846</v>
      </c>
      <c r="Y356" s="35">
        <v>3042.6557362280973</v>
      </c>
      <c r="Z356" s="35">
        <f t="shared" si="189"/>
        <v>3.4832528165335011</v>
      </c>
      <c r="AA356" s="37">
        <v>132</v>
      </c>
      <c r="AB356" s="37">
        <f t="shared" si="190"/>
        <v>2.1238516409670858</v>
      </c>
      <c r="AC356" s="35">
        <v>91.3</v>
      </c>
      <c r="AD356" s="35">
        <f t="shared" si="211"/>
        <v>1.9604707775342989</v>
      </c>
      <c r="AE356" s="48">
        <v>23.5</v>
      </c>
      <c r="AF356" s="48">
        <f t="shared" si="212"/>
        <v>1.3710678622717363</v>
      </c>
      <c r="AG356" s="43">
        <v>43.1672842383418</v>
      </c>
      <c r="AH356" s="43">
        <f t="shared" si="213"/>
        <v>1.6351547269652249</v>
      </c>
      <c r="AI356" s="39">
        <v>0.32</v>
      </c>
      <c r="AJ356" s="48">
        <f t="shared" si="191"/>
        <v>0.12057393120584989</v>
      </c>
      <c r="AK356" s="35">
        <v>18</v>
      </c>
      <c r="AL356" s="35">
        <f t="shared" si="214"/>
        <v>1.255272505103306</v>
      </c>
      <c r="AM356" s="35">
        <f t="shared" si="192"/>
        <v>0</v>
      </c>
      <c r="AN356" s="35">
        <f t="shared" si="193"/>
        <v>1</v>
      </c>
      <c r="AO356" s="35">
        <f t="shared" si="194"/>
        <v>0</v>
      </c>
      <c r="AP356" s="35">
        <f t="shared" si="195"/>
        <v>0</v>
      </c>
      <c r="AQ356" s="35">
        <f t="shared" si="196"/>
        <v>0</v>
      </c>
      <c r="AR356" s="35">
        <f t="shared" si="197"/>
        <v>0</v>
      </c>
      <c r="AS356" s="35">
        <f t="shared" si="198"/>
        <v>0</v>
      </c>
      <c r="AT356" s="35">
        <f t="shared" si="199"/>
        <v>0</v>
      </c>
      <c r="AU356" s="35">
        <f t="shared" si="200"/>
        <v>0</v>
      </c>
      <c r="AV356" s="35">
        <f t="shared" si="201"/>
        <v>0</v>
      </c>
      <c r="AW356" s="35">
        <f t="shared" si="202"/>
        <v>0</v>
      </c>
      <c r="AX356" s="35">
        <f t="shared" si="203"/>
        <v>0</v>
      </c>
      <c r="AY356" s="35">
        <f t="shared" si="204"/>
        <v>0</v>
      </c>
      <c r="AZ356" s="35">
        <f t="shared" si="205"/>
        <v>0</v>
      </c>
      <c r="BA356" s="35">
        <f t="shared" si="206"/>
        <v>0</v>
      </c>
      <c r="BB356" s="35">
        <f t="shared" si="207"/>
        <v>0</v>
      </c>
      <c r="BC356" s="35">
        <f t="shared" si="208"/>
        <v>0</v>
      </c>
    </row>
    <row r="357" spans="1:55" s="35" customFormat="1" x14ac:dyDescent="0.35">
      <c r="A357" s="36">
        <v>40508</v>
      </c>
      <c r="B357" s="139" t="s">
        <v>137</v>
      </c>
      <c r="C357" s="139" t="s">
        <v>45</v>
      </c>
      <c r="D357" s="139" t="s">
        <v>45</v>
      </c>
      <c r="E357" s="139" t="s">
        <v>47</v>
      </c>
      <c r="F357" s="139">
        <f t="shared" si="181"/>
        <v>0</v>
      </c>
      <c r="G357" s="139">
        <v>517570000</v>
      </c>
      <c r="H357" s="139">
        <f t="shared" si="182"/>
        <v>8.713969095303522</v>
      </c>
      <c r="I357" s="139">
        <v>369820000</v>
      </c>
      <c r="J357" s="139">
        <v>147750000</v>
      </c>
      <c r="K357" s="18">
        <v>42921</v>
      </c>
      <c r="L357" s="139">
        <v>800000000</v>
      </c>
      <c r="M357" s="21">
        <f t="shared" si="183"/>
        <v>6.6109589041095891</v>
      </c>
      <c r="N357" s="21">
        <f t="shared" si="209"/>
        <v>0.82026445745231114</v>
      </c>
      <c r="O357" s="35">
        <v>0</v>
      </c>
      <c r="P357" s="35">
        <f t="shared" si="184"/>
        <v>0</v>
      </c>
      <c r="Q357" s="35">
        <v>15</v>
      </c>
      <c r="R357" s="35">
        <f t="shared" si="185"/>
        <v>1.2041199826559248</v>
      </c>
      <c r="S357" s="45">
        <v>2.95</v>
      </c>
      <c r="T357" s="45">
        <f t="shared" si="210"/>
        <v>0.46982201597816303</v>
      </c>
      <c r="U357" s="175">
        <f t="shared" si="186"/>
        <v>0.54568464169097908</v>
      </c>
      <c r="V357" s="48">
        <f t="shared" si="187"/>
        <v>0.18912089168842117</v>
      </c>
      <c r="W357" s="35">
        <v>2210.8843537414964</v>
      </c>
      <c r="X357" s="35">
        <f t="shared" si="188"/>
        <v>3.3445660262306984</v>
      </c>
      <c r="Y357" s="14">
        <v>9535.1473922902496</v>
      </c>
      <c r="Z357" s="35">
        <f t="shared" si="189"/>
        <v>3.9793274106660923</v>
      </c>
      <c r="AA357" s="37">
        <v>0</v>
      </c>
      <c r="AB357" s="37">
        <f t="shared" si="190"/>
        <v>0</v>
      </c>
      <c r="AC357" s="35">
        <v>91.3</v>
      </c>
      <c r="AD357" s="35">
        <f t="shared" si="211"/>
        <v>1.9604707775342989</v>
      </c>
      <c r="AE357" s="48">
        <v>23.5</v>
      </c>
      <c r="AF357" s="48">
        <f t="shared" si="212"/>
        <v>1.3710678622717363</v>
      </c>
      <c r="AG357" s="43">
        <v>43.1672842383418</v>
      </c>
      <c r="AH357" s="43">
        <f t="shared" si="213"/>
        <v>1.6351547269652249</v>
      </c>
      <c r="AI357" s="39">
        <v>0.04</v>
      </c>
      <c r="AJ357" s="48">
        <f t="shared" si="191"/>
        <v>1.703333929878037E-2</v>
      </c>
      <c r="AK357" s="35">
        <v>18</v>
      </c>
      <c r="AL357" s="35">
        <f t="shared" si="214"/>
        <v>1.255272505103306</v>
      </c>
      <c r="AM357" s="35">
        <f t="shared" si="192"/>
        <v>0</v>
      </c>
      <c r="AN357" s="35">
        <f t="shared" si="193"/>
        <v>1</v>
      </c>
      <c r="AO357" s="35">
        <f t="shared" si="194"/>
        <v>0</v>
      </c>
      <c r="AP357" s="35">
        <f t="shared" si="195"/>
        <v>0</v>
      </c>
      <c r="AQ357" s="35">
        <f t="shared" si="196"/>
        <v>0</v>
      </c>
      <c r="AR357" s="35">
        <f t="shared" si="197"/>
        <v>0</v>
      </c>
      <c r="AS357" s="35">
        <f t="shared" si="198"/>
        <v>0</v>
      </c>
      <c r="AT357" s="35">
        <f t="shared" si="199"/>
        <v>0</v>
      </c>
      <c r="AU357" s="35">
        <f t="shared" si="200"/>
        <v>0</v>
      </c>
      <c r="AV357" s="35">
        <f t="shared" si="201"/>
        <v>0</v>
      </c>
      <c r="AW357" s="35">
        <f t="shared" si="202"/>
        <v>0</v>
      </c>
      <c r="AX357" s="35">
        <f t="shared" si="203"/>
        <v>0</v>
      </c>
      <c r="AY357" s="35">
        <f t="shared" si="204"/>
        <v>0</v>
      </c>
      <c r="AZ357" s="35">
        <f t="shared" si="205"/>
        <v>0</v>
      </c>
      <c r="BA357" s="35">
        <f t="shared" si="206"/>
        <v>0</v>
      </c>
      <c r="BB357" s="35">
        <f t="shared" si="207"/>
        <v>0</v>
      </c>
      <c r="BC357" s="35">
        <f t="shared" si="208"/>
        <v>0</v>
      </c>
    </row>
    <row r="358" spans="1:55" s="35" customFormat="1" x14ac:dyDescent="0.35">
      <c r="A358" s="36">
        <v>40515</v>
      </c>
      <c r="B358" s="35" t="s">
        <v>504</v>
      </c>
      <c r="C358" s="35" t="s">
        <v>59</v>
      </c>
      <c r="D358" s="35" t="s">
        <v>45</v>
      </c>
      <c r="E358" s="35" t="s">
        <v>64</v>
      </c>
      <c r="F358" s="139">
        <f t="shared" si="181"/>
        <v>1</v>
      </c>
      <c r="G358" s="35">
        <v>2100000000</v>
      </c>
      <c r="H358" s="139">
        <f t="shared" si="182"/>
        <v>9.3222192947339195</v>
      </c>
      <c r="I358" s="35">
        <f>G358</f>
        <v>2100000000</v>
      </c>
      <c r="J358" s="35">
        <v>0</v>
      </c>
      <c r="K358" s="36">
        <v>42110</v>
      </c>
      <c r="L358" s="35">
        <v>2500000000</v>
      </c>
      <c r="M358" s="21">
        <f t="shared" si="183"/>
        <v>4.3698630136986303</v>
      </c>
      <c r="N358" s="21">
        <f t="shared" si="209"/>
        <v>0.64046782293672522</v>
      </c>
      <c r="O358" s="35">
        <v>5897.96</v>
      </c>
      <c r="P358" s="35">
        <f t="shared" si="184"/>
        <v>3.7707754512906644</v>
      </c>
      <c r="Q358" s="35">
        <v>16</v>
      </c>
      <c r="R358" s="35">
        <f t="shared" si="185"/>
        <v>1.2304489213782739</v>
      </c>
      <c r="S358" s="45">
        <v>2.3199999999999998</v>
      </c>
      <c r="T358" s="45">
        <f t="shared" si="210"/>
        <v>0.36548798489089962</v>
      </c>
      <c r="U358" s="175">
        <f t="shared" si="186"/>
        <v>0.19047619047619047</v>
      </c>
      <c r="V358" s="48">
        <f t="shared" si="187"/>
        <v>7.5720713938118342E-2</v>
      </c>
      <c r="W358" s="35">
        <v>2387.5432525951551</v>
      </c>
      <c r="X358" s="35">
        <f t="shared" si="188"/>
        <v>3.3779512479807074</v>
      </c>
      <c r="Y358" s="35">
        <v>5847.7508650519039</v>
      </c>
      <c r="Z358" s="35">
        <f t="shared" si="189"/>
        <v>3.7669888618571257</v>
      </c>
      <c r="AA358" s="37">
        <v>132</v>
      </c>
      <c r="AB358" s="37">
        <f t="shared" si="190"/>
        <v>2.1238516409670858</v>
      </c>
      <c r="AC358" s="35">
        <v>94.9</v>
      </c>
      <c r="AD358" s="35">
        <f t="shared" si="211"/>
        <v>1.9772662124272926</v>
      </c>
      <c r="AE358" s="48">
        <v>32.299999999999997</v>
      </c>
      <c r="AF358" s="48">
        <f t="shared" si="212"/>
        <v>1.5092025223311027</v>
      </c>
      <c r="AG358" s="43">
        <v>47.560703662314701</v>
      </c>
      <c r="AH358" s="43">
        <f t="shared" si="213"/>
        <v>1.6772482713966061</v>
      </c>
      <c r="AI358" s="39">
        <v>0.13</v>
      </c>
      <c r="AJ358" s="48">
        <f t="shared" si="191"/>
        <v>5.3078443483419682E-2</v>
      </c>
      <c r="AK358" s="35">
        <v>18</v>
      </c>
      <c r="AL358" s="35">
        <f t="shared" si="214"/>
        <v>1.255272505103306</v>
      </c>
      <c r="AM358" s="35">
        <f t="shared" si="192"/>
        <v>0</v>
      </c>
      <c r="AN358" s="35">
        <f t="shared" si="193"/>
        <v>0</v>
      </c>
      <c r="AO358" s="35">
        <f t="shared" si="194"/>
        <v>1</v>
      </c>
      <c r="AP358" s="35">
        <f t="shared" si="195"/>
        <v>0</v>
      </c>
      <c r="AQ358" s="35">
        <f t="shared" si="196"/>
        <v>0</v>
      </c>
      <c r="AR358" s="35">
        <f t="shared" si="197"/>
        <v>0</v>
      </c>
      <c r="AS358" s="35">
        <f t="shared" si="198"/>
        <v>0</v>
      </c>
      <c r="AT358" s="35">
        <f t="shared" si="199"/>
        <v>0</v>
      </c>
      <c r="AU358" s="35">
        <f t="shared" si="200"/>
        <v>0</v>
      </c>
      <c r="AV358" s="35">
        <f t="shared" si="201"/>
        <v>0</v>
      </c>
      <c r="AW358" s="35">
        <f t="shared" si="202"/>
        <v>0</v>
      </c>
      <c r="AX358" s="35">
        <f t="shared" si="203"/>
        <v>0</v>
      </c>
      <c r="AY358" s="35">
        <f t="shared" si="204"/>
        <v>0</v>
      </c>
      <c r="AZ358" s="35">
        <f t="shared" si="205"/>
        <v>0</v>
      </c>
      <c r="BA358" s="35">
        <f t="shared" si="206"/>
        <v>0</v>
      </c>
      <c r="BB358" s="35">
        <f t="shared" si="207"/>
        <v>0</v>
      </c>
      <c r="BC358" s="35">
        <f t="shared" si="208"/>
        <v>0</v>
      </c>
    </row>
    <row r="359" spans="1:55" s="35" customFormat="1" x14ac:dyDescent="0.35">
      <c r="A359" s="36">
        <v>40526</v>
      </c>
      <c r="B359" s="35" t="s">
        <v>966</v>
      </c>
      <c r="C359" s="35" t="s">
        <v>5</v>
      </c>
      <c r="D359" s="35" t="s">
        <v>45</v>
      </c>
      <c r="E359" s="35" t="s">
        <v>64</v>
      </c>
      <c r="F359" s="139">
        <f t="shared" si="181"/>
        <v>1</v>
      </c>
      <c r="G359" s="35">
        <v>650000000</v>
      </c>
      <c r="H359" s="139">
        <f t="shared" si="182"/>
        <v>8.8129133566428557</v>
      </c>
      <c r="I359" s="35">
        <f>G359</f>
        <v>650000000</v>
      </c>
      <c r="J359" s="35">
        <v>0</v>
      </c>
      <c r="K359" s="36">
        <v>42450</v>
      </c>
      <c r="L359" s="35">
        <f>(220702020+242908320+124000000+134400000+130500000)</f>
        <v>852510340</v>
      </c>
      <c r="M359" s="21">
        <f t="shared" si="183"/>
        <v>5.2712328767123289</v>
      </c>
      <c r="N359" s="21">
        <f t="shared" si="209"/>
        <v>0.72191220324531946</v>
      </c>
      <c r="O359" s="35">
        <v>6188.89</v>
      </c>
      <c r="P359" s="35">
        <f t="shared" si="184"/>
        <v>3.7916829312790057</v>
      </c>
      <c r="Q359" s="35">
        <v>15</v>
      </c>
      <c r="R359" s="35">
        <f t="shared" si="185"/>
        <v>1.2041199826559248</v>
      </c>
      <c r="S359" s="45">
        <v>2.72</v>
      </c>
      <c r="T359" s="45">
        <f t="shared" si="210"/>
        <v>0.43456890403419873</v>
      </c>
      <c r="U359" s="175">
        <f t="shared" si="186"/>
        <v>0.31155436923076918</v>
      </c>
      <c r="V359" s="48">
        <f t="shared" si="187"/>
        <v>0.11778629856151522</v>
      </c>
      <c r="W359" s="35">
        <v>1618.5219999999999</v>
      </c>
      <c r="X359" s="35">
        <f t="shared" si="188"/>
        <v>3.20911860699078</v>
      </c>
      <c r="Y359" s="35">
        <v>3845.9059999999999</v>
      </c>
      <c r="Z359" s="35">
        <f t="shared" si="189"/>
        <v>3.5849986651910224</v>
      </c>
      <c r="AA359" s="37">
        <v>1084.3333333333301</v>
      </c>
      <c r="AB359" s="37">
        <f t="shared" si="190"/>
        <v>3.0355631414974997</v>
      </c>
      <c r="AC359" s="35">
        <v>82.6</v>
      </c>
      <c r="AD359" s="35">
        <f t="shared" si="211"/>
        <v>1.9169800473203822</v>
      </c>
      <c r="AE359" s="48">
        <v>35.700000000000003</v>
      </c>
      <c r="AF359" s="48">
        <f t="shared" si="212"/>
        <v>1.5526682161121932</v>
      </c>
      <c r="AG359" s="43">
        <v>47.863614247473699</v>
      </c>
      <c r="AH359" s="43">
        <f t="shared" si="213"/>
        <v>1.6800054896904866</v>
      </c>
      <c r="AI359" s="39">
        <v>0.1</v>
      </c>
      <c r="AJ359" s="48">
        <f t="shared" si="191"/>
        <v>4.1392685158225077E-2</v>
      </c>
      <c r="AK359" s="35">
        <v>17</v>
      </c>
      <c r="AL359" s="35">
        <f t="shared" si="214"/>
        <v>1.2304489213782739</v>
      </c>
      <c r="AM359" s="35">
        <f t="shared" si="192"/>
        <v>0</v>
      </c>
      <c r="AN359" s="35">
        <f t="shared" si="193"/>
        <v>0</v>
      </c>
      <c r="AO359" s="35">
        <f t="shared" si="194"/>
        <v>0</v>
      </c>
      <c r="AP359" s="35">
        <f t="shared" si="195"/>
        <v>0</v>
      </c>
      <c r="AQ359" s="35">
        <f t="shared" si="196"/>
        <v>0</v>
      </c>
      <c r="AR359" s="35">
        <f t="shared" si="197"/>
        <v>0</v>
      </c>
      <c r="AS359" s="35">
        <f t="shared" si="198"/>
        <v>1</v>
      </c>
      <c r="AT359" s="35">
        <f t="shared" si="199"/>
        <v>0</v>
      </c>
      <c r="AU359" s="35">
        <f t="shared" si="200"/>
        <v>0</v>
      </c>
      <c r="AV359" s="35">
        <f t="shared" si="201"/>
        <v>0</v>
      </c>
      <c r="AW359" s="35">
        <f t="shared" si="202"/>
        <v>0</v>
      </c>
      <c r="AX359" s="35">
        <f t="shared" si="203"/>
        <v>0</v>
      </c>
      <c r="AY359" s="35">
        <f t="shared" si="204"/>
        <v>0</v>
      </c>
      <c r="AZ359" s="35">
        <f t="shared" si="205"/>
        <v>0</v>
      </c>
      <c r="BA359" s="35">
        <f t="shared" si="206"/>
        <v>0</v>
      </c>
      <c r="BB359" s="35">
        <f t="shared" si="207"/>
        <v>0</v>
      </c>
      <c r="BC359" s="35">
        <f t="shared" si="208"/>
        <v>0</v>
      </c>
    </row>
    <row r="360" spans="1:55" s="35" customFormat="1" x14ac:dyDescent="0.35">
      <c r="A360" s="36">
        <v>40527</v>
      </c>
      <c r="B360" s="90" t="s">
        <v>891</v>
      </c>
      <c r="C360" s="35" t="s">
        <v>59</v>
      </c>
      <c r="D360" s="35" t="s">
        <v>59</v>
      </c>
      <c r="E360" s="35" t="s">
        <v>47</v>
      </c>
      <c r="F360" s="139">
        <f t="shared" si="181"/>
        <v>0</v>
      </c>
      <c r="G360" s="35">
        <v>200000000</v>
      </c>
      <c r="H360" s="139">
        <f t="shared" si="182"/>
        <v>8.3010299956639813</v>
      </c>
      <c r="I360" s="35">
        <f>G360</f>
        <v>200000000</v>
      </c>
      <c r="J360" s="35">
        <v>0</v>
      </c>
      <c r="K360" s="36">
        <v>42342</v>
      </c>
      <c r="L360" s="35">
        <v>256000000</v>
      </c>
      <c r="M360" s="21">
        <f t="shared" si="183"/>
        <v>4.9726027397260273</v>
      </c>
      <c r="N360" s="21">
        <f t="shared" si="209"/>
        <v>0.69658376491565666</v>
      </c>
      <c r="O360" s="35">
        <v>0</v>
      </c>
      <c r="P360" s="35">
        <f t="shared" si="184"/>
        <v>0</v>
      </c>
      <c r="Q360" s="35">
        <v>29</v>
      </c>
      <c r="R360" s="35">
        <f t="shared" si="185"/>
        <v>1.4771212547196624</v>
      </c>
      <c r="S360" s="45">
        <v>3.29</v>
      </c>
      <c r="T360" s="45">
        <f t="shared" si="210"/>
        <v>0.51719589794997434</v>
      </c>
      <c r="U360" s="175">
        <f t="shared" si="186"/>
        <v>0.28000000000000003</v>
      </c>
      <c r="V360" s="48">
        <f t="shared" si="187"/>
        <v>0.10720996964786837</v>
      </c>
      <c r="W360" s="35">
        <v>2417.5229853975125</v>
      </c>
      <c r="X360" s="35">
        <f t="shared" si="188"/>
        <v>3.3833706119727633</v>
      </c>
      <c r="Y360" s="35">
        <v>9545.7003785830148</v>
      </c>
      <c r="Z360" s="35">
        <f t="shared" si="189"/>
        <v>3.9798077985646683</v>
      </c>
      <c r="AA360" s="37">
        <v>0</v>
      </c>
      <c r="AB360" s="37">
        <f t="shared" si="190"/>
        <v>0</v>
      </c>
      <c r="AC360" s="35">
        <v>94.9</v>
      </c>
      <c r="AD360" s="35">
        <f t="shared" si="211"/>
        <v>1.9772662124272926</v>
      </c>
      <c r="AE360" s="48">
        <v>32.299999999999997</v>
      </c>
      <c r="AF360" s="48">
        <f t="shared" si="212"/>
        <v>1.5092025223311027</v>
      </c>
      <c r="AG360" s="43">
        <v>47.560703662314701</v>
      </c>
      <c r="AH360" s="43">
        <f t="shared" si="213"/>
        <v>1.6772482713966061</v>
      </c>
      <c r="AI360" s="39">
        <v>-0.14000000000000001</v>
      </c>
      <c r="AJ360" s="48">
        <f t="shared" si="191"/>
        <v>-6.5501548756432285E-2</v>
      </c>
      <c r="AK360" s="35">
        <v>16</v>
      </c>
      <c r="AL360" s="35">
        <f t="shared" si="214"/>
        <v>1.2041199826559248</v>
      </c>
      <c r="AM360" s="35">
        <f t="shared" si="192"/>
        <v>0</v>
      </c>
      <c r="AN360" s="35">
        <f t="shared" si="193"/>
        <v>0</v>
      </c>
      <c r="AO360" s="35">
        <f t="shared" si="194"/>
        <v>1</v>
      </c>
      <c r="AP360" s="35">
        <f t="shared" si="195"/>
        <v>0</v>
      </c>
      <c r="AQ360" s="35">
        <f t="shared" si="196"/>
        <v>0</v>
      </c>
      <c r="AR360" s="35">
        <f t="shared" si="197"/>
        <v>0</v>
      </c>
      <c r="AS360" s="35">
        <f t="shared" si="198"/>
        <v>0</v>
      </c>
      <c r="AT360" s="35">
        <f t="shared" si="199"/>
        <v>0</v>
      </c>
      <c r="AU360" s="35">
        <f t="shared" si="200"/>
        <v>0</v>
      </c>
      <c r="AV360" s="35">
        <f t="shared" si="201"/>
        <v>0</v>
      </c>
      <c r="AW360" s="35">
        <f t="shared" si="202"/>
        <v>0</v>
      </c>
      <c r="AX360" s="35">
        <f t="shared" si="203"/>
        <v>0</v>
      </c>
      <c r="AY360" s="35">
        <f t="shared" si="204"/>
        <v>0</v>
      </c>
      <c r="AZ360" s="35">
        <f t="shared" si="205"/>
        <v>0</v>
      </c>
      <c r="BA360" s="35">
        <f t="shared" si="206"/>
        <v>0</v>
      </c>
      <c r="BB360" s="35">
        <f t="shared" si="207"/>
        <v>0</v>
      </c>
      <c r="BC360" s="35">
        <f t="shared" si="208"/>
        <v>0</v>
      </c>
    </row>
    <row r="361" spans="1:55" s="35" customFormat="1" x14ac:dyDescent="0.35">
      <c r="A361" s="36">
        <v>40543</v>
      </c>
      <c r="B361" s="35" t="s">
        <v>361</v>
      </c>
      <c r="C361" s="35" t="s">
        <v>45</v>
      </c>
      <c r="D361" s="35" t="s">
        <v>45</v>
      </c>
      <c r="E361" s="35" t="s">
        <v>102</v>
      </c>
      <c r="F361" s="139">
        <f t="shared" si="181"/>
        <v>0</v>
      </c>
      <c r="G361" s="35">
        <v>125000000</v>
      </c>
      <c r="H361" s="139">
        <f t="shared" si="182"/>
        <v>8.0969100130080562</v>
      </c>
      <c r="I361" s="35">
        <v>125000000</v>
      </c>
      <c r="J361" s="35">
        <v>0</v>
      </c>
      <c r="K361" s="36">
        <v>41035</v>
      </c>
      <c r="L361" s="35">
        <v>300000000</v>
      </c>
      <c r="M361" s="21">
        <f t="shared" si="183"/>
        <v>1.3479452054794521</v>
      </c>
      <c r="N361" s="21">
        <f t="shared" si="209"/>
        <v>0.12967223831088562</v>
      </c>
      <c r="O361" s="35">
        <v>0</v>
      </c>
      <c r="P361" s="35">
        <f t="shared" si="184"/>
        <v>0</v>
      </c>
      <c r="Q361" s="35">
        <v>0</v>
      </c>
      <c r="R361" s="35">
        <f t="shared" si="185"/>
        <v>0</v>
      </c>
      <c r="S361" s="45">
        <v>2.95</v>
      </c>
      <c r="T361" s="45">
        <f t="shared" si="210"/>
        <v>0.46982201597816303</v>
      </c>
      <c r="U361" s="175">
        <f t="shared" si="186"/>
        <v>1.4</v>
      </c>
      <c r="V361" s="48">
        <f t="shared" si="187"/>
        <v>0.38021124171160603</v>
      </c>
      <c r="W361" s="35">
        <v>1171.498</v>
      </c>
      <c r="X361" s="35">
        <f t="shared" si="188"/>
        <v>3.0687415514991745</v>
      </c>
      <c r="Y361" s="35">
        <v>3386.1060000000002</v>
      </c>
      <c r="Z361" s="35">
        <f t="shared" si="189"/>
        <v>3.5297005493117593</v>
      </c>
      <c r="AA361" s="37">
        <v>0</v>
      </c>
      <c r="AB361" s="37">
        <f t="shared" si="190"/>
        <v>0</v>
      </c>
      <c r="AC361" s="35">
        <v>91.3</v>
      </c>
      <c r="AD361" s="35">
        <f t="shared" si="211"/>
        <v>1.9604707775342989</v>
      </c>
      <c r="AE361" s="48">
        <v>23.5</v>
      </c>
      <c r="AF361" s="48">
        <f t="shared" si="212"/>
        <v>1.3710678622717363</v>
      </c>
      <c r="AG361" s="43">
        <v>43.1672842383418</v>
      </c>
      <c r="AH361" s="43">
        <f t="shared" si="213"/>
        <v>1.6351547269652249</v>
      </c>
      <c r="AI361" s="39">
        <v>0.01</v>
      </c>
      <c r="AJ361" s="48">
        <f t="shared" si="191"/>
        <v>4.3213737826425782E-3</v>
      </c>
      <c r="AK361" s="35">
        <v>20</v>
      </c>
      <c r="AL361" s="35">
        <f t="shared" si="214"/>
        <v>1.3010299956639813</v>
      </c>
      <c r="AM361" s="35">
        <f t="shared" si="192"/>
        <v>0</v>
      </c>
      <c r="AN361" s="35">
        <f t="shared" si="193"/>
        <v>1</v>
      </c>
      <c r="AO361" s="35">
        <f t="shared" si="194"/>
        <v>0</v>
      </c>
      <c r="AP361" s="35">
        <f t="shared" si="195"/>
        <v>0</v>
      </c>
      <c r="AQ361" s="35">
        <f t="shared" si="196"/>
        <v>0</v>
      </c>
      <c r="AR361" s="35">
        <f t="shared" si="197"/>
        <v>0</v>
      </c>
      <c r="AS361" s="35">
        <f t="shared" si="198"/>
        <v>0</v>
      </c>
      <c r="AT361" s="35">
        <f t="shared" si="199"/>
        <v>0</v>
      </c>
      <c r="AU361" s="35">
        <f t="shared" si="200"/>
        <v>0</v>
      </c>
      <c r="AV361" s="35">
        <f t="shared" si="201"/>
        <v>0</v>
      </c>
      <c r="AW361" s="35">
        <f t="shared" si="202"/>
        <v>0</v>
      </c>
      <c r="AX361" s="35">
        <f t="shared" si="203"/>
        <v>0</v>
      </c>
      <c r="AY361" s="35">
        <f t="shared" si="204"/>
        <v>0</v>
      </c>
      <c r="AZ361" s="35">
        <f t="shared" si="205"/>
        <v>0</v>
      </c>
      <c r="BA361" s="35">
        <f t="shared" si="206"/>
        <v>0</v>
      </c>
      <c r="BB361" s="35">
        <f t="shared" si="207"/>
        <v>0</v>
      </c>
      <c r="BC361" s="35">
        <f t="shared" si="208"/>
        <v>0</v>
      </c>
    </row>
    <row r="362" spans="1:55" s="35" customFormat="1" x14ac:dyDescent="0.35">
      <c r="A362" s="36">
        <v>40551</v>
      </c>
      <c r="B362" s="35" t="s">
        <v>363</v>
      </c>
      <c r="C362" s="35" t="s">
        <v>7</v>
      </c>
      <c r="D362" s="35" t="s">
        <v>45</v>
      </c>
      <c r="E362" s="35" t="s">
        <v>125</v>
      </c>
      <c r="F362" s="139">
        <f t="shared" si="181"/>
        <v>1</v>
      </c>
      <c r="G362" s="35">
        <v>2375000000</v>
      </c>
      <c r="H362" s="139">
        <f t="shared" si="182"/>
        <v>9.3756636139608851</v>
      </c>
      <c r="I362" s="35">
        <v>2375000000</v>
      </c>
      <c r="J362" s="35">
        <v>0</v>
      </c>
      <c r="K362" s="36">
        <v>42893</v>
      </c>
      <c r="L362" s="35">
        <v>5500000000</v>
      </c>
      <c r="M362" s="21">
        <f t="shared" si="183"/>
        <v>6.4164383561643836</v>
      </c>
      <c r="N362" s="21">
        <f t="shared" si="209"/>
        <v>0.80729402627986957</v>
      </c>
      <c r="O362" s="35">
        <v>6385.66</v>
      </c>
      <c r="P362" s="35">
        <f t="shared" si="184"/>
        <v>3.8052737966880943</v>
      </c>
      <c r="Q362" s="35">
        <v>80</v>
      </c>
      <c r="R362" s="35">
        <f t="shared" si="185"/>
        <v>1.9084850188786497</v>
      </c>
      <c r="S362" s="45">
        <v>2.99</v>
      </c>
      <c r="T362" s="45">
        <f t="shared" si="210"/>
        <v>0.47567118832442967</v>
      </c>
      <c r="U362" s="175">
        <f t="shared" si="186"/>
        <v>1.3157894736842106</v>
      </c>
      <c r="V362" s="48">
        <f t="shared" si="187"/>
        <v>0.36469907553335851</v>
      </c>
      <c r="W362" s="35">
        <v>1171.498</v>
      </c>
      <c r="X362" s="35">
        <f t="shared" si="188"/>
        <v>3.0687415514991745</v>
      </c>
      <c r="Y362" s="35">
        <v>3386.1060000000002</v>
      </c>
      <c r="Z362" s="35">
        <f t="shared" si="189"/>
        <v>3.5297005493117593</v>
      </c>
      <c r="AA362" s="37">
        <v>693.16666666666697</v>
      </c>
      <c r="AB362" s="37">
        <f t="shared" si="190"/>
        <v>2.8414637553591628</v>
      </c>
      <c r="AC362" s="35">
        <v>76.400000000000006</v>
      </c>
      <c r="AD362" s="35">
        <f t="shared" si="211"/>
        <v>1.8830933585756899</v>
      </c>
      <c r="AE362" s="48">
        <v>37</v>
      </c>
      <c r="AF362" s="48">
        <f t="shared" si="212"/>
        <v>1.568201724066995</v>
      </c>
      <c r="AG362" s="43">
        <v>42.366037242608201</v>
      </c>
      <c r="AH362" s="43">
        <f t="shared" si="213"/>
        <v>1.6270178436527734</v>
      </c>
      <c r="AI362" s="39">
        <v>0.34</v>
      </c>
      <c r="AJ362" s="48">
        <f t="shared" si="191"/>
        <v>0.12710479836480765</v>
      </c>
      <c r="AK362" s="35">
        <v>46</v>
      </c>
      <c r="AL362" s="35">
        <f t="shared" si="214"/>
        <v>1.6627578316815741</v>
      </c>
      <c r="AM362" s="35">
        <f t="shared" si="192"/>
        <v>0</v>
      </c>
      <c r="AN362" s="35">
        <f t="shared" si="193"/>
        <v>0</v>
      </c>
      <c r="AO362" s="35">
        <f t="shared" si="194"/>
        <v>0</v>
      </c>
      <c r="AP362" s="35">
        <f t="shared" si="195"/>
        <v>0</v>
      </c>
      <c r="AQ362" s="35">
        <f t="shared" si="196"/>
        <v>0</v>
      </c>
      <c r="AR362" s="35">
        <f t="shared" si="197"/>
        <v>0</v>
      </c>
      <c r="AS362" s="35">
        <f t="shared" si="198"/>
        <v>0</v>
      </c>
      <c r="AT362" s="35">
        <f t="shared" si="199"/>
        <v>0</v>
      </c>
      <c r="AU362" s="35">
        <f t="shared" si="200"/>
        <v>0</v>
      </c>
      <c r="AV362" s="35">
        <f t="shared" si="201"/>
        <v>0</v>
      </c>
      <c r="AW362" s="35">
        <f t="shared" si="202"/>
        <v>0</v>
      </c>
      <c r="AX362" s="35">
        <f t="shared" si="203"/>
        <v>0</v>
      </c>
      <c r="AY362" s="35">
        <f t="shared" si="204"/>
        <v>1</v>
      </c>
      <c r="AZ362" s="35">
        <f t="shared" si="205"/>
        <v>0</v>
      </c>
      <c r="BA362" s="35">
        <f t="shared" si="206"/>
        <v>0</v>
      </c>
      <c r="BB362" s="35">
        <f t="shared" si="207"/>
        <v>0</v>
      </c>
      <c r="BC362" s="35">
        <f t="shared" si="208"/>
        <v>0</v>
      </c>
    </row>
    <row r="363" spans="1:55" s="35" customFormat="1" x14ac:dyDescent="0.35">
      <c r="A363" s="36">
        <v>40557</v>
      </c>
      <c r="B363" s="35" t="s">
        <v>1263</v>
      </c>
      <c r="C363" s="35" t="s">
        <v>45</v>
      </c>
      <c r="D363" s="35" t="s">
        <v>602</v>
      </c>
      <c r="E363" s="35" t="s">
        <v>47</v>
      </c>
      <c r="F363" s="139">
        <f t="shared" si="181"/>
        <v>0</v>
      </c>
      <c r="G363" s="35">
        <v>3787800000</v>
      </c>
      <c r="H363" s="139">
        <f t="shared" si="182"/>
        <v>9.5783870397109983</v>
      </c>
      <c r="I363" s="35">
        <v>3010490000</v>
      </c>
      <c r="J363" s="35">
        <v>777310000</v>
      </c>
      <c r="K363" s="36">
        <v>42684</v>
      </c>
      <c r="L363" s="35">
        <v>2253500000</v>
      </c>
      <c r="M363" s="21">
        <f t="shared" si="183"/>
        <v>5.8273972602739725</v>
      </c>
      <c r="N363" s="21">
        <f t="shared" si="209"/>
        <v>0.76547462544625422</v>
      </c>
      <c r="O363" s="35">
        <v>0</v>
      </c>
      <c r="P363" s="35">
        <f t="shared" si="184"/>
        <v>0</v>
      </c>
      <c r="Q363" s="35">
        <v>35</v>
      </c>
      <c r="R363" s="35">
        <f t="shared" si="185"/>
        <v>1.5563025007672873</v>
      </c>
      <c r="S363" s="45">
        <v>2.95</v>
      </c>
      <c r="T363" s="45">
        <f t="shared" si="210"/>
        <v>0.46982201597816303</v>
      </c>
      <c r="U363" s="175">
        <f t="shared" si="186"/>
        <v>-0.40506362532340667</v>
      </c>
      <c r="V363" s="48">
        <f t="shared" si="187"/>
        <v>-0.22552947730400111</v>
      </c>
      <c r="W363" s="35">
        <v>1246.953</v>
      </c>
      <c r="X363" s="35">
        <f t="shared" si="188"/>
        <v>3.0958500844125241</v>
      </c>
      <c r="Y363" s="35">
        <v>3219.7179999999998</v>
      </c>
      <c r="Z363" s="35">
        <f t="shared" si="189"/>
        <v>3.5078178355445662</v>
      </c>
      <c r="AA363" s="35">
        <v>0</v>
      </c>
      <c r="AB363" s="37">
        <f t="shared" si="190"/>
        <v>0</v>
      </c>
      <c r="AC363" s="35">
        <v>91</v>
      </c>
      <c r="AD363" s="35">
        <f t="shared" si="211"/>
        <v>1.9590413923210936</v>
      </c>
      <c r="AE363" s="48">
        <v>23.9</v>
      </c>
      <c r="AF363" s="48">
        <f t="shared" si="212"/>
        <v>1.3783979009481377</v>
      </c>
      <c r="AG363" s="43">
        <v>42.048698215007001</v>
      </c>
      <c r="AH363" s="43">
        <f t="shared" si="213"/>
        <v>1.6237525550259535</v>
      </c>
      <c r="AI363" s="39">
        <v>-0.24</v>
      </c>
      <c r="AJ363" s="48">
        <f t="shared" si="191"/>
        <v>-0.11918640771920865</v>
      </c>
      <c r="AK363" s="35">
        <v>0</v>
      </c>
      <c r="AL363" s="35">
        <f t="shared" si="214"/>
        <v>0</v>
      </c>
      <c r="AM363" s="35">
        <f t="shared" si="192"/>
        <v>0</v>
      </c>
      <c r="AN363" s="35">
        <f t="shared" si="193"/>
        <v>1</v>
      </c>
      <c r="AO363" s="35">
        <f t="shared" si="194"/>
        <v>0</v>
      </c>
      <c r="AP363" s="35">
        <f t="shared" si="195"/>
        <v>0</v>
      </c>
      <c r="AQ363" s="35">
        <f t="shared" si="196"/>
        <v>0</v>
      </c>
      <c r="AR363" s="35">
        <f t="shared" si="197"/>
        <v>0</v>
      </c>
      <c r="AS363" s="35">
        <f t="shared" si="198"/>
        <v>0</v>
      </c>
      <c r="AT363" s="35">
        <f t="shared" si="199"/>
        <v>0</v>
      </c>
      <c r="AU363" s="35">
        <f t="shared" si="200"/>
        <v>0</v>
      </c>
      <c r="AV363" s="35">
        <f t="shared" si="201"/>
        <v>0</v>
      </c>
      <c r="AW363" s="35">
        <f t="shared" si="202"/>
        <v>0</v>
      </c>
      <c r="AX363" s="35">
        <f t="shared" si="203"/>
        <v>0</v>
      </c>
      <c r="AY363" s="35">
        <f t="shared" si="204"/>
        <v>0</v>
      </c>
      <c r="AZ363" s="35">
        <f t="shared" si="205"/>
        <v>0</v>
      </c>
      <c r="BA363" s="35">
        <f t="shared" si="206"/>
        <v>0</v>
      </c>
      <c r="BB363" s="35">
        <f t="shared" si="207"/>
        <v>0</v>
      </c>
      <c r="BC363" s="35">
        <f t="shared" si="208"/>
        <v>0</v>
      </c>
    </row>
    <row r="364" spans="1:55" s="35" customFormat="1" x14ac:dyDescent="0.35">
      <c r="A364" s="36">
        <v>40574</v>
      </c>
      <c r="B364" s="35" t="s">
        <v>1254</v>
      </c>
      <c r="C364" s="35" t="s">
        <v>45</v>
      </c>
      <c r="D364" s="35" t="s">
        <v>602</v>
      </c>
      <c r="E364" s="35" t="s">
        <v>47</v>
      </c>
      <c r="F364" s="139">
        <f t="shared" si="181"/>
        <v>0</v>
      </c>
      <c r="G364" s="35">
        <v>603870000</v>
      </c>
      <c r="H364" s="139">
        <f t="shared" si="182"/>
        <v>8.7809434545825091</v>
      </c>
      <c r="I364" s="35">
        <v>328130000</v>
      </c>
      <c r="J364" s="35">
        <v>275750000</v>
      </c>
      <c r="K364" s="36">
        <v>42278</v>
      </c>
      <c r="L364" s="35">
        <v>2450000000</v>
      </c>
      <c r="M364" s="21">
        <f t="shared" si="183"/>
        <v>4.6684931506849319</v>
      </c>
      <c r="N364" s="21">
        <f t="shared" si="209"/>
        <v>0.66917672597420663</v>
      </c>
      <c r="O364" s="35">
        <v>0</v>
      </c>
      <c r="P364" s="35">
        <f t="shared" si="184"/>
        <v>0</v>
      </c>
      <c r="Q364" s="35">
        <v>19</v>
      </c>
      <c r="R364" s="35">
        <f t="shared" si="185"/>
        <v>1.3010299956639813</v>
      </c>
      <c r="S364" s="45">
        <v>2.95</v>
      </c>
      <c r="T364" s="45">
        <f t="shared" si="210"/>
        <v>0.46982201597816303</v>
      </c>
      <c r="U364" s="175">
        <f t="shared" si="186"/>
        <v>3.0571646215245005</v>
      </c>
      <c r="V364" s="48">
        <f t="shared" si="187"/>
        <v>0.60822262978202302</v>
      </c>
      <c r="W364" s="35">
        <v>2315.9650000000001</v>
      </c>
      <c r="X364" s="35">
        <f t="shared" si="188"/>
        <v>3.3647319918335836</v>
      </c>
      <c r="Y364" s="35">
        <v>3703.9029999999998</v>
      </c>
      <c r="Z364" s="35">
        <f t="shared" si="189"/>
        <v>3.568659604598353</v>
      </c>
      <c r="AA364" s="35">
        <v>0</v>
      </c>
      <c r="AB364" s="37">
        <f t="shared" si="190"/>
        <v>0</v>
      </c>
      <c r="AC364" s="35">
        <v>91</v>
      </c>
      <c r="AD364" s="35">
        <f t="shared" si="211"/>
        <v>1.9590413923210936</v>
      </c>
      <c r="AE364" s="48">
        <v>23.9</v>
      </c>
      <c r="AF364" s="48">
        <f t="shared" si="212"/>
        <v>1.3783979009481377</v>
      </c>
      <c r="AG364" s="43">
        <v>42.048698215007001</v>
      </c>
      <c r="AH364" s="43">
        <f t="shared" si="213"/>
        <v>1.6237525550259535</v>
      </c>
      <c r="AI364" s="39">
        <v>0.14000000000000001</v>
      </c>
      <c r="AJ364" s="48">
        <f t="shared" si="191"/>
        <v>5.6904851336472641E-2</v>
      </c>
      <c r="AK364" s="35">
        <v>5</v>
      </c>
      <c r="AL364" s="35">
        <f t="shared" si="214"/>
        <v>0.69897000433601886</v>
      </c>
      <c r="AM364" s="35">
        <f t="shared" si="192"/>
        <v>0</v>
      </c>
      <c r="AN364" s="35">
        <f t="shared" si="193"/>
        <v>1</v>
      </c>
      <c r="AO364" s="35">
        <f t="shared" si="194"/>
        <v>0</v>
      </c>
      <c r="AP364" s="35">
        <f t="shared" si="195"/>
        <v>0</v>
      </c>
      <c r="AQ364" s="35">
        <f t="shared" si="196"/>
        <v>0</v>
      </c>
      <c r="AR364" s="35">
        <f t="shared" si="197"/>
        <v>0</v>
      </c>
      <c r="AS364" s="35">
        <f t="shared" si="198"/>
        <v>0</v>
      </c>
      <c r="AT364" s="35">
        <f t="shared" si="199"/>
        <v>0</v>
      </c>
      <c r="AU364" s="35">
        <f t="shared" si="200"/>
        <v>0</v>
      </c>
      <c r="AV364" s="35">
        <f t="shared" si="201"/>
        <v>0</v>
      </c>
      <c r="AW364" s="35">
        <f t="shared" si="202"/>
        <v>0</v>
      </c>
      <c r="AX364" s="35">
        <f t="shared" si="203"/>
        <v>0</v>
      </c>
      <c r="AY364" s="35">
        <f t="shared" si="204"/>
        <v>0</v>
      </c>
      <c r="AZ364" s="35">
        <f t="shared" si="205"/>
        <v>0</v>
      </c>
      <c r="BA364" s="35">
        <f t="shared" si="206"/>
        <v>0</v>
      </c>
      <c r="BB364" s="35">
        <f t="shared" si="207"/>
        <v>0</v>
      </c>
      <c r="BC364" s="35">
        <f t="shared" si="208"/>
        <v>0</v>
      </c>
    </row>
    <row r="365" spans="1:55" s="35" customFormat="1" x14ac:dyDescent="0.35">
      <c r="A365" s="36">
        <v>40603</v>
      </c>
      <c r="B365" s="35" t="s">
        <v>881</v>
      </c>
      <c r="C365" s="35" t="s">
        <v>59</v>
      </c>
      <c r="D365" s="35" t="s">
        <v>45</v>
      </c>
      <c r="E365" s="35" t="s">
        <v>64</v>
      </c>
      <c r="F365" s="139">
        <f t="shared" si="181"/>
        <v>1</v>
      </c>
      <c r="G365" s="35">
        <v>65000000</v>
      </c>
      <c r="H365" s="139">
        <f t="shared" si="182"/>
        <v>7.8129133566428557</v>
      </c>
      <c r="I365" s="35">
        <f t="shared" ref="I365:I373" si="215">G365</f>
        <v>65000000</v>
      </c>
      <c r="J365" s="35">
        <v>0</v>
      </c>
      <c r="K365" s="36">
        <v>41395</v>
      </c>
      <c r="L365" s="35">
        <v>160000000</v>
      </c>
      <c r="M365" s="21">
        <f t="shared" si="183"/>
        <v>2.1698630136986301</v>
      </c>
      <c r="N365" s="21">
        <f t="shared" si="209"/>
        <v>0.3364323171330188</v>
      </c>
      <c r="O365" s="35">
        <v>5897.96</v>
      </c>
      <c r="P365" s="35">
        <f t="shared" si="184"/>
        <v>3.7707754512906644</v>
      </c>
      <c r="Q365" s="35">
        <v>12</v>
      </c>
      <c r="R365" s="35">
        <f t="shared" si="185"/>
        <v>1.1139433523068367</v>
      </c>
      <c r="S365" s="45">
        <v>2.3199999999999998</v>
      </c>
      <c r="T365" s="45">
        <f t="shared" si="210"/>
        <v>0.36548798489089962</v>
      </c>
      <c r="U365" s="175">
        <f t="shared" si="186"/>
        <v>1.4615384615384617</v>
      </c>
      <c r="V365" s="48">
        <f t="shared" si="187"/>
        <v>0.39120662601306921</v>
      </c>
      <c r="W365" s="35">
        <v>1490.3353057199211</v>
      </c>
      <c r="X365" s="35">
        <f t="shared" si="188"/>
        <v>3.17328398991646</v>
      </c>
      <c r="Y365" s="35">
        <v>6649.5726495726503</v>
      </c>
      <c r="Z365" s="35">
        <f t="shared" si="189"/>
        <v>3.8227937352435273</v>
      </c>
      <c r="AA365" s="37">
        <v>132</v>
      </c>
      <c r="AB365" s="37">
        <f t="shared" si="190"/>
        <v>2.1238516409670858</v>
      </c>
      <c r="AC365" s="35">
        <v>94.6</v>
      </c>
      <c r="AD365" s="35">
        <f t="shared" si="211"/>
        <v>1.9758911364017928</v>
      </c>
      <c r="AE365" s="48">
        <v>33.200000000000003</v>
      </c>
      <c r="AF365" s="48">
        <f t="shared" si="212"/>
        <v>1.5211380837040362</v>
      </c>
      <c r="AG365" s="43">
        <v>45.921427555082097</v>
      </c>
      <c r="AH365" s="43">
        <f t="shared" si="213"/>
        <v>1.6620153804713207</v>
      </c>
      <c r="AI365" s="39">
        <v>1.02</v>
      </c>
      <c r="AJ365" s="48">
        <f t="shared" si="191"/>
        <v>0.30535136944662378</v>
      </c>
      <c r="AK365" s="35">
        <v>8</v>
      </c>
      <c r="AL365" s="35">
        <f t="shared" si="214"/>
        <v>0.90308998699194354</v>
      </c>
      <c r="AM365" s="35">
        <f t="shared" si="192"/>
        <v>0</v>
      </c>
      <c r="AN365" s="35">
        <f t="shared" si="193"/>
        <v>0</v>
      </c>
      <c r="AO365" s="35">
        <f t="shared" si="194"/>
        <v>1</v>
      </c>
      <c r="AP365" s="35">
        <f t="shared" si="195"/>
        <v>0</v>
      </c>
      <c r="AQ365" s="35">
        <f t="shared" si="196"/>
        <v>0</v>
      </c>
      <c r="AR365" s="35">
        <f t="shared" si="197"/>
        <v>0</v>
      </c>
      <c r="AS365" s="35">
        <f t="shared" si="198"/>
        <v>0</v>
      </c>
      <c r="AT365" s="35">
        <f t="shared" si="199"/>
        <v>0</v>
      </c>
      <c r="AU365" s="35">
        <f t="shared" si="200"/>
        <v>0</v>
      </c>
      <c r="AV365" s="35">
        <f t="shared" si="201"/>
        <v>0</v>
      </c>
      <c r="AW365" s="35">
        <f t="shared" si="202"/>
        <v>0</v>
      </c>
      <c r="AX365" s="35">
        <f t="shared" si="203"/>
        <v>0</v>
      </c>
      <c r="AY365" s="35">
        <f t="shared" si="204"/>
        <v>0</v>
      </c>
      <c r="AZ365" s="35">
        <f t="shared" si="205"/>
        <v>0</v>
      </c>
      <c r="BA365" s="35">
        <f t="shared" si="206"/>
        <v>0</v>
      </c>
      <c r="BB365" s="35">
        <f t="shared" si="207"/>
        <v>0</v>
      </c>
      <c r="BC365" s="35">
        <f t="shared" si="208"/>
        <v>0</v>
      </c>
    </row>
    <row r="366" spans="1:55" s="35" customFormat="1" x14ac:dyDescent="0.35">
      <c r="A366" s="36">
        <v>40609</v>
      </c>
      <c r="B366" s="35" t="s">
        <v>909</v>
      </c>
      <c r="C366" s="35" t="s">
        <v>59</v>
      </c>
      <c r="D366" s="35" t="s">
        <v>59</v>
      </c>
      <c r="E366" s="35" t="s">
        <v>47</v>
      </c>
      <c r="F366" s="139">
        <f t="shared" si="181"/>
        <v>0</v>
      </c>
      <c r="G366" s="35">
        <v>10000000</v>
      </c>
      <c r="H366" s="139">
        <f t="shared" si="182"/>
        <v>7</v>
      </c>
      <c r="I366" s="35">
        <f t="shared" si="215"/>
        <v>10000000</v>
      </c>
      <c r="J366" s="35">
        <v>0</v>
      </c>
      <c r="K366" s="36">
        <v>41736</v>
      </c>
      <c r="L366" s="35">
        <v>14250000</v>
      </c>
      <c r="M366" s="21">
        <f t="shared" si="183"/>
        <v>3.0876712328767124</v>
      </c>
      <c r="N366" s="21">
        <f t="shared" si="209"/>
        <v>0.48963105158963183</v>
      </c>
      <c r="O366" s="35">
        <v>0</v>
      </c>
      <c r="P366" s="35">
        <f t="shared" si="184"/>
        <v>0</v>
      </c>
      <c r="Q366" s="35">
        <v>6</v>
      </c>
      <c r="R366" s="35">
        <f t="shared" si="185"/>
        <v>0.84509804001425681</v>
      </c>
      <c r="S366" s="45">
        <v>3.29</v>
      </c>
      <c r="T366" s="45">
        <f t="shared" si="210"/>
        <v>0.51719589794997434</v>
      </c>
      <c r="U366" s="175">
        <f t="shared" si="186"/>
        <v>0.42500000000000004</v>
      </c>
      <c r="V366" s="48">
        <f t="shared" si="187"/>
        <v>0.15381486434452901</v>
      </c>
      <c r="W366" s="35">
        <v>3425.6694367497698</v>
      </c>
      <c r="X366" s="35">
        <f t="shared" si="188"/>
        <v>3.5347454529897258</v>
      </c>
      <c r="Y366" s="35">
        <v>9322.8685749461365</v>
      </c>
      <c r="Z366" s="35">
        <f t="shared" si="189"/>
        <v>3.9695495619878729</v>
      </c>
      <c r="AA366" s="37">
        <v>0</v>
      </c>
      <c r="AB366" s="37">
        <f t="shared" si="190"/>
        <v>0</v>
      </c>
      <c r="AC366" s="35">
        <v>94.6</v>
      </c>
      <c r="AD366" s="35">
        <f t="shared" si="211"/>
        <v>1.9758911364017928</v>
      </c>
      <c r="AE366" s="48">
        <v>33.200000000000003</v>
      </c>
      <c r="AF366" s="48">
        <f t="shared" si="212"/>
        <v>1.5211380837040362</v>
      </c>
      <c r="AG366" s="43">
        <v>45.921427555082097</v>
      </c>
      <c r="AH366" s="43">
        <f t="shared" si="213"/>
        <v>1.6620153804713207</v>
      </c>
      <c r="AI366" s="39">
        <v>-0.01</v>
      </c>
      <c r="AJ366" s="48">
        <f t="shared" si="191"/>
        <v>-4.3648054024500883E-3</v>
      </c>
      <c r="AK366" s="35">
        <v>12</v>
      </c>
      <c r="AL366" s="35">
        <f t="shared" si="214"/>
        <v>1.0791812460476249</v>
      </c>
      <c r="AM366" s="35">
        <f t="shared" si="192"/>
        <v>0</v>
      </c>
      <c r="AN366" s="35">
        <f t="shared" si="193"/>
        <v>0</v>
      </c>
      <c r="AO366" s="35">
        <f t="shared" si="194"/>
        <v>1</v>
      </c>
      <c r="AP366" s="35">
        <f t="shared" si="195"/>
        <v>0</v>
      </c>
      <c r="AQ366" s="35">
        <f t="shared" si="196"/>
        <v>0</v>
      </c>
      <c r="AR366" s="35">
        <f t="shared" si="197"/>
        <v>0</v>
      </c>
      <c r="AS366" s="35">
        <f t="shared" si="198"/>
        <v>0</v>
      </c>
      <c r="AT366" s="35">
        <f t="shared" si="199"/>
        <v>0</v>
      </c>
      <c r="AU366" s="35">
        <f t="shared" si="200"/>
        <v>0</v>
      </c>
      <c r="AV366" s="35">
        <f t="shared" si="201"/>
        <v>0</v>
      </c>
      <c r="AW366" s="35">
        <f t="shared" si="202"/>
        <v>0</v>
      </c>
      <c r="AX366" s="35">
        <f t="shared" si="203"/>
        <v>0</v>
      </c>
      <c r="AY366" s="35">
        <f t="shared" si="204"/>
        <v>0</v>
      </c>
      <c r="AZ366" s="35">
        <f t="shared" si="205"/>
        <v>0</v>
      </c>
      <c r="BA366" s="35">
        <f t="shared" si="206"/>
        <v>0</v>
      </c>
      <c r="BB366" s="35">
        <f t="shared" si="207"/>
        <v>0</v>
      </c>
      <c r="BC366" s="35">
        <f t="shared" si="208"/>
        <v>0</v>
      </c>
    </row>
    <row r="367" spans="1:55" s="35" customFormat="1" ht="13.5" customHeight="1" x14ac:dyDescent="0.35">
      <c r="A367" s="36">
        <v>40617</v>
      </c>
      <c r="B367" s="35" t="s">
        <v>766</v>
      </c>
      <c r="C367" s="35" t="s">
        <v>2</v>
      </c>
      <c r="D367" s="35" t="s">
        <v>577</v>
      </c>
      <c r="E367" s="35" t="s">
        <v>64</v>
      </c>
      <c r="F367" s="139">
        <f t="shared" si="181"/>
        <v>1</v>
      </c>
      <c r="G367" s="35">
        <v>336786189</v>
      </c>
      <c r="H367" s="139">
        <f t="shared" si="182"/>
        <v>8.5273542735518628</v>
      </c>
      <c r="I367" s="35">
        <f t="shared" si="215"/>
        <v>336786189</v>
      </c>
      <c r="J367" s="35">
        <v>0</v>
      </c>
      <c r="K367" s="36">
        <v>41820</v>
      </c>
      <c r="L367" s="35">
        <v>800000000</v>
      </c>
      <c r="M367" s="21">
        <f t="shared" si="183"/>
        <v>3.2958904109589042</v>
      </c>
      <c r="N367" s="21">
        <f t="shared" si="209"/>
        <v>0.51797276288337002</v>
      </c>
      <c r="O367" s="35">
        <v>917.19</v>
      </c>
      <c r="P367" s="35">
        <f t="shared" si="184"/>
        <v>2.9629325585580042</v>
      </c>
      <c r="Q367" s="35">
        <v>8</v>
      </c>
      <c r="R367" s="35">
        <f t="shared" si="185"/>
        <v>0.95424250943932487</v>
      </c>
      <c r="S367" s="45">
        <v>2.62</v>
      </c>
      <c r="T367" s="45">
        <f t="shared" si="210"/>
        <v>0.41830129131974547</v>
      </c>
      <c r="U367" s="175">
        <f t="shared" si="186"/>
        <v>1.3753943187973188</v>
      </c>
      <c r="V367" s="48">
        <f t="shared" si="187"/>
        <v>0.375735713440081</v>
      </c>
      <c r="W367" s="35">
        <v>1801.108033240997</v>
      </c>
      <c r="X367" s="35">
        <f t="shared" si="188"/>
        <v>3.25553976325445</v>
      </c>
      <c r="Y367" s="35">
        <v>8416.6204986149605</v>
      </c>
      <c r="Z367" s="35">
        <f t="shared" si="189"/>
        <v>3.9251377454872847</v>
      </c>
      <c r="AA367" s="37">
        <v>854.66666666666697</v>
      </c>
      <c r="AB367" s="37">
        <f t="shared" si="190"/>
        <v>2.9323046139517812</v>
      </c>
      <c r="AC367" s="35">
        <v>89.6</v>
      </c>
      <c r="AD367" s="35">
        <f t="shared" si="211"/>
        <v>1.9523080096621253</v>
      </c>
      <c r="AE367" s="48">
        <v>35.700000000000003</v>
      </c>
      <c r="AF367" s="48">
        <f t="shared" si="212"/>
        <v>1.5526682161121932</v>
      </c>
      <c r="AG367" s="43">
        <v>44.7100017757258</v>
      </c>
      <c r="AH367" s="43">
        <f t="shared" si="213"/>
        <v>1.6504046871166989</v>
      </c>
      <c r="AI367" s="39">
        <v>-0.37</v>
      </c>
      <c r="AJ367" s="48">
        <f t="shared" si="191"/>
        <v>-0.20065945054641829</v>
      </c>
      <c r="AK367" s="35">
        <v>12</v>
      </c>
      <c r="AL367" s="35">
        <f t="shared" si="214"/>
        <v>1.0791812460476249</v>
      </c>
      <c r="AM367" s="35">
        <f t="shared" si="192"/>
        <v>0</v>
      </c>
      <c r="AN367" s="35">
        <f t="shared" si="193"/>
        <v>0</v>
      </c>
      <c r="AO367" s="35">
        <f t="shared" si="194"/>
        <v>0</v>
      </c>
      <c r="AP367" s="35">
        <f t="shared" si="195"/>
        <v>0</v>
      </c>
      <c r="AQ367" s="35">
        <f t="shared" si="196"/>
        <v>0</v>
      </c>
      <c r="AR367" s="35">
        <f t="shared" si="197"/>
        <v>0</v>
      </c>
      <c r="AS367" s="35">
        <f t="shared" si="198"/>
        <v>0</v>
      </c>
      <c r="AT367" s="35">
        <f t="shared" si="199"/>
        <v>0</v>
      </c>
      <c r="AU367" s="35">
        <f t="shared" si="200"/>
        <v>0</v>
      </c>
      <c r="AV367" s="35">
        <f t="shared" si="201"/>
        <v>1</v>
      </c>
      <c r="AW367" s="35">
        <f t="shared" si="202"/>
        <v>0</v>
      </c>
      <c r="AX367" s="35">
        <f t="shared" si="203"/>
        <v>0</v>
      </c>
      <c r="AY367" s="35">
        <f t="shared" si="204"/>
        <v>0</v>
      </c>
      <c r="AZ367" s="35">
        <f t="shared" si="205"/>
        <v>0</v>
      </c>
      <c r="BA367" s="35">
        <f t="shared" si="206"/>
        <v>0</v>
      </c>
      <c r="BB367" s="35">
        <f t="shared" si="207"/>
        <v>0</v>
      </c>
      <c r="BC367" s="35">
        <f t="shared" si="208"/>
        <v>0</v>
      </c>
    </row>
    <row r="368" spans="1:55" s="35" customFormat="1" ht="14.25" customHeight="1" x14ac:dyDescent="0.35">
      <c r="A368" s="36">
        <v>40618</v>
      </c>
      <c r="B368" s="35" t="s">
        <v>556</v>
      </c>
      <c r="C368" s="35" t="s">
        <v>5</v>
      </c>
      <c r="D368" s="35" t="s">
        <v>59</v>
      </c>
      <c r="E368" s="35" t="s">
        <v>125</v>
      </c>
      <c r="F368" s="139">
        <f t="shared" si="181"/>
        <v>1</v>
      </c>
      <c r="G368" s="35">
        <v>10300000</v>
      </c>
      <c r="H368" s="139">
        <f t="shared" si="182"/>
        <v>7.012837224705172</v>
      </c>
      <c r="I368" s="35">
        <f t="shared" si="215"/>
        <v>10300000</v>
      </c>
      <c r="J368" s="35">
        <v>0</v>
      </c>
      <c r="K368" s="36">
        <v>41495</v>
      </c>
      <c r="L368" s="35">
        <v>184830000</v>
      </c>
      <c r="M368" s="21">
        <f t="shared" si="183"/>
        <v>2.4027397260273973</v>
      </c>
      <c r="N368" s="21">
        <f t="shared" si="209"/>
        <v>0.38070672890956581</v>
      </c>
      <c r="O368" s="35">
        <v>357.29</v>
      </c>
      <c r="P368" s="35">
        <f t="shared" si="184"/>
        <v>2.5542346870234227</v>
      </c>
      <c r="Q368" s="35">
        <v>3</v>
      </c>
      <c r="R368" s="35">
        <f t="shared" si="185"/>
        <v>0.6020599913279624</v>
      </c>
      <c r="S368" s="45">
        <v>3.16</v>
      </c>
      <c r="T368" s="45">
        <f t="shared" si="210"/>
        <v>0.49968708261840383</v>
      </c>
      <c r="U368" s="175">
        <f t="shared" si="186"/>
        <v>16.944660194174759</v>
      </c>
      <c r="V368" s="48">
        <f t="shared" si="187"/>
        <v>1.2539352388078999</v>
      </c>
      <c r="W368" s="35">
        <v>1932.09461208012</v>
      </c>
      <c r="X368" s="35">
        <f t="shared" si="188"/>
        <v>3.2860283894181141</v>
      </c>
      <c r="Y368" s="35">
        <v>8126.3909735520938</v>
      </c>
      <c r="Z368" s="35">
        <f t="shared" si="189"/>
        <v>3.9098977130890344</v>
      </c>
      <c r="AA368" s="37">
        <v>971</v>
      </c>
      <c r="AB368" s="37">
        <f t="shared" si="190"/>
        <v>2.9876662649262746</v>
      </c>
      <c r="AC368" s="35">
        <v>81.900000000000006</v>
      </c>
      <c r="AD368" s="35">
        <f t="shared" si="211"/>
        <v>1.9132839017604184</v>
      </c>
      <c r="AE368" s="48">
        <v>35.4</v>
      </c>
      <c r="AF368" s="48">
        <f t="shared" si="212"/>
        <v>1.5490032620257879</v>
      </c>
      <c r="AG368" s="43">
        <v>46.7926176158091</v>
      </c>
      <c r="AH368" s="43">
        <f t="shared" si="213"/>
        <v>1.6701773406464193</v>
      </c>
      <c r="AI368" s="39">
        <v>-0.28999999999999998</v>
      </c>
      <c r="AJ368" s="48">
        <f t="shared" si="191"/>
        <v>-0.14874165128092473</v>
      </c>
      <c r="AK368" s="35">
        <v>12</v>
      </c>
      <c r="AL368" s="35">
        <f t="shared" si="214"/>
        <v>1.0791812460476249</v>
      </c>
      <c r="AM368" s="35">
        <f t="shared" si="192"/>
        <v>0</v>
      </c>
      <c r="AN368" s="35">
        <f t="shared" si="193"/>
        <v>0</v>
      </c>
      <c r="AO368" s="35">
        <f t="shared" si="194"/>
        <v>0</v>
      </c>
      <c r="AP368" s="35">
        <f t="shared" si="195"/>
        <v>0</v>
      </c>
      <c r="AQ368" s="35">
        <f t="shared" si="196"/>
        <v>0</v>
      </c>
      <c r="AR368" s="35">
        <f t="shared" si="197"/>
        <v>0</v>
      </c>
      <c r="AS368" s="35">
        <f t="shared" si="198"/>
        <v>1</v>
      </c>
      <c r="AT368" s="35">
        <f t="shared" si="199"/>
        <v>0</v>
      </c>
      <c r="AU368" s="35">
        <f t="shared" si="200"/>
        <v>0</v>
      </c>
      <c r="AV368" s="35">
        <f t="shared" si="201"/>
        <v>0</v>
      </c>
      <c r="AW368" s="35">
        <f t="shared" si="202"/>
        <v>0</v>
      </c>
      <c r="AX368" s="35">
        <f t="shared" si="203"/>
        <v>0</v>
      </c>
      <c r="AY368" s="35">
        <f t="shared" si="204"/>
        <v>0</v>
      </c>
      <c r="AZ368" s="35">
        <f t="shared" si="205"/>
        <v>0</v>
      </c>
      <c r="BA368" s="35">
        <f t="shared" si="206"/>
        <v>0</v>
      </c>
      <c r="BB368" s="35">
        <f t="shared" si="207"/>
        <v>0</v>
      </c>
      <c r="BC368" s="35">
        <f t="shared" si="208"/>
        <v>0</v>
      </c>
    </row>
    <row r="369" spans="1:55" s="35" customFormat="1" ht="16.5" customHeight="1" x14ac:dyDescent="0.35">
      <c r="A369" s="36">
        <v>40629</v>
      </c>
      <c r="B369" s="35" t="s">
        <v>908</v>
      </c>
      <c r="C369" s="35" t="s">
        <v>59</v>
      </c>
      <c r="D369" s="35" t="s">
        <v>59</v>
      </c>
      <c r="E369" s="35" t="s">
        <v>47</v>
      </c>
      <c r="F369" s="139">
        <f t="shared" si="181"/>
        <v>0</v>
      </c>
      <c r="G369" s="35">
        <v>215000000</v>
      </c>
      <c r="H369" s="139">
        <f t="shared" si="182"/>
        <v>8.3324384599156058</v>
      </c>
      <c r="I369" s="35">
        <f t="shared" si="215"/>
        <v>215000000</v>
      </c>
      <c r="J369" s="35">
        <v>0</v>
      </c>
      <c r="K369" s="36">
        <v>43403</v>
      </c>
      <c r="L369" s="35">
        <v>559000000</v>
      </c>
      <c r="M369" s="21">
        <f t="shared" si="183"/>
        <v>7.6</v>
      </c>
      <c r="N369" s="21">
        <f t="shared" si="209"/>
        <v>0.88081359228079137</v>
      </c>
      <c r="O369" s="35">
        <v>0</v>
      </c>
      <c r="P369" s="35">
        <f t="shared" si="184"/>
        <v>0</v>
      </c>
      <c r="Q369" s="35">
        <v>15</v>
      </c>
      <c r="R369" s="35">
        <f t="shared" si="185"/>
        <v>1.2041199826559248</v>
      </c>
      <c r="S369" s="45">
        <v>3.29</v>
      </c>
      <c r="T369" s="45">
        <f t="shared" si="210"/>
        <v>0.51719589794997434</v>
      </c>
      <c r="U369" s="175">
        <f t="shared" si="186"/>
        <v>1.6</v>
      </c>
      <c r="V369" s="48">
        <f t="shared" si="187"/>
        <v>0.41497334797081797</v>
      </c>
      <c r="W369" s="35">
        <v>3425.6694367497698</v>
      </c>
      <c r="X369" s="35">
        <f t="shared" si="188"/>
        <v>3.5347454529897258</v>
      </c>
      <c r="Y369" s="35">
        <v>9322.8685749461365</v>
      </c>
      <c r="Z369" s="35">
        <f t="shared" si="189"/>
        <v>3.9695495619878729</v>
      </c>
      <c r="AA369" s="37">
        <v>0</v>
      </c>
      <c r="AB369" s="37">
        <f t="shared" si="190"/>
        <v>0</v>
      </c>
      <c r="AC369" s="35">
        <v>94.6</v>
      </c>
      <c r="AD369" s="35">
        <f t="shared" si="211"/>
        <v>1.9758911364017928</v>
      </c>
      <c r="AE369" s="48">
        <v>33.200000000000003</v>
      </c>
      <c r="AF369" s="48">
        <f t="shared" si="212"/>
        <v>1.5211380837040362</v>
      </c>
      <c r="AG369" s="43">
        <v>45.921427555082097</v>
      </c>
      <c r="AH369" s="43">
        <f t="shared" si="213"/>
        <v>1.6620153804713207</v>
      </c>
      <c r="AI369" s="39">
        <v>-0.15</v>
      </c>
      <c r="AJ369" s="48">
        <f t="shared" si="191"/>
        <v>-7.0581074285707285E-2</v>
      </c>
      <c r="AK369" s="35">
        <v>12</v>
      </c>
      <c r="AL369" s="35">
        <f t="shared" si="214"/>
        <v>1.0791812460476249</v>
      </c>
      <c r="AM369" s="35">
        <f t="shared" si="192"/>
        <v>0</v>
      </c>
      <c r="AN369" s="35">
        <f t="shared" si="193"/>
        <v>0</v>
      </c>
      <c r="AO369" s="35">
        <f t="shared" si="194"/>
        <v>1</v>
      </c>
      <c r="AP369" s="35">
        <f t="shared" si="195"/>
        <v>0</v>
      </c>
      <c r="AQ369" s="35">
        <f t="shared" si="196"/>
        <v>0</v>
      </c>
      <c r="AR369" s="35">
        <f t="shared" si="197"/>
        <v>0</v>
      </c>
      <c r="AS369" s="35">
        <f t="shared" si="198"/>
        <v>0</v>
      </c>
      <c r="AT369" s="35">
        <f t="shared" si="199"/>
        <v>0</v>
      </c>
      <c r="AU369" s="35">
        <f t="shared" si="200"/>
        <v>0</v>
      </c>
      <c r="AV369" s="35">
        <f t="shared" si="201"/>
        <v>0</v>
      </c>
      <c r="AW369" s="35">
        <f t="shared" si="202"/>
        <v>0</v>
      </c>
      <c r="AX369" s="35">
        <f t="shared" si="203"/>
        <v>0</v>
      </c>
      <c r="AY369" s="35">
        <f t="shared" si="204"/>
        <v>0</v>
      </c>
      <c r="AZ369" s="35">
        <f t="shared" si="205"/>
        <v>0</v>
      </c>
      <c r="BA369" s="35">
        <f t="shared" si="206"/>
        <v>0</v>
      </c>
      <c r="BB369" s="35">
        <f t="shared" si="207"/>
        <v>0</v>
      </c>
      <c r="BC369" s="35">
        <f t="shared" si="208"/>
        <v>0</v>
      </c>
    </row>
    <row r="370" spans="1:55" s="35" customFormat="1" x14ac:dyDescent="0.35">
      <c r="A370" s="36">
        <v>40630</v>
      </c>
      <c r="B370" s="35" t="s">
        <v>948</v>
      </c>
      <c r="C370" s="35" t="s">
        <v>45</v>
      </c>
      <c r="D370" s="35" t="s">
        <v>59</v>
      </c>
      <c r="E370" s="35" t="s">
        <v>64</v>
      </c>
      <c r="F370" s="139">
        <f t="shared" si="181"/>
        <v>1</v>
      </c>
      <c r="G370" s="35">
        <v>13860000</v>
      </c>
      <c r="H370" s="139">
        <f t="shared" si="182"/>
        <v>7.1417632302757879</v>
      </c>
      <c r="I370" s="35">
        <f t="shared" si="215"/>
        <v>13860000</v>
      </c>
      <c r="J370" s="35">
        <v>0</v>
      </c>
      <c r="K370" s="36">
        <v>41688</v>
      </c>
      <c r="L370" s="35">
        <v>255300000</v>
      </c>
      <c r="M370" s="21">
        <f t="shared" si="183"/>
        <v>2.8986301369863012</v>
      </c>
      <c r="N370" s="21">
        <f t="shared" si="209"/>
        <v>0.46219280324269224</v>
      </c>
      <c r="O370" s="35">
        <v>5897.96</v>
      </c>
      <c r="P370" s="35">
        <f t="shared" si="184"/>
        <v>3.7707754512906644</v>
      </c>
      <c r="Q370" s="35">
        <v>8</v>
      </c>
      <c r="R370" s="35">
        <f t="shared" si="185"/>
        <v>0.95424250943932487</v>
      </c>
      <c r="S370" s="45">
        <v>2.3199999999999998</v>
      </c>
      <c r="T370" s="45">
        <f t="shared" si="210"/>
        <v>0.36548798489089962</v>
      </c>
      <c r="U370" s="175">
        <f t="shared" si="186"/>
        <v>17.419913419913421</v>
      </c>
      <c r="V370" s="48">
        <f t="shared" si="187"/>
        <v>1.2652875845284624</v>
      </c>
      <c r="W370" s="35">
        <v>4375.8573388203013</v>
      </c>
      <c r="X370" s="35">
        <f t="shared" si="188"/>
        <v>3.6410631547392063</v>
      </c>
      <c r="Y370" s="35">
        <v>5027.4348422496569</v>
      </c>
      <c r="Z370" s="35">
        <f t="shared" si="189"/>
        <v>3.7013464506591722</v>
      </c>
      <c r="AA370" s="37">
        <v>132</v>
      </c>
      <c r="AB370" s="37">
        <f t="shared" si="190"/>
        <v>2.1238516409670858</v>
      </c>
      <c r="AC370" s="35">
        <v>91</v>
      </c>
      <c r="AD370" s="35">
        <f t="shared" si="211"/>
        <v>1.9590413923210936</v>
      </c>
      <c r="AE370" s="48">
        <v>23.9</v>
      </c>
      <c r="AF370" s="48">
        <f t="shared" si="212"/>
        <v>1.3783979009481377</v>
      </c>
      <c r="AG370" s="43">
        <v>42.048698215007001</v>
      </c>
      <c r="AH370" s="43">
        <f t="shared" si="213"/>
        <v>1.6237525550259535</v>
      </c>
      <c r="AI370" s="39">
        <v>-0.17</v>
      </c>
      <c r="AJ370" s="48">
        <f t="shared" si="191"/>
        <v>-8.092190762392612E-2</v>
      </c>
      <c r="AK370" s="35">
        <v>12</v>
      </c>
      <c r="AL370" s="35">
        <f t="shared" si="214"/>
        <v>1.0791812460476249</v>
      </c>
      <c r="AM370" s="35">
        <f t="shared" si="192"/>
        <v>0</v>
      </c>
      <c r="AN370" s="35">
        <f t="shared" si="193"/>
        <v>1</v>
      </c>
      <c r="AO370" s="35">
        <f t="shared" si="194"/>
        <v>0</v>
      </c>
      <c r="AP370" s="35">
        <f t="shared" si="195"/>
        <v>0</v>
      </c>
      <c r="AQ370" s="35">
        <f t="shared" si="196"/>
        <v>0</v>
      </c>
      <c r="AR370" s="35">
        <f t="shared" si="197"/>
        <v>0</v>
      </c>
      <c r="AS370" s="35">
        <f t="shared" si="198"/>
        <v>0</v>
      </c>
      <c r="AT370" s="35">
        <f t="shared" si="199"/>
        <v>0</v>
      </c>
      <c r="AU370" s="35">
        <f t="shared" si="200"/>
        <v>0</v>
      </c>
      <c r="AV370" s="35">
        <f t="shared" si="201"/>
        <v>0</v>
      </c>
      <c r="AW370" s="35">
        <f t="shared" si="202"/>
        <v>0</v>
      </c>
      <c r="AX370" s="35">
        <f t="shared" si="203"/>
        <v>0</v>
      </c>
      <c r="AY370" s="35">
        <f t="shared" si="204"/>
        <v>0</v>
      </c>
      <c r="AZ370" s="35">
        <f t="shared" si="205"/>
        <v>0</v>
      </c>
      <c r="BA370" s="35">
        <f t="shared" si="206"/>
        <v>0</v>
      </c>
      <c r="BB370" s="35">
        <f t="shared" si="207"/>
        <v>0</v>
      </c>
      <c r="BC370" s="35">
        <f t="shared" si="208"/>
        <v>0</v>
      </c>
    </row>
    <row r="371" spans="1:55" s="35" customFormat="1" x14ac:dyDescent="0.35">
      <c r="A371" s="36">
        <v>40639</v>
      </c>
      <c r="B371" s="35" t="s">
        <v>830</v>
      </c>
      <c r="C371" s="35" t="s">
        <v>59</v>
      </c>
      <c r="D371" s="35" t="s">
        <v>489</v>
      </c>
      <c r="E371" s="35" t="s">
        <v>64</v>
      </c>
      <c r="F371" s="139">
        <f t="shared" si="181"/>
        <v>1</v>
      </c>
      <c r="G371" s="35">
        <v>90000000</v>
      </c>
      <c r="H371" s="139">
        <f t="shared" si="182"/>
        <v>7.9542425094393252</v>
      </c>
      <c r="I371" s="35">
        <f t="shared" si="215"/>
        <v>90000000</v>
      </c>
      <c r="J371" s="35">
        <v>0</v>
      </c>
      <c r="K371" s="36">
        <v>41409</v>
      </c>
      <c r="L371" s="35">
        <v>800000000</v>
      </c>
      <c r="M371" s="21">
        <f t="shared" si="183"/>
        <v>2.1095890410958904</v>
      </c>
      <c r="N371" s="21">
        <f t="shared" si="209"/>
        <v>0.32419786071600715</v>
      </c>
      <c r="O371" s="35">
        <v>776.05</v>
      </c>
      <c r="P371" s="35">
        <f t="shared" si="184"/>
        <v>2.8904489647796185</v>
      </c>
      <c r="Q371" s="35">
        <v>13</v>
      </c>
      <c r="R371" s="35">
        <f t="shared" si="185"/>
        <v>1.146128035678238</v>
      </c>
      <c r="S371" s="45">
        <v>3.18</v>
      </c>
      <c r="T371" s="45">
        <f t="shared" si="210"/>
        <v>0.50242711998443268</v>
      </c>
      <c r="U371" s="175">
        <f t="shared" si="186"/>
        <v>7.8888888888888893</v>
      </c>
      <c r="V371" s="48">
        <f t="shared" si="187"/>
        <v>0.94884747755261878</v>
      </c>
      <c r="W371" s="35">
        <v>1423.0371900826444</v>
      </c>
      <c r="X371" s="35">
        <f t="shared" si="188"/>
        <v>3.1532162502154288</v>
      </c>
      <c r="Y371" s="35">
        <v>3292.8719008264461</v>
      </c>
      <c r="Z371" s="35">
        <f t="shared" si="189"/>
        <v>3.5175748361336181</v>
      </c>
      <c r="AA371" s="37">
        <v>254.166666666667</v>
      </c>
      <c r="AB371" s="37">
        <f t="shared" si="190"/>
        <v>2.4068239403146179</v>
      </c>
      <c r="AC371" s="35">
        <v>94.6</v>
      </c>
      <c r="AD371" s="35">
        <f t="shared" si="211"/>
        <v>1.9758911364017928</v>
      </c>
      <c r="AE371" s="48">
        <v>33.200000000000003</v>
      </c>
      <c r="AF371" s="48">
        <f t="shared" si="212"/>
        <v>1.5211380837040362</v>
      </c>
      <c r="AG371" s="43">
        <v>45.921427555082097</v>
      </c>
      <c r="AH371" s="43">
        <f t="shared" si="213"/>
        <v>1.6620153804713207</v>
      </c>
      <c r="AI371" s="39">
        <v>0.09</v>
      </c>
      <c r="AJ371" s="48">
        <f t="shared" si="191"/>
        <v>3.7426497940623665E-2</v>
      </c>
      <c r="AK371" s="35">
        <v>13</v>
      </c>
      <c r="AL371" s="35">
        <f t="shared" si="214"/>
        <v>1.1139433523068367</v>
      </c>
      <c r="AM371" s="35">
        <f t="shared" si="192"/>
        <v>0</v>
      </c>
      <c r="AN371" s="35">
        <f t="shared" si="193"/>
        <v>0</v>
      </c>
      <c r="AO371" s="35">
        <f t="shared" si="194"/>
        <v>1</v>
      </c>
      <c r="AP371" s="35">
        <f t="shared" si="195"/>
        <v>0</v>
      </c>
      <c r="AQ371" s="35">
        <f t="shared" si="196"/>
        <v>0</v>
      </c>
      <c r="AR371" s="35">
        <f t="shared" si="197"/>
        <v>0</v>
      </c>
      <c r="AS371" s="35">
        <f t="shared" si="198"/>
        <v>0</v>
      </c>
      <c r="AT371" s="35">
        <f t="shared" si="199"/>
        <v>0</v>
      </c>
      <c r="AU371" s="35">
        <f t="shared" si="200"/>
        <v>0</v>
      </c>
      <c r="AV371" s="35">
        <f t="shared" si="201"/>
        <v>0</v>
      </c>
      <c r="AW371" s="35">
        <f t="shared" si="202"/>
        <v>0</v>
      </c>
      <c r="AX371" s="35">
        <f t="shared" si="203"/>
        <v>0</v>
      </c>
      <c r="AY371" s="35">
        <f t="shared" si="204"/>
        <v>0</v>
      </c>
      <c r="AZ371" s="35">
        <f t="shared" si="205"/>
        <v>0</v>
      </c>
      <c r="BA371" s="35">
        <f t="shared" si="206"/>
        <v>0</v>
      </c>
      <c r="BB371" s="35">
        <f t="shared" si="207"/>
        <v>0</v>
      </c>
      <c r="BC371" s="35">
        <f t="shared" si="208"/>
        <v>0</v>
      </c>
    </row>
    <row r="372" spans="1:55" s="35" customFormat="1" x14ac:dyDescent="0.35">
      <c r="A372" s="36">
        <v>40652</v>
      </c>
      <c r="B372" s="35" t="s">
        <v>784</v>
      </c>
      <c r="C372" s="35" t="s">
        <v>59</v>
      </c>
      <c r="D372" s="35" t="s">
        <v>59</v>
      </c>
      <c r="E372" s="35" t="s">
        <v>47</v>
      </c>
      <c r="F372" s="139">
        <f t="shared" si="181"/>
        <v>0</v>
      </c>
      <c r="G372" s="35">
        <v>119000000</v>
      </c>
      <c r="H372" s="139">
        <f t="shared" si="182"/>
        <v>8.075546961392531</v>
      </c>
      <c r="I372" s="35">
        <f t="shared" si="215"/>
        <v>119000000</v>
      </c>
      <c r="J372" s="35">
        <v>0</v>
      </c>
      <c r="K372" s="36">
        <v>42262</v>
      </c>
      <c r="L372" s="35">
        <v>259000000</v>
      </c>
      <c r="M372" s="21">
        <f t="shared" si="183"/>
        <v>4.4109589041095889</v>
      </c>
      <c r="N372" s="21">
        <f t="shared" si="209"/>
        <v>0.64453301157537501</v>
      </c>
      <c r="O372" s="35">
        <v>0</v>
      </c>
      <c r="P372" s="35">
        <f t="shared" si="184"/>
        <v>0</v>
      </c>
      <c r="Q372" s="35">
        <v>21</v>
      </c>
      <c r="R372" s="35">
        <f t="shared" si="185"/>
        <v>1.3424226808222062</v>
      </c>
      <c r="S372" s="45">
        <v>3.29</v>
      </c>
      <c r="T372" s="45">
        <f t="shared" si="210"/>
        <v>0.51719589794997434</v>
      </c>
      <c r="U372" s="175">
        <f t="shared" si="186"/>
        <v>1.1764705882352939</v>
      </c>
      <c r="V372" s="48">
        <f t="shared" si="187"/>
        <v>0.33775280268872104</v>
      </c>
      <c r="W372" s="35">
        <v>2094.0408163265306</v>
      </c>
      <c r="X372" s="35">
        <f t="shared" si="188"/>
        <v>3.3209851425446502</v>
      </c>
      <c r="Y372" s="35">
        <v>9886.3673469387759</v>
      </c>
      <c r="Z372" s="35">
        <f t="shared" si="189"/>
        <v>3.9950367434689285</v>
      </c>
      <c r="AA372" s="37">
        <v>0</v>
      </c>
      <c r="AB372" s="37">
        <f t="shared" si="190"/>
        <v>0</v>
      </c>
      <c r="AC372" s="35">
        <v>94.6</v>
      </c>
      <c r="AD372" s="35">
        <f t="shared" si="211"/>
        <v>1.9758911364017928</v>
      </c>
      <c r="AE372" s="48">
        <v>33.200000000000003</v>
      </c>
      <c r="AF372" s="48">
        <f t="shared" si="212"/>
        <v>1.5211380837040362</v>
      </c>
      <c r="AG372" s="43">
        <v>45.921427555082097</v>
      </c>
      <c r="AH372" s="43">
        <f t="shared" si="213"/>
        <v>1.6620153804713207</v>
      </c>
      <c r="AI372" s="39">
        <v>0.41</v>
      </c>
      <c r="AJ372" s="48">
        <f t="shared" si="191"/>
        <v>0.14921911265537988</v>
      </c>
      <c r="AK372" s="35">
        <v>14</v>
      </c>
      <c r="AL372" s="35">
        <f t="shared" si="214"/>
        <v>1.146128035678238</v>
      </c>
      <c r="AM372" s="35">
        <f t="shared" si="192"/>
        <v>0</v>
      </c>
      <c r="AN372" s="35">
        <f t="shared" si="193"/>
        <v>0</v>
      </c>
      <c r="AO372" s="35">
        <f t="shared" si="194"/>
        <v>1</v>
      </c>
      <c r="AP372" s="35">
        <f t="shared" si="195"/>
        <v>0</v>
      </c>
      <c r="AQ372" s="35">
        <f t="shared" si="196"/>
        <v>0</v>
      </c>
      <c r="AR372" s="35">
        <f t="shared" si="197"/>
        <v>0</v>
      </c>
      <c r="AS372" s="35">
        <f t="shared" si="198"/>
        <v>0</v>
      </c>
      <c r="AT372" s="35">
        <f t="shared" si="199"/>
        <v>0</v>
      </c>
      <c r="AU372" s="35">
        <f t="shared" si="200"/>
        <v>0</v>
      </c>
      <c r="AV372" s="35">
        <f t="shared" si="201"/>
        <v>0</v>
      </c>
      <c r="AW372" s="35">
        <f t="shared" si="202"/>
        <v>0</v>
      </c>
      <c r="AX372" s="35">
        <f t="shared" si="203"/>
        <v>0</v>
      </c>
      <c r="AY372" s="35">
        <f t="shared" si="204"/>
        <v>0</v>
      </c>
      <c r="AZ372" s="35">
        <f t="shared" si="205"/>
        <v>0</v>
      </c>
      <c r="BA372" s="35">
        <f t="shared" si="206"/>
        <v>0</v>
      </c>
      <c r="BB372" s="35">
        <f t="shared" si="207"/>
        <v>0</v>
      </c>
      <c r="BC372" s="35">
        <f t="shared" si="208"/>
        <v>0</v>
      </c>
    </row>
    <row r="373" spans="1:55" s="35" customFormat="1" x14ac:dyDescent="0.35">
      <c r="A373" s="36">
        <v>40659</v>
      </c>
      <c r="B373" s="35" t="s">
        <v>1210</v>
      </c>
      <c r="C373" s="35" t="s">
        <v>2</v>
      </c>
      <c r="D373" s="35" t="s">
        <v>602</v>
      </c>
      <c r="E373" s="35" t="s">
        <v>64</v>
      </c>
      <c r="F373" s="139">
        <f t="shared" si="181"/>
        <v>1</v>
      </c>
      <c r="G373" s="35">
        <v>239600000</v>
      </c>
      <c r="H373" s="139">
        <f t="shared" si="182"/>
        <v>8.3794868137172731</v>
      </c>
      <c r="I373" s="35">
        <f t="shared" si="215"/>
        <v>239600000</v>
      </c>
      <c r="J373" s="35">
        <v>0</v>
      </c>
      <c r="K373" s="36">
        <v>42451</v>
      </c>
      <c r="L373" s="35">
        <v>80000000</v>
      </c>
      <c r="M373" s="21">
        <f t="shared" si="183"/>
        <v>4.9095890410958907</v>
      </c>
      <c r="N373" s="21">
        <f t="shared" si="209"/>
        <v>0.69104514086963176</v>
      </c>
      <c r="O373" s="35">
        <v>6815.73</v>
      </c>
      <c r="P373" s="35">
        <f t="shared" si="184"/>
        <v>3.8335760926148099</v>
      </c>
      <c r="Q373" s="35">
        <v>9</v>
      </c>
      <c r="R373" s="35">
        <f t="shared" si="185"/>
        <v>1</v>
      </c>
      <c r="S373" s="45">
        <v>2.85</v>
      </c>
      <c r="T373" s="45">
        <f t="shared" si="210"/>
        <v>0.45484486000851021</v>
      </c>
      <c r="U373" s="175">
        <f t="shared" si="186"/>
        <v>-0.666110183639399</v>
      </c>
      <c r="V373" s="48">
        <f t="shared" si="187"/>
        <v>-0.47639682672533018</v>
      </c>
      <c r="W373" s="35">
        <v>2446.450593263969</v>
      </c>
      <c r="X373" s="35">
        <f t="shared" si="188"/>
        <v>3.3885364494891754</v>
      </c>
      <c r="Y373" s="35">
        <v>6578.8244872547029</v>
      </c>
      <c r="Z373" s="35">
        <f t="shared" si="189"/>
        <v>3.818148300254375</v>
      </c>
      <c r="AA373" s="35">
        <v>819</v>
      </c>
      <c r="AB373" s="37">
        <f t="shared" si="190"/>
        <v>2.9138138523837167</v>
      </c>
      <c r="AC373" s="35">
        <v>89.6</v>
      </c>
      <c r="AD373" s="35">
        <f t="shared" si="211"/>
        <v>1.9523080096621253</v>
      </c>
      <c r="AE373" s="48">
        <v>35.700000000000003</v>
      </c>
      <c r="AF373" s="48">
        <f t="shared" si="212"/>
        <v>1.5526682161121932</v>
      </c>
      <c r="AG373" s="43">
        <v>44.7100017757258</v>
      </c>
      <c r="AH373" s="43">
        <f t="shared" si="213"/>
        <v>1.6504046871166989</v>
      </c>
      <c r="AI373" s="39">
        <v>-0.31</v>
      </c>
      <c r="AJ373" s="48">
        <f t="shared" si="191"/>
        <v>-0.16115090926274472</v>
      </c>
      <c r="AK373" s="35">
        <v>14</v>
      </c>
      <c r="AL373" s="35">
        <f t="shared" si="214"/>
        <v>1.146128035678238</v>
      </c>
      <c r="AM373" s="35">
        <f t="shared" si="192"/>
        <v>0</v>
      </c>
      <c r="AN373" s="35">
        <f t="shared" si="193"/>
        <v>0</v>
      </c>
      <c r="AO373" s="35">
        <f t="shared" si="194"/>
        <v>0</v>
      </c>
      <c r="AP373" s="35">
        <f t="shared" si="195"/>
        <v>0</v>
      </c>
      <c r="AQ373" s="35">
        <f t="shared" si="196"/>
        <v>0</v>
      </c>
      <c r="AR373" s="35">
        <f t="shared" si="197"/>
        <v>0</v>
      </c>
      <c r="AS373" s="35">
        <f t="shared" si="198"/>
        <v>0</v>
      </c>
      <c r="AT373" s="35">
        <f t="shared" si="199"/>
        <v>0</v>
      </c>
      <c r="AU373" s="35">
        <f t="shared" si="200"/>
        <v>0</v>
      </c>
      <c r="AV373" s="35">
        <f t="shared" si="201"/>
        <v>1</v>
      </c>
      <c r="AW373" s="35">
        <f t="shared" si="202"/>
        <v>0</v>
      </c>
      <c r="AX373" s="35">
        <f t="shared" si="203"/>
        <v>0</v>
      </c>
      <c r="AY373" s="35">
        <f t="shared" si="204"/>
        <v>0</v>
      </c>
      <c r="AZ373" s="35">
        <f t="shared" si="205"/>
        <v>0</v>
      </c>
      <c r="BA373" s="35">
        <f t="shared" si="206"/>
        <v>0</v>
      </c>
      <c r="BB373" s="35">
        <f t="shared" si="207"/>
        <v>0</v>
      </c>
      <c r="BC373" s="35">
        <f t="shared" si="208"/>
        <v>0</v>
      </c>
    </row>
    <row r="374" spans="1:55" s="35" customFormat="1" ht="15.75" customHeight="1" x14ac:dyDescent="0.35">
      <c r="A374" s="36">
        <v>40662</v>
      </c>
      <c r="B374" s="35" t="s">
        <v>1103</v>
      </c>
      <c r="C374" s="35" t="s">
        <v>2</v>
      </c>
      <c r="D374" s="35" t="s">
        <v>1105</v>
      </c>
      <c r="E374" s="35" t="s">
        <v>47</v>
      </c>
      <c r="F374" s="139">
        <f t="shared" si="181"/>
        <v>0</v>
      </c>
      <c r="G374" s="35">
        <v>65000000</v>
      </c>
      <c r="H374" s="139">
        <f t="shared" si="182"/>
        <v>7.8129133566428557</v>
      </c>
      <c r="I374" s="35">
        <v>61000000</v>
      </c>
      <c r="J374" s="35">
        <v>4000000</v>
      </c>
      <c r="K374" s="36">
        <v>42919</v>
      </c>
      <c r="L374" s="35">
        <v>100110000</v>
      </c>
      <c r="M374" s="21">
        <f t="shared" si="183"/>
        <v>6.183561643835616</v>
      </c>
      <c r="N374" s="21">
        <f t="shared" si="209"/>
        <v>0.79123869462128726</v>
      </c>
      <c r="O374" s="35">
        <v>0</v>
      </c>
      <c r="P374" s="35">
        <f t="shared" si="184"/>
        <v>0</v>
      </c>
      <c r="Q374" s="35">
        <v>22</v>
      </c>
      <c r="R374" s="35">
        <f t="shared" si="185"/>
        <v>1.3617278360175928</v>
      </c>
      <c r="S374" s="45">
        <v>3.5</v>
      </c>
      <c r="T374" s="45">
        <f t="shared" si="210"/>
        <v>0.54406804435027567</v>
      </c>
      <c r="U374" s="175">
        <f t="shared" si="186"/>
        <v>0.54015384615384621</v>
      </c>
      <c r="V374" s="48">
        <f t="shared" si="187"/>
        <v>0.18756410473159962</v>
      </c>
      <c r="W374" s="35">
        <v>1495.578623606305</v>
      </c>
      <c r="X374" s="35">
        <f t="shared" si="188"/>
        <v>3.1748092491298348</v>
      </c>
      <c r="Y374" s="35">
        <v>3763.9369473279512</v>
      </c>
      <c r="Z374" s="35">
        <f t="shared" si="189"/>
        <v>3.5756423396072652</v>
      </c>
      <c r="AA374" s="37">
        <v>0</v>
      </c>
      <c r="AB374" s="37">
        <f t="shared" si="190"/>
        <v>0</v>
      </c>
      <c r="AC374" s="35">
        <v>89.6</v>
      </c>
      <c r="AD374" s="35">
        <f t="shared" si="211"/>
        <v>1.9523080096621253</v>
      </c>
      <c r="AE374" s="48">
        <v>35.700000000000003</v>
      </c>
      <c r="AF374" s="48">
        <f t="shared" si="212"/>
        <v>1.5526682161121932</v>
      </c>
      <c r="AG374" s="43">
        <v>44.7100017757258</v>
      </c>
      <c r="AH374" s="43">
        <f t="shared" si="213"/>
        <v>1.6504046871166989</v>
      </c>
      <c r="AI374" s="39">
        <v>0.04</v>
      </c>
      <c r="AJ374" s="48">
        <f t="shared" si="191"/>
        <v>1.703333929878037E-2</v>
      </c>
      <c r="AK374" s="35">
        <v>14</v>
      </c>
      <c r="AL374" s="35">
        <f t="shared" si="214"/>
        <v>1.146128035678238</v>
      </c>
      <c r="AM374" s="35">
        <f t="shared" si="192"/>
        <v>0</v>
      </c>
      <c r="AN374" s="35">
        <f t="shared" si="193"/>
        <v>0</v>
      </c>
      <c r="AO374" s="35">
        <f t="shared" si="194"/>
        <v>0</v>
      </c>
      <c r="AP374" s="35">
        <f t="shared" si="195"/>
        <v>0</v>
      </c>
      <c r="AQ374" s="35">
        <f t="shared" si="196"/>
        <v>0</v>
      </c>
      <c r="AR374" s="35">
        <f t="shared" si="197"/>
        <v>0</v>
      </c>
      <c r="AS374" s="35">
        <f t="shared" si="198"/>
        <v>0</v>
      </c>
      <c r="AT374" s="35">
        <f t="shared" si="199"/>
        <v>0</v>
      </c>
      <c r="AU374" s="35">
        <f t="shared" si="200"/>
        <v>0</v>
      </c>
      <c r="AV374" s="35">
        <f t="shared" si="201"/>
        <v>1</v>
      </c>
      <c r="AW374" s="35">
        <f t="shared" si="202"/>
        <v>0</v>
      </c>
      <c r="AX374" s="35">
        <f t="shared" si="203"/>
        <v>0</v>
      </c>
      <c r="AY374" s="35">
        <f t="shared" si="204"/>
        <v>0</v>
      </c>
      <c r="AZ374" s="35">
        <f t="shared" si="205"/>
        <v>0</v>
      </c>
      <c r="BA374" s="35">
        <f t="shared" si="206"/>
        <v>0</v>
      </c>
      <c r="BB374" s="35">
        <f t="shared" si="207"/>
        <v>0</v>
      </c>
      <c r="BC374" s="35">
        <f t="shared" si="208"/>
        <v>0</v>
      </c>
    </row>
    <row r="375" spans="1:55" s="35" customFormat="1" x14ac:dyDescent="0.35">
      <c r="A375" s="36">
        <v>40694</v>
      </c>
      <c r="B375" s="35" t="s">
        <v>1017</v>
      </c>
      <c r="C375" s="35" t="s">
        <v>434</v>
      </c>
      <c r="D375" s="35" t="s">
        <v>45</v>
      </c>
      <c r="E375" s="35" t="s">
        <v>64</v>
      </c>
      <c r="F375" s="139">
        <f t="shared" si="181"/>
        <v>1</v>
      </c>
      <c r="G375" s="35">
        <v>577850000</v>
      </c>
      <c r="H375" s="139">
        <f t="shared" si="182"/>
        <v>8.7618151176130699</v>
      </c>
      <c r="I375" s="35">
        <f>G375</f>
        <v>577850000</v>
      </c>
      <c r="J375" s="35">
        <v>0</v>
      </c>
      <c r="K375" s="36">
        <v>41631</v>
      </c>
      <c r="L375" s="35">
        <v>777000000</v>
      </c>
      <c r="M375" s="21">
        <f t="shared" si="183"/>
        <v>2.5671232876712327</v>
      </c>
      <c r="N375" s="21">
        <f t="shared" si="209"/>
        <v>0.40944672643130353</v>
      </c>
      <c r="O375" s="35">
        <v>7216.98</v>
      </c>
      <c r="P375" s="35">
        <f t="shared" si="184"/>
        <v>3.8584156743566731</v>
      </c>
      <c r="Q375" s="35">
        <v>158</v>
      </c>
      <c r="R375" s="35">
        <f t="shared" si="185"/>
        <v>2.2013971243204513</v>
      </c>
      <c r="S375" s="45">
        <v>2.66</v>
      </c>
      <c r="T375" s="45">
        <f t="shared" si="210"/>
        <v>0.42488163663106698</v>
      </c>
      <c r="U375" s="175">
        <f t="shared" si="186"/>
        <v>0.34463961235614771</v>
      </c>
      <c r="V375" s="48">
        <f t="shared" si="187"/>
        <v>0.12860590118784496</v>
      </c>
      <c r="W375" s="35">
        <v>4192.5515477649324</v>
      </c>
      <c r="X375" s="35">
        <f t="shared" si="188"/>
        <v>3.6224784109972026</v>
      </c>
      <c r="Y375" s="35">
        <v>6098.886461718791</v>
      </c>
      <c r="Z375" s="35">
        <f t="shared" si="189"/>
        <v>3.7852505485064163</v>
      </c>
      <c r="AA375" s="37">
        <v>649.83333333333303</v>
      </c>
      <c r="AB375" s="37">
        <f t="shared" si="190"/>
        <v>2.8134697878296753</v>
      </c>
      <c r="AC375" s="35">
        <v>77.3</v>
      </c>
      <c r="AD375" s="35">
        <f t="shared" si="211"/>
        <v>1.888179493918325</v>
      </c>
      <c r="AE375" s="48">
        <v>41.91</v>
      </c>
      <c r="AF375" s="48">
        <f t="shared" si="212"/>
        <v>1.6223176608338443</v>
      </c>
      <c r="AG375" s="43">
        <v>49.378950814702399</v>
      </c>
      <c r="AH375" s="43">
        <f t="shared" si="213"/>
        <v>1.6935418579688173</v>
      </c>
      <c r="AI375" s="39">
        <v>0.43</v>
      </c>
      <c r="AJ375" s="48">
        <f t="shared" si="191"/>
        <v>0.1553360374650618</v>
      </c>
      <c r="AK375" s="35">
        <v>15</v>
      </c>
      <c r="AL375" s="35">
        <f t="shared" si="214"/>
        <v>1.1760912590556813</v>
      </c>
      <c r="AM375" s="35">
        <f t="shared" si="192"/>
        <v>0</v>
      </c>
      <c r="AN375" s="35">
        <f t="shared" si="193"/>
        <v>0</v>
      </c>
      <c r="AO375" s="35">
        <f t="shared" si="194"/>
        <v>0</v>
      </c>
      <c r="AP375" s="35">
        <f t="shared" si="195"/>
        <v>0</v>
      </c>
      <c r="AQ375" s="35">
        <f t="shared" si="196"/>
        <v>0</v>
      </c>
      <c r="AR375" s="35">
        <f t="shared" si="197"/>
        <v>0</v>
      </c>
      <c r="AS375" s="35">
        <f t="shared" si="198"/>
        <v>0</v>
      </c>
      <c r="AT375" s="35">
        <f t="shared" si="199"/>
        <v>0</v>
      </c>
      <c r="AU375" s="35">
        <f t="shared" si="200"/>
        <v>0</v>
      </c>
      <c r="AV375" s="35">
        <f t="shared" si="201"/>
        <v>0</v>
      </c>
      <c r="AW375" s="35">
        <f t="shared" si="202"/>
        <v>1</v>
      </c>
      <c r="AX375" s="35">
        <f t="shared" si="203"/>
        <v>0</v>
      </c>
      <c r="AY375" s="35">
        <f t="shared" si="204"/>
        <v>0</v>
      </c>
      <c r="AZ375" s="35">
        <f t="shared" si="205"/>
        <v>0</v>
      </c>
      <c r="BA375" s="35">
        <f t="shared" si="206"/>
        <v>0</v>
      </c>
      <c r="BB375" s="35">
        <f t="shared" si="207"/>
        <v>0</v>
      </c>
      <c r="BC375" s="35">
        <f t="shared" si="208"/>
        <v>0</v>
      </c>
    </row>
    <row r="376" spans="1:55" s="35" customFormat="1" x14ac:dyDescent="0.35">
      <c r="A376" s="36">
        <v>40695</v>
      </c>
      <c r="B376" s="35" t="s">
        <v>462</v>
      </c>
      <c r="C376" s="35" t="s">
        <v>2</v>
      </c>
      <c r="D376" s="35" t="s">
        <v>59</v>
      </c>
      <c r="E376" s="35" t="s">
        <v>125</v>
      </c>
      <c r="F376" s="139">
        <f t="shared" si="181"/>
        <v>1</v>
      </c>
      <c r="G376" s="35">
        <v>400000000</v>
      </c>
      <c r="H376" s="139">
        <f t="shared" si="182"/>
        <v>8.6020599913279625</v>
      </c>
      <c r="I376" s="35">
        <f>G376</f>
        <v>400000000</v>
      </c>
      <c r="J376" s="35">
        <v>0</v>
      </c>
      <c r="K376" s="36">
        <v>42738</v>
      </c>
      <c r="L376" s="35">
        <v>800000000</v>
      </c>
      <c r="M376" s="21">
        <f t="shared" si="183"/>
        <v>5.5972602739726032</v>
      </c>
      <c r="N376" s="21">
        <f t="shared" si="209"/>
        <v>0.74797550217597297</v>
      </c>
      <c r="O376" s="35">
        <v>917.19</v>
      </c>
      <c r="P376" s="35">
        <f t="shared" si="184"/>
        <v>2.9629325585580042</v>
      </c>
      <c r="Q376" s="35">
        <v>32</v>
      </c>
      <c r="R376" s="35">
        <f t="shared" si="185"/>
        <v>1.5185139398778875</v>
      </c>
      <c r="S376" s="45">
        <v>2.62</v>
      </c>
      <c r="T376" s="45">
        <f t="shared" si="210"/>
        <v>0.41830129131974547</v>
      </c>
      <c r="U376" s="175">
        <f t="shared" si="186"/>
        <v>1</v>
      </c>
      <c r="V376" s="48">
        <f t="shared" si="187"/>
        <v>0.3010299956639812</v>
      </c>
      <c r="W376" s="35">
        <v>1248.0746999999999</v>
      </c>
      <c r="X376" s="35">
        <f t="shared" si="188"/>
        <v>3.0962405795987471</v>
      </c>
      <c r="Y376" s="35">
        <v>2518.2170000000001</v>
      </c>
      <c r="Z376" s="35">
        <f t="shared" si="189"/>
        <v>3.4010931514437841</v>
      </c>
      <c r="AA376" s="37">
        <v>854.66666666666697</v>
      </c>
      <c r="AB376" s="37">
        <f t="shared" si="190"/>
        <v>2.9323046139517812</v>
      </c>
      <c r="AC376" s="35">
        <v>89.6</v>
      </c>
      <c r="AD376" s="35">
        <f t="shared" si="211"/>
        <v>1.9523080096621253</v>
      </c>
      <c r="AE376" s="48">
        <v>35.700000000000003</v>
      </c>
      <c r="AF376" s="48">
        <f t="shared" si="212"/>
        <v>1.5526682161121932</v>
      </c>
      <c r="AG376" s="43">
        <v>44.7100017757258</v>
      </c>
      <c r="AH376" s="43">
        <f t="shared" si="213"/>
        <v>1.6504046871166989</v>
      </c>
      <c r="AI376" s="39">
        <v>0.28999999999999998</v>
      </c>
      <c r="AJ376" s="48">
        <f t="shared" si="191"/>
        <v>0.11058971029924898</v>
      </c>
      <c r="AK376" s="35">
        <v>15</v>
      </c>
      <c r="AL376" s="35">
        <f t="shared" si="214"/>
        <v>1.1760912590556813</v>
      </c>
      <c r="AM376" s="35">
        <f t="shared" si="192"/>
        <v>0</v>
      </c>
      <c r="AN376" s="35">
        <f t="shared" si="193"/>
        <v>0</v>
      </c>
      <c r="AO376" s="35">
        <f t="shared" si="194"/>
        <v>0</v>
      </c>
      <c r="AP376" s="35">
        <f t="shared" si="195"/>
        <v>0</v>
      </c>
      <c r="AQ376" s="35">
        <f t="shared" si="196"/>
        <v>0</v>
      </c>
      <c r="AR376" s="35">
        <f t="shared" si="197"/>
        <v>0</v>
      </c>
      <c r="AS376" s="35">
        <f t="shared" si="198"/>
        <v>0</v>
      </c>
      <c r="AT376" s="35">
        <f t="shared" si="199"/>
        <v>0</v>
      </c>
      <c r="AU376" s="35">
        <f t="shared" si="200"/>
        <v>0</v>
      </c>
      <c r="AV376" s="35">
        <f t="shared" si="201"/>
        <v>1</v>
      </c>
      <c r="AW376" s="35">
        <f t="shared" si="202"/>
        <v>0</v>
      </c>
      <c r="AX376" s="35">
        <f t="shared" si="203"/>
        <v>0</v>
      </c>
      <c r="AY376" s="35">
        <f t="shared" si="204"/>
        <v>0</v>
      </c>
      <c r="AZ376" s="35">
        <f t="shared" si="205"/>
        <v>0</v>
      </c>
      <c r="BA376" s="35">
        <f t="shared" si="206"/>
        <v>0</v>
      </c>
      <c r="BB376" s="35">
        <f t="shared" si="207"/>
        <v>0</v>
      </c>
      <c r="BC376" s="35">
        <f t="shared" si="208"/>
        <v>0</v>
      </c>
    </row>
    <row r="377" spans="1:55" s="35" customFormat="1" x14ac:dyDescent="0.35">
      <c r="A377" s="36">
        <v>40695</v>
      </c>
      <c r="B377" s="90" t="s">
        <v>944</v>
      </c>
      <c r="C377" s="35" t="s">
        <v>2</v>
      </c>
      <c r="D377" s="35" t="s">
        <v>5</v>
      </c>
      <c r="E377" s="35" t="s">
        <v>64</v>
      </c>
      <c r="F377" s="139">
        <f t="shared" si="181"/>
        <v>1</v>
      </c>
      <c r="G377" s="35">
        <v>13000000</v>
      </c>
      <c r="H377" s="139">
        <f t="shared" si="182"/>
        <v>7.1139433523068369</v>
      </c>
      <c r="I377" s="35">
        <f>G377</f>
        <v>13000000</v>
      </c>
      <c r="J377" s="35">
        <v>0</v>
      </c>
      <c r="K377" s="36">
        <v>41877</v>
      </c>
      <c r="L377" s="35">
        <v>200000000</v>
      </c>
      <c r="M377" s="21">
        <f t="shared" si="183"/>
        <v>3.2383561643835614</v>
      </c>
      <c r="N377" s="21">
        <f t="shared" si="209"/>
        <v>0.51032461208876179</v>
      </c>
      <c r="O377" s="35">
        <v>668.68</v>
      </c>
      <c r="P377" s="35">
        <f t="shared" si="184"/>
        <v>2.8258673289207414</v>
      </c>
      <c r="Q377" s="35">
        <v>0</v>
      </c>
      <c r="R377" s="35">
        <f t="shared" si="185"/>
        <v>0</v>
      </c>
      <c r="S377" s="45">
        <v>2.84</v>
      </c>
      <c r="T377" s="45">
        <f t="shared" si="210"/>
        <v>0.45331834004703764</v>
      </c>
      <c r="U377" s="175">
        <f t="shared" si="186"/>
        <v>14.384615384615385</v>
      </c>
      <c r="V377" s="48">
        <f t="shared" si="187"/>
        <v>1.1870866433571445</v>
      </c>
      <c r="W377" s="35">
        <v>7345.0955681579517</v>
      </c>
      <c r="X377" s="35">
        <f t="shared" si="188"/>
        <v>3.8659974508347341</v>
      </c>
      <c r="Y377" s="35">
        <v>6765.3854232304138</v>
      </c>
      <c r="Z377" s="35">
        <f t="shared" si="189"/>
        <v>3.8302925433451809</v>
      </c>
      <c r="AA377" s="37">
        <v>108.67</v>
      </c>
      <c r="AB377" s="37">
        <f t="shared" si="190"/>
        <v>2.0400878434698808</v>
      </c>
      <c r="AC377" s="35">
        <v>89.6</v>
      </c>
      <c r="AD377" s="35">
        <f t="shared" si="211"/>
        <v>1.9523080096621253</v>
      </c>
      <c r="AE377" s="48">
        <v>35.700000000000003</v>
      </c>
      <c r="AF377" s="48">
        <f t="shared" si="212"/>
        <v>1.5526682161121932</v>
      </c>
      <c r="AG377" s="43">
        <v>44.7100017757258</v>
      </c>
      <c r="AH377" s="43">
        <f t="shared" si="213"/>
        <v>1.6504046871166989</v>
      </c>
      <c r="AI377" s="39">
        <v>0.32</v>
      </c>
      <c r="AJ377" s="48">
        <f t="shared" si="191"/>
        <v>0.12057393120584989</v>
      </c>
      <c r="AK377" s="35">
        <v>16</v>
      </c>
      <c r="AL377" s="35">
        <f t="shared" si="214"/>
        <v>1.2041199826559248</v>
      </c>
      <c r="AM377" s="35">
        <f t="shared" si="192"/>
        <v>0</v>
      </c>
      <c r="AN377" s="35">
        <f t="shared" si="193"/>
        <v>0</v>
      </c>
      <c r="AO377" s="35">
        <f t="shared" si="194"/>
        <v>0</v>
      </c>
      <c r="AP377" s="35">
        <f t="shared" si="195"/>
        <v>0</v>
      </c>
      <c r="AQ377" s="35">
        <f t="shared" si="196"/>
        <v>0</v>
      </c>
      <c r="AR377" s="35">
        <f t="shared" si="197"/>
        <v>0</v>
      </c>
      <c r="AS377" s="35">
        <f t="shared" si="198"/>
        <v>0</v>
      </c>
      <c r="AT377" s="35">
        <f t="shared" si="199"/>
        <v>0</v>
      </c>
      <c r="AU377" s="35">
        <f t="shared" si="200"/>
        <v>0</v>
      </c>
      <c r="AV377" s="35">
        <f t="shared" si="201"/>
        <v>1</v>
      </c>
      <c r="AW377" s="35">
        <f t="shared" si="202"/>
        <v>0</v>
      </c>
      <c r="AX377" s="35">
        <f t="shared" si="203"/>
        <v>0</v>
      </c>
      <c r="AY377" s="35">
        <f t="shared" si="204"/>
        <v>0</v>
      </c>
      <c r="AZ377" s="35">
        <f t="shared" si="205"/>
        <v>0</v>
      </c>
      <c r="BA377" s="35">
        <f t="shared" si="206"/>
        <v>0</v>
      </c>
      <c r="BB377" s="35">
        <f t="shared" si="207"/>
        <v>0</v>
      </c>
      <c r="BC377" s="35">
        <f t="shared" si="208"/>
        <v>0</v>
      </c>
    </row>
    <row r="378" spans="1:55" s="35" customFormat="1" x14ac:dyDescent="0.35">
      <c r="A378" s="36">
        <v>40695</v>
      </c>
      <c r="B378" s="35" t="s">
        <v>1088</v>
      </c>
      <c r="C378" s="35" t="s">
        <v>163</v>
      </c>
      <c r="D378" s="35" t="s">
        <v>163</v>
      </c>
      <c r="E378" s="35" t="s">
        <v>47</v>
      </c>
      <c r="F378" s="139">
        <f t="shared" si="181"/>
        <v>0</v>
      </c>
      <c r="G378" s="35">
        <v>535000000</v>
      </c>
      <c r="H378" s="139">
        <f t="shared" si="182"/>
        <v>8.7283537820212285</v>
      </c>
      <c r="I378" s="35">
        <f>G378</f>
        <v>535000000</v>
      </c>
      <c r="J378" s="35">
        <v>0</v>
      </c>
      <c r="K378" s="36">
        <v>43153</v>
      </c>
      <c r="L378" s="35">
        <v>1500000000</v>
      </c>
      <c r="M378" s="21">
        <f t="shared" si="183"/>
        <v>6.7342465753424658</v>
      </c>
      <c r="N378" s="21">
        <f t="shared" si="209"/>
        <v>0.82828901409396061</v>
      </c>
      <c r="O378" s="35">
        <v>0</v>
      </c>
      <c r="P378" s="35">
        <f t="shared" si="184"/>
        <v>0</v>
      </c>
      <c r="Q378" s="35">
        <v>31</v>
      </c>
      <c r="R378" s="35">
        <f t="shared" si="185"/>
        <v>1.505149978319906</v>
      </c>
      <c r="S378" s="45">
        <v>3.18</v>
      </c>
      <c r="T378" s="45">
        <f t="shared" si="210"/>
        <v>0.50242711998443268</v>
      </c>
      <c r="U378" s="175">
        <f t="shared" si="186"/>
        <v>1.8037383177570092</v>
      </c>
      <c r="V378" s="48">
        <f t="shared" si="187"/>
        <v>0.44773747703445277</v>
      </c>
      <c r="W378" s="35">
        <v>1682.164</v>
      </c>
      <c r="X378" s="35">
        <f t="shared" si="188"/>
        <v>3.2258683344006376</v>
      </c>
      <c r="Y378" s="35">
        <v>9152.2764999999999</v>
      </c>
      <c r="Z378" s="35">
        <f t="shared" si="189"/>
        <v>3.9615291321450066</v>
      </c>
      <c r="AA378" s="37">
        <v>0</v>
      </c>
      <c r="AB378" s="37">
        <f t="shared" si="190"/>
        <v>0</v>
      </c>
      <c r="AC378" s="35">
        <v>85.6</v>
      </c>
      <c r="AD378" s="35">
        <f t="shared" si="211"/>
        <v>1.9324737646771533</v>
      </c>
      <c r="AE378" s="48">
        <v>43.3</v>
      </c>
      <c r="AF378" s="48">
        <f t="shared" si="212"/>
        <v>1.6364878963533653</v>
      </c>
      <c r="AG378" s="43">
        <v>56.2907330998475</v>
      </c>
      <c r="AH378" s="43">
        <f t="shared" si="213"/>
        <v>1.750436904711814</v>
      </c>
      <c r="AI378" s="39">
        <v>0.33</v>
      </c>
      <c r="AJ378" s="48">
        <f t="shared" si="191"/>
        <v>0.12385164096708581</v>
      </c>
      <c r="AK378" s="35">
        <v>16</v>
      </c>
      <c r="AL378" s="35">
        <f t="shared" si="214"/>
        <v>1.2041199826559248</v>
      </c>
      <c r="AM378" s="35">
        <f t="shared" si="192"/>
        <v>0</v>
      </c>
      <c r="AN378" s="35">
        <f t="shared" si="193"/>
        <v>0</v>
      </c>
      <c r="AO378" s="35">
        <f t="shared" si="194"/>
        <v>0</v>
      </c>
      <c r="AP378" s="35">
        <f t="shared" si="195"/>
        <v>0</v>
      </c>
      <c r="AQ378" s="35">
        <f t="shared" si="196"/>
        <v>0</v>
      </c>
      <c r="AR378" s="35">
        <f t="shared" si="197"/>
        <v>0</v>
      </c>
      <c r="AS378" s="35">
        <f t="shared" si="198"/>
        <v>0</v>
      </c>
      <c r="AT378" s="35">
        <f t="shared" si="199"/>
        <v>1</v>
      </c>
      <c r="AU378" s="35">
        <f t="shared" si="200"/>
        <v>0</v>
      </c>
      <c r="AV378" s="35">
        <f t="shared" si="201"/>
        <v>0</v>
      </c>
      <c r="AW378" s="35">
        <f t="shared" si="202"/>
        <v>0</v>
      </c>
      <c r="AX378" s="35">
        <f t="shared" si="203"/>
        <v>0</v>
      </c>
      <c r="AY378" s="35">
        <f t="shared" si="204"/>
        <v>0</v>
      </c>
      <c r="AZ378" s="35">
        <f t="shared" si="205"/>
        <v>0</v>
      </c>
      <c r="BA378" s="35">
        <f t="shared" si="206"/>
        <v>0</v>
      </c>
      <c r="BB378" s="35">
        <f t="shared" si="207"/>
        <v>0</v>
      </c>
      <c r="BC378" s="35">
        <f t="shared" si="208"/>
        <v>0</v>
      </c>
    </row>
    <row r="379" spans="1:55" s="35" customFormat="1" ht="15" customHeight="1" x14ac:dyDescent="0.35">
      <c r="A379" s="36">
        <v>40722</v>
      </c>
      <c r="B379" s="35" t="s">
        <v>518</v>
      </c>
      <c r="C379" s="35" t="s">
        <v>163</v>
      </c>
      <c r="D379" s="35" t="s">
        <v>59</v>
      </c>
      <c r="E379" s="35" t="s">
        <v>125</v>
      </c>
      <c r="F379" s="139">
        <f t="shared" si="181"/>
        <v>1</v>
      </c>
      <c r="G379" s="35">
        <v>180000000</v>
      </c>
      <c r="H379" s="139">
        <f t="shared" si="182"/>
        <v>8.2552725051033065</v>
      </c>
      <c r="I379" s="35">
        <f>G379</f>
        <v>180000000</v>
      </c>
      <c r="J379" s="35">
        <v>0</v>
      </c>
      <c r="K379" s="36">
        <v>42460</v>
      </c>
      <c r="L379" s="35">
        <v>600000000</v>
      </c>
      <c r="M379" s="21">
        <f t="shared" si="183"/>
        <v>4.7616438356164386</v>
      </c>
      <c r="N379" s="21">
        <f t="shared" si="209"/>
        <v>0.67775690765617302</v>
      </c>
      <c r="O379" s="35">
        <v>342.74</v>
      </c>
      <c r="P379" s="35">
        <f t="shared" si="184"/>
        <v>2.5362300726332561</v>
      </c>
      <c r="Q379" s="35">
        <v>11</v>
      </c>
      <c r="R379" s="35">
        <f t="shared" si="185"/>
        <v>1.0791812460476249</v>
      </c>
      <c r="S379" s="45">
        <v>2.3199999999999998</v>
      </c>
      <c r="T379" s="45">
        <f t="shared" si="210"/>
        <v>0.36548798489089962</v>
      </c>
      <c r="U379" s="175">
        <f t="shared" si="186"/>
        <v>2.3333333333333335</v>
      </c>
      <c r="V379" s="48">
        <f t="shared" si="187"/>
        <v>0.52287874528033762</v>
      </c>
      <c r="W379" s="35">
        <v>2144.9704142011828</v>
      </c>
      <c r="X379" s="35">
        <f t="shared" si="188"/>
        <v>3.3314213062933389</v>
      </c>
      <c r="Y379" s="35">
        <v>7670.1183431952677</v>
      </c>
      <c r="Z379" s="35">
        <f t="shared" si="189"/>
        <v>3.884802064783424</v>
      </c>
      <c r="AA379" s="37">
        <v>569.16666666666697</v>
      </c>
      <c r="AB379" s="37">
        <f t="shared" si="190"/>
        <v>2.756001823801419</v>
      </c>
      <c r="AC379" s="35">
        <v>85.6</v>
      </c>
      <c r="AD379" s="35">
        <f t="shared" si="211"/>
        <v>1.9324737646771533</v>
      </c>
      <c r="AE379" s="48">
        <v>43.3</v>
      </c>
      <c r="AF379" s="48">
        <f t="shared" si="212"/>
        <v>1.6364878963533653</v>
      </c>
      <c r="AG379" s="43">
        <v>56.2907330998475</v>
      </c>
      <c r="AH379" s="43">
        <f t="shared" si="213"/>
        <v>1.750436904711814</v>
      </c>
      <c r="AI379" s="39">
        <v>-0.3</v>
      </c>
      <c r="AJ379" s="48">
        <f t="shared" si="191"/>
        <v>-0.15490195998574319</v>
      </c>
      <c r="AK379" s="35">
        <v>18</v>
      </c>
      <c r="AL379" s="35">
        <f t="shared" si="214"/>
        <v>1.255272505103306</v>
      </c>
      <c r="AM379" s="35">
        <f t="shared" si="192"/>
        <v>0</v>
      </c>
      <c r="AN379" s="35">
        <f t="shared" si="193"/>
        <v>0</v>
      </c>
      <c r="AO379" s="35">
        <f t="shared" si="194"/>
        <v>0</v>
      </c>
      <c r="AP379" s="35">
        <f t="shared" si="195"/>
        <v>0</v>
      </c>
      <c r="AQ379" s="35">
        <f t="shared" si="196"/>
        <v>0</v>
      </c>
      <c r="AR379" s="35">
        <f t="shared" si="197"/>
        <v>0</v>
      </c>
      <c r="AS379" s="35">
        <f t="shared" si="198"/>
        <v>0</v>
      </c>
      <c r="AT379" s="35">
        <f t="shared" si="199"/>
        <v>1</v>
      </c>
      <c r="AU379" s="35">
        <f t="shared" si="200"/>
        <v>0</v>
      </c>
      <c r="AV379" s="35">
        <f t="shared" si="201"/>
        <v>0</v>
      </c>
      <c r="AW379" s="35">
        <f t="shared" si="202"/>
        <v>0</v>
      </c>
      <c r="AX379" s="35">
        <f t="shared" si="203"/>
        <v>0</v>
      </c>
      <c r="AY379" s="35">
        <f t="shared" si="204"/>
        <v>0</v>
      </c>
      <c r="AZ379" s="35">
        <f t="shared" si="205"/>
        <v>0</v>
      </c>
      <c r="BA379" s="35">
        <f t="shared" si="206"/>
        <v>0</v>
      </c>
      <c r="BB379" s="35">
        <f t="shared" si="207"/>
        <v>0</v>
      </c>
      <c r="BC379" s="35">
        <f t="shared" si="208"/>
        <v>0</v>
      </c>
    </row>
    <row r="380" spans="1:55" s="35" customFormat="1" x14ac:dyDescent="0.35">
      <c r="A380" s="36">
        <v>40725</v>
      </c>
      <c r="B380" s="35" t="s">
        <v>1274</v>
      </c>
      <c r="C380" s="35" t="s">
        <v>45</v>
      </c>
      <c r="D380" s="35" t="s">
        <v>602</v>
      </c>
      <c r="E380" s="35" t="s">
        <v>47</v>
      </c>
      <c r="F380" s="139">
        <f t="shared" si="181"/>
        <v>0</v>
      </c>
      <c r="G380" s="35">
        <v>676540000</v>
      </c>
      <c r="H380" s="139">
        <f t="shared" si="182"/>
        <v>8.8302934790795664</v>
      </c>
      <c r="I380" s="35">
        <v>440240000</v>
      </c>
      <c r="J380" s="35">
        <v>236300000</v>
      </c>
      <c r="K380" s="36">
        <v>41490</v>
      </c>
      <c r="L380" s="35">
        <v>0</v>
      </c>
      <c r="M380" s="21">
        <f t="shared" si="183"/>
        <v>2.095890410958904</v>
      </c>
      <c r="N380" s="21">
        <f t="shared" si="209"/>
        <v>0.32136857069714286</v>
      </c>
      <c r="O380" s="35">
        <v>0</v>
      </c>
      <c r="P380" s="35">
        <f t="shared" si="184"/>
        <v>0</v>
      </c>
      <c r="Q380" s="35">
        <v>63</v>
      </c>
      <c r="R380" s="35">
        <f t="shared" si="185"/>
        <v>1.8061799739838871</v>
      </c>
      <c r="S380" s="45">
        <v>2.95</v>
      </c>
      <c r="T380" s="45">
        <f t="shared" si="210"/>
        <v>0.46982201597816303</v>
      </c>
      <c r="U380" s="175">
        <f t="shared" si="186"/>
        <v>-1</v>
      </c>
      <c r="V380" s="48">
        <f t="shared" si="187"/>
        <v>-1</v>
      </c>
      <c r="W380" s="35">
        <v>1421.558</v>
      </c>
      <c r="X380" s="35">
        <f t="shared" si="188"/>
        <v>3.1527645837352773</v>
      </c>
      <c r="Y380" s="35">
        <v>3476.3409999999999</v>
      </c>
      <c r="Z380" s="35">
        <f t="shared" si="189"/>
        <v>3.5411223705253856</v>
      </c>
      <c r="AA380" s="35">
        <v>0</v>
      </c>
      <c r="AB380" s="37">
        <f t="shared" si="190"/>
        <v>0</v>
      </c>
      <c r="AC380" s="35">
        <v>91</v>
      </c>
      <c r="AD380" s="35">
        <f t="shared" si="211"/>
        <v>1.9590413923210936</v>
      </c>
      <c r="AE380" s="48">
        <v>23.9</v>
      </c>
      <c r="AF380" s="48">
        <f t="shared" si="212"/>
        <v>1.3783979009481377</v>
      </c>
      <c r="AG380" s="43">
        <v>42.048698215007001</v>
      </c>
      <c r="AH380" s="43">
        <f t="shared" si="213"/>
        <v>1.6237525550259535</v>
      </c>
      <c r="AI380" s="39">
        <v>-0.28000000000000003</v>
      </c>
      <c r="AJ380" s="48">
        <f t="shared" si="191"/>
        <v>-0.14266750356873156</v>
      </c>
      <c r="AK380" s="35">
        <v>39</v>
      </c>
      <c r="AL380" s="35">
        <f t="shared" si="214"/>
        <v>1.5910646070264991</v>
      </c>
      <c r="AM380" s="35">
        <f t="shared" si="192"/>
        <v>1</v>
      </c>
      <c r="AN380" s="35">
        <f t="shared" si="193"/>
        <v>1</v>
      </c>
      <c r="AO380" s="35">
        <f t="shared" si="194"/>
        <v>0</v>
      </c>
      <c r="AP380" s="35">
        <f t="shared" si="195"/>
        <v>0</v>
      </c>
      <c r="AQ380" s="35">
        <f t="shared" si="196"/>
        <v>0</v>
      </c>
      <c r="AR380" s="35">
        <f t="shared" si="197"/>
        <v>0</v>
      </c>
      <c r="AS380" s="35">
        <f t="shared" si="198"/>
        <v>0</v>
      </c>
      <c r="AT380" s="35">
        <f t="shared" si="199"/>
        <v>0</v>
      </c>
      <c r="AU380" s="35">
        <f t="shared" si="200"/>
        <v>0</v>
      </c>
      <c r="AV380" s="35">
        <f t="shared" si="201"/>
        <v>0</v>
      </c>
      <c r="AW380" s="35">
        <f t="shared" si="202"/>
        <v>0</v>
      </c>
      <c r="AX380" s="35">
        <f t="shared" si="203"/>
        <v>0</v>
      </c>
      <c r="AY380" s="35">
        <f t="shared" si="204"/>
        <v>0</v>
      </c>
      <c r="AZ380" s="35">
        <f t="shared" si="205"/>
        <v>0</v>
      </c>
      <c r="BA380" s="35">
        <f t="shared" si="206"/>
        <v>0</v>
      </c>
      <c r="BB380" s="35">
        <f t="shared" si="207"/>
        <v>0</v>
      </c>
      <c r="BC380" s="35">
        <f t="shared" si="208"/>
        <v>0</v>
      </c>
    </row>
    <row r="381" spans="1:55" s="35" customFormat="1" ht="14.25" customHeight="1" x14ac:dyDescent="0.35">
      <c r="A381" s="36">
        <v>40745</v>
      </c>
      <c r="B381" s="35" t="s">
        <v>656</v>
      </c>
      <c r="C381" s="35" t="s">
        <v>2</v>
      </c>
      <c r="D381" s="35" t="s">
        <v>602</v>
      </c>
      <c r="E381" s="35" t="s">
        <v>64</v>
      </c>
      <c r="F381" s="139">
        <f t="shared" si="181"/>
        <v>1</v>
      </c>
      <c r="G381" s="35">
        <v>700000000</v>
      </c>
      <c r="H381" s="139">
        <f t="shared" si="182"/>
        <v>8.8450980400142569</v>
      </c>
      <c r="I381" s="35">
        <f>G381</f>
        <v>700000000</v>
      </c>
      <c r="J381" s="35">
        <v>0</v>
      </c>
      <c r="K381" s="36">
        <v>42929</v>
      </c>
      <c r="L381" s="35">
        <v>365000000</v>
      </c>
      <c r="M381" s="21">
        <f t="shared" si="183"/>
        <v>5.9835616438356167</v>
      </c>
      <c r="N381" s="21">
        <f t="shared" si="209"/>
        <v>0.77695976957622492</v>
      </c>
      <c r="O381" s="35">
        <v>6815.73</v>
      </c>
      <c r="P381" s="35">
        <f t="shared" si="184"/>
        <v>3.8335760926148099</v>
      </c>
      <c r="Q381" s="35">
        <v>30</v>
      </c>
      <c r="R381" s="35">
        <f t="shared" si="185"/>
        <v>1.4913616938342726</v>
      </c>
      <c r="S381" s="45">
        <v>2.85</v>
      </c>
      <c r="T381" s="45">
        <f t="shared" si="210"/>
        <v>0.45484486000851021</v>
      </c>
      <c r="U381" s="175">
        <f t="shared" si="186"/>
        <v>-0.47857142857142854</v>
      </c>
      <c r="V381" s="48">
        <f t="shared" si="187"/>
        <v>-0.28280517555778212</v>
      </c>
      <c r="W381" s="35">
        <v>2315.9650000000001</v>
      </c>
      <c r="X381" s="35">
        <f t="shared" si="188"/>
        <v>3.3647319918335836</v>
      </c>
      <c r="Y381" s="35">
        <v>3703.9029999999998</v>
      </c>
      <c r="Z381" s="35">
        <f t="shared" si="189"/>
        <v>3.568659604598353</v>
      </c>
      <c r="AA381" s="37">
        <v>819</v>
      </c>
      <c r="AB381" s="37">
        <f t="shared" si="190"/>
        <v>2.9138138523837167</v>
      </c>
      <c r="AC381" s="35">
        <v>89.6</v>
      </c>
      <c r="AD381" s="35">
        <f t="shared" si="211"/>
        <v>1.9523080096621253</v>
      </c>
      <c r="AE381" s="48">
        <v>35.700000000000003</v>
      </c>
      <c r="AF381" s="48">
        <f t="shared" si="212"/>
        <v>1.5526682161121932</v>
      </c>
      <c r="AG381" s="43">
        <v>44.7100017757258</v>
      </c>
      <c r="AH381" s="43">
        <f t="shared" si="213"/>
        <v>1.6504046871166989</v>
      </c>
      <c r="AI381" s="39">
        <v>-0.28000000000000003</v>
      </c>
      <c r="AJ381" s="48">
        <f t="shared" si="191"/>
        <v>-0.14266750356873156</v>
      </c>
      <c r="AK381" s="35">
        <v>39</v>
      </c>
      <c r="AL381" s="35">
        <f t="shared" si="214"/>
        <v>1.5910646070264991</v>
      </c>
      <c r="AM381" s="35">
        <f t="shared" si="192"/>
        <v>0</v>
      </c>
      <c r="AN381" s="35">
        <f t="shared" si="193"/>
        <v>0</v>
      </c>
      <c r="AO381" s="35">
        <f t="shared" si="194"/>
        <v>0</v>
      </c>
      <c r="AP381" s="35">
        <f t="shared" si="195"/>
        <v>0</v>
      </c>
      <c r="AQ381" s="35">
        <f t="shared" si="196"/>
        <v>0</v>
      </c>
      <c r="AR381" s="35">
        <f t="shared" si="197"/>
        <v>0</v>
      </c>
      <c r="AS381" s="35">
        <f t="shared" si="198"/>
        <v>0</v>
      </c>
      <c r="AT381" s="35">
        <f t="shared" si="199"/>
        <v>0</v>
      </c>
      <c r="AU381" s="35">
        <f t="shared" si="200"/>
        <v>0</v>
      </c>
      <c r="AV381" s="35">
        <f t="shared" si="201"/>
        <v>1</v>
      </c>
      <c r="AW381" s="35">
        <f t="shared" si="202"/>
        <v>0</v>
      </c>
      <c r="AX381" s="35">
        <f t="shared" si="203"/>
        <v>0</v>
      </c>
      <c r="AY381" s="35">
        <f t="shared" si="204"/>
        <v>0</v>
      </c>
      <c r="AZ381" s="35">
        <f t="shared" si="205"/>
        <v>0</v>
      </c>
      <c r="BA381" s="35">
        <f t="shared" si="206"/>
        <v>0</v>
      </c>
      <c r="BB381" s="35">
        <f t="shared" si="207"/>
        <v>0</v>
      </c>
      <c r="BC381" s="35">
        <f t="shared" si="208"/>
        <v>0</v>
      </c>
    </row>
    <row r="382" spans="1:55" s="35" customFormat="1" x14ac:dyDescent="0.35">
      <c r="A382" s="36">
        <v>40749</v>
      </c>
      <c r="B382" s="35" t="s">
        <v>515</v>
      </c>
      <c r="C382" s="35" t="s">
        <v>59</v>
      </c>
      <c r="D382" s="35" t="s">
        <v>59</v>
      </c>
      <c r="E382" s="35" t="s">
        <v>102</v>
      </c>
      <c r="F382" s="139">
        <f t="shared" si="181"/>
        <v>0</v>
      </c>
      <c r="G382" s="35">
        <v>585000000</v>
      </c>
      <c r="H382" s="139">
        <f t="shared" si="182"/>
        <v>8.7671558660821809</v>
      </c>
      <c r="I382" s="35">
        <f>G382</f>
        <v>585000000</v>
      </c>
      <c r="J382" s="35">
        <v>0</v>
      </c>
      <c r="K382" s="36">
        <v>42216</v>
      </c>
      <c r="L382" s="35">
        <v>1091060000</v>
      </c>
      <c r="M382" s="21">
        <f t="shared" si="183"/>
        <v>4.0191780821917806</v>
      </c>
      <c r="N382" s="21">
        <f t="shared" si="209"/>
        <v>0.60413724938680791</v>
      </c>
      <c r="O382" s="35">
        <v>0</v>
      </c>
      <c r="P382" s="35">
        <f t="shared" si="184"/>
        <v>0</v>
      </c>
      <c r="Q382" s="35">
        <v>40</v>
      </c>
      <c r="R382" s="35">
        <f t="shared" si="185"/>
        <v>1.6127838567197355</v>
      </c>
      <c r="S382" s="45">
        <v>3.29</v>
      </c>
      <c r="T382" s="45">
        <f t="shared" si="210"/>
        <v>0.51719589794997434</v>
      </c>
      <c r="U382" s="175">
        <f t="shared" si="186"/>
        <v>0.86505982905982903</v>
      </c>
      <c r="V382" s="48">
        <f t="shared" si="187"/>
        <v>0.27069276805557874</v>
      </c>
      <c r="W382" s="35">
        <v>2144.9704142011828</v>
      </c>
      <c r="X382" s="35">
        <f t="shared" si="188"/>
        <v>3.3314213062933389</v>
      </c>
      <c r="Y382" s="35">
        <v>7670.1183431952677</v>
      </c>
      <c r="Z382" s="35">
        <f t="shared" si="189"/>
        <v>3.884802064783424</v>
      </c>
      <c r="AA382" s="37">
        <v>0</v>
      </c>
      <c r="AB382" s="37">
        <f t="shared" si="190"/>
        <v>0</v>
      </c>
      <c r="AC382" s="35">
        <v>94.6</v>
      </c>
      <c r="AD382" s="35">
        <f t="shared" si="211"/>
        <v>1.9758911364017928</v>
      </c>
      <c r="AE382" s="48">
        <v>33.200000000000003</v>
      </c>
      <c r="AF382" s="48">
        <f t="shared" si="212"/>
        <v>1.5211380837040362</v>
      </c>
      <c r="AG382" s="43">
        <v>45.921427555082097</v>
      </c>
      <c r="AH382" s="43">
        <f t="shared" si="213"/>
        <v>1.6620153804713207</v>
      </c>
      <c r="AI382" s="39">
        <v>-0.18</v>
      </c>
      <c r="AJ382" s="48">
        <f t="shared" si="191"/>
        <v>-8.6186147616283279E-2</v>
      </c>
      <c r="AK382" s="35">
        <v>34</v>
      </c>
      <c r="AL382" s="35">
        <f t="shared" si="214"/>
        <v>1.5314789170422551</v>
      </c>
      <c r="AM382" s="35">
        <f t="shared" si="192"/>
        <v>0</v>
      </c>
      <c r="AN382" s="35">
        <f t="shared" si="193"/>
        <v>0</v>
      </c>
      <c r="AO382" s="35">
        <f t="shared" si="194"/>
        <v>1</v>
      </c>
      <c r="AP382" s="35">
        <f t="shared" si="195"/>
        <v>0</v>
      </c>
      <c r="AQ382" s="35">
        <f t="shared" si="196"/>
        <v>0</v>
      </c>
      <c r="AR382" s="35">
        <f t="shared" si="197"/>
        <v>0</v>
      </c>
      <c r="AS382" s="35">
        <f t="shared" si="198"/>
        <v>0</v>
      </c>
      <c r="AT382" s="35">
        <f t="shared" si="199"/>
        <v>0</v>
      </c>
      <c r="AU382" s="35">
        <f t="shared" si="200"/>
        <v>0</v>
      </c>
      <c r="AV382" s="35">
        <f t="shared" si="201"/>
        <v>0</v>
      </c>
      <c r="AW382" s="35">
        <f t="shared" si="202"/>
        <v>0</v>
      </c>
      <c r="AX382" s="35">
        <f t="shared" si="203"/>
        <v>0</v>
      </c>
      <c r="AY382" s="35">
        <f t="shared" si="204"/>
        <v>0</v>
      </c>
      <c r="AZ382" s="35">
        <f t="shared" si="205"/>
        <v>0</v>
      </c>
      <c r="BA382" s="35">
        <f t="shared" si="206"/>
        <v>0</v>
      </c>
      <c r="BB382" s="35">
        <f t="shared" si="207"/>
        <v>0</v>
      </c>
      <c r="BC382" s="35">
        <f t="shared" si="208"/>
        <v>0</v>
      </c>
    </row>
    <row r="383" spans="1:55" s="35" customFormat="1" ht="20.25" customHeight="1" x14ac:dyDescent="0.35">
      <c r="A383" s="36">
        <v>40750</v>
      </c>
      <c r="B383" s="35" t="s">
        <v>757</v>
      </c>
      <c r="C383" s="35" t="s">
        <v>163</v>
      </c>
      <c r="D383" s="35" t="s">
        <v>577</v>
      </c>
      <c r="E383" s="35" t="s">
        <v>64</v>
      </c>
      <c r="F383" s="139">
        <f t="shared" si="181"/>
        <v>1</v>
      </c>
      <c r="G383" s="35">
        <v>1629390589</v>
      </c>
      <c r="H383" s="139">
        <f t="shared" si="182"/>
        <v>9.2120252035929049</v>
      </c>
      <c r="I383" s="35">
        <f>G383</f>
        <v>1629390589</v>
      </c>
      <c r="J383" s="35">
        <v>0</v>
      </c>
      <c r="K383" s="36">
        <v>42530</v>
      </c>
      <c r="L383" s="35">
        <v>2023910812</v>
      </c>
      <c r="M383" s="21">
        <f t="shared" si="183"/>
        <v>4.8767123287671232</v>
      </c>
      <c r="N383" s="21">
        <f t="shared" si="209"/>
        <v>0.6881271378524193</v>
      </c>
      <c r="O383" s="35">
        <v>342.74</v>
      </c>
      <c r="P383" s="35">
        <f t="shared" si="184"/>
        <v>2.5362300726332561</v>
      </c>
      <c r="Q383" s="35">
        <v>39</v>
      </c>
      <c r="R383" s="35">
        <f t="shared" si="185"/>
        <v>1.6020599913279623</v>
      </c>
      <c r="S383" s="45">
        <v>2.3199999999999998</v>
      </c>
      <c r="T383" s="45">
        <f t="shared" si="210"/>
        <v>0.36548798489089962</v>
      </c>
      <c r="U383" s="175">
        <f t="shared" si="186"/>
        <v>0.24212747125422363</v>
      </c>
      <c r="V383" s="48">
        <f t="shared" si="187"/>
        <v>9.4166166872442655E-2</v>
      </c>
      <c r="W383" s="35">
        <v>1801.108033240997</v>
      </c>
      <c r="X383" s="35">
        <f t="shared" si="188"/>
        <v>3.25553976325445</v>
      </c>
      <c r="Y383" s="35">
        <v>8416.6204986149605</v>
      </c>
      <c r="Z383" s="35">
        <f t="shared" si="189"/>
        <v>3.9251377454872847</v>
      </c>
      <c r="AA383" s="37">
        <v>569.16666666666697</v>
      </c>
      <c r="AB383" s="37">
        <f t="shared" si="190"/>
        <v>2.756001823801419</v>
      </c>
      <c r="AC383" s="35">
        <v>85.6</v>
      </c>
      <c r="AD383" s="35">
        <f t="shared" si="211"/>
        <v>1.9324737646771533</v>
      </c>
      <c r="AE383" s="48">
        <v>43.3</v>
      </c>
      <c r="AF383" s="48">
        <f t="shared" si="212"/>
        <v>1.6364878963533653</v>
      </c>
      <c r="AG383" s="43">
        <v>56.2907330998475</v>
      </c>
      <c r="AH383" s="43">
        <f t="shared" si="213"/>
        <v>1.750436904711814</v>
      </c>
      <c r="AI383" s="39">
        <v>0.85</v>
      </c>
      <c r="AJ383" s="48">
        <f t="shared" si="191"/>
        <v>0.26717172840301384</v>
      </c>
      <c r="AK383" s="35">
        <v>12</v>
      </c>
      <c r="AL383" s="35">
        <f t="shared" si="214"/>
        <v>1.0791812460476249</v>
      </c>
      <c r="AM383" s="35">
        <f t="shared" si="192"/>
        <v>0</v>
      </c>
      <c r="AN383" s="35">
        <f t="shared" si="193"/>
        <v>0</v>
      </c>
      <c r="AO383" s="35">
        <f t="shared" si="194"/>
        <v>0</v>
      </c>
      <c r="AP383" s="35">
        <f t="shared" si="195"/>
        <v>0</v>
      </c>
      <c r="AQ383" s="35">
        <f t="shared" si="196"/>
        <v>0</v>
      </c>
      <c r="AR383" s="35">
        <f t="shared" si="197"/>
        <v>0</v>
      </c>
      <c r="AS383" s="35">
        <f t="shared" si="198"/>
        <v>0</v>
      </c>
      <c r="AT383" s="35">
        <f t="shared" si="199"/>
        <v>1</v>
      </c>
      <c r="AU383" s="35">
        <f t="shared" si="200"/>
        <v>0</v>
      </c>
      <c r="AV383" s="35">
        <f t="shared" si="201"/>
        <v>0</v>
      </c>
      <c r="AW383" s="35">
        <f t="shared" si="202"/>
        <v>0</v>
      </c>
      <c r="AX383" s="35">
        <f t="shared" si="203"/>
        <v>0</v>
      </c>
      <c r="AY383" s="35">
        <f t="shared" si="204"/>
        <v>0</v>
      </c>
      <c r="AZ383" s="35">
        <f t="shared" si="205"/>
        <v>0</v>
      </c>
      <c r="BA383" s="35">
        <f t="shared" si="206"/>
        <v>0</v>
      </c>
      <c r="BB383" s="35">
        <f t="shared" si="207"/>
        <v>0</v>
      </c>
      <c r="BC383" s="35">
        <f t="shared" si="208"/>
        <v>0</v>
      </c>
    </row>
    <row r="384" spans="1:55" s="35" customFormat="1" ht="18" customHeight="1" x14ac:dyDescent="0.35">
      <c r="A384" s="36">
        <v>40754</v>
      </c>
      <c r="B384" s="35" t="s">
        <v>777</v>
      </c>
      <c r="C384" s="35" t="s">
        <v>59</v>
      </c>
      <c r="D384" s="35" t="s">
        <v>45</v>
      </c>
      <c r="E384" s="35" t="s">
        <v>64</v>
      </c>
      <c r="F384" s="139">
        <f t="shared" si="181"/>
        <v>1</v>
      </c>
      <c r="G384" s="35">
        <v>120000000</v>
      </c>
      <c r="H384" s="139">
        <f t="shared" si="182"/>
        <v>8.0791812460476251</v>
      </c>
      <c r="I384" s="35">
        <f>G384</f>
        <v>120000000</v>
      </c>
      <c r="J384" s="35">
        <v>0</v>
      </c>
      <c r="K384" s="36">
        <v>43336</v>
      </c>
      <c r="L384" s="35">
        <v>100000000</v>
      </c>
      <c r="M384" s="21">
        <f t="shared" si="183"/>
        <v>7.0739726027397261</v>
      </c>
      <c r="N384" s="21">
        <f t="shared" si="209"/>
        <v>0.84966337347392684</v>
      </c>
      <c r="O384" s="35">
        <v>5897.96</v>
      </c>
      <c r="P384" s="35">
        <f t="shared" si="184"/>
        <v>3.7707754512906644</v>
      </c>
      <c r="Q384" s="35">
        <v>5</v>
      </c>
      <c r="R384" s="35">
        <f t="shared" si="185"/>
        <v>0.77815125038364363</v>
      </c>
      <c r="S384" s="45">
        <v>2.3199999999999998</v>
      </c>
      <c r="T384" s="45">
        <f t="shared" si="210"/>
        <v>0.36548798489089962</v>
      </c>
      <c r="U384" s="175">
        <f t="shared" si="186"/>
        <v>-0.16666666666666663</v>
      </c>
      <c r="V384" s="48">
        <f t="shared" si="187"/>
        <v>-7.9181246047624804E-2</v>
      </c>
      <c r="W384" s="35">
        <v>2315.9649266087058</v>
      </c>
      <c r="X384" s="35">
        <f t="shared" si="188"/>
        <v>3.3647319780710983</v>
      </c>
      <c r="Y384" s="35">
        <v>3703.9030655807082</v>
      </c>
      <c r="Z384" s="35">
        <f t="shared" si="189"/>
        <v>3.5686596122879011</v>
      </c>
      <c r="AA384" s="37">
        <v>132</v>
      </c>
      <c r="AB384" s="37">
        <f t="shared" si="190"/>
        <v>2.1238516409670858</v>
      </c>
      <c r="AC384" s="35">
        <v>94.6</v>
      </c>
      <c r="AD384" s="35">
        <f t="shared" si="211"/>
        <v>1.9758911364017928</v>
      </c>
      <c r="AE384" s="48">
        <v>33.200000000000003</v>
      </c>
      <c r="AF384" s="48">
        <f t="shared" si="212"/>
        <v>1.5211380837040362</v>
      </c>
      <c r="AG384" s="43">
        <v>45.921427555082097</v>
      </c>
      <c r="AH384" s="43">
        <f t="shared" si="213"/>
        <v>1.6620153804713207</v>
      </c>
      <c r="AI384" s="39">
        <v>0.66</v>
      </c>
      <c r="AJ384" s="48">
        <f t="shared" si="191"/>
        <v>0.22010808804005513</v>
      </c>
      <c r="AK384" s="35">
        <v>12</v>
      </c>
      <c r="AL384" s="35">
        <f t="shared" si="214"/>
        <v>1.0791812460476249</v>
      </c>
      <c r="AM384" s="35">
        <f t="shared" si="192"/>
        <v>0</v>
      </c>
      <c r="AN384" s="35">
        <f t="shared" si="193"/>
        <v>0</v>
      </c>
      <c r="AO384" s="35">
        <f t="shared" si="194"/>
        <v>1</v>
      </c>
      <c r="AP384" s="35">
        <f t="shared" si="195"/>
        <v>0</v>
      </c>
      <c r="AQ384" s="35">
        <f t="shared" si="196"/>
        <v>0</v>
      </c>
      <c r="AR384" s="35">
        <f t="shared" si="197"/>
        <v>0</v>
      </c>
      <c r="AS384" s="35">
        <f t="shared" si="198"/>
        <v>0</v>
      </c>
      <c r="AT384" s="35">
        <f t="shared" si="199"/>
        <v>0</v>
      </c>
      <c r="AU384" s="35">
        <f t="shared" si="200"/>
        <v>0</v>
      </c>
      <c r="AV384" s="35">
        <f t="shared" si="201"/>
        <v>0</v>
      </c>
      <c r="AW384" s="35">
        <f t="shared" si="202"/>
        <v>0</v>
      </c>
      <c r="AX384" s="35">
        <f t="shared" si="203"/>
        <v>0</v>
      </c>
      <c r="AY384" s="35">
        <f t="shared" si="204"/>
        <v>0</v>
      </c>
      <c r="AZ384" s="35">
        <f t="shared" si="205"/>
        <v>0</v>
      </c>
      <c r="BA384" s="35">
        <f t="shared" si="206"/>
        <v>0</v>
      </c>
      <c r="BB384" s="35">
        <f t="shared" si="207"/>
        <v>0</v>
      </c>
      <c r="BC384" s="35">
        <f t="shared" si="208"/>
        <v>0</v>
      </c>
    </row>
    <row r="385" spans="1:55" s="35" customFormat="1" x14ac:dyDescent="0.35">
      <c r="A385" s="36">
        <v>40772</v>
      </c>
      <c r="B385" s="35" t="s">
        <v>364</v>
      </c>
      <c r="C385" s="35" t="s">
        <v>2</v>
      </c>
      <c r="D385" s="35" t="s">
        <v>45</v>
      </c>
      <c r="E385" s="35" t="s">
        <v>125</v>
      </c>
      <c r="F385" s="139">
        <f t="shared" si="181"/>
        <v>1</v>
      </c>
      <c r="G385" s="35">
        <v>240000000</v>
      </c>
      <c r="H385" s="139">
        <f t="shared" si="182"/>
        <v>8.3802112417116064</v>
      </c>
      <c r="I385" s="35">
        <v>240000000</v>
      </c>
      <c r="J385" s="35">
        <v>0</v>
      </c>
      <c r="K385" s="36">
        <v>41943</v>
      </c>
      <c r="L385" s="35">
        <v>947000000</v>
      </c>
      <c r="M385" s="21">
        <f t="shared" si="183"/>
        <v>3.2082191780821918</v>
      </c>
      <c r="N385" s="21">
        <f t="shared" si="209"/>
        <v>0.50626403061588843</v>
      </c>
      <c r="O385" s="35">
        <v>6815.73</v>
      </c>
      <c r="P385" s="35">
        <f t="shared" si="184"/>
        <v>3.8335760926148099</v>
      </c>
      <c r="Q385" s="35">
        <v>6</v>
      </c>
      <c r="R385" s="35">
        <f t="shared" si="185"/>
        <v>0.84509804001425681</v>
      </c>
      <c r="S385" s="45">
        <v>2.85</v>
      </c>
      <c r="T385" s="45">
        <f t="shared" si="210"/>
        <v>0.45484486000851021</v>
      </c>
      <c r="U385" s="175">
        <f t="shared" si="186"/>
        <v>2.9458333333333333</v>
      </c>
      <c r="V385" s="48">
        <f t="shared" si="187"/>
        <v>0.59613873729166744</v>
      </c>
      <c r="W385" s="35">
        <v>1171.498</v>
      </c>
      <c r="X385" s="35">
        <f t="shared" si="188"/>
        <v>3.0687415514991745</v>
      </c>
      <c r="Y385" s="35">
        <v>3386.1060000000002</v>
      </c>
      <c r="Z385" s="35">
        <f t="shared" si="189"/>
        <v>3.5297005493117593</v>
      </c>
      <c r="AA385" s="37">
        <v>819</v>
      </c>
      <c r="AB385" s="37">
        <f t="shared" si="190"/>
        <v>2.9138138523837167</v>
      </c>
      <c r="AC385" s="35">
        <v>89.6</v>
      </c>
      <c r="AD385" s="35">
        <f t="shared" si="211"/>
        <v>1.9523080096621253</v>
      </c>
      <c r="AE385" s="48">
        <v>35.700000000000003</v>
      </c>
      <c r="AF385" s="48">
        <f t="shared" si="212"/>
        <v>1.5526682161121932</v>
      </c>
      <c r="AG385" s="43">
        <v>44.7100017757258</v>
      </c>
      <c r="AH385" s="43">
        <f t="shared" si="213"/>
        <v>1.6504046871166989</v>
      </c>
      <c r="AI385" s="39">
        <v>0.12</v>
      </c>
      <c r="AJ385" s="48">
        <f t="shared" si="191"/>
        <v>4.9218022670181653E-2</v>
      </c>
      <c r="AK385" s="35">
        <v>12</v>
      </c>
      <c r="AL385" s="35">
        <f t="shared" si="214"/>
        <v>1.0791812460476249</v>
      </c>
      <c r="AM385" s="35">
        <f t="shared" si="192"/>
        <v>0</v>
      </c>
      <c r="AN385" s="35">
        <f t="shared" si="193"/>
        <v>0</v>
      </c>
      <c r="AO385" s="35">
        <f t="shared" si="194"/>
        <v>0</v>
      </c>
      <c r="AP385" s="35">
        <f t="shared" si="195"/>
        <v>0</v>
      </c>
      <c r="AQ385" s="35">
        <f t="shared" si="196"/>
        <v>0</v>
      </c>
      <c r="AR385" s="35">
        <f t="shared" si="197"/>
        <v>0</v>
      </c>
      <c r="AS385" s="35">
        <f t="shared" si="198"/>
        <v>0</v>
      </c>
      <c r="AT385" s="35">
        <f t="shared" si="199"/>
        <v>0</v>
      </c>
      <c r="AU385" s="35">
        <f t="shared" si="200"/>
        <v>0</v>
      </c>
      <c r="AV385" s="35">
        <f t="shared" si="201"/>
        <v>1</v>
      </c>
      <c r="AW385" s="35">
        <f t="shared" si="202"/>
        <v>0</v>
      </c>
      <c r="AX385" s="35">
        <f t="shared" si="203"/>
        <v>0</v>
      </c>
      <c r="AY385" s="35">
        <f t="shared" si="204"/>
        <v>0</v>
      </c>
      <c r="AZ385" s="35">
        <f t="shared" si="205"/>
        <v>0</v>
      </c>
      <c r="BA385" s="35">
        <f t="shared" si="206"/>
        <v>0</v>
      </c>
      <c r="BB385" s="35">
        <f t="shared" si="207"/>
        <v>0</v>
      </c>
      <c r="BC385" s="35">
        <f t="shared" si="208"/>
        <v>0</v>
      </c>
    </row>
    <row r="386" spans="1:55" s="35" customFormat="1" ht="16.5" customHeight="1" x14ac:dyDescent="0.35">
      <c r="A386" s="36">
        <v>40781</v>
      </c>
      <c r="B386" s="35" t="s">
        <v>239</v>
      </c>
      <c r="C386" s="35" t="s">
        <v>5</v>
      </c>
      <c r="D386" s="35" t="s">
        <v>59</v>
      </c>
      <c r="E386" s="35" t="s">
        <v>125</v>
      </c>
      <c r="F386" s="139">
        <f t="shared" ref="F386:F449" si="216">IF(E386="domestic",0,1)</f>
        <v>1</v>
      </c>
      <c r="G386" s="35">
        <v>400000000</v>
      </c>
      <c r="H386" s="139">
        <f t="shared" ref="H386:H449" si="217">LOG(G386)</f>
        <v>8.6020599913279625</v>
      </c>
      <c r="I386" s="35">
        <v>400000000</v>
      </c>
      <c r="J386" s="35">
        <v>0</v>
      </c>
      <c r="K386" s="36">
        <v>42513</v>
      </c>
      <c r="L386" s="35">
        <v>180000000</v>
      </c>
      <c r="M386" s="21">
        <f t="shared" ref="M386:M449" si="218">YEARFRAC(A386,K386,3)</f>
        <v>4.7452054794520544</v>
      </c>
      <c r="N386" s="21">
        <f t="shared" si="209"/>
        <v>0.67625502322485309</v>
      </c>
      <c r="O386" s="35">
        <v>357.29</v>
      </c>
      <c r="P386" s="35">
        <f t="shared" ref="P386:P449" si="219">LOG(1+O386)</f>
        <v>2.5542346870234227</v>
      </c>
      <c r="Q386" s="35">
        <v>46</v>
      </c>
      <c r="R386" s="35">
        <f t="shared" ref="R386:R449" si="220">LOG(1+Q386)</f>
        <v>1.6720978579357175</v>
      </c>
      <c r="S386" s="45">
        <v>3.16</v>
      </c>
      <c r="T386" s="45">
        <f t="shared" si="210"/>
        <v>0.49968708261840383</v>
      </c>
      <c r="U386" s="175">
        <f t="shared" ref="U386:U449" si="221">(L386/G386)-1</f>
        <v>-0.55000000000000004</v>
      </c>
      <c r="V386" s="48">
        <f t="shared" ref="V386:V449" si="222">IF(U386=-1,LOG(0.1),LOG(1+U386))</f>
        <v>-0.34678748622465638</v>
      </c>
      <c r="W386" s="35">
        <v>1669.0315000000001</v>
      </c>
      <c r="X386" s="35">
        <f t="shared" ref="X386:X449" si="223">LOG(W386)</f>
        <v>3.2224645332922388</v>
      </c>
      <c r="Y386" s="35">
        <v>5094.7950000000001</v>
      </c>
      <c r="Z386" s="35">
        <f t="shared" ref="Z386:Z449" si="224">LOG(Y386)</f>
        <v>3.707126713924402</v>
      </c>
      <c r="AA386" s="37">
        <v>971</v>
      </c>
      <c r="AB386" s="37">
        <f t="shared" ref="AB386:AB449" si="225">IF(AA386=0,0,LOG(1+AA386))</f>
        <v>2.9876662649262746</v>
      </c>
      <c r="AC386" s="35">
        <v>81.900000000000006</v>
      </c>
      <c r="AD386" s="35">
        <f t="shared" si="211"/>
        <v>1.9132839017604184</v>
      </c>
      <c r="AE386" s="48">
        <v>35.4</v>
      </c>
      <c r="AF386" s="48">
        <f t="shared" si="212"/>
        <v>1.5490032620257879</v>
      </c>
      <c r="AG386" s="43">
        <v>46.7926176158091</v>
      </c>
      <c r="AH386" s="43">
        <f t="shared" si="213"/>
        <v>1.6701773406464193</v>
      </c>
      <c r="AI386" s="39">
        <v>1.03</v>
      </c>
      <c r="AJ386" s="48">
        <f t="shared" ref="AJ386:AJ449" si="226">LOG(1+AI386)</f>
        <v>0.30749603791321295</v>
      </c>
      <c r="AK386" s="35">
        <v>18</v>
      </c>
      <c r="AL386" s="35">
        <f t="shared" si="214"/>
        <v>1.255272505103306</v>
      </c>
      <c r="AM386" s="35">
        <f t="shared" ref="AM386:AM449" si="227">IF(V386=-1,1,0)</f>
        <v>0</v>
      </c>
      <c r="AN386" s="35">
        <f t="shared" ref="AN386:AN449" si="228">IF($C386="US",1,0)</f>
        <v>0</v>
      </c>
      <c r="AO386" s="35">
        <f t="shared" ref="AO386:AO449" si="229">IF($C386="UK",1,0)</f>
        <v>0</v>
      </c>
      <c r="AP386" s="35">
        <f t="shared" ref="AP386:AP449" si="230">IF($C386="Norway",1,0)</f>
        <v>0</v>
      </c>
      <c r="AQ386" s="35">
        <f t="shared" ref="AQ386:AQ449" si="231">IF($C386="Denmark",1,0)</f>
        <v>0</v>
      </c>
      <c r="AR386" s="35">
        <f t="shared" ref="AR386:AR449" si="232">IF($C386="Sweden",1,0)</f>
        <v>0</v>
      </c>
      <c r="AS386" s="35">
        <f t="shared" ref="AS386:AS449" si="233">IF($C386="Netherlands",1,0)</f>
        <v>1</v>
      </c>
      <c r="AT386" s="35">
        <f t="shared" ref="AT386:AT449" si="234">IF($C386="France",1,0)</f>
        <v>0</v>
      </c>
      <c r="AU386" s="35">
        <f t="shared" ref="AU386:AU449" si="235">IF($C386="Belgium",1,0)</f>
        <v>0</v>
      </c>
      <c r="AV386" s="35">
        <f t="shared" ref="AV386:AV449" si="236">IF($C386="Germany",1,0)</f>
        <v>0</v>
      </c>
      <c r="AW386" s="35">
        <f t="shared" ref="AW386:AW449" si="237">IF($C386="Italy",1,0)</f>
        <v>0</v>
      </c>
      <c r="AX386" s="35">
        <f t="shared" ref="AX386:AX449" si="238">IF($C386="Spain",1,0)</f>
        <v>0</v>
      </c>
      <c r="AY386" s="35">
        <f t="shared" ref="AY386:AY449" si="239">IF($C386="Luxembourg",1,0)</f>
        <v>0</v>
      </c>
      <c r="AZ386" s="35">
        <f t="shared" ref="AZ386:AZ449" si="240">IF($C386="Portugal",1,0)</f>
        <v>0</v>
      </c>
      <c r="BA386" s="35">
        <f t="shared" ref="BA386:BA449" si="241">IF($C386="Switzerland",1,0)</f>
        <v>0</v>
      </c>
      <c r="BB386" s="35">
        <f t="shared" ref="BB386:BB449" si="242">IF($C386="Ireland",1,0)</f>
        <v>0</v>
      </c>
      <c r="BC386" s="35">
        <f t="shared" ref="BC386:BC449" si="243">IF($C386="Finland",1,0)</f>
        <v>0</v>
      </c>
    </row>
    <row r="387" spans="1:55" s="35" customFormat="1" ht="19.5" customHeight="1" x14ac:dyDescent="0.35">
      <c r="A387" s="36">
        <v>40789</v>
      </c>
      <c r="B387" s="35" t="s">
        <v>362</v>
      </c>
      <c r="C387" s="35" t="s">
        <v>45</v>
      </c>
      <c r="D387" s="35" t="s">
        <v>45</v>
      </c>
      <c r="E387" s="35" t="s">
        <v>102</v>
      </c>
      <c r="F387" s="139">
        <f t="shared" si="216"/>
        <v>0</v>
      </c>
      <c r="G387" s="35">
        <v>5098610000</v>
      </c>
      <c r="H387" s="139">
        <f t="shared" si="217"/>
        <v>9.7074517934293993</v>
      </c>
      <c r="I387" s="35">
        <v>3793910000</v>
      </c>
      <c r="J387" s="35">
        <v>1304700000</v>
      </c>
      <c r="K387" s="36">
        <v>42086</v>
      </c>
      <c r="L387" s="35">
        <v>5742380000</v>
      </c>
      <c r="M387" s="21">
        <f t="shared" si="218"/>
        <v>3.5534246575342467</v>
      </c>
      <c r="N387" s="21">
        <f t="shared" ref="N387:N450" si="244">IF(M387=0,0,LOG(M387))</f>
        <v>0.55064711162760538</v>
      </c>
      <c r="O387" s="35">
        <v>0</v>
      </c>
      <c r="P387" s="35">
        <f t="shared" si="219"/>
        <v>0</v>
      </c>
      <c r="Q387" s="35">
        <v>114</v>
      </c>
      <c r="R387" s="35">
        <f t="shared" si="220"/>
        <v>2.0606978403536118</v>
      </c>
      <c r="S387" s="45">
        <v>2.95</v>
      </c>
      <c r="T387" s="45">
        <f t="shared" ref="T387:T450" si="245">LOG(S387)</f>
        <v>0.46982201597816303</v>
      </c>
      <c r="U387" s="175">
        <f t="shared" si="221"/>
        <v>0.12626382484637966</v>
      </c>
      <c r="V387" s="48">
        <f t="shared" si="222"/>
        <v>5.1640134968381025E-2</v>
      </c>
      <c r="W387" s="35">
        <v>1171.498</v>
      </c>
      <c r="X387" s="35">
        <f t="shared" si="223"/>
        <v>3.0687415514991745</v>
      </c>
      <c r="Y387" s="35">
        <v>3386.1060000000002</v>
      </c>
      <c r="Z387" s="35">
        <f t="shared" si="224"/>
        <v>3.5297005493117593</v>
      </c>
      <c r="AA387" s="37">
        <v>0</v>
      </c>
      <c r="AB387" s="37">
        <f t="shared" si="225"/>
        <v>0</v>
      </c>
      <c r="AC387" s="35">
        <v>91</v>
      </c>
      <c r="AD387" s="35">
        <f t="shared" ref="AD387:AD450" si="246">LOG(AC387)</f>
        <v>1.9590413923210936</v>
      </c>
      <c r="AE387" s="48">
        <v>23.9</v>
      </c>
      <c r="AF387" s="48">
        <f t="shared" ref="AF387:AF450" si="247">LOG(AE387)</f>
        <v>1.3783979009481377</v>
      </c>
      <c r="AG387" s="43">
        <v>42.048698215007001</v>
      </c>
      <c r="AH387" s="43">
        <f t="shared" ref="AH387:AH450" si="248">LOG(AG387)</f>
        <v>1.6237525550259535</v>
      </c>
      <c r="AI387" s="39">
        <v>0.53</v>
      </c>
      <c r="AJ387" s="48">
        <f t="shared" si="226"/>
        <v>0.18469143081759881</v>
      </c>
      <c r="AK387" s="35">
        <v>19</v>
      </c>
      <c r="AL387" s="35">
        <f t="shared" ref="AL387:AL450" si="249">IF(AK387=0,0,LOG(AK387))</f>
        <v>1.2787536009528289</v>
      </c>
      <c r="AM387" s="35">
        <f t="shared" si="227"/>
        <v>0</v>
      </c>
      <c r="AN387" s="35">
        <f t="shared" si="228"/>
        <v>1</v>
      </c>
      <c r="AO387" s="35">
        <f t="shared" si="229"/>
        <v>0</v>
      </c>
      <c r="AP387" s="35">
        <f t="shared" si="230"/>
        <v>0</v>
      </c>
      <c r="AQ387" s="35">
        <f t="shared" si="231"/>
        <v>0</v>
      </c>
      <c r="AR387" s="35">
        <f t="shared" si="232"/>
        <v>0</v>
      </c>
      <c r="AS387" s="35">
        <f t="shared" si="233"/>
        <v>0</v>
      </c>
      <c r="AT387" s="35">
        <f t="shared" si="234"/>
        <v>0</v>
      </c>
      <c r="AU387" s="35">
        <f t="shared" si="235"/>
        <v>0</v>
      </c>
      <c r="AV387" s="35">
        <f t="shared" si="236"/>
        <v>0</v>
      </c>
      <c r="AW387" s="35">
        <f t="shared" si="237"/>
        <v>0</v>
      </c>
      <c r="AX387" s="35">
        <f t="shared" si="238"/>
        <v>0</v>
      </c>
      <c r="AY387" s="35">
        <f t="shared" si="239"/>
        <v>0</v>
      </c>
      <c r="AZ387" s="35">
        <f t="shared" si="240"/>
        <v>0</v>
      </c>
      <c r="BA387" s="35">
        <f t="shared" si="241"/>
        <v>0</v>
      </c>
      <c r="BB387" s="35">
        <f t="shared" si="242"/>
        <v>0</v>
      </c>
      <c r="BC387" s="35">
        <f t="shared" si="243"/>
        <v>0</v>
      </c>
    </row>
    <row r="388" spans="1:55" s="35" customFormat="1" x14ac:dyDescent="0.35">
      <c r="A388" s="36">
        <v>40809</v>
      </c>
      <c r="B388" s="35" t="s">
        <v>1021</v>
      </c>
      <c r="C388" s="35" t="s">
        <v>163</v>
      </c>
      <c r="D388" s="35" t="s">
        <v>45</v>
      </c>
      <c r="E388" s="35" t="s">
        <v>64</v>
      </c>
      <c r="F388" s="139">
        <f t="shared" si="216"/>
        <v>1</v>
      </c>
      <c r="G388" s="35">
        <v>31610000</v>
      </c>
      <c r="H388" s="139">
        <f t="shared" si="217"/>
        <v>7.4998244958395794</v>
      </c>
      <c r="I388" s="35">
        <v>40920000</v>
      </c>
      <c r="J388" s="35">
        <v>-9300000</v>
      </c>
      <c r="K388" s="36">
        <v>42032</v>
      </c>
      <c r="L388" s="35">
        <v>222570000</v>
      </c>
      <c r="M388" s="21">
        <f t="shared" si="218"/>
        <v>3.3506849315068492</v>
      </c>
      <c r="N388" s="21">
        <f t="shared" si="244"/>
        <v>0.52513359257981074</v>
      </c>
      <c r="O388" s="35">
        <v>6164.6</v>
      </c>
      <c r="P388" s="35">
        <f t="shared" si="219"/>
        <v>3.7899753459779522</v>
      </c>
      <c r="Q388" s="35">
        <v>0</v>
      </c>
      <c r="R388" s="35">
        <f t="shared" si="220"/>
        <v>0</v>
      </c>
      <c r="S388" s="45">
        <v>3.18</v>
      </c>
      <c r="T388" s="45">
        <f t="shared" si="245"/>
        <v>0.50242711998443268</v>
      </c>
      <c r="U388" s="175">
        <f t="shared" si="221"/>
        <v>6.0411262258778864</v>
      </c>
      <c r="V388" s="48">
        <f t="shared" si="222"/>
        <v>0.84764212996104238</v>
      </c>
      <c r="W388" s="35">
        <v>5683.8649945290799</v>
      </c>
      <c r="X388" s="35">
        <f t="shared" si="223"/>
        <v>3.754643753838935</v>
      </c>
      <c r="Y388" s="35">
        <v>6345.4254692365948</v>
      </c>
      <c r="Z388" s="35">
        <f t="shared" si="224"/>
        <v>3.8024607474309908</v>
      </c>
      <c r="AA388" s="37">
        <v>583.83333333333303</v>
      </c>
      <c r="AB388" s="37">
        <f t="shared" si="225"/>
        <v>2.7670321178317625</v>
      </c>
      <c r="AC388" s="35">
        <v>85.6</v>
      </c>
      <c r="AD388" s="35">
        <f t="shared" si="246"/>
        <v>1.9324737646771533</v>
      </c>
      <c r="AE388" s="48">
        <v>43.3</v>
      </c>
      <c r="AF388" s="48">
        <f t="shared" si="247"/>
        <v>1.6364878963533653</v>
      </c>
      <c r="AG388" s="43">
        <v>56.2907330998475</v>
      </c>
      <c r="AH388" s="43">
        <f t="shared" si="248"/>
        <v>1.750436904711814</v>
      </c>
      <c r="AI388" s="39">
        <v>-0.05</v>
      </c>
      <c r="AJ388" s="48">
        <f t="shared" si="226"/>
        <v>-2.2276394711152253E-2</v>
      </c>
      <c r="AK388" s="35">
        <v>18</v>
      </c>
      <c r="AL388" s="35">
        <f t="shared" si="249"/>
        <v>1.255272505103306</v>
      </c>
      <c r="AM388" s="35">
        <f t="shared" si="227"/>
        <v>0</v>
      </c>
      <c r="AN388" s="35">
        <f t="shared" si="228"/>
        <v>0</v>
      </c>
      <c r="AO388" s="35">
        <f t="shared" si="229"/>
        <v>0</v>
      </c>
      <c r="AP388" s="35">
        <f t="shared" si="230"/>
        <v>0</v>
      </c>
      <c r="AQ388" s="35">
        <f t="shared" si="231"/>
        <v>0</v>
      </c>
      <c r="AR388" s="35">
        <f t="shared" si="232"/>
        <v>0</v>
      </c>
      <c r="AS388" s="35">
        <f t="shared" si="233"/>
        <v>0</v>
      </c>
      <c r="AT388" s="35">
        <f t="shared" si="234"/>
        <v>1</v>
      </c>
      <c r="AU388" s="35">
        <f t="shared" si="235"/>
        <v>0</v>
      </c>
      <c r="AV388" s="35">
        <f t="shared" si="236"/>
        <v>0</v>
      </c>
      <c r="AW388" s="35">
        <f t="shared" si="237"/>
        <v>0</v>
      </c>
      <c r="AX388" s="35">
        <f t="shared" si="238"/>
        <v>0</v>
      </c>
      <c r="AY388" s="35">
        <f t="shared" si="239"/>
        <v>0</v>
      </c>
      <c r="AZ388" s="35">
        <f t="shared" si="240"/>
        <v>0</v>
      </c>
      <c r="BA388" s="35">
        <f t="shared" si="241"/>
        <v>0</v>
      </c>
      <c r="BB388" s="35">
        <f t="shared" si="242"/>
        <v>0</v>
      </c>
      <c r="BC388" s="35">
        <f t="shared" si="243"/>
        <v>0</v>
      </c>
    </row>
    <row r="389" spans="1:55" s="35" customFormat="1" x14ac:dyDescent="0.35">
      <c r="A389" s="36">
        <v>40836</v>
      </c>
      <c r="B389" s="35" t="s">
        <v>740</v>
      </c>
      <c r="C389" s="35" t="s">
        <v>45</v>
      </c>
      <c r="D389" s="35" t="s">
        <v>577</v>
      </c>
      <c r="E389" s="35" t="s">
        <v>64</v>
      </c>
      <c r="F389" s="139">
        <f t="shared" si="216"/>
        <v>1</v>
      </c>
      <c r="G389" s="35">
        <v>151260000</v>
      </c>
      <c r="H389" s="139">
        <f t="shared" si="217"/>
        <v>8.1797240960600899</v>
      </c>
      <c r="I389" s="35">
        <f>G389</f>
        <v>151260000</v>
      </c>
      <c r="J389" s="35">
        <v>0</v>
      </c>
      <c r="K389" s="36">
        <v>41739</v>
      </c>
      <c r="L389" s="35">
        <v>341000000</v>
      </c>
      <c r="M389" s="21">
        <f t="shared" si="218"/>
        <v>2.473972602739726</v>
      </c>
      <c r="N389" s="21">
        <f t="shared" si="244"/>
        <v>0.39339488585703108</v>
      </c>
      <c r="O389" s="35">
        <v>5897.96</v>
      </c>
      <c r="P389" s="35">
        <f t="shared" si="219"/>
        <v>3.7707754512906644</v>
      </c>
      <c r="Q389" s="35">
        <v>27</v>
      </c>
      <c r="R389" s="35">
        <f t="shared" si="220"/>
        <v>1.4471580313422192</v>
      </c>
      <c r="S389" s="45">
        <v>2.3199999999999998</v>
      </c>
      <c r="T389" s="45">
        <f t="shared" si="245"/>
        <v>0.36548798489089962</v>
      </c>
      <c r="U389" s="175">
        <f t="shared" si="221"/>
        <v>1.2543964035435673</v>
      </c>
      <c r="V389" s="48">
        <f t="shared" si="222"/>
        <v>0.35303028293240818</v>
      </c>
      <c r="W389" s="35">
        <v>1861.7599999999995</v>
      </c>
      <c r="X389" s="35">
        <f t="shared" si="223"/>
        <v>3.2699236952309461</v>
      </c>
      <c r="Y389" s="35">
        <v>4993.920000000001</v>
      </c>
      <c r="Z389" s="35">
        <f t="shared" si="224"/>
        <v>3.6984415808994222</v>
      </c>
      <c r="AA389" s="37">
        <v>132</v>
      </c>
      <c r="AB389" s="37">
        <f t="shared" si="225"/>
        <v>2.1238516409670858</v>
      </c>
      <c r="AC389" s="35">
        <v>91</v>
      </c>
      <c r="AD389" s="35">
        <f t="shared" si="246"/>
        <v>1.9590413923210936</v>
      </c>
      <c r="AE389" s="48">
        <v>23.9</v>
      </c>
      <c r="AF389" s="48">
        <f t="shared" si="247"/>
        <v>1.3783979009481377</v>
      </c>
      <c r="AG389" s="43">
        <v>42.048698215007001</v>
      </c>
      <c r="AH389" s="43">
        <f t="shared" si="248"/>
        <v>1.6237525550259535</v>
      </c>
      <c r="AI389" s="39">
        <v>0.14000000000000001</v>
      </c>
      <c r="AJ389" s="48">
        <f t="shared" si="226"/>
        <v>5.6904851336472641E-2</v>
      </c>
      <c r="AK389" s="35">
        <v>38</v>
      </c>
      <c r="AL389" s="35">
        <f t="shared" si="249"/>
        <v>1.5797835966168101</v>
      </c>
      <c r="AM389" s="35">
        <f t="shared" si="227"/>
        <v>0</v>
      </c>
      <c r="AN389" s="35">
        <f t="shared" si="228"/>
        <v>1</v>
      </c>
      <c r="AO389" s="35">
        <f t="shared" si="229"/>
        <v>0</v>
      </c>
      <c r="AP389" s="35">
        <f t="shared" si="230"/>
        <v>0</v>
      </c>
      <c r="AQ389" s="35">
        <f t="shared" si="231"/>
        <v>0</v>
      </c>
      <c r="AR389" s="35">
        <f t="shared" si="232"/>
        <v>0</v>
      </c>
      <c r="AS389" s="35">
        <f t="shared" si="233"/>
        <v>0</v>
      </c>
      <c r="AT389" s="35">
        <f t="shared" si="234"/>
        <v>0</v>
      </c>
      <c r="AU389" s="35">
        <f t="shared" si="235"/>
        <v>0</v>
      </c>
      <c r="AV389" s="35">
        <f t="shared" si="236"/>
        <v>0</v>
      </c>
      <c r="AW389" s="35">
        <f t="shared" si="237"/>
        <v>0</v>
      </c>
      <c r="AX389" s="35">
        <f t="shared" si="238"/>
        <v>0</v>
      </c>
      <c r="AY389" s="35">
        <f t="shared" si="239"/>
        <v>0</v>
      </c>
      <c r="AZ389" s="35">
        <f t="shared" si="240"/>
        <v>0</v>
      </c>
      <c r="BA389" s="35">
        <f t="shared" si="241"/>
        <v>0</v>
      </c>
      <c r="BB389" s="35">
        <f t="shared" si="242"/>
        <v>0</v>
      </c>
      <c r="BC389" s="35">
        <f t="shared" si="243"/>
        <v>0</v>
      </c>
    </row>
    <row r="390" spans="1:55" s="35" customFormat="1" x14ac:dyDescent="0.35">
      <c r="A390" s="36">
        <v>40847</v>
      </c>
      <c r="B390" s="35" t="s">
        <v>1110</v>
      </c>
      <c r="C390" s="35" t="s">
        <v>59</v>
      </c>
      <c r="D390" s="35" t="s">
        <v>577</v>
      </c>
      <c r="E390" s="35" t="s">
        <v>47</v>
      </c>
      <c r="F390" s="139">
        <f t="shared" si="216"/>
        <v>0</v>
      </c>
      <c r="G390" s="35">
        <v>459000000</v>
      </c>
      <c r="H390" s="139">
        <f t="shared" si="217"/>
        <v>8.6618126855372619</v>
      </c>
      <c r="I390" s="35">
        <f>G390</f>
        <v>459000000</v>
      </c>
      <c r="J390" s="35">
        <v>0</v>
      </c>
      <c r="K390" s="36">
        <v>42201</v>
      </c>
      <c r="L390" s="35">
        <v>682000000</v>
      </c>
      <c r="M390" s="21">
        <f t="shared" si="218"/>
        <v>3.7095890410958905</v>
      </c>
      <c r="N390" s="21">
        <f t="shared" si="244"/>
        <v>0.56932579989265086</v>
      </c>
      <c r="O390" s="35">
        <v>0</v>
      </c>
      <c r="P390" s="35">
        <f t="shared" si="219"/>
        <v>0</v>
      </c>
      <c r="Q390" s="35">
        <v>13</v>
      </c>
      <c r="R390" s="35">
        <f t="shared" si="220"/>
        <v>1.146128035678238</v>
      </c>
      <c r="S390" s="45">
        <v>3.29</v>
      </c>
      <c r="T390" s="45">
        <f t="shared" si="245"/>
        <v>0.51719589794997434</v>
      </c>
      <c r="U390" s="175">
        <f t="shared" si="221"/>
        <v>0.48583877995642699</v>
      </c>
      <c r="V390" s="48">
        <f t="shared" si="222"/>
        <v>0.17197168911921767</v>
      </c>
      <c r="W390" s="35">
        <v>1669.0315000000001</v>
      </c>
      <c r="X390" s="35">
        <f t="shared" si="223"/>
        <v>3.2224645332922388</v>
      </c>
      <c r="Y390" s="35">
        <v>5094.7950000000001</v>
      </c>
      <c r="Z390" s="35">
        <f t="shared" si="224"/>
        <v>3.707126713924402</v>
      </c>
      <c r="AA390" s="37">
        <v>0</v>
      </c>
      <c r="AB390" s="37">
        <f t="shared" si="225"/>
        <v>0</v>
      </c>
      <c r="AC390" s="35">
        <v>94.6</v>
      </c>
      <c r="AD390" s="35">
        <f t="shared" si="246"/>
        <v>1.9758911364017928</v>
      </c>
      <c r="AE390" s="48">
        <v>33.200000000000003</v>
      </c>
      <c r="AF390" s="48">
        <f t="shared" si="247"/>
        <v>1.5211380837040362</v>
      </c>
      <c r="AG390" s="43">
        <v>45.921427555082097</v>
      </c>
      <c r="AH390" s="43">
        <f t="shared" si="248"/>
        <v>1.6620153804713207</v>
      </c>
      <c r="AI390" s="39">
        <v>0.28000000000000003</v>
      </c>
      <c r="AJ390" s="48">
        <f t="shared" si="226"/>
        <v>0.10720996964786837</v>
      </c>
      <c r="AK390" s="35">
        <v>36</v>
      </c>
      <c r="AL390" s="35">
        <f t="shared" si="249"/>
        <v>1.5563025007672873</v>
      </c>
      <c r="AM390" s="35">
        <f t="shared" si="227"/>
        <v>0</v>
      </c>
      <c r="AN390" s="35">
        <f t="shared" si="228"/>
        <v>0</v>
      </c>
      <c r="AO390" s="35">
        <f t="shared" si="229"/>
        <v>1</v>
      </c>
      <c r="AP390" s="35">
        <f t="shared" si="230"/>
        <v>0</v>
      </c>
      <c r="AQ390" s="35">
        <f t="shared" si="231"/>
        <v>0</v>
      </c>
      <c r="AR390" s="35">
        <f t="shared" si="232"/>
        <v>0</v>
      </c>
      <c r="AS390" s="35">
        <f t="shared" si="233"/>
        <v>0</v>
      </c>
      <c r="AT390" s="35">
        <f t="shared" si="234"/>
        <v>0</v>
      </c>
      <c r="AU390" s="35">
        <f t="shared" si="235"/>
        <v>0</v>
      </c>
      <c r="AV390" s="35">
        <f t="shared" si="236"/>
        <v>0</v>
      </c>
      <c r="AW390" s="35">
        <f t="shared" si="237"/>
        <v>0</v>
      </c>
      <c r="AX390" s="35">
        <f t="shared" si="238"/>
        <v>0</v>
      </c>
      <c r="AY390" s="35">
        <f t="shared" si="239"/>
        <v>0</v>
      </c>
      <c r="AZ390" s="35">
        <f t="shared" si="240"/>
        <v>0</v>
      </c>
      <c r="BA390" s="35">
        <f t="shared" si="241"/>
        <v>0</v>
      </c>
      <c r="BB390" s="35">
        <f t="shared" si="242"/>
        <v>0</v>
      </c>
      <c r="BC390" s="35">
        <f t="shared" si="243"/>
        <v>0</v>
      </c>
    </row>
    <row r="391" spans="1:55" s="35" customFormat="1" x14ac:dyDescent="0.35">
      <c r="A391" s="36">
        <v>40886</v>
      </c>
      <c r="B391" s="139" t="s">
        <v>139</v>
      </c>
      <c r="C391" s="139" t="s">
        <v>45</v>
      </c>
      <c r="D391" s="139" t="s">
        <v>45</v>
      </c>
      <c r="E391" s="139" t="s">
        <v>47</v>
      </c>
      <c r="F391" s="139">
        <f t="shared" si="216"/>
        <v>0</v>
      </c>
      <c r="G391" s="139">
        <v>942940000</v>
      </c>
      <c r="H391" s="139">
        <f t="shared" si="217"/>
        <v>8.9744840591234034</v>
      </c>
      <c r="I391" s="139">
        <v>1225750000</v>
      </c>
      <c r="J391" s="139">
        <v>-282810000</v>
      </c>
      <c r="K391" s="18">
        <v>42150</v>
      </c>
      <c r="L391" s="139">
        <v>2400000000</v>
      </c>
      <c r="M391" s="21">
        <f t="shared" si="218"/>
        <v>3.463013698630137</v>
      </c>
      <c r="N391" s="21">
        <f t="shared" si="244"/>
        <v>0.53945420948989153</v>
      </c>
      <c r="O391" s="35">
        <v>0</v>
      </c>
      <c r="P391" s="35">
        <f t="shared" si="219"/>
        <v>0</v>
      </c>
      <c r="Q391" s="35">
        <v>15</v>
      </c>
      <c r="R391" s="35">
        <f t="shared" si="220"/>
        <v>1.2041199826559248</v>
      </c>
      <c r="S391" s="45">
        <v>2.95</v>
      </c>
      <c r="T391" s="45">
        <f t="shared" si="245"/>
        <v>0.46982201597816303</v>
      </c>
      <c r="U391" s="175">
        <f t="shared" si="221"/>
        <v>1.5452308736504974</v>
      </c>
      <c r="V391" s="48">
        <f t="shared" si="222"/>
        <v>0.40572718258820278</v>
      </c>
      <c r="W391" s="35">
        <v>1392.6493823613905</v>
      </c>
      <c r="X391" s="35">
        <f t="shared" si="223"/>
        <v>3.1438417908875378</v>
      </c>
      <c r="Y391" s="14">
        <v>3625.2154553289279</v>
      </c>
      <c r="Z391" s="35">
        <f t="shared" si="224"/>
        <v>3.5593338228462725</v>
      </c>
      <c r="AA391" s="37">
        <v>0</v>
      </c>
      <c r="AB391" s="37">
        <f t="shared" si="225"/>
        <v>0</v>
      </c>
      <c r="AC391" s="35">
        <v>91</v>
      </c>
      <c r="AD391" s="35">
        <f t="shared" si="246"/>
        <v>1.9590413923210936</v>
      </c>
      <c r="AE391" s="48">
        <v>23.9</v>
      </c>
      <c r="AF391" s="48">
        <f t="shared" si="247"/>
        <v>1.3783979009481377</v>
      </c>
      <c r="AG391" s="43">
        <v>42.048698215007001</v>
      </c>
      <c r="AH391" s="43">
        <f t="shared" si="248"/>
        <v>1.6237525550259535</v>
      </c>
      <c r="AI391" s="39">
        <v>0.25</v>
      </c>
      <c r="AJ391" s="48">
        <f t="shared" si="226"/>
        <v>9.691001300805642E-2</v>
      </c>
      <c r="AK391" s="35">
        <v>35</v>
      </c>
      <c r="AL391" s="35">
        <f t="shared" si="249"/>
        <v>1.5440680443502757</v>
      </c>
      <c r="AM391" s="35">
        <f t="shared" si="227"/>
        <v>0</v>
      </c>
      <c r="AN391" s="35">
        <f t="shared" si="228"/>
        <v>1</v>
      </c>
      <c r="AO391" s="35">
        <f t="shared" si="229"/>
        <v>0</v>
      </c>
      <c r="AP391" s="35">
        <f t="shared" si="230"/>
        <v>0</v>
      </c>
      <c r="AQ391" s="35">
        <f t="shared" si="231"/>
        <v>0</v>
      </c>
      <c r="AR391" s="35">
        <f t="shared" si="232"/>
        <v>0</v>
      </c>
      <c r="AS391" s="35">
        <f t="shared" si="233"/>
        <v>0</v>
      </c>
      <c r="AT391" s="35">
        <f t="shared" si="234"/>
        <v>0</v>
      </c>
      <c r="AU391" s="35">
        <f t="shared" si="235"/>
        <v>0</v>
      </c>
      <c r="AV391" s="35">
        <f t="shared" si="236"/>
        <v>0</v>
      </c>
      <c r="AW391" s="35">
        <f t="shared" si="237"/>
        <v>0</v>
      </c>
      <c r="AX391" s="35">
        <f t="shared" si="238"/>
        <v>0</v>
      </c>
      <c r="AY391" s="35">
        <f t="shared" si="239"/>
        <v>0</v>
      </c>
      <c r="AZ391" s="35">
        <f t="shared" si="240"/>
        <v>0</v>
      </c>
      <c r="BA391" s="35">
        <f t="shared" si="241"/>
        <v>0</v>
      </c>
      <c r="BB391" s="35">
        <f t="shared" si="242"/>
        <v>0</v>
      </c>
      <c r="BC391" s="35">
        <f t="shared" si="243"/>
        <v>0</v>
      </c>
    </row>
    <row r="392" spans="1:55" s="35" customFormat="1" x14ac:dyDescent="0.35">
      <c r="A392" s="36">
        <v>40908</v>
      </c>
      <c r="B392" s="35" t="s">
        <v>1086</v>
      </c>
      <c r="C392" s="35" t="s">
        <v>163</v>
      </c>
      <c r="D392" s="35" t="s">
        <v>163</v>
      </c>
      <c r="E392" s="35" t="s">
        <v>47</v>
      </c>
      <c r="F392" s="139">
        <f t="shared" si="216"/>
        <v>0</v>
      </c>
      <c r="G392" s="35">
        <v>240000000</v>
      </c>
      <c r="H392" s="139">
        <f t="shared" si="217"/>
        <v>8.3802112417116064</v>
      </c>
      <c r="I392" s="35">
        <f>G392</f>
        <v>240000000</v>
      </c>
      <c r="J392" s="35">
        <v>0</v>
      </c>
      <c r="K392" s="36">
        <v>42544</v>
      </c>
      <c r="L392" s="35">
        <v>566280000</v>
      </c>
      <c r="M392" s="21">
        <f t="shared" si="218"/>
        <v>4.4821917808219176</v>
      </c>
      <c r="N392" s="21">
        <f t="shared" si="244"/>
        <v>0.65149043487882952</v>
      </c>
      <c r="O392" s="35">
        <v>0</v>
      </c>
      <c r="P392" s="35">
        <f t="shared" si="219"/>
        <v>0</v>
      </c>
      <c r="Q392" s="35">
        <v>8</v>
      </c>
      <c r="R392" s="35">
        <f t="shared" si="220"/>
        <v>0.95424250943932487</v>
      </c>
      <c r="S392" s="45">
        <v>3.18</v>
      </c>
      <c r="T392" s="45">
        <f t="shared" si="245"/>
        <v>0.50242711998443268</v>
      </c>
      <c r="U392" s="175">
        <f t="shared" si="221"/>
        <v>1.3595000000000002</v>
      </c>
      <c r="V392" s="48">
        <f t="shared" si="222"/>
        <v>0.37281998167896813</v>
      </c>
      <c r="W392" s="35">
        <v>1213.5329999999999</v>
      </c>
      <c r="X392" s="35">
        <f t="shared" si="223"/>
        <v>3.0840515907405019</v>
      </c>
      <c r="Y392" s="35">
        <v>8035.9219999999996</v>
      </c>
      <c r="Z392" s="35">
        <f t="shared" si="224"/>
        <v>3.9050357126538633</v>
      </c>
      <c r="AA392" s="37">
        <v>0</v>
      </c>
      <c r="AB392" s="37">
        <f t="shared" si="225"/>
        <v>0</v>
      </c>
      <c r="AC392" s="35">
        <v>85.6</v>
      </c>
      <c r="AD392" s="35">
        <f t="shared" si="246"/>
        <v>1.9324737646771533</v>
      </c>
      <c r="AE392" s="48">
        <v>43.3</v>
      </c>
      <c r="AF392" s="48">
        <f t="shared" si="247"/>
        <v>1.6364878963533653</v>
      </c>
      <c r="AG392" s="43">
        <v>56.2907330998475</v>
      </c>
      <c r="AH392" s="43">
        <f t="shared" si="248"/>
        <v>1.750436904711814</v>
      </c>
      <c r="AI392" s="39">
        <v>0.31</v>
      </c>
      <c r="AJ392" s="48">
        <f t="shared" si="226"/>
        <v>0.11727129565576427</v>
      </c>
      <c r="AK392" s="35">
        <v>47</v>
      </c>
      <c r="AL392" s="35">
        <f t="shared" si="249"/>
        <v>1.6720978579357175</v>
      </c>
      <c r="AM392" s="35">
        <f t="shared" si="227"/>
        <v>0</v>
      </c>
      <c r="AN392" s="35">
        <f t="shared" si="228"/>
        <v>0</v>
      </c>
      <c r="AO392" s="35">
        <f t="shared" si="229"/>
        <v>0</v>
      </c>
      <c r="AP392" s="35">
        <f t="shared" si="230"/>
        <v>0</v>
      </c>
      <c r="AQ392" s="35">
        <f t="shared" si="231"/>
        <v>0</v>
      </c>
      <c r="AR392" s="35">
        <f t="shared" si="232"/>
        <v>0</v>
      </c>
      <c r="AS392" s="35">
        <f t="shared" si="233"/>
        <v>0</v>
      </c>
      <c r="AT392" s="35">
        <f t="shared" si="234"/>
        <v>1</v>
      </c>
      <c r="AU392" s="35">
        <f t="shared" si="235"/>
        <v>0</v>
      </c>
      <c r="AV392" s="35">
        <f t="shared" si="236"/>
        <v>0</v>
      </c>
      <c r="AW392" s="35">
        <f t="shared" si="237"/>
        <v>0</v>
      </c>
      <c r="AX392" s="35">
        <f t="shared" si="238"/>
        <v>0</v>
      </c>
      <c r="AY392" s="35">
        <f t="shared" si="239"/>
        <v>0</v>
      </c>
      <c r="AZ392" s="35">
        <f t="shared" si="240"/>
        <v>0</v>
      </c>
      <c r="BA392" s="35">
        <f t="shared" si="241"/>
        <v>0</v>
      </c>
      <c r="BB392" s="35">
        <f t="shared" si="242"/>
        <v>0</v>
      </c>
      <c r="BC392" s="35">
        <f t="shared" si="243"/>
        <v>0</v>
      </c>
    </row>
    <row r="393" spans="1:55" s="35" customFormat="1" x14ac:dyDescent="0.35">
      <c r="A393" s="36">
        <v>40928</v>
      </c>
      <c r="B393" s="35" t="s">
        <v>366</v>
      </c>
      <c r="C393" s="35" t="s">
        <v>45</v>
      </c>
      <c r="D393" s="35" t="s">
        <v>45</v>
      </c>
      <c r="E393" s="35" t="s">
        <v>102</v>
      </c>
      <c r="F393" s="139">
        <f t="shared" si="216"/>
        <v>0</v>
      </c>
      <c r="G393" s="35">
        <v>1120000000</v>
      </c>
      <c r="H393" s="139">
        <f t="shared" si="217"/>
        <v>9.0492180226701819</v>
      </c>
      <c r="I393" s="35">
        <v>1120000000</v>
      </c>
      <c r="J393" s="35">
        <v>0</v>
      </c>
      <c r="K393" s="36">
        <v>42071</v>
      </c>
      <c r="L393" s="35">
        <v>2500000000</v>
      </c>
      <c r="M393" s="21">
        <f t="shared" si="218"/>
        <v>3.1315068493150684</v>
      </c>
      <c r="N393" s="21">
        <f t="shared" si="244"/>
        <v>0.49575336593880703</v>
      </c>
      <c r="O393" s="35">
        <v>0</v>
      </c>
      <c r="P393" s="35">
        <f t="shared" si="219"/>
        <v>0</v>
      </c>
      <c r="Q393" s="35">
        <v>14</v>
      </c>
      <c r="R393" s="35">
        <f t="shared" si="220"/>
        <v>1.1760912590556813</v>
      </c>
      <c r="S393" s="45">
        <v>2.95</v>
      </c>
      <c r="T393" s="45">
        <f t="shared" si="245"/>
        <v>0.46982201597816303</v>
      </c>
      <c r="U393" s="175">
        <f t="shared" si="221"/>
        <v>1.2321428571428572</v>
      </c>
      <c r="V393" s="48">
        <f t="shared" si="222"/>
        <v>0.348721986001856</v>
      </c>
      <c r="W393" s="35">
        <v>1171.498</v>
      </c>
      <c r="X393" s="35">
        <f t="shared" si="223"/>
        <v>3.0687415514991745</v>
      </c>
      <c r="Y393" s="35">
        <v>3386.1060000000002</v>
      </c>
      <c r="Z393" s="35">
        <f t="shared" si="224"/>
        <v>3.5297005493117593</v>
      </c>
      <c r="AA393" s="37">
        <v>0</v>
      </c>
      <c r="AB393" s="37">
        <f t="shared" si="225"/>
        <v>0</v>
      </c>
      <c r="AC393" s="35">
        <v>91.1</v>
      </c>
      <c r="AD393" s="35">
        <f t="shared" si="246"/>
        <v>1.9595183769729982</v>
      </c>
      <c r="AE393" s="48">
        <v>24.1</v>
      </c>
      <c r="AF393" s="48">
        <f t="shared" si="247"/>
        <v>1.3820170425748683</v>
      </c>
      <c r="AG393" s="43">
        <v>40.229046020662899</v>
      </c>
      <c r="AH393" s="43">
        <f t="shared" si="248"/>
        <v>1.6045397339663818</v>
      </c>
      <c r="AI393" s="39">
        <v>-0.19</v>
      </c>
      <c r="AJ393" s="48">
        <f t="shared" si="226"/>
        <v>-9.1514981121350217E-2</v>
      </c>
      <c r="AK393" s="35">
        <v>38</v>
      </c>
      <c r="AL393" s="35">
        <f t="shared" si="249"/>
        <v>1.5797835966168101</v>
      </c>
      <c r="AM393" s="35">
        <f t="shared" si="227"/>
        <v>0</v>
      </c>
      <c r="AN393" s="35">
        <f t="shared" si="228"/>
        <v>1</v>
      </c>
      <c r="AO393" s="35">
        <f t="shared" si="229"/>
        <v>0</v>
      </c>
      <c r="AP393" s="35">
        <f t="shared" si="230"/>
        <v>0</v>
      </c>
      <c r="AQ393" s="35">
        <f t="shared" si="231"/>
        <v>0</v>
      </c>
      <c r="AR393" s="35">
        <f t="shared" si="232"/>
        <v>0</v>
      </c>
      <c r="AS393" s="35">
        <f t="shared" si="233"/>
        <v>0</v>
      </c>
      <c r="AT393" s="35">
        <f t="shared" si="234"/>
        <v>0</v>
      </c>
      <c r="AU393" s="35">
        <f t="shared" si="235"/>
        <v>0</v>
      </c>
      <c r="AV393" s="35">
        <f t="shared" si="236"/>
        <v>0</v>
      </c>
      <c r="AW393" s="35">
        <f t="shared" si="237"/>
        <v>0</v>
      </c>
      <c r="AX393" s="35">
        <f t="shared" si="238"/>
        <v>0</v>
      </c>
      <c r="AY393" s="35">
        <f t="shared" si="239"/>
        <v>0</v>
      </c>
      <c r="AZ393" s="35">
        <f t="shared" si="240"/>
        <v>0</v>
      </c>
      <c r="BA393" s="35">
        <f t="shared" si="241"/>
        <v>0</v>
      </c>
      <c r="BB393" s="35">
        <f t="shared" si="242"/>
        <v>0</v>
      </c>
      <c r="BC393" s="35">
        <f t="shared" si="243"/>
        <v>0</v>
      </c>
    </row>
    <row r="394" spans="1:55" s="35" customFormat="1" x14ac:dyDescent="0.35">
      <c r="A394" s="36">
        <v>40940</v>
      </c>
      <c r="B394" s="35" t="s">
        <v>738</v>
      </c>
      <c r="C394" s="35" t="s">
        <v>45</v>
      </c>
      <c r="D394" s="35" t="s">
        <v>577</v>
      </c>
      <c r="E394" s="35" t="s">
        <v>64</v>
      </c>
      <c r="F394" s="139">
        <f t="shared" si="216"/>
        <v>1</v>
      </c>
      <c r="G394" s="35">
        <v>1500000000</v>
      </c>
      <c r="H394" s="139">
        <f t="shared" si="217"/>
        <v>9.1760912590556813</v>
      </c>
      <c r="I394" s="35">
        <f>G394</f>
        <v>1500000000</v>
      </c>
      <c r="J394" s="35">
        <v>0</v>
      </c>
      <c r="K394" s="36">
        <v>42572</v>
      </c>
      <c r="L394" s="35">
        <v>900000000</v>
      </c>
      <c r="M394" s="21">
        <f t="shared" si="218"/>
        <v>4.4712328767123291</v>
      </c>
      <c r="N394" s="21">
        <f t="shared" si="244"/>
        <v>0.65042728996136767</v>
      </c>
      <c r="O394" s="35">
        <v>5897.96</v>
      </c>
      <c r="P394" s="35">
        <f t="shared" si="219"/>
        <v>3.7707754512906644</v>
      </c>
      <c r="Q394" s="35">
        <v>22</v>
      </c>
      <c r="R394" s="35">
        <f t="shared" si="220"/>
        <v>1.3617278360175928</v>
      </c>
      <c r="S394" s="45">
        <v>2.3199999999999998</v>
      </c>
      <c r="T394" s="45">
        <f t="shared" si="245"/>
        <v>0.36548798489089962</v>
      </c>
      <c r="U394" s="175">
        <f t="shared" si="221"/>
        <v>-0.4</v>
      </c>
      <c r="V394" s="48">
        <f t="shared" si="222"/>
        <v>-0.22184874961635639</v>
      </c>
      <c r="W394" s="35">
        <v>1861.7599999999995</v>
      </c>
      <c r="X394" s="35">
        <f t="shared" si="223"/>
        <v>3.2699236952309461</v>
      </c>
      <c r="Y394" s="35">
        <v>4993.920000000001</v>
      </c>
      <c r="Z394" s="35">
        <f t="shared" si="224"/>
        <v>3.6984415808994222</v>
      </c>
      <c r="AA394" s="37">
        <v>132</v>
      </c>
      <c r="AB394" s="37">
        <f t="shared" si="225"/>
        <v>2.1238516409670858</v>
      </c>
      <c r="AC394" s="35">
        <v>91.1</v>
      </c>
      <c r="AD394" s="35">
        <f t="shared" si="246"/>
        <v>1.9595183769729982</v>
      </c>
      <c r="AE394" s="48">
        <v>24.1</v>
      </c>
      <c r="AF394" s="48">
        <f t="shared" si="247"/>
        <v>1.3820170425748683</v>
      </c>
      <c r="AG394" s="43">
        <v>40.229046020662899</v>
      </c>
      <c r="AH394" s="43">
        <f t="shared" si="248"/>
        <v>1.6045397339663818</v>
      </c>
      <c r="AI394" s="39">
        <v>0.62</v>
      </c>
      <c r="AJ394" s="48">
        <f t="shared" si="226"/>
        <v>0.20951501454263097</v>
      </c>
      <c r="AK394" s="35">
        <v>40</v>
      </c>
      <c r="AL394" s="35">
        <f t="shared" si="249"/>
        <v>1.6020599913279623</v>
      </c>
      <c r="AM394" s="35">
        <f t="shared" si="227"/>
        <v>0</v>
      </c>
      <c r="AN394" s="35">
        <f t="shared" si="228"/>
        <v>1</v>
      </c>
      <c r="AO394" s="35">
        <f t="shared" si="229"/>
        <v>0</v>
      </c>
      <c r="AP394" s="35">
        <f t="shared" si="230"/>
        <v>0</v>
      </c>
      <c r="AQ394" s="35">
        <f t="shared" si="231"/>
        <v>0</v>
      </c>
      <c r="AR394" s="35">
        <f t="shared" si="232"/>
        <v>0</v>
      </c>
      <c r="AS394" s="35">
        <f t="shared" si="233"/>
        <v>0</v>
      </c>
      <c r="AT394" s="35">
        <f t="shared" si="234"/>
        <v>0</v>
      </c>
      <c r="AU394" s="35">
        <f t="shared" si="235"/>
        <v>0</v>
      </c>
      <c r="AV394" s="35">
        <f t="shared" si="236"/>
        <v>0</v>
      </c>
      <c r="AW394" s="35">
        <f t="shared" si="237"/>
        <v>0</v>
      </c>
      <c r="AX394" s="35">
        <f t="shared" si="238"/>
        <v>0</v>
      </c>
      <c r="AY394" s="35">
        <f t="shared" si="239"/>
        <v>0</v>
      </c>
      <c r="AZ394" s="35">
        <f t="shared" si="240"/>
        <v>0</v>
      </c>
      <c r="BA394" s="35">
        <f t="shared" si="241"/>
        <v>0</v>
      </c>
      <c r="BB394" s="35">
        <f t="shared" si="242"/>
        <v>0</v>
      </c>
      <c r="BC394" s="35">
        <f t="shared" si="243"/>
        <v>0</v>
      </c>
    </row>
    <row r="395" spans="1:55" s="35" customFormat="1" x14ac:dyDescent="0.35">
      <c r="A395" s="36">
        <v>40955</v>
      </c>
      <c r="B395" s="35" t="s">
        <v>381</v>
      </c>
      <c r="C395" s="35" t="s">
        <v>6</v>
      </c>
      <c r="D395" s="35" t="s">
        <v>45</v>
      </c>
      <c r="E395" s="35" t="s">
        <v>125</v>
      </c>
      <c r="F395" s="139">
        <f t="shared" si="216"/>
        <v>1</v>
      </c>
      <c r="G395" s="35">
        <v>1100000000</v>
      </c>
      <c r="H395" s="139">
        <f t="shared" si="217"/>
        <v>9.0413926851582254</v>
      </c>
      <c r="I395" s="35">
        <v>1100000000</v>
      </c>
      <c r="J395" s="35">
        <v>0</v>
      </c>
      <c r="K395" s="36">
        <v>41381</v>
      </c>
      <c r="L395" s="35">
        <v>1736677288</v>
      </c>
      <c r="M395" s="21">
        <f t="shared" si="218"/>
        <v>1.167123287671233</v>
      </c>
      <c r="N395" s="21">
        <f t="shared" si="244"/>
        <v>6.711673464624425E-2</v>
      </c>
      <c r="O395" s="35">
        <v>6216.38</v>
      </c>
      <c r="P395" s="35">
        <f t="shared" si="219"/>
        <v>3.7936074118204202</v>
      </c>
      <c r="Q395" s="35">
        <v>9</v>
      </c>
      <c r="R395" s="35">
        <f t="shared" si="220"/>
        <v>1</v>
      </c>
      <c r="S395" s="45">
        <v>2.92</v>
      </c>
      <c r="T395" s="45">
        <f t="shared" si="245"/>
        <v>0.46538285144841829</v>
      </c>
      <c r="U395" s="175">
        <f t="shared" si="221"/>
        <v>0.57879753454545457</v>
      </c>
      <c r="V395" s="48">
        <f t="shared" si="222"/>
        <v>0.19832643952855722</v>
      </c>
      <c r="W395" s="35">
        <v>1518.5350000000001</v>
      </c>
      <c r="X395" s="35">
        <f t="shared" si="223"/>
        <v>3.1814248062191788</v>
      </c>
      <c r="Y395" s="35">
        <v>5363.16</v>
      </c>
      <c r="Z395" s="35">
        <f t="shared" si="224"/>
        <v>3.7294207535322617</v>
      </c>
      <c r="AA395" s="37">
        <v>544.83333333333303</v>
      </c>
      <c r="AB395" s="37">
        <f t="shared" si="225"/>
        <v>2.7370600539441581</v>
      </c>
      <c r="AC395" s="35">
        <v>92.3</v>
      </c>
      <c r="AD395" s="35">
        <f t="shared" si="246"/>
        <v>1.965201701025912</v>
      </c>
      <c r="AE395" s="48">
        <v>44.2</v>
      </c>
      <c r="AF395" s="48">
        <f t="shared" si="247"/>
        <v>1.6454222693490919</v>
      </c>
      <c r="AG395" s="43">
        <v>55.865585583074697</v>
      </c>
      <c r="AH395" s="43">
        <f t="shared" si="248"/>
        <v>1.7471443554007058</v>
      </c>
      <c r="AI395" s="39">
        <v>0.18</v>
      </c>
      <c r="AJ395" s="48">
        <f t="shared" si="226"/>
        <v>7.1882007306125359E-2</v>
      </c>
      <c r="AK395" s="35">
        <v>17</v>
      </c>
      <c r="AL395" s="35">
        <f t="shared" si="249"/>
        <v>1.2304489213782739</v>
      </c>
      <c r="AM395" s="35">
        <f t="shared" si="227"/>
        <v>0</v>
      </c>
      <c r="AN395" s="35">
        <f t="shared" si="228"/>
        <v>0</v>
      </c>
      <c r="AO395" s="35">
        <f t="shared" si="229"/>
        <v>0</v>
      </c>
      <c r="AP395" s="35">
        <f t="shared" si="230"/>
        <v>0</v>
      </c>
      <c r="AQ395" s="35">
        <f t="shared" si="231"/>
        <v>0</v>
      </c>
      <c r="AR395" s="35">
        <f t="shared" si="232"/>
        <v>0</v>
      </c>
      <c r="AS395" s="35">
        <f t="shared" si="233"/>
        <v>0</v>
      </c>
      <c r="AT395" s="35">
        <f t="shared" si="234"/>
        <v>0</v>
      </c>
      <c r="AU395" s="35">
        <f t="shared" si="235"/>
        <v>1</v>
      </c>
      <c r="AV395" s="35">
        <f t="shared" si="236"/>
        <v>0</v>
      </c>
      <c r="AW395" s="35">
        <f t="shared" si="237"/>
        <v>0</v>
      </c>
      <c r="AX395" s="35">
        <f t="shared" si="238"/>
        <v>0</v>
      </c>
      <c r="AY395" s="35">
        <f t="shared" si="239"/>
        <v>0</v>
      </c>
      <c r="AZ395" s="35">
        <f t="shared" si="240"/>
        <v>0</v>
      </c>
      <c r="BA395" s="35">
        <f t="shared" si="241"/>
        <v>0</v>
      </c>
      <c r="BB395" s="35">
        <f t="shared" si="242"/>
        <v>0</v>
      </c>
      <c r="BC395" s="35">
        <f t="shared" si="243"/>
        <v>0</v>
      </c>
    </row>
    <row r="396" spans="1:55" s="35" customFormat="1" x14ac:dyDescent="0.35">
      <c r="A396" s="36">
        <v>40974</v>
      </c>
      <c r="B396" s="35" t="s">
        <v>641</v>
      </c>
      <c r="C396" s="35" t="s">
        <v>59</v>
      </c>
      <c r="D396" s="35" t="s">
        <v>602</v>
      </c>
      <c r="E396" s="35" t="s">
        <v>64</v>
      </c>
      <c r="F396" s="139">
        <f t="shared" si="216"/>
        <v>1</v>
      </c>
      <c r="G396" s="35">
        <v>160000000</v>
      </c>
      <c r="H396" s="139">
        <f t="shared" si="217"/>
        <v>8.204119982655925</v>
      </c>
      <c r="I396" s="35">
        <f>G396</f>
        <v>160000000</v>
      </c>
      <c r="J396" s="35">
        <v>0</v>
      </c>
      <c r="K396" s="36">
        <v>43027</v>
      </c>
      <c r="L396" s="35">
        <v>655000000</v>
      </c>
      <c r="M396" s="21">
        <f t="shared" si="218"/>
        <v>5.624657534246575</v>
      </c>
      <c r="N396" s="21">
        <f t="shared" si="244"/>
        <v>0.75009608491411717</v>
      </c>
      <c r="O396" s="35">
        <v>5897.96</v>
      </c>
      <c r="P396" s="35">
        <f t="shared" si="219"/>
        <v>3.7707754512906644</v>
      </c>
      <c r="Q396" s="35">
        <v>78</v>
      </c>
      <c r="R396" s="35">
        <f t="shared" si="220"/>
        <v>1.8976270912904414</v>
      </c>
      <c r="S396" s="45">
        <v>2.3199999999999998</v>
      </c>
      <c r="T396" s="45">
        <f t="shared" si="245"/>
        <v>0.36548798489089962</v>
      </c>
      <c r="U396" s="175">
        <f t="shared" si="221"/>
        <v>3.09375</v>
      </c>
      <c r="V396" s="48">
        <f t="shared" si="222"/>
        <v>0.61212131733585828</v>
      </c>
      <c r="W396" s="35">
        <v>2315.9650000000001</v>
      </c>
      <c r="X396" s="35">
        <f t="shared" si="223"/>
        <v>3.3647319918335836</v>
      </c>
      <c r="Y396" s="35">
        <v>3703.9029999999998</v>
      </c>
      <c r="Z396" s="35">
        <f t="shared" si="224"/>
        <v>3.568659604598353</v>
      </c>
      <c r="AA396" s="37">
        <v>132</v>
      </c>
      <c r="AB396" s="37">
        <f t="shared" si="225"/>
        <v>2.1238516409670858</v>
      </c>
      <c r="AC396" s="35">
        <v>94.7</v>
      </c>
      <c r="AD396" s="35">
        <f t="shared" si="246"/>
        <v>1.9763499790032735</v>
      </c>
      <c r="AE396" s="48">
        <v>32.4</v>
      </c>
      <c r="AF396" s="48">
        <f t="shared" si="247"/>
        <v>1.510545010206612</v>
      </c>
      <c r="AG396" s="43">
        <v>45.737088331856903</v>
      </c>
      <c r="AH396" s="43">
        <f t="shared" si="248"/>
        <v>1.6602685135357675</v>
      </c>
      <c r="AI396" s="39">
        <v>0.78</v>
      </c>
      <c r="AJ396" s="48">
        <f t="shared" si="226"/>
        <v>0.250420002308894</v>
      </c>
      <c r="AK396" s="35">
        <v>13</v>
      </c>
      <c r="AL396" s="35">
        <f t="shared" si="249"/>
        <v>1.1139433523068367</v>
      </c>
      <c r="AM396" s="35">
        <f t="shared" si="227"/>
        <v>0</v>
      </c>
      <c r="AN396" s="35">
        <f t="shared" si="228"/>
        <v>0</v>
      </c>
      <c r="AO396" s="35">
        <f t="shared" si="229"/>
        <v>1</v>
      </c>
      <c r="AP396" s="35">
        <f t="shared" si="230"/>
        <v>0</v>
      </c>
      <c r="AQ396" s="35">
        <f t="shared" si="231"/>
        <v>0</v>
      </c>
      <c r="AR396" s="35">
        <f t="shared" si="232"/>
        <v>0</v>
      </c>
      <c r="AS396" s="35">
        <f t="shared" si="233"/>
        <v>0</v>
      </c>
      <c r="AT396" s="35">
        <f t="shared" si="234"/>
        <v>0</v>
      </c>
      <c r="AU396" s="35">
        <f t="shared" si="235"/>
        <v>0</v>
      </c>
      <c r="AV396" s="35">
        <f t="shared" si="236"/>
        <v>0</v>
      </c>
      <c r="AW396" s="35">
        <f t="shared" si="237"/>
        <v>0</v>
      </c>
      <c r="AX396" s="35">
        <f t="shared" si="238"/>
        <v>0</v>
      </c>
      <c r="AY396" s="35">
        <f t="shared" si="239"/>
        <v>0</v>
      </c>
      <c r="AZ396" s="35">
        <f t="shared" si="240"/>
        <v>0</v>
      </c>
      <c r="BA396" s="35">
        <f t="shared" si="241"/>
        <v>0</v>
      </c>
      <c r="BB396" s="35">
        <f t="shared" si="242"/>
        <v>0</v>
      </c>
      <c r="BC396" s="35">
        <f t="shared" si="243"/>
        <v>0</v>
      </c>
    </row>
    <row r="397" spans="1:55" s="35" customFormat="1" x14ac:dyDescent="0.35">
      <c r="A397" s="36">
        <v>40974</v>
      </c>
      <c r="B397" s="35" t="s">
        <v>1030</v>
      </c>
      <c r="C397" s="35" t="s">
        <v>2</v>
      </c>
      <c r="D397" s="35" t="s">
        <v>45</v>
      </c>
      <c r="E397" s="35" t="s">
        <v>64</v>
      </c>
      <c r="F397" s="139">
        <f t="shared" si="216"/>
        <v>1</v>
      </c>
      <c r="G397" s="35">
        <v>237000000</v>
      </c>
      <c r="H397" s="139">
        <f t="shared" si="217"/>
        <v>8.3747483460101044</v>
      </c>
      <c r="I397" s="35">
        <f>G397</f>
        <v>237000000</v>
      </c>
      <c r="J397" s="35">
        <v>0</v>
      </c>
      <c r="K397" s="36">
        <v>42369</v>
      </c>
      <c r="L397" s="90">
        <v>1042715296</v>
      </c>
      <c r="M397" s="21">
        <f t="shared" si="218"/>
        <v>3.8219178082191783</v>
      </c>
      <c r="N397" s="21">
        <f t="shared" si="244"/>
        <v>0.58228134315314173</v>
      </c>
      <c r="O397" s="35">
        <v>6815.73</v>
      </c>
      <c r="P397" s="35">
        <f t="shared" si="219"/>
        <v>3.8335760926148099</v>
      </c>
      <c r="Q397" s="35">
        <v>0</v>
      </c>
      <c r="R397" s="35">
        <f t="shared" si="220"/>
        <v>0</v>
      </c>
      <c r="S397" s="45">
        <v>2.85</v>
      </c>
      <c r="T397" s="45">
        <f t="shared" si="245"/>
        <v>0.45484486000851021</v>
      </c>
      <c r="U397" s="175">
        <f t="shared" si="221"/>
        <v>3.3996425991561185</v>
      </c>
      <c r="V397" s="48">
        <f t="shared" si="222"/>
        <v>0.64341739841377443</v>
      </c>
      <c r="W397" s="35">
        <v>2162.0762565470354</v>
      </c>
      <c r="X397" s="35">
        <f t="shared" si="223"/>
        <v>3.3348710074773962</v>
      </c>
      <c r="Y397" s="35">
        <v>3168.4194524674895</v>
      </c>
      <c r="Z397" s="35">
        <f t="shared" si="224"/>
        <v>3.5008426709709495</v>
      </c>
      <c r="AA397" s="37">
        <v>819</v>
      </c>
      <c r="AB397" s="37">
        <f t="shared" si="225"/>
        <v>2.9138138523837167</v>
      </c>
      <c r="AC397" s="35">
        <v>90.5</v>
      </c>
      <c r="AD397" s="35">
        <f t="shared" si="246"/>
        <v>1.9566485792052033</v>
      </c>
      <c r="AE397" s="48">
        <v>36.4</v>
      </c>
      <c r="AF397" s="48">
        <f t="shared" si="247"/>
        <v>1.5611013836490559</v>
      </c>
      <c r="AG397" s="43">
        <v>44.295389122127702</v>
      </c>
      <c r="AH397" s="43">
        <f t="shared" si="248"/>
        <v>1.6463585211883986</v>
      </c>
      <c r="AI397" s="39">
        <v>0.17</v>
      </c>
      <c r="AJ397" s="48">
        <f t="shared" si="226"/>
        <v>6.8185861746161619E-2</v>
      </c>
      <c r="AK397" s="35">
        <v>11</v>
      </c>
      <c r="AL397" s="35">
        <f t="shared" si="249"/>
        <v>1.0413926851582251</v>
      </c>
      <c r="AM397" s="35">
        <f t="shared" si="227"/>
        <v>0</v>
      </c>
      <c r="AN397" s="35">
        <f t="shared" si="228"/>
        <v>0</v>
      </c>
      <c r="AO397" s="35">
        <f t="shared" si="229"/>
        <v>0</v>
      </c>
      <c r="AP397" s="35">
        <f t="shared" si="230"/>
        <v>0</v>
      </c>
      <c r="AQ397" s="35">
        <f t="shared" si="231"/>
        <v>0</v>
      </c>
      <c r="AR397" s="35">
        <f t="shared" si="232"/>
        <v>0</v>
      </c>
      <c r="AS397" s="35">
        <f t="shared" si="233"/>
        <v>0</v>
      </c>
      <c r="AT397" s="35">
        <f t="shared" si="234"/>
        <v>0</v>
      </c>
      <c r="AU397" s="35">
        <f t="shared" si="235"/>
        <v>0</v>
      </c>
      <c r="AV397" s="35">
        <f t="shared" si="236"/>
        <v>1</v>
      </c>
      <c r="AW397" s="35">
        <f t="shared" si="237"/>
        <v>0</v>
      </c>
      <c r="AX397" s="35">
        <f t="shared" si="238"/>
        <v>0</v>
      </c>
      <c r="AY397" s="35">
        <f t="shared" si="239"/>
        <v>0</v>
      </c>
      <c r="AZ397" s="35">
        <f t="shared" si="240"/>
        <v>0</v>
      </c>
      <c r="BA397" s="35">
        <f t="shared" si="241"/>
        <v>0</v>
      </c>
      <c r="BB397" s="35">
        <f t="shared" si="242"/>
        <v>0</v>
      </c>
      <c r="BC397" s="35">
        <f t="shared" si="243"/>
        <v>0</v>
      </c>
    </row>
    <row r="398" spans="1:55" s="35" customFormat="1" x14ac:dyDescent="0.35">
      <c r="A398" s="36">
        <v>41031</v>
      </c>
      <c r="B398" s="35" t="s">
        <v>1055</v>
      </c>
      <c r="C398" s="35" t="s">
        <v>163</v>
      </c>
      <c r="D398" s="35" t="s">
        <v>45</v>
      </c>
      <c r="E398" s="35" t="s">
        <v>64</v>
      </c>
      <c r="F398" s="139">
        <f t="shared" si="216"/>
        <v>1</v>
      </c>
      <c r="G398" s="35">
        <v>28970000</v>
      </c>
      <c r="H398" s="139">
        <f t="shared" si="217"/>
        <v>7.461948495203762</v>
      </c>
      <c r="I398" s="35">
        <f>G398</f>
        <v>28970000</v>
      </c>
      <c r="J398" s="35">
        <v>0</v>
      </c>
      <c r="K398" s="36">
        <v>42888</v>
      </c>
      <c r="L398" s="35">
        <v>164340000</v>
      </c>
      <c r="M398" s="21">
        <f t="shared" si="218"/>
        <v>5.087671232876712</v>
      </c>
      <c r="N398" s="21">
        <f t="shared" si="244"/>
        <v>0.70651903928330573</v>
      </c>
      <c r="O398" s="35">
        <v>6164.6</v>
      </c>
      <c r="P398" s="35">
        <f t="shared" si="219"/>
        <v>3.7899753459779522</v>
      </c>
      <c r="Q398" s="35">
        <v>248</v>
      </c>
      <c r="R398" s="35">
        <f t="shared" si="220"/>
        <v>2.3961993470957363</v>
      </c>
      <c r="S398" s="45">
        <v>3.18</v>
      </c>
      <c r="T398" s="45">
        <f t="shared" si="245"/>
        <v>0.50242711998443268</v>
      </c>
      <c r="U398" s="175">
        <f t="shared" si="221"/>
        <v>4.6727649292371423</v>
      </c>
      <c r="V398" s="48">
        <f t="shared" si="222"/>
        <v>0.75379478743384321</v>
      </c>
      <c r="W398" s="35">
        <v>2900.8986468172052</v>
      </c>
      <c r="X398" s="35">
        <f t="shared" si="223"/>
        <v>3.4625325554497</v>
      </c>
      <c r="Y398" s="35">
        <v>4207.3768270052751</v>
      </c>
      <c r="Z398" s="35">
        <f t="shared" si="224"/>
        <v>3.6240114106526287</v>
      </c>
      <c r="AA398" s="37">
        <v>583.83333333333303</v>
      </c>
      <c r="AB398" s="37">
        <f t="shared" si="225"/>
        <v>2.7670321178317625</v>
      </c>
      <c r="AC398" s="35">
        <v>83.7</v>
      </c>
      <c r="AD398" s="35">
        <f t="shared" si="246"/>
        <v>1.92272545799326</v>
      </c>
      <c r="AE398" s="48">
        <v>44.4</v>
      </c>
      <c r="AF398" s="48">
        <f t="shared" si="247"/>
        <v>1.6473829701146199</v>
      </c>
      <c r="AG398" s="43">
        <v>57.107272870025099</v>
      </c>
      <c r="AH398" s="43">
        <f t="shared" si="248"/>
        <v>1.7566914211387032</v>
      </c>
      <c r="AI398" s="39">
        <v>0.23</v>
      </c>
      <c r="AJ398" s="48">
        <f t="shared" si="226"/>
        <v>8.9905111439397931E-2</v>
      </c>
      <c r="AK398" s="35">
        <v>63</v>
      </c>
      <c r="AL398" s="35">
        <f t="shared" si="249"/>
        <v>1.7993405494535817</v>
      </c>
      <c r="AM398" s="35">
        <f t="shared" si="227"/>
        <v>0</v>
      </c>
      <c r="AN398" s="35">
        <f t="shared" si="228"/>
        <v>0</v>
      </c>
      <c r="AO398" s="35">
        <f t="shared" si="229"/>
        <v>0</v>
      </c>
      <c r="AP398" s="35">
        <f t="shared" si="230"/>
        <v>0</v>
      </c>
      <c r="AQ398" s="35">
        <f t="shared" si="231"/>
        <v>0</v>
      </c>
      <c r="AR398" s="35">
        <f t="shared" si="232"/>
        <v>0</v>
      </c>
      <c r="AS398" s="35">
        <f t="shared" si="233"/>
        <v>0</v>
      </c>
      <c r="AT398" s="35">
        <f t="shared" si="234"/>
        <v>1</v>
      </c>
      <c r="AU398" s="35">
        <f t="shared" si="235"/>
        <v>0</v>
      </c>
      <c r="AV398" s="35">
        <f t="shared" si="236"/>
        <v>0</v>
      </c>
      <c r="AW398" s="35">
        <f t="shared" si="237"/>
        <v>0</v>
      </c>
      <c r="AX398" s="35">
        <f t="shared" si="238"/>
        <v>0</v>
      </c>
      <c r="AY398" s="35">
        <f t="shared" si="239"/>
        <v>0</v>
      </c>
      <c r="AZ398" s="35">
        <f t="shared" si="240"/>
        <v>0</v>
      </c>
      <c r="BA398" s="35">
        <f t="shared" si="241"/>
        <v>0</v>
      </c>
      <c r="BB398" s="35">
        <f t="shared" si="242"/>
        <v>0</v>
      </c>
      <c r="BC398" s="35">
        <f t="shared" si="243"/>
        <v>0</v>
      </c>
    </row>
    <row r="399" spans="1:55" s="35" customFormat="1" x14ac:dyDescent="0.35">
      <c r="A399" s="36">
        <v>41032</v>
      </c>
      <c r="B399" s="90" t="s">
        <v>561</v>
      </c>
      <c r="C399" s="35" t="s">
        <v>2</v>
      </c>
      <c r="D399" s="35" t="s">
        <v>59</v>
      </c>
      <c r="E399" s="35" t="s">
        <v>125</v>
      </c>
      <c r="F399" s="139">
        <f t="shared" si="216"/>
        <v>1</v>
      </c>
      <c r="G399" s="35">
        <v>14750240</v>
      </c>
      <c r="H399" s="139">
        <f t="shared" si="217"/>
        <v>7.1687990867431779</v>
      </c>
      <c r="I399" s="35">
        <f>G399</f>
        <v>14750240</v>
      </c>
      <c r="J399" s="35">
        <v>0</v>
      </c>
      <c r="K399" s="36">
        <v>42851</v>
      </c>
      <c r="L399" s="35">
        <v>400000000</v>
      </c>
      <c r="M399" s="21">
        <f t="shared" si="218"/>
        <v>4.9835616438356167</v>
      </c>
      <c r="N399" s="21">
        <f t="shared" si="244"/>
        <v>0.69753983460700886</v>
      </c>
      <c r="O399" s="35">
        <v>917.19</v>
      </c>
      <c r="P399" s="35">
        <f t="shared" si="219"/>
        <v>2.9629325585580042</v>
      </c>
      <c r="Q399" s="35">
        <v>17</v>
      </c>
      <c r="R399" s="35">
        <f t="shared" si="220"/>
        <v>1.255272505103306</v>
      </c>
      <c r="S399" s="45">
        <v>2.62</v>
      </c>
      <c r="T399" s="45">
        <f t="shared" si="245"/>
        <v>0.41830129131974547</v>
      </c>
      <c r="U399" s="175">
        <f t="shared" si="221"/>
        <v>26.11820282246255</v>
      </c>
      <c r="V399" s="48">
        <f t="shared" si="222"/>
        <v>1.4332609045847848</v>
      </c>
      <c r="W399" s="35">
        <v>1932.09461208012</v>
      </c>
      <c r="X399" s="35">
        <f t="shared" si="223"/>
        <v>3.2860283894181141</v>
      </c>
      <c r="Y399" s="35">
        <v>8126.3909735520938</v>
      </c>
      <c r="Z399" s="35">
        <f t="shared" si="224"/>
        <v>3.9098977130890344</v>
      </c>
      <c r="AA399" s="37">
        <v>854.66666666666697</v>
      </c>
      <c r="AB399" s="37">
        <f t="shared" si="225"/>
        <v>2.9323046139517812</v>
      </c>
      <c r="AC399" s="35">
        <v>90.5</v>
      </c>
      <c r="AD399" s="35">
        <f t="shared" si="246"/>
        <v>1.9566485792052033</v>
      </c>
      <c r="AE399" s="48">
        <v>36.4</v>
      </c>
      <c r="AF399" s="48">
        <f t="shared" si="247"/>
        <v>1.5611013836490559</v>
      </c>
      <c r="AG399" s="43">
        <v>44.295389122127702</v>
      </c>
      <c r="AH399" s="43">
        <f t="shared" si="248"/>
        <v>1.6463585211883986</v>
      </c>
      <c r="AI399" s="39">
        <v>-0.22</v>
      </c>
      <c r="AJ399" s="48">
        <f t="shared" si="226"/>
        <v>-0.10790539730951958</v>
      </c>
      <c r="AK399" s="35">
        <v>62</v>
      </c>
      <c r="AL399" s="35">
        <f t="shared" si="249"/>
        <v>1.7923916894982539</v>
      </c>
      <c r="AM399" s="35">
        <f t="shared" si="227"/>
        <v>0</v>
      </c>
      <c r="AN399" s="35">
        <f t="shared" si="228"/>
        <v>0</v>
      </c>
      <c r="AO399" s="35">
        <f t="shared" si="229"/>
        <v>0</v>
      </c>
      <c r="AP399" s="35">
        <f t="shared" si="230"/>
        <v>0</v>
      </c>
      <c r="AQ399" s="35">
        <f t="shared" si="231"/>
        <v>0</v>
      </c>
      <c r="AR399" s="35">
        <f t="shared" si="232"/>
        <v>0</v>
      </c>
      <c r="AS399" s="35">
        <f t="shared" si="233"/>
        <v>0</v>
      </c>
      <c r="AT399" s="35">
        <f t="shared" si="234"/>
        <v>0</v>
      </c>
      <c r="AU399" s="35">
        <f t="shared" si="235"/>
        <v>0</v>
      </c>
      <c r="AV399" s="35">
        <f t="shared" si="236"/>
        <v>1</v>
      </c>
      <c r="AW399" s="35">
        <f t="shared" si="237"/>
        <v>0</v>
      </c>
      <c r="AX399" s="35">
        <f t="shared" si="238"/>
        <v>0</v>
      </c>
      <c r="AY399" s="35">
        <f t="shared" si="239"/>
        <v>0</v>
      </c>
      <c r="AZ399" s="35">
        <f t="shared" si="240"/>
        <v>0</v>
      </c>
      <c r="BA399" s="35">
        <f t="shared" si="241"/>
        <v>0</v>
      </c>
      <c r="BB399" s="35">
        <f t="shared" si="242"/>
        <v>0</v>
      </c>
      <c r="BC399" s="35">
        <f t="shared" si="243"/>
        <v>0</v>
      </c>
    </row>
    <row r="400" spans="1:55" s="35" customFormat="1" ht="18" customHeight="1" x14ac:dyDescent="0.35">
      <c r="A400" s="36">
        <v>41060</v>
      </c>
      <c r="B400" s="35" t="s">
        <v>806</v>
      </c>
      <c r="C400" s="35" t="s">
        <v>45</v>
      </c>
      <c r="D400" s="35" t="s">
        <v>45</v>
      </c>
      <c r="E400" s="35" t="s">
        <v>47</v>
      </c>
      <c r="F400" s="139">
        <f t="shared" si="216"/>
        <v>0</v>
      </c>
      <c r="G400" s="35">
        <v>675000000</v>
      </c>
      <c r="H400" s="139">
        <f t="shared" si="217"/>
        <v>8.8293037728310253</v>
      </c>
      <c r="I400" s="35">
        <f>G400</f>
        <v>675000000</v>
      </c>
      <c r="J400" s="35">
        <v>0</v>
      </c>
      <c r="K400" s="36">
        <v>42711</v>
      </c>
      <c r="L400" s="35">
        <v>2000000000</v>
      </c>
      <c r="M400" s="21">
        <f t="shared" si="218"/>
        <v>4.5232876712328771</v>
      </c>
      <c r="N400" s="21">
        <f t="shared" si="244"/>
        <v>0.65545420880631899</v>
      </c>
      <c r="O400" s="35">
        <v>0</v>
      </c>
      <c r="P400" s="35">
        <f t="shared" si="219"/>
        <v>0</v>
      </c>
      <c r="Q400" s="35">
        <v>45</v>
      </c>
      <c r="R400" s="35">
        <f t="shared" si="220"/>
        <v>1.6627578316815741</v>
      </c>
      <c r="S400" s="45">
        <v>2.95</v>
      </c>
      <c r="T400" s="45">
        <f t="shared" si="245"/>
        <v>0.46982201597816303</v>
      </c>
      <c r="U400" s="175">
        <f t="shared" si="221"/>
        <v>1.9629629629629628</v>
      </c>
      <c r="V400" s="48">
        <f t="shared" si="222"/>
        <v>0.47172622283295623</v>
      </c>
      <c r="W400" s="35">
        <v>1447.5557664926437</v>
      </c>
      <c r="X400" s="35">
        <f t="shared" si="223"/>
        <v>3.1606353037386858</v>
      </c>
      <c r="Y400" s="35">
        <v>9478.5929515126791</v>
      </c>
      <c r="Z400" s="35">
        <f t="shared" si="224"/>
        <v>3.9767438733352263</v>
      </c>
      <c r="AA400" s="37">
        <v>0</v>
      </c>
      <c r="AB400" s="37">
        <f t="shared" si="225"/>
        <v>0</v>
      </c>
      <c r="AC400" s="35">
        <v>91.1</v>
      </c>
      <c r="AD400" s="35">
        <f t="shared" si="246"/>
        <v>1.9595183769729982</v>
      </c>
      <c r="AE400" s="48">
        <v>24.1</v>
      </c>
      <c r="AF400" s="48">
        <f t="shared" si="247"/>
        <v>1.3820170425748683</v>
      </c>
      <c r="AG400" s="43">
        <v>40.229046020662899</v>
      </c>
      <c r="AH400" s="43">
        <f t="shared" si="248"/>
        <v>1.6045397339663818</v>
      </c>
      <c r="AI400" s="39">
        <v>0.52</v>
      </c>
      <c r="AJ400" s="48">
        <f t="shared" si="226"/>
        <v>0.18184358794477254</v>
      </c>
      <c r="AK400" s="35">
        <v>43</v>
      </c>
      <c r="AL400" s="35">
        <f t="shared" si="249"/>
        <v>1.6334684555795864</v>
      </c>
      <c r="AM400" s="35">
        <f t="shared" si="227"/>
        <v>0</v>
      </c>
      <c r="AN400" s="35">
        <f t="shared" si="228"/>
        <v>1</v>
      </c>
      <c r="AO400" s="35">
        <f t="shared" si="229"/>
        <v>0</v>
      </c>
      <c r="AP400" s="35">
        <f t="shared" si="230"/>
        <v>0</v>
      </c>
      <c r="AQ400" s="35">
        <f t="shared" si="231"/>
        <v>0</v>
      </c>
      <c r="AR400" s="35">
        <f t="shared" si="232"/>
        <v>0</v>
      </c>
      <c r="AS400" s="35">
        <f t="shared" si="233"/>
        <v>0</v>
      </c>
      <c r="AT400" s="35">
        <f t="shared" si="234"/>
        <v>0</v>
      </c>
      <c r="AU400" s="35">
        <f t="shared" si="235"/>
        <v>0</v>
      </c>
      <c r="AV400" s="35">
        <f t="shared" si="236"/>
        <v>0</v>
      </c>
      <c r="AW400" s="35">
        <f t="shared" si="237"/>
        <v>0</v>
      </c>
      <c r="AX400" s="35">
        <f t="shared" si="238"/>
        <v>0</v>
      </c>
      <c r="AY400" s="35">
        <f t="shared" si="239"/>
        <v>0</v>
      </c>
      <c r="AZ400" s="35">
        <f t="shared" si="240"/>
        <v>0</v>
      </c>
      <c r="BA400" s="35">
        <f t="shared" si="241"/>
        <v>0</v>
      </c>
      <c r="BB400" s="35">
        <f t="shared" si="242"/>
        <v>0</v>
      </c>
      <c r="BC400" s="35">
        <f t="shared" si="243"/>
        <v>0</v>
      </c>
    </row>
    <row r="401" spans="1:55" s="35" customFormat="1" ht="18" customHeight="1" x14ac:dyDescent="0.35">
      <c r="A401" s="36">
        <v>41067</v>
      </c>
      <c r="B401" s="35" t="s">
        <v>370</v>
      </c>
      <c r="C401" s="35" t="s">
        <v>2</v>
      </c>
      <c r="D401" s="35" t="s">
        <v>45</v>
      </c>
      <c r="E401" s="35" t="s">
        <v>125</v>
      </c>
      <c r="F401" s="139">
        <f t="shared" si="216"/>
        <v>1</v>
      </c>
      <c r="G401" s="35">
        <v>1202168337</v>
      </c>
      <c r="H401" s="139">
        <f t="shared" si="217"/>
        <v>9.0799652852302781</v>
      </c>
      <c r="I401" s="35">
        <v>1202168337</v>
      </c>
      <c r="J401" s="35">
        <v>0</v>
      </c>
      <c r="K401" s="36">
        <v>42704</v>
      </c>
      <c r="L401" s="35">
        <v>1685648379</v>
      </c>
      <c r="M401" s="21">
        <f t="shared" si="218"/>
        <v>4.484931506849315</v>
      </c>
      <c r="N401" s="21">
        <f t="shared" si="244"/>
        <v>0.65175581495546675</v>
      </c>
      <c r="O401" s="35">
        <v>6815.73</v>
      </c>
      <c r="P401" s="35">
        <f t="shared" si="219"/>
        <v>3.8335760926148099</v>
      </c>
      <c r="Q401" s="35">
        <v>159</v>
      </c>
      <c r="R401" s="35">
        <f t="shared" si="220"/>
        <v>2.2041199826559246</v>
      </c>
      <c r="S401" s="45">
        <v>2.85</v>
      </c>
      <c r="T401" s="45">
        <f t="shared" si="245"/>
        <v>0.45484486000851021</v>
      </c>
      <c r="U401" s="175">
        <f t="shared" si="221"/>
        <v>0.40217332890876167</v>
      </c>
      <c r="V401" s="48">
        <f t="shared" si="222"/>
        <v>0.14680170202996193</v>
      </c>
      <c r="W401" s="35">
        <v>1171.498</v>
      </c>
      <c r="X401" s="35">
        <f t="shared" si="223"/>
        <v>3.0687415514991745</v>
      </c>
      <c r="Y401" s="35">
        <v>3386.1060000000002</v>
      </c>
      <c r="Z401" s="35">
        <f t="shared" si="224"/>
        <v>3.5297005493117593</v>
      </c>
      <c r="AA401" s="37">
        <v>819</v>
      </c>
      <c r="AB401" s="37">
        <f t="shared" si="225"/>
        <v>2.9138138523837167</v>
      </c>
      <c r="AC401" s="35">
        <v>90.5</v>
      </c>
      <c r="AD401" s="35">
        <f t="shared" si="246"/>
        <v>1.9566485792052033</v>
      </c>
      <c r="AE401" s="48">
        <v>36.4</v>
      </c>
      <c r="AF401" s="48">
        <f t="shared" si="247"/>
        <v>1.5611013836490559</v>
      </c>
      <c r="AG401" s="43">
        <v>44.295389122127702</v>
      </c>
      <c r="AH401" s="43">
        <f t="shared" si="248"/>
        <v>1.6463585211883986</v>
      </c>
      <c r="AI401" s="39">
        <v>0.01</v>
      </c>
      <c r="AJ401" s="48">
        <f t="shared" si="226"/>
        <v>4.3213737826425782E-3</v>
      </c>
      <c r="AK401" s="35">
        <v>13</v>
      </c>
      <c r="AL401" s="35">
        <f t="shared" si="249"/>
        <v>1.1139433523068367</v>
      </c>
      <c r="AM401" s="35">
        <f t="shared" si="227"/>
        <v>0</v>
      </c>
      <c r="AN401" s="35">
        <f t="shared" si="228"/>
        <v>0</v>
      </c>
      <c r="AO401" s="35">
        <f t="shared" si="229"/>
        <v>0</v>
      </c>
      <c r="AP401" s="35">
        <f t="shared" si="230"/>
        <v>0</v>
      </c>
      <c r="AQ401" s="35">
        <f t="shared" si="231"/>
        <v>0</v>
      </c>
      <c r="AR401" s="35">
        <f t="shared" si="232"/>
        <v>0</v>
      </c>
      <c r="AS401" s="35">
        <f t="shared" si="233"/>
        <v>0</v>
      </c>
      <c r="AT401" s="35">
        <f t="shared" si="234"/>
        <v>0</v>
      </c>
      <c r="AU401" s="35">
        <f t="shared" si="235"/>
        <v>0</v>
      </c>
      <c r="AV401" s="35">
        <f t="shared" si="236"/>
        <v>1</v>
      </c>
      <c r="AW401" s="35">
        <f t="shared" si="237"/>
        <v>0</v>
      </c>
      <c r="AX401" s="35">
        <f t="shared" si="238"/>
        <v>0</v>
      </c>
      <c r="AY401" s="35">
        <f t="shared" si="239"/>
        <v>0</v>
      </c>
      <c r="AZ401" s="35">
        <f t="shared" si="240"/>
        <v>0</v>
      </c>
      <c r="BA401" s="35">
        <f t="shared" si="241"/>
        <v>0</v>
      </c>
      <c r="BB401" s="35">
        <f t="shared" si="242"/>
        <v>0</v>
      </c>
      <c r="BC401" s="35">
        <f t="shared" si="243"/>
        <v>0</v>
      </c>
    </row>
    <row r="402" spans="1:55" s="35" customFormat="1" ht="20.25" customHeight="1" x14ac:dyDescent="0.35">
      <c r="A402" s="36">
        <v>41082</v>
      </c>
      <c r="B402" s="35" t="s">
        <v>368</v>
      </c>
      <c r="C402" s="35" t="s">
        <v>45</v>
      </c>
      <c r="D402" s="35" t="s">
        <v>45</v>
      </c>
      <c r="E402" s="35" t="s">
        <v>102</v>
      </c>
      <c r="F402" s="139">
        <f t="shared" si="216"/>
        <v>0</v>
      </c>
      <c r="G402" s="35">
        <v>150000000</v>
      </c>
      <c r="H402" s="139">
        <f t="shared" si="217"/>
        <v>8.1760912590556813</v>
      </c>
      <c r="I402" s="35">
        <v>150000000</v>
      </c>
      <c r="J402" s="35">
        <v>0</v>
      </c>
      <c r="K402" s="36">
        <v>42032</v>
      </c>
      <c r="L402" s="35">
        <v>400000000</v>
      </c>
      <c r="M402" s="21">
        <f t="shared" si="218"/>
        <v>2.6027397260273974</v>
      </c>
      <c r="N402" s="21">
        <f t="shared" si="244"/>
        <v>0.41543074083237308</v>
      </c>
      <c r="O402" s="35">
        <v>0</v>
      </c>
      <c r="P402" s="35">
        <f t="shared" si="219"/>
        <v>0</v>
      </c>
      <c r="Q402" s="35">
        <v>8</v>
      </c>
      <c r="R402" s="35">
        <f t="shared" si="220"/>
        <v>0.95424250943932487</v>
      </c>
      <c r="S402" s="45">
        <v>2.95</v>
      </c>
      <c r="T402" s="45">
        <f t="shared" si="245"/>
        <v>0.46982201597816303</v>
      </c>
      <c r="U402" s="175">
        <f t="shared" si="221"/>
        <v>1.6666666666666665</v>
      </c>
      <c r="V402" s="48">
        <f t="shared" si="222"/>
        <v>0.4259687322722811</v>
      </c>
      <c r="W402" s="35">
        <v>1171.498</v>
      </c>
      <c r="X402" s="35">
        <f t="shared" si="223"/>
        <v>3.0687415514991745</v>
      </c>
      <c r="Y402" s="35">
        <v>3386.1060000000002</v>
      </c>
      <c r="Z402" s="35">
        <f t="shared" si="224"/>
        <v>3.5297005493117593</v>
      </c>
      <c r="AA402" s="37">
        <v>0</v>
      </c>
      <c r="AB402" s="37">
        <f t="shared" si="225"/>
        <v>0</v>
      </c>
      <c r="AC402" s="35">
        <v>91.1</v>
      </c>
      <c r="AD402" s="35">
        <f t="shared" si="246"/>
        <v>1.9595183769729982</v>
      </c>
      <c r="AE402" s="48">
        <v>24.1</v>
      </c>
      <c r="AF402" s="48">
        <f t="shared" si="247"/>
        <v>1.3820170425748683</v>
      </c>
      <c r="AG402" s="43">
        <v>40.229046020662899</v>
      </c>
      <c r="AH402" s="43">
        <f t="shared" si="248"/>
        <v>1.6045397339663818</v>
      </c>
      <c r="AI402" s="39">
        <v>-0.36</v>
      </c>
      <c r="AJ402" s="48">
        <f t="shared" si="226"/>
        <v>-0.19382002601611281</v>
      </c>
      <c r="AK402" s="35">
        <v>8</v>
      </c>
      <c r="AL402" s="35">
        <f t="shared" si="249"/>
        <v>0.90308998699194354</v>
      </c>
      <c r="AM402" s="35">
        <f t="shared" si="227"/>
        <v>0</v>
      </c>
      <c r="AN402" s="35">
        <f t="shared" si="228"/>
        <v>1</v>
      </c>
      <c r="AO402" s="35">
        <f t="shared" si="229"/>
        <v>0</v>
      </c>
      <c r="AP402" s="35">
        <f t="shared" si="230"/>
        <v>0</v>
      </c>
      <c r="AQ402" s="35">
        <f t="shared" si="231"/>
        <v>0</v>
      </c>
      <c r="AR402" s="35">
        <f t="shared" si="232"/>
        <v>0</v>
      </c>
      <c r="AS402" s="35">
        <f t="shared" si="233"/>
        <v>0</v>
      </c>
      <c r="AT402" s="35">
        <f t="shared" si="234"/>
        <v>0</v>
      </c>
      <c r="AU402" s="35">
        <f t="shared" si="235"/>
        <v>0</v>
      </c>
      <c r="AV402" s="35">
        <f t="shared" si="236"/>
        <v>0</v>
      </c>
      <c r="AW402" s="35">
        <f t="shared" si="237"/>
        <v>0</v>
      </c>
      <c r="AX402" s="35">
        <f t="shared" si="238"/>
        <v>0</v>
      </c>
      <c r="AY402" s="35">
        <f t="shared" si="239"/>
        <v>0</v>
      </c>
      <c r="AZ402" s="35">
        <f t="shared" si="240"/>
        <v>0</v>
      </c>
      <c r="BA402" s="35">
        <f t="shared" si="241"/>
        <v>0</v>
      </c>
      <c r="BB402" s="35">
        <f t="shared" si="242"/>
        <v>0</v>
      </c>
      <c r="BC402" s="35">
        <f t="shared" si="243"/>
        <v>0</v>
      </c>
    </row>
    <row r="403" spans="1:55" s="35" customFormat="1" x14ac:dyDescent="0.35">
      <c r="A403" s="36">
        <v>41095</v>
      </c>
      <c r="B403" s="35" t="s">
        <v>808</v>
      </c>
      <c r="C403" s="35" t="s">
        <v>45</v>
      </c>
      <c r="D403" s="35" t="s">
        <v>45</v>
      </c>
      <c r="E403" s="35" t="s">
        <v>47</v>
      </c>
      <c r="F403" s="139">
        <f t="shared" si="216"/>
        <v>0</v>
      </c>
      <c r="G403" s="35">
        <v>375550000</v>
      </c>
      <c r="H403" s="139">
        <f t="shared" si="217"/>
        <v>8.5746677663162263</v>
      </c>
      <c r="I403" s="35">
        <v>393930000</v>
      </c>
      <c r="J403" s="35">
        <v>18380000</v>
      </c>
      <c r="K403" s="36">
        <v>42493</v>
      </c>
      <c r="L403" s="35">
        <v>1800000000</v>
      </c>
      <c r="M403" s="21">
        <f t="shared" si="218"/>
        <v>3.8301369863013699</v>
      </c>
      <c r="N403" s="21">
        <f t="shared" si="244"/>
        <v>0.58321430695318788</v>
      </c>
      <c r="O403" s="35">
        <v>0</v>
      </c>
      <c r="P403" s="35">
        <f t="shared" si="219"/>
        <v>0</v>
      </c>
      <c r="Q403" s="35">
        <v>40</v>
      </c>
      <c r="R403" s="35">
        <f t="shared" si="220"/>
        <v>1.6127838567197355</v>
      </c>
      <c r="S403" s="45">
        <v>2.95</v>
      </c>
      <c r="T403" s="45">
        <f t="shared" si="245"/>
        <v>0.46982201597816303</v>
      </c>
      <c r="U403" s="175">
        <f t="shared" si="221"/>
        <v>3.7929703102116896</v>
      </c>
      <c r="V403" s="48">
        <f t="shared" si="222"/>
        <v>0.68060473878707939</v>
      </c>
      <c r="W403" s="35">
        <v>1423.0371900826444</v>
      </c>
      <c r="X403" s="35">
        <f t="shared" si="223"/>
        <v>3.1532162502154288</v>
      </c>
      <c r="Y403" s="35">
        <v>3292.8719008264461</v>
      </c>
      <c r="Z403" s="35">
        <f t="shared" si="224"/>
        <v>3.5175748361336181</v>
      </c>
      <c r="AA403" s="37">
        <v>0</v>
      </c>
      <c r="AB403" s="37">
        <f t="shared" si="225"/>
        <v>0</v>
      </c>
      <c r="AC403" s="35">
        <v>91.1</v>
      </c>
      <c r="AD403" s="35">
        <f t="shared" si="246"/>
        <v>1.9595183769729982</v>
      </c>
      <c r="AE403" s="48">
        <v>24.1</v>
      </c>
      <c r="AF403" s="48">
        <f t="shared" si="247"/>
        <v>1.3820170425748683</v>
      </c>
      <c r="AG403" s="43">
        <v>40.229046020662899</v>
      </c>
      <c r="AH403" s="43">
        <f t="shared" si="248"/>
        <v>1.6045397339663818</v>
      </c>
      <c r="AI403" s="39">
        <v>0.09</v>
      </c>
      <c r="AJ403" s="48">
        <f t="shared" si="226"/>
        <v>3.7426497940623665E-2</v>
      </c>
      <c r="AK403" s="35">
        <v>5</v>
      </c>
      <c r="AL403" s="35">
        <f t="shared" si="249"/>
        <v>0.69897000433601886</v>
      </c>
      <c r="AM403" s="35">
        <f t="shared" si="227"/>
        <v>0</v>
      </c>
      <c r="AN403" s="35">
        <f t="shared" si="228"/>
        <v>1</v>
      </c>
      <c r="AO403" s="35">
        <f t="shared" si="229"/>
        <v>0</v>
      </c>
      <c r="AP403" s="35">
        <f t="shared" si="230"/>
        <v>0</v>
      </c>
      <c r="AQ403" s="35">
        <f t="shared" si="231"/>
        <v>0</v>
      </c>
      <c r="AR403" s="35">
        <f t="shared" si="232"/>
        <v>0</v>
      </c>
      <c r="AS403" s="35">
        <f t="shared" si="233"/>
        <v>0</v>
      </c>
      <c r="AT403" s="35">
        <f t="shared" si="234"/>
        <v>0</v>
      </c>
      <c r="AU403" s="35">
        <f t="shared" si="235"/>
        <v>0</v>
      </c>
      <c r="AV403" s="35">
        <f t="shared" si="236"/>
        <v>0</v>
      </c>
      <c r="AW403" s="35">
        <f t="shared" si="237"/>
        <v>0</v>
      </c>
      <c r="AX403" s="35">
        <f t="shared" si="238"/>
        <v>0</v>
      </c>
      <c r="AY403" s="35">
        <f t="shared" si="239"/>
        <v>0</v>
      </c>
      <c r="AZ403" s="35">
        <f t="shared" si="240"/>
        <v>0</v>
      </c>
      <c r="BA403" s="35">
        <f t="shared" si="241"/>
        <v>0</v>
      </c>
      <c r="BB403" s="35">
        <f t="shared" si="242"/>
        <v>0</v>
      </c>
      <c r="BC403" s="35">
        <f t="shared" si="243"/>
        <v>0</v>
      </c>
    </row>
    <row r="404" spans="1:55" s="35" customFormat="1" x14ac:dyDescent="0.35">
      <c r="A404" s="36">
        <v>41121</v>
      </c>
      <c r="B404" s="35" t="s">
        <v>736</v>
      </c>
      <c r="C404" s="35" t="s">
        <v>45</v>
      </c>
      <c r="D404" s="35" t="s">
        <v>577</v>
      </c>
      <c r="E404" s="35" t="s">
        <v>64</v>
      </c>
      <c r="F404" s="139">
        <f t="shared" si="216"/>
        <v>1</v>
      </c>
      <c r="G404" s="35">
        <v>500000000</v>
      </c>
      <c r="H404" s="139">
        <f t="shared" si="217"/>
        <v>8.6989700043360187</v>
      </c>
      <c r="I404" s="35">
        <f>G404</f>
        <v>500000000</v>
      </c>
      <c r="J404" s="35">
        <v>0</v>
      </c>
      <c r="K404" s="36">
        <v>42612</v>
      </c>
      <c r="L404" s="35">
        <v>1500000000</v>
      </c>
      <c r="M404" s="21">
        <f t="shared" si="218"/>
        <v>4.0849315068493155</v>
      </c>
      <c r="N404" s="21">
        <f t="shared" si="244"/>
        <v>0.61118477899651991</v>
      </c>
      <c r="O404" s="35">
        <v>5897.96</v>
      </c>
      <c r="P404" s="35">
        <f t="shared" si="219"/>
        <v>3.7707754512906644</v>
      </c>
      <c r="Q404" s="35">
        <v>11</v>
      </c>
      <c r="R404" s="35">
        <f t="shared" si="220"/>
        <v>1.0791812460476249</v>
      </c>
      <c r="S404" s="45">
        <v>2.3199999999999998</v>
      </c>
      <c r="T404" s="45">
        <f t="shared" si="245"/>
        <v>0.36548798489089962</v>
      </c>
      <c r="U404" s="175">
        <f t="shared" si="221"/>
        <v>2</v>
      </c>
      <c r="V404" s="48">
        <f t="shared" si="222"/>
        <v>0.47712125471966244</v>
      </c>
      <c r="W404" s="35">
        <v>1861.7599999999995</v>
      </c>
      <c r="X404" s="35">
        <f t="shared" si="223"/>
        <v>3.2699236952309461</v>
      </c>
      <c r="Y404" s="35">
        <v>4993.920000000001</v>
      </c>
      <c r="Z404" s="35">
        <f t="shared" si="224"/>
        <v>3.6984415808994222</v>
      </c>
      <c r="AA404" s="37">
        <v>132</v>
      </c>
      <c r="AB404" s="37">
        <f t="shared" si="225"/>
        <v>2.1238516409670858</v>
      </c>
      <c r="AC404" s="35">
        <v>91.1</v>
      </c>
      <c r="AD404" s="35">
        <f t="shared" si="246"/>
        <v>1.9595183769729982</v>
      </c>
      <c r="AE404" s="48">
        <v>24.1</v>
      </c>
      <c r="AF404" s="48">
        <f t="shared" si="247"/>
        <v>1.3820170425748683</v>
      </c>
      <c r="AG404" s="43">
        <v>40.229046020662899</v>
      </c>
      <c r="AH404" s="43">
        <f t="shared" si="248"/>
        <v>1.6045397339663818</v>
      </c>
      <c r="AI404" s="39">
        <v>-0.18</v>
      </c>
      <c r="AJ404" s="48">
        <f t="shared" si="226"/>
        <v>-8.6186147616283279E-2</v>
      </c>
      <c r="AK404" s="35">
        <v>8</v>
      </c>
      <c r="AL404" s="35">
        <f t="shared" si="249"/>
        <v>0.90308998699194354</v>
      </c>
      <c r="AM404" s="35">
        <f t="shared" si="227"/>
        <v>0</v>
      </c>
      <c r="AN404" s="35">
        <f t="shared" si="228"/>
        <v>1</v>
      </c>
      <c r="AO404" s="35">
        <f t="shared" si="229"/>
        <v>0</v>
      </c>
      <c r="AP404" s="35">
        <f t="shared" si="230"/>
        <v>0</v>
      </c>
      <c r="AQ404" s="35">
        <f t="shared" si="231"/>
        <v>0</v>
      </c>
      <c r="AR404" s="35">
        <f t="shared" si="232"/>
        <v>0</v>
      </c>
      <c r="AS404" s="35">
        <f t="shared" si="233"/>
        <v>0</v>
      </c>
      <c r="AT404" s="35">
        <f t="shared" si="234"/>
        <v>0</v>
      </c>
      <c r="AU404" s="35">
        <f t="shared" si="235"/>
        <v>0</v>
      </c>
      <c r="AV404" s="35">
        <f t="shared" si="236"/>
        <v>0</v>
      </c>
      <c r="AW404" s="35">
        <f t="shared" si="237"/>
        <v>0</v>
      </c>
      <c r="AX404" s="35">
        <f t="shared" si="238"/>
        <v>0</v>
      </c>
      <c r="AY404" s="35">
        <f t="shared" si="239"/>
        <v>0</v>
      </c>
      <c r="AZ404" s="35">
        <f t="shared" si="240"/>
        <v>0</v>
      </c>
      <c r="BA404" s="35">
        <f t="shared" si="241"/>
        <v>0</v>
      </c>
      <c r="BB404" s="35">
        <f t="shared" si="242"/>
        <v>0</v>
      </c>
      <c r="BC404" s="35">
        <f t="shared" si="243"/>
        <v>0</v>
      </c>
    </row>
    <row r="405" spans="1:55" s="35" customFormat="1" x14ac:dyDescent="0.35">
      <c r="A405" s="36">
        <v>41136</v>
      </c>
      <c r="B405" s="35" t="s">
        <v>206</v>
      </c>
      <c r="C405" s="35" t="s">
        <v>45</v>
      </c>
      <c r="D405" s="35" t="s">
        <v>45</v>
      </c>
      <c r="E405" s="139" t="s">
        <v>47</v>
      </c>
      <c r="F405" s="139">
        <f t="shared" si="216"/>
        <v>0</v>
      </c>
      <c r="G405" s="35">
        <v>3300000000</v>
      </c>
      <c r="H405" s="139">
        <f t="shared" si="217"/>
        <v>9.518513939877888</v>
      </c>
      <c r="I405" s="35">
        <v>3300000000</v>
      </c>
      <c r="J405" s="35">
        <v>0</v>
      </c>
      <c r="K405" s="36">
        <v>43199</v>
      </c>
      <c r="L405" s="35">
        <v>3000000000</v>
      </c>
      <c r="M405" s="21">
        <f t="shared" si="218"/>
        <v>5.6520547945205477</v>
      </c>
      <c r="N405" s="21">
        <f t="shared" si="244"/>
        <v>0.7522063635166768</v>
      </c>
      <c r="O405" s="35">
        <v>0</v>
      </c>
      <c r="P405" s="35">
        <f t="shared" si="219"/>
        <v>0</v>
      </c>
      <c r="Q405" s="35">
        <v>17</v>
      </c>
      <c r="R405" s="35">
        <f t="shared" si="220"/>
        <v>1.255272505103306</v>
      </c>
      <c r="S405" s="45">
        <v>2.95</v>
      </c>
      <c r="T405" s="45">
        <f t="shared" si="245"/>
        <v>0.46982201597816303</v>
      </c>
      <c r="U405" s="175">
        <f t="shared" si="221"/>
        <v>-9.0909090909090939E-2</v>
      </c>
      <c r="V405" s="48">
        <f t="shared" si="222"/>
        <v>-4.1392685158225057E-2</v>
      </c>
      <c r="W405" s="35">
        <v>1246.953</v>
      </c>
      <c r="X405" s="35">
        <f t="shared" si="223"/>
        <v>3.0958500844125241</v>
      </c>
      <c r="Y405" s="35">
        <v>3219.7179999999998</v>
      </c>
      <c r="Z405" s="35">
        <f t="shared" si="224"/>
        <v>3.5078178355445662</v>
      </c>
      <c r="AA405" s="37">
        <v>0</v>
      </c>
      <c r="AB405" s="37">
        <f t="shared" si="225"/>
        <v>0</v>
      </c>
      <c r="AC405" s="35">
        <v>91.1</v>
      </c>
      <c r="AD405" s="35">
        <f t="shared" si="246"/>
        <v>1.9595183769729982</v>
      </c>
      <c r="AE405" s="48">
        <v>24.1</v>
      </c>
      <c r="AF405" s="48">
        <f t="shared" si="247"/>
        <v>1.3820170425748683</v>
      </c>
      <c r="AG405" s="43">
        <v>40.229046020662899</v>
      </c>
      <c r="AH405" s="43">
        <f t="shared" si="248"/>
        <v>1.6045397339663818</v>
      </c>
      <c r="AI405" s="39">
        <v>-0.41</v>
      </c>
      <c r="AJ405" s="48">
        <f t="shared" si="226"/>
        <v>-0.22914798835785574</v>
      </c>
      <c r="AK405" s="35">
        <v>14</v>
      </c>
      <c r="AL405" s="35">
        <f t="shared" si="249"/>
        <v>1.146128035678238</v>
      </c>
      <c r="AM405" s="35">
        <f t="shared" si="227"/>
        <v>0</v>
      </c>
      <c r="AN405" s="35">
        <f t="shared" si="228"/>
        <v>1</v>
      </c>
      <c r="AO405" s="35">
        <f t="shared" si="229"/>
        <v>0</v>
      </c>
      <c r="AP405" s="35">
        <f t="shared" si="230"/>
        <v>0</v>
      </c>
      <c r="AQ405" s="35">
        <f t="shared" si="231"/>
        <v>0</v>
      </c>
      <c r="AR405" s="35">
        <f t="shared" si="232"/>
        <v>0</v>
      </c>
      <c r="AS405" s="35">
        <f t="shared" si="233"/>
        <v>0</v>
      </c>
      <c r="AT405" s="35">
        <f t="shared" si="234"/>
        <v>0</v>
      </c>
      <c r="AU405" s="35">
        <f t="shared" si="235"/>
        <v>0</v>
      </c>
      <c r="AV405" s="35">
        <f t="shared" si="236"/>
        <v>0</v>
      </c>
      <c r="AW405" s="35">
        <f t="shared" si="237"/>
        <v>0</v>
      </c>
      <c r="AX405" s="35">
        <f t="shared" si="238"/>
        <v>0</v>
      </c>
      <c r="AY405" s="35">
        <f t="shared" si="239"/>
        <v>0</v>
      </c>
      <c r="AZ405" s="35">
        <f t="shared" si="240"/>
        <v>0</v>
      </c>
      <c r="BA405" s="35">
        <f t="shared" si="241"/>
        <v>0</v>
      </c>
      <c r="BB405" s="35">
        <f t="shared" si="242"/>
        <v>0</v>
      </c>
      <c r="BC405" s="35">
        <f t="shared" si="243"/>
        <v>0</v>
      </c>
    </row>
    <row r="406" spans="1:55" s="35" customFormat="1" x14ac:dyDescent="0.35">
      <c r="A406" s="36">
        <v>41148</v>
      </c>
      <c r="B406" s="139" t="s">
        <v>142</v>
      </c>
      <c r="C406" s="139" t="s">
        <v>45</v>
      </c>
      <c r="D406" s="139" t="s">
        <v>45</v>
      </c>
      <c r="E406" s="139" t="s">
        <v>102</v>
      </c>
      <c r="F406" s="139">
        <f t="shared" si="216"/>
        <v>0</v>
      </c>
      <c r="G406" s="139">
        <v>1028500000</v>
      </c>
      <c r="H406" s="139">
        <f t="shared" si="217"/>
        <v>9.0122042960307436</v>
      </c>
      <c r="I406" s="139">
        <v>915960000</v>
      </c>
      <c r="J406" s="139">
        <v>112540000</v>
      </c>
      <c r="K406" s="18">
        <v>42732</v>
      </c>
      <c r="L406" s="139">
        <v>2800000000</v>
      </c>
      <c r="M406" s="21">
        <f t="shared" si="218"/>
        <v>4.3397260273972602</v>
      </c>
      <c r="N406" s="21">
        <f t="shared" si="244"/>
        <v>0.63746231279699994</v>
      </c>
      <c r="O406" s="35">
        <v>0</v>
      </c>
      <c r="P406" s="35">
        <f t="shared" si="219"/>
        <v>0</v>
      </c>
      <c r="Q406" s="35">
        <v>29</v>
      </c>
      <c r="R406" s="35">
        <f t="shared" si="220"/>
        <v>1.4771212547196624</v>
      </c>
      <c r="S406" s="45">
        <v>2.95</v>
      </c>
      <c r="T406" s="45">
        <f t="shared" si="245"/>
        <v>0.46982201597816303</v>
      </c>
      <c r="U406" s="175">
        <f t="shared" si="221"/>
        <v>1.7224112785610113</v>
      </c>
      <c r="V406" s="48">
        <f t="shared" si="222"/>
        <v>0.43495373531147641</v>
      </c>
      <c r="W406" s="35">
        <v>4989.5876718034151</v>
      </c>
      <c r="X406" s="35">
        <f t="shared" si="223"/>
        <v>3.698064657996265</v>
      </c>
      <c r="Y406" s="14">
        <v>9014.9937526030826</v>
      </c>
      <c r="Z406" s="35">
        <f t="shared" si="224"/>
        <v>3.9549654300921482</v>
      </c>
      <c r="AA406" s="37">
        <v>0</v>
      </c>
      <c r="AB406" s="37">
        <f t="shared" si="225"/>
        <v>0</v>
      </c>
      <c r="AC406" s="35">
        <v>91.1</v>
      </c>
      <c r="AD406" s="35">
        <f t="shared" si="246"/>
        <v>1.9595183769729982</v>
      </c>
      <c r="AE406" s="48">
        <v>24.1</v>
      </c>
      <c r="AF406" s="48">
        <f t="shared" si="247"/>
        <v>1.3820170425748683</v>
      </c>
      <c r="AG406" s="43">
        <v>40.229046020662899</v>
      </c>
      <c r="AH406" s="43">
        <f t="shared" si="248"/>
        <v>1.6045397339663818</v>
      </c>
      <c r="AI406" s="39">
        <v>-0.09</v>
      </c>
      <c r="AJ406" s="48">
        <f t="shared" si="226"/>
        <v>-4.0958607678906384E-2</v>
      </c>
      <c r="AK406" s="35">
        <v>16</v>
      </c>
      <c r="AL406" s="35">
        <f t="shared" si="249"/>
        <v>1.2041199826559248</v>
      </c>
      <c r="AM406" s="35">
        <f t="shared" si="227"/>
        <v>0</v>
      </c>
      <c r="AN406" s="35">
        <f t="shared" si="228"/>
        <v>1</v>
      </c>
      <c r="AO406" s="35">
        <f t="shared" si="229"/>
        <v>0</v>
      </c>
      <c r="AP406" s="35">
        <f t="shared" si="230"/>
        <v>0</v>
      </c>
      <c r="AQ406" s="35">
        <f t="shared" si="231"/>
        <v>0</v>
      </c>
      <c r="AR406" s="35">
        <f t="shared" si="232"/>
        <v>0</v>
      </c>
      <c r="AS406" s="35">
        <f t="shared" si="233"/>
        <v>0</v>
      </c>
      <c r="AT406" s="35">
        <f t="shared" si="234"/>
        <v>0</v>
      </c>
      <c r="AU406" s="35">
        <f t="shared" si="235"/>
        <v>0</v>
      </c>
      <c r="AV406" s="35">
        <f t="shared" si="236"/>
        <v>0</v>
      </c>
      <c r="AW406" s="35">
        <f t="shared" si="237"/>
        <v>0</v>
      </c>
      <c r="AX406" s="35">
        <f t="shared" si="238"/>
        <v>0</v>
      </c>
      <c r="AY406" s="35">
        <f t="shared" si="239"/>
        <v>0</v>
      </c>
      <c r="AZ406" s="35">
        <f t="shared" si="240"/>
        <v>0</v>
      </c>
      <c r="BA406" s="35">
        <f t="shared" si="241"/>
        <v>0</v>
      </c>
      <c r="BB406" s="35">
        <f t="shared" si="242"/>
        <v>0</v>
      </c>
      <c r="BC406" s="35">
        <f t="shared" si="243"/>
        <v>0</v>
      </c>
    </row>
    <row r="407" spans="1:55" s="35" customFormat="1" ht="15.75" customHeight="1" x14ac:dyDescent="0.35">
      <c r="A407" s="36">
        <v>41151</v>
      </c>
      <c r="B407" s="35" t="s">
        <v>202</v>
      </c>
      <c r="C407" s="35" t="s">
        <v>45</v>
      </c>
      <c r="D407" s="35" t="s">
        <v>45</v>
      </c>
      <c r="E407" s="139" t="s">
        <v>47</v>
      </c>
      <c r="F407" s="139">
        <f t="shared" si="216"/>
        <v>0</v>
      </c>
      <c r="G407" s="35">
        <v>4900000000</v>
      </c>
      <c r="H407" s="139">
        <f t="shared" si="217"/>
        <v>9.6901960800285138</v>
      </c>
      <c r="I407" s="35">
        <v>4900000000</v>
      </c>
      <c r="J407" s="35">
        <v>0</v>
      </c>
      <c r="K407" s="36">
        <v>42189</v>
      </c>
      <c r="L407" s="35">
        <v>560000000</v>
      </c>
      <c r="M407" s="21">
        <f t="shared" si="218"/>
        <v>2.8438356164383563</v>
      </c>
      <c r="N407" s="21">
        <f t="shared" si="244"/>
        <v>0.45390448905596437</v>
      </c>
      <c r="O407" s="35">
        <v>0</v>
      </c>
      <c r="P407" s="35">
        <f t="shared" si="219"/>
        <v>0</v>
      </c>
      <c r="Q407" s="35">
        <v>146</v>
      </c>
      <c r="R407" s="35">
        <f t="shared" si="220"/>
        <v>2.167317334748176</v>
      </c>
      <c r="S407" s="45">
        <v>2.95</v>
      </c>
      <c r="T407" s="45">
        <f t="shared" si="245"/>
        <v>0.46982201597816303</v>
      </c>
      <c r="U407" s="175">
        <f t="shared" si="221"/>
        <v>-0.88571428571428568</v>
      </c>
      <c r="V407" s="48">
        <f t="shared" si="222"/>
        <v>-0.94200805302231305</v>
      </c>
      <c r="W407" s="35">
        <v>1246.953</v>
      </c>
      <c r="X407" s="35">
        <f t="shared" si="223"/>
        <v>3.0958500844125241</v>
      </c>
      <c r="Y407" s="35">
        <v>3219.7179999999998</v>
      </c>
      <c r="Z407" s="35">
        <f t="shared" si="224"/>
        <v>3.5078178355445662</v>
      </c>
      <c r="AA407" s="37">
        <v>0</v>
      </c>
      <c r="AB407" s="37">
        <f t="shared" si="225"/>
        <v>0</v>
      </c>
      <c r="AC407" s="35">
        <v>91.1</v>
      </c>
      <c r="AD407" s="35">
        <f t="shared" si="246"/>
        <v>1.9595183769729982</v>
      </c>
      <c r="AE407" s="48">
        <v>24.1</v>
      </c>
      <c r="AF407" s="48">
        <f t="shared" si="247"/>
        <v>1.3820170425748683</v>
      </c>
      <c r="AG407" s="43">
        <v>40.229046020662899</v>
      </c>
      <c r="AH407" s="43">
        <f t="shared" si="248"/>
        <v>1.6045397339663818</v>
      </c>
      <c r="AI407" s="39">
        <v>0.47</v>
      </c>
      <c r="AJ407" s="48">
        <f t="shared" si="226"/>
        <v>0.16731733474817609</v>
      </c>
      <c r="AK407" s="35">
        <v>5</v>
      </c>
      <c r="AL407" s="35">
        <f t="shared" si="249"/>
        <v>0.69897000433601886</v>
      </c>
      <c r="AM407" s="35">
        <f t="shared" si="227"/>
        <v>0</v>
      </c>
      <c r="AN407" s="35">
        <f t="shared" si="228"/>
        <v>1</v>
      </c>
      <c r="AO407" s="35">
        <f t="shared" si="229"/>
        <v>0</v>
      </c>
      <c r="AP407" s="35">
        <f t="shared" si="230"/>
        <v>0</v>
      </c>
      <c r="AQ407" s="35">
        <f t="shared" si="231"/>
        <v>0</v>
      </c>
      <c r="AR407" s="35">
        <f t="shared" si="232"/>
        <v>0</v>
      </c>
      <c r="AS407" s="35">
        <f t="shared" si="233"/>
        <v>0</v>
      </c>
      <c r="AT407" s="35">
        <f t="shared" si="234"/>
        <v>0</v>
      </c>
      <c r="AU407" s="35">
        <f t="shared" si="235"/>
        <v>0</v>
      </c>
      <c r="AV407" s="35">
        <f t="shared" si="236"/>
        <v>0</v>
      </c>
      <c r="AW407" s="35">
        <f t="shared" si="237"/>
        <v>0</v>
      </c>
      <c r="AX407" s="35">
        <f t="shared" si="238"/>
        <v>0</v>
      </c>
      <c r="AY407" s="35">
        <f t="shared" si="239"/>
        <v>0</v>
      </c>
      <c r="AZ407" s="35">
        <f t="shared" si="240"/>
        <v>0</v>
      </c>
      <c r="BA407" s="35">
        <f t="shared" si="241"/>
        <v>0</v>
      </c>
      <c r="BB407" s="35">
        <f t="shared" si="242"/>
        <v>0</v>
      </c>
      <c r="BC407" s="35">
        <f t="shared" si="243"/>
        <v>0</v>
      </c>
    </row>
    <row r="408" spans="1:55" s="35" customFormat="1" x14ac:dyDescent="0.35">
      <c r="A408" s="36">
        <v>41152</v>
      </c>
      <c r="B408" s="90" t="s">
        <v>789</v>
      </c>
      <c r="C408" s="35" t="s">
        <v>59</v>
      </c>
      <c r="D408" s="35" t="s">
        <v>45</v>
      </c>
      <c r="E408" s="35" t="s">
        <v>64</v>
      </c>
      <c r="F408" s="139">
        <f t="shared" si="216"/>
        <v>1</v>
      </c>
      <c r="G408" s="35">
        <v>1100000000</v>
      </c>
      <c r="H408" s="139">
        <f t="shared" si="217"/>
        <v>9.0413926851582254</v>
      </c>
      <c r="I408" s="35">
        <f>G408</f>
        <v>1100000000</v>
      </c>
      <c r="J408" s="35">
        <v>0</v>
      </c>
      <c r="K408" s="36">
        <v>42143</v>
      </c>
      <c r="L408" s="35">
        <v>1850000000</v>
      </c>
      <c r="M408" s="21">
        <f t="shared" si="218"/>
        <v>2.7150684931506848</v>
      </c>
      <c r="N408" s="21">
        <f t="shared" si="244"/>
        <v>0.4337807900288006</v>
      </c>
      <c r="O408" s="35">
        <v>5897.96</v>
      </c>
      <c r="P408" s="35">
        <f t="shared" si="219"/>
        <v>3.7707754512906644</v>
      </c>
      <c r="Q408" s="35">
        <v>39</v>
      </c>
      <c r="R408" s="35">
        <f t="shared" si="220"/>
        <v>1.6020599913279623</v>
      </c>
      <c r="S408" s="45">
        <v>2.3199999999999998</v>
      </c>
      <c r="T408" s="45">
        <f t="shared" si="245"/>
        <v>0.36548798489089962</v>
      </c>
      <c r="U408" s="175">
        <f t="shared" si="221"/>
        <v>0.68181818181818188</v>
      </c>
      <c r="V408" s="48">
        <f t="shared" si="222"/>
        <v>0.22577904324478879</v>
      </c>
      <c r="W408" s="35">
        <v>2108.7257617728528</v>
      </c>
      <c r="X408" s="35">
        <f t="shared" si="223"/>
        <v>3.3240201037352737</v>
      </c>
      <c r="Y408" s="35">
        <v>5865.6509695290861</v>
      </c>
      <c r="Z408" s="35">
        <f t="shared" si="224"/>
        <v>3.7683162170970865</v>
      </c>
      <c r="AA408" s="37">
        <v>132</v>
      </c>
      <c r="AB408" s="37">
        <f t="shared" si="225"/>
        <v>2.1238516409670858</v>
      </c>
      <c r="AC408" s="35">
        <v>94.7</v>
      </c>
      <c r="AD408" s="35">
        <f t="shared" si="246"/>
        <v>1.9763499790032735</v>
      </c>
      <c r="AE408" s="48">
        <v>32.4</v>
      </c>
      <c r="AF408" s="48">
        <f t="shared" si="247"/>
        <v>1.510545010206612</v>
      </c>
      <c r="AG408" s="43">
        <v>45.737088331856903</v>
      </c>
      <c r="AH408" s="43">
        <f t="shared" si="248"/>
        <v>1.6602685135357675</v>
      </c>
      <c r="AI408" s="39">
        <v>-0.02</v>
      </c>
      <c r="AJ408" s="48">
        <f t="shared" si="226"/>
        <v>-8.7739243075051505E-3</v>
      </c>
      <c r="AK408" s="35">
        <v>6</v>
      </c>
      <c r="AL408" s="35">
        <f t="shared" si="249"/>
        <v>0.77815125038364363</v>
      </c>
      <c r="AM408" s="35">
        <f t="shared" si="227"/>
        <v>0</v>
      </c>
      <c r="AN408" s="35">
        <f t="shared" si="228"/>
        <v>0</v>
      </c>
      <c r="AO408" s="35">
        <f t="shared" si="229"/>
        <v>1</v>
      </c>
      <c r="AP408" s="35">
        <f t="shared" si="230"/>
        <v>0</v>
      </c>
      <c r="AQ408" s="35">
        <f t="shared" si="231"/>
        <v>0</v>
      </c>
      <c r="AR408" s="35">
        <f t="shared" si="232"/>
        <v>0</v>
      </c>
      <c r="AS408" s="35">
        <f t="shared" si="233"/>
        <v>0</v>
      </c>
      <c r="AT408" s="35">
        <f t="shared" si="234"/>
        <v>0</v>
      </c>
      <c r="AU408" s="35">
        <f t="shared" si="235"/>
        <v>0</v>
      </c>
      <c r="AV408" s="35">
        <f t="shared" si="236"/>
        <v>0</v>
      </c>
      <c r="AW408" s="35">
        <f t="shared" si="237"/>
        <v>0</v>
      </c>
      <c r="AX408" s="35">
        <f t="shared" si="238"/>
        <v>0</v>
      </c>
      <c r="AY408" s="35">
        <f t="shared" si="239"/>
        <v>0</v>
      </c>
      <c r="AZ408" s="35">
        <f t="shared" si="240"/>
        <v>0</v>
      </c>
      <c r="BA408" s="35">
        <f t="shared" si="241"/>
        <v>0</v>
      </c>
      <c r="BB408" s="35">
        <f t="shared" si="242"/>
        <v>0</v>
      </c>
      <c r="BC408" s="35">
        <f t="shared" si="243"/>
        <v>0</v>
      </c>
    </row>
    <row r="409" spans="1:55" s="35" customFormat="1" ht="21.75" customHeight="1" x14ac:dyDescent="0.35">
      <c r="A409" s="36">
        <v>41157</v>
      </c>
      <c r="B409" s="35" t="s">
        <v>707</v>
      </c>
      <c r="C409" s="35" t="s">
        <v>4</v>
      </c>
      <c r="D409" s="35" t="s">
        <v>1</v>
      </c>
      <c r="E409" s="35" t="s">
        <v>64</v>
      </c>
      <c r="F409" s="139">
        <f t="shared" si="216"/>
        <v>1</v>
      </c>
      <c r="G409" s="35">
        <v>95490000</v>
      </c>
      <c r="H409" s="139">
        <f t="shared" si="217"/>
        <v>7.9799578933406652</v>
      </c>
      <c r="I409" s="35">
        <f>G409</f>
        <v>95490000</v>
      </c>
      <c r="J409" s="35">
        <v>0</v>
      </c>
      <c r="K409" s="36">
        <v>42157</v>
      </c>
      <c r="L409" s="35">
        <v>234676112</v>
      </c>
      <c r="M409" s="21">
        <f t="shared" si="218"/>
        <v>2.7397260273972601</v>
      </c>
      <c r="N409" s="21">
        <f t="shared" si="244"/>
        <v>0.43770713554352525</v>
      </c>
      <c r="O409" s="35">
        <v>416.73</v>
      </c>
      <c r="P409" s="35">
        <f t="shared" si="219"/>
        <v>2.6208956659919629</v>
      </c>
      <c r="Q409" s="35">
        <v>16</v>
      </c>
      <c r="R409" s="35">
        <f t="shared" si="220"/>
        <v>1.2304489213782739</v>
      </c>
      <c r="S409" s="45">
        <v>3.49</v>
      </c>
      <c r="T409" s="45">
        <f t="shared" si="245"/>
        <v>0.5428254269591799</v>
      </c>
      <c r="U409" s="175">
        <f t="shared" si="221"/>
        <v>1.4575988271023146</v>
      </c>
      <c r="V409" s="48">
        <f t="shared" si="222"/>
        <v>0.39051099108289822</v>
      </c>
      <c r="W409" s="35">
        <v>2099.9405116002381</v>
      </c>
      <c r="X409" s="35">
        <f t="shared" si="223"/>
        <v>3.3222069919483515</v>
      </c>
      <c r="Y409" s="35">
        <v>9071.9809637120761</v>
      </c>
      <c r="Z409" s="35">
        <f t="shared" si="224"/>
        <v>3.9577021302433337</v>
      </c>
      <c r="AA409" s="37">
        <v>217.833333333333</v>
      </c>
      <c r="AB409" s="37">
        <f t="shared" si="225"/>
        <v>2.3401134757058348</v>
      </c>
      <c r="AC409" s="35">
        <v>94.6</v>
      </c>
      <c r="AD409" s="35">
        <f t="shared" si="246"/>
        <v>1.9758911364017928</v>
      </c>
      <c r="AE409" s="48">
        <v>42.6</v>
      </c>
      <c r="AF409" s="48">
        <f t="shared" si="247"/>
        <v>1.6294095991027189</v>
      </c>
      <c r="AG409" s="43">
        <v>51.303664454517403</v>
      </c>
      <c r="AH409" s="43">
        <f t="shared" si="248"/>
        <v>1.7101483864673446</v>
      </c>
      <c r="AI409" s="39">
        <v>-0.18</v>
      </c>
      <c r="AJ409" s="48">
        <f t="shared" si="226"/>
        <v>-8.6186147616283279E-2</v>
      </c>
      <c r="AK409" s="35">
        <v>7</v>
      </c>
      <c r="AL409" s="35">
        <f t="shared" si="249"/>
        <v>0.84509804001425681</v>
      </c>
      <c r="AM409" s="35">
        <f t="shared" si="227"/>
        <v>0</v>
      </c>
      <c r="AN409" s="35">
        <f t="shared" si="228"/>
        <v>0</v>
      </c>
      <c r="AO409" s="35">
        <f t="shared" si="229"/>
        <v>0</v>
      </c>
      <c r="AP409" s="35">
        <f t="shared" si="230"/>
        <v>0</v>
      </c>
      <c r="AQ409" s="35">
        <f t="shared" si="231"/>
        <v>0</v>
      </c>
      <c r="AR409" s="35">
        <f t="shared" si="232"/>
        <v>1</v>
      </c>
      <c r="AS409" s="35">
        <f t="shared" si="233"/>
        <v>0</v>
      </c>
      <c r="AT409" s="35">
        <f t="shared" si="234"/>
        <v>0</v>
      </c>
      <c r="AU409" s="35">
        <f t="shared" si="235"/>
        <v>0</v>
      </c>
      <c r="AV409" s="35">
        <f t="shared" si="236"/>
        <v>0</v>
      </c>
      <c r="AW409" s="35">
        <f t="shared" si="237"/>
        <v>0</v>
      </c>
      <c r="AX409" s="35">
        <f t="shared" si="238"/>
        <v>0</v>
      </c>
      <c r="AY409" s="35">
        <f t="shared" si="239"/>
        <v>0</v>
      </c>
      <c r="AZ409" s="35">
        <f t="shared" si="240"/>
        <v>0</v>
      </c>
      <c r="BA409" s="35">
        <f t="shared" si="241"/>
        <v>0</v>
      </c>
      <c r="BB409" s="35">
        <f t="shared" si="242"/>
        <v>0</v>
      </c>
      <c r="BC409" s="35">
        <f t="shared" si="243"/>
        <v>0</v>
      </c>
    </row>
    <row r="410" spans="1:55" s="35" customFormat="1" x14ac:dyDescent="0.35">
      <c r="A410" s="36">
        <v>41162</v>
      </c>
      <c r="B410" s="35" t="s">
        <v>252</v>
      </c>
      <c r="C410" s="35" t="s">
        <v>1</v>
      </c>
      <c r="D410" s="35" t="s">
        <v>4</v>
      </c>
      <c r="E410" s="35" t="s">
        <v>125</v>
      </c>
      <c r="F410" s="139">
        <f t="shared" si="216"/>
        <v>1</v>
      </c>
      <c r="G410" s="35">
        <v>261450000</v>
      </c>
      <c r="H410" s="139">
        <f t="shared" si="217"/>
        <v>8.4173886461656746</v>
      </c>
      <c r="I410" s="35">
        <v>261450000</v>
      </c>
      <c r="J410" s="35">
        <v>0</v>
      </c>
      <c r="K410" s="36">
        <v>43308</v>
      </c>
      <c r="L410" s="35">
        <v>440000000</v>
      </c>
      <c r="M410" s="21">
        <f t="shared" si="218"/>
        <v>5.8794520547945206</v>
      </c>
      <c r="N410" s="21">
        <f t="shared" si="244"/>
        <v>0.76933685317345757</v>
      </c>
      <c r="O410" s="35">
        <v>416.73</v>
      </c>
      <c r="P410" s="35">
        <f t="shared" si="219"/>
        <v>2.6208956659919629</v>
      </c>
      <c r="Q410" s="35">
        <v>11</v>
      </c>
      <c r="R410" s="35">
        <f t="shared" si="220"/>
        <v>1.0791812460476249</v>
      </c>
      <c r="S410" s="45">
        <v>3.65</v>
      </c>
      <c r="T410" s="45">
        <f t="shared" si="245"/>
        <v>0.56229286445647475</v>
      </c>
      <c r="U410" s="175">
        <f t="shared" si="221"/>
        <v>0.68292216484987578</v>
      </c>
      <c r="V410" s="48">
        <f t="shared" si="222"/>
        <v>0.22606403032051303</v>
      </c>
      <c r="W410" s="35">
        <v>1450.8446376578247</v>
      </c>
      <c r="X410" s="35">
        <f t="shared" si="223"/>
        <v>3.1616209089088487</v>
      </c>
      <c r="Y410" s="35">
        <v>6306.1358665754287</v>
      </c>
      <c r="Z410" s="35">
        <f t="shared" si="224"/>
        <v>3.7997633234477775</v>
      </c>
      <c r="AA410" s="37">
        <v>217.833333333333</v>
      </c>
      <c r="AB410" s="37">
        <f t="shared" si="225"/>
        <v>2.3401134757058348</v>
      </c>
      <c r="AC410" s="35">
        <v>88.4</v>
      </c>
      <c r="AD410" s="35">
        <f t="shared" si="246"/>
        <v>1.9464522650130731</v>
      </c>
      <c r="AE410" s="48">
        <v>41.5</v>
      </c>
      <c r="AF410" s="48">
        <f t="shared" si="247"/>
        <v>1.6180480967120927</v>
      </c>
      <c r="AG410" s="43">
        <v>42.888893081396603</v>
      </c>
      <c r="AH410" s="43">
        <f t="shared" si="248"/>
        <v>1.6323448376859169</v>
      </c>
      <c r="AI410" s="39">
        <v>-0.23</v>
      </c>
      <c r="AJ410" s="48">
        <f t="shared" si="226"/>
        <v>-0.11350927482751812</v>
      </c>
      <c r="AK410" s="35">
        <v>8</v>
      </c>
      <c r="AL410" s="35">
        <f t="shared" si="249"/>
        <v>0.90308998699194354</v>
      </c>
      <c r="AM410" s="35">
        <f t="shared" si="227"/>
        <v>0</v>
      </c>
      <c r="AN410" s="35">
        <f t="shared" si="228"/>
        <v>0</v>
      </c>
      <c r="AO410" s="35">
        <f t="shared" si="229"/>
        <v>0</v>
      </c>
      <c r="AP410" s="35">
        <f t="shared" si="230"/>
        <v>1</v>
      </c>
      <c r="AQ410" s="35">
        <f t="shared" si="231"/>
        <v>0</v>
      </c>
      <c r="AR410" s="35">
        <f t="shared" si="232"/>
        <v>0</v>
      </c>
      <c r="AS410" s="35">
        <f t="shared" si="233"/>
        <v>0</v>
      </c>
      <c r="AT410" s="35">
        <f t="shared" si="234"/>
        <v>0</v>
      </c>
      <c r="AU410" s="35">
        <f t="shared" si="235"/>
        <v>0</v>
      </c>
      <c r="AV410" s="35">
        <f t="shared" si="236"/>
        <v>0</v>
      </c>
      <c r="AW410" s="35">
        <f t="shared" si="237"/>
        <v>0</v>
      </c>
      <c r="AX410" s="35">
        <f t="shared" si="238"/>
        <v>0</v>
      </c>
      <c r="AY410" s="35">
        <f t="shared" si="239"/>
        <v>0</v>
      </c>
      <c r="AZ410" s="35">
        <f t="shared" si="240"/>
        <v>0</v>
      </c>
      <c r="BA410" s="35">
        <f t="shared" si="241"/>
        <v>0</v>
      </c>
      <c r="BB410" s="35">
        <f t="shared" si="242"/>
        <v>0</v>
      </c>
      <c r="BC410" s="35">
        <f t="shared" si="243"/>
        <v>0</v>
      </c>
    </row>
    <row r="411" spans="1:55" s="35" customFormat="1" x14ac:dyDescent="0.35">
      <c r="A411" s="36">
        <v>41163</v>
      </c>
      <c r="B411" s="35" t="s">
        <v>906</v>
      </c>
      <c r="C411" s="35" t="s">
        <v>59</v>
      </c>
      <c r="D411" s="35" t="s">
        <v>59</v>
      </c>
      <c r="E411" s="35" t="s">
        <v>47</v>
      </c>
      <c r="F411" s="139">
        <f t="shared" si="216"/>
        <v>0</v>
      </c>
      <c r="G411" s="35">
        <v>50000000</v>
      </c>
      <c r="H411" s="139">
        <f t="shared" si="217"/>
        <v>7.6989700043360187</v>
      </c>
      <c r="I411" s="35">
        <f>G411</f>
        <v>50000000</v>
      </c>
      <c r="J411" s="35">
        <v>0</v>
      </c>
      <c r="K411" s="36">
        <v>42331</v>
      </c>
      <c r="L411" s="35">
        <v>0</v>
      </c>
      <c r="M411" s="21">
        <f t="shared" si="218"/>
        <v>3.2</v>
      </c>
      <c r="N411" s="21">
        <f t="shared" si="244"/>
        <v>0.50514997831990605</v>
      </c>
      <c r="O411" s="35">
        <v>0</v>
      </c>
      <c r="P411" s="35">
        <f t="shared" si="219"/>
        <v>0</v>
      </c>
      <c r="Q411" s="35">
        <v>10</v>
      </c>
      <c r="R411" s="35">
        <f t="shared" si="220"/>
        <v>1.0413926851582251</v>
      </c>
      <c r="S411" s="45">
        <v>3.29</v>
      </c>
      <c r="T411" s="45">
        <f t="shared" si="245"/>
        <v>0.51719589794997434</v>
      </c>
      <c r="U411" s="175">
        <f t="shared" si="221"/>
        <v>-1</v>
      </c>
      <c r="V411" s="48">
        <f t="shared" si="222"/>
        <v>-1</v>
      </c>
      <c r="W411" s="35">
        <v>3425.6694367497698</v>
      </c>
      <c r="X411" s="35">
        <f t="shared" si="223"/>
        <v>3.5347454529897258</v>
      </c>
      <c r="Y411" s="35">
        <v>9322.8685749461365</v>
      </c>
      <c r="Z411" s="35">
        <f t="shared" si="224"/>
        <v>3.9695495619878729</v>
      </c>
      <c r="AA411" s="37">
        <v>0</v>
      </c>
      <c r="AB411" s="37">
        <f t="shared" si="225"/>
        <v>0</v>
      </c>
      <c r="AC411" s="35">
        <v>94.7</v>
      </c>
      <c r="AD411" s="35">
        <f t="shared" si="246"/>
        <v>1.9763499790032735</v>
      </c>
      <c r="AE411" s="48">
        <v>32.4</v>
      </c>
      <c r="AF411" s="48">
        <f t="shared" si="247"/>
        <v>1.510545010206612</v>
      </c>
      <c r="AG411" s="43">
        <v>45.737088331856903</v>
      </c>
      <c r="AH411" s="43">
        <f t="shared" si="248"/>
        <v>1.6602685135357675</v>
      </c>
      <c r="AI411" s="39">
        <v>0.15</v>
      </c>
      <c r="AJ411" s="48">
        <f t="shared" si="226"/>
        <v>6.069784035361165E-2</v>
      </c>
      <c r="AK411" s="35">
        <v>8</v>
      </c>
      <c r="AL411" s="35">
        <f t="shared" si="249"/>
        <v>0.90308998699194354</v>
      </c>
      <c r="AM411" s="35">
        <f t="shared" si="227"/>
        <v>1</v>
      </c>
      <c r="AN411" s="35">
        <f t="shared" si="228"/>
        <v>0</v>
      </c>
      <c r="AO411" s="35">
        <f t="shared" si="229"/>
        <v>1</v>
      </c>
      <c r="AP411" s="35">
        <f t="shared" si="230"/>
        <v>0</v>
      </c>
      <c r="AQ411" s="35">
        <f t="shared" si="231"/>
        <v>0</v>
      </c>
      <c r="AR411" s="35">
        <f t="shared" si="232"/>
        <v>0</v>
      </c>
      <c r="AS411" s="35">
        <f t="shared" si="233"/>
        <v>0</v>
      </c>
      <c r="AT411" s="35">
        <f t="shared" si="234"/>
        <v>0</v>
      </c>
      <c r="AU411" s="35">
        <f t="shared" si="235"/>
        <v>0</v>
      </c>
      <c r="AV411" s="35">
        <f t="shared" si="236"/>
        <v>0</v>
      </c>
      <c r="AW411" s="35">
        <f t="shared" si="237"/>
        <v>0</v>
      </c>
      <c r="AX411" s="35">
        <f t="shared" si="238"/>
        <v>0</v>
      </c>
      <c r="AY411" s="35">
        <f t="shared" si="239"/>
        <v>0</v>
      </c>
      <c r="AZ411" s="35">
        <f t="shared" si="240"/>
        <v>0</v>
      </c>
      <c r="BA411" s="35">
        <f t="shared" si="241"/>
        <v>0</v>
      </c>
      <c r="BB411" s="35">
        <f t="shared" si="242"/>
        <v>0</v>
      </c>
      <c r="BC411" s="35">
        <f t="shared" si="243"/>
        <v>0</v>
      </c>
    </row>
    <row r="412" spans="1:55" s="35" customFormat="1" ht="21" customHeight="1" x14ac:dyDescent="0.35">
      <c r="A412" s="36">
        <v>41183</v>
      </c>
      <c r="B412" s="35" t="s">
        <v>798</v>
      </c>
      <c r="C412" s="35" t="s">
        <v>45</v>
      </c>
      <c r="D412" s="35" t="s">
        <v>45</v>
      </c>
      <c r="E412" s="35" t="s">
        <v>47</v>
      </c>
      <c r="F412" s="139">
        <f t="shared" si="216"/>
        <v>0</v>
      </c>
      <c r="G412" s="35">
        <v>1394200000</v>
      </c>
      <c r="H412" s="139">
        <f t="shared" si="217"/>
        <v>9.1443250784004881</v>
      </c>
      <c r="I412" s="35">
        <v>1858310000</v>
      </c>
      <c r="J412" s="35">
        <v>75890000</v>
      </c>
      <c r="K412" s="36">
        <v>42275</v>
      </c>
      <c r="L412" s="35">
        <v>8090000000</v>
      </c>
      <c r="M412" s="21">
        <f t="shared" si="218"/>
        <v>2.9917808219178084</v>
      </c>
      <c r="N412" s="21">
        <f t="shared" si="244"/>
        <v>0.47592977391224373</v>
      </c>
      <c r="O412" s="35">
        <v>0</v>
      </c>
      <c r="P412" s="35">
        <f t="shared" si="219"/>
        <v>0</v>
      </c>
      <c r="Q412" s="35">
        <v>34</v>
      </c>
      <c r="R412" s="35">
        <f t="shared" si="220"/>
        <v>1.5440680443502757</v>
      </c>
      <c r="S412" s="45">
        <v>2.95</v>
      </c>
      <c r="T412" s="45">
        <f t="shared" si="245"/>
        <v>0.46982201597816303</v>
      </c>
      <c r="U412" s="175">
        <f t="shared" si="221"/>
        <v>4.8026108162387029</v>
      </c>
      <c r="V412" s="48">
        <f t="shared" si="222"/>
        <v>0.76362344321178399</v>
      </c>
      <c r="W412" s="35">
        <v>1455.046</v>
      </c>
      <c r="X412" s="35">
        <f t="shared" si="223"/>
        <v>3.1628767233771686</v>
      </c>
      <c r="Y412" s="35">
        <v>4062.5129999999999</v>
      </c>
      <c r="Z412" s="35">
        <f t="shared" si="224"/>
        <v>3.6087947637270492</v>
      </c>
      <c r="AA412" s="37">
        <v>0</v>
      </c>
      <c r="AB412" s="37">
        <f t="shared" si="225"/>
        <v>0</v>
      </c>
      <c r="AC412" s="35">
        <v>91.1</v>
      </c>
      <c r="AD412" s="35">
        <f t="shared" si="246"/>
        <v>1.9595183769729982</v>
      </c>
      <c r="AE412" s="48">
        <v>24.1</v>
      </c>
      <c r="AF412" s="48">
        <f t="shared" si="247"/>
        <v>1.3820170425748683</v>
      </c>
      <c r="AG412" s="43">
        <v>40.229046020662899</v>
      </c>
      <c r="AH412" s="43">
        <f t="shared" si="248"/>
        <v>1.6045397339663818</v>
      </c>
      <c r="AI412" s="39">
        <v>-0.02</v>
      </c>
      <c r="AJ412" s="48">
        <f t="shared" si="226"/>
        <v>-8.7739243075051505E-3</v>
      </c>
      <c r="AK412" s="35">
        <v>8</v>
      </c>
      <c r="AL412" s="35">
        <f t="shared" si="249"/>
        <v>0.90308998699194354</v>
      </c>
      <c r="AM412" s="35">
        <f t="shared" si="227"/>
        <v>0</v>
      </c>
      <c r="AN412" s="35">
        <f t="shared" si="228"/>
        <v>1</v>
      </c>
      <c r="AO412" s="35">
        <f t="shared" si="229"/>
        <v>0</v>
      </c>
      <c r="AP412" s="35">
        <f t="shared" si="230"/>
        <v>0</v>
      </c>
      <c r="AQ412" s="35">
        <f t="shared" si="231"/>
        <v>0</v>
      </c>
      <c r="AR412" s="35">
        <f t="shared" si="232"/>
        <v>0</v>
      </c>
      <c r="AS412" s="35">
        <f t="shared" si="233"/>
        <v>0</v>
      </c>
      <c r="AT412" s="35">
        <f t="shared" si="234"/>
        <v>0</v>
      </c>
      <c r="AU412" s="35">
        <f t="shared" si="235"/>
        <v>0</v>
      </c>
      <c r="AV412" s="35">
        <f t="shared" si="236"/>
        <v>0</v>
      </c>
      <c r="AW412" s="35">
        <f t="shared" si="237"/>
        <v>0</v>
      </c>
      <c r="AX412" s="35">
        <f t="shared" si="238"/>
        <v>0</v>
      </c>
      <c r="AY412" s="35">
        <f t="shared" si="239"/>
        <v>0</v>
      </c>
      <c r="AZ412" s="35">
        <f t="shared" si="240"/>
        <v>0</v>
      </c>
      <c r="BA412" s="35">
        <f t="shared" si="241"/>
        <v>0</v>
      </c>
      <c r="BB412" s="35">
        <f t="shared" si="242"/>
        <v>0</v>
      </c>
      <c r="BC412" s="35">
        <f t="shared" si="243"/>
        <v>0</v>
      </c>
    </row>
    <row r="413" spans="1:55" s="35" customFormat="1" ht="19.5" customHeight="1" x14ac:dyDescent="0.35">
      <c r="A413" s="36">
        <v>41183</v>
      </c>
      <c r="B413" s="35" t="s">
        <v>798</v>
      </c>
      <c r="C413" s="35" t="s">
        <v>45</v>
      </c>
      <c r="D413" s="35" t="s">
        <v>602</v>
      </c>
      <c r="E413" s="35" t="s">
        <v>47</v>
      </c>
      <c r="F413" s="139">
        <f t="shared" si="216"/>
        <v>0</v>
      </c>
      <c r="G413" s="35">
        <v>1934200000</v>
      </c>
      <c r="H413" s="139">
        <f t="shared" si="217"/>
        <v>9.2865013789535684</v>
      </c>
      <c r="I413" s="35">
        <v>1858310000</v>
      </c>
      <c r="J413" s="35">
        <v>75890000</v>
      </c>
      <c r="K413" s="36">
        <v>42245</v>
      </c>
      <c r="L413" s="35">
        <v>8090040000</v>
      </c>
      <c r="M413" s="21">
        <f t="shared" si="218"/>
        <v>2.9095890410958902</v>
      </c>
      <c r="N413" s="21">
        <f t="shared" si="244"/>
        <v>0.46383165228897555</v>
      </c>
      <c r="O413" s="35">
        <v>0</v>
      </c>
      <c r="P413" s="35">
        <f t="shared" si="219"/>
        <v>0</v>
      </c>
      <c r="Q413" s="35">
        <v>34</v>
      </c>
      <c r="R413" s="35">
        <f t="shared" si="220"/>
        <v>1.5440680443502757</v>
      </c>
      <c r="S413" s="45">
        <v>2.95</v>
      </c>
      <c r="T413" s="45">
        <f t="shared" si="245"/>
        <v>0.46982201597816303</v>
      </c>
      <c r="U413" s="175">
        <f t="shared" si="221"/>
        <v>3.1826284768896702</v>
      </c>
      <c r="V413" s="48">
        <f t="shared" si="222"/>
        <v>0.62144928996850934</v>
      </c>
      <c r="W413" s="35">
        <v>1455.046</v>
      </c>
      <c r="X413" s="35">
        <f t="shared" si="223"/>
        <v>3.1628767233771686</v>
      </c>
      <c r="Y413" s="35">
        <v>4062.5129999999999</v>
      </c>
      <c r="Z413" s="35">
        <f t="shared" si="224"/>
        <v>3.6087947637270492</v>
      </c>
      <c r="AA413" s="35">
        <v>0</v>
      </c>
      <c r="AB413" s="37">
        <f t="shared" si="225"/>
        <v>0</v>
      </c>
      <c r="AC413" s="35">
        <v>91.1</v>
      </c>
      <c r="AD413" s="35">
        <f t="shared" si="246"/>
        <v>1.9595183769729982</v>
      </c>
      <c r="AE413" s="48">
        <v>24.1</v>
      </c>
      <c r="AF413" s="48">
        <f t="shared" si="247"/>
        <v>1.3820170425748683</v>
      </c>
      <c r="AG413" s="43">
        <v>40.229046020662899</v>
      </c>
      <c r="AH413" s="43">
        <f t="shared" si="248"/>
        <v>1.6045397339663818</v>
      </c>
      <c r="AI413" s="39">
        <v>7.0000000000000007E-2</v>
      </c>
      <c r="AJ413" s="48">
        <f t="shared" si="226"/>
        <v>2.9383777685209667E-2</v>
      </c>
      <c r="AK413" s="35">
        <v>12</v>
      </c>
      <c r="AL413" s="35">
        <f t="shared" si="249"/>
        <v>1.0791812460476249</v>
      </c>
      <c r="AM413" s="35">
        <f t="shared" si="227"/>
        <v>0</v>
      </c>
      <c r="AN413" s="35">
        <f t="shared" si="228"/>
        <v>1</v>
      </c>
      <c r="AO413" s="35">
        <f t="shared" si="229"/>
        <v>0</v>
      </c>
      <c r="AP413" s="35">
        <f t="shared" si="230"/>
        <v>0</v>
      </c>
      <c r="AQ413" s="35">
        <f t="shared" si="231"/>
        <v>0</v>
      </c>
      <c r="AR413" s="35">
        <f t="shared" si="232"/>
        <v>0</v>
      </c>
      <c r="AS413" s="35">
        <f t="shared" si="233"/>
        <v>0</v>
      </c>
      <c r="AT413" s="35">
        <f t="shared" si="234"/>
        <v>0</v>
      </c>
      <c r="AU413" s="35">
        <f t="shared" si="235"/>
        <v>0</v>
      </c>
      <c r="AV413" s="35">
        <f t="shared" si="236"/>
        <v>0</v>
      </c>
      <c r="AW413" s="35">
        <f t="shared" si="237"/>
        <v>0</v>
      </c>
      <c r="AX413" s="35">
        <f t="shared" si="238"/>
        <v>0</v>
      </c>
      <c r="AY413" s="35">
        <f t="shared" si="239"/>
        <v>0</v>
      </c>
      <c r="AZ413" s="35">
        <f t="shared" si="240"/>
        <v>0</v>
      </c>
      <c r="BA413" s="35">
        <f t="shared" si="241"/>
        <v>0</v>
      </c>
      <c r="BB413" s="35">
        <f t="shared" si="242"/>
        <v>0</v>
      </c>
      <c r="BC413" s="35">
        <f t="shared" si="243"/>
        <v>0</v>
      </c>
    </row>
    <row r="414" spans="1:55" s="35" customFormat="1" ht="16.5" customHeight="1" x14ac:dyDescent="0.35">
      <c r="A414" s="36">
        <v>41197</v>
      </c>
      <c r="B414" s="35" t="s">
        <v>399</v>
      </c>
      <c r="C414" s="35" t="s">
        <v>2</v>
      </c>
      <c r="D414" s="35" t="s">
        <v>45</v>
      </c>
      <c r="E414" s="35" t="s">
        <v>125</v>
      </c>
      <c r="F414" s="139">
        <f t="shared" si="216"/>
        <v>1</v>
      </c>
      <c r="G414" s="35">
        <v>1498410000</v>
      </c>
      <c r="H414" s="139">
        <f t="shared" si="217"/>
        <v>9.1756306627456699</v>
      </c>
      <c r="I414" s="35">
        <v>1498410000</v>
      </c>
      <c r="J414" s="35">
        <v>0</v>
      </c>
      <c r="K414" s="36">
        <v>42156</v>
      </c>
      <c r="L414" s="35">
        <v>2800000000</v>
      </c>
      <c r="M414" s="21">
        <f t="shared" si="218"/>
        <v>2.6273972602739728</v>
      </c>
      <c r="N414" s="21">
        <f t="shared" si="244"/>
        <v>0.41952574271418891</v>
      </c>
      <c r="O414" s="35">
        <v>6815.73</v>
      </c>
      <c r="P414" s="35">
        <f t="shared" si="219"/>
        <v>3.8335760926148099</v>
      </c>
      <c r="Q414" s="35">
        <v>102</v>
      </c>
      <c r="R414" s="35">
        <f t="shared" si="220"/>
        <v>2.012837224705172</v>
      </c>
      <c r="S414" s="45">
        <v>2.85</v>
      </c>
      <c r="T414" s="45">
        <f t="shared" si="245"/>
        <v>0.45484486000851021</v>
      </c>
      <c r="U414" s="175">
        <f t="shared" si="221"/>
        <v>0.86864743294558888</v>
      </c>
      <c r="V414" s="48">
        <f t="shared" si="222"/>
        <v>0.27152736859654975</v>
      </c>
      <c r="W414" s="35">
        <v>1248.0746999999999</v>
      </c>
      <c r="X414" s="35">
        <f t="shared" si="223"/>
        <v>3.0962405795987471</v>
      </c>
      <c r="Y414" s="35">
        <v>2518.2170000000001</v>
      </c>
      <c r="Z414" s="35">
        <f t="shared" si="224"/>
        <v>3.4010931514437841</v>
      </c>
      <c r="AA414" s="37">
        <v>819</v>
      </c>
      <c r="AB414" s="37">
        <f t="shared" si="225"/>
        <v>2.9138138523837167</v>
      </c>
      <c r="AC414" s="35">
        <v>90.5</v>
      </c>
      <c r="AD414" s="35">
        <f t="shared" si="246"/>
        <v>1.9566485792052033</v>
      </c>
      <c r="AE414" s="48">
        <v>36.4</v>
      </c>
      <c r="AF414" s="48">
        <f t="shared" si="247"/>
        <v>1.5611013836490559</v>
      </c>
      <c r="AG414" s="43">
        <v>44.295389122127702</v>
      </c>
      <c r="AH414" s="43">
        <f t="shared" si="248"/>
        <v>1.6463585211883986</v>
      </c>
      <c r="AI414" s="39">
        <v>0.37</v>
      </c>
      <c r="AJ414" s="48">
        <f t="shared" si="226"/>
        <v>0.13672056715640679</v>
      </c>
      <c r="AK414" s="35">
        <v>12</v>
      </c>
      <c r="AL414" s="35">
        <f t="shared" si="249"/>
        <v>1.0791812460476249</v>
      </c>
      <c r="AM414" s="35">
        <f t="shared" si="227"/>
        <v>0</v>
      </c>
      <c r="AN414" s="35">
        <f t="shared" si="228"/>
        <v>0</v>
      </c>
      <c r="AO414" s="35">
        <f t="shared" si="229"/>
        <v>0</v>
      </c>
      <c r="AP414" s="35">
        <f t="shared" si="230"/>
        <v>0</v>
      </c>
      <c r="AQ414" s="35">
        <f t="shared" si="231"/>
        <v>0</v>
      </c>
      <c r="AR414" s="35">
        <f t="shared" si="232"/>
        <v>0</v>
      </c>
      <c r="AS414" s="35">
        <f t="shared" si="233"/>
        <v>0</v>
      </c>
      <c r="AT414" s="35">
        <f t="shared" si="234"/>
        <v>0</v>
      </c>
      <c r="AU414" s="35">
        <f t="shared" si="235"/>
        <v>0</v>
      </c>
      <c r="AV414" s="35">
        <f t="shared" si="236"/>
        <v>1</v>
      </c>
      <c r="AW414" s="35">
        <f t="shared" si="237"/>
        <v>0</v>
      </c>
      <c r="AX414" s="35">
        <f t="shared" si="238"/>
        <v>0</v>
      </c>
      <c r="AY414" s="35">
        <f t="shared" si="239"/>
        <v>0</v>
      </c>
      <c r="AZ414" s="35">
        <f t="shared" si="240"/>
        <v>0</v>
      </c>
      <c r="BA414" s="35">
        <f t="shared" si="241"/>
        <v>0</v>
      </c>
      <c r="BB414" s="35">
        <f t="shared" si="242"/>
        <v>0</v>
      </c>
      <c r="BC414" s="35">
        <f t="shared" si="243"/>
        <v>0</v>
      </c>
    </row>
    <row r="415" spans="1:55" s="35" customFormat="1" x14ac:dyDescent="0.35">
      <c r="A415" s="36">
        <v>41204</v>
      </c>
      <c r="B415" s="139" t="s">
        <v>145</v>
      </c>
      <c r="C415" s="139" t="s">
        <v>45</v>
      </c>
      <c r="D415" s="139" t="s">
        <v>45</v>
      </c>
      <c r="E415" s="139" t="s">
        <v>102</v>
      </c>
      <c r="F415" s="139">
        <f t="shared" si="216"/>
        <v>0</v>
      </c>
      <c r="G415" s="139">
        <v>1441900000</v>
      </c>
      <c r="H415" s="139">
        <f t="shared" si="217"/>
        <v>9.1589351418299181</v>
      </c>
      <c r="I415" s="139">
        <v>1481520000</v>
      </c>
      <c r="J415" s="139">
        <v>-39620000</v>
      </c>
      <c r="K415" s="18">
        <v>42513</v>
      </c>
      <c r="L415" s="139">
        <v>2600000000</v>
      </c>
      <c r="M415" s="21">
        <f t="shared" si="218"/>
        <v>3.5863013698630137</v>
      </c>
      <c r="N415" s="21">
        <f t="shared" si="244"/>
        <v>0.55464678209428109</v>
      </c>
      <c r="O415" s="35">
        <v>0</v>
      </c>
      <c r="P415" s="35">
        <f t="shared" si="219"/>
        <v>0</v>
      </c>
      <c r="Q415" s="35">
        <v>29</v>
      </c>
      <c r="R415" s="35">
        <f t="shared" si="220"/>
        <v>1.4771212547196624</v>
      </c>
      <c r="S415" s="45">
        <v>2.95</v>
      </c>
      <c r="T415" s="45">
        <f t="shared" si="245"/>
        <v>0.46982201597816303</v>
      </c>
      <c r="U415" s="175">
        <f t="shared" si="221"/>
        <v>0.80317636451903729</v>
      </c>
      <c r="V415" s="48">
        <f t="shared" si="222"/>
        <v>0.25603820614089967</v>
      </c>
      <c r="W415" s="35">
        <v>1861.76</v>
      </c>
      <c r="X415" s="35">
        <f t="shared" si="223"/>
        <v>3.2699236952309465</v>
      </c>
      <c r="Y415" s="35">
        <v>4993.92</v>
      </c>
      <c r="Z415" s="35">
        <f t="shared" si="224"/>
        <v>3.6984415808994222</v>
      </c>
      <c r="AA415" s="37">
        <v>0</v>
      </c>
      <c r="AB415" s="37">
        <f t="shared" si="225"/>
        <v>0</v>
      </c>
      <c r="AC415" s="35">
        <v>91.1</v>
      </c>
      <c r="AD415" s="35">
        <f t="shared" si="246"/>
        <v>1.9595183769729982</v>
      </c>
      <c r="AE415" s="48">
        <v>24.1</v>
      </c>
      <c r="AF415" s="48">
        <f t="shared" si="247"/>
        <v>1.3820170425748683</v>
      </c>
      <c r="AG415" s="43">
        <v>40.229046020662899</v>
      </c>
      <c r="AH415" s="43">
        <f t="shared" si="248"/>
        <v>1.6045397339663818</v>
      </c>
      <c r="AI415" s="39">
        <v>0.47</v>
      </c>
      <c r="AJ415" s="48">
        <f t="shared" si="226"/>
        <v>0.16731733474817609</v>
      </c>
      <c r="AK415" s="35">
        <v>13</v>
      </c>
      <c r="AL415" s="35">
        <f t="shared" si="249"/>
        <v>1.1139433523068367</v>
      </c>
      <c r="AM415" s="35">
        <f t="shared" si="227"/>
        <v>0</v>
      </c>
      <c r="AN415" s="35">
        <f t="shared" si="228"/>
        <v>1</v>
      </c>
      <c r="AO415" s="35">
        <f t="shared" si="229"/>
        <v>0</v>
      </c>
      <c r="AP415" s="35">
        <f t="shared" si="230"/>
        <v>0</v>
      </c>
      <c r="AQ415" s="35">
        <f t="shared" si="231"/>
        <v>0</v>
      </c>
      <c r="AR415" s="35">
        <f t="shared" si="232"/>
        <v>0</v>
      </c>
      <c r="AS415" s="35">
        <f t="shared" si="233"/>
        <v>0</v>
      </c>
      <c r="AT415" s="35">
        <f t="shared" si="234"/>
        <v>0</v>
      </c>
      <c r="AU415" s="35">
        <f t="shared" si="235"/>
        <v>0</v>
      </c>
      <c r="AV415" s="35">
        <f t="shared" si="236"/>
        <v>0</v>
      </c>
      <c r="AW415" s="35">
        <f t="shared" si="237"/>
        <v>0</v>
      </c>
      <c r="AX415" s="35">
        <f t="shared" si="238"/>
        <v>0</v>
      </c>
      <c r="AY415" s="35">
        <f t="shared" si="239"/>
        <v>0</v>
      </c>
      <c r="AZ415" s="35">
        <f t="shared" si="240"/>
        <v>0</v>
      </c>
      <c r="BA415" s="35">
        <f t="shared" si="241"/>
        <v>0</v>
      </c>
      <c r="BB415" s="35">
        <f t="shared" si="242"/>
        <v>0</v>
      </c>
      <c r="BC415" s="35">
        <f t="shared" si="243"/>
        <v>0</v>
      </c>
    </row>
    <row r="416" spans="1:55" s="35" customFormat="1" ht="15" customHeight="1" x14ac:dyDescent="0.35">
      <c r="A416" s="36">
        <v>41214</v>
      </c>
      <c r="B416" s="35" t="s">
        <v>788</v>
      </c>
      <c r="C416" s="35" t="s">
        <v>59</v>
      </c>
      <c r="D416" s="35" t="s">
        <v>59</v>
      </c>
      <c r="E416" s="35" t="s">
        <v>47</v>
      </c>
      <c r="F416" s="139">
        <f t="shared" si="216"/>
        <v>0</v>
      </c>
      <c r="G416" s="35">
        <v>867807686</v>
      </c>
      <c r="H416" s="139">
        <f t="shared" si="217"/>
        <v>8.9384234922700383</v>
      </c>
      <c r="I416" s="35">
        <f>G416</f>
        <v>867807686</v>
      </c>
      <c r="J416" s="35">
        <v>0</v>
      </c>
      <c r="K416" s="36">
        <v>42017</v>
      </c>
      <c r="L416" s="35">
        <v>462000000</v>
      </c>
      <c r="M416" s="21">
        <f t="shared" si="218"/>
        <v>2.2000000000000002</v>
      </c>
      <c r="N416" s="21">
        <f t="shared" si="244"/>
        <v>0.34242268082220628</v>
      </c>
      <c r="O416" s="35">
        <v>0</v>
      </c>
      <c r="P416" s="35">
        <f t="shared" si="219"/>
        <v>0</v>
      </c>
      <c r="Q416" s="35">
        <v>26</v>
      </c>
      <c r="R416" s="35">
        <f t="shared" si="220"/>
        <v>1.4313637641589874</v>
      </c>
      <c r="S416" s="45">
        <v>3.29</v>
      </c>
      <c r="T416" s="45">
        <f t="shared" si="245"/>
        <v>0.51719589794997434</v>
      </c>
      <c r="U416" s="175">
        <f t="shared" si="221"/>
        <v>-0.46762398230245683</v>
      </c>
      <c r="V416" s="48">
        <f t="shared" si="222"/>
        <v>-0.27378151671391243</v>
      </c>
      <c r="W416" s="35">
        <v>1447.5557664926437</v>
      </c>
      <c r="X416" s="35">
        <f t="shared" si="223"/>
        <v>3.1606353037386858</v>
      </c>
      <c r="Y416" s="35">
        <v>9478.5929515126791</v>
      </c>
      <c r="Z416" s="35">
        <f t="shared" si="224"/>
        <v>3.9767438733352263</v>
      </c>
      <c r="AA416" s="37">
        <v>0</v>
      </c>
      <c r="AB416" s="37">
        <f t="shared" si="225"/>
        <v>0</v>
      </c>
      <c r="AC416" s="35">
        <v>94.7</v>
      </c>
      <c r="AD416" s="35">
        <f t="shared" si="246"/>
        <v>1.9763499790032735</v>
      </c>
      <c r="AE416" s="48">
        <v>32.4</v>
      </c>
      <c r="AF416" s="48">
        <f t="shared" si="247"/>
        <v>1.510545010206612</v>
      </c>
      <c r="AG416" s="43">
        <v>45.737088331856903</v>
      </c>
      <c r="AH416" s="43">
        <f t="shared" si="248"/>
        <v>1.6602685135357675</v>
      </c>
      <c r="AI416" s="39">
        <v>0.06</v>
      </c>
      <c r="AJ416" s="48">
        <f t="shared" si="226"/>
        <v>2.5305865264770262E-2</v>
      </c>
      <c r="AK416" s="35">
        <v>12</v>
      </c>
      <c r="AL416" s="35">
        <f t="shared" si="249"/>
        <v>1.0791812460476249</v>
      </c>
      <c r="AM416" s="35">
        <f t="shared" si="227"/>
        <v>0</v>
      </c>
      <c r="AN416" s="35">
        <f t="shared" si="228"/>
        <v>0</v>
      </c>
      <c r="AO416" s="35">
        <f t="shared" si="229"/>
        <v>1</v>
      </c>
      <c r="AP416" s="35">
        <f t="shared" si="230"/>
        <v>0</v>
      </c>
      <c r="AQ416" s="35">
        <f t="shared" si="231"/>
        <v>0</v>
      </c>
      <c r="AR416" s="35">
        <f t="shared" si="232"/>
        <v>0</v>
      </c>
      <c r="AS416" s="35">
        <f t="shared" si="233"/>
        <v>0</v>
      </c>
      <c r="AT416" s="35">
        <f t="shared" si="234"/>
        <v>0</v>
      </c>
      <c r="AU416" s="35">
        <f t="shared" si="235"/>
        <v>0</v>
      </c>
      <c r="AV416" s="35">
        <f t="shared" si="236"/>
        <v>0</v>
      </c>
      <c r="AW416" s="35">
        <f t="shared" si="237"/>
        <v>0</v>
      </c>
      <c r="AX416" s="35">
        <f t="shared" si="238"/>
        <v>0</v>
      </c>
      <c r="AY416" s="35">
        <f t="shared" si="239"/>
        <v>0</v>
      </c>
      <c r="AZ416" s="35">
        <f t="shared" si="240"/>
        <v>0</v>
      </c>
      <c r="BA416" s="35">
        <f t="shared" si="241"/>
        <v>0</v>
      </c>
      <c r="BB416" s="35">
        <f t="shared" si="242"/>
        <v>0</v>
      </c>
      <c r="BC416" s="35">
        <f t="shared" si="243"/>
        <v>0</v>
      </c>
    </row>
    <row r="417" spans="1:55" s="35" customFormat="1" x14ac:dyDescent="0.35">
      <c r="A417" s="36">
        <v>41219</v>
      </c>
      <c r="B417" s="35" t="s">
        <v>274</v>
      </c>
      <c r="C417" s="35" t="s">
        <v>2</v>
      </c>
      <c r="D417" s="35" t="s">
        <v>4</v>
      </c>
      <c r="E417" s="35" t="s">
        <v>125</v>
      </c>
      <c r="F417" s="139">
        <f t="shared" si="216"/>
        <v>1</v>
      </c>
      <c r="G417" s="35">
        <v>1800000000</v>
      </c>
      <c r="H417" s="139">
        <f t="shared" si="217"/>
        <v>9.2552725051033065</v>
      </c>
      <c r="I417" s="35">
        <v>1800000000</v>
      </c>
      <c r="J417" s="35">
        <v>0</v>
      </c>
      <c r="K417" s="36">
        <v>42798</v>
      </c>
      <c r="L417" s="35">
        <v>2740000000</v>
      </c>
      <c r="M417" s="21">
        <f t="shared" si="218"/>
        <v>4.3260273972602743</v>
      </c>
      <c r="N417" s="21">
        <f t="shared" si="244"/>
        <v>0.63608926555181955</v>
      </c>
      <c r="O417" s="35">
        <v>1314.22</v>
      </c>
      <c r="P417" s="35">
        <f t="shared" si="219"/>
        <v>3.1189984043805832</v>
      </c>
      <c r="Q417" s="35">
        <v>11</v>
      </c>
      <c r="R417" s="35">
        <f t="shared" si="220"/>
        <v>1.0791812460476249</v>
      </c>
      <c r="S417" s="45">
        <v>3.13</v>
      </c>
      <c r="T417" s="45">
        <f t="shared" si="245"/>
        <v>0.49554433754644844</v>
      </c>
      <c r="U417" s="175">
        <f t="shared" si="221"/>
        <v>0.52222222222222214</v>
      </c>
      <c r="V417" s="48">
        <f t="shared" si="222"/>
        <v>0.18247805771708187</v>
      </c>
      <c r="W417" s="35">
        <v>1450.8446376578247</v>
      </c>
      <c r="X417" s="35">
        <f t="shared" si="223"/>
        <v>3.1616209089088487</v>
      </c>
      <c r="Y417" s="35">
        <v>6306.1358665754287</v>
      </c>
      <c r="Z417" s="35">
        <f t="shared" si="224"/>
        <v>3.7997633234477775</v>
      </c>
      <c r="AA417" s="37">
        <v>1177</v>
      </c>
      <c r="AB417" s="37">
        <f t="shared" si="225"/>
        <v>3.0711452904510828</v>
      </c>
      <c r="AC417" s="35">
        <v>90.5</v>
      </c>
      <c r="AD417" s="35">
        <f t="shared" si="246"/>
        <v>1.9566485792052033</v>
      </c>
      <c r="AE417" s="48">
        <v>36.4</v>
      </c>
      <c r="AF417" s="48">
        <f t="shared" si="247"/>
        <v>1.5611013836490559</v>
      </c>
      <c r="AG417" s="43">
        <v>44.295389122127702</v>
      </c>
      <c r="AH417" s="43">
        <f t="shared" si="248"/>
        <v>1.6463585211883986</v>
      </c>
      <c r="AI417" s="39">
        <v>0.56000000000000005</v>
      </c>
      <c r="AJ417" s="48">
        <f t="shared" si="226"/>
        <v>0.19312459835446161</v>
      </c>
      <c r="AK417" s="35">
        <v>15</v>
      </c>
      <c r="AL417" s="35">
        <f t="shared" si="249"/>
        <v>1.1760912590556813</v>
      </c>
      <c r="AM417" s="35">
        <f t="shared" si="227"/>
        <v>0</v>
      </c>
      <c r="AN417" s="35">
        <f t="shared" si="228"/>
        <v>0</v>
      </c>
      <c r="AO417" s="35">
        <f t="shared" si="229"/>
        <v>0</v>
      </c>
      <c r="AP417" s="35">
        <f t="shared" si="230"/>
        <v>0</v>
      </c>
      <c r="AQ417" s="35">
        <f t="shared" si="231"/>
        <v>0</v>
      </c>
      <c r="AR417" s="35">
        <f t="shared" si="232"/>
        <v>0</v>
      </c>
      <c r="AS417" s="35">
        <f t="shared" si="233"/>
        <v>0</v>
      </c>
      <c r="AT417" s="35">
        <f t="shared" si="234"/>
        <v>0</v>
      </c>
      <c r="AU417" s="35">
        <f t="shared" si="235"/>
        <v>0</v>
      </c>
      <c r="AV417" s="35">
        <f t="shared" si="236"/>
        <v>1</v>
      </c>
      <c r="AW417" s="35">
        <f t="shared" si="237"/>
        <v>0</v>
      </c>
      <c r="AX417" s="35">
        <f t="shared" si="238"/>
        <v>0</v>
      </c>
      <c r="AY417" s="35">
        <f t="shared" si="239"/>
        <v>0</v>
      </c>
      <c r="AZ417" s="35">
        <f t="shared" si="240"/>
        <v>0</v>
      </c>
      <c r="BA417" s="35">
        <f t="shared" si="241"/>
        <v>0</v>
      </c>
      <c r="BB417" s="35">
        <f t="shared" si="242"/>
        <v>0</v>
      </c>
      <c r="BC417" s="35">
        <f t="shared" si="243"/>
        <v>0</v>
      </c>
    </row>
    <row r="418" spans="1:55" s="35" customFormat="1" ht="14.25" customHeight="1" x14ac:dyDescent="0.35">
      <c r="A418" s="36">
        <v>41233</v>
      </c>
      <c r="B418" s="35" t="s">
        <v>721</v>
      </c>
      <c r="C418" s="35" t="s">
        <v>45</v>
      </c>
      <c r="D418" s="35" t="s">
        <v>577</v>
      </c>
      <c r="E418" s="35" t="s">
        <v>64</v>
      </c>
      <c r="F418" s="139">
        <f t="shared" si="216"/>
        <v>1</v>
      </c>
      <c r="G418" s="35">
        <v>6580000000</v>
      </c>
      <c r="H418" s="139">
        <f t="shared" si="217"/>
        <v>9.8182258936139561</v>
      </c>
      <c r="I418" s="35">
        <v>1990000000</v>
      </c>
      <c r="J418" s="35">
        <v>4590000000</v>
      </c>
      <c r="K418" s="36">
        <v>42359</v>
      </c>
      <c r="L418" s="35">
        <v>2899800000</v>
      </c>
      <c r="M418" s="21">
        <f t="shared" si="218"/>
        <v>3.0849315068493151</v>
      </c>
      <c r="N418" s="21">
        <f t="shared" si="244"/>
        <v>0.48924552605885274</v>
      </c>
      <c r="O418" s="35">
        <v>5897.96</v>
      </c>
      <c r="P418" s="35">
        <f t="shared" si="219"/>
        <v>3.7707754512906644</v>
      </c>
      <c r="Q418" s="35">
        <v>9</v>
      </c>
      <c r="R418" s="35">
        <f t="shared" si="220"/>
        <v>1</v>
      </c>
      <c r="S418" s="45">
        <v>2.3199999999999998</v>
      </c>
      <c r="T418" s="45">
        <f t="shared" si="245"/>
        <v>0.36548798489089962</v>
      </c>
      <c r="U418" s="175">
        <f t="shared" si="221"/>
        <v>-0.55930091185410336</v>
      </c>
      <c r="V418" s="48">
        <f t="shared" si="222"/>
        <v>-0.35585784809143139</v>
      </c>
      <c r="W418" s="35">
        <v>1655.1111111111111</v>
      </c>
      <c r="X418" s="35">
        <f t="shared" si="223"/>
        <v>3.2188271541979425</v>
      </c>
      <c r="Y418" s="35">
        <v>5715.5555555555547</v>
      </c>
      <c r="Z418" s="35">
        <f t="shared" si="224"/>
        <v>3.7570584504768405</v>
      </c>
      <c r="AA418" s="37">
        <v>132</v>
      </c>
      <c r="AB418" s="37">
        <f t="shared" si="225"/>
        <v>2.1238516409670858</v>
      </c>
      <c r="AC418" s="35">
        <v>91.1</v>
      </c>
      <c r="AD418" s="35">
        <f t="shared" si="246"/>
        <v>1.9595183769729982</v>
      </c>
      <c r="AE418" s="48">
        <v>24.1</v>
      </c>
      <c r="AF418" s="48">
        <f t="shared" si="247"/>
        <v>1.3820170425748683</v>
      </c>
      <c r="AG418" s="43">
        <v>40.229046020662899</v>
      </c>
      <c r="AH418" s="43">
        <f t="shared" si="248"/>
        <v>1.6045397339663818</v>
      </c>
      <c r="AI418" s="39">
        <v>0.34</v>
      </c>
      <c r="AJ418" s="48">
        <f t="shared" si="226"/>
        <v>0.12710479836480765</v>
      </c>
      <c r="AK418" s="35">
        <v>14</v>
      </c>
      <c r="AL418" s="35">
        <f t="shared" si="249"/>
        <v>1.146128035678238</v>
      </c>
      <c r="AM418" s="35">
        <f t="shared" si="227"/>
        <v>0</v>
      </c>
      <c r="AN418" s="35">
        <f t="shared" si="228"/>
        <v>1</v>
      </c>
      <c r="AO418" s="35">
        <f t="shared" si="229"/>
        <v>0</v>
      </c>
      <c r="AP418" s="35">
        <f t="shared" si="230"/>
        <v>0</v>
      </c>
      <c r="AQ418" s="35">
        <f t="shared" si="231"/>
        <v>0</v>
      </c>
      <c r="AR418" s="35">
        <f t="shared" si="232"/>
        <v>0</v>
      </c>
      <c r="AS418" s="35">
        <f t="shared" si="233"/>
        <v>0</v>
      </c>
      <c r="AT418" s="35">
        <f t="shared" si="234"/>
        <v>0</v>
      </c>
      <c r="AU418" s="35">
        <f t="shared" si="235"/>
        <v>0</v>
      </c>
      <c r="AV418" s="35">
        <f t="shared" si="236"/>
        <v>0</v>
      </c>
      <c r="AW418" s="35">
        <f t="shared" si="237"/>
        <v>0</v>
      </c>
      <c r="AX418" s="35">
        <f t="shared" si="238"/>
        <v>0</v>
      </c>
      <c r="AY418" s="35">
        <f t="shared" si="239"/>
        <v>0</v>
      </c>
      <c r="AZ418" s="35">
        <f t="shared" si="240"/>
        <v>0</v>
      </c>
      <c r="BA418" s="35">
        <f t="shared" si="241"/>
        <v>0</v>
      </c>
      <c r="BB418" s="35">
        <f t="shared" si="242"/>
        <v>0</v>
      </c>
      <c r="BC418" s="35">
        <f t="shared" si="243"/>
        <v>0</v>
      </c>
    </row>
    <row r="419" spans="1:55" s="35" customFormat="1" ht="18.75" customHeight="1" x14ac:dyDescent="0.35">
      <c r="A419" s="36">
        <v>41243</v>
      </c>
      <c r="B419" s="35" t="s">
        <v>621</v>
      </c>
      <c r="C419" s="35" t="s">
        <v>59</v>
      </c>
      <c r="D419" s="35" t="s">
        <v>602</v>
      </c>
      <c r="E419" s="35" t="s">
        <v>64</v>
      </c>
      <c r="F419" s="139">
        <f t="shared" si="216"/>
        <v>1</v>
      </c>
      <c r="G419" s="35">
        <v>61824279</v>
      </c>
      <c r="H419" s="139">
        <f t="shared" si="217"/>
        <v>7.7911590602836815</v>
      </c>
      <c r="I419" s="35">
        <f>G419</f>
        <v>61824279</v>
      </c>
      <c r="J419" s="35">
        <v>0</v>
      </c>
      <c r="K419" s="36">
        <v>43501</v>
      </c>
      <c r="L419" s="35">
        <v>171037540</v>
      </c>
      <c r="M419" s="21">
        <f t="shared" si="218"/>
        <v>6.1863013698630134</v>
      </c>
      <c r="N419" s="21">
        <f t="shared" si="244"/>
        <v>0.79143107313247429</v>
      </c>
      <c r="O419" s="35">
        <v>5897.96</v>
      </c>
      <c r="P419" s="35">
        <f t="shared" si="219"/>
        <v>3.7707754512906644</v>
      </c>
      <c r="Q419" s="35">
        <v>5</v>
      </c>
      <c r="R419" s="35">
        <f t="shared" si="220"/>
        <v>0.77815125038364363</v>
      </c>
      <c r="S419" s="45">
        <v>2.3199999999999998</v>
      </c>
      <c r="T419" s="45">
        <f t="shared" si="245"/>
        <v>0.36548798489089962</v>
      </c>
      <c r="U419" s="175">
        <f t="shared" si="221"/>
        <v>1.7665108718857847</v>
      </c>
      <c r="V419" s="48">
        <f t="shared" si="222"/>
        <v>0.44193238125204243</v>
      </c>
      <c r="W419" s="35">
        <v>1246.953</v>
      </c>
      <c r="X419" s="35">
        <f t="shared" si="223"/>
        <v>3.0958500844125241</v>
      </c>
      <c r="Y419" s="35">
        <v>3219.7179999999998</v>
      </c>
      <c r="Z419" s="35">
        <f t="shared" si="224"/>
        <v>3.5078178355445662</v>
      </c>
      <c r="AA419" s="37">
        <v>132</v>
      </c>
      <c r="AB419" s="37">
        <f t="shared" si="225"/>
        <v>2.1238516409670858</v>
      </c>
      <c r="AC419" s="35">
        <v>94.7</v>
      </c>
      <c r="AD419" s="35">
        <f t="shared" si="246"/>
        <v>1.9763499790032735</v>
      </c>
      <c r="AE419" s="48">
        <v>32.4</v>
      </c>
      <c r="AF419" s="48">
        <f t="shared" si="247"/>
        <v>1.510545010206612</v>
      </c>
      <c r="AG419" s="43">
        <v>45.737088331856903</v>
      </c>
      <c r="AH419" s="43">
        <f t="shared" si="248"/>
        <v>1.6602685135357675</v>
      </c>
      <c r="AI419" s="39">
        <v>-0.15</v>
      </c>
      <c r="AJ419" s="48">
        <f t="shared" si="226"/>
        <v>-7.0581074285707285E-2</v>
      </c>
      <c r="AK419" s="35">
        <v>14</v>
      </c>
      <c r="AL419" s="35">
        <f t="shared" si="249"/>
        <v>1.146128035678238</v>
      </c>
      <c r="AM419" s="35">
        <f t="shared" si="227"/>
        <v>0</v>
      </c>
      <c r="AN419" s="35">
        <f t="shared" si="228"/>
        <v>0</v>
      </c>
      <c r="AO419" s="35">
        <f t="shared" si="229"/>
        <v>1</v>
      </c>
      <c r="AP419" s="35">
        <f t="shared" si="230"/>
        <v>0</v>
      </c>
      <c r="AQ419" s="35">
        <f t="shared" si="231"/>
        <v>0</v>
      </c>
      <c r="AR419" s="35">
        <f t="shared" si="232"/>
        <v>0</v>
      </c>
      <c r="AS419" s="35">
        <f t="shared" si="233"/>
        <v>0</v>
      </c>
      <c r="AT419" s="35">
        <f t="shared" si="234"/>
        <v>0</v>
      </c>
      <c r="AU419" s="35">
        <f t="shared" si="235"/>
        <v>0</v>
      </c>
      <c r="AV419" s="35">
        <f t="shared" si="236"/>
        <v>0</v>
      </c>
      <c r="AW419" s="35">
        <f t="shared" si="237"/>
        <v>0</v>
      </c>
      <c r="AX419" s="35">
        <f t="shared" si="238"/>
        <v>0</v>
      </c>
      <c r="AY419" s="35">
        <f t="shared" si="239"/>
        <v>0</v>
      </c>
      <c r="AZ419" s="35">
        <f t="shared" si="240"/>
        <v>0</v>
      </c>
      <c r="BA419" s="35">
        <f t="shared" si="241"/>
        <v>0</v>
      </c>
      <c r="BB419" s="35">
        <f t="shared" si="242"/>
        <v>0</v>
      </c>
      <c r="BC419" s="35">
        <f t="shared" si="243"/>
        <v>0</v>
      </c>
    </row>
    <row r="420" spans="1:55" s="35" customFormat="1" ht="18" customHeight="1" x14ac:dyDescent="0.35">
      <c r="A420" s="36">
        <v>41247</v>
      </c>
      <c r="B420" s="35" t="s">
        <v>774</v>
      </c>
      <c r="C420" s="35" t="s">
        <v>497</v>
      </c>
      <c r="D420" s="35" t="s">
        <v>45</v>
      </c>
      <c r="E420" s="35" t="s">
        <v>64</v>
      </c>
      <c r="F420" s="139">
        <f t="shared" si="216"/>
        <v>1</v>
      </c>
      <c r="G420" s="35">
        <v>19500000</v>
      </c>
      <c r="H420" s="139">
        <f t="shared" si="217"/>
        <v>7.2900346113625183</v>
      </c>
      <c r="I420" s="35">
        <f>G420</f>
        <v>19500000</v>
      </c>
      <c r="J420" s="35">
        <v>0</v>
      </c>
      <c r="K420" s="36">
        <v>42208</v>
      </c>
      <c r="L420" s="35">
        <v>70000000</v>
      </c>
      <c r="M420" s="21">
        <f t="shared" si="218"/>
        <v>2.6328767123287671</v>
      </c>
      <c r="N420" s="21">
        <f t="shared" si="244"/>
        <v>0.42043052321207064</v>
      </c>
      <c r="O420" s="35">
        <v>5441.73</v>
      </c>
      <c r="P420" s="35">
        <f t="shared" si="219"/>
        <v>3.7358167906061537</v>
      </c>
      <c r="Q420" s="35">
        <v>6</v>
      </c>
      <c r="R420" s="35">
        <f t="shared" si="220"/>
        <v>0.84509804001425681</v>
      </c>
      <c r="S420" s="45">
        <v>2.91</v>
      </c>
      <c r="T420" s="45">
        <f t="shared" si="245"/>
        <v>0.46389298898590731</v>
      </c>
      <c r="U420" s="175">
        <f t="shared" si="221"/>
        <v>2.5897435897435899</v>
      </c>
      <c r="V420" s="48">
        <f t="shared" si="222"/>
        <v>0.55506342865173885</v>
      </c>
      <c r="W420" s="35">
        <v>1944.4444444444441</v>
      </c>
      <c r="X420" s="35">
        <f t="shared" si="223"/>
        <v>3.2887955392469697</v>
      </c>
      <c r="Y420" s="35">
        <v>8472.2222222222208</v>
      </c>
      <c r="Z420" s="35">
        <f t="shared" si="224"/>
        <v>3.9279973385794986</v>
      </c>
      <c r="AA420" s="37">
        <v>125.833333333333</v>
      </c>
      <c r="AB420" s="37">
        <f t="shared" si="225"/>
        <v>2.103233406386928</v>
      </c>
      <c r="AC420" s="35">
        <v>92.8</v>
      </c>
      <c r="AD420" s="35">
        <f t="shared" si="246"/>
        <v>1.9675479762188621</v>
      </c>
      <c r="AE420" s="48">
        <v>27.6</v>
      </c>
      <c r="AF420" s="48">
        <f t="shared" si="247"/>
        <v>1.4409090820652177</v>
      </c>
      <c r="AG420" s="43">
        <v>42.012447889189502</v>
      </c>
      <c r="AH420" s="43">
        <f t="shared" si="248"/>
        <v>1.6233779867937734</v>
      </c>
      <c r="AI420" s="39">
        <v>-0.01</v>
      </c>
      <c r="AJ420" s="48">
        <f t="shared" si="226"/>
        <v>-4.3648054024500883E-3</v>
      </c>
      <c r="AK420" s="35">
        <v>15</v>
      </c>
      <c r="AL420" s="35">
        <f t="shared" si="249"/>
        <v>1.1760912590556813</v>
      </c>
      <c r="AM420" s="35">
        <f t="shared" si="227"/>
        <v>0</v>
      </c>
      <c r="AN420" s="35">
        <f t="shared" si="228"/>
        <v>0</v>
      </c>
      <c r="AO420" s="35">
        <f t="shared" si="229"/>
        <v>0</v>
      </c>
      <c r="AP420" s="35">
        <f t="shared" si="230"/>
        <v>0</v>
      </c>
      <c r="AQ420" s="35">
        <f t="shared" si="231"/>
        <v>0</v>
      </c>
      <c r="AR420" s="35">
        <f t="shared" si="232"/>
        <v>0</v>
      </c>
      <c r="AS420" s="35">
        <f t="shared" si="233"/>
        <v>0</v>
      </c>
      <c r="AT420" s="35">
        <f t="shared" si="234"/>
        <v>0</v>
      </c>
      <c r="AU420" s="35">
        <f t="shared" si="235"/>
        <v>0</v>
      </c>
      <c r="AV420" s="35">
        <f t="shared" si="236"/>
        <v>0</v>
      </c>
      <c r="AW420" s="35">
        <f t="shared" si="237"/>
        <v>0</v>
      </c>
      <c r="AX420" s="35">
        <f t="shared" si="238"/>
        <v>0</v>
      </c>
      <c r="AY420" s="35">
        <f t="shared" si="239"/>
        <v>0</v>
      </c>
      <c r="AZ420" s="35">
        <f t="shared" si="240"/>
        <v>0</v>
      </c>
      <c r="BA420" s="35">
        <f t="shared" si="241"/>
        <v>0</v>
      </c>
      <c r="BB420" s="35">
        <f t="shared" si="242"/>
        <v>1</v>
      </c>
      <c r="BC420" s="35">
        <f t="shared" si="243"/>
        <v>0</v>
      </c>
    </row>
    <row r="421" spans="1:55" s="35" customFormat="1" ht="17.25" customHeight="1" x14ac:dyDescent="0.35">
      <c r="A421" s="36">
        <v>41271</v>
      </c>
      <c r="B421" s="35" t="s">
        <v>936</v>
      </c>
      <c r="C421" s="35" t="s">
        <v>2</v>
      </c>
      <c r="D421" s="35" t="s">
        <v>45</v>
      </c>
      <c r="E421" s="35" t="s">
        <v>64</v>
      </c>
      <c r="F421" s="139">
        <f t="shared" si="216"/>
        <v>1</v>
      </c>
      <c r="G421" s="35">
        <v>779700000</v>
      </c>
      <c r="H421" s="139">
        <f t="shared" si="217"/>
        <v>8.8919275342206756</v>
      </c>
      <c r="I421" s="35">
        <f>G421</f>
        <v>779700000</v>
      </c>
      <c r="J421" s="35">
        <v>0</v>
      </c>
      <c r="K421" s="36">
        <v>42675</v>
      </c>
      <c r="L421" s="35">
        <v>3250000000</v>
      </c>
      <c r="M421" s="21">
        <f t="shared" si="218"/>
        <v>3.8465753424657536</v>
      </c>
      <c r="N421" s="21">
        <f t="shared" si="244"/>
        <v>0.58507424333731184</v>
      </c>
      <c r="O421" s="35">
        <v>6815.73</v>
      </c>
      <c r="P421" s="35">
        <f t="shared" si="219"/>
        <v>3.8335760926148099</v>
      </c>
      <c r="Q421" s="35">
        <v>193</v>
      </c>
      <c r="R421" s="35">
        <f t="shared" si="220"/>
        <v>2.287801729930226</v>
      </c>
      <c r="S421" s="45">
        <v>2.85</v>
      </c>
      <c r="T421" s="45">
        <f t="shared" si="245"/>
        <v>0.45484486000851021</v>
      </c>
      <c r="U421" s="175">
        <f t="shared" si="221"/>
        <v>3.1682698473771964</v>
      </c>
      <c r="V421" s="48">
        <f t="shared" si="222"/>
        <v>0.61995582675819938</v>
      </c>
      <c r="W421" s="35">
        <v>2197.2299168975069</v>
      </c>
      <c r="X421" s="35">
        <f t="shared" si="223"/>
        <v>3.3418755036276071</v>
      </c>
      <c r="Y421" s="35">
        <v>7713.0193905817187</v>
      </c>
      <c r="Z421" s="35">
        <f t="shared" si="224"/>
        <v>3.8872244231830928</v>
      </c>
      <c r="AA421" s="37">
        <v>819</v>
      </c>
      <c r="AB421" s="37">
        <f t="shared" si="225"/>
        <v>2.9138138523837167</v>
      </c>
      <c r="AC421" s="35">
        <v>90.5</v>
      </c>
      <c r="AD421" s="35">
        <f t="shared" si="246"/>
        <v>1.9566485792052033</v>
      </c>
      <c r="AE421" s="48">
        <v>36.4</v>
      </c>
      <c r="AF421" s="48">
        <f t="shared" si="247"/>
        <v>1.5611013836490559</v>
      </c>
      <c r="AG421" s="43">
        <v>44.295389122127702</v>
      </c>
      <c r="AH421" s="43">
        <f t="shared" si="248"/>
        <v>1.6463585211883986</v>
      </c>
      <c r="AI421" s="39">
        <v>-0.38</v>
      </c>
      <c r="AJ421" s="48">
        <f t="shared" si="226"/>
        <v>-0.20760831050174613</v>
      </c>
      <c r="AK421" s="35">
        <v>15</v>
      </c>
      <c r="AL421" s="35">
        <f t="shared" si="249"/>
        <v>1.1760912590556813</v>
      </c>
      <c r="AM421" s="35">
        <f t="shared" si="227"/>
        <v>0</v>
      </c>
      <c r="AN421" s="35">
        <f t="shared" si="228"/>
        <v>0</v>
      </c>
      <c r="AO421" s="35">
        <f t="shared" si="229"/>
        <v>0</v>
      </c>
      <c r="AP421" s="35">
        <f t="shared" si="230"/>
        <v>0</v>
      </c>
      <c r="AQ421" s="35">
        <f t="shared" si="231"/>
        <v>0</v>
      </c>
      <c r="AR421" s="35">
        <f t="shared" si="232"/>
        <v>0</v>
      </c>
      <c r="AS421" s="35">
        <f t="shared" si="233"/>
        <v>0</v>
      </c>
      <c r="AT421" s="35">
        <f t="shared" si="234"/>
        <v>0</v>
      </c>
      <c r="AU421" s="35">
        <f t="shared" si="235"/>
        <v>0</v>
      </c>
      <c r="AV421" s="35">
        <f t="shared" si="236"/>
        <v>1</v>
      </c>
      <c r="AW421" s="35">
        <f t="shared" si="237"/>
        <v>0</v>
      </c>
      <c r="AX421" s="35">
        <f t="shared" si="238"/>
        <v>0</v>
      </c>
      <c r="AY421" s="35">
        <f t="shared" si="239"/>
        <v>0</v>
      </c>
      <c r="AZ421" s="35">
        <f t="shared" si="240"/>
        <v>0</v>
      </c>
      <c r="BA421" s="35">
        <f t="shared" si="241"/>
        <v>0</v>
      </c>
      <c r="BB421" s="35">
        <f t="shared" si="242"/>
        <v>0</v>
      </c>
      <c r="BC421" s="35">
        <f t="shared" si="243"/>
        <v>0</v>
      </c>
    </row>
    <row r="422" spans="1:55" s="35" customFormat="1" ht="17.25" customHeight="1" x14ac:dyDescent="0.35">
      <c r="A422" s="36">
        <v>41273</v>
      </c>
      <c r="B422" s="139" t="s">
        <v>146</v>
      </c>
      <c r="C422" s="139" t="s">
        <v>45</v>
      </c>
      <c r="D422" s="139" t="s">
        <v>45</v>
      </c>
      <c r="E422" s="139" t="s">
        <v>102</v>
      </c>
      <c r="F422" s="139">
        <f t="shared" si="216"/>
        <v>0</v>
      </c>
      <c r="G422" s="139">
        <v>628820000</v>
      </c>
      <c r="H422" s="139">
        <f t="shared" si="217"/>
        <v>8.7985263462493961</v>
      </c>
      <c r="I422" s="139">
        <v>658820000</v>
      </c>
      <c r="J422" s="139">
        <v>-30000000</v>
      </c>
      <c r="K422" s="18">
        <v>43147</v>
      </c>
      <c r="L422" s="139">
        <v>1750000000</v>
      </c>
      <c r="M422" s="21">
        <f t="shared" si="218"/>
        <v>5.1342465753424653</v>
      </c>
      <c r="N422" s="21">
        <f t="shared" si="244"/>
        <v>0.71047672209528467</v>
      </c>
      <c r="O422" s="35">
        <v>0</v>
      </c>
      <c r="P422" s="35">
        <f t="shared" si="219"/>
        <v>0</v>
      </c>
      <c r="Q422" s="35">
        <v>80</v>
      </c>
      <c r="R422" s="35">
        <f t="shared" si="220"/>
        <v>1.9084850188786497</v>
      </c>
      <c r="S422" s="45">
        <v>2.95</v>
      </c>
      <c r="T422" s="45">
        <f t="shared" si="245"/>
        <v>0.46982201597816303</v>
      </c>
      <c r="U422" s="175">
        <f t="shared" si="221"/>
        <v>1.7829903629019435</v>
      </c>
      <c r="V422" s="48">
        <f t="shared" si="222"/>
        <v>0.44451170243689808</v>
      </c>
      <c r="W422" s="35">
        <v>10000</v>
      </c>
      <c r="X422" s="35">
        <f t="shared" si="223"/>
        <v>4</v>
      </c>
      <c r="Y422" s="14">
        <v>10000</v>
      </c>
      <c r="Z422" s="35">
        <f t="shared" si="224"/>
        <v>4</v>
      </c>
      <c r="AA422" s="37">
        <v>0</v>
      </c>
      <c r="AB422" s="37">
        <f t="shared" si="225"/>
        <v>0</v>
      </c>
      <c r="AC422" s="35">
        <v>91.1</v>
      </c>
      <c r="AD422" s="35">
        <f t="shared" si="246"/>
        <v>1.9595183769729982</v>
      </c>
      <c r="AE422" s="48">
        <v>24.1</v>
      </c>
      <c r="AF422" s="48">
        <f t="shared" si="247"/>
        <v>1.3820170425748683</v>
      </c>
      <c r="AG422" s="43">
        <v>40.229046020662899</v>
      </c>
      <c r="AH422" s="43">
        <f t="shared" si="248"/>
        <v>1.6045397339663818</v>
      </c>
      <c r="AI422" s="39">
        <v>0.38</v>
      </c>
      <c r="AJ422" s="48">
        <f t="shared" si="226"/>
        <v>0.13987908640123647</v>
      </c>
      <c r="AK422" s="35">
        <v>15</v>
      </c>
      <c r="AL422" s="35">
        <f t="shared" si="249"/>
        <v>1.1760912590556813</v>
      </c>
      <c r="AM422" s="35">
        <f t="shared" si="227"/>
        <v>0</v>
      </c>
      <c r="AN422" s="35">
        <f t="shared" si="228"/>
        <v>1</v>
      </c>
      <c r="AO422" s="35">
        <f t="shared" si="229"/>
        <v>0</v>
      </c>
      <c r="AP422" s="35">
        <f t="shared" si="230"/>
        <v>0</v>
      </c>
      <c r="AQ422" s="35">
        <f t="shared" si="231"/>
        <v>0</v>
      </c>
      <c r="AR422" s="35">
        <f t="shared" si="232"/>
        <v>0</v>
      </c>
      <c r="AS422" s="35">
        <f t="shared" si="233"/>
        <v>0</v>
      </c>
      <c r="AT422" s="35">
        <f t="shared" si="234"/>
        <v>0</v>
      </c>
      <c r="AU422" s="35">
        <f t="shared" si="235"/>
        <v>0</v>
      </c>
      <c r="AV422" s="35">
        <f t="shared" si="236"/>
        <v>0</v>
      </c>
      <c r="AW422" s="35">
        <f t="shared" si="237"/>
        <v>0</v>
      </c>
      <c r="AX422" s="35">
        <f t="shared" si="238"/>
        <v>0</v>
      </c>
      <c r="AY422" s="35">
        <f t="shared" si="239"/>
        <v>0</v>
      </c>
      <c r="AZ422" s="35">
        <f t="shared" si="240"/>
        <v>0</v>
      </c>
      <c r="BA422" s="35">
        <f t="shared" si="241"/>
        <v>0</v>
      </c>
      <c r="BB422" s="35">
        <f t="shared" si="242"/>
        <v>0</v>
      </c>
      <c r="BC422" s="35">
        <f t="shared" si="243"/>
        <v>0</v>
      </c>
    </row>
    <row r="423" spans="1:55" s="35" customFormat="1" ht="17.25" customHeight="1" x14ac:dyDescent="0.35">
      <c r="A423" s="36">
        <v>41278</v>
      </c>
      <c r="B423" s="35" t="s">
        <v>994</v>
      </c>
      <c r="C423" s="35" t="s">
        <v>59</v>
      </c>
      <c r="D423" s="35" t="s">
        <v>45</v>
      </c>
      <c r="E423" s="35" t="s">
        <v>64</v>
      </c>
      <c r="F423" s="139">
        <f t="shared" si="216"/>
        <v>1</v>
      </c>
      <c r="G423" s="35">
        <v>200000000</v>
      </c>
      <c r="H423" s="139">
        <f t="shared" si="217"/>
        <v>8.3010299956639813</v>
      </c>
      <c r="I423" s="35">
        <f>G423</f>
        <v>200000000</v>
      </c>
      <c r="J423" s="35">
        <v>0</v>
      </c>
      <c r="K423" s="36">
        <v>42982</v>
      </c>
      <c r="L423" s="35">
        <v>220000000</v>
      </c>
      <c r="M423" s="21">
        <f t="shared" si="218"/>
        <v>4.6684931506849319</v>
      </c>
      <c r="N423" s="21">
        <f t="shared" si="244"/>
        <v>0.66917672597420663</v>
      </c>
      <c r="O423" s="35">
        <v>5897.96</v>
      </c>
      <c r="P423" s="35">
        <f t="shared" si="219"/>
        <v>3.7707754512906644</v>
      </c>
      <c r="Q423" s="35">
        <v>10</v>
      </c>
      <c r="R423" s="35">
        <f t="shared" si="220"/>
        <v>1.0413926851582251</v>
      </c>
      <c r="S423" s="45">
        <v>2.3199999999999998</v>
      </c>
      <c r="T423" s="45">
        <f t="shared" si="245"/>
        <v>0.36548798489089962</v>
      </c>
      <c r="U423" s="175">
        <f t="shared" si="221"/>
        <v>0.10000000000000009</v>
      </c>
      <c r="V423" s="48">
        <f t="shared" si="222"/>
        <v>4.1392685158225077E-2</v>
      </c>
      <c r="W423" s="35">
        <v>2121.1374095989472</v>
      </c>
      <c r="X423" s="35">
        <f t="shared" si="223"/>
        <v>3.3265688034989269</v>
      </c>
      <c r="Y423" s="35">
        <v>4465.8119658119658</v>
      </c>
      <c r="Z423" s="35">
        <f t="shared" si="224"/>
        <v>3.64990043303693</v>
      </c>
      <c r="AA423" s="37">
        <v>132</v>
      </c>
      <c r="AB423" s="37">
        <f t="shared" si="225"/>
        <v>2.1238516409670858</v>
      </c>
      <c r="AC423" s="35">
        <v>94.1</v>
      </c>
      <c r="AD423" s="35">
        <f t="shared" si="246"/>
        <v>1.973589623427257</v>
      </c>
      <c r="AE423" s="48">
        <v>32.200000000000003</v>
      </c>
      <c r="AF423" s="48">
        <f t="shared" si="247"/>
        <v>1.507855871695831</v>
      </c>
      <c r="AG423" s="43">
        <v>43.9397801796012</v>
      </c>
      <c r="AH423" s="43">
        <f t="shared" si="248"/>
        <v>1.6428578799166489</v>
      </c>
      <c r="AI423" s="39">
        <v>-0.28999999999999998</v>
      </c>
      <c r="AJ423" s="48">
        <f t="shared" si="226"/>
        <v>-0.14874165128092473</v>
      </c>
      <c r="AK423" s="35">
        <v>16</v>
      </c>
      <c r="AL423" s="35">
        <f t="shared" si="249"/>
        <v>1.2041199826559248</v>
      </c>
      <c r="AM423" s="35">
        <f t="shared" si="227"/>
        <v>0</v>
      </c>
      <c r="AN423" s="35">
        <f t="shared" si="228"/>
        <v>0</v>
      </c>
      <c r="AO423" s="35">
        <f t="shared" si="229"/>
        <v>1</v>
      </c>
      <c r="AP423" s="35">
        <f t="shared" si="230"/>
        <v>0</v>
      </c>
      <c r="AQ423" s="35">
        <f t="shared" si="231"/>
        <v>0</v>
      </c>
      <c r="AR423" s="35">
        <f t="shared" si="232"/>
        <v>0</v>
      </c>
      <c r="AS423" s="35">
        <f t="shared" si="233"/>
        <v>0</v>
      </c>
      <c r="AT423" s="35">
        <f t="shared" si="234"/>
        <v>0</v>
      </c>
      <c r="AU423" s="35">
        <f t="shared" si="235"/>
        <v>0</v>
      </c>
      <c r="AV423" s="35">
        <f t="shared" si="236"/>
        <v>0</v>
      </c>
      <c r="AW423" s="35">
        <f t="shared" si="237"/>
        <v>0</v>
      </c>
      <c r="AX423" s="35">
        <f t="shared" si="238"/>
        <v>0</v>
      </c>
      <c r="AY423" s="35">
        <f t="shared" si="239"/>
        <v>0</v>
      </c>
      <c r="AZ423" s="35">
        <f t="shared" si="240"/>
        <v>0</v>
      </c>
      <c r="BA423" s="35">
        <f t="shared" si="241"/>
        <v>0</v>
      </c>
      <c r="BB423" s="35">
        <f t="shared" si="242"/>
        <v>0</v>
      </c>
      <c r="BC423" s="35">
        <f t="shared" si="243"/>
        <v>0</v>
      </c>
    </row>
    <row r="424" spans="1:55" s="35" customFormat="1" ht="17.25" customHeight="1" x14ac:dyDescent="0.35">
      <c r="A424" s="36">
        <v>41281</v>
      </c>
      <c r="B424" s="35" t="s">
        <v>889</v>
      </c>
      <c r="C424" s="35" t="s">
        <v>3</v>
      </c>
      <c r="D424" s="35" t="s">
        <v>59</v>
      </c>
      <c r="E424" s="35" t="s">
        <v>64</v>
      </c>
      <c r="F424" s="139">
        <f t="shared" si="216"/>
        <v>1</v>
      </c>
      <c r="G424" s="35">
        <v>180090000</v>
      </c>
      <c r="H424" s="139">
        <f t="shared" si="217"/>
        <v>8.2554895980755365</v>
      </c>
      <c r="I424" s="35">
        <f>G424</f>
        <v>180090000</v>
      </c>
      <c r="J424" s="35">
        <v>0</v>
      </c>
      <c r="K424" s="36">
        <v>42614</v>
      </c>
      <c r="L424" s="35">
        <v>340000000</v>
      </c>
      <c r="M424" s="21">
        <f t="shared" si="218"/>
        <v>3.6520547945205482</v>
      </c>
      <c r="N424" s="21">
        <f t="shared" si="244"/>
        <v>0.56253728495738453</v>
      </c>
      <c r="O424" s="35">
        <v>955.95</v>
      </c>
      <c r="P424" s="35">
        <f t="shared" si="219"/>
        <v>2.9808892467722719</v>
      </c>
      <c r="Q424" s="35">
        <v>66</v>
      </c>
      <c r="R424" s="35">
        <f t="shared" si="220"/>
        <v>1.8260748027008264</v>
      </c>
      <c r="S424" s="45">
        <v>3.13</v>
      </c>
      <c r="T424" s="45">
        <f t="shared" si="245"/>
        <v>0.49554433754644844</v>
      </c>
      <c r="U424" s="175">
        <f t="shared" si="221"/>
        <v>0.88794491643067364</v>
      </c>
      <c r="V424" s="48">
        <f t="shared" si="222"/>
        <v>0.27598931896671886</v>
      </c>
      <c r="W424" s="35">
        <v>2417.5229853975125</v>
      </c>
      <c r="X424" s="35">
        <f t="shared" si="223"/>
        <v>3.3833706119727633</v>
      </c>
      <c r="Y424" s="35">
        <v>9545.7003785830148</v>
      </c>
      <c r="Z424" s="35">
        <f t="shared" si="224"/>
        <v>3.9798077985646683</v>
      </c>
      <c r="AA424" s="37">
        <v>541.5</v>
      </c>
      <c r="AB424" s="37">
        <f t="shared" si="225"/>
        <v>2.7343997425205671</v>
      </c>
      <c r="AC424" s="35">
        <v>98.4</v>
      </c>
      <c r="AD424" s="35">
        <f t="shared" si="246"/>
        <v>1.9929950984313416</v>
      </c>
      <c r="AE424" s="48">
        <v>45.9</v>
      </c>
      <c r="AF424" s="48">
        <f t="shared" si="247"/>
        <v>1.6618126855372612</v>
      </c>
      <c r="AG424" s="43">
        <v>55.820378229102602</v>
      </c>
      <c r="AH424" s="43">
        <f t="shared" si="248"/>
        <v>1.7467927748658987</v>
      </c>
      <c r="AI424" s="39">
        <v>0.26</v>
      </c>
      <c r="AJ424" s="48">
        <f t="shared" si="226"/>
        <v>0.10037054511756291</v>
      </c>
      <c r="AK424" s="35">
        <v>16</v>
      </c>
      <c r="AL424" s="35">
        <f t="shared" si="249"/>
        <v>1.2041199826559248</v>
      </c>
      <c r="AM424" s="35">
        <f t="shared" si="227"/>
        <v>0</v>
      </c>
      <c r="AN424" s="35">
        <f t="shared" si="228"/>
        <v>0</v>
      </c>
      <c r="AO424" s="35">
        <f t="shared" si="229"/>
        <v>0</v>
      </c>
      <c r="AP424" s="35">
        <f t="shared" si="230"/>
        <v>0</v>
      </c>
      <c r="AQ424" s="35">
        <f t="shared" si="231"/>
        <v>1</v>
      </c>
      <c r="AR424" s="35">
        <f t="shared" si="232"/>
        <v>0</v>
      </c>
      <c r="AS424" s="35">
        <f t="shared" si="233"/>
        <v>0</v>
      </c>
      <c r="AT424" s="35">
        <f t="shared" si="234"/>
        <v>0</v>
      </c>
      <c r="AU424" s="35">
        <f t="shared" si="235"/>
        <v>0</v>
      </c>
      <c r="AV424" s="35">
        <f t="shared" si="236"/>
        <v>0</v>
      </c>
      <c r="AW424" s="35">
        <f t="shared" si="237"/>
        <v>0</v>
      </c>
      <c r="AX424" s="35">
        <f t="shared" si="238"/>
        <v>0</v>
      </c>
      <c r="AY424" s="35">
        <f t="shared" si="239"/>
        <v>0</v>
      </c>
      <c r="AZ424" s="35">
        <f t="shared" si="240"/>
        <v>0</v>
      </c>
      <c r="BA424" s="35">
        <f t="shared" si="241"/>
        <v>0</v>
      </c>
      <c r="BB424" s="35">
        <f t="shared" si="242"/>
        <v>0</v>
      </c>
      <c r="BC424" s="35">
        <f t="shared" si="243"/>
        <v>0</v>
      </c>
    </row>
    <row r="425" spans="1:55" s="35" customFormat="1" ht="15" customHeight="1" x14ac:dyDescent="0.35">
      <c r="A425" s="36">
        <v>41331</v>
      </c>
      <c r="B425" s="35" t="s">
        <v>875</v>
      </c>
      <c r="C425" s="35" t="s">
        <v>45</v>
      </c>
      <c r="D425" s="35" t="s">
        <v>59</v>
      </c>
      <c r="E425" s="35" t="s">
        <v>47</v>
      </c>
      <c r="F425" s="139">
        <f t="shared" si="216"/>
        <v>0</v>
      </c>
      <c r="G425" s="35">
        <v>138000000</v>
      </c>
      <c r="H425" s="139">
        <f t="shared" si="217"/>
        <v>8.1398790864012369</v>
      </c>
      <c r="I425" s="35">
        <f>G425</f>
        <v>138000000</v>
      </c>
      <c r="J425" s="35">
        <v>0</v>
      </c>
      <c r="K425" s="36">
        <v>42744</v>
      </c>
      <c r="L425" s="35">
        <v>365000000</v>
      </c>
      <c r="M425" s="21">
        <f t="shared" si="218"/>
        <v>3.871232876712329</v>
      </c>
      <c r="N425" s="21">
        <f t="shared" si="244"/>
        <v>0.58784929739208391</v>
      </c>
      <c r="O425" s="35">
        <v>5897.96</v>
      </c>
      <c r="P425" s="35">
        <f t="shared" si="219"/>
        <v>3.7707754512906644</v>
      </c>
      <c r="Q425" s="35">
        <v>31</v>
      </c>
      <c r="R425" s="35">
        <f t="shared" si="220"/>
        <v>1.505149978319906</v>
      </c>
      <c r="S425" s="45">
        <v>2.3199999999999998</v>
      </c>
      <c r="T425" s="45">
        <f t="shared" si="245"/>
        <v>0.36548798489089962</v>
      </c>
      <c r="U425" s="175">
        <f t="shared" si="221"/>
        <v>1.6449275362318843</v>
      </c>
      <c r="V425" s="48">
        <f t="shared" si="222"/>
        <v>0.42241377805523822</v>
      </c>
      <c r="W425" s="35">
        <v>2777.7777777777774</v>
      </c>
      <c r="X425" s="35">
        <f t="shared" si="223"/>
        <v>3.4436974992327127</v>
      </c>
      <c r="Y425" s="35">
        <v>7222.2222222222235</v>
      </c>
      <c r="Z425" s="35">
        <f t="shared" si="224"/>
        <v>3.8586708472035309</v>
      </c>
      <c r="AA425" s="37">
        <v>132</v>
      </c>
      <c r="AB425" s="37">
        <f t="shared" si="225"/>
        <v>2.1238516409670858</v>
      </c>
      <c r="AC425" s="35">
        <v>90.5</v>
      </c>
      <c r="AD425" s="35">
        <f t="shared" si="246"/>
        <v>1.9566485792052033</v>
      </c>
      <c r="AE425" s="48">
        <v>25.7</v>
      </c>
      <c r="AF425" s="48">
        <f t="shared" si="247"/>
        <v>1.4099331233312946</v>
      </c>
      <c r="AG425" s="43">
        <v>39.010023979360902</v>
      </c>
      <c r="AH425" s="43">
        <f t="shared" si="248"/>
        <v>1.5911762172715689</v>
      </c>
      <c r="AI425" s="39">
        <v>0.75</v>
      </c>
      <c r="AJ425" s="48">
        <f t="shared" si="226"/>
        <v>0.24303804868629444</v>
      </c>
      <c r="AK425" s="35">
        <v>16</v>
      </c>
      <c r="AL425" s="35">
        <f t="shared" si="249"/>
        <v>1.2041199826559248</v>
      </c>
      <c r="AM425" s="35">
        <f t="shared" si="227"/>
        <v>0</v>
      </c>
      <c r="AN425" s="35">
        <f t="shared" si="228"/>
        <v>1</v>
      </c>
      <c r="AO425" s="35">
        <f t="shared" si="229"/>
        <v>0</v>
      </c>
      <c r="AP425" s="35">
        <f t="shared" si="230"/>
        <v>0</v>
      </c>
      <c r="AQ425" s="35">
        <f t="shared" si="231"/>
        <v>0</v>
      </c>
      <c r="AR425" s="35">
        <f t="shared" si="232"/>
        <v>0</v>
      </c>
      <c r="AS425" s="35">
        <f t="shared" si="233"/>
        <v>0</v>
      </c>
      <c r="AT425" s="35">
        <f t="shared" si="234"/>
        <v>0</v>
      </c>
      <c r="AU425" s="35">
        <f t="shared" si="235"/>
        <v>0</v>
      </c>
      <c r="AV425" s="35">
        <f t="shared" si="236"/>
        <v>0</v>
      </c>
      <c r="AW425" s="35">
        <f t="shared" si="237"/>
        <v>0</v>
      </c>
      <c r="AX425" s="35">
        <f t="shared" si="238"/>
        <v>0</v>
      </c>
      <c r="AY425" s="35">
        <f t="shared" si="239"/>
        <v>0</v>
      </c>
      <c r="AZ425" s="35">
        <f t="shared" si="240"/>
        <v>0</v>
      </c>
      <c r="BA425" s="35">
        <f t="shared" si="241"/>
        <v>0</v>
      </c>
      <c r="BB425" s="35">
        <f t="shared" si="242"/>
        <v>0</v>
      </c>
      <c r="BC425" s="35">
        <f t="shared" si="243"/>
        <v>0</v>
      </c>
    </row>
    <row r="426" spans="1:55" s="35" customFormat="1" ht="20.25" customHeight="1" x14ac:dyDescent="0.35">
      <c r="A426" s="36">
        <v>41337</v>
      </c>
      <c r="B426" s="35" t="s">
        <v>667</v>
      </c>
      <c r="C426" s="35" t="s">
        <v>6</v>
      </c>
      <c r="D426" s="35" t="s">
        <v>163</v>
      </c>
      <c r="E426" s="35" t="s">
        <v>64</v>
      </c>
      <c r="F426" s="139">
        <f t="shared" si="216"/>
        <v>1</v>
      </c>
      <c r="G426" s="35">
        <v>208000000</v>
      </c>
      <c r="H426" s="139">
        <f t="shared" si="217"/>
        <v>8.318063334962762</v>
      </c>
      <c r="I426" s="35">
        <f>G426</f>
        <v>208000000</v>
      </c>
      <c r="J426" s="35">
        <v>0</v>
      </c>
      <c r="K426" s="36">
        <v>42933</v>
      </c>
      <c r="L426" s="35">
        <v>900000000</v>
      </c>
      <c r="M426" s="21">
        <f t="shared" si="218"/>
        <v>4.3726027397260276</v>
      </c>
      <c r="N426" s="21">
        <f t="shared" si="244"/>
        <v>0.64074002255823592</v>
      </c>
      <c r="O426" s="35">
        <v>263.72000000000003</v>
      </c>
      <c r="P426" s="35">
        <f t="shared" si="219"/>
        <v>2.4227867541517965</v>
      </c>
      <c r="Q426" s="35">
        <v>66</v>
      </c>
      <c r="R426" s="35">
        <f t="shared" si="220"/>
        <v>1.8260748027008264</v>
      </c>
      <c r="S426" s="45">
        <v>3.07</v>
      </c>
      <c r="T426" s="45">
        <f t="shared" si="245"/>
        <v>0.48713837547718647</v>
      </c>
      <c r="U426" s="175">
        <f t="shared" si="221"/>
        <v>3.3269230769230766</v>
      </c>
      <c r="V426" s="48">
        <f t="shared" si="222"/>
        <v>0.63617917447656325</v>
      </c>
      <c r="W426" s="35">
        <v>1682.1639898562976</v>
      </c>
      <c r="X426" s="35">
        <f t="shared" si="223"/>
        <v>3.2258683317817765</v>
      </c>
      <c r="Y426" s="35">
        <v>9152.2762951334389</v>
      </c>
      <c r="Z426" s="35">
        <f t="shared" si="224"/>
        <v>3.9615291224236637</v>
      </c>
      <c r="AA426" s="37">
        <v>847</v>
      </c>
      <c r="AB426" s="37">
        <f t="shared" si="225"/>
        <v>2.9283958522567137</v>
      </c>
      <c r="AC426" s="35">
        <v>91.6</v>
      </c>
      <c r="AD426" s="35">
        <f t="shared" si="246"/>
        <v>1.9618954736678504</v>
      </c>
      <c r="AE426" s="48">
        <v>45.1</v>
      </c>
      <c r="AF426" s="48">
        <f t="shared" si="247"/>
        <v>1.6541765418779606</v>
      </c>
      <c r="AG426" s="43">
        <v>55.827525017854398</v>
      </c>
      <c r="AH426" s="43">
        <f t="shared" si="248"/>
        <v>1.7468483748517865</v>
      </c>
      <c r="AI426" s="39">
        <v>0.88</v>
      </c>
      <c r="AJ426" s="48">
        <f t="shared" si="226"/>
        <v>0.27415784926367981</v>
      </c>
      <c r="AK426" s="35">
        <v>15</v>
      </c>
      <c r="AL426" s="35">
        <f t="shared" si="249"/>
        <v>1.1760912590556813</v>
      </c>
      <c r="AM426" s="35">
        <f t="shared" si="227"/>
        <v>0</v>
      </c>
      <c r="AN426" s="35">
        <f t="shared" si="228"/>
        <v>0</v>
      </c>
      <c r="AO426" s="35">
        <f t="shared" si="229"/>
        <v>0</v>
      </c>
      <c r="AP426" s="35">
        <f t="shared" si="230"/>
        <v>0</v>
      </c>
      <c r="AQ426" s="35">
        <f t="shared" si="231"/>
        <v>0</v>
      </c>
      <c r="AR426" s="35">
        <f t="shared" si="232"/>
        <v>0</v>
      </c>
      <c r="AS426" s="35">
        <f t="shared" si="233"/>
        <v>0</v>
      </c>
      <c r="AT426" s="35">
        <f t="shared" si="234"/>
        <v>0</v>
      </c>
      <c r="AU426" s="35">
        <f t="shared" si="235"/>
        <v>1</v>
      </c>
      <c r="AV426" s="35">
        <f t="shared" si="236"/>
        <v>0</v>
      </c>
      <c r="AW426" s="35">
        <f t="shared" si="237"/>
        <v>0</v>
      </c>
      <c r="AX426" s="35">
        <f t="shared" si="238"/>
        <v>0</v>
      </c>
      <c r="AY426" s="35">
        <f t="shared" si="239"/>
        <v>0</v>
      </c>
      <c r="AZ426" s="35">
        <f t="shared" si="240"/>
        <v>0</v>
      </c>
      <c r="BA426" s="35">
        <f t="shared" si="241"/>
        <v>0</v>
      </c>
      <c r="BB426" s="35">
        <f t="shared" si="242"/>
        <v>0</v>
      </c>
      <c r="BC426" s="35">
        <f t="shared" si="243"/>
        <v>0</v>
      </c>
    </row>
    <row r="427" spans="1:55" s="35" customFormat="1" x14ac:dyDescent="0.35">
      <c r="A427" s="36">
        <v>41346</v>
      </c>
      <c r="B427" s="35" t="s">
        <v>1002</v>
      </c>
      <c r="C427" s="35" t="s">
        <v>59</v>
      </c>
      <c r="D427" s="35" t="s">
        <v>45</v>
      </c>
      <c r="E427" s="35" t="s">
        <v>64</v>
      </c>
      <c r="F427" s="139">
        <f t="shared" si="216"/>
        <v>1</v>
      </c>
      <c r="G427" s="35">
        <v>450000000</v>
      </c>
      <c r="H427" s="139">
        <f t="shared" si="217"/>
        <v>8.653212513775344</v>
      </c>
      <c r="I427" s="35">
        <f>G427</f>
        <v>450000000</v>
      </c>
      <c r="J427" s="35">
        <v>0</v>
      </c>
      <c r="K427" s="36">
        <v>42038</v>
      </c>
      <c r="L427" s="35">
        <v>1482108000</v>
      </c>
      <c r="M427" s="21">
        <f t="shared" si="218"/>
        <v>1.8958904109589041</v>
      </c>
      <c r="N427" s="21">
        <f t="shared" si="244"/>
        <v>0.27781323000028307</v>
      </c>
      <c r="O427" s="35">
        <v>5897.96</v>
      </c>
      <c r="P427" s="35">
        <f t="shared" si="219"/>
        <v>3.7707754512906644</v>
      </c>
      <c r="Q427" s="35">
        <v>35</v>
      </c>
      <c r="R427" s="35">
        <f t="shared" si="220"/>
        <v>1.5563025007672873</v>
      </c>
      <c r="S427" s="45">
        <v>2.3199999999999998</v>
      </c>
      <c r="T427" s="45">
        <f t="shared" si="245"/>
        <v>0.36548798489089962</v>
      </c>
      <c r="U427" s="175">
        <f t="shared" si="221"/>
        <v>2.2935733333333332</v>
      </c>
      <c r="V427" s="48">
        <f t="shared" si="222"/>
        <v>0.51766733770540363</v>
      </c>
      <c r="W427" s="35">
        <v>2030.3304662743317</v>
      </c>
      <c r="X427" s="35">
        <f t="shared" si="223"/>
        <v>3.3075667315086759</v>
      </c>
      <c r="Y427" s="35">
        <v>6774.5586238116803</v>
      </c>
      <c r="Z427" s="35">
        <f t="shared" si="224"/>
        <v>3.8308810053047755</v>
      </c>
      <c r="AA427" s="37">
        <v>132</v>
      </c>
      <c r="AB427" s="37">
        <f t="shared" si="225"/>
        <v>2.1238516409670858</v>
      </c>
      <c r="AC427" s="35">
        <v>94.1</v>
      </c>
      <c r="AD427" s="35">
        <f t="shared" si="246"/>
        <v>1.973589623427257</v>
      </c>
      <c r="AE427" s="48">
        <v>32.200000000000003</v>
      </c>
      <c r="AF427" s="48">
        <f t="shared" si="247"/>
        <v>1.507855871695831</v>
      </c>
      <c r="AG427" s="43">
        <v>43.9397801796012</v>
      </c>
      <c r="AH427" s="43">
        <f t="shared" si="248"/>
        <v>1.6428578799166489</v>
      </c>
      <c r="AI427" s="39">
        <v>0.91</v>
      </c>
      <c r="AJ427" s="48">
        <f t="shared" si="226"/>
        <v>0.28103336724772759</v>
      </c>
      <c r="AK427" s="35">
        <v>18</v>
      </c>
      <c r="AL427" s="35">
        <f t="shared" si="249"/>
        <v>1.255272505103306</v>
      </c>
      <c r="AM427" s="35">
        <f t="shared" si="227"/>
        <v>0</v>
      </c>
      <c r="AN427" s="35">
        <f t="shared" si="228"/>
        <v>0</v>
      </c>
      <c r="AO427" s="35">
        <f t="shared" si="229"/>
        <v>1</v>
      </c>
      <c r="AP427" s="35">
        <f t="shared" si="230"/>
        <v>0</v>
      </c>
      <c r="AQ427" s="35">
        <f t="shared" si="231"/>
        <v>0</v>
      </c>
      <c r="AR427" s="35">
        <f t="shared" si="232"/>
        <v>0</v>
      </c>
      <c r="AS427" s="35">
        <f t="shared" si="233"/>
        <v>0</v>
      </c>
      <c r="AT427" s="35">
        <f t="shared" si="234"/>
        <v>0</v>
      </c>
      <c r="AU427" s="35">
        <f t="shared" si="235"/>
        <v>0</v>
      </c>
      <c r="AV427" s="35">
        <f t="shared" si="236"/>
        <v>0</v>
      </c>
      <c r="AW427" s="35">
        <f t="shared" si="237"/>
        <v>0</v>
      </c>
      <c r="AX427" s="35">
        <f t="shared" si="238"/>
        <v>0</v>
      </c>
      <c r="AY427" s="35">
        <f t="shared" si="239"/>
        <v>0</v>
      </c>
      <c r="AZ427" s="35">
        <f t="shared" si="240"/>
        <v>0</v>
      </c>
      <c r="BA427" s="35">
        <f t="shared" si="241"/>
        <v>0</v>
      </c>
      <c r="BB427" s="35">
        <f t="shared" si="242"/>
        <v>0</v>
      </c>
      <c r="BC427" s="35">
        <f t="shared" si="243"/>
        <v>0</v>
      </c>
    </row>
    <row r="428" spans="1:55" s="35" customFormat="1" x14ac:dyDescent="0.35">
      <c r="A428" s="36">
        <v>41364</v>
      </c>
      <c r="B428" s="35" t="s">
        <v>1127</v>
      </c>
      <c r="C428" s="35" t="s">
        <v>59</v>
      </c>
      <c r="D428" s="35" t="s">
        <v>577</v>
      </c>
      <c r="E428" s="35" t="s">
        <v>47</v>
      </c>
      <c r="F428" s="139">
        <f t="shared" si="216"/>
        <v>0</v>
      </c>
      <c r="G428" s="35">
        <v>218910000</v>
      </c>
      <c r="H428" s="139">
        <f t="shared" si="217"/>
        <v>8.3402656009723302</v>
      </c>
      <c r="I428" s="35">
        <v>185000000</v>
      </c>
      <c r="J428" s="35">
        <v>33910000</v>
      </c>
      <c r="K428" s="36">
        <v>42776</v>
      </c>
      <c r="L428" s="35">
        <v>835000000</v>
      </c>
      <c r="M428" s="21">
        <f t="shared" si="218"/>
        <v>3.8684931506849316</v>
      </c>
      <c r="N428" s="21">
        <f t="shared" si="244"/>
        <v>0.58754183225931023</v>
      </c>
      <c r="O428" s="35">
        <v>0</v>
      </c>
      <c r="P428" s="35">
        <f t="shared" si="219"/>
        <v>0</v>
      </c>
      <c r="Q428" s="35">
        <v>63</v>
      </c>
      <c r="R428" s="35">
        <f t="shared" si="220"/>
        <v>1.8061799739838871</v>
      </c>
      <c r="S428" s="45">
        <v>3.29</v>
      </c>
      <c r="T428" s="45">
        <f t="shared" si="245"/>
        <v>0.51719589794997434</v>
      </c>
      <c r="U428" s="175">
        <f t="shared" si="221"/>
        <v>2.8143529304280297</v>
      </c>
      <c r="V428" s="48">
        <f t="shared" si="222"/>
        <v>0.58142087451127222</v>
      </c>
      <c r="W428" s="35">
        <v>1801.1079999999999</v>
      </c>
      <c r="X428" s="35">
        <f t="shared" si="223"/>
        <v>3.2555397552391718</v>
      </c>
      <c r="Y428" s="35">
        <v>8416.6209999999992</v>
      </c>
      <c r="Z428" s="35">
        <f t="shared" si="224"/>
        <v>3.9251377713585649</v>
      </c>
      <c r="AA428" s="37">
        <v>0</v>
      </c>
      <c r="AB428" s="37">
        <f t="shared" si="225"/>
        <v>0</v>
      </c>
      <c r="AC428" s="35">
        <v>94.1</v>
      </c>
      <c r="AD428" s="35">
        <f t="shared" si="246"/>
        <v>1.973589623427257</v>
      </c>
      <c r="AE428" s="48">
        <v>32.200000000000003</v>
      </c>
      <c r="AF428" s="48">
        <f t="shared" si="247"/>
        <v>1.507855871695831</v>
      </c>
      <c r="AG428" s="43">
        <v>43.9397801796012</v>
      </c>
      <c r="AH428" s="43">
        <f t="shared" si="248"/>
        <v>1.6428578799166489</v>
      </c>
      <c r="AI428" s="39">
        <v>0.2</v>
      </c>
      <c r="AJ428" s="48">
        <f t="shared" si="226"/>
        <v>7.9181246047624818E-2</v>
      </c>
      <c r="AK428" s="35">
        <v>21</v>
      </c>
      <c r="AL428" s="35">
        <f t="shared" si="249"/>
        <v>1.3222192947339193</v>
      </c>
      <c r="AM428" s="35">
        <f t="shared" si="227"/>
        <v>0</v>
      </c>
      <c r="AN428" s="35">
        <f t="shared" si="228"/>
        <v>0</v>
      </c>
      <c r="AO428" s="35">
        <f t="shared" si="229"/>
        <v>1</v>
      </c>
      <c r="AP428" s="35">
        <f t="shared" si="230"/>
        <v>0</v>
      </c>
      <c r="AQ428" s="35">
        <f t="shared" si="231"/>
        <v>0</v>
      </c>
      <c r="AR428" s="35">
        <f t="shared" si="232"/>
        <v>0</v>
      </c>
      <c r="AS428" s="35">
        <f t="shared" si="233"/>
        <v>0</v>
      </c>
      <c r="AT428" s="35">
        <f t="shared" si="234"/>
        <v>0</v>
      </c>
      <c r="AU428" s="35">
        <f t="shared" si="235"/>
        <v>0</v>
      </c>
      <c r="AV428" s="35">
        <f t="shared" si="236"/>
        <v>0</v>
      </c>
      <c r="AW428" s="35">
        <f t="shared" si="237"/>
        <v>0</v>
      </c>
      <c r="AX428" s="35">
        <f t="shared" si="238"/>
        <v>0</v>
      </c>
      <c r="AY428" s="35">
        <f t="shared" si="239"/>
        <v>0</v>
      </c>
      <c r="AZ428" s="35">
        <f t="shared" si="240"/>
        <v>0</v>
      </c>
      <c r="BA428" s="35">
        <f t="shared" si="241"/>
        <v>0</v>
      </c>
      <c r="BB428" s="35">
        <f t="shared" si="242"/>
        <v>0</v>
      </c>
      <c r="BC428" s="35">
        <f t="shared" si="243"/>
        <v>0</v>
      </c>
    </row>
    <row r="429" spans="1:55" s="35" customFormat="1" x14ac:dyDescent="0.35">
      <c r="A429" s="36">
        <v>41369</v>
      </c>
      <c r="B429" s="166" t="s">
        <v>409</v>
      </c>
      <c r="C429" s="35" t="s">
        <v>3</v>
      </c>
      <c r="D429" s="35" t="s">
        <v>4</v>
      </c>
      <c r="E429" s="35" t="s">
        <v>125</v>
      </c>
      <c r="F429" s="139">
        <f t="shared" si="216"/>
        <v>1</v>
      </c>
      <c r="G429" s="35">
        <v>400000000</v>
      </c>
      <c r="H429" s="139">
        <f t="shared" si="217"/>
        <v>8.6020599913279625</v>
      </c>
      <c r="I429" s="35">
        <f>G429</f>
        <v>400000000</v>
      </c>
      <c r="J429" s="35">
        <v>0</v>
      </c>
      <c r="K429" s="36">
        <v>43440</v>
      </c>
      <c r="L429" s="35">
        <v>660000000</v>
      </c>
      <c r="M429" s="21">
        <f t="shared" si="218"/>
        <v>5.6739726027397257</v>
      </c>
      <c r="N429" s="21">
        <f t="shared" si="244"/>
        <v>0.75388723443697792</v>
      </c>
      <c r="O429" s="35">
        <v>522.27</v>
      </c>
      <c r="P429" s="35">
        <f t="shared" si="219"/>
        <v>2.7187258365781268</v>
      </c>
      <c r="Q429" s="35">
        <v>36</v>
      </c>
      <c r="R429" s="35">
        <f t="shared" si="220"/>
        <v>1.568201724066995</v>
      </c>
      <c r="S429" s="45">
        <v>3.57</v>
      </c>
      <c r="T429" s="45">
        <f t="shared" si="245"/>
        <v>0.55266821611219319</v>
      </c>
      <c r="U429" s="175">
        <f t="shared" si="221"/>
        <v>0.64999999999999991</v>
      </c>
      <c r="V429" s="48">
        <f t="shared" si="222"/>
        <v>0.21748394421390627</v>
      </c>
      <c r="W429" s="35">
        <v>1630.2786555587475</v>
      </c>
      <c r="X429" s="35">
        <f t="shared" si="223"/>
        <v>3.212261842580872</v>
      </c>
      <c r="Y429" s="35">
        <v>8569.3766159149673</v>
      </c>
      <c r="Z429" s="35">
        <f t="shared" si="224"/>
        <v>3.9329492300777744</v>
      </c>
      <c r="AA429" s="37">
        <v>1232.1666666666699</v>
      </c>
      <c r="AB429" s="37">
        <f t="shared" si="225"/>
        <v>3.0910217769380406</v>
      </c>
      <c r="AC429" s="35">
        <v>98.4</v>
      </c>
      <c r="AD429" s="35">
        <f t="shared" si="246"/>
        <v>1.9929950984313416</v>
      </c>
      <c r="AE429" s="48">
        <v>45.9</v>
      </c>
      <c r="AF429" s="48">
        <f t="shared" si="247"/>
        <v>1.6618126855372612</v>
      </c>
      <c r="AG429" s="43">
        <v>55.820378229102602</v>
      </c>
      <c r="AH429" s="43">
        <f t="shared" si="248"/>
        <v>1.7467927748658987</v>
      </c>
      <c r="AI429" s="39">
        <v>0.41</v>
      </c>
      <c r="AJ429" s="48">
        <f t="shared" si="226"/>
        <v>0.14921911265537988</v>
      </c>
      <c r="AK429" s="35">
        <v>22</v>
      </c>
      <c r="AL429" s="35">
        <f t="shared" si="249"/>
        <v>1.3424226808222062</v>
      </c>
      <c r="AM429" s="35">
        <f t="shared" si="227"/>
        <v>0</v>
      </c>
      <c r="AN429" s="35">
        <f t="shared" si="228"/>
        <v>0</v>
      </c>
      <c r="AO429" s="35">
        <f t="shared" si="229"/>
        <v>0</v>
      </c>
      <c r="AP429" s="35">
        <f t="shared" si="230"/>
        <v>0</v>
      </c>
      <c r="AQ429" s="35">
        <f t="shared" si="231"/>
        <v>1</v>
      </c>
      <c r="AR429" s="35">
        <f t="shared" si="232"/>
        <v>0</v>
      </c>
      <c r="AS429" s="35">
        <f t="shared" si="233"/>
        <v>0</v>
      </c>
      <c r="AT429" s="35">
        <f t="shared" si="234"/>
        <v>0</v>
      </c>
      <c r="AU429" s="35">
        <f t="shared" si="235"/>
        <v>0</v>
      </c>
      <c r="AV429" s="35">
        <f t="shared" si="236"/>
        <v>0</v>
      </c>
      <c r="AW429" s="35">
        <f t="shared" si="237"/>
        <v>0</v>
      </c>
      <c r="AX429" s="35">
        <f t="shared" si="238"/>
        <v>0</v>
      </c>
      <c r="AY429" s="35">
        <f t="shared" si="239"/>
        <v>0</v>
      </c>
      <c r="AZ429" s="35">
        <f t="shared" si="240"/>
        <v>0</v>
      </c>
      <c r="BA429" s="35">
        <f t="shared" si="241"/>
        <v>0</v>
      </c>
      <c r="BB429" s="35">
        <f t="shared" si="242"/>
        <v>0</v>
      </c>
      <c r="BC429" s="35">
        <f t="shared" si="243"/>
        <v>0</v>
      </c>
    </row>
    <row r="430" spans="1:55" s="35" customFormat="1" ht="15" customHeight="1" x14ac:dyDescent="0.35">
      <c r="A430" s="36">
        <v>41373</v>
      </c>
      <c r="B430" s="35" t="s">
        <v>1280</v>
      </c>
      <c r="C430" s="35" t="s">
        <v>45</v>
      </c>
      <c r="D430" s="35" t="s">
        <v>602</v>
      </c>
      <c r="E430" s="35" t="s">
        <v>47</v>
      </c>
      <c r="F430" s="139">
        <f t="shared" si="216"/>
        <v>0</v>
      </c>
      <c r="G430" s="35">
        <v>1000000000</v>
      </c>
      <c r="H430" s="139">
        <f t="shared" si="217"/>
        <v>9</v>
      </c>
      <c r="I430" s="35">
        <f>G430</f>
        <v>1000000000</v>
      </c>
      <c r="J430" s="35">
        <v>0</v>
      </c>
      <c r="K430" s="36">
        <v>43374</v>
      </c>
      <c r="L430" s="35">
        <v>1450000000</v>
      </c>
      <c r="M430" s="21">
        <f t="shared" si="218"/>
        <v>5.4821917808219176</v>
      </c>
      <c r="N430" s="21">
        <f t="shared" si="244"/>
        <v>0.73895422417973666</v>
      </c>
      <c r="O430" s="35">
        <v>0</v>
      </c>
      <c r="P430" s="35">
        <f t="shared" si="219"/>
        <v>0</v>
      </c>
      <c r="Q430" s="35">
        <v>18</v>
      </c>
      <c r="R430" s="35">
        <f t="shared" si="220"/>
        <v>1.2787536009528289</v>
      </c>
      <c r="S430" s="45">
        <v>2.95</v>
      </c>
      <c r="T430" s="45">
        <f t="shared" si="245"/>
        <v>0.46982201597816303</v>
      </c>
      <c r="U430" s="175">
        <f t="shared" si="221"/>
        <v>0.44999999999999996</v>
      </c>
      <c r="V430" s="48">
        <f t="shared" si="222"/>
        <v>0.16136800223497488</v>
      </c>
      <c r="W430" s="35">
        <v>1455.046</v>
      </c>
      <c r="X430" s="35">
        <f t="shared" si="223"/>
        <v>3.1628767233771686</v>
      </c>
      <c r="Y430" s="35">
        <v>4062.5129999999999</v>
      </c>
      <c r="Z430" s="35">
        <f t="shared" si="224"/>
        <v>3.6087947637270492</v>
      </c>
      <c r="AA430" s="35">
        <v>0</v>
      </c>
      <c r="AB430" s="37">
        <f t="shared" si="225"/>
        <v>0</v>
      </c>
      <c r="AC430" s="35">
        <v>90.5</v>
      </c>
      <c r="AD430" s="35">
        <f t="shared" si="246"/>
        <v>1.9566485792052033</v>
      </c>
      <c r="AE430" s="48">
        <v>25.7</v>
      </c>
      <c r="AF430" s="48">
        <f t="shared" si="247"/>
        <v>1.4099331233312946</v>
      </c>
      <c r="AG430" s="43">
        <v>39.010023979360902</v>
      </c>
      <c r="AH430" s="43">
        <f t="shared" si="248"/>
        <v>1.5911762172715689</v>
      </c>
      <c r="AI430" s="39">
        <v>0.38</v>
      </c>
      <c r="AJ430" s="48">
        <f t="shared" si="226"/>
        <v>0.13987908640123647</v>
      </c>
      <c r="AK430" s="35">
        <v>20</v>
      </c>
      <c r="AL430" s="35">
        <f t="shared" si="249"/>
        <v>1.3010299956639813</v>
      </c>
      <c r="AM430" s="35">
        <f t="shared" si="227"/>
        <v>0</v>
      </c>
      <c r="AN430" s="35">
        <f t="shared" si="228"/>
        <v>1</v>
      </c>
      <c r="AO430" s="35">
        <f t="shared" si="229"/>
        <v>0</v>
      </c>
      <c r="AP430" s="35">
        <f t="shared" si="230"/>
        <v>0</v>
      </c>
      <c r="AQ430" s="35">
        <f t="shared" si="231"/>
        <v>0</v>
      </c>
      <c r="AR430" s="35">
        <f t="shared" si="232"/>
        <v>0</v>
      </c>
      <c r="AS430" s="35">
        <f t="shared" si="233"/>
        <v>0</v>
      </c>
      <c r="AT430" s="35">
        <f t="shared" si="234"/>
        <v>0</v>
      </c>
      <c r="AU430" s="35">
        <f t="shared" si="235"/>
        <v>0</v>
      </c>
      <c r="AV430" s="35">
        <f t="shared" si="236"/>
        <v>0</v>
      </c>
      <c r="AW430" s="35">
        <f t="shared" si="237"/>
        <v>0</v>
      </c>
      <c r="AX430" s="35">
        <f t="shared" si="238"/>
        <v>0</v>
      </c>
      <c r="AY430" s="35">
        <f t="shared" si="239"/>
        <v>0</v>
      </c>
      <c r="AZ430" s="35">
        <f t="shared" si="240"/>
        <v>0</v>
      </c>
      <c r="BA430" s="35">
        <f t="shared" si="241"/>
        <v>0</v>
      </c>
      <c r="BB430" s="35">
        <f t="shared" si="242"/>
        <v>0</v>
      </c>
      <c r="BC430" s="35">
        <f t="shared" si="243"/>
        <v>0</v>
      </c>
    </row>
    <row r="431" spans="1:55" s="35" customFormat="1" x14ac:dyDescent="0.35">
      <c r="A431" s="36">
        <v>41382</v>
      </c>
      <c r="B431" s="166" t="s">
        <v>157</v>
      </c>
      <c r="C431" s="35" t="s">
        <v>7</v>
      </c>
      <c r="D431" s="35" t="s">
        <v>59</v>
      </c>
      <c r="E431" s="35" t="s">
        <v>125</v>
      </c>
      <c r="F431" s="139">
        <f t="shared" si="216"/>
        <v>1</v>
      </c>
      <c r="G431" s="35">
        <v>3100000000</v>
      </c>
      <c r="H431" s="139">
        <f t="shared" si="217"/>
        <v>9.4913616938342731</v>
      </c>
      <c r="I431" s="35">
        <v>350000000</v>
      </c>
      <c r="J431" s="35">
        <v>2750000000</v>
      </c>
      <c r="K431" s="36">
        <v>42943</v>
      </c>
      <c r="L431" s="35">
        <v>3709000000</v>
      </c>
      <c r="M431" s="21">
        <f t="shared" si="218"/>
        <v>4.2767123287671236</v>
      </c>
      <c r="N431" s="21">
        <f t="shared" si="244"/>
        <v>0.63111003860594284</v>
      </c>
      <c r="O431" s="35">
        <v>489.17</v>
      </c>
      <c r="P431" s="35">
        <f t="shared" si="219"/>
        <v>2.6903467274930635</v>
      </c>
      <c r="Q431" s="35">
        <v>40</v>
      </c>
      <c r="R431" s="35">
        <f t="shared" si="220"/>
        <v>1.6127838567197355</v>
      </c>
      <c r="S431" s="45">
        <v>2.59</v>
      </c>
      <c r="T431" s="45">
        <f t="shared" si="245"/>
        <v>0.4132997640812518</v>
      </c>
      <c r="U431" s="175">
        <f t="shared" si="221"/>
        <v>0.19645161290322588</v>
      </c>
      <c r="V431" s="48">
        <f t="shared" si="222"/>
        <v>7.789513949433749E-2</v>
      </c>
      <c r="W431" s="35">
        <v>1669.0315000000001</v>
      </c>
      <c r="X431" s="35">
        <f t="shared" si="223"/>
        <v>3.2224645332922388</v>
      </c>
      <c r="Y431" s="35">
        <v>5094.7950000000001</v>
      </c>
      <c r="Z431" s="35">
        <f t="shared" si="224"/>
        <v>3.707126713924402</v>
      </c>
      <c r="AA431" s="37">
        <v>562.5</v>
      </c>
      <c r="AB431" s="37">
        <f t="shared" si="225"/>
        <v>2.7508939203821252</v>
      </c>
      <c r="AC431" s="35">
        <v>74.8</v>
      </c>
      <c r="AD431" s="35">
        <f t="shared" si="246"/>
        <v>1.8739015978644613</v>
      </c>
      <c r="AE431" s="48">
        <v>38.299999999999997</v>
      </c>
      <c r="AF431" s="48">
        <f t="shared" si="247"/>
        <v>1.5831987739686226</v>
      </c>
      <c r="AG431" s="43">
        <v>43.321936809724697</v>
      </c>
      <c r="AH431" s="43">
        <f t="shared" si="248"/>
        <v>1.6367078645500728</v>
      </c>
      <c r="AI431" s="39">
        <v>7.0000000000000007E-2</v>
      </c>
      <c r="AJ431" s="48">
        <f t="shared" si="226"/>
        <v>2.9383777685209667E-2</v>
      </c>
      <c r="AK431" s="35">
        <v>26</v>
      </c>
      <c r="AL431" s="35">
        <f t="shared" si="249"/>
        <v>1.414973347970818</v>
      </c>
      <c r="AM431" s="35">
        <f t="shared" si="227"/>
        <v>0</v>
      </c>
      <c r="AN431" s="35">
        <f t="shared" si="228"/>
        <v>0</v>
      </c>
      <c r="AO431" s="35">
        <f t="shared" si="229"/>
        <v>0</v>
      </c>
      <c r="AP431" s="35">
        <f t="shared" si="230"/>
        <v>0</v>
      </c>
      <c r="AQ431" s="35">
        <f t="shared" si="231"/>
        <v>0</v>
      </c>
      <c r="AR431" s="35">
        <f t="shared" si="232"/>
        <v>0</v>
      </c>
      <c r="AS431" s="35">
        <f t="shared" si="233"/>
        <v>0</v>
      </c>
      <c r="AT431" s="35">
        <f t="shared" si="234"/>
        <v>0</v>
      </c>
      <c r="AU431" s="35">
        <f t="shared" si="235"/>
        <v>0</v>
      </c>
      <c r="AV431" s="35">
        <f t="shared" si="236"/>
        <v>0</v>
      </c>
      <c r="AW431" s="35">
        <f t="shared" si="237"/>
        <v>0</v>
      </c>
      <c r="AX431" s="35">
        <f t="shared" si="238"/>
        <v>0</v>
      </c>
      <c r="AY431" s="35">
        <f t="shared" si="239"/>
        <v>1</v>
      </c>
      <c r="AZ431" s="35">
        <f t="shared" si="240"/>
        <v>0</v>
      </c>
      <c r="BA431" s="35">
        <f t="shared" si="241"/>
        <v>0</v>
      </c>
      <c r="BB431" s="35">
        <f t="shared" si="242"/>
        <v>0</v>
      </c>
      <c r="BC431" s="35">
        <f t="shared" si="243"/>
        <v>0</v>
      </c>
    </row>
    <row r="432" spans="1:55" s="35" customFormat="1" ht="19.5" customHeight="1" x14ac:dyDescent="0.35">
      <c r="A432" s="36">
        <v>41388</v>
      </c>
      <c r="B432" s="90" t="s">
        <v>1199</v>
      </c>
      <c r="C432" s="35" t="s">
        <v>163</v>
      </c>
      <c r="D432" s="35" t="s">
        <v>2</v>
      </c>
      <c r="E432" s="35" t="s">
        <v>64</v>
      </c>
      <c r="F432" s="139">
        <f t="shared" si="216"/>
        <v>1</v>
      </c>
      <c r="G432" s="35">
        <v>18200000</v>
      </c>
      <c r="H432" s="139">
        <f t="shared" si="217"/>
        <v>7.2600713879850751</v>
      </c>
      <c r="I432" s="35">
        <f>G432</f>
        <v>18200000</v>
      </c>
      <c r="J432" s="35">
        <v>0</v>
      </c>
      <c r="K432" s="36">
        <v>41733</v>
      </c>
      <c r="L432" s="35">
        <v>34670000</v>
      </c>
      <c r="M432" s="21">
        <f t="shared" si="218"/>
        <v>0.9452054794520548</v>
      </c>
      <c r="N432" s="21">
        <f t="shared" si="244"/>
        <v>-2.4473769383200585E-2</v>
      </c>
      <c r="O432" s="35">
        <v>684.28</v>
      </c>
      <c r="P432" s="35">
        <f t="shared" si="219"/>
        <v>2.8358680570524939</v>
      </c>
      <c r="Q432" s="35">
        <v>12</v>
      </c>
      <c r="R432" s="35">
        <f t="shared" si="220"/>
        <v>1.1139433523068367</v>
      </c>
      <c r="S432" s="45">
        <v>2.85</v>
      </c>
      <c r="T432" s="45">
        <f t="shared" si="245"/>
        <v>0.45484486000851021</v>
      </c>
      <c r="U432" s="175">
        <f t="shared" si="221"/>
        <v>0.90494505494505484</v>
      </c>
      <c r="V432" s="48">
        <f t="shared" si="222"/>
        <v>0.27988245367132186</v>
      </c>
      <c r="W432" s="35">
        <v>2515.7884814779904</v>
      </c>
      <c r="X432" s="35">
        <f t="shared" si="223"/>
        <v>3.4006741243771632</v>
      </c>
      <c r="Y432" s="35">
        <v>6800.8294844000393</v>
      </c>
      <c r="Z432" s="35">
        <f t="shared" si="224"/>
        <v>3.8325618860191688</v>
      </c>
      <c r="AA432" s="37">
        <v>1412.5</v>
      </c>
      <c r="AB432" s="37">
        <f t="shared" si="225"/>
        <v>3.1502958128255383</v>
      </c>
      <c r="AC432" s="35">
        <v>84</v>
      </c>
      <c r="AD432" s="35">
        <f t="shared" si="246"/>
        <v>1.9242792860618816</v>
      </c>
      <c r="AE432" s="48">
        <v>45.4</v>
      </c>
      <c r="AF432" s="48">
        <f t="shared" si="247"/>
        <v>1.657055852857104</v>
      </c>
      <c r="AG432" s="43">
        <v>57.2278620378247</v>
      </c>
      <c r="AH432" s="43">
        <f t="shared" si="248"/>
        <v>1.7576075215065206</v>
      </c>
      <c r="AI432" s="39">
        <v>-0.41</v>
      </c>
      <c r="AJ432" s="48">
        <f t="shared" si="226"/>
        <v>-0.22914798835785574</v>
      </c>
      <c r="AK432" s="35">
        <v>14</v>
      </c>
      <c r="AL432" s="35">
        <f t="shared" si="249"/>
        <v>1.146128035678238</v>
      </c>
      <c r="AM432" s="35">
        <f t="shared" si="227"/>
        <v>0</v>
      </c>
      <c r="AN432" s="35">
        <f t="shared" si="228"/>
        <v>0</v>
      </c>
      <c r="AO432" s="35">
        <f t="shared" si="229"/>
        <v>0</v>
      </c>
      <c r="AP432" s="35">
        <f t="shared" si="230"/>
        <v>0</v>
      </c>
      <c r="AQ432" s="35">
        <f t="shared" si="231"/>
        <v>0</v>
      </c>
      <c r="AR432" s="35">
        <f t="shared" si="232"/>
        <v>0</v>
      </c>
      <c r="AS432" s="35">
        <f t="shared" si="233"/>
        <v>0</v>
      </c>
      <c r="AT432" s="35">
        <f t="shared" si="234"/>
        <v>1</v>
      </c>
      <c r="AU432" s="35">
        <f t="shared" si="235"/>
        <v>0</v>
      </c>
      <c r="AV432" s="35">
        <f t="shared" si="236"/>
        <v>0</v>
      </c>
      <c r="AW432" s="35">
        <f t="shared" si="237"/>
        <v>0</v>
      </c>
      <c r="AX432" s="35">
        <f t="shared" si="238"/>
        <v>0</v>
      </c>
      <c r="AY432" s="35">
        <f t="shared" si="239"/>
        <v>0</v>
      </c>
      <c r="AZ432" s="35">
        <f t="shared" si="240"/>
        <v>0</v>
      </c>
      <c r="BA432" s="35">
        <f t="shared" si="241"/>
        <v>0</v>
      </c>
      <c r="BB432" s="35">
        <f t="shared" si="242"/>
        <v>0</v>
      </c>
      <c r="BC432" s="35">
        <f t="shared" si="243"/>
        <v>0</v>
      </c>
    </row>
    <row r="433" spans="1:55" s="35" customFormat="1" ht="15.75" customHeight="1" x14ac:dyDescent="0.35">
      <c r="A433" s="36">
        <v>41401</v>
      </c>
      <c r="B433" s="35" t="s">
        <v>987</v>
      </c>
      <c r="C433" s="35" t="s">
        <v>59</v>
      </c>
      <c r="D433" s="35" t="s">
        <v>45</v>
      </c>
      <c r="E433" s="35" t="s">
        <v>64</v>
      </c>
      <c r="F433" s="139">
        <f t="shared" si="216"/>
        <v>1</v>
      </c>
      <c r="G433" s="35">
        <v>118000000</v>
      </c>
      <c r="H433" s="139">
        <f t="shared" si="217"/>
        <v>8.0718820073061259</v>
      </c>
      <c r="I433" s="35">
        <f>G433</f>
        <v>118000000</v>
      </c>
      <c r="J433" s="35">
        <v>0</v>
      </c>
      <c r="K433" s="36">
        <v>43045</v>
      </c>
      <c r="L433" s="35">
        <v>600000000</v>
      </c>
      <c r="M433" s="21">
        <f t="shared" si="218"/>
        <v>4.5041095890410956</v>
      </c>
      <c r="N433" s="21">
        <f t="shared" si="244"/>
        <v>0.65360894874755682</v>
      </c>
      <c r="O433" s="35">
        <v>5897.96</v>
      </c>
      <c r="P433" s="35">
        <f t="shared" si="219"/>
        <v>3.7707754512906644</v>
      </c>
      <c r="Q433" s="35">
        <v>4</v>
      </c>
      <c r="R433" s="35">
        <f t="shared" si="220"/>
        <v>0.69897000433601886</v>
      </c>
      <c r="S433" s="45">
        <v>2.3199999999999998</v>
      </c>
      <c r="T433" s="45">
        <f t="shared" si="245"/>
        <v>0.36548798489089962</v>
      </c>
      <c r="U433" s="175">
        <f t="shared" si="221"/>
        <v>4.0847457627118642</v>
      </c>
      <c r="V433" s="48">
        <f t="shared" si="222"/>
        <v>0.70626924307751826</v>
      </c>
      <c r="W433" s="35">
        <v>1298.5550759992495</v>
      </c>
      <c r="X433" s="35">
        <f t="shared" si="223"/>
        <v>3.1134603742158462</v>
      </c>
      <c r="Y433" s="35">
        <v>6025.5207355976736</v>
      </c>
      <c r="Z433" s="35">
        <f t="shared" si="224"/>
        <v>3.7799945853255905</v>
      </c>
      <c r="AA433" s="37">
        <v>132</v>
      </c>
      <c r="AB433" s="37">
        <f t="shared" si="225"/>
        <v>2.1238516409670858</v>
      </c>
      <c r="AC433" s="35">
        <v>94.1</v>
      </c>
      <c r="AD433" s="35">
        <f t="shared" si="246"/>
        <v>1.973589623427257</v>
      </c>
      <c r="AE433" s="48">
        <v>32.200000000000003</v>
      </c>
      <c r="AF433" s="48">
        <f t="shared" si="247"/>
        <v>1.507855871695831</v>
      </c>
      <c r="AG433" s="43">
        <v>43.9397801796012</v>
      </c>
      <c r="AH433" s="43">
        <f t="shared" si="248"/>
        <v>1.6428578799166489</v>
      </c>
      <c r="AI433" s="39">
        <v>0.14000000000000001</v>
      </c>
      <c r="AJ433" s="48">
        <f t="shared" si="226"/>
        <v>5.6904851336472641E-2</v>
      </c>
      <c r="AK433" s="35">
        <v>5</v>
      </c>
      <c r="AL433" s="35">
        <f t="shared" si="249"/>
        <v>0.69897000433601886</v>
      </c>
      <c r="AM433" s="35">
        <f t="shared" si="227"/>
        <v>0</v>
      </c>
      <c r="AN433" s="35">
        <f t="shared" si="228"/>
        <v>0</v>
      </c>
      <c r="AO433" s="35">
        <f t="shared" si="229"/>
        <v>1</v>
      </c>
      <c r="AP433" s="35">
        <f t="shared" si="230"/>
        <v>0</v>
      </c>
      <c r="AQ433" s="35">
        <f t="shared" si="231"/>
        <v>0</v>
      </c>
      <c r="AR433" s="35">
        <f t="shared" si="232"/>
        <v>0</v>
      </c>
      <c r="AS433" s="35">
        <f t="shared" si="233"/>
        <v>0</v>
      </c>
      <c r="AT433" s="35">
        <f t="shared" si="234"/>
        <v>0</v>
      </c>
      <c r="AU433" s="35">
        <f t="shared" si="235"/>
        <v>0</v>
      </c>
      <c r="AV433" s="35">
        <f t="shared" si="236"/>
        <v>0</v>
      </c>
      <c r="AW433" s="35">
        <f t="shared" si="237"/>
        <v>0</v>
      </c>
      <c r="AX433" s="35">
        <f t="shared" si="238"/>
        <v>0</v>
      </c>
      <c r="AY433" s="35">
        <f t="shared" si="239"/>
        <v>0</v>
      </c>
      <c r="AZ433" s="35">
        <f t="shared" si="240"/>
        <v>0</v>
      </c>
      <c r="BA433" s="35">
        <f t="shared" si="241"/>
        <v>0</v>
      </c>
      <c r="BB433" s="35">
        <f t="shared" si="242"/>
        <v>0</v>
      </c>
      <c r="BC433" s="35">
        <f t="shared" si="243"/>
        <v>0</v>
      </c>
    </row>
    <row r="434" spans="1:55" s="35" customFormat="1" ht="15" customHeight="1" x14ac:dyDescent="0.35">
      <c r="A434" s="36">
        <v>41404</v>
      </c>
      <c r="B434" s="35" t="s">
        <v>1244</v>
      </c>
      <c r="C434" s="35" t="s">
        <v>45</v>
      </c>
      <c r="D434" s="35" t="s">
        <v>602</v>
      </c>
      <c r="E434" s="35" t="s">
        <v>47</v>
      </c>
      <c r="F434" s="139">
        <f t="shared" si="216"/>
        <v>0</v>
      </c>
      <c r="G434" s="35">
        <v>190440000</v>
      </c>
      <c r="H434" s="139">
        <f t="shared" si="217"/>
        <v>8.2797581728024738</v>
      </c>
      <c r="I434" s="35">
        <f>G434</f>
        <v>190440000</v>
      </c>
      <c r="J434" s="35">
        <v>0</v>
      </c>
      <c r="K434" s="36">
        <v>41865</v>
      </c>
      <c r="L434" s="35">
        <v>117500000</v>
      </c>
      <c r="M434" s="21">
        <f t="shared" si="218"/>
        <v>1.263013698630137</v>
      </c>
      <c r="N434" s="21">
        <f t="shared" si="244"/>
        <v>0.10140806093317345</v>
      </c>
      <c r="O434" s="35">
        <v>0</v>
      </c>
      <c r="P434" s="35">
        <f t="shared" si="219"/>
        <v>0</v>
      </c>
      <c r="Q434" s="35">
        <v>30</v>
      </c>
      <c r="R434" s="35">
        <f t="shared" si="220"/>
        <v>1.4913616938342726</v>
      </c>
      <c r="S434" s="45">
        <v>2.95</v>
      </c>
      <c r="T434" s="45">
        <f t="shared" si="245"/>
        <v>0.46982201597816303</v>
      </c>
      <c r="U434" s="175">
        <f t="shared" si="221"/>
        <v>-0.38300777147658061</v>
      </c>
      <c r="V434" s="48">
        <f t="shared" si="222"/>
        <v>-0.20972030619471799</v>
      </c>
      <c r="W434" s="35">
        <v>1455.046</v>
      </c>
      <c r="X434" s="35">
        <f t="shared" si="223"/>
        <v>3.1628767233771686</v>
      </c>
      <c r="Y434" s="35">
        <v>4062.5129999999999</v>
      </c>
      <c r="Z434" s="35">
        <f t="shared" si="224"/>
        <v>3.6087947637270492</v>
      </c>
      <c r="AA434" s="35">
        <v>0</v>
      </c>
      <c r="AB434" s="37">
        <f t="shared" si="225"/>
        <v>0</v>
      </c>
      <c r="AC434" s="35">
        <v>90.5</v>
      </c>
      <c r="AD434" s="35">
        <f t="shared" si="246"/>
        <v>1.9566485792052033</v>
      </c>
      <c r="AE434" s="48">
        <v>25.7</v>
      </c>
      <c r="AF434" s="48">
        <f t="shared" si="247"/>
        <v>1.4099331233312946</v>
      </c>
      <c r="AG434" s="43">
        <v>39.010023979360902</v>
      </c>
      <c r="AH434" s="43">
        <f t="shared" si="248"/>
        <v>1.5911762172715689</v>
      </c>
      <c r="AI434" s="39">
        <v>1.02</v>
      </c>
      <c r="AJ434" s="48">
        <f t="shared" si="226"/>
        <v>0.30535136944662378</v>
      </c>
      <c r="AK434" s="35">
        <v>8</v>
      </c>
      <c r="AL434" s="35">
        <f t="shared" si="249"/>
        <v>0.90308998699194354</v>
      </c>
      <c r="AM434" s="35">
        <f t="shared" si="227"/>
        <v>0</v>
      </c>
      <c r="AN434" s="35">
        <f t="shared" si="228"/>
        <v>1</v>
      </c>
      <c r="AO434" s="35">
        <f t="shared" si="229"/>
        <v>0</v>
      </c>
      <c r="AP434" s="35">
        <f t="shared" si="230"/>
        <v>0</v>
      </c>
      <c r="AQ434" s="35">
        <f t="shared" si="231"/>
        <v>0</v>
      </c>
      <c r="AR434" s="35">
        <f t="shared" si="232"/>
        <v>0</v>
      </c>
      <c r="AS434" s="35">
        <f t="shared" si="233"/>
        <v>0</v>
      </c>
      <c r="AT434" s="35">
        <f t="shared" si="234"/>
        <v>0</v>
      </c>
      <c r="AU434" s="35">
        <f t="shared" si="235"/>
        <v>0</v>
      </c>
      <c r="AV434" s="35">
        <f t="shared" si="236"/>
        <v>0</v>
      </c>
      <c r="AW434" s="35">
        <f t="shared" si="237"/>
        <v>0</v>
      </c>
      <c r="AX434" s="35">
        <f t="shared" si="238"/>
        <v>0</v>
      </c>
      <c r="AY434" s="35">
        <f t="shared" si="239"/>
        <v>0</v>
      </c>
      <c r="AZ434" s="35">
        <f t="shared" si="240"/>
        <v>0</v>
      </c>
      <c r="BA434" s="35">
        <f t="shared" si="241"/>
        <v>0</v>
      </c>
      <c r="BB434" s="35">
        <f t="shared" si="242"/>
        <v>0</v>
      </c>
      <c r="BC434" s="35">
        <f t="shared" si="243"/>
        <v>0</v>
      </c>
    </row>
    <row r="435" spans="1:55" s="35" customFormat="1" ht="20.25" customHeight="1" x14ac:dyDescent="0.35">
      <c r="A435" s="36">
        <v>41425</v>
      </c>
      <c r="B435" s="35" t="s">
        <v>744</v>
      </c>
      <c r="C435" s="35" t="s">
        <v>1</v>
      </c>
      <c r="D435" s="35" t="s">
        <v>577</v>
      </c>
      <c r="E435" s="35" t="s">
        <v>64</v>
      </c>
      <c r="F435" s="139">
        <f t="shared" si="216"/>
        <v>1</v>
      </c>
      <c r="G435" s="35">
        <v>33450000</v>
      </c>
      <c r="H435" s="139">
        <f t="shared" si="217"/>
        <v>7.524396122103842</v>
      </c>
      <c r="I435" s="35">
        <f>G435</f>
        <v>33450000</v>
      </c>
      <c r="J435" s="35">
        <v>0</v>
      </c>
      <c r="K435" s="36">
        <v>42318</v>
      </c>
      <c r="L435" s="35">
        <v>765000000</v>
      </c>
      <c r="M435" s="21">
        <f t="shared" si="218"/>
        <v>2.4465753424657533</v>
      </c>
      <c r="N435" s="21">
        <f t="shared" si="244"/>
        <v>0.38855859443207169</v>
      </c>
      <c r="O435" s="35">
        <v>1153.8900000000001</v>
      </c>
      <c r="P435" s="35">
        <f t="shared" si="219"/>
        <v>3.0625406208792199</v>
      </c>
      <c r="Q435" s="35">
        <v>9</v>
      </c>
      <c r="R435" s="35">
        <f t="shared" si="220"/>
        <v>1</v>
      </c>
      <c r="S435" s="45">
        <v>3.06</v>
      </c>
      <c r="T435" s="45">
        <f t="shared" si="245"/>
        <v>0.48572142648158001</v>
      </c>
      <c r="U435" s="175">
        <f t="shared" si="221"/>
        <v>21.869955156950674</v>
      </c>
      <c r="V435" s="48">
        <f t="shared" si="222"/>
        <v>1.3592653130497758</v>
      </c>
      <c r="W435" s="35">
        <v>1861.7599999999995</v>
      </c>
      <c r="X435" s="35">
        <f t="shared" si="223"/>
        <v>3.2699236952309461</v>
      </c>
      <c r="Y435" s="35">
        <v>4993.920000000001</v>
      </c>
      <c r="Z435" s="35">
        <f t="shared" si="224"/>
        <v>3.6984415808994222</v>
      </c>
      <c r="AA435" s="37">
        <v>742.83333333333303</v>
      </c>
      <c r="AB435" s="37">
        <f t="shared" si="225"/>
        <v>2.8714756364568856</v>
      </c>
      <c r="AC435" s="35">
        <v>92.6</v>
      </c>
      <c r="AD435" s="35">
        <f t="shared" si="246"/>
        <v>1.9666109866819343</v>
      </c>
      <c r="AE435" s="48">
        <v>39.9</v>
      </c>
      <c r="AF435" s="48">
        <f t="shared" si="247"/>
        <v>1.6009728956867482</v>
      </c>
      <c r="AG435" s="43">
        <v>43.966315241865303</v>
      </c>
      <c r="AH435" s="43">
        <f t="shared" si="248"/>
        <v>1.6431200695045953</v>
      </c>
      <c r="AI435" s="39">
        <v>-0.28999999999999998</v>
      </c>
      <c r="AJ435" s="48">
        <f t="shared" si="226"/>
        <v>-0.14874165128092473</v>
      </c>
      <c r="AK435" s="35">
        <v>12</v>
      </c>
      <c r="AL435" s="35">
        <f t="shared" si="249"/>
        <v>1.0791812460476249</v>
      </c>
      <c r="AM435" s="35">
        <f t="shared" si="227"/>
        <v>0</v>
      </c>
      <c r="AN435" s="35">
        <f t="shared" si="228"/>
        <v>0</v>
      </c>
      <c r="AO435" s="35">
        <f t="shared" si="229"/>
        <v>0</v>
      </c>
      <c r="AP435" s="35">
        <f t="shared" si="230"/>
        <v>1</v>
      </c>
      <c r="AQ435" s="35">
        <f t="shared" si="231"/>
        <v>0</v>
      </c>
      <c r="AR435" s="35">
        <f t="shared" si="232"/>
        <v>0</v>
      </c>
      <c r="AS435" s="35">
        <f t="shared" si="233"/>
        <v>0</v>
      </c>
      <c r="AT435" s="35">
        <f t="shared" si="234"/>
        <v>0</v>
      </c>
      <c r="AU435" s="35">
        <f t="shared" si="235"/>
        <v>0</v>
      </c>
      <c r="AV435" s="35">
        <f t="shared" si="236"/>
        <v>0</v>
      </c>
      <c r="AW435" s="35">
        <f t="shared" si="237"/>
        <v>0</v>
      </c>
      <c r="AX435" s="35">
        <f t="shared" si="238"/>
        <v>0</v>
      </c>
      <c r="AY435" s="35">
        <f t="shared" si="239"/>
        <v>0</v>
      </c>
      <c r="AZ435" s="35">
        <f t="shared" si="240"/>
        <v>0</v>
      </c>
      <c r="BA435" s="35">
        <f t="shared" si="241"/>
        <v>0</v>
      </c>
      <c r="BB435" s="35">
        <f t="shared" si="242"/>
        <v>0</v>
      </c>
      <c r="BC435" s="35">
        <f t="shared" si="243"/>
        <v>0</v>
      </c>
    </row>
    <row r="436" spans="1:55" s="35" customFormat="1" ht="21" customHeight="1" x14ac:dyDescent="0.35">
      <c r="A436" s="36">
        <v>41444</v>
      </c>
      <c r="B436" s="35" t="s">
        <v>1059</v>
      </c>
      <c r="C436" s="35" t="s">
        <v>5</v>
      </c>
      <c r="D436" s="35" t="s">
        <v>45</v>
      </c>
      <c r="E436" s="35" t="s">
        <v>64</v>
      </c>
      <c r="F436" s="139">
        <f t="shared" si="216"/>
        <v>1</v>
      </c>
      <c r="G436" s="35">
        <v>219200000</v>
      </c>
      <c r="H436" s="139">
        <f t="shared" si="217"/>
        <v>8.3408405498123308</v>
      </c>
      <c r="I436" s="35">
        <f>G436</f>
        <v>219200000</v>
      </c>
      <c r="J436" s="35">
        <v>0</v>
      </c>
      <c r="K436" s="36">
        <v>43283</v>
      </c>
      <c r="L436" s="35">
        <v>155000000</v>
      </c>
      <c r="M436" s="21">
        <f t="shared" si="218"/>
        <v>5.0383561643835613</v>
      </c>
      <c r="N436" s="21">
        <f t="shared" si="244"/>
        <v>0.70228886478160268</v>
      </c>
      <c r="O436" s="35">
        <v>6188.89</v>
      </c>
      <c r="P436" s="35">
        <f t="shared" si="219"/>
        <v>3.7916829312790057</v>
      </c>
      <c r="Q436" s="35">
        <v>5</v>
      </c>
      <c r="R436" s="35">
        <f t="shared" si="220"/>
        <v>0.77815125038364363</v>
      </c>
      <c r="S436" s="45">
        <v>2.72</v>
      </c>
      <c r="T436" s="45">
        <f t="shared" si="245"/>
        <v>0.43456890403419873</v>
      </c>
      <c r="U436" s="175">
        <f t="shared" si="221"/>
        <v>-0.29288321167883213</v>
      </c>
      <c r="V436" s="48">
        <f t="shared" si="222"/>
        <v>-0.15050885164204009</v>
      </c>
      <c r="W436" s="35">
        <v>1455.5555555555557</v>
      </c>
      <c r="X436" s="35">
        <f t="shared" si="223"/>
        <v>3.1630287862164392</v>
      </c>
      <c r="Y436" s="35">
        <v>6605.5555555555547</v>
      </c>
      <c r="Z436" s="35">
        <f t="shared" si="224"/>
        <v>3.8199093495153855</v>
      </c>
      <c r="AA436" s="37">
        <v>1084.3333333333301</v>
      </c>
      <c r="AB436" s="37">
        <f t="shared" si="225"/>
        <v>3.0355631414974997</v>
      </c>
      <c r="AC436" s="35">
        <v>83</v>
      </c>
      <c r="AD436" s="35">
        <f t="shared" si="246"/>
        <v>1.919078092376074</v>
      </c>
      <c r="AE436" s="48">
        <v>36.1</v>
      </c>
      <c r="AF436" s="48">
        <f t="shared" si="247"/>
        <v>1.5575072019056579</v>
      </c>
      <c r="AG436" s="43">
        <v>46.521758221126703</v>
      </c>
      <c r="AH436" s="43">
        <f t="shared" si="248"/>
        <v>1.6676561198849535</v>
      </c>
      <c r="AI436" s="39">
        <v>-0.15</v>
      </c>
      <c r="AJ436" s="48">
        <f t="shared" si="226"/>
        <v>-7.0581074285707285E-2</v>
      </c>
      <c r="AK436" s="35">
        <v>12</v>
      </c>
      <c r="AL436" s="35">
        <f t="shared" si="249"/>
        <v>1.0791812460476249</v>
      </c>
      <c r="AM436" s="35">
        <f t="shared" si="227"/>
        <v>0</v>
      </c>
      <c r="AN436" s="35">
        <f t="shared" si="228"/>
        <v>0</v>
      </c>
      <c r="AO436" s="35">
        <f t="shared" si="229"/>
        <v>0</v>
      </c>
      <c r="AP436" s="35">
        <f t="shared" si="230"/>
        <v>0</v>
      </c>
      <c r="AQ436" s="35">
        <f t="shared" si="231"/>
        <v>0</v>
      </c>
      <c r="AR436" s="35">
        <f t="shared" si="232"/>
        <v>0</v>
      </c>
      <c r="AS436" s="35">
        <f t="shared" si="233"/>
        <v>1</v>
      </c>
      <c r="AT436" s="35">
        <f t="shared" si="234"/>
        <v>0</v>
      </c>
      <c r="AU436" s="35">
        <f t="shared" si="235"/>
        <v>0</v>
      </c>
      <c r="AV436" s="35">
        <f t="shared" si="236"/>
        <v>0</v>
      </c>
      <c r="AW436" s="35">
        <f t="shared" si="237"/>
        <v>0</v>
      </c>
      <c r="AX436" s="35">
        <f t="shared" si="238"/>
        <v>0</v>
      </c>
      <c r="AY436" s="35">
        <f t="shared" si="239"/>
        <v>0</v>
      </c>
      <c r="AZ436" s="35">
        <f t="shared" si="240"/>
        <v>0</v>
      </c>
      <c r="BA436" s="35">
        <f t="shared" si="241"/>
        <v>0</v>
      </c>
      <c r="BB436" s="35">
        <f t="shared" si="242"/>
        <v>0</v>
      </c>
      <c r="BC436" s="35">
        <f t="shared" si="243"/>
        <v>0</v>
      </c>
    </row>
    <row r="437" spans="1:55" s="35" customFormat="1" ht="18.75" customHeight="1" x14ac:dyDescent="0.35">
      <c r="A437" s="36">
        <v>41451</v>
      </c>
      <c r="B437" s="35" t="s">
        <v>1297</v>
      </c>
      <c r="C437" s="35" t="s">
        <v>45</v>
      </c>
      <c r="D437" s="35" t="s">
        <v>602</v>
      </c>
      <c r="E437" s="35" t="s">
        <v>47</v>
      </c>
      <c r="F437" s="139">
        <f t="shared" si="216"/>
        <v>0</v>
      </c>
      <c r="G437" s="35">
        <v>889150000</v>
      </c>
      <c r="H437" s="139">
        <f t="shared" si="217"/>
        <v>8.948975032822915</v>
      </c>
      <c r="I437" s="35">
        <v>904840000</v>
      </c>
      <c r="J437" s="35">
        <v>-15690000</v>
      </c>
      <c r="K437" s="36">
        <v>42153</v>
      </c>
      <c r="L437" s="35">
        <v>1300000000</v>
      </c>
      <c r="M437" s="21">
        <f t="shared" si="218"/>
        <v>1.9232876712328768</v>
      </c>
      <c r="N437" s="21">
        <f t="shared" si="244"/>
        <v>0.28404424767333059</v>
      </c>
      <c r="O437" s="35">
        <v>0</v>
      </c>
      <c r="P437" s="35">
        <f t="shared" si="219"/>
        <v>0</v>
      </c>
      <c r="Q437" s="35">
        <v>19</v>
      </c>
      <c r="R437" s="35">
        <f t="shared" si="220"/>
        <v>1.3010299956639813</v>
      </c>
      <c r="S437" s="45">
        <v>2.95</v>
      </c>
      <c r="T437" s="45">
        <f t="shared" si="245"/>
        <v>0.46982201597816303</v>
      </c>
      <c r="U437" s="175">
        <f t="shared" si="221"/>
        <v>0.46207051678569422</v>
      </c>
      <c r="V437" s="48">
        <f t="shared" si="222"/>
        <v>0.16496831948392221</v>
      </c>
      <c r="W437" s="35">
        <v>6514.6683673469379</v>
      </c>
      <c r="X437" s="35">
        <f t="shared" si="223"/>
        <v>3.8138923126200468</v>
      </c>
      <c r="Y437" s="35">
        <v>8828.125</v>
      </c>
      <c r="Z437" s="35">
        <f t="shared" si="224"/>
        <v>3.9458684738355512</v>
      </c>
      <c r="AA437" s="35">
        <v>0</v>
      </c>
      <c r="AB437" s="37">
        <f t="shared" si="225"/>
        <v>0</v>
      </c>
      <c r="AC437" s="35">
        <v>90.5</v>
      </c>
      <c r="AD437" s="35">
        <f t="shared" si="246"/>
        <v>1.9566485792052033</v>
      </c>
      <c r="AE437" s="48">
        <v>25.7</v>
      </c>
      <c r="AF437" s="48">
        <f t="shared" si="247"/>
        <v>1.4099331233312946</v>
      </c>
      <c r="AG437" s="43">
        <v>39.010023979360902</v>
      </c>
      <c r="AH437" s="43">
        <f t="shared" si="248"/>
        <v>1.5911762172715689</v>
      </c>
      <c r="AI437" s="39">
        <v>-0.17</v>
      </c>
      <c r="AJ437" s="48">
        <f t="shared" si="226"/>
        <v>-8.092190762392612E-2</v>
      </c>
      <c r="AK437" s="35">
        <v>12</v>
      </c>
      <c r="AL437" s="35">
        <f t="shared" si="249"/>
        <v>1.0791812460476249</v>
      </c>
      <c r="AM437" s="35">
        <f t="shared" si="227"/>
        <v>0</v>
      </c>
      <c r="AN437" s="35">
        <f t="shared" si="228"/>
        <v>1</v>
      </c>
      <c r="AO437" s="35">
        <f t="shared" si="229"/>
        <v>0</v>
      </c>
      <c r="AP437" s="35">
        <f t="shared" si="230"/>
        <v>0</v>
      </c>
      <c r="AQ437" s="35">
        <f t="shared" si="231"/>
        <v>0</v>
      </c>
      <c r="AR437" s="35">
        <f t="shared" si="232"/>
        <v>0</v>
      </c>
      <c r="AS437" s="35">
        <f t="shared" si="233"/>
        <v>0</v>
      </c>
      <c r="AT437" s="35">
        <f t="shared" si="234"/>
        <v>0</v>
      </c>
      <c r="AU437" s="35">
        <f t="shared" si="235"/>
        <v>0</v>
      </c>
      <c r="AV437" s="35">
        <f t="shared" si="236"/>
        <v>0</v>
      </c>
      <c r="AW437" s="35">
        <f t="shared" si="237"/>
        <v>0</v>
      </c>
      <c r="AX437" s="35">
        <f t="shared" si="238"/>
        <v>0</v>
      </c>
      <c r="AY437" s="35">
        <f t="shared" si="239"/>
        <v>0</v>
      </c>
      <c r="AZ437" s="35">
        <f t="shared" si="240"/>
        <v>0</v>
      </c>
      <c r="BA437" s="35">
        <f t="shared" si="241"/>
        <v>0</v>
      </c>
      <c r="BB437" s="35">
        <f t="shared" si="242"/>
        <v>0</v>
      </c>
      <c r="BC437" s="35">
        <f t="shared" si="243"/>
        <v>0</v>
      </c>
    </row>
    <row r="438" spans="1:55" s="35" customFormat="1" ht="15" customHeight="1" x14ac:dyDescent="0.35">
      <c r="A438" s="36">
        <v>41464</v>
      </c>
      <c r="B438" s="35" t="s">
        <v>851</v>
      </c>
      <c r="C438" s="35" t="s">
        <v>45</v>
      </c>
      <c r="D438" s="35" t="s">
        <v>497</v>
      </c>
      <c r="E438" s="35" t="s">
        <v>64</v>
      </c>
      <c r="F438" s="139">
        <f t="shared" si="216"/>
        <v>1</v>
      </c>
      <c r="G438" s="35">
        <v>518059000</v>
      </c>
      <c r="H438" s="139">
        <f t="shared" si="217"/>
        <v>8.7143792229021759</v>
      </c>
      <c r="I438" s="35">
        <f t="shared" ref="I438:I443" si="250">G438</f>
        <v>518059000</v>
      </c>
      <c r="J438" s="35">
        <v>0</v>
      </c>
      <c r="K438" s="36">
        <v>42955</v>
      </c>
      <c r="L438" s="35">
        <v>876440000</v>
      </c>
      <c r="M438" s="21">
        <f t="shared" si="218"/>
        <v>4.0849315068493155</v>
      </c>
      <c r="N438" s="21">
        <f t="shared" si="244"/>
        <v>0.61118477899651991</v>
      </c>
      <c r="O438" s="35">
        <v>5441.73</v>
      </c>
      <c r="P438" s="35">
        <f t="shared" si="219"/>
        <v>3.7358167906061537</v>
      </c>
      <c r="Q438" s="35">
        <v>51</v>
      </c>
      <c r="R438" s="35">
        <f t="shared" si="220"/>
        <v>1.7160033436347992</v>
      </c>
      <c r="S438" s="45">
        <v>2.81</v>
      </c>
      <c r="T438" s="45">
        <f t="shared" si="245"/>
        <v>0.44870631990507992</v>
      </c>
      <c r="U438" s="175">
        <f t="shared" si="221"/>
        <v>0.69177641928815059</v>
      </c>
      <c r="V438" s="48">
        <f t="shared" si="222"/>
        <v>0.22834296728139425</v>
      </c>
      <c r="W438" s="35">
        <v>2445.7102171591318</v>
      </c>
      <c r="X438" s="35">
        <f t="shared" si="223"/>
        <v>3.3884049978579722</v>
      </c>
      <c r="Y438" s="35">
        <v>7210.2229667110805</v>
      </c>
      <c r="Z438" s="35">
        <f t="shared" si="224"/>
        <v>3.8579486949156889</v>
      </c>
      <c r="AA438" s="37">
        <v>125.833333333333</v>
      </c>
      <c r="AB438" s="37">
        <f t="shared" si="225"/>
        <v>2.103233406386928</v>
      </c>
      <c r="AC438" s="35">
        <v>90.5</v>
      </c>
      <c r="AD438" s="35">
        <f t="shared" si="246"/>
        <v>1.9566485792052033</v>
      </c>
      <c r="AE438" s="48">
        <v>25.7</v>
      </c>
      <c r="AF438" s="48">
        <f t="shared" si="247"/>
        <v>1.4099331233312946</v>
      </c>
      <c r="AG438" s="43">
        <v>39.010023979360902</v>
      </c>
      <c r="AH438" s="43">
        <f t="shared" si="248"/>
        <v>1.5911762172715689</v>
      </c>
      <c r="AI438" s="39">
        <v>0.09</v>
      </c>
      <c r="AJ438" s="48">
        <f t="shared" si="226"/>
        <v>3.7426497940623665E-2</v>
      </c>
      <c r="AK438" s="35">
        <v>13</v>
      </c>
      <c r="AL438" s="35">
        <f t="shared" si="249"/>
        <v>1.1139433523068367</v>
      </c>
      <c r="AM438" s="35">
        <f t="shared" si="227"/>
        <v>0</v>
      </c>
      <c r="AN438" s="35">
        <f t="shared" si="228"/>
        <v>1</v>
      </c>
      <c r="AO438" s="35">
        <f t="shared" si="229"/>
        <v>0</v>
      </c>
      <c r="AP438" s="35">
        <f t="shared" si="230"/>
        <v>0</v>
      </c>
      <c r="AQ438" s="35">
        <f t="shared" si="231"/>
        <v>0</v>
      </c>
      <c r="AR438" s="35">
        <f t="shared" si="232"/>
        <v>0</v>
      </c>
      <c r="AS438" s="35">
        <f t="shared" si="233"/>
        <v>0</v>
      </c>
      <c r="AT438" s="35">
        <f t="shared" si="234"/>
        <v>0</v>
      </c>
      <c r="AU438" s="35">
        <f t="shared" si="235"/>
        <v>0</v>
      </c>
      <c r="AV438" s="35">
        <f t="shared" si="236"/>
        <v>0</v>
      </c>
      <c r="AW438" s="35">
        <f t="shared" si="237"/>
        <v>0</v>
      </c>
      <c r="AX438" s="35">
        <f t="shared" si="238"/>
        <v>0</v>
      </c>
      <c r="AY438" s="35">
        <f t="shared" si="239"/>
        <v>0</v>
      </c>
      <c r="AZ438" s="35">
        <f t="shared" si="240"/>
        <v>0</v>
      </c>
      <c r="BA438" s="35">
        <f t="shared" si="241"/>
        <v>0</v>
      </c>
      <c r="BB438" s="35">
        <f t="shared" si="242"/>
        <v>0</v>
      </c>
      <c r="BC438" s="35">
        <f t="shared" si="243"/>
        <v>0</v>
      </c>
    </row>
    <row r="439" spans="1:55" s="35" customFormat="1" x14ac:dyDescent="0.35">
      <c r="A439" s="36">
        <v>41473</v>
      </c>
      <c r="B439" s="35" t="s">
        <v>970</v>
      </c>
      <c r="C439" s="35" t="s">
        <v>59</v>
      </c>
      <c r="D439" s="35" t="s">
        <v>45</v>
      </c>
      <c r="E439" s="35" t="s">
        <v>64</v>
      </c>
      <c r="F439" s="139">
        <f t="shared" si="216"/>
        <v>1</v>
      </c>
      <c r="G439" s="35">
        <v>230000000</v>
      </c>
      <c r="H439" s="139">
        <f t="shared" si="217"/>
        <v>8.3617278360175931</v>
      </c>
      <c r="I439" s="35">
        <f t="shared" si="250"/>
        <v>230000000</v>
      </c>
      <c r="J439" s="35">
        <v>0</v>
      </c>
      <c r="K439" s="36">
        <v>42508</v>
      </c>
      <c r="L439" s="35">
        <v>820000000</v>
      </c>
      <c r="M439" s="21">
        <f t="shared" si="218"/>
        <v>2.8356164383561642</v>
      </c>
      <c r="N439" s="21">
        <f t="shared" si="244"/>
        <v>0.45264748533646182</v>
      </c>
      <c r="O439" s="35">
        <v>5897.96</v>
      </c>
      <c r="P439" s="35">
        <f t="shared" si="219"/>
        <v>3.7707754512906644</v>
      </c>
      <c r="Q439" s="35">
        <v>59</v>
      </c>
      <c r="R439" s="35">
        <f t="shared" si="220"/>
        <v>1.7781512503836436</v>
      </c>
      <c r="S439" s="45">
        <v>2.3199999999999998</v>
      </c>
      <c r="T439" s="45">
        <f t="shared" si="245"/>
        <v>0.36548798489089962</v>
      </c>
      <c r="U439" s="175">
        <f t="shared" si="221"/>
        <v>2.5652173913043477</v>
      </c>
      <c r="V439" s="48">
        <f t="shared" si="222"/>
        <v>0.55208601636612376</v>
      </c>
      <c r="W439" s="35">
        <v>1618.5219999999999</v>
      </c>
      <c r="X439" s="35">
        <f t="shared" si="223"/>
        <v>3.20911860699078</v>
      </c>
      <c r="Y439" s="35">
        <v>3845.9059999999999</v>
      </c>
      <c r="Z439" s="35">
        <f t="shared" si="224"/>
        <v>3.5849986651910224</v>
      </c>
      <c r="AA439" s="37">
        <v>132</v>
      </c>
      <c r="AB439" s="37">
        <f t="shared" si="225"/>
        <v>2.1238516409670858</v>
      </c>
      <c r="AC439" s="35">
        <v>94.1</v>
      </c>
      <c r="AD439" s="35">
        <f t="shared" si="246"/>
        <v>1.973589623427257</v>
      </c>
      <c r="AE439" s="48">
        <v>32.200000000000003</v>
      </c>
      <c r="AF439" s="48">
        <f t="shared" si="247"/>
        <v>1.507855871695831</v>
      </c>
      <c r="AG439" s="43">
        <v>43.9397801796012</v>
      </c>
      <c r="AH439" s="43">
        <f t="shared" si="248"/>
        <v>1.6428578799166489</v>
      </c>
      <c r="AI439" s="39">
        <v>0.41</v>
      </c>
      <c r="AJ439" s="48">
        <f t="shared" si="226"/>
        <v>0.14921911265537988</v>
      </c>
      <c r="AK439" s="35">
        <v>14</v>
      </c>
      <c r="AL439" s="35">
        <f t="shared" si="249"/>
        <v>1.146128035678238</v>
      </c>
      <c r="AM439" s="35">
        <f t="shared" si="227"/>
        <v>0</v>
      </c>
      <c r="AN439" s="35">
        <f t="shared" si="228"/>
        <v>0</v>
      </c>
      <c r="AO439" s="35">
        <f t="shared" si="229"/>
        <v>1</v>
      </c>
      <c r="AP439" s="35">
        <f t="shared" si="230"/>
        <v>0</v>
      </c>
      <c r="AQ439" s="35">
        <f t="shared" si="231"/>
        <v>0</v>
      </c>
      <c r="AR439" s="35">
        <f t="shared" si="232"/>
        <v>0</v>
      </c>
      <c r="AS439" s="35">
        <f t="shared" si="233"/>
        <v>0</v>
      </c>
      <c r="AT439" s="35">
        <f t="shared" si="234"/>
        <v>0</v>
      </c>
      <c r="AU439" s="35">
        <f t="shared" si="235"/>
        <v>0</v>
      </c>
      <c r="AV439" s="35">
        <f t="shared" si="236"/>
        <v>0</v>
      </c>
      <c r="AW439" s="35">
        <f t="shared" si="237"/>
        <v>0</v>
      </c>
      <c r="AX439" s="35">
        <f t="shared" si="238"/>
        <v>0</v>
      </c>
      <c r="AY439" s="35">
        <f t="shared" si="239"/>
        <v>0</v>
      </c>
      <c r="AZ439" s="35">
        <f t="shared" si="240"/>
        <v>0</v>
      </c>
      <c r="BA439" s="35">
        <f t="shared" si="241"/>
        <v>0</v>
      </c>
      <c r="BB439" s="35">
        <f t="shared" si="242"/>
        <v>0</v>
      </c>
      <c r="BC439" s="35">
        <f t="shared" si="243"/>
        <v>0</v>
      </c>
    </row>
    <row r="440" spans="1:55" s="35" customFormat="1" x14ac:dyDescent="0.35">
      <c r="A440" s="36">
        <v>41474</v>
      </c>
      <c r="B440" s="35" t="s">
        <v>785</v>
      </c>
      <c r="C440" s="35" t="s">
        <v>59</v>
      </c>
      <c r="D440" s="35" t="s">
        <v>59</v>
      </c>
      <c r="E440" s="35" t="s">
        <v>47</v>
      </c>
      <c r="F440" s="139">
        <f t="shared" si="216"/>
        <v>0</v>
      </c>
      <c r="G440" s="35">
        <v>438000000</v>
      </c>
      <c r="H440" s="139">
        <f t="shared" si="217"/>
        <v>8.6414741105040989</v>
      </c>
      <c r="I440" s="35">
        <f t="shared" si="250"/>
        <v>438000000</v>
      </c>
      <c r="J440" s="35">
        <v>0</v>
      </c>
      <c r="K440" s="36">
        <v>42828</v>
      </c>
      <c r="L440" s="35">
        <v>1437033602</v>
      </c>
      <c r="M440" s="21">
        <f t="shared" si="218"/>
        <v>3.7095890410958905</v>
      </c>
      <c r="N440" s="21">
        <f t="shared" si="244"/>
        <v>0.56932579989265086</v>
      </c>
      <c r="O440" s="35">
        <v>0</v>
      </c>
      <c r="P440" s="35">
        <f t="shared" si="219"/>
        <v>0</v>
      </c>
      <c r="Q440" s="35">
        <v>16</v>
      </c>
      <c r="R440" s="35">
        <f t="shared" si="220"/>
        <v>1.2304489213782739</v>
      </c>
      <c r="S440" s="45">
        <v>3.29</v>
      </c>
      <c r="T440" s="45">
        <f t="shared" si="245"/>
        <v>0.51719589794997434</v>
      </c>
      <c r="U440" s="175">
        <f t="shared" si="221"/>
        <v>2.2808986347031963</v>
      </c>
      <c r="V440" s="48">
        <f t="shared" si="222"/>
        <v>0.51599281280936371</v>
      </c>
      <c r="W440" s="35">
        <v>1519.5854290504496</v>
      </c>
      <c r="X440" s="35">
        <f t="shared" si="223"/>
        <v>3.1817251205543564</v>
      </c>
      <c r="Y440" s="35">
        <v>8383.6305441243712</v>
      </c>
      <c r="Z440" s="35">
        <f t="shared" si="224"/>
        <v>3.9234321312589846</v>
      </c>
      <c r="AA440" s="37">
        <v>0</v>
      </c>
      <c r="AB440" s="37">
        <f t="shared" si="225"/>
        <v>0</v>
      </c>
      <c r="AC440" s="35">
        <v>94.1</v>
      </c>
      <c r="AD440" s="35">
        <f t="shared" si="246"/>
        <v>1.973589623427257</v>
      </c>
      <c r="AE440" s="48">
        <v>32.200000000000003</v>
      </c>
      <c r="AF440" s="48">
        <f t="shared" si="247"/>
        <v>1.507855871695831</v>
      </c>
      <c r="AG440" s="43">
        <v>43.9397801796012</v>
      </c>
      <c r="AH440" s="43">
        <f t="shared" si="248"/>
        <v>1.6428578799166489</v>
      </c>
      <c r="AI440" s="39">
        <v>-0.31</v>
      </c>
      <c r="AJ440" s="48">
        <f t="shared" si="226"/>
        <v>-0.16115090926274472</v>
      </c>
      <c r="AK440" s="35">
        <v>14</v>
      </c>
      <c r="AL440" s="35">
        <f t="shared" si="249"/>
        <v>1.146128035678238</v>
      </c>
      <c r="AM440" s="35">
        <f t="shared" si="227"/>
        <v>0</v>
      </c>
      <c r="AN440" s="35">
        <f t="shared" si="228"/>
        <v>0</v>
      </c>
      <c r="AO440" s="35">
        <f t="shared" si="229"/>
        <v>1</v>
      </c>
      <c r="AP440" s="35">
        <f t="shared" si="230"/>
        <v>0</v>
      </c>
      <c r="AQ440" s="35">
        <f t="shared" si="231"/>
        <v>0</v>
      </c>
      <c r="AR440" s="35">
        <f t="shared" si="232"/>
        <v>0</v>
      </c>
      <c r="AS440" s="35">
        <f t="shared" si="233"/>
        <v>0</v>
      </c>
      <c r="AT440" s="35">
        <f t="shared" si="234"/>
        <v>0</v>
      </c>
      <c r="AU440" s="35">
        <f t="shared" si="235"/>
        <v>0</v>
      </c>
      <c r="AV440" s="35">
        <f t="shared" si="236"/>
        <v>0</v>
      </c>
      <c r="AW440" s="35">
        <f t="shared" si="237"/>
        <v>0</v>
      </c>
      <c r="AX440" s="35">
        <f t="shared" si="238"/>
        <v>0</v>
      </c>
      <c r="AY440" s="35">
        <f t="shared" si="239"/>
        <v>0</v>
      </c>
      <c r="AZ440" s="35">
        <f t="shared" si="240"/>
        <v>0</v>
      </c>
      <c r="BA440" s="35">
        <f t="shared" si="241"/>
        <v>0</v>
      </c>
      <c r="BB440" s="35">
        <f t="shared" si="242"/>
        <v>0</v>
      </c>
      <c r="BC440" s="35">
        <f t="shared" si="243"/>
        <v>0</v>
      </c>
    </row>
    <row r="441" spans="1:55" s="35" customFormat="1" ht="16.5" customHeight="1" x14ac:dyDescent="0.35">
      <c r="A441" s="36">
        <v>41486</v>
      </c>
      <c r="B441" s="35" t="s">
        <v>565</v>
      </c>
      <c r="C441" s="35" t="s">
        <v>2</v>
      </c>
      <c r="D441" s="35" t="s">
        <v>45</v>
      </c>
      <c r="E441" s="35" t="s">
        <v>64</v>
      </c>
      <c r="F441" s="139">
        <f t="shared" si="216"/>
        <v>1</v>
      </c>
      <c r="G441" s="35">
        <v>400000000</v>
      </c>
      <c r="H441" s="139">
        <f t="shared" si="217"/>
        <v>8.6020599913279625</v>
      </c>
      <c r="I441" s="35">
        <f t="shared" si="250"/>
        <v>400000000</v>
      </c>
      <c r="J441" s="35">
        <v>0</v>
      </c>
      <c r="K441" s="36">
        <v>43039</v>
      </c>
      <c r="L441" s="35">
        <v>819300000</v>
      </c>
      <c r="M441" s="21">
        <f t="shared" si="218"/>
        <v>4.2547945205479456</v>
      </c>
      <c r="N441" s="21">
        <f t="shared" si="244"/>
        <v>0.6288785912720839</v>
      </c>
      <c r="O441" s="35">
        <v>6815.73</v>
      </c>
      <c r="P441" s="35">
        <f t="shared" si="219"/>
        <v>3.8335760926148099</v>
      </c>
      <c r="Q441" s="35">
        <v>70</v>
      </c>
      <c r="R441" s="35">
        <f t="shared" si="220"/>
        <v>1.8512583487190752</v>
      </c>
      <c r="S441" s="45">
        <v>2.85</v>
      </c>
      <c r="T441" s="45">
        <f t="shared" si="245"/>
        <v>0.45484486000851021</v>
      </c>
      <c r="U441" s="175">
        <f t="shared" si="221"/>
        <v>1.0482499999999999</v>
      </c>
      <c r="V441" s="48">
        <f t="shared" si="222"/>
        <v>0.31138296353143335</v>
      </c>
      <c r="W441" s="35">
        <v>1618.5219999999999</v>
      </c>
      <c r="X441" s="35">
        <f t="shared" si="223"/>
        <v>3.20911860699078</v>
      </c>
      <c r="Y441" s="35">
        <v>3845.9059999999999</v>
      </c>
      <c r="Z441" s="35">
        <f t="shared" si="224"/>
        <v>3.5849986651910224</v>
      </c>
      <c r="AA441" s="37">
        <v>819</v>
      </c>
      <c r="AB441" s="37">
        <f t="shared" si="225"/>
        <v>2.9138138523837167</v>
      </c>
      <c r="AC441" s="35">
        <v>92.1</v>
      </c>
      <c r="AD441" s="35">
        <f t="shared" si="246"/>
        <v>1.9642596301968489</v>
      </c>
      <c r="AE441" s="48">
        <v>36.799999999999997</v>
      </c>
      <c r="AF441" s="48">
        <f t="shared" si="247"/>
        <v>1.5658478186735176</v>
      </c>
      <c r="AG441" s="43">
        <v>44.688349184782602</v>
      </c>
      <c r="AH441" s="43">
        <f t="shared" si="248"/>
        <v>1.6501943118503011</v>
      </c>
      <c r="AI441" s="39">
        <v>0.04</v>
      </c>
      <c r="AJ441" s="48">
        <f t="shared" si="226"/>
        <v>1.703333929878037E-2</v>
      </c>
      <c r="AK441" s="35">
        <v>14</v>
      </c>
      <c r="AL441" s="35">
        <f t="shared" si="249"/>
        <v>1.146128035678238</v>
      </c>
      <c r="AM441" s="35">
        <f t="shared" si="227"/>
        <v>0</v>
      </c>
      <c r="AN441" s="35">
        <f t="shared" si="228"/>
        <v>0</v>
      </c>
      <c r="AO441" s="35">
        <f t="shared" si="229"/>
        <v>0</v>
      </c>
      <c r="AP441" s="35">
        <f t="shared" si="230"/>
        <v>0</v>
      </c>
      <c r="AQ441" s="35">
        <f t="shared" si="231"/>
        <v>0</v>
      </c>
      <c r="AR441" s="35">
        <f t="shared" si="232"/>
        <v>0</v>
      </c>
      <c r="AS441" s="35">
        <f t="shared" si="233"/>
        <v>0</v>
      </c>
      <c r="AT441" s="35">
        <f t="shared" si="234"/>
        <v>0</v>
      </c>
      <c r="AU441" s="35">
        <f t="shared" si="235"/>
        <v>0</v>
      </c>
      <c r="AV441" s="35">
        <f t="shared" si="236"/>
        <v>1</v>
      </c>
      <c r="AW441" s="35">
        <f t="shared" si="237"/>
        <v>0</v>
      </c>
      <c r="AX441" s="35">
        <f t="shared" si="238"/>
        <v>0</v>
      </c>
      <c r="AY441" s="35">
        <f t="shared" si="239"/>
        <v>0</v>
      </c>
      <c r="AZ441" s="35">
        <f t="shared" si="240"/>
        <v>0</v>
      </c>
      <c r="BA441" s="35">
        <f t="shared" si="241"/>
        <v>0</v>
      </c>
      <c r="BB441" s="35">
        <f t="shared" si="242"/>
        <v>0</v>
      </c>
      <c r="BC441" s="35">
        <f t="shared" si="243"/>
        <v>0</v>
      </c>
    </row>
    <row r="442" spans="1:55" s="35" customFormat="1" ht="13.5" customHeight="1" x14ac:dyDescent="0.35">
      <c r="A442" s="36">
        <v>41492</v>
      </c>
      <c r="B442" s="35" t="s">
        <v>807</v>
      </c>
      <c r="C442" s="35" t="s">
        <v>45</v>
      </c>
      <c r="D442" s="35" t="s">
        <v>45</v>
      </c>
      <c r="E442" s="35" t="s">
        <v>47</v>
      </c>
      <c r="F442" s="139">
        <f t="shared" si="216"/>
        <v>0</v>
      </c>
      <c r="G442" s="35">
        <v>200000000</v>
      </c>
      <c r="H442" s="139">
        <f t="shared" si="217"/>
        <v>8.3010299956639813</v>
      </c>
      <c r="I442" s="35">
        <f t="shared" si="250"/>
        <v>200000000</v>
      </c>
      <c r="J442" s="35">
        <v>0</v>
      </c>
      <c r="K442" s="36">
        <v>42383</v>
      </c>
      <c r="L442" s="35">
        <v>539700000</v>
      </c>
      <c r="M442" s="21">
        <f t="shared" si="218"/>
        <v>2.441095890410959</v>
      </c>
      <c r="N442" s="21">
        <f t="shared" si="244"/>
        <v>0.38758483958040008</v>
      </c>
      <c r="O442" s="35">
        <v>0</v>
      </c>
      <c r="P442" s="35">
        <f t="shared" si="219"/>
        <v>0</v>
      </c>
      <c r="Q442" s="35">
        <v>0</v>
      </c>
      <c r="R442" s="35">
        <f t="shared" si="220"/>
        <v>0</v>
      </c>
      <c r="S442" s="45">
        <v>2.95</v>
      </c>
      <c r="T442" s="45">
        <f t="shared" si="245"/>
        <v>0.46982201597816303</v>
      </c>
      <c r="U442" s="175">
        <f t="shared" si="221"/>
        <v>1.6985000000000001</v>
      </c>
      <c r="V442" s="48">
        <f t="shared" si="222"/>
        <v>0.43112242240123261</v>
      </c>
      <c r="W442" s="35">
        <v>1447.5557664926437</v>
      </c>
      <c r="X442" s="35">
        <f t="shared" si="223"/>
        <v>3.1606353037386858</v>
      </c>
      <c r="Y442" s="35">
        <v>9478.5929515126791</v>
      </c>
      <c r="Z442" s="35">
        <f t="shared" si="224"/>
        <v>3.9767438733352263</v>
      </c>
      <c r="AA442" s="37">
        <v>0</v>
      </c>
      <c r="AB442" s="37">
        <f t="shared" si="225"/>
        <v>0</v>
      </c>
      <c r="AC442" s="35">
        <v>90.5</v>
      </c>
      <c r="AD442" s="35">
        <f t="shared" si="246"/>
        <v>1.9566485792052033</v>
      </c>
      <c r="AE442" s="48">
        <v>25.7</v>
      </c>
      <c r="AF442" s="48">
        <f t="shared" si="247"/>
        <v>1.4099331233312946</v>
      </c>
      <c r="AG442" s="43">
        <v>39.010023979360902</v>
      </c>
      <c r="AH442" s="43">
        <f t="shared" si="248"/>
        <v>1.5911762172715689</v>
      </c>
      <c r="AI442" s="39">
        <v>0.33</v>
      </c>
      <c r="AJ442" s="48">
        <f t="shared" si="226"/>
        <v>0.12385164096708581</v>
      </c>
      <c r="AK442" s="35">
        <v>15</v>
      </c>
      <c r="AL442" s="35">
        <f t="shared" si="249"/>
        <v>1.1760912590556813</v>
      </c>
      <c r="AM442" s="35">
        <f t="shared" si="227"/>
        <v>0</v>
      </c>
      <c r="AN442" s="35">
        <f t="shared" si="228"/>
        <v>1</v>
      </c>
      <c r="AO442" s="35">
        <f t="shared" si="229"/>
        <v>0</v>
      </c>
      <c r="AP442" s="35">
        <f t="shared" si="230"/>
        <v>0</v>
      </c>
      <c r="AQ442" s="35">
        <f t="shared" si="231"/>
        <v>0</v>
      </c>
      <c r="AR442" s="35">
        <f t="shared" si="232"/>
        <v>0</v>
      </c>
      <c r="AS442" s="35">
        <f t="shared" si="233"/>
        <v>0</v>
      </c>
      <c r="AT442" s="35">
        <f t="shared" si="234"/>
        <v>0</v>
      </c>
      <c r="AU442" s="35">
        <f t="shared" si="235"/>
        <v>0</v>
      </c>
      <c r="AV442" s="35">
        <f t="shared" si="236"/>
        <v>0</v>
      </c>
      <c r="AW442" s="35">
        <f t="shared" si="237"/>
        <v>0</v>
      </c>
      <c r="AX442" s="35">
        <f t="shared" si="238"/>
        <v>0</v>
      </c>
      <c r="AY442" s="35">
        <f t="shared" si="239"/>
        <v>0</v>
      </c>
      <c r="AZ442" s="35">
        <f t="shared" si="240"/>
        <v>0</v>
      </c>
      <c r="BA442" s="35">
        <f t="shared" si="241"/>
        <v>0</v>
      </c>
      <c r="BB442" s="35">
        <f t="shared" si="242"/>
        <v>0</v>
      </c>
      <c r="BC442" s="35">
        <f t="shared" si="243"/>
        <v>0</v>
      </c>
    </row>
    <row r="443" spans="1:55" s="35" customFormat="1" ht="15.75" customHeight="1" x14ac:dyDescent="0.35">
      <c r="A443" s="36">
        <v>41494</v>
      </c>
      <c r="B443" s="35" t="s">
        <v>865</v>
      </c>
      <c r="C443" s="35" t="s">
        <v>434</v>
      </c>
      <c r="D443" s="35" t="s">
        <v>45</v>
      </c>
      <c r="E443" s="35" t="s">
        <v>64</v>
      </c>
      <c r="F443" s="139">
        <f t="shared" si="216"/>
        <v>1</v>
      </c>
      <c r="G443" s="35">
        <v>119600000</v>
      </c>
      <c r="H443" s="139">
        <f t="shared" si="217"/>
        <v>8.0777311796523925</v>
      </c>
      <c r="I443" s="35">
        <f t="shared" si="250"/>
        <v>119600000</v>
      </c>
      <c r="J443" s="35">
        <v>0</v>
      </c>
      <c r="K443" s="36">
        <v>42536</v>
      </c>
      <c r="L443" s="35">
        <v>240600000</v>
      </c>
      <c r="M443" s="21">
        <f t="shared" si="218"/>
        <v>2.8547945205479452</v>
      </c>
      <c r="N443" s="21">
        <f t="shared" si="244"/>
        <v>0.45557485450703095</v>
      </c>
      <c r="O443" s="35">
        <v>7216.98</v>
      </c>
      <c r="P443" s="35">
        <f t="shared" si="219"/>
        <v>3.8584156743566731</v>
      </c>
      <c r="Q443" s="35">
        <v>33</v>
      </c>
      <c r="R443" s="35">
        <f t="shared" si="220"/>
        <v>1.5314789170422551</v>
      </c>
      <c r="S443" s="45">
        <v>2.66</v>
      </c>
      <c r="T443" s="45">
        <f t="shared" si="245"/>
        <v>0.42488163663106698</v>
      </c>
      <c r="U443" s="175">
        <f t="shared" si="221"/>
        <v>1.011705685618729</v>
      </c>
      <c r="V443" s="48">
        <f t="shared" si="222"/>
        <v>0.3035644433514339</v>
      </c>
      <c r="W443" s="35">
        <v>1537.2400756143668</v>
      </c>
      <c r="X443" s="35">
        <f t="shared" si="223"/>
        <v>3.1867416979308154</v>
      </c>
      <c r="Y443" s="35">
        <v>4542.1550094517952</v>
      </c>
      <c r="Z443" s="35">
        <f t="shared" si="224"/>
        <v>3.6572619512401316</v>
      </c>
      <c r="AA443" s="37">
        <v>649.83333333333303</v>
      </c>
      <c r="AB443" s="37">
        <f t="shared" si="225"/>
        <v>2.8134697878296753</v>
      </c>
      <c r="AC443" s="35">
        <v>76.900000000000006</v>
      </c>
      <c r="AD443" s="35">
        <f t="shared" si="246"/>
        <v>1.885926339801431</v>
      </c>
      <c r="AE443" s="48">
        <v>44.05</v>
      </c>
      <c r="AF443" s="48">
        <f t="shared" si="247"/>
        <v>1.6439459127480667</v>
      </c>
      <c r="AG443" s="43">
        <v>51.064530698041601</v>
      </c>
      <c r="AH443" s="43">
        <f t="shared" si="248"/>
        <v>1.7081193449348573</v>
      </c>
      <c r="AI443" s="39">
        <v>0.43</v>
      </c>
      <c r="AJ443" s="48">
        <f t="shared" si="226"/>
        <v>0.1553360374650618</v>
      </c>
      <c r="AK443" s="35">
        <v>15</v>
      </c>
      <c r="AL443" s="35">
        <f t="shared" si="249"/>
        <v>1.1760912590556813</v>
      </c>
      <c r="AM443" s="35">
        <f t="shared" si="227"/>
        <v>0</v>
      </c>
      <c r="AN443" s="35">
        <f t="shared" si="228"/>
        <v>0</v>
      </c>
      <c r="AO443" s="35">
        <f t="shared" si="229"/>
        <v>0</v>
      </c>
      <c r="AP443" s="35">
        <f t="shared" si="230"/>
        <v>0</v>
      </c>
      <c r="AQ443" s="35">
        <f t="shared" si="231"/>
        <v>0</v>
      </c>
      <c r="AR443" s="35">
        <f t="shared" si="232"/>
        <v>0</v>
      </c>
      <c r="AS443" s="35">
        <f t="shared" si="233"/>
        <v>0</v>
      </c>
      <c r="AT443" s="35">
        <f t="shared" si="234"/>
        <v>0</v>
      </c>
      <c r="AU443" s="35">
        <f t="shared" si="235"/>
        <v>0</v>
      </c>
      <c r="AV443" s="35">
        <f t="shared" si="236"/>
        <v>0</v>
      </c>
      <c r="AW443" s="35">
        <f t="shared" si="237"/>
        <v>1</v>
      </c>
      <c r="AX443" s="35">
        <f t="shared" si="238"/>
        <v>0</v>
      </c>
      <c r="AY443" s="35">
        <f t="shared" si="239"/>
        <v>0</v>
      </c>
      <c r="AZ443" s="35">
        <f t="shared" si="240"/>
        <v>0</v>
      </c>
      <c r="BA443" s="35">
        <f t="shared" si="241"/>
        <v>0</v>
      </c>
      <c r="BB443" s="35">
        <f t="shared" si="242"/>
        <v>0</v>
      </c>
      <c r="BC443" s="35">
        <f t="shared" si="243"/>
        <v>0</v>
      </c>
    </row>
    <row r="444" spans="1:55" s="35" customFormat="1" x14ac:dyDescent="0.35">
      <c r="A444" s="36">
        <v>41501</v>
      </c>
      <c r="B444" s="35" t="s">
        <v>197</v>
      </c>
      <c r="C444" s="35" t="s">
        <v>2</v>
      </c>
      <c r="D444" s="35" t="s">
        <v>45</v>
      </c>
      <c r="E444" s="139" t="s">
        <v>64</v>
      </c>
      <c r="F444" s="139">
        <f t="shared" si="216"/>
        <v>1</v>
      </c>
      <c r="G444" s="35">
        <v>180000000</v>
      </c>
      <c r="H444" s="139">
        <f t="shared" si="217"/>
        <v>8.2552725051033065</v>
      </c>
      <c r="I444" s="35">
        <v>180000000</v>
      </c>
      <c r="J444" s="35">
        <v>0</v>
      </c>
      <c r="K444" s="36">
        <v>43103</v>
      </c>
      <c r="L444" s="35">
        <v>1100000000</v>
      </c>
      <c r="M444" s="21">
        <f t="shared" si="218"/>
        <v>4.3890410958904109</v>
      </c>
      <c r="N444" s="21">
        <f t="shared" si="244"/>
        <v>0.64236964729174417</v>
      </c>
      <c r="O444" s="35">
        <v>6815.73</v>
      </c>
      <c r="P444" s="35">
        <f t="shared" si="219"/>
        <v>3.8335760926148099</v>
      </c>
      <c r="Q444" s="35">
        <v>40</v>
      </c>
      <c r="R444" s="35">
        <f t="shared" si="220"/>
        <v>1.6127838567197355</v>
      </c>
      <c r="S444" s="45">
        <v>2.85</v>
      </c>
      <c r="T444" s="45">
        <f t="shared" si="245"/>
        <v>0.45484486000851021</v>
      </c>
      <c r="U444" s="175">
        <f t="shared" si="221"/>
        <v>5.1111111111111107</v>
      </c>
      <c r="V444" s="48">
        <f t="shared" si="222"/>
        <v>0.7861201800549189</v>
      </c>
      <c r="W444" s="48">
        <v>1246.953</v>
      </c>
      <c r="X444" s="35">
        <f t="shared" si="223"/>
        <v>3.0958500844125241</v>
      </c>
      <c r="Y444" s="35">
        <v>3219.7179999999998</v>
      </c>
      <c r="Z444" s="35">
        <f t="shared" si="224"/>
        <v>3.5078178355445662</v>
      </c>
      <c r="AA444" s="37">
        <v>819</v>
      </c>
      <c r="AB444" s="37">
        <f t="shared" si="225"/>
        <v>2.9138138523837167</v>
      </c>
      <c r="AC444" s="35">
        <v>92.1</v>
      </c>
      <c r="AD444" s="35">
        <f t="shared" si="246"/>
        <v>1.9642596301968489</v>
      </c>
      <c r="AE444" s="48">
        <v>36.799999999999997</v>
      </c>
      <c r="AF444" s="48">
        <f t="shared" si="247"/>
        <v>1.5658478186735176</v>
      </c>
      <c r="AG444" s="43">
        <v>44.688349184782602</v>
      </c>
      <c r="AH444" s="43">
        <f t="shared" si="248"/>
        <v>1.6501943118503011</v>
      </c>
      <c r="AI444" s="39">
        <v>0.32</v>
      </c>
      <c r="AJ444" s="48">
        <f t="shared" si="226"/>
        <v>0.12057393120584989</v>
      </c>
      <c r="AK444" s="35">
        <v>16</v>
      </c>
      <c r="AL444" s="35">
        <f t="shared" si="249"/>
        <v>1.2041199826559248</v>
      </c>
      <c r="AM444" s="35">
        <f t="shared" si="227"/>
        <v>0</v>
      </c>
      <c r="AN444" s="35">
        <f t="shared" si="228"/>
        <v>0</v>
      </c>
      <c r="AO444" s="35">
        <f t="shared" si="229"/>
        <v>0</v>
      </c>
      <c r="AP444" s="35">
        <f t="shared" si="230"/>
        <v>0</v>
      </c>
      <c r="AQ444" s="35">
        <f t="shared" si="231"/>
        <v>0</v>
      </c>
      <c r="AR444" s="35">
        <f t="shared" si="232"/>
        <v>0</v>
      </c>
      <c r="AS444" s="35">
        <f t="shared" si="233"/>
        <v>0</v>
      </c>
      <c r="AT444" s="35">
        <f t="shared" si="234"/>
        <v>0</v>
      </c>
      <c r="AU444" s="35">
        <f t="shared" si="235"/>
        <v>0</v>
      </c>
      <c r="AV444" s="35">
        <f t="shared" si="236"/>
        <v>1</v>
      </c>
      <c r="AW444" s="35">
        <f t="shared" si="237"/>
        <v>0</v>
      </c>
      <c r="AX444" s="35">
        <f t="shared" si="238"/>
        <v>0</v>
      </c>
      <c r="AY444" s="35">
        <f t="shared" si="239"/>
        <v>0</v>
      </c>
      <c r="AZ444" s="35">
        <f t="shared" si="240"/>
        <v>0</v>
      </c>
      <c r="BA444" s="35">
        <f t="shared" si="241"/>
        <v>0</v>
      </c>
      <c r="BB444" s="35">
        <f t="shared" si="242"/>
        <v>0</v>
      </c>
      <c r="BC444" s="35">
        <f t="shared" si="243"/>
        <v>0</v>
      </c>
    </row>
    <row r="445" spans="1:55" s="35" customFormat="1" x14ac:dyDescent="0.35">
      <c r="A445" s="36">
        <v>41516</v>
      </c>
      <c r="B445" s="35" t="s">
        <v>795</v>
      </c>
      <c r="C445" s="35" t="s">
        <v>59</v>
      </c>
      <c r="D445" s="35" t="s">
        <v>59</v>
      </c>
      <c r="E445" s="35" t="s">
        <v>47</v>
      </c>
      <c r="F445" s="139">
        <f t="shared" si="216"/>
        <v>0</v>
      </c>
      <c r="G445" s="35">
        <v>33000000</v>
      </c>
      <c r="H445" s="139">
        <f t="shared" si="217"/>
        <v>7.5185139398778871</v>
      </c>
      <c r="I445" s="35">
        <f t="shared" ref="I445:I452" si="251">G445</f>
        <v>33000000</v>
      </c>
      <c r="J445" s="35">
        <v>0</v>
      </c>
      <c r="K445" s="36">
        <v>42954</v>
      </c>
      <c r="L445" s="35">
        <v>208000000</v>
      </c>
      <c r="M445" s="21">
        <f t="shared" si="218"/>
        <v>3.9397260273972603</v>
      </c>
      <c r="N445" s="21">
        <f t="shared" si="244"/>
        <v>0.59546602159038908</v>
      </c>
      <c r="O445" s="35">
        <v>0</v>
      </c>
      <c r="P445" s="35">
        <f t="shared" si="219"/>
        <v>0</v>
      </c>
      <c r="Q445" s="35">
        <v>23</v>
      </c>
      <c r="R445" s="35">
        <f t="shared" si="220"/>
        <v>1.3802112417116059</v>
      </c>
      <c r="S445" s="45">
        <v>3.29</v>
      </c>
      <c r="T445" s="45">
        <f t="shared" si="245"/>
        <v>0.51719589794997434</v>
      </c>
      <c r="U445" s="175">
        <f t="shared" si="221"/>
        <v>5.3030303030303028</v>
      </c>
      <c r="V445" s="48">
        <f t="shared" si="222"/>
        <v>0.7995493950848741</v>
      </c>
      <c r="W445" s="35">
        <v>3072.916666666667</v>
      </c>
      <c r="X445" s="35">
        <f t="shared" si="223"/>
        <v>3.4875507829385946</v>
      </c>
      <c r="Y445" s="35">
        <v>10000</v>
      </c>
      <c r="Z445" s="35">
        <f t="shared" si="224"/>
        <v>4</v>
      </c>
      <c r="AA445" s="37">
        <v>0</v>
      </c>
      <c r="AB445" s="37">
        <f t="shared" si="225"/>
        <v>0</v>
      </c>
      <c r="AC445" s="35">
        <v>94.1</v>
      </c>
      <c r="AD445" s="35">
        <f t="shared" si="246"/>
        <v>1.973589623427257</v>
      </c>
      <c r="AE445" s="48">
        <v>32.200000000000003</v>
      </c>
      <c r="AF445" s="48">
        <f t="shared" si="247"/>
        <v>1.507855871695831</v>
      </c>
      <c r="AG445" s="43">
        <v>43.9397801796012</v>
      </c>
      <c r="AH445" s="43">
        <f t="shared" si="248"/>
        <v>1.6428578799166489</v>
      </c>
      <c r="AI445" s="39">
        <v>0.33</v>
      </c>
      <c r="AJ445" s="48">
        <f t="shared" si="226"/>
        <v>0.12385164096708581</v>
      </c>
      <c r="AK445" s="35">
        <v>16</v>
      </c>
      <c r="AL445" s="35">
        <f t="shared" si="249"/>
        <v>1.2041199826559248</v>
      </c>
      <c r="AM445" s="35">
        <f t="shared" si="227"/>
        <v>0</v>
      </c>
      <c r="AN445" s="35">
        <f t="shared" si="228"/>
        <v>0</v>
      </c>
      <c r="AO445" s="35">
        <f t="shared" si="229"/>
        <v>1</v>
      </c>
      <c r="AP445" s="35">
        <f t="shared" si="230"/>
        <v>0</v>
      </c>
      <c r="AQ445" s="35">
        <f t="shared" si="231"/>
        <v>0</v>
      </c>
      <c r="AR445" s="35">
        <f t="shared" si="232"/>
        <v>0</v>
      </c>
      <c r="AS445" s="35">
        <f t="shared" si="233"/>
        <v>0</v>
      </c>
      <c r="AT445" s="35">
        <f t="shared" si="234"/>
        <v>0</v>
      </c>
      <c r="AU445" s="35">
        <f t="shared" si="235"/>
        <v>0</v>
      </c>
      <c r="AV445" s="35">
        <f t="shared" si="236"/>
        <v>0</v>
      </c>
      <c r="AW445" s="35">
        <f t="shared" si="237"/>
        <v>0</v>
      </c>
      <c r="AX445" s="35">
        <f t="shared" si="238"/>
        <v>0</v>
      </c>
      <c r="AY445" s="35">
        <f t="shared" si="239"/>
        <v>0</v>
      </c>
      <c r="AZ445" s="35">
        <f t="shared" si="240"/>
        <v>0</v>
      </c>
      <c r="BA445" s="35">
        <f t="shared" si="241"/>
        <v>0</v>
      </c>
      <c r="BB445" s="35">
        <f t="shared" si="242"/>
        <v>0</v>
      </c>
      <c r="BC445" s="35">
        <f t="shared" si="243"/>
        <v>0</v>
      </c>
    </row>
    <row r="446" spans="1:55" s="35" customFormat="1" x14ac:dyDescent="0.35">
      <c r="A446" s="36">
        <v>41520</v>
      </c>
      <c r="B446" s="35" t="s">
        <v>810</v>
      </c>
      <c r="C446" s="35" t="s">
        <v>45</v>
      </c>
      <c r="D446" s="35" t="s">
        <v>45</v>
      </c>
      <c r="E446" s="35" t="s">
        <v>47</v>
      </c>
      <c r="F446" s="139">
        <f t="shared" si="216"/>
        <v>0</v>
      </c>
      <c r="G446" s="35">
        <v>412500000</v>
      </c>
      <c r="H446" s="139">
        <f t="shared" si="217"/>
        <v>8.6154239528859442</v>
      </c>
      <c r="I446" s="35">
        <f t="shared" si="251"/>
        <v>412500000</v>
      </c>
      <c r="J446" s="35">
        <v>0</v>
      </c>
      <c r="K446" s="36">
        <v>42674</v>
      </c>
      <c r="L446" s="35">
        <v>780000000</v>
      </c>
      <c r="M446" s="21">
        <f t="shared" si="218"/>
        <v>3.1616438356164385</v>
      </c>
      <c r="N446" s="21">
        <f t="shared" si="244"/>
        <v>0.49991294436323791</v>
      </c>
      <c r="O446" s="35">
        <v>0</v>
      </c>
      <c r="P446" s="35">
        <f t="shared" si="219"/>
        <v>0</v>
      </c>
      <c r="Q446" s="35">
        <v>5</v>
      </c>
      <c r="R446" s="35">
        <f t="shared" si="220"/>
        <v>0.77815125038364363</v>
      </c>
      <c r="S446" s="45">
        <v>2.95</v>
      </c>
      <c r="T446" s="45">
        <f t="shared" si="245"/>
        <v>0.46982201597816303</v>
      </c>
      <c r="U446" s="175">
        <f t="shared" si="221"/>
        <v>0.89090909090909087</v>
      </c>
      <c r="V446" s="48">
        <f t="shared" si="222"/>
        <v>0.27667064980453648</v>
      </c>
      <c r="W446" s="35">
        <v>1423.0371900826444</v>
      </c>
      <c r="X446" s="35">
        <f t="shared" si="223"/>
        <v>3.1532162502154288</v>
      </c>
      <c r="Y446" s="35">
        <v>3292.8719008264461</v>
      </c>
      <c r="Z446" s="35">
        <f t="shared" si="224"/>
        <v>3.5175748361336181</v>
      </c>
      <c r="AA446" s="37">
        <v>0</v>
      </c>
      <c r="AB446" s="37">
        <f t="shared" si="225"/>
        <v>0</v>
      </c>
      <c r="AC446" s="35">
        <v>90.5</v>
      </c>
      <c r="AD446" s="35">
        <f t="shared" si="246"/>
        <v>1.9566485792052033</v>
      </c>
      <c r="AE446" s="48">
        <v>25.7</v>
      </c>
      <c r="AF446" s="48">
        <f t="shared" si="247"/>
        <v>1.4099331233312946</v>
      </c>
      <c r="AG446" s="43">
        <v>39.010023979360902</v>
      </c>
      <c r="AH446" s="43">
        <f t="shared" si="248"/>
        <v>1.5911762172715689</v>
      </c>
      <c r="AI446" s="39">
        <v>0.03</v>
      </c>
      <c r="AJ446" s="48">
        <f t="shared" si="226"/>
        <v>1.2837224705172217E-2</v>
      </c>
      <c r="AK446" s="35">
        <v>21</v>
      </c>
      <c r="AL446" s="35">
        <f t="shared" si="249"/>
        <v>1.3222192947339193</v>
      </c>
      <c r="AM446" s="35">
        <f t="shared" si="227"/>
        <v>0</v>
      </c>
      <c r="AN446" s="35">
        <f t="shared" si="228"/>
        <v>1</v>
      </c>
      <c r="AO446" s="35">
        <f t="shared" si="229"/>
        <v>0</v>
      </c>
      <c r="AP446" s="35">
        <f t="shared" si="230"/>
        <v>0</v>
      </c>
      <c r="AQ446" s="35">
        <f t="shared" si="231"/>
        <v>0</v>
      </c>
      <c r="AR446" s="35">
        <f t="shared" si="232"/>
        <v>0</v>
      </c>
      <c r="AS446" s="35">
        <f t="shared" si="233"/>
        <v>0</v>
      </c>
      <c r="AT446" s="35">
        <f t="shared" si="234"/>
        <v>0</v>
      </c>
      <c r="AU446" s="35">
        <f t="shared" si="235"/>
        <v>0</v>
      </c>
      <c r="AV446" s="35">
        <f t="shared" si="236"/>
        <v>0</v>
      </c>
      <c r="AW446" s="35">
        <f t="shared" si="237"/>
        <v>0</v>
      </c>
      <c r="AX446" s="35">
        <f t="shared" si="238"/>
        <v>0</v>
      </c>
      <c r="AY446" s="35">
        <f t="shared" si="239"/>
        <v>0</v>
      </c>
      <c r="AZ446" s="35">
        <f t="shared" si="240"/>
        <v>0</v>
      </c>
      <c r="BA446" s="35">
        <f t="shared" si="241"/>
        <v>0</v>
      </c>
      <c r="BB446" s="35">
        <f t="shared" si="242"/>
        <v>0</v>
      </c>
      <c r="BC446" s="35">
        <f t="shared" si="243"/>
        <v>0</v>
      </c>
    </row>
    <row r="447" spans="1:55" s="35" customFormat="1" x14ac:dyDescent="0.35">
      <c r="A447" s="36">
        <v>41521</v>
      </c>
      <c r="B447" s="35" t="s">
        <v>460</v>
      </c>
      <c r="C447" s="35" t="s">
        <v>2</v>
      </c>
      <c r="D447" s="35" t="s">
        <v>59</v>
      </c>
      <c r="E447" s="35" t="s">
        <v>125</v>
      </c>
      <c r="F447" s="139">
        <f t="shared" si="216"/>
        <v>1</v>
      </c>
      <c r="G447" s="35">
        <v>1490000000</v>
      </c>
      <c r="H447" s="139">
        <f t="shared" si="217"/>
        <v>9.1731862684122749</v>
      </c>
      <c r="I447" s="35">
        <f t="shared" si="251"/>
        <v>1490000000</v>
      </c>
      <c r="J447" s="35">
        <v>0</v>
      </c>
      <c r="K447" s="36">
        <v>43019</v>
      </c>
      <c r="L447" s="35">
        <v>2600000000</v>
      </c>
      <c r="M447" s="21">
        <f t="shared" si="218"/>
        <v>4.1041095890410961</v>
      </c>
      <c r="N447" s="21">
        <f t="shared" si="244"/>
        <v>0.61321894890697304</v>
      </c>
      <c r="O447" s="35">
        <v>917.19</v>
      </c>
      <c r="P447" s="35">
        <f t="shared" si="219"/>
        <v>2.9629325585580042</v>
      </c>
      <c r="Q447" s="35">
        <v>110</v>
      </c>
      <c r="R447" s="35">
        <f t="shared" si="220"/>
        <v>2.0453229787866576</v>
      </c>
      <c r="S447" s="45">
        <v>2.62</v>
      </c>
      <c r="T447" s="45">
        <f t="shared" si="245"/>
        <v>0.41830129131974547</v>
      </c>
      <c r="U447" s="175">
        <f t="shared" si="221"/>
        <v>0.74496644295302006</v>
      </c>
      <c r="V447" s="48">
        <f t="shared" si="222"/>
        <v>0.24178707955854389</v>
      </c>
      <c r="W447" s="35">
        <v>1248.0746999999999</v>
      </c>
      <c r="X447" s="35">
        <f t="shared" si="223"/>
        <v>3.0962405795987471</v>
      </c>
      <c r="Y447" s="35">
        <v>2518.2170000000001</v>
      </c>
      <c r="Z447" s="35">
        <f t="shared" si="224"/>
        <v>3.4010931514437841</v>
      </c>
      <c r="AA447" s="37">
        <v>854.66666666666697</v>
      </c>
      <c r="AB447" s="37">
        <f t="shared" si="225"/>
        <v>2.9323046139517812</v>
      </c>
      <c r="AC447" s="35">
        <v>92.1</v>
      </c>
      <c r="AD447" s="35">
        <f t="shared" si="246"/>
        <v>1.9642596301968489</v>
      </c>
      <c r="AE447" s="48">
        <v>36.799999999999997</v>
      </c>
      <c r="AF447" s="48">
        <f t="shared" si="247"/>
        <v>1.5658478186735176</v>
      </c>
      <c r="AG447" s="43">
        <v>44.688349184782602</v>
      </c>
      <c r="AH447" s="43">
        <f t="shared" si="248"/>
        <v>1.6501943118503011</v>
      </c>
      <c r="AI447" s="39">
        <v>0.43</v>
      </c>
      <c r="AJ447" s="48">
        <f t="shared" si="226"/>
        <v>0.1553360374650618</v>
      </c>
      <c r="AK447" s="35">
        <v>22</v>
      </c>
      <c r="AL447" s="35">
        <f t="shared" si="249"/>
        <v>1.3424226808222062</v>
      </c>
      <c r="AM447" s="35">
        <f t="shared" si="227"/>
        <v>0</v>
      </c>
      <c r="AN447" s="35">
        <f t="shared" si="228"/>
        <v>0</v>
      </c>
      <c r="AO447" s="35">
        <f t="shared" si="229"/>
        <v>0</v>
      </c>
      <c r="AP447" s="35">
        <f t="shared" si="230"/>
        <v>0</v>
      </c>
      <c r="AQ447" s="35">
        <f t="shared" si="231"/>
        <v>0</v>
      </c>
      <c r="AR447" s="35">
        <f t="shared" si="232"/>
        <v>0</v>
      </c>
      <c r="AS447" s="35">
        <f t="shared" si="233"/>
        <v>0</v>
      </c>
      <c r="AT447" s="35">
        <f t="shared" si="234"/>
        <v>0</v>
      </c>
      <c r="AU447" s="35">
        <f t="shared" si="235"/>
        <v>0</v>
      </c>
      <c r="AV447" s="35">
        <f t="shared" si="236"/>
        <v>1</v>
      </c>
      <c r="AW447" s="35">
        <f t="shared" si="237"/>
        <v>0</v>
      </c>
      <c r="AX447" s="35">
        <f t="shared" si="238"/>
        <v>0</v>
      </c>
      <c r="AY447" s="35">
        <f t="shared" si="239"/>
        <v>0</v>
      </c>
      <c r="AZ447" s="35">
        <f t="shared" si="240"/>
        <v>0</v>
      </c>
      <c r="BA447" s="35">
        <f t="shared" si="241"/>
        <v>0</v>
      </c>
      <c r="BB447" s="35">
        <f t="shared" si="242"/>
        <v>0</v>
      </c>
      <c r="BC447" s="35">
        <f t="shared" si="243"/>
        <v>0</v>
      </c>
    </row>
    <row r="448" spans="1:55" s="35" customFormat="1" x14ac:dyDescent="0.35">
      <c r="A448" s="36">
        <v>41530</v>
      </c>
      <c r="B448" s="35" t="s">
        <v>783</v>
      </c>
      <c r="C448" s="35" t="s">
        <v>59</v>
      </c>
      <c r="D448" s="35" t="s">
        <v>59</v>
      </c>
      <c r="E448" s="35" t="s">
        <v>47</v>
      </c>
      <c r="F448" s="139">
        <f t="shared" si="216"/>
        <v>0</v>
      </c>
      <c r="G448" s="35">
        <v>75720000</v>
      </c>
      <c r="H448" s="139">
        <f t="shared" si="217"/>
        <v>7.8792106052917594</v>
      </c>
      <c r="I448" s="35">
        <f t="shared" si="251"/>
        <v>75720000</v>
      </c>
      <c r="J448" s="35">
        <v>0</v>
      </c>
      <c r="K448" s="36">
        <v>42872</v>
      </c>
      <c r="L448" s="35">
        <v>20000000</v>
      </c>
      <c r="M448" s="21">
        <f t="shared" si="218"/>
        <v>3.6767123287671235</v>
      </c>
      <c r="N448" s="21">
        <f t="shared" si="244"/>
        <v>0.56545965137649856</v>
      </c>
      <c r="O448" s="35">
        <v>0</v>
      </c>
      <c r="P448" s="35">
        <f t="shared" si="219"/>
        <v>0</v>
      </c>
      <c r="Q448" s="35">
        <v>127</v>
      </c>
      <c r="R448" s="35">
        <f t="shared" si="220"/>
        <v>2.1072099696478683</v>
      </c>
      <c r="S448" s="45">
        <v>3.29</v>
      </c>
      <c r="T448" s="45">
        <f t="shared" si="245"/>
        <v>0.51719589794997434</v>
      </c>
      <c r="U448" s="175">
        <f t="shared" si="221"/>
        <v>-0.73586899101954573</v>
      </c>
      <c r="V448" s="48">
        <f t="shared" si="222"/>
        <v>-0.57818060962777795</v>
      </c>
      <c r="W448" s="35">
        <v>2094.0408163265306</v>
      </c>
      <c r="X448" s="35">
        <f t="shared" si="223"/>
        <v>3.3209851425446502</v>
      </c>
      <c r="Y448" s="35">
        <v>9886.3673469387759</v>
      </c>
      <c r="Z448" s="35">
        <f t="shared" si="224"/>
        <v>3.9950367434689285</v>
      </c>
      <c r="AA448" s="37">
        <v>0</v>
      </c>
      <c r="AB448" s="37">
        <f t="shared" si="225"/>
        <v>0</v>
      </c>
      <c r="AC448" s="35">
        <v>94.1</v>
      </c>
      <c r="AD448" s="35">
        <f t="shared" si="246"/>
        <v>1.973589623427257</v>
      </c>
      <c r="AE448" s="48">
        <v>32.200000000000003</v>
      </c>
      <c r="AF448" s="48">
        <f t="shared" si="247"/>
        <v>1.507855871695831</v>
      </c>
      <c r="AG448" s="43">
        <v>43.9397801796012</v>
      </c>
      <c r="AH448" s="43">
        <f t="shared" si="248"/>
        <v>1.6428578799166489</v>
      </c>
      <c r="AI448" s="39">
        <v>0.38</v>
      </c>
      <c r="AJ448" s="48">
        <f t="shared" si="226"/>
        <v>0.13987908640123647</v>
      </c>
      <c r="AK448" s="35">
        <v>22</v>
      </c>
      <c r="AL448" s="35">
        <f t="shared" si="249"/>
        <v>1.3424226808222062</v>
      </c>
      <c r="AM448" s="35">
        <f t="shared" si="227"/>
        <v>0</v>
      </c>
      <c r="AN448" s="35">
        <f t="shared" si="228"/>
        <v>0</v>
      </c>
      <c r="AO448" s="35">
        <f t="shared" si="229"/>
        <v>1</v>
      </c>
      <c r="AP448" s="35">
        <f t="shared" si="230"/>
        <v>0</v>
      </c>
      <c r="AQ448" s="35">
        <f t="shared" si="231"/>
        <v>0</v>
      </c>
      <c r="AR448" s="35">
        <f t="shared" si="232"/>
        <v>0</v>
      </c>
      <c r="AS448" s="35">
        <f t="shared" si="233"/>
        <v>0</v>
      </c>
      <c r="AT448" s="35">
        <f t="shared" si="234"/>
        <v>0</v>
      </c>
      <c r="AU448" s="35">
        <f t="shared" si="235"/>
        <v>0</v>
      </c>
      <c r="AV448" s="35">
        <f t="shared" si="236"/>
        <v>0</v>
      </c>
      <c r="AW448" s="35">
        <f t="shared" si="237"/>
        <v>0</v>
      </c>
      <c r="AX448" s="35">
        <f t="shared" si="238"/>
        <v>0</v>
      </c>
      <c r="AY448" s="35">
        <f t="shared" si="239"/>
        <v>0</v>
      </c>
      <c r="AZ448" s="35">
        <f t="shared" si="240"/>
        <v>0</v>
      </c>
      <c r="BA448" s="35">
        <f t="shared" si="241"/>
        <v>0</v>
      </c>
      <c r="BB448" s="35">
        <f t="shared" si="242"/>
        <v>0</v>
      </c>
      <c r="BC448" s="35">
        <f t="shared" si="243"/>
        <v>0</v>
      </c>
    </row>
    <row r="449" spans="1:55" s="35" customFormat="1" x14ac:dyDescent="0.35">
      <c r="A449" s="36">
        <v>41548</v>
      </c>
      <c r="B449" s="35" t="s">
        <v>879</v>
      </c>
      <c r="C449" s="35" t="s">
        <v>59</v>
      </c>
      <c r="D449" s="35" t="s">
        <v>45</v>
      </c>
      <c r="E449" s="35" t="s">
        <v>64</v>
      </c>
      <c r="F449" s="139">
        <f t="shared" si="216"/>
        <v>1</v>
      </c>
      <c r="G449" s="35">
        <v>148800000</v>
      </c>
      <c r="H449" s="139">
        <f t="shared" si="217"/>
        <v>8.1726029312098607</v>
      </c>
      <c r="I449" s="35">
        <f t="shared" si="251"/>
        <v>148800000</v>
      </c>
      <c r="J449" s="35">
        <v>0</v>
      </c>
      <c r="K449" s="36">
        <v>43389</v>
      </c>
      <c r="L449" s="35">
        <v>450000000</v>
      </c>
      <c r="M449" s="21">
        <f t="shared" si="218"/>
        <v>5.043835616438356</v>
      </c>
      <c r="N449" s="21">
        <f t="shared" si="244"/>
        <v>0.70276092404753998</v>
      </c>
      <c r="O449" s="35">
        <v>5897.96</v>
      </c>
      <c r="P449" s="35">
        <f t="shared" si="219"/>
        <v>3.7707754512906644</v>
      </c>
      <c r="Q449" s="35">
        <v>20</v>
      </c>
      <c r="R449" s="35">
        <f t="shared" si="220"/>
        <v>1.3222192947339193</v>
      </c>
      <c r="S449" s="45">
        <v>2.3199999999999998</v>
      </c>
      <c r="T449" s="45">
        <f t="shared" si="245"/>
        <v>0.36548798489089962</v>
      </c>
      <c r="U449" s="175">
        <f t="shared" si="221"/>
        <v>2.024193548387097</v>
      </c>
      <c r="V449" s="48">
        <f t="shared" si="222"/>
        <v>0.48060958256548381</v>
      </c>
      <c r="W449" s="35">
        <v>1490.3353057199211</v>
      </c>
      <c r="X449" s="35">
        <f t="shared" si="223"/>
        <v>3.17328398991646</v>
      </c>
      <c r="Y449" s="35">
        <v>6649.5726495726503</v>
      </c>
      <c r="Z449" s="35">
        <f t="shared" si="224"/>
        <v>3.8227937352435273</v>
      </c>
      <c r="AA449" s="37">
        <v>132</v>
      </c>
      <c r="AB449" s="37">
        <f t="shared" si="225"/>
        <v>2.1238516409670858</v>
      </c>
      <c r="AC449" s="35">
        <v>94.1</v>
      </c>
      <c r="AD449" s="35">
        <f t="shared" si="246"/>
        <v>1.973589623427257</v>
      </c>
      <c r="AE449" s="48">
        <v>32.200000000000003</v>
      </c>
      <c r="AF449" s="48">
        <f t="shared" si="247"/>
        <v>1.507855871695831</v>
      </c>
      <c r="AG449" s="43">
        <v>43.9397801796012</v>
      </c>
      <c r="AH449" s="43">
        <f t="shared" si="248"/>
        <v>1.6428578799166489</v>
      </c>
      <c r="AI449" s="39">
        <v>0.65</v>
      </c>
      <c r="AJ449" s="48">
        <f t="shared" si="226"/>
        <v>0.21748394421390627</v>
      </c>
      <c r="AK449" s="35">
        <v>23</v>
      </c>
      <c r="AL449" s="35">
        <f t="shared" si="249"/>
        <v>1.3617278360175928</v>
      </c>
      <c r="AM449" s="35">
        <f t="shared" si="227"/>
        <v>0</v>
      </c>
      <c r="AN449" s="35">
        <f t="shared" si="228"/>
        <v>0</v>
      </c>
      <c r="AO449" s="35">
        <f t="shared" si="229"/>
        <v>1</v>
      </c>
      <c r="AP449" s="35">
        <f t="shared" si="230"/>
        <v>0</v>
      </c>
      <c r="AQ449" s="35">
        <f t="shared" si="231"/>
        <v>0</v>
      </c>
      <c r="AR449" s="35">
        <f t="shared" si="232"/>
        <v>0</v>
      </c>
      <c r="AS449" s="35">
        <f t="shared" si="233"/>
        <v>0</v>
      </c>
      <c r="AT449" s="35">
        <f t="shared" si="234"/>
        <v>0</v>
      </c>
      <c r="AU449" s="35">
        <f t="shared" si="235"/>
        <v>0</v>
      </c>
      <c r="AV449" s="35">
        <f t="shared" si="236"/>
        <v>0</v>
      </c>
      <c r="AW449" s="35">
        <f t="shared" si="237"/>
        <v>0</v>
      </c>
      <c r="AX449" s="35">
        <f t="shared" si="238"/>
        <v>0</v>
      </c>
      <c r="AY449" s="35">
        <f t="shared" si="239"/>
        <v>0</v>
      </c>
      <c r="AZ449" s="35">
        <f t="shared" si="240"/>
        <v>0</v>
      </c>
      <c r="BA449" s="35">
        <f t="shared" si="241"/>
        <v>0</v>
      </c>
      <c r="BB449" s="35">
        <f t="shared" si="242"/>
        <v>0</v>
      </c>
      <c r="BC449" s="35">
        <f t="shared" si="243"/>
        <v>0</v>
      </c>
    </row>
    <row r="450" spans="1:55" s="35" customFormat="1" x14ac:dyDescent="0.35">
      <c r="A450" s="36">
        <v>41556</v>
      </c>
      <c r="B450" s="35" t="s">
        <v>1081</v>
      </c>
      <c r="C450" s="35" t="s">
        <v>163</v>
      </c>
      <c r="D450" s="35" t="s">
        <v>163</v>
      </c>
      <c r="E450" s="35" t="s">
        <v>47</v>
      </c>
      <c r="F450" s="139">
        <f t="shared" ref="F450:F490" si="252">IF(E450="domestic",0,1)</f>
        <v>0</v>
      </c>
      <c r="G450" s="35">
        <v>350000000</v>
      </c>
      <c r="H450" s="139">
        <f t="shared" ref="H450:H490" si="253">LOG(G450)</f>
        <v>8.5440680443502757</v>
      </c>
      <c r="I450" s="35">
        <f t="shared" si="251"/>
        <v>350000000</v>
      </c>
      <c r="J450" s="35">
        <v>0</v>
      </c>
      <c r="K450" s="36">
        <v>42767</v>
      </c>
      <c r="L450" s="35">
        <v>495000000</v>
      </c>
      <c r="M450" s="21">
        <f t="shared" ref="M450:M490" si="254">YEARFRAC(A450,K450,3)</f>
        <v>3.3178082191780822</v>
      </c>
      <c r="N450" s="21">
        <f t="shared" si="244"/>
        <v>0.52085127868657755</v>
      </c>
      <c r="O450" s="35">
        <v>0</v>
      </c>
      <c r="P450" s="35">
        <f t="shared" ref="P450:P490" si="255">LOG(1+O450)</f>
        <v>0</v>
      </c>
      <c r="Q450" s="35">
        <v>115</v>
      </c>
      <c r="R450" s="35">
        <f t="shared" ref="R450:R490" si="256">LOG(1+Q450)</f>
        <v>2.0644579892269186</v>
      </c>
      <c r="S450" s="45">
        <v>3.18</v>
      </c>
      <c r="T450" s="45">
        <f t="shared" si="245"/>
        <v>0.50242711998443268</v>
      </c>
      <c r="U450" s="175">
        <f t="shared" ref="U450:U490" si="257">(L450/G450)-1</f>
        <v>0.41428571428571437</v>
      </c>
      <c r="V450" s="48">
        <f t="shared" ref="V450:V490" si="258">IF(U450=-1,LOG(0.1),LOG(1+U450))</f>
        <v>0.15053715458329311</v>
      </c>
      <c r="W450" s="35">
        <v>1213.5329999999999</v>
      </c>
      <c r="X450" s="35">
        <f t="shared" ref="X450:X490" si="259">LOG(W450)</f>
        <v>3.0840515907405019</v>
      </c>
      <c r="Y450" s="35">
        <v>8035.9219999999996</v>
      </c>
      <c r="Z450" s="35">
        <f t="shared" ref="Z450:Z490" si="260">LOG(Y450)</f>
        <v>3.9050357126538633</v>
      </c>
      <c r="AA450" s="37">
        <v>0</v>
      </c>
      <c r="AB450" s="37">
        <f t="shared" ref="AB450:AB490" si="261">IF(AA450=0,0,LOG(1+AA450))</f>
        <v>0</v>
      </c>
      <c r="AC450" s="35">
        <v>84</v>
      </c>
      <c r="AD450" s="35">
        <f t="shared" si="246"/>
        <v>1.9242792860618816</v>
      </c>
      <c r="AE450" s="48">
        <v>45.4</v>
      </c>
      <c r="AF450" s="48">
        <f t="shared" si="247"/>
        <v>1.657055852857104</v>
      </c>
      <c r="AG450" s="43">
        <v>57.2278620378247</v>
      </c>
      <c r="AH450" s="43">
        <f t="shared" si="248"/>
        <v>1.7576075215065206</v>
      </c>
      <c r="AI450" s="39">
        <v>1.1100000000000001</v>
      </c>
      <c r="AJ450" s="48">
        <f t="shared" ref="AJ450:AJ490" si="262">LOG(1+AI450)</f>
        <v>0.32428245529769273</v>
      </c>
      <c r="AK450" s="35">
        <v>23</v>
      </c>
      <c r="AL450" s="35">
        <f t="shared" si="249"/>
        <v>1.3617278360175928</v>
      </c>
      <c r="AM450" s="35">
        <f t="shared" ref="AM450:AM490" si="263">IF(V450=-1,1,0)</f>
        <v>0</v>
      </c>
      <c r="AN450" s="35">
        <f t="shared" ref="AN450:AN490" si="264">IF($C450="US",1,0)</f>
        <v>0</v>
      </c>
      <c r="AO450" s="35">
        <f t="shared" ref="AO450:AO490" si="265">IF($C450="UK",1,0)</f>
        <v>0</v>
      </c>
      <c r="AP450" s="35">
        <f t="shared" ref="AP450:AP490" si="266">IF($C450="Norway",1,0)</f>
        <v>0</v>
      </c>
      <c r="AQ450" s="35">
        <f t="shared" ref="AQ450:AQ490" si="267">IF($C450="Denmark",1,0)</f>
        <v>0</v>
      </c>
      <c r="AR450" s="35">
        <f t="shared" ref="AR450:AR490" si="268">IF($C450="Sweden",1,0)</f>
        <v>0</v>
      </c>
      <c r="AS450" s="35">
        <f t="shared" ref="AS450:AS490" si="269">IF($C450="Netherlands",1,0)</f>
        <v>0</v>
      </c>
      <c r="AT450" s="35">
        <f t="shared" ref="AT450:AT490" si="270">IF($C450="France",1,0)</f>
        <v>1</v>
      </c>
      <c r="AU450" s="35">
        <f t="shared" ref="AU450:AU490" si="271">IF($C450="Belgium",1,0)</f>
        <v>0</v>
      </c>
      <c r="AV450" s="35">
        <f t="shared" ref="AV450:AV490" si="272">IF($C450="Germany",1,0)</f>
        <v>0</v>
      </c>
      <c r="AW450" s="35">
        <f t="shared" ref="AW450:AW490" si="273">IF($C450="Italy",1,0)</f>
        <v>0</v>
      </c>
      <c r="AX450" s="35">
        <f t="shared" ref="AX450:AX490" si="274">IF($C450="Spain",1,0)</f>
        <v>0</v>
      </c>
      <c r="AY450" s="35">
        <f t="shared" ref="AY450:AY490" si="275">IF($C450="Luxembourg",1,0)</f>
        <v>0</v>
      </c>
      <c r="AZ450" s="35">
        <f t="shared" ref="AZ450:AZ490" si="276">IF($C450="Portugal",1,0)</f>
        <v>0</v>
      </c>
      <c r="BA450" s="35">
        <f t="shared" ref="BA450:BA490" si="277">IF($C450="Switzerland",1,0)</f>
        <v>0</v>
      </c>
      <c r="BB450" s="35">
        <f t="shared" ref="BB450:BB490" si="278">IF($C450="Ireland",1,0)</f>
        <v>0</v>
      </c>
      <c r="BC450" s="35">
        <f t="shared" ref="BC450:BC490" si="279">IF($C450="Finland",1,0)</f>
        <v>0</v>
      </c>
    </row>
    <row r="451" spans="1:55" s="35" customFormat="1" ht="15" customHeight="1" x14ac:dyDescent="0.35">
      <c r="A451" s="36">
        <v>41578</v>
      </c>
      <c r="B451" s="35" t="s">
        <v>965</v>
      </c>
      <c r="C451" s="35" t="s">
        <v>1</v>
      </c>
      <c r="D451" s="35" t="s">
        <v>45</v>
      </c>
      <c r="E451" s="35" t="s">
        <v>64</v>
      </c>
      <c r="F451" s="139">
        <f t="shared" si="252"/>
        <v>1</v>
      </c>
      <c r="G451" s="35">
        <v>849550000</v>
      </c>
      <c r="H451" s="139">
        <f t="shared" si="253"/>
        <v>8.9291889442233998</v>
      </c>
      <c r="I451" s="35">
        <f t="shared" si="251"/>
        <v>849550000</v>
      </c>
      <c r="J451" s="35">
        <v>0</v>
      </c>
      <c r="K451" s="36">
        <v>42285</v>
      </c>
      <c r="L451" s="35">
        <v>1350000000</v>
      </c>
      <c r="M451" s="21">
        <f t="shared" si="254"/>
        <v>1.9369863013698629</v>
      </c>
      <c r="N451" s="21">
        <f t="shared" ref="N451:N490" si="280">IF(M451=0,0,LOG(M451))</f>
        <v>0.2871265493404247</v>
      </c>
      <c r="O451" s="35">
        <v>6232.1</v>
      </c>
      <c r="P451" s="35">
        <f t="shared" si="255"/>
        <v>3.7947040944998616</v>
      </c>
      <c r="Q451" s="35">
        <v>148</v>
      </c>
      <c r="R451" s="35">
        <f t="shared" si="256"/>
        <v>2.173186268412274</v>
      </c>
      <c r="S451" s="45">
        <v>2.93</v>
      </c>
      <c r="T451" s="45">
        <f t="shared" ref="T451:T490" si="281">LOG(S451)</f>
        <v>0.4668676203541095</v>
      </c>
      <c r="U451" s="175">
        <f t="shared" si="257"/>
        <v>0.58907656994879631</v>
      </c>
      <c r="V451" s="48">
        <f t="shared" si="258"/>
        <v>0.20114482427160621</v>
      </c>
      <c r="W451" s="35">
        <v>1618.5219999999999</v>
      </c>
      <c r="X451" s="35">
        <f t="shared" si="259"/>
        <v>3.20911860699078</v>
      </c>
      <c r="Y451" s="35">
        <v>3845.9059999999999</v>
      </c>
      <c r="Z451" s="35">
        <f t="shared" si="260"/>
        <v>3.5849986651910224</v>
      </c>
      <c r="AA451" s="37">
        <v>624.5</v>
      </c>
      <c r="AB451" s="37">
        <f t="shared" si="261"/>
        <v>2.7962273140294389</v>
      </c>
      <c r="AC451" s="35">
        <v>92.6</v>
      </c>
      <c r="AD451" s="35">
        <f t="shared" ref="AD451:AD490" si="282">LOG(AC451)</f>
        <v>1.9666109866819343</v>
      </c>
      <c r="AE451" s="48">
        <v>39.9</v>
      </c>
      <c r="AF451" s="48">
        <f t="shared" ref="AF451:AF490" si="283">LOG(AE451)</f>
        <v>1.6009728956867482</v>
      </c>
      <c r="AG451" s="43">
        <v>43.966315241865303</v>
      </c>
      <c r="AH451" s="43">
        <f t="shared" ref="AH451:AH490" si="284">LOG(AG451)</f>
        <v>1.6431200695045953</v>
      </c>
      <c r="AI451" s="39">
        <v>0.5</v>
      </c>
      <c r="AJ451" s="48">
        <f t="shared" si="262"/>
        <v>0.17609125905568124</v>
      </c>
      <c r="AK451" s="35">
        <v>26</v>
      </c>
      <c r="AL451" s="35">
        <f t="shared" ref="AL451:AL490" si="285">IF(AK451=0,0,LOG(AK451))</f>
        <v>1.414973347970818</v>
      </c>
      <c r="AM451" s="35">
        <f t="shared" si="263"/>
        <v>0</v>
      </c>
      <c r="AN451" s="35">
        <f t="shared" si="264"/>
        <v>0</v>
      </c>
      <c r="AO451" s="35">
        <f t="shared" si="265"/>
        <v>0</v>
      </c>
      <c r="AP451" s="35">
        <f t="shared" si="266"/>
        <v>1</v>
      </c>
      <c r="AQ451" s="35">
        <f t="shared" si="267"/>
        <v>0</v>
      </c>
      <c r="AR451" s="35">
        <f t="shared" si="268"/>
        <v>0</v>
      </c>
      <c r="AS451" s="35">
        <f t="shared" si="269"/>
        <v>0</v>
      </c>
      <c r="AT451" s="35">
        <f t="shared" si="270"/>
        <v>0</v>
      </c>
      <c r="AU451" s="35">
        <f t="shared" si="271"/>
        <v>0</v>
      </c>
      <c r="AV451" s="35">
        <f t="shared" si="272"/>
        <v>0</v>
      </c>
      <c r="AW451" s="35">
        <f t="shared" si="273"/>
        <v>0</v>
      </c>
      <c r="AX451" s="35">
        <f t="shared" si="274"/>
        <v>0</v>
      </c>
      <c r="AY451" s="35">
        <f t="shared" si="275"/>
        <v>0</v>
      </c>
      <c r="AZ451" s="35">
        <f t="shared" si="276"/>
        <v>0</v>
      </c>
      <c r="BA451" s="35">
        <f t="shared" si="277"/>
        <v>0</v>
      </c>
      <c r="BB451" s="35">
        <f t="shared" si="278"/>
        <v>0</v>
      </c>
      <c r="BC451" s="35">
        <f t="shared" si="279"/>
        <v>0</v>
      </c>
    </row>
    <row r="452" spans="1:55" s="35" customFormat="1" x14ac:dyDescent="0.35">
      <c r="A452" s="36">
        <v>41596</v>
      </c>
      <c r="B452" s="35" t="s">
        <v>1045</v>
      </c>
      <c r="C452" s="35" t="s">
        <v>434</v>
      </c>
      <c r="D452" s="35" t="s">
        <v>45</v>
      </c>
      <c r="E452" s="35" t="s">
        <v>64</v>
      </c>
      <c r="F452" s="139">
        <f t="shared" si="252"/>
        <v>1</v>
      </c>
      <c r="G452" s="35">
        <v>47000000</v>
      </c>
      <c r="H452" s="139">
        <f t="shared" si="253"/>
        <v>7.6720978579357171</v>
      </c>
      <c r="I452" s="35">
        <f t="shared" si="251"/>
        <v>47000000</v>
      </c>
      <c r="J452" s="35">
        <v>0</v>
      </c>
      <c r="K452" s="36">
        <v>42837</v>
      </c>
      <c r="L452" s="35">
        <v>180000000</v>
      </c>
      <c r="M452" s="21">
        <f t="shared" si="254"/>
        <v>3.4</v>
      </c>
      <c r="N452" s="21">
        <f t="shared" si="280"/>
        <v>0.53147891704225514</v>
      </c>
      <c r="O452" s="35">
        <v>7216.98</v>
      </c>
      <c r="P452" s="35">
        <f t="shared" si="255"/>
        <v>3.8584156743566731</v>
      </c>
      <c r="Q452" s="35">
        <v>24</v>
      </c>
      <c r="R452" s="35">
        <f t="shared" si="256"/>
        <v>1.3979400086720377</v>
      </c>
      <c r="S452" s="45">
        <v>2.66</v>
      </c>
      <c r="T452" s="45">
        <f t="shared" si="281"/>
        <v>0.42488163663106698</v>
      </c>
      <c r="U452" s="175">
        <f t="shared" si="257"/>
        <v>2.8297872340425534</v>
      </c>
      <c r="V452" s="48">
        <f t="shared" si="258"/>
        <v>0.5831746471675886</v>
      </c>
      <c r="W452" s="35">
        <v>6200.5542957923917</v>
      </c>
      <c r="X452" s="35">
        <f t="shared" si="259"/>
        <v>3.792430514795639</v>
      </c>
      <c r="Y452" s="35">
        <v>3504.6611237087427</v>
      </c>
      <c r="Z452" s="35">
        <f t="shared" si="260"/>
        <v>3.5446460310848829</v>
      </c>
      <c r="AA452" s="37">
        <v>649.83333333333303</v>
      </c>
      <c r="AB452" s="37">
        <f t="shared" si="261"/>
        <v>2.8134697878296753</v>
      </c>
      <c r="AC452" s="35">
        <v>76.900000000000006</v>
      </c>
      <c r="AD452" s="35">
        <f t="shared" si="282"/>
        <v>1.885926339801431</v>
      </c>
      <c r="AE452" s="48">
        <v>44.05</v>
      </c>
      <c r="AF452" s="48">
        <f t="shared" si="283"/>
        <v>1.6439459127480667</v>
      </c>
      <c r="AG452" s="43">
        <v>51.064530698041601</v>
      </c>
      <c r="AH452" s="43">
        <f t="shared" si="284"/>
        <v>1.7081193449348573</v>
      </c>
      <c r="AI452" s="39">
        <v>0.28000000000000003</v>
      </c>
      <c r="AJ452" s="48">
        <f t="shared" si="262"/>
        <v>0.10720996964786837</v>
      </c>
      <c r="AK452" s="35">
        <v>20</v>
      </c>
      <c r="AL452" s="35">
        <f t="shared" si="285"/>
        <v>1.3010299956639813</v>
      </c>
      <c r="AM452" s="35">
        <f t="shared" si="263"/>
        <v>0</v>
      </c>
      <c r="AN452" s="35">
        <f t="shared" si="264"/>
        <v>0</v>
      </c>
      <c r="AO452" s="35">
        <f t="shared" si="265"/>
        <v>0</v>
      </c>
      <c r="AP452" s="35">
        <f t="shared" si="266"/>
        <v>0</v>
      </c>
      <c r="AQ452" s="35">
        <f t="shared" si="267"/>
        <v>0</v>
      </c>
      <c r="AR452" s="35">
        <f t="shared" si="268"/>
        <v>0</v>
      </c>
      <c r="AS452" s="35">
        <f t="shared" si="269"/>
        <v>0</v>
      </c>
      <c r="AT452" s="35">
        <f t="shared" si="270"/>
        <v>0</v>
      </c>
      <c r="AU452" s="35">
        <f t="shared" si="271"/>
        <v>0</v>
      </c>
      <c r="AV452" s="35">
        <f t="shared" si="272"/>
        <v>0</v>
      </c>
      <c r="AW452" s="35">
        <f t="shared" si="273"/>
        <v>1</v>
      </c>
      <c r="AX452" s="35">
        <f t="shared" si="274"/>
        <v>0</v>
      </c>
      <c r="AY452" s="35">
        <f t="shared" si="275"/>
        <v>0</v>
      </c>
      <c r="AZ452" s="35">
        <f t="shared" si="276"/>
        <v>0</v>
      </c>
      <c r="BA452" s="35">
        <f t="shared" si="277"/>
        <v>0</v>
      </c>
      <c r="BB452" s="35">
        <f t="shared" si="278"/>
        <v>0</v>
      </c>
      <c r="BC452" s="35">
        <f t="shared" si="279"/>
        <v>0</v>
      </c>
    </row>
    <row r="453" spans="1:55" s="35" customFormat="1" x14ac:dyDescent="0.35">
      <c r="A453" s="36">
        <v>41596</v>
      </c>
      <c r="B453" s="35" t="s">
        <v>1295</v>
      </c>
      <c r="C453" s="35" t="s">
        <v>45</v>
      </c>
      <c r="D453" s="35" t="s">
        <v>602</v>
      </c>
      <c r="E453" s="35" t="s">
        <v>47</v>
      </c>
      <c r="F453" s="139">
        <f t="shared" si="252"/>
        <v>0</v>
      </c>
      <c r="G453" s="35">
        <v>800250000</v>
      </c>
      <c r="H453" s="139">
        <f t="shared" si="253"/>
        <v>8.9032256828161707</v>
      </c>
      <c r="I453" s="35">
        <v>904270000</v>
      </c>
      <c r="J453" s="35">
        <v>-104020000</v>
      </c>
      <c r="K453" s="36">
        <v>42985</v>
      </c>
      <c r="L453" s="35">
        <v>1200000000</v>
      </c>
      <c r="M453" s="21">
        <f t="shared" si="254"/>
        <v>3.8054794520547945</v>
      </c>
      <c r="N453" s="21">
        <f t="shared" si="280"/>
        <v>0.58040938128114083</v>
      </c>
      <c r="O453" s="35">
        <v>0</v>
      </c>
      <c r="P453" s="35">
        <f t="shared" si="255"/>
        <v>0</v>
      </c>
      <c r="Q453" s="35">
        <v>14</v>
      </c>
      <c r="R453" s="35">
        <f t="shared" si="256"/>
        <v>1.1760912590556813</v>
      </c>
      <c r="S453" s="45">
        <v>2.95</v>
      </c>
      <c r="T453" s="45">
        <f t="shared" si="281"/>
        <v>0.46982201597816303</v>
      </c>
      <c r="U453" s="175">
        <f t="shared" si="257"/>
        <v>0.499531396438613</v>
      </c>
      <c r="V453" s="48">
        <f t="shared" si="258"/>
        <v>0.17595556323145492</v>
      </c>
      <c r="W453" s="35">
        <v>6514.6683673469379</v>
      </c>
      <c r="X453" s="35">
        <f t="shared" si="259"/>
        <v>3.8138923126200468</v>
      </c>
      <c r="Y453" s="35">
        <v>8828.125</v>
      </c>
      <c r="Z453" s="35">
        <f t="shared" si="260"/>
        <v>3.9458684738355512</v>
      </c>
      <c r="AA453" s="35">
        <v>0</v>
      </c>
      <c r="AB453" s="37">
        <f t="shared" si="261"/>
        <v>0</v>
      </c>
      <c r="AC453" s="35">
        <v>90.5</v>
      </c>
      <c r="AD453" s="35">
        <f t="shared" si="282"/>
        <v>1.9566485792052033</v>
      </c>
      <c r="AE453" s="48">
        <v>25.7</v>
      </c>
      <c r="AF453" s="48">
        <f t="shared" si="283"/>
        <v>1.4099331233312946</v>
      </c>
      <c r="AG453" s="43">
        <v>39.010023979360902</v>
      </c>
      <c r="AH453" s="43">
        <f t="shared" si="284"/>
        <v>1.5911762172715689</v>
      </c>
      <c r="AI453" s="39">
        <v>3.56</v>
      </c>
      <c r="AJ453" s="48">
        <f t="shared" si="262"/>
        <v>0.658964842664435</v>
      </c>
      <c r="AK453" s="35">
        <v>3</v>
      </c>
      <c r="AL453" s="35">
        <f t="shared" si="285"/>
        <v>0.47712125471966244</v>
      </c>
      <c r="AM453" s="35">
        <f t="shared" si="263"/>
        <v>0</v>
      </c>
      <c r="AN453" s="35">
        <f t="shared" si="264"/>
        <v>1</v>
      </c>
      <c r="AO453" s="35">
        <f t="shared" si="265"/>
        <v>0</v>
      </c>
      <c r="AP453" s="35">
        <f t="shared" si="266"/>
        <v>0</v>
      </c>
      <c r="AQ453" s="35">
        <f t="shared" si="267"/>
        <v>0</v>
      </c>
      <c r="AR453" s="35">
        <f t="shared" si="268"/>
        <v>0</v>
      </c>
      <c r="AS453" s="35">
        <f t="shared" si="269"/>
        <v>0</v>
      </c>
      <c r="AT453" s="35">
        <f t="shared" si="270"/>
        <v>0</v>
      </c>
      <c r="AU453" s="35">
        <f t="shared" si="271"/>
        <v>0</v>
      </c>
      <c r="AV453" s="35">
        <f t="shared" si="272"/>
        <v>0</v>
      </c>
      <c r="AW453" s="35">
        <f t="shared" si="273"/>
        <v>0</v>
      </c>
      <c r="AX453" s="35">
        <f t="shared" si="274"/>
        <v>0</v>
      </c>
      <c r="AY453" s="35">
        <f t="shared" si="275"/>
        <v>0</v>
      </c>
      <c r="AZ453" s="35">
        <f t="shared" si="276"/>
        <v>0</v>
      </c>
      <c r="BA453" s="35">
        <f t="shared" si="277"/>
        <v>0</v>
      </c>
      <c r="BB453" s="35">
        <f t="shared" si="278"/>
        <v>0</v>
      </c>
      <c r="BC453" s="35">
        <f t="shared" si="279"/>
        <v>0</v>
      </c>
    </row>
    <row r="454" spans="1:55" s="35" customFormat="1" ht="15.75" customHeight="1" x14ac:dyDescent="0.35">
      <c r="A454" s="36">
        <v>41607</v>
      </c>
      <c r="B454" s="90" t="s">
        <v>791</v>
      </c>
      <c r="C454" s="35" t="s">
        <v>59</v>
      </c>
      <c r="D454" s="35" t="s">
        <v>489</v>
      </c>
      <c r="E454" s="35" t="s">
        <v>64</v>
      </c>
      <c r="F454" s="139">
        <f t="shared" si="252"/>
        <v>1</v>
      </c>
      <c r="G454" s="35">
        <v>20000000</v>
      </c>
      <c r="H454" s="139">
        <f t="shared" si="253"/>
        <v>7.3010299956639813</v>
      </c>
      <c r="I454" s="35">
        <f t="shared" ref="I454:I476" si="286">G454</f>
        <v>20000000</v>
      </c>
      <c r="J454" s="35">
        <v>0</v>
      </c>
      <c r="K454" s="36">
        <v>43327</v>
      </c>
      <c r="L454" s="35">
        <v>172924407</v>
      </c>
      <c r="M454" s="21">
        <f t="shared" si="254"/>
        <v>4.7123287671232879</v>
      </c>
      <c r="N454" s="21">
        <f t="shared" si="280"/>
        <v>0.67323558245107418</v>
      </c>
      <c r="O454" s="35">
        <v>776.05</v>
      </c>
      <c r="P454" s="35">
        <f t="shared" si="255"/>
        <v>2.8904489647796185</v>
      </c>
      <c r="Q454" s="35">
        <v>14</v>
      </c>
      <c r="R454" s="35">
        <f t="shared" si="256"/>
        <v>1.1760912590556813</v>
      </c>
      <c r="S454" s="45">
        <v>3.18</v>
      </c>
      <c r="T454" s="45">
        <f t="shared" si="281"/>
        <v>0.50242711998443268</v>
      </c>
      <c r="U454" s="175">
        <f t="shared" si="257"/>
        <v>7.6462203500000001</v>
      </c>
      <c r="V454" s="48">
        <f t="shared" si="258"/>
        <v>0.93682629938750739</v>
      </c>
      <c r="W454" s="35">
        <v>3194.0595168108393</v>
      </c>
      <c r="X454" s="35">
        <f t="shared" si="259"/>
        <v>3.5043430043452655</v>
      </c>
      <c r="Y454" s="35">
        <v>4711.794182693654</v>
      </c>
      <c r="Z454" s="35">
        <f t="shared" si="260"/>
        <v>3.6731863116447854</v>
      </c>
      <c r="AA454" s="37">
        <v>254.166666666667</v>
      </c>
      <c r="AB454" s="37">
        <f t="shared" si="261"/>
        <v>2.4068239403146179</v>
      </c>
      <c r="AC454" s="35">
        <v>94.1</v>
      </c>
      <c r="AD454" s="35">
        <f t="shared" si="282"/>
        <v>1.973589623427257</v>
      </c>
      <c r="AE454" s="48">
        <v>32.200000000000003</v>
      </c>
      <c r="AF454" s="48">
        <f t="shared" si="283"/>
        <v>1.507855871695831</v>
      </c>
      <c r="AG454" s="43">
        <v>43.9397801796012</v>
      </c>
      <c r="AH454" s="43">
        <f t="shared" si="284"/>
        <v>1.6428578799166489</v>
      </c>
      <c r="AI454" s="39">
        <v>0.39</v>
      </c>
      <c r="AJ454" s="48">
        <f t="shared" si="262"/>
        <v>0.14301480025409513</v>
      </c>
      <c r="AK454" s="35">
        <v>9</v>
      </c>
      <c r="AL454" s="35">
        <f t="shared" si="285"/>
        <v>0.95424250943932487</v>
      </c>
      <c r="AM454" s="35">
        <f t="shared" si="263"/>
        <v>0</v>
      </c>
      <c r="AN454" s="35">
        <f t="shared" si="264"/>
        <v>0</v>
      </c>
      <c r="AO454" s="35">
        <f t="shared" si="265"/>
        <v>1</v>
      </c>
      <c r="AP454" s="35">
        <f t="shared" si="266"/>
        <v>0</v>
      </c>
      <c r="AQ454" s="35">
        <f t="shared" si="267"/>
        <v>0</v>
      </c>
      <c r="AR454" s="35">
        <f t="shared" si="268"/>
        <v>0</v>
      </c>
      <c r="AS454" s="35">
        <f t="shared" si="269"/>
        <v>0</v>
      </c>
      <c r="AT454" s="35">
        <f t="shared" si="270"/>
        <v>0</v>
      </c>
      <c r="AU454" s="35">
        <f t="shared" si="271"/>
        <v>0</v>
      </c>
      <c r="AV454" s="35">
        <f t="shared" si="272"/>
        <v>0</v>
      </c>
      <c r="AW454" s="35">
        <f t="shared" si="273"/>
        <v>0</v>
      </c>
      <c r="AX454" s="35">
        <f t="shared" si="274"/>
        <v>0</v>
      </c>
      <c r="AY454" s="35">
        <f t="shared" si="275"/>
        <v>0</v>
      </c>
      <c r="AZ454" s="35">
        <f t="shared" si="276"/>
        <v>0</v>
      </c>
      <c r="BA454" s="35">
        <f t="shared" si="277"/>
        <v>0</v>
      </c>
      <c r="BB454" s="35">
        <f t="shared" si="278"/>
        <v>0</v>
      </c>
      <c r="BC454" s="35">
        <f t="shared" si="279"/>
        <v>0</v>
      </c>
    </row>
    <row r="455" spans="1:55" s="35" customFormat="1" x14ac:dyDescent="0.35">
      <c r="A455" s="36">
        <v>41639</v>
      </c>
      <c r="B455" s="35" t="s">
        <v>511</v>
      </c>
      <c r="C455" s="35" t="s">
        <v>434</v>
      </c>
      <c r="D455" s="35" t="s">
        <v>59</v>
      </c>
      <c r="E455" s="35" t="s">
        <v>125</v>
      </c>
      <c r="F455" s="139">
        <f t="shared" si="252"/>
        <v>1</v>
      </c>
      <c r="G455" s="35">
        <v>340000000</v>
      </c>
      <c r="H455" s="139">
        <f t="shared" si="253"/>
        <v>8.5314789170422554</v>
      </c>
      <c r="I455" s="35">
        <f t="shared" si="286"/>
        <v>340000000</v>
      </c>
      <c r="J455" s="35">
        <v>0</v>
      </c>
      <c r="K455" s="36">
        <v>42440</v>
      </c>
      <c r="L455" s="35">
        <v>640000000</v>
      </c>
      <c r="M455" s="21">
        <f t="shared" si="254"/>
        <v>2.1945205479452055</v>
      </c>
      <c r="N455" s="21">
        <f t="shared" si="280"/>
        <v>0.34133965162776297</v>
      </c>
      <c r="O455" s="35">
        <v>1434.12</v>
      </c>
      <c r="P455" s="35">
        <f t="shared" si="255"/>
        <v>3.1568882168601933</v>
      </c>
      <c r="Q455" s="35">
        <v>17</v>
      </c>
      <c r="R455" s="35">
        <f t="shared" si="256"/>
        <v>1.255272505103306</v>
      </c>
      <c r="S455" s="45">
        <v>2.5099999999999998</v>
      </c>
      <c r="T455" s="45">
        <f t="shared" si="281"/>
        <v>0.39967372148103808</v>
      </c>
      <c r="U455" s="175">
        <f t="shared" si="257"/>
        <v>0.88235294117647056</v>
      </c>
      <c r="V455" s="48">
        <f t="shared" si="258"/>
        <v>0.27470105694163205</v>
      </c>
      <c r="W455" s="35">
        <v>2144.9704142011828</v>
      </c>
      <c r="X455" s="35">
        <f t="shared" si="259"/>
        <v>3.3314213062933389</v>
      </c>
      <c r="Y455" s="35">
        <v>7670.1183431952677</v>
      </c>
      <c r="Z455" s="35">
        <f t="shared" si="260"/>
        <v>3.884802064783424</v>
      </c>
      <c r="AA455" s="37">
        <v>605.16666666666697</v>
      </c>
      <c r="AB455" s="37">
        <f t="shared" si="261"/>
        <v>2.7825920506710684</v>
      </c>
      <c r="AC455" s="35">
        <v>76.900000000000006</v>
      </c>
      <c r="AD455" s="35">
        <f t="shared" si="282"/>
        <v>1.885926339801431</v>
      </c>
      <c r="AE455" s="48">
        <v>44.05</v>
      </c>
      <c r="AF455" s="48">
        <f t="shared" si="283"/>
        <v>1.6439459127480667</v>
      </c>
      <c r="AG455" s="43">
        <v>51.064530698041601</v>
      </c>
      <c r="AH455" s="43">
        <f t="shared" si="284"/>
        <v>1.7081193449348573</v>
      </c>
      <c r="AI455" s="39">
        <v>0.76</v>
      </c>
      <c r="AJ455" s="48">
        <f t="shared" si="262"/>
        <v>0.24551266781414982</v>
      </c>
      <c r="AK455" s="35">
        <v>11</v>
      </c>
      <c r="AL455" s="35">
        <f t="shared" si="285"/>
        <v>1.0413926851582251</v>
      </c>
      <c r="AM455" s="35">
        <f t="shared" si="263"/>
        <v>0</v>
      </c>
      <c r="AN455" s="35">
        <f t="shared" si="264"/>
        <v>0</v>
      </c>
      <c r="AO455" s="35">
        <f t="shared" si="265"/>
        <v>0</v>
      </c>
      <c r="AP455" s="35">
        <f t="shared" si="266"/>
        <v>0</v>
      </c>
      <c r="AQ455" s="35">
        <f t="shared" si="267"/>
        <v>0</v>
      </c>
      <c r="AR455" s="35">
        <f t="shared" si="268"/>
        <v>0</v>
      </c>
      <c r="AS455" s="35">
        <f t="shared" si="269"/>
        <v>0</v>
      </c>
      <c r="AT455" s="35">
        <f t="shared" si="270"/>
        <v>0</v>
      </c>
      <c r="AU455" s="35">
        <f t="shared" si="271"/>
        <v>0</v>
      </c>
      <c r="AV455" s="35">
        <f t="shared" si="272"/>
        <v>0</v>
      </c>
      <c r="AW455" s="35">
        <f t="shared" si="273"/>
        <v>1</v>
      </c>
      <c r="AX455" s="35">
        <f t="shared" si="274"/>
        <v>0</v>
      </c>
      <c r="AY455" s="35">
        <f t="shared" si="275"/>
        <v>0</v>
      </c>
      <c r="AZ455" s="35">
        <f t="shared" si="276"/>
        <v>0</v>
      </c>
      <c r="BA455" s="35">
        <f t="shared" si="277"/>
        <v>0</v>
      </c>
      <c r="BB455" s="35">
        <f t="shared" si="278"/>
        <v>0</v>
      </c>
      <c r="BC455" s="35">
        <f t="shared" si="279"/>
        <v>0</v>
      </c>
    </row>
    <row r="456" spans="1:55" s="35" customFormat="1" x14ac:dyDescent="0.35">
      <c r="A456" s="36">
        <v>41639</v>
      </c>
      <c r="B456" s="35" t="s">
        <v>514</v>
      </c>
      <c r="C456" s="35" t="s">
        <v>2</v>
      </c>
      <c r="D456" s="35" t="s">
        <v>59</v>
      </c>
      <c r="E456" s="35" t="s">
        <v>125</v>
      </c>
      <c r="F456" s="139">
        <f t="shared" si="252"/>
        <v>1</v>
      </c>
      <c r="G456" s="35">
        <v>500000000</v>
      </c>
      <c r="H456" s="139">
        <f t="shared" si="253"/>
        <v>8.6989700043360187</v>
      </c>
      <c r="I456" s="35">
        <f t="shared" si="286"/>
        <v>500000000</v>
      </c>
      <c r="J456" s="35">
        <v>0</v>
      </c>
      <c r="K456" s="36">
        <v>42338</v>
      </c>
      <c r="L456" s="35">
        <v>955000000</v>
      </c>
      <c r="M456" s="21">
        <f t="shared" si="254"/>
        <v>1.9150684931506849</v>
      </c>
      <c r="N456" s="21">
        <f t="shared" si="280"/>
        <v>0.28218431128920668</v>
      </c>
      <c r="O456" s="35">
        <v>917.19</v>
      </c>
      <c r="P456" s="35">
        <f t="shared" si="255"/>
        <v>2.9629325585580042</v>
      </c>
      <c r="Q456" s="35">
        <v>13</v>
      </c>
      <c r="R456" s="35">
        <f t="shared" si="256"/>
        <v>1.146128035678238</v>
      </c>
      <c r="S456" s="45">
        <v>2.62</v>
      </c>
      <c r="T456" s="45">
        <f t="shared" si="281"/>
        <v>0.41830129131974547</v>
      </c>
      <c r="U456" s="175">
        <f t="shared" si="257"/>
        <v>0.90999999999999992</v>
      </c>
      <c r="V456" s="48">
        <f t="shared" si="258"/>
        <v>0.28103336724772754</v>
      </c>
      <c r="W456" s="35">
        <v>2144.9704142011828</v>
      </c>
      <c r="X456" s="35">
        <f t="shared" si="259"/>
        <v>3.3314213062933389</v>
      </c>
      <c r="Y456" s="35">
        <v>7670.1183431952677</v>
      </c>
      <c r="Z456" s="35">
        <f t="shared" si="260"/>
        <v>3.884802064783424</v>
      </c>
      <c r="AA456" s="37">
        <v>854.66666666666697</v>
      </c>
      <c r="AB456" s="37">
        <f t="shared" si="261"/>
        <v>2.9323046139517812</v>
      </c>
      <c r="AC456" s="35">
        <v>92.1</v>
      </c>
      <c r="AD456" s="35">
        <f t="shared" si="282"/>
        <v>1.9642596301968489</v>
      </c>
      <c r="AE456" s="48">
        <v>36.799999999999997</v>
      </c>
      <c r="AF456" s="48">
        <f t="shared" si="283"/>
        <v>1.5658478186735176</v>
      </c>
      <c r="AG456" s="43">
        <v>44.688349184782602</v>
      </c>
      <c r="AH456" s="43">
        <f t="shared" si="284"/>
        <v>1.6501943118503011</v>
      </c>
      <c r="AI456" s="39">
        <v>1.01</v>
      </c>
      <c r="AJ456" s="48">
        <f t="shared" si="262"/>
        <v>0.30319605742048883</v>
      </c>
      <c r="AK456" s="35">
        <v>11</v>
      </c>
      <c r="AL456" s="35">
        <f t="shared" si="285"/>
        <v>1.0413926851582251</v>
      </c>
      <c r="AM456" s="35">
        <f t="shared" si="263"/>
        <v>0</v>
      </c>
      <c r="AN456" s="35">
        <f t="shared" si="264"/>
        <v>0</v>
      </c>
      <c r="AO456" s="35">
        <f t="shared" si="265"/>
        <v>0</v>
      </c>
      <c r="AP456" s="35">
        <f t="shared" si="266"/>
        <v>0</v>
      </c>
      <c r="AQ456" s="35">
        <f t="shared" si="267"/>
        <v>0</v>
      </c>
      <c r="AR456" s="35">
        <f t="shared" si="268"/>
        <v>0</v>
      </c>
      <c r="AS456" s="35">
        <f t="shared" si="269"/>
        <v>0</v>
      </c>
      <c r="AT456" s="35">
        <f t="shared" si="270"/>
        <v>0</v>
      </c>
      <c r="AU456" s="35">
        <f t="shared" si="271"/>
        <v>0</v>
      </c>
      <c r="AV456" s="35">
        <f t="shared" si="272"/>
        <v>1</v>
      </c>
      <c r="AW456" s="35">
        <f t="shared" si="273"/>
        <v>0</v>
      </c>
      <c r="AX456" s="35">
        <f t="shared" si="274"/>
        <v>0</v>
      </c>
      <c r="AY456" s="35">
        <f t="shared" si="275"/>
        <v>0</v>
      </c>
      <c r="AZ456" s="35">
        <f t="shared" si="276"/>
        <v>0</v>
      </c>
      <c r="BA456" s="35">
        <f t="shared" si="277"/>
        <v>0</v>
      </c>
      <c r="BB456" s="35">
        <f t="shared" si="278"/>
        <v>0</v>
      </c>
      <c r="BC456" s="35">
        <f t="shared" si="279"/>
        <v>0</v>
      </c>
    </row>
    <row r="457" spans="1:55" s="35" customFormat="1" x14ac:dyDescent="0.35">
      <c r="A457" s="36">
        <v>41681</v>
      </c>
      <c r="B457" s="35" t="s">
        <v>828</v>
      </c>
      <c r="C457" s="35" t="s">
        <v>489</v>
      </c>
      <c r="D457" s="35" t="s">
        <v>489</v>
      </c>
      <c r="E457" s="35" t="s">
        <v>47</v>
      </c>
      <c r="F457" s="139">
        <f t="shared" si="252"/>
        <v>0</v>
      </c>
      <c r="G457" s="35">
        <v>654633497</v>
      </c>
      <c r="H457" s="139">
        <f t="shared" si="253"/>
        <v>8.8159982239937715</v>
      </c>
      <c r="I457" s="35">
        <f t="shared" si="286"/>
        <v>654633497</v>
      </c>
      <c r="J457" s="35">
        <v>0</v>
      </c>
      <c r="K457" s="36">
        <v>43006</v>
      </c>
      <c r="L457" s="35">
        <v>1659618537</v>
      </c>
      <c r="M457" s="21">
        <f t="shared" si="254"/>
        <v>3.6301369863013697</v>
      </c>
      <c r="N457" s="21">
        <f t="shared" si="280"/>
        <v>0.5599230138163519</v>
      </c>
      <c r="O457" s="35">
        <v>0</v>
      </c>
      <c r="P457" s="35">
        <f t="shared" si="255"/>
        <v>0</v>
      </c>
      <c r="Q457" s="35">
        <v>49</v>
      </c>
      <c r="R457" s="35">
        <f t="shared" si="256"/>
        <v>1.6989700043360187</v>
      </c>
      <c r="S457" s="14">
        <v>0</v>
      </c>
      <c r="T457" s="45" t="e">
        <f t="shared" si="281"/>
        <v>#NUM!</v>
      </c>
      <c r="U457" s="175">
        <f t="shared" si="257"/>
        <v>1.5351873141315897</v>
      </c>
      <c r="V457" s="48">
        <f t="shared" si="258"/>
        <v>0.40401005301388143</v>
      </c>
      <c r="W457" s="35">
        <v>1423.0371900826444</v>
      </c>
      <c r="X457" s="35">
        <f t="shared" si="259"/>
        <v>3.1532162502154288</v>
      </c>
      <c r="Y457" s="35">
        <v>3292.8719008264461</v>
      </c>
      <c r="Z457" s="35">
        <f t="shared" si="260"/>
        <v>3.5175748361336181</v>
      </c>
      <c r="AA457" s="37">
        <v>0</v>
      </c>
      <c r="AB457" s="37">
        <f t="shared" si="261"/>
        <v>0</v>
      </c>
      <c r="AC457" s="35">
        <v>75.400000000000006</v>
      </c>
      <c r="AD457" s="35">
        <f t="shared" si="282"/>
        <v>1.8773713458697741</v>
      </c>
      <c r="AE457" s="48">
        <v>26.88</v>
      </c>
      <c r="AF457" s="48">
        <f t="shared" si="283"/>
        <v>1.4294292643817876</v>
      </c>
      <c r="AG457" s="43">
        <v>49.329709120205997</v>
      </c>
      <c r="AH457" s="43">
        <f t="shared" si="284"/>
        <v>1.6931085545892062</v>
      </c>
      <c r="AI457" s="39">
        <v>0.68</v>
      </c>
      <c r="AJ457" s="48">
        <f t="shared" si="262"/>
        <v>0.2253092817258629</v>
      </c>
      <c r="AK457" s="35">
        <v>24</v>
      </c>
      <c r="AL457" s="35">
        <f t="shared" si="285"/>
        <v>1.3802112417116059</v>
      </c>
      <c r="AM457" s="35">
        <f t="shared" si="263"/>
        <v>0</v>
      </c>
      <c r="AN457" s="35">
        <f t="shared" si="264"/>
        <v>0</v>
      </c>
      <c r="AO457" s="35">
        <f t="shared" si="265"/>
        <v>0</v>
      </c>
      <c r="AP457" s="35">
        <f t="shared" si="266"/>
        <v>0</v>
      </c>
      <c r="AQ457" s="35">
        <f t="shared" si="267"/>
        <v>0</v>
      </c>
      <c r="AR457" s="35">
        <f t="shared" si="268"/>
        <v>0</v>
      </c>
      <c r="AS457" s="35">
        <f t="shared" si="269"/>
        <v>0</v>
      </c>
      <c r="AT457" s="35">
        <f t="shared" si="270"/>
        <v>0</v>
      </c>
      <c r="AU457" s="35">
        <f t="shared" si="271"/>
        <v>0</v>
      </c>
      <c r="AV457" s="35">
        <f t="shared" si="272"/>
        <v>0</v>
      </c>
      <c r="AW457" s="35">
        <f t="shared" si="273"/>
        <v>0</v>
      </c>
      <c r="AX457" s="35">
        <f t="shared" si="274"/>
        <v>0</v>
      </c>
      <c r="AY457" s="35">
        <f t="shared" si="275"/>
        <v>0</v>
      </c>
      <c r="AZ457" s="35">
        <f t="shared" si="276"/>
        <v>0</v>
      </c>
      <c r="BA457" s="35">
        <f t="shared" si="277"/>
        <v>1</v>
      </c>
      <c r="BB457" s="35">
        <f t="shared" si="278"/>
        <v>0</v>
      </c>
      <c r="BC457" s="35">
        <f t="shared" si="279"/>
        <v>0</v>
      </c>
    </row>
    <row r="458" spans="1:55" s="35" customFormat="1" x14ac:dyDescent="0.35">
      <c r="A458" s="36">
        <v>41686</v>
      </c>
      <c r="B458" s="35" t="s">
        <v>786</v>
      </c>
      <c r="C458" s="35" t="s">
        <v>59</v>
      </c>
      <c r="D458" s="35" t="s">
        <v>59</v>
      </c>
      <c r="E458" s="35" t="s">
        <v>47</v>
      </c>
      <c r="F458" s="139">
        <f t="shared" si="252"/>
        <v>0</v>
      </c>
      <c r="G458" s="35">
        <v>400000000</v>
      </c>
      <c r="H458" s="139">
        <f t="shared" si="253"/>
        <v>8.6020599913279625</v>
      </c>
      <c r="I458" s="35">
        <f t="shared" si="286"/>
        <v>400000000</v>
      </c>
      <c r="J458" s="35">
        <v>0</v>
      </c>
      <c r="K458" s="36">
        <v>43270</v>
      </c>
      <c r="L458" s="35">
        <v>1000000000</v>
      </c>
      <c r="M458" s="21">
        <f t="shared" si="254"/>
        <v>4.3397260273972602</v>
      </c>
      <c r="N458" s="21">
        <f t="shared" si="280"/>
        <v>0.63746231279699994</v>
      </c>
      <c r="O458" s="35">
        <v>0</v>
      </c>
      <c r="P458" s="35">
        <f t="shared" si="255"/>
        <v>0</v>
      </c>
      <c r="Q458" s="35">
        <v>14</v>
      </c>
      <c r="R458" s="35">
        <f t="shared" si="256"/>
        <v>1.1760912590556813</v>
      </c>
      <c r="S458" s="45">
        <v>3.29</v>
      </c>
      <c r="T458" s="45">
        <f t="shared" si="281"/>
        <v>0.51719589794997434</v>
      </c>
      <c r="U458" s="175">
        <f t="shared" si="257"/>
        <v>1.5</v>
      </c>
      <c r="V458" s="48">
        <f t="shared" si="258"/>
        <v>0.3979400086720376</v>
      </c>
      <c r="W458" s="35">
        <v>1447.5557664926437</v>
      </c>
      <c r="X458" s="35">
        <f t="shared" si="259"/>
        <v>3.1606353037386858</v>
      </c>
      <c r="Y458" s="35">
        <v>9478.5929515126791</v>
      </c>
      <c r="Z458" s="35">
        <f t="shared" si="260"/>
        <v>3.9767438733352263</v>
      </c>
      <c r="AA458" s="37">
        <v>0</v>
      </c>
      <c r="AB458" s="37">
        <f t="shared" si="261"/>
        <v>0</v>
      </c>
      <c r="AC458" s="35">
        <v>92</v>
      </c>
      <c r="AD458" s="35">
        <f t="shared" si="282"/>
        <v>1.9637878273455553</v>
      </c>
      <c r="AE458" s="48">
        <v>31.8</v>
      </c>
      <c r="AF458" s="48">
        <f t="shared" si="283"/>
        <v>1.5024271199844328</v>
      </c>
      <c r="AG458" s="43">
        <v>43.012424801889097</v>
      </c>
      <c r="AH458" s="43">
        <f t="shared" si="284"/>
        <v>1.6335939263577708</v>
      </c>
      <c r="AI458" s="39">
        <v>-7.0000000000000007E-2</v>
      </c>
      <c r="AJ458" s="48">
        <f t="shared" si="262"/>
        <v>-3.1517051446064911E-2</v>
      </c>
      <c r="AK458" s="35">
        <v>18</v>
      </c>
      <c r="AL458" s="35">
        <f t="shared" si="285"/>
        <v>1.255272505103306</v>
      </c>
      <c r="AM458" s="35">
        <f t="shared" si="263"/>
        <v>0</v>
      </c>
      <c r="AN458" s="35">
        <f t="shared" si="264"/>
        <v>0</v>
      </c>
      <c r="AO458" s="35">
        <f t="shared" si="265"/>
        <v>1</v>
      </c>
      <c r="AP458" s="35">
        <f t="shared" si="266"/>
        <v>0</v>
      </c>
      <c r="AQ458" s="35">
        <f t="shared" si="267"/>
        <v>0</v>
      </c>
      <c r="AR458" s="35">
        <f t="shared" si="268"/>
        <v>0</v>
      </c>
      <c r="AS458" s="35">
        <f t="shared" si="269"/>
        <v>0</v>
      </c>
      <c r="AT458" s="35">
        <f t="shared" si="270"/>
        <v>0</v>
      </c>
      <c r="AU458" s="35">
        <f t="shared" si="271"/>
        <v>0</v>
      </c>
      <c r="AV458" s="35">
        <f t="shared" si="272"/>
        <v>0</v>
      </c>
      <c r="AW458" s="35">
        <f t="shared" si="273"/>
        <v>0</v>
      </c>
      <c r="AX458" s="35">
        <f t="shared" si="274"/>
        <v>0</v>
      </c>
      <c r="AY458" s="35">
        <f t="shared" si="275"/>
        <v>0</v>
      </c>
      <c r="AZ458" s="35">
        <f t="shared" si="276"/>
        <v>0</v>
      </c>
      <c r="BA458" s="35">
        <f t="shared" si="277"/>
        <v>0</v>
      </c>
      <c r="BB458" s="35">
        <f t="shared" si="278"/>
        <v>0</v>
      </c>
      <c r="BC458" s="35">
        <f t="shared" si="279"/>
        <v>0</v>
      </c>
    </row>
    <row r="459" spans="1:55" s="35" customFormat="1" x14ac:dyDescent="0.35">
      <c r="A459" s="36">
        <v>41708</v>
      </c>
      <c r="B459" s="35" t="s">
        <v>804</v>
      </c>
      <c r="C459" s="35" t="s">
        <v>45</v>
      </c>
      <c r="D459" s="35" t="s">
        <v>45</v>
      </c>
      <c r="E459" s="35" t="s">
        <v>47</v>
      </c>
      <c r="F459" s="139">
        <f t="shared" si="252"/>
        <v>0</v>
      </c>
      <c r="G459" s="35">
        <v>90000000</v>
      </c>
      <c r="H459" s="139">
        <f t="shared" si="253"/>
        <v>7.9542425094393252</v>
      </c>
      <c r="I459" s="35">
        <f t="shared" si="286"/>
        <v>90000000</v>
      </c>
      <c r="J459" s="35">
        <v>0</v>
      </c>
      <c r="K459" s="36">
        <v>42492</v>
      </c>
      <c r="L459" s="35">
        <v>540000000</v>
      </c>
      <c r="M459" s="21">
        <f t="shared" si="254"/>
        <v>2.1479452054794521</v>
      </c>
      <c r="N459" s="21">
        <f t="shared" si="280"/>
        <v>0.33202319822796372</v>
      </c>
      <c r="O459" s="35">
        <v>0</v>
      </c>
      <c r="P459" s="35">
        <f t="shared" si="255"/>
        <v>0</v>
      </c>
      <c r="Q459" s="35">
        <v>34</v>
      </c>
      <c r="R459" s="35">
        <f t="shared" si="256"/>
        <v>1.5440680443502757</v>
      </c>
      <c r="S459" s="45">
        <v>2.95</v>
      </c>
      <c r="T459" s="45">
        <f t="shared" si="281"/>
        <v>0.46982201597816303</v>
      </c>
      <c r="U459" s="175">
        <f t="shared" si="257"/>
        <v>5</v>
      </c>
      <c r="V459" s="48">
        <f t="shared" si="258"/>
        <v>0.77815125038364363</v>
      </c>
      <c r="W459" s="35">
        <v>2799.9999999999995</v>
      </c>
      <c r="X459" s="35">
        <f t="shared" si="259"/>
        <v>3.447158031342219</v>
      </c>
      <c r="Y459" s="35">
        <v>8432.6530612244896</v>
      </c>
      <c r="Z459" s="35">
        <f t="shared" si="260"/>
        <v>3.9259642328190694</v>
      </c>
      <c r="AA459" s="37">
        <v>0</v>
      </c>
      <c r="AB459" s="37">
        <f t="shared" si="261"/>
        <v>0</v>
      </c>
      <c r="AC459" s="35">
        <v>89.2</v>
      </c>
      <c r="AD459" s="35">
        <f t="shared" si="282"/>
        <v>1.9503648543761232</v>
      </c>
      <c r="AE459" s="48">
        <v>26</v>
      </c>
      <c r="AF459" s="48">
        <f t="shared" si="283"/>
        <v>1.414973347970818</v>
      </c>
      <c r="AG459" s="43">
        <v>38.344872802923099</v>
      </c>
      <c r="AH459" s="43">
        <f t="shared" si="284"/>
        <v>1.5837073014724459</v>
      </c>
      <c r="AI459" s="39">
        <v>0.33</v>
      </c>
      <c r="AJ459" s="48">
        <f t="shared" si="262"/>
        <v>0.12385164096708581</v>
      </c>
      <c r="AK459" s="35">
        <v>18</v>
      </c>
      <c r="AL459" s="35">
        <f t="shared" si="285"/>
        <v>1.255272505103306</v>
      </c>
      <c r="AM459" s="35">
        <f t="shared" si="263"/>
        <v>0</v>
      </c>
      <c r="AN459" s="35">
        <f t="shared" si="264"/>
        <v>1</v>
      </c>
      <c r="AO459" s="35">
        <f t="shared" si="265"/>
        <v>0</v>
      </c>
      <c r="AP459" s="35">
        <f t="shared" si="266"/>
        <v>0</v>
      </c>
      <c r="AQ459" s="35">
        <f t="shared" si="267"/>
        <v>0</v>
      </c>
      <c r="AR459" s="35">
        <f t="shared" si="268"/>
        <v>0</v>
      </c>
      <c r="AS459" s="35">
        <f t="shared" si="269"/>
        <v>0</v>
      </c>
      <c r="AT459" s="35">
        <f t="shared" si="270"/>
        <v>0</v>
      </c>
      <c r="AU459" s="35">
        <f t="shared" si="271"/>
        <v>0</v>
      </c>
      <c r="AV459" s="35">
        <f t="shared" si="272"/>
        <v>0</v>
      </c>
      <c r="AW459" s="35">
        <f t="shared" si="273"/>
        <v>0</v>
      </c>
      <c r="AX459" s="35">
        <f t="shared" si="274"/>
        <v>0</v>
      </c>
      <c r="AY459" s="35">
        <f t="shared" si="275"/>
        <v>0</v>
      </c>
      <c r="AZ459" s="35">
        <f t="shared" si="276"/>
        <v>0</v>
      </c>
      <c r="BA459" s="35">
        <f t="shared" si="277"/>
        <v>0</v>
      </c>
      <c r="BB459" s="35">
        <f t="shared" si="278"/>
        <v>0</v>
      </c>
      <c r="BC459" s="35">
        <f t="shared" si="279"/>
        <v>0</v>
      </c>
    </row>
    <row r="460" spans="1:55" s="35" customFormat="1" x14ac:dyDescent="0.35">
      <c r="A460" s="36">
        <v>41729</v>
      </c>
      <c r="B460" s="35" t="s">
        <v>194</v>
      </c>
      <c r="C460" s="35" t="s">
        <v>45</v>
      </c>
      <c r="D460" s="35" t="s">
        <v>489</v>
      </c>
      <c r="E460" s="35" t="s">
        <v>64</v>
      </c>
      <c r="F460" s="139">
        <f t="shared" si="252"/>
        <v>1</v>
      </c>
      <c r="G460" s="35">
        <v>3191180520</v>
      </c>
      <c r="H460" s="139">
        <f t="shared" si="253"/>
        <v>9.5039513722356226</v>
      </c>
      <c r="I460" s="35">
        <f t="shared" si="286"/>
        <v>3191180520</v>
      </c>
      <c r="J460" s="35">
        <v>0</v>
      </c>
      <c r="K460" s="36">
        <v>42495</v>
      </c>
      <c r="L460" s="35">
        <v>6807047784</v>
      </c>
      <c r="M460" s="21">
        <f t="shared" si="254"/>
        <v>2.0986301369863014</v>
      </c>
      <c r="N460" s="21">
        <f t="shared" si="280"/>
        <v>0.32193590517612924</v>
      </c>
      <c r="O460" s="35">
        <v>6651.37</v>
      </c>
      <c r="P460" s="35">
        <f t="shared" si="255"/>
        <v>3.8229763963637051</v>
      </c>
      <c r="Q460" s="35">
        <v>34</v>
      </c>
      <c r="R460" s="35">
        <f t="shared" si="256"/>
        <v>1.5440680443502757</v>
      </c>
      <c r="S460" s="45">
        <v>3.03</v>
      </c>
      <c r="T460" s="45">
        <f t="shared" si="281"/>
        <v>0.48144262850230496</v>
      </c>
      <c r="U460" s="175">
        <f t="shared" si="257"/>
        <v>1.1330813914594842</v>
      </c>
      <c r="V460" s="48">
        <f t="shared" si="258"/>
        <v>0.32900742703280411</v>
      </c>
      <c r="W460" s="35">
        <v>1423.0371900826444</v>
      </c>
      <c r="X460" s="35">
        <f t="shared" si="259"/>
        <v>3.1532162502154288</v>
      </c>
      <c r="Y460" s="35">
        <v>3292.8719008264461</v>
      </c>
      <c r="Z460" s="35">
        <f t="shared" si="260"/>
        <v>3.5175748361336181</v>
      </c>
      <c r="AA460" s="37">
        <v>513.5</v>
      </c>
      <c r="AB460" s="37">
        <f t="shared" si="261"/>
        <v>2.7113853790984517</v>
      </c>
      <c r="AC460" s="35">
        <v>89.2</v>
      </c>
      <c r="AD460" s="35">
        <f t="shared" si="282"/>
        <v>1.9503648543761232</v>
      </c>
      <c r="AE460" s="48">
        <v>26</v>
      </c>
      <c r="AF460" s="48">
        <f t="shared" si="283"/>
        <v>1.414973347970818</v>
      </c>
      <c r="AG460" s="43">
        <v>38.344872802923099</v>
      </c>
      <c r="AH460" s="43">
        <f t="shared" si="284"/>
        <v>1.5837073014724459</v>
      </c>
      <c r="AI460" s="39">
        <v>-0.17</v>
      </c>
      <c r="AJ460" s="48">
        <f t="shared" si="262"/>
        <v>-8.092190762392612E-2</v>
      </c>
      <c r="AK460" s="35">
        <v>19</v>
      </c>
      <c r="AL460" s="35">
        <f t="shared" si="285"/>
        <v>1.2787536009528289</v>
      </c>
      <c r="AM460" s="35">
        <f t="shared" si="263"/>
        <v>0</v>
      </c>
      <c r="AN460" s="35">
        <f t="shared" si="264"/>
        <v>1</v>
      </c>
      <c r="AO460" s="35">
        <f t="shared" si="265"/>
        <v>0</v>
      </c>
      <c r="AP460" s="35">
        <f t="shared" si="266"/>
        <v>0</v>
      </c>
      <c r="AQ460" s="35">
        <f t="shared" si="267"/>
        <v>0</v>
      </c>
      <c r="AR460" s="35">
        <f t="shared" si="268"/>
        <v>0</v>
      </c>
      <c r="AS460" s="35">
        <f t="shared" si="269"/>
        <v>0</v>
      </c>
      <c r="AT460" s="35">
        <f t="shared" si="270"/>
        <v>0</v>
      </c>
      <c r="AU460" s="35">
        <f t="shared" si="271"/>
        <v>0</v>
      </c>
      <c r="AV460" s="35">
        <f t="shared" si="272"/>
        <v>0</v>
      </c>
      <c r="AW460" s="35">
        <f t="shared" si="273"/>
        <v>0</v>
      </c>
      <c r="AX460" s="35">
        <f t="shared" si="274"/>
        <v>0</v>
      </c>
      <c r="AY460" s="35">
        <f t="shared" si="275"/>
        <v>0</v>
      </c>
      <c r="AZ460" s="35">
        <f t="shared" si="276"/>
        <v>0</v>
      </c>
      <c r="BA460" s="35">
        <f t="shared" si="277"/>
        <v>0</v>
      </c>
      <c r="BB460" s="35">
        <f t="shared" si="278"/>
        <v>0</v>
      </c>
      <c r="BC460" s="35">
        <f t="shared" si="279"/>
        <v>0</v>
      </c>
    </row>
    <row r="461" spans="1:55" s="35" customFormat="1" x14ac:dyDescent="0.35">
      <c r="A461" s="36">
        <v>41732</v>
      </c>
      <c r="B461" s="35" t="s">
        <v>469</v>
      </c>
      <c r="C461" s="35" t="s">
        <v>45</v>
      </c>
      <c r="D461" s="35" t="s">
        <v>59</v>
      </c>
      <c r="E461" s="35" t="s">
        <v>125</v>
      </c>
      <c r="F461" s="139">
        <f t="shared" si="252"/>
        <v>1</v>
      </c>
      <c r="G461" s="35">
        <v>664693000</v>
      </c>
      <c r="H461" s="139">
        <f t="shared" si="253"/>
        <v>8.8226211051659256</v>
      </c>
      <c r="I461" s="35">
        <f t="shared" si="286"/>
        <v>664693000</v>
      </c>
      <c r="J461" s="35">
        <v>0</v>
      </c>
      <c r="K461" s="36">
        <v>43334</v>
      </c>
      <c r="L461" s="35">
        <v>916500000</v>
      </c>
      <c r="M461" s="21">
        <f t="shared" si="254"/>
        <v>4.3890410958904109</v>
      </c>
      <c r="N461" s="21">
        <f t="shared" si="280"/>
        <v>0.64236964729174417</v>
      </c>
      <c r="O461" s="35">
        <v>5897.96</v>
      </c>
      <c r="P461" s="35">
        <f t="shared" si="255"/>
        <v>3.7707754512906644</v>
      </c>
      <c r="Q461" s="35">
        <v>22</v>
      </c>
      <c r="R461" s="35">
        <f t="shared" si="256"/>
        <v>1.3617278360175928</v>
      </c>
      <c r="S461" s="45">
        <v>2.3199999999999998</v>
      </c>
      <c r="T461" s="45">
        <f t="shared" si="281"/>
        <v>0.36548798489089962</v>
      </c>
      <c r="U461" s="175">
        <f t="shared" si="257"/>
        <v>0.37883203223142115</v>
      </c>
      <c r="V461" s="48">
        <f t="shared" si="258"/>
        <v>0.13951136413231044</v>
      </c>
      <c r="W461" s="35">
        <v>1248.0746999999999</v>
      </c>
      <c r="X461" s="35">
        <f t="shared" si="259"/>
        <v>3.0962405795987471</v>
      </c>
      <c r="Y461" s="35">
        <v>2518.2170000000001</v>
      </c>
      <c r="Z461" s="35">
        <f t="shared" si="260"/>
        <v>3.4010931514437841</v>
      </c>
      <c r="AA461" s="37">
        <v>132</v>
      </c>
      <c r="AB461" s="37">
        <f t="shared" si="261"/>
        <v>2.1238516409670858</v>
      </c>
      <c r="AC461" s="35">
        <v>89.2</v>
      </c>
      <c r="AD461" s="35">
        <f t="shared" si="282"/>
        <v>1.9503648543761232</v>
      </c>
      <c r="AE461" s="48">
        <v>26</v>
      </c>
      <c r="AF461" s="48">
        <f t="shared" si="283"/>
        <v>1.414973347970818</v>
      </c>
      <c r="AG461" s="43">
        <v>38.344872802923099</v>
      </c>
      <c r="AH461" s="43">
        <f t="shared" si="284"/>
        <v>1.5837073014724459</v>
      </c>
      <c r="AI461" s="39">
        <v>0.02</v>
      </c>
      <c r="AJ461" s="48">
        <f t="shared" si="262"/>
        <v>8.6001717619175692E-3</v>
      </c>
      <c r="AK461" s="35">
        <v>20</v>
      </c>
      <c r="AL461" s="35">
        <f t="shared" si="285"/>
        <v>1.3010299956639813</v>
      </c>
      <c r="AM461" s="35">
        <f t="shared" si="263"/>
        <v>0</v>
      </c>
      <c r="AN461" s="35">
        <f t="shared" si="264"/>
        <v>1</v>
      </c>
      <c r="AO461" s="35">
        <f t="shared" si="265"/>
        <v>0</v>
      </c>
      <c r="AP461" s="35">
        <f t="shared" si="266"/>
        <v>0</v>
      </c>
      <c r="AQ461" s="35">
        <f t="shared" si="267"/>
        <v>0</v>
      </c>
      <c r="AR461" s="35">
        <f t="shared" si="268"/>
        <v>0</v>
      </c>
      <c r="AS461" s="35">
        <f t="shared" si="269"/>
        <v>0</v>
      </c>
      <c r="AT461" s="35">
        <f t="shared" si="270"/>
        <v>0</v>
      </c>
      <c r="AU461" s="35">
        <f t="shared" si="271"/>
        <v>0</v>
      </c>
      <c r="AV461" s="35">
        <f t="shared" si="272"/>
        <v>0</v>
      </c>
      <c r="AW461" s="35">
        <f t="shared" si="273"/>
        <v>0</v>
      </c>
      <c r="AX461" s="35">
        <f t="shared" si="274"/>
        <v>0</v>
      </c>
      <c r="AY461" s="35">
        <f t="shared" si="275"/>
        <v>0</v>
      </c>
      <c r="AZ461" s="35">
        <f t="shared" si="276"/>
        <v>0</v>
      </c>
      <c r="BA461" s="35">
        <f t="shared" si="277"/>
        <v>0</v>
      </c>
      <c r="BB461" s="35">
        <f t="shared" si="278"/>
        <v>0</v>
      </c>
      <c r="BC461" s="35">
        <f t="shared" si="279"/>
        <v>0</v>
      </c>
    </row>
    <row r="462" spans="1:55" s="35" customFormat="1" x14ac:dyDescent="0.35">
      <c r="A462" s="36">
        <v>41781</v>
      </c>
      <c r="B462" s="35" t="s">
        <v>778</v>
      </c>
      <c r="C462" s="35" t="s">
        <v>59</v>
      </c>
      <c r="D462" s="35" t="s">
        <v>59</v>
      </c>
      <c r="E462" s="35" t="s">
        <v>47</v>
      </c>
      <c r="F462" s="139">
        <f t="shared" si="252"/>
        <v>0</v>
      </c>
      <c r="G462" s="35">
        <v>143000000</v>
      </c>
      <c r="H462" s="139">
        <f t="shared" si="253"/>
        <v>8.1553360374650623</v>
      </c>
      <c r="I462" s="35">
        <f t="shared" si="286"/>
        <v>143000000</v>
      </c>
      <c r="J462" s="35">
        <v>0</v>
      </c>
      <c r="K462" s="36">
        <v>42765</v>
      </c>
      <c r="L462" s="35">
        <v>340000000</v>
      </c>
      <c r="M462" s="21">
        <f t="shared" si="254"/>
        <v>2.6958904109589041</v>
      </c>
      <c r="N462" s="21">
        <f t="shared" si="280"/>
        <v>0.43070223397486684</v>
      </c>
      <c r="O462" s="35">
        <v>0</v>
      </c>
      <c r="P462" s="35">
        <f t="shared" si="255"/>
        <v>0</v>
      </c>
      <c r="Q462" s="35">
        <v>39</v>
      </c>
      <c r="R462" s="35">
        <f t="shared" si="256"/>
        <v>1.6020599913279623</v>
      </c>
      <c r="S462" s="45">
        <v>3.29</v>
      </c>
      <c r="T462" s="45">
        <f t="shared" si="281"/>
        <v>0.51719589794997434</v>
      </c>
      <c r="U462" s="175">
        <f t="shared" si="257"/>
        <v>1.3776223776223775</v>
      </c>
      <c r="V462" s="48">
        <f t="shared" si="258"/>
        <v>0.37614287957719328</v>
      </c>
      <c r="W462" s="35">
        <v>2058.8235294117644</v>
      </c>
      <c r="X462" s="35">
        <f t="shared" si="259"/>
        <v>3.3136191229720016</v>
      </c>
      <c r="Y462" s="35">
        <v>10000</v>
      </c>
      <c r="Z462" s="35">
        <f t="shared" si="260"/>
        <v>4</v>
      </c>
      <c r="AA462" s="37">
        <v>0</v>
      </c>
      <c r="AB462" s="37">
        <f t="shared" si="261"/>
        <v>0</v>
      </c>
      <c r="AC462" s="35">
        <v>92</v>
      </c>
      <c r="AD462" s="35">
        <f t="shared" si="282"/>
        <v>1.9637878273455553</v>
      </c>
      <c r="AE462" s="48">
        <v>31.8</v>
      </c>
      <c r="AF462" s="48">
        <f t="shared" si="283"/>
        <v>1.5024271199844328</v>
      </c>
      <c r="AG462" s="43">
        <v>43.012424801889097</v>
      </c>
      <c r="AH462" s="43">
        <f t="shared" si="284"/>
        <v>1.6335939263577708</v>
      </c>
      <c r="AI462" s="39">
        <v>0.36</v>
      </c>
      <c r="AJ462" s="48">
        <f t="shared" si="262"/>
        <v>0.13353890837021748</v>
      </c>
      <c r="AK462" s="35">
        <v>20</v>
      </c>
      <c r="AL462" s="35">
        <f t="shared" si="285"/>
        <v>1.3010299956639813</v>
      </c>
      <c r="AM462" s="35">
        <f t="shared" si="263"/>
        <v>0</v>
      </c>
      <c r="AN462" s="35">
        <f t="shared" si="264"/>
        <v>0</v>
      </c>
      <c r="AO462" s="35">
        <f t="shared" si="265"/>
        <v>1</v>
      </c>
      <c r="AP462" s="35">
        <f t="shared" si="266"/>
        <v>0</v>
      </c>
      <c r="AQ462" s="35">
        <f t="shared" si="267"/>
        <v>0</v>
      </c>
      <c r="AR462" s="35">
        <f t="shared" si="268"/>
        <v>0</v>
      </c>
      <c r="AS462" s="35">
        <f t="shared" si="269"/>
        <v>0</v>
      </c>
      <c r="AT462" s="35">
        <f t="shared" si="270"/>
        <v>0</v>
      </c>
      <c r="AU462" s="35">
        <f t="shared" si="271"/>
        <v>0</v>
      </c>
      <c r="AV462" s="35">
        <f t="shared" si="272"/>
        <v>0</v>
      </c>
      <c r="AW462" s="35">
        <f t="shared" si="273"/>
        <v>0</v>
      </c>
      <c r="AX462" s="35">
        <f t="shared" si="274"/>
        <v>0</v>
      </c>
      <c r="AY462" s="35">
        <f t="shared" si="275"/>
        <v>0</v>
      </c>
      <c r="AZ462" s="35">
        <f t="shared" si="276"/>
        <v>0</v>
      </c>
      <c r="BA462" s="35">
        <f t="shared" si="277"/>
        <v>0</v>
      </c>
      <c r="BB462" s="35">
        <f t="shared" si="278"/>
        <v>0</v>
      </c>
      <c r="BC462" s="35">
        <f t="shared" si="279"/>
        <v>0</v>
      </c>
    </row>
    <row r="463" spans="1:55" s="35" customFormat="1" x14ac:dyDescent="0.35">
      <c r="A463" s="36">
        <v>41786</v>
      </c>
      <c r="B463" s="35" t="s">
        <v>814</v>
      </c>
      <c r="C463" s="35" t="s">
        <v>5</v>
      </c>
      <c r="D463" s="35" t="s">
        <v>5</v>
      </c>
      <c r="E463" s="35" t="s">
        <v>47</v>
      </c>
      <c r="F463" s="139">
        <f t="shared" si="252"/>
        <v>0</v>
      </c>
      <c r="G463" s="35">
        <v>170000000</v>
      </c>
      <c r="H463" s="139">
        <f t="shared" si="253"/>
        <v>8.2304489213782741</v>
      </c>
      <c r="I463" s="35">
        <f t="shared" si="286"/>
        <v>170000000</v>
      </c>
      <c r="J463" s="35">
        <v>0</v>
      </c>
      <c r="K463" s="36">
        <v>43265</v>
      </c>
      <c r="L463" s="35">
        <v>402000000</v>
      </c>
      <c r="M463" s="21">
        <f t="shared" si="254"/>
        <v>4.0520547945205481</v>
      </c>
      <c r="N463" s="21">
        <f t="shared" si="280"/>
        <v>0.60767530954041771</v>
      </c>
      <c r="O463" s="35">
        <v>0</v>
      </c>
      <c r="P463" s="35">
        <f t="shared" si="255"/>
        <v>0</v>
      </c>
      <c r="Q463" s="35">
        <v>85</v>
      </c>
      <c r="R463" s="35">
        <f t="shared" si="256"/>
        <v>1.9344984512435677</v>
      </c>
      <c r="S463" s="45">
        <v>3.28</v>
      </c>
      <c r="T463" s="45">
        <f t="shared" si="281"/>
        <v>0.5158738437116791</v>
      </c>
      <c r="U463" s="175">
        <f t="shared" si="257"/>
        <v>1.3647058823529412</v>
      </c>
      <c r="V463" s="48">
        <f t="shared" si="258"/>
        <v>0.37377713170619614</v>
      </c>
      <c r="W463" s="35">
        <v>2908.1632653061233</v>
      </c>
      <c r="X463" s="35">
        <f t="shared" si="259"/>
        <v>3.4636187843160156</v>
      </c>
      <c r="Y463" s="35">
        <v>9311.2244897959172</v>
      </c>
      <c r="Z463" s="35">
        <f t="shared" si="260"/>
        <v>3.9690067974360175</v>
      </c>
      <c r="AA463" s="37">
        <v>0</v>
      </c>
      <c r="AB463" s="37">
        <f t="shared" si="261"/>
        <v>0</v>
      </c>
      <c r="AC463" s="35">
        <v>89.7</v>
      </c>
      <c r="AD463" s="35">
        <f t="shared" si="282"/>
        <v>1.9527924430440922</v>
      </c>
      <c r="AE463" s="48">
        <v>37</v>
      </c>
      <c r="AF463" s="48">
        <f t="shared" si="283"/>
        <v>1.568201724066995</v>
      </c>
      <c r="AG463" s="43">
        <v>45.741556971826803</v>
      </c>
      <c r="AH463" s="43">
        <f t="shared" si="284"/>
        <v>1.660310943234538</v>
      </c>
      <c r="AI463" s="39">
        <v>0.35</v>
      </c>
      <c r="AJ463" s="48">
        <f t="shared" si="262"/>
        <v>0.13033376849500614</v>
      </c>
      <c r="AK463" s="35">
        <v>20</v>
      </c>
      <c r="AL463" s="35">
        <f t="shared" si="285"/>
        <v>1.3010299956639813</v>
      </c>
      <c r="AM463" s="35">
        <f t="shared" si="263"/>
        <v>0</v>
      </c>
      <c r="AN463" s="35">
        <f t="shared" si="264"/>
        <v>0</v>
      </c>
      <c r="AO463" s="35">
        <f t="shared" si="265"/>
        <v>0</v>
      </c>
      <c r="AP463" s="35">
        <f t="shared" si="266"/>
        <v>0</v>
      </c>
      <c r="AQ463" s="35">
        <f t="shared" si="267"/>
        <v>0</v>
      </c>
      <c r="AR463" s="35">
        <f t="shared" si="268"/>
        <v>0</v>
      </c>
      <c r="AS463" s="35">
        <f t="shared" si="269"/>
        <v>1</v>
      </c>
      <c r="AT463" s="35">
        <f t="shared" si="270"/>
        <v>0</v>
      </c>
      <c r="AU463" s="35">
        <f t="shared" si="271"/>
        <v>0</v>
      </c>
      <c r="AV463" s="35">
        <f t="shared" si="272"/>
        <v>0</v>
      </c>
      <c r="AW463" s="35">
        <f t="shared" si="273"/>
        <v>0</v>
      </c>
      <c r="AX463" s="35">
        <f t="shared" si="274"/>
        <v>0</v>
      </c>
      <c r="AY463" s="35">
        <f t="shared" si="275"/>
        <v>0</v>
      </c>
      <c r="AZ463" s="35">
        <f t="shared" si="276"/>
        <v>0</v>
      </c>
      <c r="BA463" s="35">
        <f t="shared" si="277"/>
        <v>0</v>
      </c>
      <c r="BB463" s="35">
        <f t="shared" si="278"/>
        <v>0</v>
      </c>
      <c r="BC463" s="35">
        <f t="shared" si="279"/>
        <v>0</v>
      </c>
    </row>
    <row r="464" spans="1:55" s="35" customFormat="1" x14ac:dyDescent="0.35">
      <c r="A464" s="36">
        <v>41815</v>
      </c>
      <c r="B464" s="35" t="s">
        <v>796</v>
      </c>
      <c r="C464" s="35" t="s">
        <v>59</v>
      </c>
      <c r="D464" s="35" t="s">
        <v>59</v>
      </c>
      <c r="E464" s="35" t="s">
        <v>47</v>
      </c>
      <c r="F464" s="139">
        <f t="shared" si="252"/>
        <v>0</v>
      </c>
      <c r="G464" s="35">
        <v>80000000</v>
      </c>
      <c r="H464" s="139">
        <f t="shared" si="253"/>
        <v>7.9030899869919438</v>
      </c>
      <c r="I464" s="35">
        <f t="shared" si="286"/>
        <v>80000000</v>
      </c>
      <c r="J464" s="35">
        <v>0</v>
      </c>
      <c r="K464" s="36">
        <v>42949</v>
      </c>
      <c r="L464" s="35">
        <v>205770000</v>
      </c>
      <c r="M464" s="21">
        <f t="shared" si="254"/>
        <v>3.106849315068493</v>
      </c>
      <c r="N464" s="21">
        <f t="shared" si="280"/>
        <v>0.49232019010041306</v>
      </c>
      <c r="O464" s="35">
        <v>0</v>
      </c>
      <c r="P464" s="35">
        <f t="shared" si="255"/>
        <v>0</v>
      </c>
      <c r="Q464" s="35">
        <v>39</v>
      </c>
      <c r="R464" s="35">
        <f t="shared" si="256"/>
        <v>1.6020599913279623</v>
      </c>
      <c r="S464" s="45">
        <v>3.29</v>
      </c>
      <c r="T464" s="45">
        <f t="shared" si="281"/>
        <v>0.51719589794997434</v>
      </c>
      <c r="U464" s="175">
        <f t="shared" si="257"/>
        <v>1.5721250000000002</v>
      </c>
      <c r="V464" s="48">
        <f t="shared" si="258"/>
        <v>0.41029207058620576</v>
      </c>
      <c r="W464" s="35">
        <v>2482.4229313142241</v>
      </c>
      <c r="X464" s="35">
        <f t="shared" si="259"/>
        <v>3.3948757743780882</v>
      </c>
      <c r="Y464" s="35">
        <v>9113.0340724716079</v>
      </c>
      <c r="Z464" s="35">
        <f t="shared" si="260"/>
        <v>3.9596629940481844</v>
      </c>
      <c r="AA464" s="37">
        <v>0</v>
      </c>
      <c r="AB464" s="37">
        <f t="shared" si="261"/>
        <v>0</v>
      </c>
      <c r="AC464" s="35">
        <v>92</v>
      </c>
      <c r="AD464" s="35">
        <f t="shared" si="282"/>
        <v>1.9637878273455553</v>
      </c>
      <c r="AE464" s="48">
        <v>31.8</v>
      </c>
      <c r="AF464" s="48">
        <f t="shared" si="283"/>
        <v>1.5024271199844328</v>
      </c>
      <c r="AG464" s="43">
        <v>43.012424801889097</v>
      </c>
      <c r="AH464" s="43">
        <f t="shared" si="284"/>
        <v>1.6335939263577708</v>
      </c>
      <c r="AI464" s="39">
        <v>-0.13</v>
      </c>
      <c r="AJ464" s="48">
        <f t="shared" si="262"/>
        <v>-6.0480747381381476E-2</v>
      </c>
      <c r="AK464" s="35">
        <v>42</v>
      </c>
      <c r="AL464" s="35">
        <f t="shared" si="285"/>
        <v>1.6232492903979006</v>
      </c>
      <c r="AM464" s="35">
        <f t="shared" si="263"/>
        <v>0</v>
      </c>
      <c r="AN464" s="35">
        <f t="shared" si="264"/>
        <v>0</v>
      </c>
      <c r="AO464" s="35">
        <f t="shared" si="265"/>
        <v>1</v>
      </c>
      <c r="AP464" s="35">
        <f t="shared" si="266"/>
        <v>0</v>
      </c>
      <c r="AQ464" s="35">
        <f t="shared" si="267"/>
        <v>0</v>
      </c>
      <c r="AR464" s="35">
        <f t="shared" si="268"/>
        <v>0</v>
      </c>
      <c r="AS464" s="35">
        <f t="shared" si="269"/>
        <v>0</v>
      </c>
      <c r="AT464" s="35">
        <f t="shared" si="270"/>
        <v>0</v>
      </c>
      <c r="AU464" s="35">
        <f t="shared" si="271"/>
        <v>0</v>
      </c>
      <c r="AV464" s="35">
        <f t="shared" si="272"/>
        <v>0</v>
      </c>
      <c r="AW464" s="35">
        <f t="shared" si="273"/>
        <v>0</v>
      </c>
      <c r="AX464" s="35">
        <f t="shared" si="274"/>
        <v>0</v>
      </c>
      <c r="AY464" s="35">
        <f t="shared" si="275"/>
        <v>0</v>
      </c>
      <c r="AZ464" s="35">
        <f t="shared" si="276"/>
        <v>0</v>
      </c>
      <c r="BA464" s="35">
        <f t="shared" si="277"/>
        <v>0</v>
      </c>
      <c r="BB464" s="35">
        <f t="shared" si="278"/>
        <v>0</v>
      </c>
      <c r="BC464" s="35">
        <f t="shared" si="279"/>
        <v>0</v>
      </c>
    </row>
    <row r="465" spans="1:55" s="35" customFormat="1" x14ac:dyDescent="0.35">
      <c r="A465" s="36">
        <v>41816</v>
      </c>
      <c r="B465" s="35" t="s">
        <v>811</v>
      </c>
      <c r="C465" s="35" t="s">
        <v>59</v>
      </c>
      <c r="D465" s="35" t="s">
        <v>59</v>
      </c>
      <c r="E465" s="35" t="s">
        <v>47</v>
      </c>
      <c r="F465" s="139">
        <f t="shared" si="252"/>
        <v>0</v>
      </c>
      <c r="G465" s="35">
        <v>90000000</v>
      </c>
      <c r="H465" s="139">
        <f t="shared" si="253"/>
        <v>7.9542425094393252</v>
      </c>
      <c r="I465" s="35">
        <f t="shared" si="286"/>
        <v>90000000</v>
      </c>
      <c r="J465" s="35">
        <v>0</v>
      </c>
      <c r="K465" s="36">
        <v>43224</v>
      </c>
      <c r="L465" s="35">
        <v>0</v>
      </c>
      <c r="M465" s="21">
        <f t="shared" si="254"/>
        <v>3.8575342465753426</v>
      </c>
      <c r="N465" s="21">
        <f t="shared" si="280"/>
        <v>0.58630979034961872</v>
      </c>
      <c r="O465" s="35">
        <v>0</v>
      </c>
      <c r="P465" s="35">
        <f t="shared" si="255"/>
        <v>0</v>
      </c>
      <c r="Q465" s="35">
        <v>38</v>
      </c>
      <c r="R465" s="35">
        <f t="shared" si="256"/>
        <v>1.5910646070264991</v>
      </c>
      <c r="S465" s="45">
        <v>3.29</v>
      </c>
      <c r="T465" s="45">
        <f t="shared" si="281"/>
        <v>0.51719589794997434</v>
      </c>
      <c r="U465" s="175">
        <f t="shared" si="257"/>
        <v>-1</v>
      </c>
      <c r="V465" s="48">
        <f t="shared" si="258"/>
        <v>-1</v>
      </c>
      <c r="W465" s="35">
        <v>1851.8518518518517</v>
      </c>
      <c r="X465" s="35">
        <f t="shared" si="259"/>
        <v>3.2676062401770314</v>
      </c>
      <c r="Y465" s="35">
        <v>9216.4064891337621</v>
      </c>
      <c r="Z465" s="35">
        <f t="shared" si="260"/>
        <v>3.9645616210373218</v>
      </c>
      <c r="AA465" s="37">
        <v>0</v>
      </c>
      <c r="AB465" s="37">
        <f t="shared" si="261"/>
        <v>0</v>
      </c>
      <c r="AC465" s="35">
        <v>92</v>
      </c>
      <c r="AD465" s="35">
        <f t="shared" si="282"/>
        <v>1.9637878273455553</v>
      </c>
      <c r="AE465" s="48">
        <v>31.8</v>
      </c>
      <c r="AF465" s="48">
        <f t="shared" si="283"/>
        <v>1.5024271199844328</v>
      </c>
      <c r="AG465" s="43">
        <v>43.012424801889097</v>
      </c>
      <c r="AH465" s="43">
        <f t="shared" si="284"/>
        <v>1.6335939263577708</v>
      </c>
      <c r="AI465" s="39">
        <v>0.21</v>
      </c>
      <c r="AJ465" s="48">
        <f t="shared" si="262"/>
        <v>8.2785370316450071E-2</v>
      </c>
      <c r="AK465" s="35">
        <v>26</v>
      </c>
      <c r="AL465" s="35">
        <f t="shared" si="285"/>
        <v>1.414973347970818</v>
      </c>
      <c r="AM465" s="35">
        <f t="shared" si="263"/>
        <v>1</v>
      </c>
      <c r="AN465" s="35">
        <f t="shared" si="264"/>
        <v>0</v>
      </c>
      <c r="AO465" s="35">
        <f t="shared" si="265"/>
        <v>1</v>
      </c>
      <c r="AP465" s="35">
        <f t="shared" si="266"/>
        <v>0</v>
      </c>
      <c r="AQ465" s="35">
        <f t="shared" si="267"/>
        <v>0</v>
      </c>
      <c r="AR465" s="35">
        <f t="shared" si="268"/>
        <v>0</v>
      </c>
      <c r="AS465" s="35">
        <f t="shared" si="269"/>
        <v>0</v>
      </c>
      <c r="AT465" s="35">
        <f t="shared" si="270"/>
        <v>0</v>
      </c>
      <c r="AU465" s="35">
        <f t="shared" si="271"/>
        <v>0</v>
      </c>
      <c r="AV465" s="35">
        <f t="shared" si="272"/>
        <v>0</v>
      </c>
      <c r="AW465" s="35">
        <f t="shared" si="273"/>
        <v>0</v>
      </c>
      <c r="AX465" s="35">
        <f t="shared" si="274"/>
        <v>0</v>
      </c>
      <c r="AY465" s="35">
        <f t="shared" si="275"/>
        <v>0</v>
      </c>
      <c r="AZ465" s="35">
        <f t="shared" si="276"/>
        <v>0</v>
      </c>
      <c r="BA465" s="35">
        <f t="shared" si="277"/>
        <v>0</v>
      </c>
      <c r="BB465" s="35">
        <f t="shared" si="278"/>
        <v>0</v>
      </c>
      <c r="BC465" s="35">
        <f t="shared" si="279"/>
        <v>0</v>
      </c>
    </row>
    <row r="466" spans="1:55" s="35" customFormat="1" x14ac:dyDescent="0.35">
      <c r="A466" s="36">
        <v>41821</v>
      </c>
      <c r="B466" s="90" t="s">
        <v>942</v>
      </c>
      <c r="C466" s="35" t="s">
        <v>45</v>
      </c>
      <c r="D466" s="35" t="s">
        <v>5</v>
      </c>
      <c r="E466" s="35" t="s">
        <v>64</v>
      </c>
      <c r="F466" s="139">
        <f t="shared" si="252"/>
        <v>1</v>
      </c>
      <c r="G466" s="35">
        <v>37200000</v>
      </c>
      <c r="H466" s="139">
        <f t="shared" si="253"/>
        <v>7.5705429398818973</v>
      </c>
      <c r="I466" s="35">
        <f t="shared" si="286"/>
        <v>37200000</v>
      </c>
      <c r="J466" s="35">
        <v>0</v>
      </c>
      <c r="K466" s="36">
        <v>43031</v>
      </c>
      <c r="L466" s="35">
        <v>125000000</v>
      </c>
      <c r="M466" s="21">
        <f t="shared" si="254"/>
        <v>3.3150684931506849</v>
      </c>
      <c r="N466" s="21">
        <f t="shared" si="280"/>
        <v>0.52049250585997542</v>
      </c>
      <c r="O466" s="35">
        <v>6188.89</v>
      </c>
      <c r="P466" s="35">
        <f t="shared" si="255"/>
        <v>3.7916829312790057</v>
      </c>
      <c r="Q466" s="35">
        <v>8</v>
      </c>
      <c r="R466" s="35">
        <f t="shared" si="256"/>
        <v>0.95424250943932487</v>
      </c>
      <c r="S466" s="45">
        <v>2.72</v>
      </c>
      <c r="T466" s="45">
        <f t="shared" si="281"/>
        <v>0.43456890403419873</v>
      </c>
      <c r="U466" s="175">
        <f t="shared" si="257"/>
        <v>2.360215053763441</v>
      </c>
      <c r="V466" s="48">
        <f t="shared" si="258"/>
        <v>0.52636707312615894</v>
      </c>
      <c r="W466" s="35">
        <v>7345.0955681579517</v>
      </c>
      <c r="X466" s="35">
        <f t="shared" si="259"/>
        <v>3.8659974508347341</v>
      </c>
      <c r="Y466" s="35">
        <v>6765.3854232304138</v>
      </c>
      <c r="Z466" s="35">
        <f t="shared" si="260"/>
        <v>3.8302925433451809</v>
      </c>
      <c r="AA466" s="37">
        <v>1084.33</v>
      </c>
      <c r="AB466" s="37">
        <f t="shared" si="261"/>
        <v>3.0355618076671913</v>
      </c>
      <c r="AC466" s="35">
        <v>89.2</v>
      </c>
      <c r="AD466" s="35">
        <f t="shared" si="282"/>
        <v>1.9503648543761232</v>
      </c>
      <c r="AE466" s="48">
        <v>26</v>
      </c>
      <c r="AF466" s="48">
        <f t="shared" si="283"/>
        <v>1.414973347970818</v>
      </c>
      <c r="AG466" s="43">
        <v>38.344872802923099</v>
      </c>
      <c r="AH466" s="43">
        <f t="shared" si="284"/>
        <v>1.5837073014724459</v>
      </c>
      <c r="AI466" s="39">
        <v>0.56999999999999995</v>
      </c>
      <c r="AJ466" s="48">
        <f t="shared" si="262"/>
        <v>0.19589965240923368</v>
      </c>
      <c r="AK466" s="35">
        <v>26</v>
      </c>
      <c r="AL466" s="35">
        <f t="shared" si="285"/>
        <v>1.414973347970818</v>
      </c>
      <c r="AM466" s="35">
        <f t="shared" si="263"/>
        <v>0</v>
      </c>
      <c r="AN466" s="35">
        <f t="shared" si="264"/>
        <v>1</v>
      </c>
      <c r="AO466" s="35">
        <f t="shared" si="265"/>
        <v>0</v>
      </c>
      <c r="AP466" s="35">
        <f t="shared" si="266"/>
        <v>0</v>
      </c>
      <c r="AQ466" s="35">
        <f t="shared" si="267"/>
        <v>0</v>
      </c>
      <c r="AR466" s="35">
        <f t="shared" si="268"/>
        <v>0</v>
      </c>
      <c r="AS466" s="35">
        <f t="shared" si="269"/>
        <v>0</v>
      </c>
      <c r="AT466" s="35">
        <f t="shared" si="270"/>
        <v>0</v>
      </c>
      <c r="AU466" s="35">
        <f t="shared" si="271"/>
        <v>0</v>
      </c>
      <c r="AV466" s="35">
        <f t="shared" si="272"/>
        <v>0</v>
      </c>
      <c r="AW466" s="35">
        <f t="shared" si="273"/>
        <v>0</v>
      </c>
      <c r="AX466" s="35">
        <f t="shared" si="274"/>
        <v>0</v>
      </c>
      <c r="AY466" s="35">
        <f t="shared" si="275"/>
        <v>0</v>
      </c>
      <c r="AZ466" s="35">
        <f t="shared" si="276"/>
        <v>0</v>
      </c>
      <c r="BA466" s="35">
        <f t="shared" si="277"/>
        <v>0</v>
      </c>
      <c r="BB466" s="35">
        <f t="shared" si="278"/>
        <v>0</v>
      </c>
      <c r="BC466" s="35">
        <f t="shared" si="279"/>
        <v>0</v>
      </c>
    </row>
    <row r="467" spans="1:55" s="35" customFormat="1" x14ac:dyDescent="0.35">
      <c r="A467" s="36">
        <v>41834</v>
      </c>
      <c r="B467" s="35" t="s">
        <v>802</v>
      </c>
      <c r="C467" s="35" t="s">
        <v>45</v>
      </c>
      <c r="D467" s="35" t="s">
        <v>45</v>
      </c>
      <c r="E467" s="35" t="s">
        <v>47</v>
      </c>
      <c r="F467" s="139">
        <f t="shared" si="252"/>
        <v>0</v>
      </c>
      <c r="G467" s="35">
        <v>310000000</v>
      </c>
      <c r="H467" s="139">
        <f t="shared" si="253"/>
        <v>8.4913616938342731</v>
      </c>
      <c r="I467" s="35">
        <f t="shared" si="286"/>
        <v>310000000</v>
      </c>
      <c r="J467" s="35">
        <v>0</v>
      </c>
      <c r="K467" s="36">
        <v>43367</v>
      </c>
      <c r="L467" s="35">
        <v>740000000</v>
      </c>
      <c r="M467" s="21">
        <f t="shared" si="254"/>
        <v>4.2</v>
      </c>
      <c r="N467" s="21">
        <f t="shared" si="280"/>
        <v>0.62324929039790045</v>
      </c>
      <c r="O467" s="35">
        <v>0</v>
      </c>
      <c r="P467" s="35">
        <f t="shared" si="255"/>
        <v>0</v>
      </c>
      <c r="Q467" s="35">
        <v>16</v>
      </c>
      <c r="R467" s="35">
        <f t="shared" si="256"/>
        <v>1.2304489213782739</v>
      </c>
      <c r="S467" s="45">
        <v>2.95</v>
      </c>
      <c r="T467" s="45">
        <f t="shared" si="281"/>
        <v>0.46982201597816303</v>
      </c>
      <c r="U467" s="175">
        <f t="shared" si="257"/>
        <v>1.3870967741935485</v>
      </c>
      <c r="V467" s="48">
        <f t="shared" si="258"/>
        <v>0.37787002589670354</v>
      </c>
      <c r="W467" s="35">
        <v>3287.5739644970417</v>
      </c>
      <c r="X467" s="35">
        <f t="shared" si="259"/>
        <v>3.5168755324519045</v>
      </c>
      <c r="Y467" s="35">
        <v>6440.2366863905318</v>
      </c>
      <c r="Z467" s="35">
        <f t="shared" si="260"/>
        <v>3.8089018284940463</v>
      </c>
      <c r="AA467" s="37">
        <v>0</v>
      </c>
      <c r="AB467" s="37">
        <f t="shared" si="261"/>
        <v>0</v>
      </c>
      <c r="AC467" s="35">
        <v>89.2</v>
      </c>
      <c r="AD467" s="35">
        <f t="shared" si="282"/>
        <v>1.9503648543761232</v>
      </c>
      <c r="AE467" s="48">
        <v>26</v>
      </c>
      <c r="AF467" s="48">
        <f t="shared" si="283"/>
        <v>1.414973347970818</v>
      </c>
      <c r="AG467" s="43">
        <v>38.344872802923099</v>
      </c>
      <c r="AH467" s="43">
        <f t="shared" si="284"/>
        <v>1.5837073014724459</v>
      </c>
      <c r="AI467" s="39">
        <v>0.28000000000000003</v>
      </c>
      <c r="AJ467" s="48">
        <f t="shared" si="262"/>
        <v>0.10720996964786837</v>
      </c>
      <c r="AK467" s="35">
        <v>45</v>
      </c>
      <c r="AL467" s="35">
        <f t="shared" si="285"/>
        <v>1.6532125137753437</v>
      </c>
      <c r="AM467" s="35">
        <f t="shared" si="263"/>
        <v>0</v>
      </c>
      <c r="AN467" s="35">
        <f t="shared" si="264"/>
        <v>1</v>
      </c>
      <c r="AO467" s="35">
        <f t="shared" si="265"/>
        <v>0</v>
      </c>
      <c r="AP467" s="35">
        <f t="shared" si="266"/>
        <v>0</v>
      </c>
      <c r="AQ467" s="35">
        <f t="shared" si="267"/>
        <v>0</v>
      </c>
      <c r="AR467" s="35">
        <f t="shared" si="268"/>
        <v>0</v>
      </c>
      <c r="AS467" s="35">
        <f t="shared" si="269"/>
        <v>0</v>
      </c>
      <c r="AT467" s="35">
        <f t="shared" si="270"/>
        <v>0</v>
      </c>
      <c r="AU467" s="35">
        <f t="shared" si="271"/>
        <v>0</v>
      </c>
      <c r="AV467" s="35">
        <f t="shared" si="272"/>
        <v>0</v>
      </c>
      <c r="AW467" s="35">
        <f t="shared" si="273"/>
        <v>0</v>
      </c>
      <c r="AX467" s="35">
        <f t="shared" si="274"/>
        <v>0</v>
      </c>
      <c r="AY467" s="35">
        <f t="shared" si="275"/>
        <v>0</v>
      </c>
      <c r="AZ467" s="35">
        <f t="shared" si="276"/>
        <v>0</v>
      </c>
      <c r="BA467" s="35">
        <f t="shared" si="277"/>
        <v>0</v>
      </c>
      <c r="BB467" s="35">
        <f t="shared" si="278"/>
        <v>0</v>
      </c>
      <c r="BC467" s="35">
        <f t="shared" si="279"/>
        <v>0</v>
      </c>
    </row>
    <row r="468" spans="1:55" s="35" customFormat="1" x14ac:dyDescent="0.35">
      <c r="A468" s="36">
        <v>41852</v>
      </c>
      <c r="B468" s="35" t="s">
        <v>1245</v>
      </c>
      <c r="C468" s="35" t="s">
        <v>45</v>
      </c>
      <c r="D468" s="35" t="s">
        <v>602</v>
      </c>
      <c r="E468" s="35" t="s">
        <v>47</v>
      </c>
      <c r="F468" s="139">
        <f t="shared" si="252"/>
        <v>0</v>
      </c>
      <c r="G468" s="35">
        <v>1500000000</v>
      </c>
      <c r="H468" s="139">
        <f t="shared" si="253"/>
        <v>9.1760912590556813</v>
      </c>
      <c r="I468" s="35">
        <f t="shared" si="286"/>
        <v>1500000000</v>
      </c>
      <c r="J468" s="35">
        <v>0</v>
      </c>
      <c r="K468" s="36">
        <v>43251</v>
      </c>
      <c r="L468" s="35">
        <v>2499110000</v>
      </c>
      <c r="M468" s="21">
        <f t="shared" si="254"/>
        <v>3.8328767123287673</v>
      </c>
      <c r="N468" s="21">
        <f t="shared" si="280"/>
        <v>0.58352485003535293</v>
      </c>
      <c r="O468" s="35">
        <v>0</v>
      </c>
      <c r="P468" s="35">
        <f t="shared" si="255"/>
        <v>0</v>
      </c>
      <c r="Q468" s="35">
        <v>50</v>
      </c>
      <c r="R468" s="35">
        <f t="shared" si="256"/>
        <v>1.7075701760979363</v>
      </c>
      <c r="S468" s="45">
        <v>2.95</v>
      </c>
      <c r="T468" s="45">
        <f t="shared" si="281"/>
        <v>0.46982201597816303</v>
      </c>
      <c r="U468" s="175">
        <f t="shared" si="257"/>
        <v>0.6660733333333333</v>
      </c>
      <c r="V468" s="48">
        <f t="shared" si="258"/>
        <v>0.22169411325389282</v>
      </c>
      <c r="W468" s="35">
        <v>1455.046</v>
      </c>
      <c r="X468" s="35">
        <f t="shared" si="259"/>
        <v>3.1628767233771686</v>
      </c>
      <c r="Y468" s="35">
        <v>4062.5129999999999</v>
      </c>
      <c r="Z468" s="35">
        <f t="shared" si="260"/>
        <v>3.6087947637270492</v>
      </c>
      <c r="AA468" s="35">
        <v>0</v>
      </c>
      <c r="AB468" s="37">
        <f t="shared" si="261"/>
        <v>0</v>
      </c>
      <c r="AC468" s="35">
        <v>89.2</v>
      </c>
      <c r="AD468" s="35">
        <f t="shared" si="282"/>
        <v>1.9503648543761232</v>
      </c>
      <c r="AE468" s="48">
        <v>26</v>
      </c>
      <c r="AF468" s="48">
        <f t="shared" si="283"/>
        <v>1.414973347970818</v>
      </c>
      <c r="AG468" s="43">
        <v>38.344872802923099</v>
      </c>
      <c r="AH468" s="43">
        <f t="shared" si="284"/>
        <v>1.5837073014724459</v>
      </c>
      <c r="AI468" s="39">
        <v>-0.01</v>
      </c>
      <c r="AJ468" s="48">
        <f t="shared" si="262"/>
        <v>-4.3648054024500883E-3</v>
      </c>
      <c r="AK468" s="35">
        <v>38</v>
      </c>
      <c r="AL468" s="35">
        <f t="shared" si="285"/>
        <v>1.5797835966168101</v>
      </c>
      <c r="AM468" s="35">
        <f t="shared" si="263"/>
        <v>0</v>
      </c>
      <c r="AN468" s="35">
        <f t="shared" si="264"/>
        <v>1</v>
      </c>
      <c r="AO468" s="35">
        <f t="shared" si="265"/>
        <v>0</v>
      </c>
      <c r="AP468" s="35">
        <f t="shared" si="266"/>
        <v>0</v>
      </c>
      <c r="AQ468" s="35">
        <f t="shared" si="267"/>
        <v>0</v>
      </c>
      <c r="AR468" s="35">
        <f t="shared" si="268"/>
        <v>0</v>
      </c>
      <c r="AS468" s="35">
        <f t="shared" si="269"/>
        <v>0</v>
      </c>
      <c r="AT468" s="35">
        <f t="shared" si="270"/>
        <v>0</v>
      </c>
      <c r="AU468" s="35">
        <f t="shared" si="271"/>
        <v>0</v>
      </c>
      <c r="AV468" s="35">
        <f t="shared" si="272"/>
        <v>0</v>
      </c>
      <c r="AW468" s="35">
        <f t="shared" si="273"/>
        <v>0</v>
      </c>
      <c r="AX468" s="35">
        <f t="shared" si="274"/>
        <v>0</v>
      </c>
      <c r="AY468" s="35">
        <f t="shared" si="275"/>
        <v>0</v>
      </c>
      <c r="AZ468" s="35">
        <f t="shared" si="276"/>
        <v>0</v>
      </c>
      <c r="BA468" s="35">
        <f t="shared" si="277"/>
        <v>0</v>
      </c>
      <c r="BB468" s="35">
        <f t="shared" si="278"/>
        <v>0</v>
      </c>
      <c r="BC468" s="35">
        <f t="shared" si="279"/>
        <v>0</v>
      </c>
    </row>
    <row r="469" spans="1:55" s="35" customFormat="1" ht="13.5" customHeight="1" x14ac:dyDescent="0.35">
      <c r="A469" s="36">
        <v>41855</v>
      </c>
      <c r="B469" s="35" t="s">
        <v>1007</v>
      </c>
      <c r="C469" s="35" t="s">
        <v>5</v>
      </c>
      <c r="D469" s="35" t="s">
        <v>45</v>
      </c>
      <c r="E469" s="35" t="s">
        <v>64</v>
      </c>
      <c r="F469" s="139">
        <f t="shared" si="252"/>
        <v>1</v>
      </c>
      <c r="G469" s="35">
        <v>1700000000</v>
      </c>
      <c r="H469" s="139">
        <f t="shared" si="253"/>
        <v>9.2304489213782741</v>
      </c>
      <c r="I469" s="35">
        <f t="shared" si="286"/>
        <v>1700000000</v>
      </c>
      <c r="J469" s="35">
        <v>0</v>
      </c>
      <c r="K469" s="36">
        <v>42828</v>
      </c>
      <c r="L469" s="35">
        <v>2300000000</v>
      </c>
      <c r="M469" s="21">
        <f t="shared" si="254"/>
        <v>2.6657534246575341</v>
      </c>
      <c r="N469" s="21">
        <f t="shared" si="280"/>
        <v>0.42581997581187719</v>
      </c>
      <c r="O469" s="35">
        <v>6188.89</v>
      </c>
      <c r="P469" s="35">
        <f t="shared" si="255"/>
        <v>3.7916829312790057</v>
      </c>
      <c r="Q469" s="35">
        <v>0</v>
      </c>
      <c r="R469" s="35">
        <f t="shared" si="256"/>
        <v>0</v>
      </c>
      <c r="S469" s="45">
        <v>2.72</v>
      </c>
      <c r="T469" s="45">
        <f t="shared" si="281"/>
        <v>0.43456890403419873</v>
      </c>
      <c r="U469" s="175">
        <f t="shared" si="257"/>
        <v>0.35294117647058831</v>
      </c>
      <c r="V469" s="48">
        <f t="shared" si="258"/>
        <v>0.13127891463931898</v>
      </c>
      <c r="W469" s="35">
        <v>2030.3304662743317</v>
      </c>
      <c r="X469" s="35">
        <f t="shared" si="259"/>
        <v>3.3075667315086759</v>
      </c>
      <c r="Y469" s="35">
        <v>6774.5586238116803</v>
      </c>
      <c r="Z469" s="35">
        <f t="shared" si="260"/>
        <v>3.8308810053047755</v>
      </c>
      <c r="AA469" s="37">
        <v>1084.3333333333301</v>
      </c>
      <c r="AB469" s="37">
        <f t="shared" si="261"/>
        <v>3.0355631414974997</v>
      </c>
      <c r="AC469" s="35">
        <v>89.7</v>
      </c>
      <c r="AD469" s="35">
        <f t="shared" si="282"/>
        <v>1.9527924430440922</v>
      </c>
      <c r="AE469" s="48">
        <v>37</v>
      </c>
      <c r="AF469" s="48">
        <f t="shared" si="283"/>
        <v>1.568201724066995</v>
      </c>
      <c r="AG469" s="43">
        <v>45.741556971826803</v>
      </c>
      <c r="AH469" s="43">
        <f t="shared" si="284"/>
        <v>1.660310943234538</v>
      </c>
      <c r="AI469" s="39">
        <v>-0.39</v>
      </c>
      <c r="AJ469" s="48">
        <f t="shared" si="262"/>
        <v>-0.21467016498923297</v>
      </c>
      <c r="AK469" s="35">
        <v>34</v>
      </c>
      <c r="AL469" s="35">
        <f t="shared" si="285"/>
        <v>1.5314789170422551</v>
      </c>
      <c r="AM469" s="35">
        <f t="shared" si="263"/>
        <v>0</v>
      </c>
      <c r="AN469" s="35">
        <f t="shared" si="264"/>
        <v>0</v>
      </c>
      <c r="AO469" s="35">
        <f t="shared" si="265"/>
        <v>0</v>
      </c>
      <c r="AP469" s="35">
        <f t="shared" si="266"/>
        <v>0</v>
      </c>
      <c r="AQ469" s="35">
        <f t="shared" si="267"/>
        <v>0</v>
      </c>
      <c r="AR469" s="35">
        <f t="shared" si="268"/>
        <v>0</v>
      </c>
      <c r="AS469" s="35">
        <f t="shared" si="269"/>
        <v>1</v>
      </c>
      <c r="AT469" s="35">
        <f t="shared" si="270"/>
        <v>0</v>
      </c>
      <c r="AU469" s="35">
        <f t="shared" si="271"/>
        <v>0</v>
      </c>
      <c r="AV469" s="35">
        <f t="shared" si="272"/>
        <v>0</v>
      </c>
      <c r="AW469" s="35">
        <f t="shared" si="273"/>
        <v>0</v>
      </c>
      <c r="AX469" s="35">
        <f t="shared" si="274"/>
        <v>0</v>
      </c>
      <c r="AY469" s="35">
        <f t="shared" si="275"/>
        <v>0</v>
      </c>
      <c r="AZ469" s="35">
        <f t="shared" si="276"/>
        <v>0</v>
      </c>
      <c r="BA469" s="35">
        <f t="shared" si="277"/>
        <v>0</v>
      </c>
      <c r="BB469" s="35">
        <f t="shared" si="278"/>
        <v>0</v>
      </c>
      <c r="BC469" s="35">
        <f t="shared" si="279"/>
        <v>0</v>
      </c>
    </row>
    <row r="470" spans="1:55" s="35" customFormat="1" x14ac:dyDescent="0.35">
      <c r="A470" s="36">
        <v>41862</v>
      </c>
      <c r="B470" s="35" t="s">
        <v>661</v>
      </c>
      <c r="C470" s="35" t="s">
        <v>163</v>
      </c>
      <c r="D470" s="35" t="s">
        <v>602</v>
      </c>
      <c r="E470" s="35" t="s">
        <v>64</v>
      </c>
      <c r="F470" s="139">
        <f t="shared" si="252"/>
        <v>1</v>
      </c>
      <c r="G470" s="35">
        <v>440000000</v>
      </c>
      <c r="H470" s="139">
        <f t="shared" si="253"/>
        <v>8.6434526764861879</v>
      </c>
      <c r="I470" s="35">
        <f t="shared" si="286"/>
        <v>440000000</v>
      </c>
      <c r="J470" s="35">
        <v>0</v>
      </c>
      <c r="K470" s="36">
        <v>43041</v>
      </c>
      <c r="L470" s="35">
        <v>1688400000</v>
      </c>
      <c r="M470" s="21">
        <f t="shared" si="254"/>
        <v>3.2301369863013698</v>
      </c>
      <c r="N470" s="21">
        <f t="shared" si="280"/>
        <v>0.50922094063861445</v>
      </c>
      <c r="O470" s="35">
        <v>6164.6</v>
      </c>
      <c r="P470" s="35">
        <f t="shared" si="255"/>
        <v>3.7899753459779522</v>
      </c>
      <c r="Q470" s="35">
        <v>25</v>
      </c>
      <c r="R470" s="35">
        <f t="shared" si="256"/>
        <v>1.414973347970818</v>
      </c>
      <c r="S470" s="45">
        <v>3.18</v>
      </c>
      <c r="T470" s="45">
        <f t="shared" si="281"/>
        <v>0.50242711998443268</v>
      </c>
      <c r="U470" s="175">
        <f t="shared" si="257"/>
        <v>2.8372727272727274</v>
      </c>
      <c r="V470" s="48">
        <f t="shared" si="258"/>
        <v>0.5840226669961831</v>
      </c>
      <c r="W470" s="35">
        <v>2315.9650000000001</v>
      </c>
      <c r="X470" s="35">
        <f t="shared" si="259"/>
        <v>3.3647319918335836</v>
      </c>
      <c r="Y470" s="35">
        <v>3703.9029999999998</v>
      </c>
      <c r="Z470" s="35">
        <f t="shared" si="260"/>
        <v>3.568659604598353</v>
      </c>
      <c r="AA470" s="37">
        <v>583.83333333333303</v>
      </c>
      <c r="AB470" s="37">
        <f t="shared" si="261"/>
        <v>2.7670321178317625</v>
      </c>
      <c r="AC470" s="35">
        <v>79.900000000000006</v>
      </c>
      <c r="AD470" s="35">
        <f t="shared" si="282"/>
        <v>1.9025467793139914</v>
      </c>
      <c r="AE470" s="48">
        <v>45.4</v>
      </c>
      <c r="AF470" s="48">
        <f t="shared" si="283"/>
        <v>1.657055852857104</v>
      </c>
      <c r="AG470" s="43">
        <v>57.213602417008403</v>
      </c>
      <c r="AH470" s="43">
        <f t="shared" si="284"/>
        <v>1.7574992936942306</v>
      </c>
      <c r="AI470" s="39">
        <v>0.22</v>
      </c>
      <c r="AJ470" s="48">
        <f t="shared" si="262"/>
        <v>8.6359830674748214E-2</v>
      </c>
      <c r="AK470" s="35">
        <v>18</v>
      </c>
      <c r="AL470" s="35">
        <f t="shared" si="285"/>
        <v>1.255272505103306</v>
      </c>
      <c r="AM470" s="35">
        <f t="shared" si="263"/>
        <v>0</v>
      </c>
      <c r="AN470" s="35">
        <f t="shared" si="264"/>
        <v>0</v>
      </c>
      <c r="AO470" s="35">
        <f t="shared" si="265"/>
        <v>0</v>
      </c>
      <c r="AP470" s="35">
        <f t="shared" si="266"/>
        <v>0</v>
      </c>
      <c r="AQ470" s="35">
        <f t="shared" si="267"/>
        <v>0</v>
      </c>
      <c r="AR470" s="35">
        <f t="shared" si="268"/>
        <v>0</v>
      </c>
      <c r="AS470" s="35">
        <f t="shared" si="269"/>
        <v>0</v>
      </c>
      <c r="AT470" s="35">
        <f t="shared" si="270"/>
        <v>1</v>
      </c>
      <c r="AU470" s="35">
        <f t="shared" si="271"/>
        <v>0</v>
      </c>
      <c r="AV470" s="35">
        <f t="shared" si="272"/>
        <v>0</v>
      </c>
      <c r="AW470" s="35">
        <f t="shared" si="273"/>
        <v>0</v>
      </c>
      <c r="AX470" s="35">
        <f t="shared" si="274"/>
        <v>0</v>
      </c>
      <c r="AY470" s="35">
        <f t="shared" si="275"/>
        <v>0</v>
      </c>
      <c r="AZ470" s="35">
        <f t="shared" si="276"/>
        <v>0</v>
      </c>
      <c r="BA470" s="35">
        <f t="shared" si="277"/>
        <v>0</v>
      </c>
      <c r="BB470" s="35">
        <f t="shared" si="278"/>
        <v>0</v>
      </c>
      <c r="BC470" s="35">
        <f t="shared" si="279"/>
        <v>0</v>
      </c>
    </row>
    <row r="471" spans="1:55" s="35" customFormat="1" x14ac:dyDescent="0.35">
      <c r="A471" s="36">
        <v>41913</v>
      </c>
      <c r="B471" s="35" t="s">
        <v>670</v>
      </c>
      <c r="C471" s="35" t="s">
        <v>45</v>
      </c>
      <c r="D471" s="35" t="s">
        <v>163</v>
      </c>
      <c r="E471" s="35" t="s">
        <v>64</v>
      </c>
      <c r="F471" s="139">
        <f t="shared" si="252"/>
        <v>1</v>
      </c>
      <c r="G471" s="35">
        <v>900000000</v>
      </c>
      <c r="H471" s="139">
        <f t="shared" si="253"/>
        <v>8.9542425094393252</v>
      </c>
      <c r="I471" s="35">
        <f t="shared" si="286"/>
        <v>900000000</v>
      </c>
      <c r="J471" s="35">
        <v>0</v>
      </c>
      <c r="K471" s="36">
        <v>42340</v>
      </c>
      <c r="L471" s="35">
        <v>1000000000</v>
      </c>
      <c r="M471" s="21">
        <f t="shared" si="254"/>
        <v>1.1698630136986301</v>
      </c>
      <c r="N471" s="21">
        <f t="shared" si="280"/>
        <v>6.8135010568549148E-2</v>
      </c>
      <c r="O471" s="35">
        <v>6164.6</v>
      </c>
      <c r="P471" s="35">
        <f t="shared" si="255"/>
        <v>3.7899753459779522</v>
      </c>
      <c r="Q471" s="35">
        <v>24</v>
      </c>
      <c r="R471" s="35">
        <f t="shared" si="256"/>
        <v>1.3979400086720377</v>
      </c>
      <c r="S471" s="45">
        <v>3.18</v>
      </c>
      <c r="T471" s="45">
        <f t="shared" si="281"/>
        <v>0.50242711998443268</v>
      </c>
      <c r="U471" s="175">
        <f t="shared" si="257"/>
        <v>0.11111111111111116</v>
      </c>
      <c r="V471" s="48">
        <f t="shared" si="258"/>
        <v>4.5757490560675143E-2</v>
      </c>
      <c r="W471" s="35">
        <v>1682.1639898562976</v>
      </c>
      <c r="X471" s="35">
        <f t="shared" si="259"/>
        <v>3.2258683317817765</v>
      </c>
      <c r="Y471" s="35">
        <v>9152.2762951334389</v>
      </c>
      <c r="Z471" s="35">
        <f t="shared" si="260"/>
        <v>3.9615291224236637</v>
      </c>
      <c r="AA471" s="37">
        <v>583.83333333333303</v>
      </c>
      <c r="AB471" s="37">
        <f t="shared" si="261"/>
        <v>2.7670321178317625</v>
      </c>
      <c r="AC471" s="35">
        <v>89.2</v>
      </c>
      <c r="AD471" s="35">
        <f t="shared" si="282"/>
        <v>1.9503648543761232</v>
      </c>
      <c r="AE471" s="48">
        <v>26</v>
      </c>
      <c r="AF471" s="48">
        <f t="shared" si="283"/>
        <v>1.414973347970818</v>
      </c>
      <c r="AG471" s="43">
        <v>38.344872802923099</v>
      </c>
      <c r="AH471" s="43">
        <f t="shared" si="284"/>
        <v>1.5837073014724459</v>
      </c>
      <c r="AI471" s="39">
        <v>0.86</v>
      </c>
      <c r="AJ471" s="48">
        <f t="shared" si="262"/>
        <v>0.26951294421791627</v>
      </c>
      <c r="AK471" s="35">
        <v>21</v>
      </c>
      <c r="AL471" s="35">
        <f t="shared" si="285"/>
        <v>1.3222192947339193</v>
      </c>
      <c r="AM471" s="35">
        <f t="shared" si="263"/>
        <v>0</v>
      </c>
      <c r="AN471" s="35">
        <f t="shared" si="264"/>
        <v>1</v>
      </c>
      <c r="AO471" s="35">
        <f t="shared" si="265"/>
        <v>0</v>
      </c>
      <c r="AP471" s="35">
        <f t="shared" si="266"/>
        <v>0</v>
      </c>
      <c r="AQ471" s="35">
        <f t="shared" si="267"/>
        <v>0</v>
      </c>
      <c r="AR471" s="35">
        <f t="shared" si="268"/>
        <v>0</v>
      </c>
      <c r="AS471" s="35">
        <f t="shared" si="269"/>
        <v>0</v>
      </c>
      <c r="AT471" s="35">
        <f t="shared" si="270"/>
        <v>0</v>
      </c>
      <c r="AU471" s="35">
        <f t="shared" si="271"/>
        <v>0</v>
      </c>
      <c r="AV471" s="35">
        <f t="shared" si="272"/>
        <v>0</v>
      </c>
      <c r="AW471" s="35">
        <f t="shared" si="273"/>
        <v>0</v>
      </c>
      <c r="AX471" s="35">
        <f t="shared" si="274"/>
        <v>0</v>
      </c>
      <c r="AY471" s="35">
        <f t="shared" si="275"/>
        <v>0</v>
      </c>
      <c r="AZ471" s="35">
        <f t="shared" si="276"/>
        <v>0</v>
      </c>
      <c r="BA471" s="35">
        <f t="shared" si="277"/>
        <v>0</v>
      </c>
      <c r="BB471" s="35">
        <f t="shared" si="278"/>
        <v>0</v>
      </c>
      <c r="BC471" s="35">
        <f t="shared" si="279"/>
        <v>0</v>
      </c>
    </row>
    <row r="472" spans="1:55" s="35" customFormat="1" x14ac:dyDescent="0.35">
      <c r="A472" s="36">
        <v>41939</v>
      </c>
      <c r="B472" s="90" t="s">
        <v>781</v>
      </c>
      <c r="C472" s="35" t="s">
        <v>59</v>
      </c>
      <c r="D472" s="35" t="s">
        <v>59</v>
      </c>
      <c r="E472" s="35" t="s">
        <v>47</v>
      </c>
      <c r="F472" s="139">
        <f t="shared" si="252"/>
        <v>0</v>
      </c>
      <c r="G472" s="35">
        <v>100000000</v>
      </c>
      <c r="H472" s="139">
        <f t="shared" si="253"/>
        <v>8</v>
      </c>
      <c r="I472" s="35">
        <f t="shared" si="286"/>
        <v>100000000</v>
      </c>
      <c r="J472" s="35">
        <v>0</v>
      </c>
      <c r="K472" s="36">
        <v>43255</v>
      </c>
      <c r="L472" s="35">
        <v>200000000</v>
      </c>
      <c r="M472" s="21">
        <f t="shared" si="254"/>
        <v>3.6054794520547944</v>
      </c>
      <c r="N472" s="21">
        <f t="shared" si="280"/>
        <v>0.55696302482146198</v>
      </c>
      <c r="O472" s="35">
        <v>0</v>
      </c>
      <c r="P472" s="35">
        <f t="shared" si="255"/>
        <v>0</v>
      </c>
      <c r="Q472" s="35">
        <v>20</v>
      </c>
      <c r="R472" s="35">
        <f t="shared" si="256"/>
        <v>1.3222192947339193</v>
      </c>
      <c r="S472" s="45">
        <v>3.29</v>
      </c>
      <c r="T472" s="45">
        <f t="shared" si="281"/>
        <v>0.51719589794997434</v>
      </c>
      <c r="U472" s="175">
        <f t="shared" si="257"/>
        <v>1</v>
      </c>
      <c r="V472" s="48">
        <f t="shared" si="258"/>
        <v>0.3010299956639812</v>
      </c>
      <c r="W472" s="35">
        <v>2094.0408163265306</v>
      </c>
      <c r="X472" s="35">
        <f t="shared" si="259"/>
        <v>3.3209851425446502</v>
      </c>
      <c r="Y472" s="35">
        <v>9886.3673469387759</v>
      </c>
      <c r="Z472" s="35">
        <f t="shared" si="260"/>
        <v>3.9950367434689285</v>
      </c>
      <c r="AA472" s="37">
        <v>0</v>
      </c>
      <c r="AB472" s="37">
        <f t="shared" si="261"/>
        <v>0</v>
      </c>
      <c r="AC472" s="35">
        <v>92</v>
      </c>
      <c r="AD472" s="35">
        <f t="shared" si="282"/>
        <v>1.9637878273455553</v>
      </c>
      <c r="AE472" s="48">
        <v>31.8</v>
      </c>
      <c r="AF472" s="48">
        <f t="shared" si="283"/>
        <v>1.5024271199844328</v>
      </c>
      <c r="AG472" s="43">
        <v>43.012424801889097</v>
      </c>
      <c r="AH472" s="43">
        <f t="shared" si="284"/>
        <v>1.6335939263577708</v>
      </c>
      <c r="AI472" s="39">
        <v>-0.09</v>
      </c>
      <c r="AJ472" s="48">
        <f t="shared" si="262"/>
        <v>-4.0958607678906384E-2</v>
      </c>
      <c r="AK472" s="35">
        <v>13</v>
      </c>
      <c r="AL472" s="35">
        <f t="shared" si="285"/>
        <v>1.1139433523068367</v>
      </c>
      <c r="AM472" s="35">
        <f t="shared" si="263"/>
        <v>0</v>
      </c>
      <c r="AN472" s="35">
        <f t="shared" si="264"/>
        <v>0</v>
      </c>
      <c r="AO472" s="35">
        <f t="shared" si="265"/>
        <v>1</v>
      </c>
      <c r="AP472" s="35">
        <f t="shared" si="266"/>
        <v>0</v>
      </c>
      <c r="AQ472" s="35">
        <f t="shared" si="267"/>
        <v>0</v>
      </c>
      <c r="AR472" s="35">
        <f t="shared" si="268"/>
        <v>0</v>
      </c>
      <c r="AS472" s="35">
        <f t="shared" si="269"/>
        <v>0</v>
      </c>
      <c r="AT472" s="35">
        <f t="shared" si="270"/>
        <v>0</v>
      </c>
      <c r="AU472" s="35">
        <f t="shared" si="271"/>
        <v>0</v>
      </c>
      <c r="AV472" s="35">
        <f t="shared" si="272"/>
        <v>0</v>
      </c>
      <c r="AW472" s="35">
        <f t="shared" si="273"/>
        <v>0</v>
      </c>
      <c r="AX472" s="35">
        <f t="shared" si="274"/>
        <v>0</v>
      </c>
      <c r="AY472" s="35">
        <f t="shared" si="275"/>
        <v>0</v>
      </c>
      <c r="AZ472" s="35">
        <f t="shared" si="276"/>
        <v>0</v>
      </c>
      <c r="BA472" s="35">
        <f t="shared" si="277"/>
        <v>0</v>
      </c>
      <c r="BB472" s="35">
        <f t="shared" si="278"/>
        <v>0</v>
      </c>
      <c r="BC472" s="35">
        <f t="shared" si="279"/>
        <v>0</v>
      </c>
    </row>
    <row r="473" spans="1:55" s="35" customFormat="1" x14ac:dyDescent="0.35">
      <c r="A473" s="36">
        <v>41974</v>
      </c>
      <c r="B473" s="35" t="s">
        <v>768</v>
      </c>
      <c r="C473" s="35" t="s">
        <v>4</v>
      </c>
      <c r="D473" s="35" t="s">
        <v>4</v>
      </c>
      <c r="E473" s="35" t="s">
        <v>47</v>
      </c>
      <c r="F473" s="139">
        <f t="shared" si="252"/>
        <v>0</v>
      </c>
      <c r="G473" s="35">
        <v>243540000</v>
      </c>
      <c r="H473" s="139">
        <f t="shared" si="253"/>
        <v>8.3865703017009299</v>
      </c>
      <c r="I473" s="35">
        <f t="shared" si="286"/>
        <v>243540000</v>
      </c>
      <c r="J473" s="35">
        <v>0</v>
      </c>
      <c r="K473" s="36">
        <v>43053</v>
      </c>
      <c r="L473" s="35">
        <v>1500000000</v>
      </c>
      <c r="M473" s="21">
        <f t="shared" si="254"/>
        <v>2.956164383561644</v>
      </c>
      <c r="N473" s="21">
        <f t="shared" si="280"/>
        <v>0.47072858022643599</v>
      </c>
      <c r="O473" s="35">
        <v>0</v>
      </c>
      <c r="P473" s="35">
        <f t="shared" si="255"/>
        <v>0</v>
      </c>
      <c r="Q473" s="35">
        <v>31</v>
      </c>
      <c r="R473" s="35">
        <f t="shared" si="256"/>
        <v>1.505149978319906</v>
      </c>
      <c r="S473" s="45">
        <v>3.59</v>
      </c>
      <c r="T473" s="45">
        <f t="shared" si="281"/>
        <v>0.55509444857831913</v>
      </c>
      <c r="U473" s="175">
        <f t="shared" si="257"/>
        <v>5.1591525006159156</v>
      </c>
      <c r="V473" s="48">
        <f t="shared" si="258"/>
        <v>0.78952095735475225</v>
      </c>
      <c r="W473" s="35">
        <v>1630.2786555587475</v>
      </c>
      <c r="X473" s="35">
        <f t="shared" si="259"/>
        <v>3.212261842580872</v>
      </c>
      <c r="Y473" s="35">
        <v>8569.3766159149673</v>
      </c>
      <c r="Z473" s="35">
        <f t="shared" si="260"/>
        <v>3.9329492300777744</v>
      </c>
      <c r="AA473" s="37">
        <v>0</v>
      </c>
      <c r="AB473" s="37">
        <f t="shared" si="261"/>
        <v>0</v>
      </c>
      <c r="AC473" s="35">
        <v>91.1</v>
      </c>
      <c r="AD473" s="35">
        <f t="shared" si="282"/>
        <v>1.9595183769729982</v>
      </c>
      <c r="AE473" s="48">
        <v>42.6</v>
      </c>
      <c r="AF473" s="48">
        <f t="shared" si="283"/>
        <v>1.6294095991027189</v>
      </c>
      <c r="AG473" s="43">
        <v>51.076866471704001</v>
      </c>
      <c r="AH473" s="43">
        <f t="shared" si="284"/>
        <v>1.7082242457606944</v>
      </c>
      <c r="AI473" s="39">
        <v>7.0000000000000007E-2</v>
      </c>
      <c r="AJ473" s="48">
        <f t="shared" si="262"/>
        <v>2.9383777685209667E-2</v>
      </c>
      <c r="AK473" s="35">
        <v>14</v>
      </c>
      <c r="AL473" s="35">
        <f t="shared" si="285"/>
        <v>1.146128035678238</v>
      </c>
      <c r="AM473" s="35">
        <f t="shared" si="263"/>
        <v>0</v>
      </c>
      <c r="AN473" s="35">
        <f t="shared" si="264"/>
        <v>0</v>
      </c>
      <c r="AO473" s="35">
        <f t="shared" si="265"/>
        <v>0</v>
      </c>
      <c r="AP473" s="35">
        <f t="shared" si="266"/>
        <v>0</v>
      </c>
      <c r="AQ473" s="35">
        <f t="shared" si="267"/>
        <v>0</v>
      </c>
      <c r="AR473" s="35">
        <f t="shared" si="268"/>
        <v>1</v>
      </c>
      <c r="AS473" s="35">
        <f t="shared" si="269"/>
        <v>0</v>
      </c>
      <c r="AT473" s="35">
        <f t="shared" si="270"/>
        <v>0</v>
      </c>
      <c r="AU473" s="35">
        <f t="shared" si="271"/>
        <v>0</v>
      </c>
      <c r="AV473" s="35">
        <f t="shared" si="272"/>
        <v>0</v>
      </c>
      <c r="AW473" s="35">
        <f t="shared" si="273"/>
        <v>0</v>
      </c>
      <c r="AX473" s="35">
        <f t="shared" si="274"/>
        <v>0</v>
      </c>
      <c r="AY473" s="35">
        <f t="shared" si="275"/>
        <v>0</v>
      </c>
      <c r="AZ473" s="35">
        <f t="shared" si="276"/>
        <v>0</v>
      </c>
      <c r="BA473" s="35">
        <f t="shared" si="277"/>
        <v>0</v>
      </c>
      <c r="BB473" s="35">
        <f t="shared" si="278"/>
        <v>0</v>
      </c>
      <c r="BC473" s="35">
        <f t="shared" si="279"/>
        <v>0</v>
      </c>
    </row>
    <row r="474" spans="1:55" s="35" customFormat="1" x14ac:dyDescent="0.35">
      <c r="A474" s="36">
        <v>41988</v>
      </c>
      <c r="B474" s="35" t="s">
        <v>826</v>
      </c>
      <c r="C474" s="35" t="s">
        <v>45</v>
      </c>
      <c r="D474" s="35" t="s">
        <v>489</v>
      </c>
      <c r="E474" s="35" t="s">
        <v>64</v>
      </c>
      <c r="F474" s="139">
        <f t="shared" si="252"/>
        <v>1</v>
      </c>
      <c r="G474" s="35">
        <v>1500000000</v>
      </c>
      <c r="H474" s="139">
        <f t="shared" si="253"/>
        <v>9.1760912590556813</v>
      </c>
      <c r="I474" s="35">
        <f t="shared" si="286"/>
        <v>1500000000</v>
      </c>
      <c r="J474" s="35">
        <v>0</v>
      </c>
      <c r="K474" s="36">
        <v>43270</v>
      </c>
      <c r="L474" s="35">
        <v>2159640000</v>
      </c>
      <c r="M474" s="21">
        <f t="shared" si="254"/>
        <v>3.5123287671232877</v>
      </c>
      <c r="N474" s="21">
        <f t="shared" si="280"/>
        <v>0.54559516072632386</v>
      </c>
      <c r="O474" s="35">
        <v>6651.37</v>
      </c>
      <c r="P474" s="35">
        <f t="shared" si="255"/>
        <v>3.8229763963637051</v>
      </c>
      <c r="Q474" s="35">
        <v>40</v>
      </c>
      <c r="R474" s="35">
        <f t="shared" si="256"/>
        <v>1.6127838567197355</v>
      </c>
      <c r="S474" s="45">
        <v>3.03</v>
      </c>
      <c r="T474" s="45">
        <f t="shared" si="281"/>
        <v>0.48144262850230496</v>
      </c>
      <c r="U474" s="175">
        <f t="shared" si="257"/>
        <v>0.43975999999999993</v>
      </c>
      <c r="V474" s="48">
        <f t="shared" si="258"/>
        <v>0.15829010364906099</v>
      </c>
      <c r="W474" s="35">
        <v>1423.0371900826444</v>
      </c>
      <c r="X474" s="35">
        <f t="shared" si="259"/>
        <v>3.1532162502154288</v>
      </c>
      <c r="Y474" s="35">
        <v>3292.8719008264461</v>
      </c>
      <c r="Z474" s="35">
        <f t="shared" si="260"/>
        <v>3.5175748361336181</v>
      </c>
      <c r="AA474" s="37">
        <v>513.5</v>
      </c>
      <c r="AB474" s="37">
        <f t="shared" si="261"/>
        <v>2.7113853790984517</v>
      </c>
      <c r="AC474" s="35">
        <v>89.2</v>
      </c>
      <c r="AD474" s="35">
        <f t="shared" si="282"/>
        <v>1.9503648543761232</v>
      </c>
      <c r="AE474" s="48">
        <v>26</v>
      </c>
      <c r="AF474" s="48">
        <f t="shared" si="283"/>
        <v>1.414973347970818</v>
      </c>
      <c r="AG474" s="43">
        <v>38.344872802923099</v>
      </c>
      <c r="AH474" s="43">
        <f t="shared" si="284"/>
        <v>1.5837073014724459</v>
      </c>
      <c r="AI474" s="39">
        <v>0.03</v>
      </c>
      <c r="AJ474" s="48">
        <f t="shared" si="262"/>
        <v>1.2837224705172217E-2</v>
      </c>
      <c r="AK474" s="35">
        <v>15</v>
      </c>
      <c r="AL474" s="35">
        <f t="shared" si="285"/>
        <v>1.1760912590556813</v>
      </c>
      <c r="AM474" s="35">
        <f t="shared" si="263"/>
        <v>0</v>
      </c>
      <c r="AN474" s="35">
        <f t="shared" si="264"/>
        <v>1</v>
      </c>
      <c r="AO474" s="35">
        <f t="shared" si="265"/>
        <v>0</v>
      </c>
      <c r="AP474" s="35">
        <f t="shared" si="266"/>
        <v>0</v>
      </c>
      <c r="AQ474" s="35">
        <f t="shared" si="267"/>
        <v>0</v>
      </c>
      <c r="AR474" s="35">
        <f t="shared" si="268"/>
        <v>0</v>
      </c>
      <c r="AS474" s="35">
        <f t="shared" si="269"/>
        <v>0</v>
      </c>
      <c r="AT474" s="35">
        <f t="shared" si="270"/>
        <v>0</v>
      </c>
      <c r="AU474" s="35">
        <f t="shared" si="271"/>
        <v>0</v>
      </c>
      <c r="AV474" s="35">
        <f t="shared" si="272"/>
        <v>0</v>
      </c>
      <c r="AW474" s="35">
        <f t="shared" si="273"/>
        <v>0</v>
      </c>
      <c r="AX474" s="35">
        <f t="shared" si="274"/>
        <v>0</v>
      </c>
      <c r="AY474" s="35">
        <f t="shared" si="275"/>
        <v>0</v>
      </c>
      <c r="AZ474" s="35">
        <f t="shared" si="276"/>
        <v>0</v>
      </c>
      <c r="BA474" s="35">
        <f t="shared" si="277"/>
        <v>0</v>
      </c>
      <c r="BB474" s="35">
        <f t="shared" si="278"/>
        <v>0</v>
      </c>
      <c r="BC474" s="35">
        <f t="shared" si="279"/>
        <v>0</v>
      </c>
    </row>
    <row r="475" spans="1:55" s="35" customFormat="1" x14ac:dyDescent="0.35">
      <c r="A475" s="36">
        <v>41996</v>
      </c>
      <c r="B475" s="90" t="s">
        <v>793</v>
      </c>
      <c r="C475" s="35" t="s">
        <v>59</v>
      </c>
      <c r="D475" s="35" t="s">
        <v>59</v>
      </c>
      <c r="E475" s="35" t="s">
        <v>47</v>
      </c>
      <c r="F475" s="139">
        <f t="shared" si="252"/>
        <v>0</v>
      </c>
      <c r="G475" s="35">
        <v>130000000</v>
      </c>
      <c r="H475" s="139">
        <f t="shared" si="253"/>
        <v>8.1139433523068369</v>
      </c>
      <c r="I475" s="35">
        <f t="shared" si="286"/>
        <v>130000000</v>
      </c>
      <c r="J475" s="35">
        <v>0</v>
      </c>
      <c r="K475" s="36">
        <v>43083</v>
      </c>
      <c r="L475" s="35">
        <v>250000000</v>
      </c>
      <c r="M475" s="21">
        <f t="shared" si="254"/>
        <v>2.978082191780822</v>
      </c>
      <c r="N475" s="21">
        <f t="shared" si="280"/>
        <v>0.47393667962981983</v>
      </c>
      <c r="O475" s="35">
        <v>0</v>
      </c>
      <c r="P475" s="35">
        <f t="shared" si="255"/>
        <v>0</v>
      </c>
      <c r="Q475" s="35">
        <v>30</v>
      </c>
      <c r="R475" s="35">
        <f t="shared" si="256"/>
        <v>1.4913616938342726</v>
      </c>
      <c r="S475" s="45">
        <v>3.29</v>
      </c>
      <c r="T475" s="45">
        <f t="shared" si="281"/>
        <v>0.51719589794997434</v>
      </c>
      <c r="U475" s="175">
        <f t="shared" si="257"/>
        <v>0.92307692307692313</v>
      </c>
      <c r="V475" s="48">
        <f t="shared" si="258"/>
        <v>0.28399665636520083</v>
      </c>
      <c r="W475" s="35">
        <v>3072.916666666667</v>
      </c>
      <c r="X475" s="35">
        <f t="shared" si="259"/>
        <v>3.4875507829385946</v>
      </c>
      <c r="Y475" s="35">
        <v>10000</v>
      </c>
      <c r="Z475" s="35">
        <f t="shared" si="260"/>
        <v>4</v>
      </c>
      <c r="AA475" s="37">
        <v>0</v>
      </c>
      <c r="AB475" s="37">
        <f t="shared" si="261"/>
        <v>0</v>
      </c>
      <c r="AC475" s="35">
        <v>92</v>
      </c>
      <c r="AD475" s="35">
        <f t="shared" si="282"/>
        <v>1.9637878273455553</v>
      </c>
      <c r="AE475" s="48">
        <v>31.8</v>
      </c>
      <c r="AF475" s="48">
        <f t="shared" si="283"/>
        <v>1.5024271199844328</v>
      </c>
      <c r="AG475" s="43">
        <v>43.012424801889097</v>
      </c>
      <c r="AH475" s="43">
        <f t="shared" si="284"/>
        <v>1.6335939263577708</v>
      </c>
      <c r="AI475" s="39">
        <v>0.12</v>
      </c>
      <c r="AJ475" s="48">
        <f t="shared" si="262"/>
        <v>4.9218022670181653E-2</v>
      </c>
      <c r="AK475" s="35">
        <v>17</v>
      </c>
      <c r="AL475" s="35">
        <f t="shared" si="285"/>
        <v>1.2304489213782739</v>
      </c>
      <c r="AM475" s="35">
        <f t="shared" si="263"/>
        <v>0</v>
      </c>
      <c r="AN475" s="35">
        <f t="shared" si="264"/>
        <v>0</v>
      </c>
      <c r="AO475" s="35">
        <f t="shared" si="265"/>
        <v>1</v>
      </c>
      <c r="AP475" s="35">
        <f t="shared" si="266"/>
        <v>0</v>
      </c>
      <c r="AQ475" s="35">
        <f t="shared" si="267"/>
        <v>0</v>
      </c>
      <c r="AR475" s="35">
        <f t="shared" si="268"/>
        <v>0</v>
      </c>
      <c r="AS475" s="35">
        <f t="shared" si="269"/>
        <v>0</v>
      </c>
      <c r="AT475" s="35">
        <f t="shared" si="270"/>
        <v>0</v>
      </c>
      <c r="AU475" s="35">
        <f t="shared" si="271"/>
        <v>0</v>
      </c>
      <c r="AV475" s="35">
        <f t="shared" si="272"/>
        <v>0</v>
      </c>
      <c r="AW475" s="35">
        <f t="shared" si="273"/>
        <v>0</v>
      </c>
      <c r="AX475" s="35">
        <f t="shared" si="274"/>
        <v>0</v>
      </c>
      <c r="AY475" s="35">
        <f t="shared" si="275"/>
        <v>0</v>
      </c>
      <c r="AZ475" s="35">
        <f t="shared" si="276"/>
        <v>0</v>
      </c>
      <c r="BA475" s="35">
        <f t="shared" si="277"/>
        <v>0</v>
      </c>
      <c r="BB475" s="35">
        <f t="shared" si="278"/>
        <v>0</v>
      </c>
      <c r="BC475" s="35">
        <f t="shared" si="279"/>
        <v>0</v>
      </c>
    </row>
    <row r="476" spans="1:55" s="35" customFormat="1" x14ac:dyDescent="0.35">
      <c r="A476" s="36">
        <v>42048</v>
      </c>
      <c r="B476" s="35" t="s">
        <v>772</v>
      </c>
      <c r="C476" s="35" t="s">
        <v>419</v>
      </c>
      <c r="D476" s="35" t="s">
        <v>59</v>
      </c>
      <c r="E476" s="35" t="s">
        <v>64</v>
      </c>
      <c r="F476" s="139">
        <f t="shared" si="252"/>
        <v>1</v>
      </c>
      <c r="G476" s="35">
        <v>700000000</v>
      </c>
      <c r="H476" s="139">
        <f t="shared" si="253"/>
        <v>8.8450980400142569</v>
      </c>
      <c r="I476" s="35">
        <f t="shared" si="286"/>
        <v>700000000</v>
      </c>
      <c r="J476" s="35">
        <v>0</v>
      </c>
      <c r="K476" s="36">
        <v>43136</v>
      </c>
      <c r="L476" s="35">
        <v>900000000</v>
      </c>
      <c r="M476" s="21">
        <f t="shared" si="254"/>
        <v>2.9808219178082194</v>
      </c>
      <c r="N476" s="21">
        <f t="shared" si="280"/>
        <v>0.47433603090568643</v>
      </c>
      <c r="O476" s="35">
        <v>1821.34</v>
      </c>
      <c r="P476" s="35">
        <f t="shared" si="255"/>
        <v>3.2606294079543621</v>
      </c>
      <c r="Q476" s="35">
        <v>77</v>
      </c>
      <c r="R476" s="35">
        <f t="shared" si="256"/>
        <v>1.8920946026904804</v>
      </c>
      <c r="S476" s="45">
        <v>3.18</v>
      </c>
      <c r="T476" s="45">
        <f t="shared" si="281"/>
        <v>0.50242711998443268</v>
      </c>
      <c r="U476" s="175">
        <f t="shared" si="257"/>
        <v>0.28571428571428581</v>
      </c>
      <c r="V476" s="48">
        <f t="shared" si="258"/>
        <v>0.10914446942506807</v>
      </c>
      <c r="W476" s="35">
        <v>1669.0315179326171</v>
      </c>
      <c r="X476" s="35">
        <f t="shared" si="259"/>
        <v>3.22246453795844</v>
      </c>
      <c r="Y476" s="35">
        <v>5094.7953145755328</v>
      </c>
      <c r="Z476" s="35">
        <f t="shared" si="260"/>
        <v>3.7071267407396937</v>
      </c>
      <c r="AA476" s="37">
        <v>528.16666666666697</v>
      </c>
      <c r="AB476" s="37">
        <f t="shared" si="261"/>
        <v>2.7235924792443509</v>
      </c>
      <c r="AC476" s="35">
        <v>92.6</v>
      </c>
      <c r="AD476" s="35">
        <f t="shared" si="282"/>
        <v>1.9666109866819343</v>
      </c>
      <c r="AE476" s="48">
        <v>43.9</v>
      </c>
      <c r="AF476" s="48">
        <f t="shared" si="283"/>
        <v>1.6424645202421213</v>
      </c>
      <c r="AG476" s="43">
        <v>57.041609510745303</v>
      </c>
      <c r="AH476" s="43">
        <f t="shared" si="284"/>
        <v>1.7561917712577904</v>
      </c>
      <c r="AI476" s="39">
        <v>0.11</v>
      </c>
      <c r="AJ476" s="48">
        <f t="shared" si="262"/>
        <v>4.5322978786657475E-2</v>
      </c>
      <c r="AK476" s="35">
        <v>17</v>
      </c>
      <c r="AL476" s="35">
        <f t="shared" si="285"/>
        <v>1.2304489213782739</v>
      </c>
      <c r="AM476" s="35">
        <f t="shared" si="263"/>
        <v>0</v>
      </c>
      <c r="AN476" s="35">
        <f t="shared" si="264"/>
        <v>0</v>
      </c>
      <c r="AO476" s="35">
        <f t="shared" si="265"/>
        <v>0</v>
      </c>
      <c r="AP476" s="35">
        <f t="shared" si="266"/>
        <v>0</v>
      </c>
      <c r="AQ476" s="35">
        <f t="shared" si="267"/>
        <v>0</v>
      </c>
      <c r="AR476" s="35">
        <f t="shared" si="268"/>
        <v>0</v>
      </c>
      <c r="AS476" s="35">
        <f t="shared" si="269"/>
        <v>0</v>
      </c>
      <c r="AT476" s="35">
        <f t="shared" si="270"/>
        <v>0</v>
      </c>
      <c r="AU476" s="35">
        <f t="shared" si="271"/>
        <v>0</v>
      </c>
      <c r="AV476" s="35">
        <f t="shared" si="272"/>
        <v>0</v>
      </c>
      <c r="AW476" s="35">
        <f t="shared" si="273"/>
        <v>0</v>
      </c>
      <c r="AX476" s="35">
        <f t="shared" si="274"/>
        <v>0</v>
      </c>
      <c r="AY476" s="35">
        <f t="shared" si="275"/>
        <v>0</v>
      </c>
      <c r="AZ476" s="35">
        <f t="shared" si="276"/>
        <v>0</v>
      </c>
      <c r="BA476" s="35">
        <f t="shared" si="277"/>
        <v>0</v>
      </c>
      <c r="BB476" s="35">
        <f t="shared" si="278"/>
        <v>0</v>
      </c>
      <c r="BC476" s="35">
        <f t="shared" si="279"/>
        <v>1</v>
      </c>
    </row>
    <row r="477" spans="1:55" s="35" customFormat="1" x14ac:dyDescent="0.35">
      <c r="A477" s="36">
        <v>42091</v>
      </c>
      <c r="B477" s="35" t="s">
        <v>285</v>
      </c>
      <c r="C477" s="35" t="s">
        <v>59</v>
      </c>
      <c r="D477" s="35" t="s">
        <v>4</v>
      </c>
      <c r="E477" s="35" t="s">
        <v>125</v>
      </c>
      <c r="F477" s="139">
        <f t="shared" si="252"/>
        <v>1</v>
      </c>
      <c r="G477" s="35">
        <v>850000000</v>
      </c>
      <c r="H477" s="139">
        <f t="shared" si="253"/>
        <v>8.9294189257142929</v>
      </c>
      <c r="I477" s="35">
        <v>850000000</v>
      </c>
      <c r="J477" s="35">
        <v>0</v>
      </c>
      <c r="K477" s="36">
        <v>43257</v>
      </c>
      <c r="L477" s="35">
        <v>1500000000</v>
      </c>
      <c r="M477" s="21">
        <f t="shared" si="254"/>
        <v>3.1945205479452055</v>
      </c>
      <c r="N477" s="21">
        <f t="shared" si="280"/>
        <v>0.50440568596652058</v>
      </c>
      <c r="O477" s="35">
        <v>1433.25</v>
      </c>
      <c r="P477" s="35">
        <f t="shared" si="255"/>
        <v>3.1566248585544785</v>
      </c>
      <c r="Q477" s="35">
        <v>7</v>
      </c>
      <c r="R477" s="35">
        <f t="shared" si="256"/>
        <v>0.90308998699194354</v>
      </c>
      <c r="S477" s="45">
        <v>3.43</v>
      </c>
      <c r="T477" s="45">
        <f t="shared" si="281"/>
        <v>0.53529412004277055</v>
      </c>
      <c r="U477" s="175">
        <f t="shared" si="257"/>
        <v>0.76470588235294112</v>
      </c>
      <c r="V477" s="48">
        <f t="shared" si="258"/>
        <v>0.24667233334138849</v>
      </c>
      <c r="W477" s="35">
        <v>1450.8446376578247</v>
      </c>
      <c r="X477" s="35">
        <f t="shared" si="259"/>
        <v>3.1616209089088487</v>
      </c>
      <c r="Y477" s="35">
        <v>6306.1358665754287</v>
      </c>
      <c r="Z477" s="35">
        <f t="shared" si="260"/>
        <v>3.7997633234477775</v>
      </c>
      <c r="AA477" s="37">
        <v>697</v>
      </c>
      <c r="AB477" s="37">
        <f t="shared" si="261"/>
        <v>2.8438554226231609</v>
      </c>
      <c r="AC477" s="35">
        <v>91.1</v>
      </c>
      <c r="AD477" s="35">
        <f t="shared" si="282"/>
        <v>1.9595183769729982</v>
      </c>
      <c r="AE477" s="48">
        <v>32.200000000000003</v>
      </c>
      <c r="AF477" s="48">
        <f t="shared" si="283"/>
        <v>1.507855871695831</v>
      </c>
      <c r="AG477" s="43">
        <v>42.1993112284324</v>
      </c>
      <c r="AH477" s="43">
        <f t="shared" si="284"/>
        <v>1.6253053625225207</v>
      </c>
      <c r="AI477" s="39">
        <v>-0.08</v>
      </c>
      <c r="AJ477" s="48">
        <f t="shared" si="262"/>
        <v>-3.6212172654444715E-2</v>
      </c>
      <c r="AK477" s="35">
        <v>18</v>
      </c>
      <c r="AL477" s="35">
        <f t="shared" si="285"/>
        <v>1.255272505103306</v>
      </c>
      <c r="AM477" s="35">
        <f t="shared" si="263"/>
        <v>0</v>
      </c>
      <c r="AN477" s="35">
        <f t="shared" si="264"/>
        <v>0</v>
      </c>
      <c r="AO477" s="35">
        <f t="shared" si="265"/>
        <v>1</v>
      </c>
      <c r="AP477" s="35">
        <f t="shared" si="266"/>
        <v>0</v>
      </c>
      <c r="AQ477" s="35">
        <f t="shared" si="267"/>
        <v>0</v>
      </c>
      <c r="AR477" s="35">
        <f t="shared" si="268"/>
        <v>0</v>
      </c>
      <c r="AS477" s="35">
        <f t="shared" si="269"/>
        <v>0</v>
      </c>
      <c r="AT477" s="35">
        <f t="shared" si="270"/>
        <v>0</v>
      </c>
      <c r="AU477" s="35">
        <f t="shared" si="271"/>
        <v>0</v>
      </c>
      <c r="AV477" s="35">
        <f t="shared" si="272"/>
        <v>0</v>
      </c>
      <c r="AW477" s="35">
        <f t="shared" si="273"/>
        <v>0</v>
      </c>
      <c r="AX477" s="35">
        <f t="shared" si="274"/>
        <v>0</v>
      </c>
      <c r="AY477" s="35">
        <f t="shared" si="275"/>
        <v>0</v>
      </c>
      <c r="AZ477" s="35">
        <f t="shared" si="276"/>
        <v>0</v>
      </c>
      <c r="BA477" s="35">
        <f t="shared" si="277"/>
        <v>0</v>
      </c>
      <c r="BB477" s="35">
        <f t="shared" si="278"/>
        <v>0</v>
      </c>
      <c r="BC477" s="35">
        <f t="shared" si="279"/>
        <v>0</v>
      </c>
    </row>
    <row r="478" spans="1:55" s="35" customFormat="1" x14ac:dyDescent="0.35">
      <c r="A478" s="36">
        <v>42124</v>
      </c>
      <c r="B478" s="35" t="s">
        <v>1143</v>
      </c>
      <c r="C478" s="35" t="s">
        <v>5</v>
      </c>
      <c r="D478" s="35" t="s">
        <v>577</v>
      </c>
      <c r="E478" s="35" t="s">
        <v>47</v>
      </c>
      <c r="F478" s="139">
        <f t="shared" si="252"/>
        <v>0</v>
      </c>
      <c r="G478" s="35">
        <v>730000000</v>
      </c>
      <c r="H478" s="139">
        <f t="shared" si="253"/>
        <v>8.8633228601204568</v>
      </c>
      <c r="I478" s="35">
        <f>G478</f>
        <v>730000000</v>
      </c>
      <c r="J478" s="35">
        <v>0</v>
      </c>
      <c r="K478" s="36">
        <v>43522</v>
      </c>
      <c r="L478" s="35">
        <v>1500000000</v>
      </c>
      <c r="M478" s="21">
        <f t="shared" si="254"/>
        <v>3.8301369863013699</v>
      </c>
      <c r="N478" s="21">
        <f t="shared" si="280"/>
        <v>0.58321430695318788</v>
      </c>
      <c r="O478" s="35">
        <v>357.29</v>
      </c>
      <c r="P478" s="35">
        <f t="shared" si="255"/>
        <v>2.5542346870234227</v>
      </c>
      <c r="Q478" s="35">
        <v>31</v>
      </c>
      <c r="R478" s="35">
        <f t="shared" si="256"/>
        <v>1.505149978319906</v>
      </c>
      <c r="S478" s="45">
        <v>3.16</v>
      </c>
      <c r="T478" s="45">
        <f t="shared" si="281"/>
        <v>0.49968708261840383</v>
      </c>
      <c r="U478" s="175">
        <f t="shared" si="257"/>
        <v>1.0547945205479454</v>
      </c>
      <c r="V478" s="48">
        <f t="shared" si="258"/>
        <v>0.3127683989352254</v>
      </c>
      <c r="W478" s="35">
        <v>1789.9821258839918</v>
      </c>
      <c r="X478" s="35">
        <f t="shared" si="259"/>
        <v>3.2528486942934638</v>
      </c>
      <c r="Y478" s="35">
        <v>4076.4342633054562</v>
      </c>
      <c r="Z478" s="35">
        <f t="shared" si="260"/>
        <v>3.6102804432713853</v>
      </c>
      <c r="AA478" s="35">
        <v>971</v>
      </c>
      <c r="AB478" s="37">
        <f t="shared" si="261"/>
        <v>2.9876662649262746</v>
      </c>
      <c r="AC478" s="35">
        <v>84.3</v>
      </c>
      <c r="AD478" s="35">
        <f t="shared" si="282"/>
        <v>1.9258275746247424</v>
      </c>
      <c r="AE478" s="48">
        <v>37</v>
      </c>
      <c r="AF478" s="48">
        <f t="shared" si="283"/>
        <v>1.568201724066995</v>
      </c>
      <c r="AG478" s="43">
        <v>44.611946528156203</v>
      </c>
      <c r="AH478" s="43">
        <f t="shared" si="284"/>
        <v>1.6494511729836956</v>
      </c>
      <c r="AI478" s="39">
        <v>0.08</v>
      </c>
      <c r="AJ478" s="48">
        <f t="shared" si="262"/>
        <v>3.342375548694973E-2</v>
      </c>
      <c r="AK478" s="35">
        <v>18</v>
      </c>
      <c r="AL478" s="35">
        <f t="shared" si="285"/>
        <v>1.255272505103306</v>
      </c>
      <c r="AM478" s="35">
        <f t="shared" si="263"/>
        <v>0</v>
      </c>
      <c r="AN478" s="35">
        <f t="shared" si="264"/>
        <v>0</v>
      </c>
      <c r="AO478" s="35">
        <f t="shared" si="265"/>
        <v>0</v>
      </c>
      <c r="AP478" s="35">
        <f t="shared" si="266"/>
        <v>0</v>
      </c>
      <c r="AQ478" s="35">
        <f t="shared" si="267"/>
        <v>0</v>
      </c>
      <c r="AR478" s="35">
        <f t="shared" si="268"/>
        <v>0</v>
      </c>
      <c r="AS478" s="35">
        <f t="shared" si="269"/>
        <v>1</v>
      </c>
      <c r="AT478" s="35">
        <f t="shared" si="270"/>
        <v>0</v>
      </c>
      <c r="AU478" s="35">
        <f t="shared" si="271"/>
        <v>0</v>
      </c>
      <c r="AV478" s="35">
        <f t="shared" si="272"/>
        <v>0</v>
      </c>
      <c r="AW478" s="35">
        <f t="shared" si="273"/>
        <v>0</v>
      </c>
      <c r="AX478" s="35">
        <f t="shared" si="274"/>
        <v>0</v>
      </c>
      <c r="AY478" s="35">
        <f t="shared" si="275"/>
        <v>0</v>
      </c>
      <c r="AZ478" s="35">
        <f t="shared" si="276"/>
        <v>0</v>
      </c>
      <c r="BA478" s="35">
        <f t="shared" si="277"/>
        <v>0</v>
      </c>
      <c r="BB478" s="35">
        <f t="shared" si="278"/>
        <v>0</v>
      </c>
      <c r="BC478" s="35">
        <f t="shared" si="279"/>
        <v>0</v>
      </c>
    </row>
    <row r="479" spans="1:55" s="35" customFormat="1" x14ac:dyDescent="0.35">
      <c r="A479" s="36">
        <v>42136</v>
      </c>
      <c r="B479" s="35" t="s">
        <v>396</v>
      </c>
      <c r="C479" s="35" t="s">
        <v>5</v>
      </c>
      <c r="D479" s="35" t="s">
        <v>45</v>
      </c>
      <c r="E479" s="35" t="s">
        <v>125</v>
      </c>
      <c r="F479" s="139">
        <f t="shared" si="252"/>
        <v>1</v>
      </c>
      <c r="G479" s="35">
        <v>500000000</v>
      </c>
      <c r="H479" s="139">
        <f t="shared" si="253"/>
        <v>8.6989700043360187</v>
      </c>
      <c r="I479" s="35">
        <v>500000000</v>
      </c>
      <c r="J479" s="35">
        <v>0</v>
      </c>
      <c r="K479" s="36">
        <v>43255</v>
      </c>
      <c r="L479" s="35">
        <v>100000000</v>
      </c>
      <c r="M479" s="21">
        <f t="shared" si="254"/>
        <v>3.0657534246575344</v>
      </c>
      <c r="N479" s="21">
        <f t="shared" si="280"/>
        <v>0.48653722207187539</v>
      </c>
      <c r="O479" s="35">
        <v>6188.89</v>
      </c>
      <c r="P479" s="35">
        <f t="shared" si="255"/>
        <v>3.7916829312790057</v>
      </c>
      <c r="Q479" s="35">
        <v>51</v>
      </c>
      <c r="R479" s="35">
        <f t="shared" si="256"/>
        <v>1.7160033436347992</v>
      </c>
      <c r="S479" s="45">
        <v>2.72</v>
      </c>
      <c r="T479" s="45">
        <f t="shared" si="281"/>
        <v>0.43456890403419873</v>
      </c>
      <c r="U479" s="175">
        <f t="shared" si="257"/>
        <v>-0.8</v>
      </c>
      <c r="V479" s="48">
        <f t="shared" si="258"/>
        <v>-0.69897000433601886</v>
      </c>
      <c r="W479" s="35">
        <v>1248.0746999999999</v>
      </c>
      <c r="X479" s="35">
        <f t="shared" si="259"/>
        <v>3.0962405795987471</v>
      </c>
      <c r="Y479" s="35">
        <v>2518.2170000000001</v>
      </c>
      <c r="Z479" s="35">
        <f t="shared" si="260"/>
        <v>3.4010931514437841</v>
      </c>
      <c r="AA479" s="37">
        <v>1084.3333333333301</v>
      </c>
      <c r="AB479" s="37">
        <f t="shared" si="261"/>
        <v>3.0355631414974997</v>
      </c>
      <c r="AC479" s="35">
        <v>84.3</v>
      </c>
      <c r="AD479" s="35">
        <f t="shared" si="282"/>
        <v>1.9258275746247424</v>
      </c>
      <c r="AE479" s="48">
        <v>37</v>
      </c>
      <c r="AF479" s="48">
        <f t="shared" si="283"/>
        <v>1.568201724066995</v>
      </c>
      <c r="AG479" s="43">
        <v>44.611946528156203</v>
      </c>
      <c r="AH479" s="43">
        <f t="shared" si="284"/>
        <v>1.6494511729836956</v>
      </c>
      <c r="AI479" s="39">
        <v>0.05</v>
      </c>
      <c r="AJ479" s="48">
        <f t="shared" si="262"/>
        <v>2.1189299069938092E-2</v>
      </c>
      <c r="AK479" s="35">
        <v>0</v>
      </c>
      <c r="AL479" s="35">
        <f t="shared" si="285"/>
        <v>0</v>
      </c>
      <c r="AM479" s="35">
        <f t="shared" si="263"/>
        <v>0</v>
      </c>
      <c r="AN479" s="35">
        <f t="shared" si="264"/>
        <v>0</v>
      </c>
      <c r="AO479" s="35">
        <f t="shared" si="265"/>
        <v>0</v>
      </c>
      <c r="AP479" s="35">
        <f t="shared" si="266"/>
        <v>0</v>
      </c>
      <c r="AQ479" s="35">
        <f t="shared" si="267"/>
        <v>0</v>
      </c>
      <c r="AR479" s="35">
        <f t="shared" si="268"/>
        <v>0</v>
      </c>
      <c r="AS479" s="35">
        <f t="shared" si="269"/>
        <v>1</v>
      </c>
      <c r="AT479" s="35">
        <f t="shared" si="270"/>
        <v>0</v>
      </c>
      <c r="AU479" s="35">
        <f t="shared" si="271"/>
        <v>0</v>
      </c>
      <c r="AV479" s="35">
        <f t="shared" si="272"/>
        <v>0</v>
      </c>
      <c r="AW479" s="35">
        <f t="shared" si="273"/>
        <v>0</v>
      </c>
      <c r="AX479" s="35">
        <f t="shared" si="274"/>
        <v>0</v>
      </c>
      <c r="AY479" s="35">
        <f t="shared" si="275"/>
        <v>0</v>
      </c>
      <c r="AZ479" s="35">
        <f t="shared" si="276"/>
        <v>0</v>
      </c>
      <c r="BA479" s="35">
        <f t="shared" si="277"/>
        <v>0</v>
      </c>
      <c r="BB479" s="35">
        <f t="shared" si="278"/>
        <v>0</v>
      </c>
      <c r="BC479" s="35">
        <f t="shared" si="279"/>
        <v>0</v>
      </c>
    </row>
    <row r="480" spans="1:55" s="35" customFormat="1" x14ac:dyDescent="0.35">
      <c r="A480" s="36">
        <v>42147</v>
      </c>
      <c r="B480" s="35" t="s">
        <v>800</v>
      </c>
      <c r="C480" s="35" t="s">
        <v>45</v>
      </c>
      <c r="D480" s="35" t="s">
        <v>45</v>
      </c>
      <c r="E480" s="35" t="s">
        <v>47</v>
      </c>
      <c r="F480" s="139">
        <f t="shared" si="252"/>
        <v>0</v>
      </c>
      <c r="G480" s="35">
        <v>400000000</v>
      </c>
      <c r="H480" s="139">
        <f t="shared" si="253"/>
        <v>8.6020599913279625</v>
      </c>
      <c r="I480" s="35">
        <f>G480</f>
        <v>400000000</v>
      </c>
      <c r="J480" s="35">
        <v>0</v>
      </c>
      <c r="K480" s="36">
        <v>42802</v>
      </c>
      <c r="L480" s="35">
        <v>162900000</v>
      </c>
      <c r="M480" s="21">
        <f t="shared" si="254"/>
        <v>1.7945205479452055</v>
      </c>
      <c r="N480" s="21">
        <f t="shared" si="280"/>
        <v>0.25394843553530838</v>
      </c>
      <c r="O480" s="35">
        <v>0</v>
      </c>
      <c r="P480" s="35">
        <f t="shared" si="255"/>
        <v>0</v>
      </c>
      <c r="Q480" s="35">
        <v>56</v>
      </c>
      <c r="R480" s="35">
        <f t="shared" si="256"/>
        <v>1.7558748556724915</v>
      </c>
      <c r="S480" s="45">
        <v>2.95</v>
      </c>
      <c r="T480" s="45">
        <f t="shared" si="281"/>
        <v>0.46982201597816303</v>
      </c>
      <c r="U480" s="175">
        <f t="shared" si="257"/>
        <v>-0.59275</v>
      </c>
      <c r="V480" s="48">
        <f t="shared" si="258"/>
        <v>-0.39013890701945303</v>
      </c>
      <c r="W480" s="35">
        <v>1636.7346938775511</v>
      </c>
      <c r="X480" s="35">
        <f t="shared" si="259"/>
        <v>3.21397828825565</v>
      </c>
      <c r="Y480" s="35">
        <v>5016.3265306122448</v>
      </c>
      <c r="Z480" s="35">
        <f t="shared" si="260"/>
        <v>3.7003857985219217</v>
      </c>
      <c r="AA480" s="37">
        <v>0</v>
      </c>
      <c r="AB480" s="37">
        <f t="shared" si="261"/>
        <v>0</v>
      </c>
      <c r="AC480" s="35">
        <v>88.8</v>
      </c>
      <c r="AD480" s="35">
        <f t="shared" si="282"/>
        <v>1.9484129657786009</v>
      </c>
      <c r="AE480" s="48">
        <v>26.2</v>
      </c>
      <c r="AF480" s="48">
        <f t="shared" si="283"/>
        <v>1.4183012913197455</v>
      </c>
      <c r="AG480" s="43">
        <v>37.927180176051799</v>
      </c>
      <c r="AH480" s="43">
        <f t="shared" si="284"/>
        <v>1.578950554817099</v>
      </c>
      <c r="AI480" s="39">
        <v>0.03</v>
      </c>
      <c r="AJ480" s="48">
        <f t="shared" si="262"/>
        <v>1.2837224705172217E-2</v>
      </c>
      <c r="AK480" s="35">
        <v>1</v>
      </c>
      <c r="AL480" s="35">
        <f t="shared" si="285"/>
        <v>0</v>
      </c>
      <c r="AM480" s="35">
        <f t="shared" si="263"/>
        <v>0</v>
      </c>
      <c r="AN480" s="35">
        <f t="shared" si="264"/>
        <v>1</v>
      </c>
      <c r="AO480" s="35">
        <f t="shared" si="265"/>
        <v>0</v>
      </c>
      <c r="AP480" s="35">
        <f t="shared" si="266"/>
        <v>0</v>
      </c>
      <c r="AQ480" s="35">
        <f t="shared" si="267"/>
        <v>0</v>
      </c>
      <c r="AR480" s="35">
        <f t="shared" si="268"/>
        <v>0</v>
      </c>
      <c r="AS480" s="35">
        <f t="shared" si="269"/>
        <v>0</v>
      </c>
      <c r="AT480" s="35">
        <f t="shared" si="270"/>
        <v>0</v>
      </c>
      <c r="AU480" s="35">
        <f t="shared" si="271"/>
        <v>0</v>
      </c>
      <c r="AV480" s="35">
        <f t="shared" si="272"/>
        <v>0</v>
      </c>
      <c r="AW480" s="35">
        <f t="shared" si="273"/>
        <v>0</v>
      </c>
      <c r="AX480" s="35">
        <f t="shared" si="274"/>
        <v>0</v>
      </c>
      <c r="AY480" s="35">
        <f t="shared" si="275"/>
        <v>0</v>
      </c>
      <c r="AZ480" s="35">
        <f t="shared" si="276"/>
        <v>0</v>
      </c>
      <c r="BA480" s="35">
        <f t="shared" si="277"/>
        <v>0</v>
      </c>
      <c r="BB480" s="35">
        <f t="shared" si="278"/>
        <v>0</v>
      </c>
      <c r="BC480" s="35">
        <f t="shared" si="279"/>
        <v>0</v>
      </c>
    </row>
    <row r="481" spans="1:55" s="35" customFormat="1" x14ac:dyDescent="0.35">
      <c r="A481" s="36">
        <v>42275</v>
      </c>
      <c r="B481" s="35" t="s">
        <v>1190</v>
      </c>
      <c r="C481" s="35" t="s">
        <v>6</v>
      </c>
      <c r="D481" s="35" t="s">
        <v>602</v>
      </c>
      <c r="E481" s="35" t="s">
        <v>64</v>
      </c>
      <c r="F481" s="139">
        <f t="shared" si="252"/>
        <v>1</v>
      </c>
      <c r="G481" s="35">
        <v>27422566</v>
      </c>
      <c r="H481" s="139">
        <f t="shared" si="253"/>
        <v>7.4381080904060948</v>
      </c>
      <c r="I481" s="35">
        <f>G481</f>
        <v>27422566</v>
      </c>
      <c r="J481" s="35">
        <v>0</v>
      </c>
      <c r="K481" s="36">
        <v>43454</v>
      </c>
      <c r="L481" s="35">
        <v>186884740</v>
      </c>
      <c r="M481" s="21">
        <f t="shared" si="254"/>
        <v>3.2301369863013698</v>
      </c>
      <c r="N481" s="21">
        <f t="shared" si="280"/>
        <v>0.50922094063861445</v>
      </c>
      <c r="O481" s="35">
        <v>6216.38</v>
      </c>
      <c r="P481" s="35">
        <f t="shared" si="255"/>
        <v>3.7936074118204202</v>
      </c>
      <c r="Q481" s="35">
        <v>29</v>
      </c>
      <c r="R481" s="35">
        <f t="shared" si="256"/>
        <v>1.4771212547196624</v>
      </c>
      <c r="S481" s="45">
        <v>2.92</v>
      </c>
      <c r="T481" s="45">
        <f t="shared" si="281"/>
        <v>0.46538285144841829</v>
      </c>
      <c r="U481" s="175">
        <f t="shared" si="257"/>
        <v>5.8149982755078424</v>
      </c>
      <c r="V481" s="48">
        <f t="shared" si="258"/>
        <v>0.83346575027523784</v>
      </c>
      <c r="W481" s="35">
        <v>2446.450593263969</v>
      </c>
      <c r="X481" s="35">
        <f t="shared" si="259"/>
        <v>3.3885364494891754</v>
      </c>
      <c r="Y481" s="35">
        <v>6578.8244872547029</v>
      </c>
      <c r="Z481" s="35">
        <f t="shared" si="260"/>
        <v>3.818148300254375</v>
      </c>
      <c r="AA481" s="35">
        <v>544.83333333333303</v>
      </c>
      <c r="AB481" s="37">
        <f t="shared" si="261"/>
        <v>2.7370600539441581</v>
      </c>
      <c r="AC481" s="35">
        <v>90.7</v>
      </c>
      <c r="AD481" s="35">
        <f t="shared" si="282"/>
        <v>1.9576072870600953</v>
      </c>
      <c r="AE481" s="48">
        <v>44.8</v>
      </c>
      <c r="AF481" s="48">
        <f t="shared" si="283"/>
        <v>1.651278013998144</v>
      </c>
      <c r="AG481" s="43">
        <v>53.736888616883299</v>
      </c>
      <c r="AH481" s="43">
        <f t="shared" si="284"/>
        <v>1.7302725170350541</v>
      </c>
      <c r="AI481" s="39">
        <v>0.38</v>
      </c>
      <c r="AJ481" s="48">
        <f t="shared" si="262"/>
        <v>0.13987908640123647</v>
      </c>
      <c r="AK481" s="35">
        <v>13</v>
      </c>
      <c r="AL481" s="35">
        <f t="shared" si="285"/>
        <v>1.1139433523068367</v>
      </c>
      <c r="AM481" s="35">
        <f t="shared" si="263"/>
        <v>0</v>
      </c>
      <c r="AN481" s="35">
        <f t="shared" si="264"/>
        <v>0</v>
      </c>
      <c r="AO481" s="35">
        <f t="shared" si="265"/>
        <v>0</v>
      </c>
      <c r="AP481" s="35">
        <f t="shared" si="266"/>
        <v>0</v>
      </c>
      <c r="AQ481" s="35">
        <f t="shared" si="267"/>
        <v>0</v>
      </c>
      <c r="AR481" s="35">
        <f t="shared" si="268"/>
        <v>0</v>
      </c>
      <c r="AS481" s="35">
        <f t="shared" si="269"/>
        <v>0</v>
      </c>
      <c r="AT481" s="35">
        <f t="shared" si="270"/>
        <v>0</v>
      </c>
      <c r="AU481" s="35">
        <f t="shared" si="271"/>
        <v>1</v>
      </c>
      <c r="AV481" s="35">
        <f t="shared" si="272"/>
        <v>0</v>
      </c>
      <c r="AW481" s="35">
        <f t="shared" si="273"/>
        <v>0</v>
      </c>
      <c r="AX481" s="35">
        <f t="shared" si="274"/>
        <v>0</v>
      </c>
      <c r="AY481" s="35">
        <f t="shared" si="275"/>
        <v>0</v>
      </c>
      <c r="AZ481" s="35">
        <f t="shared" si="276"/>
        <v>0</v>
      </c>
      <c r="BA481" s="35">
        <f t="shared" si="277"/>
        <v>0</v>
      </c>
      <c r="BB481" s="35">
        <f t="shared" si="278"/>
        <v>0</v>
      </c>
      <c r="BC481" s="35">
        <f t="shared" si="279"/>
        <v>0</v>
      </c>
    </row>
    <row r="482" spans="1:55" s="35" customFormat="1" x14ac:dyDescent="0.35">
      <c r="A482" s="36">
        <v>42307</v>
      </c>
      <c r="B482" s="35" t="s">
        <v>283</v>
      </c>
      <c r="C482" s="35" t="s">
        <v>2</v>
      </c>
      <c r="D482" s="35" t="s">
        <v>4</v>
      </c>
      <c r="E482" s="35" t="s">
        <v>125</v>
      </c>
      <c r="F482" s="139">
        <f t="shared" si="252"/>
        <v>1</v>
      </c>
      <c r="G482" s="35">
        <v>417500000</v>
      </c>
      <c r="H482" s="139">
        <f t="shared" si="253"/>
        <v>8.6206564798196208</v>
      </c>
      <c r="I482" s="35">
        <v>417500000</v>
      </c>
      <c r="J482" s="35">
        <v>0</v>
      </c>
      <c r="K482" s="36">
        <v>38388</v>
      </c>
      <c r="L482" s="35">
        <v>800000000</v>
      </c>
      <c r="M482" s="21">
        <f t="shared" si="254"/>
        <v>10.736986301369862</v>
      </c>
      <c r="N482" s="21">
        <f t="shared" si="280"/>
        <v>1.0308823990216278</v>
      </c>
      <c r="O482" s="35">
        <v>1314.22</v>
      </c>
      <c r="P482" s="35">
        <f t="shared" si="255"/>
        <v>3.1189984043805832</v>
      </c>
      <c r="Q482" s="35">
        <v>18</v>
      </c>
      <c r="R482" s="35">
        <f t="shared" si="256"/>
        <v>1.2787536009528289</v>
      </c>
      <c r="S482" s="45">
        <v>3.13</v>
      </c>
      <c r="T482" s="45">
        <f t="shared" si="281"/>
        <v>0.49554433754644844</v>
      </c>
      <c r="U482" s="175">
        <f t="shared" si="257"/>
        <v>0.91616766467065869</v>
      </c>
      <c r="V482" s="48">
        <f t="shared" si="258"/>
        <v>0.28243350717232268</v>
      </c>
      <c r="W482" s="35">
        <v>1450.8446376578247</v>
      </c>
      <c r="X482" s="35">
        <f t="shared" si="259"/>
        <v>3.1616209089088487</v>
      </c>
      <c r="Y482" s="35">
        <v>6306.1358665754287</v>
      </c>
      <c r="Z482" s="35">
        <f t="shared" si="260"/>
        <v>3.7997633234477775</v>
      </c>
      <c r="AA482" s="37">
        <v>1177</v>
      </c>
      <c r="AB482" s="37">
        <f t="shared" si="261"/>
        <v>3.0711452904510828</v>
      </c>
      <c r="AC482" s="35">
        <v>88.2</v>
      </c>
      <c r="AD482" s="35">
        <f t="shared" si="282"/>
        <v>1.9454685851318196</v>
      </c>
      <c r="AE482" s="48">
        <v>37</v>
      </c>
      <c r="AF482" s="48">
        <f t="shared" si="283"/>
        <v>1.568201724066995</v>
      </c>
      <c r="AG482" s="43">
        <v>43.709255262622698</v>
      </c>
      <c r="AH482" s="43">
        <f t="shared" si="284"/>
        <v>1.6405734068536693</v>
      </c>
      <c r="AI482" s="39">
        <v>0.31</v>
      </c>
      <c r="AJ482" s="48">
        <f t="shared" si="262"/>
        <v>0.11727129565576427</v>
      </c>
      <c r="AK482" s="35">
        <v>13</v>
      </c>
      <c r="AL482" s="35">
        <f t="shared" si="285"/>
        <v>1.1139433523068367</v>
      </c>
      <c r="AM482" s="35">
        <f t="shared" si="263"/>
        <v>0</v>
      </c>
      <c r="AN482" s="35">
        <f t="shared" si="264"/>
        <v>0</v>
      </c>
      <c r="AO482" s="35">
        <f t="shared" si="265"/>
        <v>0</v>
      </c>
      <c r="AP482" s="35">
        <f t="shared" si="266"/>
        <v>0</v>
      </c>
      <c r="AQ482" s="35">
        <f t="shared" si="267"/>
        <v>0</v>
      </c>
      <c r="AR482" s="35">
        <f t="shared" si="268"/>
        <v>0</v>
      </c>
      <c r="AS482" s="35">
        <f t="shared" si="269"/>
        <v>0</v>
      </c>
      <c r="AT482" s="35">
        <f t="shared" si="270"/>
        <v>0</v>
      </c>
      <c r="AU482" s="35">
        <f t="shared" si="271"/>
        <v>0</v>
      </c>
      <c r="AV482" s="35">
        <f t="shared" si="272"/>
        <v>1</v>
      </c>
      <c r="AW482" s="35">
        <f t="shared" si="273"/>
        <v>0</v>
      </c>
      <c r="AX482" s="35">
        <f t="shared" si="274"/>
        <v>0</v>
      </c>
      <c r="AY482" s="35">
        <f t="shared" si="275"/>
        <v>0</v>
      </c>
      <c r="AZ482" s="35">
        <f t="shared" si="276"/>
        <v>0</v>
      </c>
      <c r="BA482" s="35">
        <f t="shared" si="277"/>
        <v>0</v>
      </c>
      <c r="BB482" s="35">
        <f t="shared" si="278"/>
        <v>0</v>
      </c>
      <c r="BC482" s="35">
        <f t="shared" si="279"/>
        <v>0</v>
      </c>
    </row>
    <row r="483" spans="1:55" s="35" customFormat="1" x14ac:dyDescent="0.35">
      <c r="A483" s="36">
        <v>42312</v>
      </c>
      <c r="B483" s="90" t="s">
        <v>1052</v>
      </c>
      <c r="C483" s="35" t="s">
        <v>2</v>
      </c>
      <c r="D483" s="35" t="s">
        <v>45</v>
      </c>
      <c r="E483" s="35" t="s">
        <v>64</v>
      </c>
      <c r="F483" s="139">
        <f t="shared" si="252"/>
        <v>1</v>
      </c>
      <c r="G483" s="35">
        <v>64000000</v>
      </c>
      <c r="H483" s="139">
        <f t="shared" si="253"/>
        <v>7.8061799739838875</v>
      </c>
      <c r="I483" s="35">
        <f>G483</f>
        <v>64000000</v>
      </c>
      <c r="J483" s="35">
        <v>0</v>
      </c>
      <c r="K483" s="36">
        <v>43398</v>
      </c>
      <c r="L483" s="35">
        <v>251700000</v>
      </c>
      <c r="M483" s="21">
        <f t="shared" si="254"/>
        <v>2.9753424657534246</v>
      </c>
      <c r="N483" s="21">
        <f t="shared" si="280"/>
        <v>0.47353696079635343</v>
      </c>
      <c r="O483" s="35">
        <v>6815.73</v>
      </c>
      <c r="P483" s="35">
        <f t="shared" si="255"/>
        <v>3.8335760926148099</v>
      </c>
      <c r="Q483" s="35">
        <v>1</v>
      </c>
      <c r="R483" s="35">
        <f t="shared" si="256"/>
        <v>0.3010299956639812</v>
      </c>
      <c r="S483" s="45">
        <v>2.85</v>
      </c>
      <c r="T483" s="45">
        <f t="shared" si="281"/>
        <v>0.45484486000851021</v>
      </c>
      <c r="U483" s="175">
        <f t="shared" si="257"/>
        <v>2.9328124999999998</v>
      </c>
      <c r="V483" s="48">
        <f t="shared" si="258"/>
        <v>0.59470324156447552</v>
      </c>
      <c r="W483" s="35">
        <v>2454.9351065534374</v>
      </c>
      <c r="X483" s="35">
        <f t="shared" si="259"/>
        <v>3.3900400165248765</v>
      </c>
      <c r="Y483" s="35">
        <v>7363.1028681301077</v>
      </c>
      <c r="Z483" s="35">
        <f t="shared" si="260"/>
        <v>3.8670608679422993</v>
      </c>
      <c r="AA483" s="37">
        <v>819</v>
      </c>
      <c r="AB483" s="37">
        <f t="shared" si="261"/>
        <v>2.9138138523837167</v>
      </c>
      <c r="AC483" s="35">
        <v>88.2</v>
      </c>
      <c r="AD483" s="35">
        <f t="shared" si="282"/>
        <v>1.9454685851318196</v>
      </c>
      <c r="AE483" s="48">
        <v>37</v>
      </c>
      <c r="AF483" s="48">
        <f t="shared" si="283"/>
        <v>1.568201724066995</v>
      </c>
      <c r="AG483" s="43">
        <v>43.709255262622698</v>
      </c>
      <c r="AH483" s="43">
        <f t="shared" si="284"/>
        <v>1.6405734068536693</v>
      </c>
      <c r="AI483" s="39">
        <v>-0.1</v>
      </c>
      <c r="AJ483" s="48">
        <f t="shared" si="262"/>
        <v>-4.5757490560675115E-2</v>
      </c>
      <c r="AK483" s="35">
        <v>7</v>
      </c>
      <c r="AL483" s="35">
        <f t="shared" si="285"/>
        <v>0.84509804001425681</v>
      </c>
      <c r="AM483" s="35">
        <f t="shared" si="263"/>
        <v>0</v>
      </c>
      <c r="AN483" s="35">
        <f t="shared" si="264"/>
        <v>0</v>
      </c>
      <c r="AO483" s="35">
        <f t="shared" si="265"/>
        <v>0</v>
      </c>
      <c r="AP483" s="35">
        <f t="shared" si="266"/>
        <v>0</v>
      </c>
      <c r="AQ483" s="35">
        <f t="shared" si="267"/>
        <v>0</v>
      </c>
      <c r="AR483" s="35">
        <f t="shared" si="268"/>
        <v>0</v>
      </c>
      <c r="AS483" s="35">
        <f t="shared" si="269"/>
        <v>0</v>
      </c>
      <c r="AT483" s="35">
        <f t="shared" si="270"/>
        <v>0</v>
      </c>
      <c r="AU483" s="35">
        <f t="shared" si="271"/>
        <v>0</v>
      </c>
      <c r="AV483" s="35">
        <f t="shared" si="272"/>
        <v>1</v>
      </c>
      <c r="AW483" s="35">
        <f t="shared" si="273"/>
        <v>0</v>
      </c>
      <c r="AX483" s="35">
        <f t="shared" si="274"/>
        <v>0</v>
      </c>
      <c r="AY483" s="35">
        <f t="shared" si="275"/>
        <v>0</v>
      </c>
      <c r="AZ483" s="35">
        <f t="shared" si="276"/>
        <v>0</v>
      </c>
      <c r="BA483" s="35">
        <f t="shared" si="277"/>
        <v>0</v>
      </c>
      <c r="BB483" s="35">
        <f t="shared" si="278"/>
        <v>0</v>
      </c>
      <c r="BC483" s="35">
        <f t="shared" si="279"/>
        <v>0</v>
      </c>
    </row>
    <row r="484" spans="1:55" s="35" customFormat="1" x14ac:dyDescent="0.35">
      <c r="A484" s="36">
        <v>42317</v>
      </c>
      <c r="B484" s="35" t="s">
        <v>770</v>
      </c>
      <c r="C484" s="35" t="s">
        <v>1</v>
      </c>
      <c r="D484" s="35" t="s">
        <v>1</v>
      </c>
      <c r="E484" s="35" t="s">
        <v>47</v>
      </c>
      <c r="F484" s="139">
        <f t="shared" si="252"/>
        <v>0</v>
      </c>
      <c r="G484" s="35">
        <v>81330000</v>
      </c>
      <c r="H484" s="139">
        <f t="shared" si="253"/>
        <v>7.9102507723001478</v>
      </c>
      <c r="I484" s="35">
        <f>G484</f>
        <v>81330000</v>
      </c>
      <c r="J484" s="35">
        <v>0</v>
      </c>
      <c r="K484" s="36">
        <v>42825</v>
      </c>
      <c r="L484" s="35">
        <v>144210000</v>
      </c>
      <c r="M484" s="21">
        <f t="shared" si="254"/>
        <v>1.3917808219178083</v>
      </c>
      <c r="N484" s="21">
        <f t="shared" si="280"/>
        <v>0.14357084782744456</v>
      </c>
      <c r="O484" s="35">
        <v>0</v>
      </c>
      <c r="P484" s="35">
        <f t="shared" si="255"/>
        <v>0</v>
      </c>
      <c r="Q484" s="35">
        <v>7</v>
      </c>
      <c r="R484" s="35">
        <f t="shared" si="256"/>
        <v>0.90308998699194354</v>
      </c>
      <c r="S484" s="45">
        <v>3.42</v>
      </c>
      <c r="T484" s="45">
        <f t="shared" si="281"/>
        <v>0.53402610605613499</v>
      </c>
      <c r="U484" s="175">
        <f t="shared" si="257"/>
        <v>0.77314644042788649</v>
      </c>
      <c r="V484" s="48">
        <f t="shared" si="258"/>
        <v>0.24874460454816136</v>
      </c>
      <c r="W484" s="35">
        <v>1818.3524113342091</v>
      </c>
      <c r="X484" s="35">
        <f t="shared" si="259"/>
        <v>3.2596780568098533</v>
      </c>
      <c r="Y484" s="35">
        <v>10000</v>
      </c>
      <c r="Z484" s="35">
        <f t="shared" si="260"/>
        <v>4</v>
      </c>
      <c r="AA484" s="37">
        <v>0</v>
      </c>
      <c r="AB484" s="37">
        <f t="shared" si="261"/>
        <v>0</v>
      </c>
      <c r="AC484" s="35">
        <v>92.1</v>
      </c>
      <c r="AD484" s="35">
        <f t="shared" si="282"/>
        <v>1.9642596301968489</v>
      </c>
      <c r="AE484" s="48">
        <v>38.4</v>
      </c>
      <c r="AF484" s="48">
        <f t="shared" si="283"/>
        <v>1.5843312243675307</v>
      </c>
      <c r="AG484" s="43">
        <v>48.799820147807203</v>
      </c>
      <c r="AH484" s="43">
        <f t="shared" si="284"/>
        <v>1.688418221409292</v>
      </c>
      <c r="AI484" s="39">
        <v>7.0000000000000007E-2</v>
      </c>
      <c r="AJ484" s="48">
        <f t="shared" si="262"/>
        <v>2.9383777685209667E-2</v>
      </c>
      <c r="AK484" s="35">
        <v>3</v>
      </c>
      <c r="AL484" s="35">
        <f t="shared" si="285"/>
        <v>0.47712125471966244</v>
      </c>
      <c r="AM484" s="35">
        <f t="shared" si="263"/>
        <v>0</v>
      </c>
      <c r="AN484" s="35">
        <f t="shared" si="264"/>
        <v>0</v>
      </c>
      <c r="AO484" s="35">
        <f t="shared" si="265"/>
        <v>0</v>
      </c>
      <c r="AP484" s="35">
        <f t="shared" si="266"/>
        <v>1</v>
      </c>
      <c r="AQ484" s="35">
        <f t="shared" si="267"/>
        <v>0</v>
      </c>
      <c r="AR484" s="35">
        <f t="shared" si="268"/>
        <v>0</v>
      </c>
      <c r="AS484" s="35">
        <f t="shared" si="269"/>
        <v>0</v>
      </c>
      <c r="AT484" s="35">
        <f t="shared" si="270"/>
        <v>0</v>
      </c>
      <c r="AU484" s="35">
        <f t="shared" si="271"/>
        <v>0</v>
      </c>
      <c r="AV484" s="35">
        <f t="shared" si="272"/>
        <v>0</v>
      </c>
      <c r="AW484" s="35">
        <f t="shared" si="273"/>
        <v>0</v>
      </c>
      <c r="AX484" s="35">
        <f t="shared" si="274"/>
        <v>0</v>
      </c>
      <c r="AY484" s="35">
        <f t="shared" si="275"/>
        <v>0</v>
      </c>
      <c r="AZ484" s="35">
        <f t="shared" si="276"/>
        <v>0</v>
      </c>
      <c r="BA484" s="35">
        <f t="shared" si="277"/>
        <v>0</v>
      </c>
      <c r="BB484" s="35">
        <f t="shared" si="278"/>
        <v>0</v>
      </c>
      <c r="BC484" s="35">
        <f t="shared" si="279"/>
        <v>0</v>
      </c>
    </row>
    <row r="485" spans="1:55" s="35" customFormat="1" x14ac:dyDescent="0.35">
      <c r="A485" s="36">
        <v>42368</v>
      </c>
      <c r="B485" s="35" t="s">
        <v>886</v>
      </c>
      <c r="C485" s="35" t="s">
        <v>447</v>
      </c>
      <c r="D485" s="35" t="s">
        <v>45</v>
      </c>
      <c r="E485" s="35" t="s">
        <v>64</v>
      </c>
      <c r="F485" s="139">
        <f t="shared" si="252"/>
        <v>1</v>
      </c>
      <c r="G485" s="35">
        <v>60465000</v>
      </c>
      <c r="H485" s="139">
        <f t="shared" si="253"/>
        <v>7.7815040572087328</v>
      </c>
      <c r="I485" s="35">
        <f>G485</f>
        <v>60465000</v>
      </c>
      <c r="J485" s="35">
        <v>0</v>
      </c>
      <c r="K485" s="36">
        <v>43423</v>
      </c>
      <c r="L485" s="35">
        <v>272605000</v>
      </c>
      <c r="M485" s="21">
        <f t="shared" si="254"/>
        <v>2.8904109589041096</v>
      </c>
      <c r="N485" s="21">
        <f t="shared" si="280"/>
        <v>0.46095959517723678</v>
      </c>
      <c r="O485" s="35">
        <v>6087.84</v>
      </c>
      <c r="P485" s="35">
        <f t="shared" si="255"/>
        <v>3.7845345619950592</v>
      </c>
      <c r="Q485" s="35">
        <v>44</v>
      </c>
      <c r="R485" s="35">
        <f t="shared" si="256"/>
        <v>1.6532125137753437</v>
      </c>
      <c r="S485" s="45">
        <v>2.81</v>
      </c>
      <c r="T485" s="45">
        <f t="shared" si="281"/>
        <v>0.44870631990507992</v>
      </c>
      <c r="U485" s="175">
        <f t="shared" si="257"/>
        <v>3.5084759778384189</v>
      </c>
      <c r="V485" s="48">
        <f t="shared" si="258"/>
        <v>0.65402975999973634</v>
      </c>
      <c r="W485" s="35">
        <v>1699.2429587536469</v>
      </c>
      <c r="X485" s="35">
        <f t="shared" si="259"/>
        <v>3.2302554789881364</v>
      </c>
      <c r="Y485" s="35">
        <v>5842.1845502564765</v>
      </c>
      <c r="Z485" s="35">
        <f t="shared" si="260"/>
        <v>3.7665752718932795</v>
      </c>
      <c r="AA485" s="37">
        <v>824.83333333333303</v>
      </c>
      <c r="AB485" s="37">
        <f t="shared" si="261"/>
        <v>2.9168924084376502</v>
      </c>
      <c r="AC485" s="35">
        <v>77.5</v>
      </c>
      <c r="AD485" s="35">
        <f t="shared" si="282"/>
        <v>1.8893017025063104</v>
      </c>
      <c r="AE485" s="48">
        <v>33.590000000000003</v>
      </c>
      <c r="AF485" s="48">
        <f t="shared" si="283"/>
        <v>1.5262100038416644</v>
      </c>
      <c r="AG485" s="43">
        <v>43.725055842540201</v>
      </c>
      <c r="AH485" s="43">
        <f t="shared" si="284"/>
        <v>1.6407303728011791</v>
      </c>
      <c r="AI485" s="39">
        <v>0.84</v>
      </c>
      <c r="AJ485" s="48">
        <f t="shared" si="262"/>
        <v>0.26481782300953643</v>
      </c>
      <c r="AK485" s="35">
        <v>11</v>
      </c>
      <c r="AL485" s="35">
        <f t="shared" si="285"/>
        <v>1.0413926851582251</v>
      </c>
      <c r="AM485" s="35">
        <f t="shared" si="263"/>
        <v>0</v>
      </c>
      <c r="AN485" s="35">
        <f t="shared" si="264"/>
        <v>0</v>
      </c>
      <c r="AO485" s="35">
        <f t="shared" si="265"/>
        <v>0</v>
      </c>
      <c r="AP485" s="35">
        <f t="shared" si="266"/>
        <v>0</v>
      </c>
      <c r="AQ485" s="35">
        <f t="shared" si="267"/>
        <v>0</v>
      </c>
      <c r="AR485" s="35">
        <f t="shared" si="268"/>
        <v>0</v>
      </c>
      <c r="AS485" s="35">
        <f t="shared" si="269"/>
        <v>0</v>
      </c>
      <c r="AT485" s="35">
        <f t="shared" si="270"/>
        <v>0</v>
      </c>
      <c r="AU485" s="35">
        <f t="shared" si="271"/>
        <v>0</v>
      </c>
      <c r="AV485" s="35">
        <f t="shared" si="272"/>
        <v>0</v>
      </c>
      <c r="AW485" s="35">
        <f t="shared" si="273"/>
        <v>0</v>
      </c>
      <c r="AX485" s="35">
        <f t="shared" si="274"/>
        <v>1</v>
      </c>
      <c r="AY485" s="35">
        <f t="shared" si="275"/>
        <v>0</v>
      </c>
      <c r="AZ485" s="35">
        <f t="shared" si="276"/>
        <v>0</v>
      </c>
      <c r="BA485" s="35">
        <f t="shared" si="277"/>
        <v>0</v>
      </c>
      <c r="BB485" s="35">
        <f t="shared" si="278"/>
        <v>0</v>
      </c>
      <c r="BC485" s="35">
        <f t="shared" si="279"/>
        <v>0</v>
      </c>
    </row>
    <row r="486" spans="1:55" s="35" customFormat="1" x14ac:dyDescent="0.35">
      <c r="A486" s="36">
        <v>42420</v>
      </c>
      <c r="B486" s="35" t="s">
        <v>446</v>
      </c>
      <c r="C486" s="35" t="s">
        <v>447</v>
      </c>
      <c r="D486" s="35" t="s">
        <v>45</v>
      </c>
      <c r="E486" s="35" t="s">
        <v>125</v>
      </c>
      <c r="F486" s="139">
        <f t="shared" si="252"/>
        <v>1</v>
      </c>
      <c r="G486" s="35">
        <v>1000000000</v>
      </c>
      <c r="H486" s="139">
        <f t="shared" si="253"/>
        <v>9</v>
      </c>
      <c r="I486" s="35">
        <v>300000000</v>
      </c>
      <c r="J486" s="35">
        <v>700000000</v>
      </c>
      <c r="K486" s="36">
        <v>43418</v>
      </c>
      <c r="L486" s="35">
        <v>1400000000</v>
      </c>
      <c r="M486" s="21">
        <f t="shared" si="254"/>
        <v>2.7342465753424658</v>
      </c>
      <c r="N486" s="21">
        <f t="shared" si="280"/>
        <v>0.43683767683089642</v>
      </c>
      <c r="O486" s="35">
        <v>6087.84</v>
      </c>
      <c r="P486" s="35">
        <f t="shared" si="255"/>
        <v>3.7845345619950592</v>
      </c>
      <c r="Q486" s="35">
        <v>9</v>
      </c>
      <c r="R486" s="35">
        <f t="shared" si="256"/>
        <v>1</v>
      </c>
      <c r="S486" s="45">
        <v>2.81</v>
      </c>
      <c r="T486" s="45">
        <f t="shared" si="281"/>
        <v>0.44870631990507992</v>
      </c>
      <c r="U486" s="175">
        <f t="shared" si="257"/>
        <v>0.39999999999999991</v>
      </c>
      <c r="V486" s="48">
        <f t="shared" si="258"/>
        <v>0.14612803567823801</v>
      </c>
      <c r="W486" s="35">
        <v>1437.0580903679715</v>
      </c>
      <c r="X486" s="35">
        <f t="shared" si="259"/>
        <v>3.1574743240259107</v>
      </c>
      <c r="Y486" s="35">
        <v>5061.7945462381631</v>
      </c>
      <c r="Z486" s="35">
        <f t="shared" si="260"/>
        <v>3.7043045135512243</v>
      </c>
      <c r="AA486" s="37">
        <v>824.83333333333303</v>
      </c>
      <c r="AB486" s="37">
        <f t="shared" si="261"/>
        <v>2.9168924084376502</v>
      </c>
      <c r="AC486" s="35">
        <v>76</v>
      </c>
      <c r="AD486" s="35">
        <f t="shared" si="282"/>
        <v>1.8808135922807914</v>
      </c>
      <c r="AE486" s="48">
        <v>33.19</v>
      </c>
      <c r="AF486" s="48">
        <f t="shared" si="283"/>
        <v>1.521007252408604</v>
      </c>
      <c r="AG486" s="43">
        <v>42.2040629527961</v>
      </c>
      <c r="AH486" s="43">
        <f t="shared" si="284"/>
        <v>1.6253542621712107</v>
      </c>
      <c r="AI486" s="39">
        <v>0.39</v>
      </c>
      <c r="AJ486" s="48">
        <f t="shared" si="262"/>
        <v>0.14301480025409513</v>
      </c>
      <c r="AK486" s="35">
        <v>8</v>
      </c>
      <c r="AL486" s="35">
        <f t="shared" si="285"/>
        <v>0.90308998699194354</v>
      </c>
      <c r="AM486" s="35">
        <f t="shared" si="263"/>
        <v>0</v>
      </c>
      <c r="AN486" s="35">
        <f t="shared" si="264"/>
        <v>0</v>
      </c>
      <c r="AO486" s="35">
        <f t="shared" si="265"/>
        <v>0</v>
      </c>
      <c r="AP486" s="35">
        <f t="shared" si="266"/>
        <v>0</v>
      </c>
      <c r="AQ486" s="35">
        <f t="shared" si="267"/>
        <v>0</v>
      </c>
      <c r="AR486" s="35">
        <f t="shared" si="268"/>
        <v>0</v>
      </c>
      <c r="AS486" s="35">
        <f t="shared" si="269"/>
        <v>0</v>
      </c>
      <c r="AT486" s="35">
        <f t="shared" si="270"/>
        <v>0</v>
      </c>
      <c r="AU486" s="35">
        <f t="shared" si="271"/>
        <v>0</v>
      </c>
      <c r="AV486" s="35">
        <f t="shared" si="272"/>
        <v>0</v>
      </c>
      <c r="AW486" s="35">
        <f t="shared" si="273"/>
        <v>0</v>
      </c>
      <c r="AX486" s="35">
        <f t="shared" si="274"/>
        <v>1</v>
      </c>
      <c r="AY486" s="35">
        <f t="shared" si="275"/>
        <v>0</v>
      </c>
      <c r="AZ486" s="35">
        <f t="shared" si="276"/>
        <v>0</v>
      </c>
      <c r="BA486" s="35">
        <f t="shared" si="277"/>
        <v>0</v>
      </c>
      <c r="BB486" s="35">
        <f t="shared" si="278"/>
        <v>0</v>
      </c>
      <c r="BC486" s="35">
        <f t="shared" si="279"/>
        <v>0</v>
      </c>
    </row>
    <row r="487" spans="1:55" s="35" customFormat="1" x14ac:dyDescent="0.35">
      <c r="A487" s="36">
        <v>42452</v>
      </c>
      <c r="B487" s="35" t="s">
        <v>239</v>
      </c>
      <c r="C487" s="35" t="s">
        <v>5</v>
      </c>
      <c r="D487" s="35" t="s">
        <v>59</v>
      </c>
      <c r="E487" s="35" t="s">
        <v>125</v>
      </c>
      <c r="F487" s="139">
        <f t="shared" si="252"/>
        <v>1</v>
      </c>
      <c r="G487" s="35">
        <v>180000000</v>
      </c>
      <c r="H487" s="139">
        <f t="shared" si="253"/>
        <v>8.2552725051033065</v>
      </c>
      <c r="I487" s="35">
        <f>G487</f>
        <v>180000000</v>
      </c>
      <c r="J487" s="35">
        <v>0</v>
      </c>
      <c r="K487" s="36">
        <v>43271</v>
      </c>
      <c r="L487" s="35">
        <v>600000000</v>
      </c>
      <c r="M487" s="21">
        <f t="shared" si="254"/>
        <v>2.2438356164383562</v>
      </c>
      <c r="N487" s="21">
        <f t="shared" si="280"/>
        <v>0.35099103730394376</v>
      </c>
      <c r="O487" s="35">
        <v>357.29</v>
      </c>
      <c r="P487" s="35">
        <f t="shared" si="255"/>
        <v>2.5542346870234227</v>
      </c>
      <c r="Q487" s="35">
        <v>13</v>
      </c>
      <c r="R487" s="35">
        <f t="shared" si="256"/>
        <v>1.146128035678238</v>
      </c>
      <c r="S487" s="45">
        <v>3.16</v>
      </c>
      <c r="T487" s="45">
        <f t="shared" si="281"/>
        <v>0.49968708261840383</v>
      </c>
      <c r="U487" s="175">
        <f t="shared" si="257"/>
        <v>2.3333333333333335</v>
      </c>
      <c r="V487" s="48">
        <f t="shared" si="258"/>
        <v>0.52287874528033762</v>
      </c>
      <c r="W487" s="35">
        <v>1932.09461208012</v>
      </c>
      <c r="X487" s="35">
        <f t="shared" si="259"/>
        <v>3.2860283894181141</v>
      </c>
      <c r="Y487" s="35">
        <v>8126.3909735520938</v>
      </c>
      <c r="Z487" s="35">
        <f t="shared" si="260"/>
        <v>3.9098977130890344</v>
      </c>
      <c r="AA487" s="37">
        <v>971</v>
      </c>
      <c r="AB487" s="37">
        <f t="shared" si="261"/>
        <v>2.9876662649262746</v>
      </c>
      <c r="AC487" s="35">
        <v>80</v>
      </c>
      <c r="AD487" s="35">
        <f t="shared" si="282"/>
        <v>1.9030899869919435</v>
      </c>
      <c r="AE487" s="48">
        <v>38.4</v>
      </c>
      <c r="AF487" s="48">
        <f t="shared" si="283"/>
        <v>1.5843312243675307</v>
      </c>
      <c r="AG487" s="43">
        <v>43.580244996378802</v>
      </c>
      <c r="AH487" s="43">
        <f t="shared" si="284"/>
        <v>1.639289667403498</v>
      </c>
      <c r="AI487" s="39">
        <v>0.28999999999999998</v>
      </c>
      <c r="AJ487" s="48">
        <f t="shared" si="262"/>
        <v>0.11058971029924898</v>
      </c>
      <c r="AK487" s="35">
        <v>5</v>
      </c>
      <c r="AL487" s="35">
        <f t="shared" si="285"/>
        <v>0.69897000433601886</v>
      </c>
      <c r="AM487" s="35">
        <f t="shared" si="263"/>
        <v>0</v>
      </c>
      <c r="AN487" s="35">
        <f t="shared" si="264"/>
        <v>0</v>
      </c>
      <c r="AO487" s="35">
        <f t="shared" si="265"/>
        <v>0</v>
      </c>
      <c r="AP487" s="35">
        <f t="shared" si="266"/>
        <v>0</v>
      </c>
      <c r="AQ487" s="35">
        <f t="shared" si="267"/>
        <v>0</v>
      </c>
      <c r="AR487" s="35">
        <f t="shared" si="268"/>
        <v>0</v>
      </c>
      <c r="AS487" s="35">
        <f t="shared" si="269"/>
        <v>1</v>
      </c>
      <c r="AT487" s="35">
        <f t="shared" si="270"/>
        <v>0</v>
      </c>
      <c r="AU487" s="35">
        <f t="shared" si="271"/>
        <v>0</v>
      </c>
      <c r="AV487" s="35">
        <f t="shared" si="272"/>
        <v>0</v>
      </c>
      <c r="AW487" s="35">
        <f t="shared" si="273"/>
        <v>0</v>
      </c>
      <c r="AX487" s="35">
        <f t="shared" si="274"/>
        <v>0</v>
      </c>
      <c r="AY487" s="35">
        <f t="shared" si="275"/>
        <v>0</v>
      </c>
      <c r="AZ487" s="35">
        <f t="shared" si="276"/>
        <v>0</v>
      </c>
      <c r="BA487" s="35">
        <f t="shared" si="277"/>
        <v>0</v>
      </c>
      <c r="BB487" s="35">
        <f t="shared" si="278"/>
        <v>0</v>
      </c>
      <c r="BC487" s="35">
        <f t="shared" si="279"/>
        <v>0</v>
      </c>
    </row>
    <row r="488" spans="1:55" s="35" customFormat="1" ht="15.75" customHeight="1" x14ac:dyDescent="0.35">
      <c r="A488" s="36">
        <v>42487</v>
      </c>
      <c r="B488" s="35" t="s">
        <v>823</v>
      </c>
      <c r="C488" s="35" t="s">
        <v>45</v>
      </c>
      <c r="D488" s="35" t="s">
        <v>489</v>
      </c>
      <c r="E488" s="35" t="s">
        <v>64</v>
      </c>
      <c r="F488" s="139">
        <f t="shared" si="252"/>
        <v>1</v>
      </c>
      <c r="G488" s="35">
        <v>100000000</v>
      </c>
      <c r="H488" s="139">
        <f t="shared" si="253"/>
        <v>8</v>
      </c>
      <c r="I488" s="35">
        <v>100000000</v>
      </c>
      <c r="J488" s="35">
        <v>0</v>
      </c>
      <c r="K488" s="36">
        <v>43188</v>
      </c>
      <c r="L488" s="90">
        <v>217000000</v>
      </c>
      <c r="M488" s="21">
        <f t="shared" si="254"/>
        <v>1.9205479452054794</v>
      </c>
      <c r="N488" s="21">
        <f t="shared" si="280"/>
        <v>0.28342515351018394</v>
      </c>
      <c r="O488" s="35">
        <v>6651.37</v>
      </c>
      <c r="P488" s="35">
        <f t="shared" si="255"/>
        <v>3.8229763963637051</v>
      </c>
      <c r="Q488" s="35">
        <v>6</v>
      </c>
      <c r="R488" s="35">
        <f t="shared" si="256"/>
        <v>0.84509804001425681</v>
      </c>
      <c r="S488" s="45">
        <v>3.03</v>
      </c>
      <c r="T488" s="45">
        <f t="shared" si="281"/>
        <v>0.48144262850230496</v>
      </c>
      <c r="U488" s="175">
        <f t="shared" si="257"/>
        <v>1.17</v>
      </c>
      <c r="V488" s="48">
        <f t="shared" si="258"/>
        <v>0.33645973384852951</v>
      </c>
      <c r="W488" s="35">
        <v>1423.0371900826444</v>
      </c>
      <c r="X488" s="35">
        <f t="shared" si="259"/>
        <v>3.1532162502154288</v>
      </c>
      <c r="Y488" s="35">
        <v>3292.8719008264461</v>
      </c>
      <c r="Z488" s="35">
        <f t="shared" si="260"/>
        <v>3.5175748361336181</v>
      </c>
      <c r="AA488" s="37">
        <v>513.5</v>
      </c>
      <c r="AB488" s="37">
        <f t="shared" si="261"/>
        <v>2.7113853790984517</v>
      </c>
      <c r="AC488" s="35">
        <v>84.7</v>
      </c>
      <c r="AD488" s="35">
        <f t="shared" si="282"/>
        <v>1.927883410330707</v>
      </c>
      <c r="AE488" s="48">
        <v>25.9</v>
      </c>
      <c r="AF488" s="48">
        <f t="shared" si="283"/>
        <v>1.4132997640812519</v>
      </c>
      <c r="AG488" s="43">
        <v>38.207924771594499</v>
      </c>
      <c r="AH488" s="43">
        <f t="shared" si="284"/>
        <v>1.5821534500223446</v>
      </c>
      <c r="AI488" s="39">
        <v>0.53</v>
      </c>
      <c r="AJ488" s="48">
        <f t="shared" si="262"/>
        <v>0.18469143081759881</v>
      </c>
      <c r="AK488" s="35">
        <v>7</v>
      </c>
      <c r="AL488" s="35">
        <f t="shared" si="285"/>
        <v>0.84509804001425681</v>
      </c>
      <c r="AM488" s="35">
        <f t="shared" si="263"/>
        <v>0</v>
      </c>
      <c r="AN488" s="35">
        <f t="shared" si="264"/>
        <v>1</v>
      </c>
      <c r="AO488" s="35">
        <f t="shared" si="265"/>
        <v>0</v>
      </c>
      <c r="AP488" s="35">
        <f t="shared" si="266"/>
        <v>0</v>
      </c>
      <c r="AQ488" s="35">
        <f t="shared" si="267"/>
        <v>0</v>
      </c>
      <c r="AR488" s="35">
        <f t="shared" si="268"/>
        <v>0</v>
      </c>
      <c r="AS488" s="35">
        <f t="shared" si="269"/>
        <v>0</v>
      </c>
      <c r="AT488" s="35">
        <f t="shared" si="270"/>
        <v>0</v>
      </c>
      <c r="AU488" s="35">
        <f t="shared" si="271"/>
        <v>0</v>
      </c>
      <c r="AV488" s="35">
        <f t="shared" si="272"/>
        <v>0</v>
      </c>
      <c r="AW488" s="35">
        <f t="shared" si="273"/>
        <v>0</v>
      </c>
      <c r="AX488" s="35">
        <f t="shared" si="274"/>
        <v>0</v>
      </c>
      <c r="AY488" s="35">
        <f t="shared" si="275"/>
        <v>0</v>
      </c>
      <c r="AZ488" s="35">
        <f t="shared" si="276"/>
        <v>0</v>
      </c>
      <c r="BA488" s="35">
        <f t="shared" si="277"/>
        <v>0</v>
      </c>
      <c r="BB488" s="35">
        <f t="shared" si="278"/>
        <v>0</v>
      </c>
      <c r="BC488" s="35">
        <f t="shared" si="279"/>
        <v>0</v>
      </c>
    </row>
    <row r="489" spans="1:55" s="35" customFormat="1" x14ac:dyDescent="0.35">
      <c r="A489" s="36">
        <v>42521</v>
      </c>
      <c r="B489" s="139" t="s">
        <v>148</v>
      </c>
      <c r="C489" s="139" t="s">
        <v>45</v>
      </c>
      <c r="D489" s="139" t="s">
        <v>45</v>
      </c>
      <c r="E489" s="139" t="s">
        <v>102</v>
      </c>
      <c r="F489" s="139">
        <f t="shared" si="252"/>
        <v>0</v>
      </c>
      <c r="G489" s="139">
        <v>1553260000</v>
      </c>
      <c r="H489" s="139">
        <f t="shared" si="253"/>
        <v>9.1912441583133759</v>
      </c>
      <c r="I489" s="139">
        <v>1646010000</v>
      </c>
      <c r="J489" s="139">
        <v>-92750000</v>
      </c>
      <c r="K489" s="18">
        <v>43404</v>
      </c>
      <c r="L489" s="139">
        <v>4750000000</v>
      </c>
      <c r="M489" s="21">
        <f t="shared" si="254"/>
        <v>2.419178082191781</v>
      </c>
      <c r="N489" s="21">
        <f t="shared" si="280"/>
        <v>0.38366783912109392</v>
      </c>
      <c r="O489" s="35">
        <v>0</v>
      </c>
      <c r="P489" s="35">
        <f t="shared" si="255"/>
        <v>0</v>
      </c>
      <c r="Q489" s="35">
        <v>10</v>
      </c>
      <c r="R489" s="35">
        <f t="shared" si="256"/>
        <v>1.0413926851582251</v>
      </c>
      <c r="S489" s="45">
        <v>2.95</v>
      </c>
      <c r="T489" s="45">
        <f t="shared" si="281"/>
        <v>0.46982201597816303</v>
      </c>
      <c r="U489" s="175">
        <f t="shared" si="257"/>
        <v>2.0580842872410288</v>
      </c>
      <c r="V489" s="48">
        <f t="shared" si="258"/>
        <v>0.48544945131148998</v>
      </c>
      <c r="W489" s="35">
        <v>6514.6683673469379</v>
      </c>
      <c r="X489" s="35">
        <f t="shared" si="259"/>
        <v>3.8138923126200468</v>
      </c>
      <c r="Y489" s="35">
        <v>8828.125</v>
      </c>
      <c r="Z489" s="35">
        <f t="shared" si="260"/>
        <v>3.9458684738355512</v>
      </c>
      <c r="AA489" s="37">
        <v>0</v>
      </c>
      <c r="AB489" s="37">
        <f t="shared" si="261"/>
        <v>0</v>
      </c>
      <c r="AC489" s="35">
        <v>84.7</v>
      </c>
      <c r="AD489" s="35">
        <f t="shared" si="282"/>
        <v>1.927883410330707</v>
      </c>
      <c r="AE489" s="48">
        <v>25.9</v>
      </c>
      <c r="AF489" s="48">
        <f t="shared" si="283"/>
        <v>1.4132997640812519</v>
      </c>
      <c r="AG489" s="43">
        <v>38.207924771594499</v>
      </c>
      <c r="AH489" s="43">
        <f t="shared" si="284"/>
        <v>1.5821534500223446</v>
      </c>
      <c r="AI489" s="39">
        <v>-0.24</v>
      </c>
      <c r="AJ489" s="48">
        <f t="shared" si="262"/>
        <v>-0.11918640771920865</v>
      </c>
      <c r="AK489" s="35">
        <v>20</v>
      </c>
      <c r="AL489" s="35">
        <f t="shared" si="285"/>
        <v>1.3010299956639813</v>
      </c>
      <c r="AM489" s="35">
        <f t="shared" si="263"/>
        <v>0</v>
      </c>
      <c r="AN489" s="35">
        <f t="shared" si="264"/>
        <v>1</v>
      </c>
      <c r="AO489" s="35">
        <f t="shared" si="265"/>
        <v>0</v>
      </c>
      <c r="AP489" s="35">
        <f t="shared" si="266"/>
        <v>0</v>
      </c>
      <c r="AQ489" s="35">
        <f t="shared" si="267"/>
        <v>0</v>
      </c>
      <c r="AR489" s="35">
        <f t="shared" si="268"/>
        <v>0</v>
      </c>
      <c r="AS489" s="35">
        <f t="shared" si="269"/>
        <v>0</v>
      </c>
      <c r="AT489" s="35">
        <f t="shared" si="270"/>
        <v>0</v>
      </c>
      <c r="AU489" s="35">
        <f t="shared" si="271"/>
        <v>0</v>
      </c>
      <c r="AV489" s="35">
        <f t="shared" si="272"/>
        <v>0</v>
      </c>
      <c r="AW489" s="35">
        <f t="shared" si="273"/>
        <v>0</v>
      </c>
      <c r="AX489" s="35">
        <f t="shared" si="274"/>
        <v>0</v>
      </c>
      <c r="AY489" s="35">
        <f t="shared" si="275"/>
        <v>0</v>
      </c>
      <c r="AZ489" s="35">
        <f t="shared" si="276"/>
        <v>0</v>
      </c>
      <c r="BA489" s="35">
        <f t="shared" si="277"/>
        <v>0</v>
      </c>
      <c r="BB489" s="35">
        <f t="shared" si="278"/>
        <v>0</v>
      </c>
      <c r="BC489" s="35">
        <f t="shared" si="279"/>
        <v>0</v>
      </c>
    </row>
    <row r="490" spans="1:55" s="35" customFormat="1" x14ac:dyDescent="0.35">
      <c r="A490" s="36">
        <v>43193</v>
      </c>
      <c r="B490" s="35" t="s">
        <v>1247</v>
      </c>
      <c r="C490" s="35" t="s">
        <v>45</v>
      </c>
      <c r="D490" s="35" t="s">
        <v>602</v>
      </c>
      <c r="E490" s="35" t="s">
        <v>47</v>
      </c>
      <c r="F490" s="139">
        <f t="shared" si="252"/>
        <v>0</v>
      </c>
      <c r="G490" s="35">
        <v>300000000</v>
      </c>
      <c r="H490" s="139">
        <f t="shared" si="253"/>
        <v>8.4771212547196626</v>
      </c>
      <c r="I490" s="35">
        <f>G490</f>
        <v>300000000</v>
      </c>
      <c r="J490" s="35">
        <v>0</v>
      </c>
      <c r="K490" s="36">
        <v>43383</v>
      </c>
      <c r="L490" s="35">
        <v>372.6</v>
      </c>
      <c r="M490" s="21">
        <f t="shared" si="254"/>
        <v>0.52054794520547942</v>
      </c>
      <c r="N490" s="21">
        <f t="shared" si="280"/>
        <v>-0.28353926350364578</v>
      </c>
      <c r="O490" s="35">
        <v>0</v>
      </c>
      <c r="P490" s="35">
        <f t="shared" si="255"/>
        <v>0</v>
      </c>
      <c r="Q490" s="35">
        <v>1</v>
      </c>
      <c r="R490" s="35">
        <f t="shared" si="256"/>
        <v>0.3010299956639812</v>
      </c>
      <c r="S490" s="45">
        <v>2.95</v>
      </c>
      <c r="T490" s="45">
        <f t="shared" si="281"/>
        <v>0.46982201597816303</v>
      </c>
      <c r="U490" s="175">
        <f t="shared" si="257"/>
        <v>-0.99999875800000004</v>
      </c>
      <c r="V490" s="48">
        <f t="shared" si="258"/>
        <v>-5.9058784041745138</v>
      </c>
      <c r="W490" s="35">
        <v>1455.046</v>
      </c>
      <c r="X490" s="35">
        <f t="shared" si="259"/>
        <v>3.1628767233771686</v>
      </c>
      <c r="Y490" s="35">
        <v>4062.5129999999999</v>
      </c>
      <c r="Z490" s="35">
        <f t="shared" si="260"/>
        <v>3.6087947637270492</v>
      </c>
      <c r="AA490" s="35">
        <v>0</v>
      </c>
      <c r="AB490" s="37">
        <f t="shared" si="261"/>
        <v>0</v>
      </c>
      <c r="AC490" s="35">
        <v>82.7</v>
      </c>
      <c r="AD490" s="35">
        <f t="shared" si="282"/>
        <v>1.9175055095525466</v>
      </c>
      <c r="AE490" s="44" t="e">
        <f>#REF!</f>
        <v>#REF!</v>
      </c>
      <c r="AF490" s="48" t="e">
        <f t="shared" si="283"/>
        <v>#REF!</v>
      </c>
      <c r="AG490" s="43">
        <v>37.950861553017603</v>
      </c>
      <c r="AH490" s="43">
        <f t="shared" si="284"/>
        <v>1.5792216396115846</v>
      </c>
      <c r="AI490" s="39">
        <v>7.0000000000000007E-2</v>
      </c>
      <c r="AJ490" s="48">
        <f t="shared" si="262"/>
        <v>2.9383777685209667E-2</v>
      </c>
      <c r="AK490" s="35">
        <v>28</v>
      </c>
      <c r="AL490" s="35">
        <f t="shared" si="285"/>
        <v>1.4471580313422192</v>
      </c>
      <c r="AM490" s="35">
        <f t="shared" si="263"/>
        <v>0</v>
      </c>
      <c r="AN490" s="35">
        <f t="shared" si="264"/>
        <v>1</v>
      </c>
      <c r="AO490" s="35">
        <f t="shared" si="265"/>
        <v>0</v>
      </c>
      <c r="AP490" s="35">
        <f t="shared" si="266"/>
        <v>0</v>
      </c>
      <c r="AQ490" s="35">
        <f t="shared" si="267"/>
        <v>0</v>
      </c>
      <c r="AR490" s="35">
        <f t="shared" si="268"/>
        <v>0</v>
      </c>
      <c r="AS490" s="35">
        <f t="shared" si="269"/>
        <v>0</v>
      </c>
      <c r="AT490" s="35">
        <f t="shared" si="270"/>
        <v>0</v>
      </c>
      <c r="AU490" s="35">
        <f t="shared" si="271"/>
        <v>0</v>
      </c>
      <c r="AV490" s="35">
        <f t="shared" si="272"/>
        <v>0</v>
      </c>
      <c r="AW490" s="35">
        <f t="shared" si="273"/>
        <v>0</v>
      </c>
      <c r="AX490" s="35">
        <f t="shared" si="274"/>
        <v>0</v>
      </c>
      <c r="AY490" s="35">
        <f t="shared" si="275"/>
        <v>0</v>
      </c>
      <c r="AZ490" s="35">
        <f t="shared" si="276"/>
        <v>0</v>
      </c>
      <c r="BA490" s="35">
        <f t="shared" si="277"/>
        <v>0</v>
      </c>
      <c r="BB490" s="35">
        <f t="shared" si="278"/>
        <v>0</v>
      </c>
      <c r="BC490" s="35">
        <f t="shared" si="279"/>
        <v>0</v>
      </c>
    </row>
  </sheetData>
  <conditionalFormatting sqref="B1">
    <cfRule type="duplicateValues" dxfId="26" priority="24"/>
  </conditionalFormatting>
  <conditionalFormatting sqref="A1">
    <cfRule type="duplicateValues" dxfId="25" priority="23"/>
  </conditionalFormatting>
  <conditionalFormatting sqref="B1">
    <cfRule type="duplicateValues" dxfId="24" priority="22"/>
  </conditionalFormatting>
  <conditionalFormatting sqref="B13">
    <cfRule type="duplicateValues" dxfId="23" priority="1"/>
  </conditionalFormatting>
  <conditionalFormatting sqref="B14:B27 B47:B54 B432:B474 B56:B60 B62:B64 B396:B430 B67:B68 B70:B73 B75:B76 B78:B82 B279:B283 B84:B86 B88:B108 B110:B120 B122:B154 B156:B164 B170 B175:B181 B183:B188 B190:B196 B198:B213 B216:B228 B477:B490 B230:B234 B236:B272 B285:B319 B274:B277 B321:B331 B333:B336 B338:B394 B166:B168">
    <cfRule type="duplicateValues" dxfId="22" priority="15"/>
  </conditionalFormatting>
  <conditionalFormatting sqref="A21:A89 A97:A111 A204:A222 A427:A444 A367:A412 A454:A470 A118:A147 A224:A245">
    <cfRule type="duplicateValues" dxfId="21" priority="14"/>
  </conditionalFormatting>
  <conditionalFormatting sqref="B477:B490 B432:B474 B47:B54 B14:B28 B56:B60 B62:B64 B396:B430 B67:B68 B70:B73 B75:B76 B78:B82 B279:B283 B84:B86 B88:B108 B110:B120 B122:B154 B156:B164 B170 B175:B181 B183:B188 B190:B196 B198:B213 B216:B228 B230:B234 B236:B272 B285:B319 B274:B277 B321:B331 B333:B336 B338:B394 B166:B168">
    <cfRule type="duplicateValues" dxfId="20" priority="13"/>
  </conditionalFormatting>
  <conditionalFormatting sqref="B263:B272 B279 B274:B277">
    <cfRule type="duplicateValues" dxfId="19" priority="16"/>
  </conditionalFormatting>
  <conditionalFormatting sqref="A246 A248:A251 A254:A326">
    <cfRule type="duplicateValues" dxfId="18" priority="12"/>
  </conditionalFormatting>
  <conditionalFormatting sqref="A327">
    <cfRule type="duplicateValues" dxfId="17" priority="11"/>
  </conditionalFormatting>
  <conditionalFormatting sqref="A247">
    <cfRule type="duplicateValues" dxfId="16" priority="10"/>
  </conditionalFormatting>
  <conditionalFormatting sqref="A252">
    <cfRule type="duplicateValues" dxfId="15" priority="8"/>
  </conditionalFormatting>
  <conditionalFormatting sqref="A253">
    <cfRule type="duplicateValues" dxfId="14" priority="9"/>
  </conditionalFormatting>
  <conditionalFormatting sqref="A328:A366">
    <cfRule type="duplicateValues" dxfId="13" priority="17"/>
  </conditionalFormatting>
  <conditionalFormatting sqref="B165">
    <cfRule type="duplicateValues" dxfId="12" priority="7"/>
  </conditionalFormatting>
  <conditionalFormatting sqref="A165">
    <cfRule type="duplicateValues" dxfId="11" priority="6"/>
  </conditionalFormatting>
  <conditionalFormatting sqref="B165">
    <cfRule type="duplicateValues" dxfId="10" priority="5"/>
  </conditionalFormatting>
  <conditionalFormatting sqref="A2:A5">
    <cfRule type="duplicateValues" dxfId="9" priority="4"/>
  </conditionalFormatting>
  <conditionalFormatting sqref="B13">
    <cfRule type="duplicateValues" dxfId="8" priority="3"/>
  </conditionalFormatting>
  <conditionalFormatting sqref="A6:A7">
    <cfRule type="duplicateValues" dxfId="7" priority="2"/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212"/>
  <sheetViews>
    <sheetView topLeftCell="G1" workbookViewId="0">
      <selection activeCell="AJ2" sqref="AJ2"/>
    </sheetView>
  </sheetViews>
  <sheetFormatPr defaultRowHeight="14.5" x14ac:dyDescent="0.35"/>
  <cols>
    <col min="1" max="1" width="12.54296875" customWidth="1"/>
    <col min="2" max="2" width="14.1796875" bestFit="1" customWidth="1"/>
    <col min="3" max="3" width="16.54296875" bestFit="1" customWidth="1"/>
    <col min="4" max="4" width="24.54296875" bestFit="1" customWidth="1"/>
    <col min="5" max="5" width="22.54296875" bestFit="1" customWidth="1"/>
    <col min="6" max="6" width="8.26953125" bestFit="1" customWidth="1"/>
    <col min="7" max="7" width="16.26953125" bestFit="1" customWidth="1"/>
    <col min="8" max="8" width="12" bestFit="1" customWidth="1"/>
    <col min="9" max="9" width="11.1796875" customWidth="1"/>
    <col min="11" max="11" width="11" customWidth="1"/>
    <col min="12" max="12" width="11" style="137" customWidth="1"/>
    <col min="16" max="16" width="9.1796875" style="137"/>
    <col min="18" max="18" width="9.1796875" style="137"/>
    <col min="19" max="19" width="12.453125" customWidth="1"/>
    <col min="28" max="28" width="9.1796875" style="137"/>
    <col min="30" max="30" width="9.1796875" style="137"/>
    <col min="32" max="32" width="9.1796875" style="137"/>
    <col min="36" max="36" width="9.1796875" style="137"/>
  </cols>
  <sheetData>
    <row r="1" spans="1:53" s="35" customFormat="1" x14ac:dyDescent="0.35">
      <c r="A1" s="5" t="s">
        <v>9</v>
      </c>
      <c r="B1" s="5" t="s">
        <v>11</v>
      </c>
      <c r="C1" s="5" t="s">
        <v>14</v>
      </c>
      <c r="D1" s="5" t="s">
        <v>1372</v>
      </c>
      <c r="E1" s="5" t="s">
        <v>16</v>
      </c>
      <c r="F1" s="5" t="s">
        <v>1322</v>
      </c>
      <c r="G1" s="5" t="s">
        <v>17</v>
      </c>
      <c r="H1" s="5" t="s">
        <v>1334</v>
      </c>
      <c r="I1" s="5" t="s">
        <v>20</v>
      </c>
      <c r="J1" s="5" t="s">
        <v>22</v>
      </c>
      <c r="K1" s="5" t="s">
        <v>23</v>
      </c>
      <c r="L1" s="5" t="s">
        <v>1382</v>
      </c>
      <c r="M1" s="173" t="s">
        <v>24</v>
      </c>
      <c r="N1" s="173" t="s">
        <v>1327</v>
      </c>
      <c r="O1" s="173" t="s">
        <v>26</v>
      </c>
      <c r="P1" s="173" t="s">
        <v>1375</v>
      </c>
      <c r="Q1" s="27" t="s">
        <v>27</v>
      </c>
      <c r="R1" s="27" t="s">
        <v>1383</v>
      </c>
      <c r="S1" s="173" t="s">
        <v>29</v>
      </c>
      <c r="T1" s="173" t="s">
        <v>30</v>
      </c>
      <c r="U1" s="173" t="s">
        <v>31</v>
      </c>
      <c r="V1" s="173" t="s">
        <v>1350</v>
      </c>
      <c r="W1" s="173" t="s">
        <v>33</v>
      </c>
      <c r="X1" s="173" t="s">
        <v>1351</v>
      </c>
      <c r="Y1" s="173" t="s">
        <v>34</v>
      </c>
      <c r="Z1" s="173" t="s">
        <v>1329</v>
      </c>
      <c r="AA1" s="173" t="s">
        <v>35</v>
      </c>
      <c r="AB1" s="173" t="s">
        <v>1384</v>
      </c>
      <c r="AC1" s="174" t="s">
        <v>36</v>
      </c>
      <c r="AD1" s="174" t="s">
        <v>1385</v>
      </c>
      <c r="AE1" s="173" t="s">
        <v>37</v>
      </c>
      <c r="AF1" s="173" t="s">
        <v>1387</v>
      </c>
      <c r="AG1" s="173" t="s">
        <v>38</v>
      </c>
      <c r="AH1" s="173" t="s">
        <v>1331</v>
      </c>
      <c r="AI1" s="173" t="s">
        <v>40</v>
      </c>
      <c r="AJ1" s="173" t="s">
        <v>1392</v>
      </c>
      <c r="AK1" s="173" t="s">
        <v>1328</v>
      </c>
      <c r="AL1" s="173" t="s">
        <v>45</v>
      </c>
      <c r="AM1" s="173" t="s">
        <v>59</v>
      </c>
      <c r="AN1" s="173" t="s">
        <v>1</v>
      </c>
      <c r="AO1" s="173" t="s">
        <v>3</v>
      </c>
      <c r="AP1" s="173" t="s">
        <v>1335</v>
      </c>
      <c r="AQ1" s="173" t="s">
        <v>5</v>
      </c>
      <c r="AR1" s="173" t="s">
        <v>163</v>
      </c>
      <c r="AS1" s="173" t="s">
        <v>6</v>
      </c>
      <c r="AT1" s="173" t="s">
        <v>1336</v>
      </c>
      <c r="AU1" s="173" t="s">
        <v>434</v>
      </c>
      <c r="AV1" s="173" t="s">
        <v>447</v>
      </c>
      <c r="AW1" s="173" t="s">
        <v>7</v>
      </c>
      <c r="AX1" s="173" t="s">
        <v>954</v>
      </c>
      <c r="AY1" s="173" t="s">
        <v>489</v>
      </c>
      <c r="AZ1" s="173" t="s">
        <v>497</v>
      </c>
      <c r="BA1" s="173" t="s">
        <v>419</v>
      </c>
    </row>
    <row r="2" spans="1:53" x14ac:dyDescent="0.35">
      <c r="A2" s="146">
        <v>29951</v>
      </c>
      <c r="B2" s="108" t="s">
        <v>45</v>
      </c>
      <c r="C2" s="108" t="s">
        <v>102</v>
      </c>
      <c r="D2" s="84">
        <f t="shared" ref="D2:D65" si="0">IF(C2="domestic",0,1)</f>
        <v>0</v>
      </c>
      <c r="E2" s="108" t="s">
        <v>269</v>
      </c>
      <c r="F2" s="84">
        <f t="shared" ref="F2:F65" si="1">IF(E2="Consumer Discretionary",5,IF(E2="Industrials",1,IF(E2="Energy",3,IF(E2="Health Care",2,IF(E2="Communications",4,IF(E2="Financials",6,IF(E2="Consumer Staples",7,IF(E2="Materials",8,IF(E2="Technology",9,IF(E2="Utilities",10,""))))))))))</f>
        <v>7</v>
      </c>
      <c r="G2" s="108">
        <v>530000000</v>
      </c>
      <c r="H2" s="84">
        <f t="shared" ref="H2:H65" si="2">LOG(G2)</f>
        <v>8.7242758696007883</v>
      </c>
      <c r="I2" s="146">
        <v>36308</v>
      </c>
      <c r="J2" s="108">
        <v>12587600000</v>
      </c>
      <c r="K2" s="148">
        <f t="shared" ref="K2:K65" si="3">YEARFRAC(A2,I2,3)</f>
        <v>17.416438356164385</v>
      </c>
      <c r="L2" s="148">
        <f>LOG(K2)</f>
        <v>1.2409593469739824</v>
      </c>
      <c r="M2" s="108">
        <v>0</v>
      </c>
      <c r="N2" s="108">
        <f t="shared" ref="N2:N65" si="4">LOG(1+M2)</f>
        <v>0</v>
      </c>
      <c r="O2" s="108">
        <v>50</v>
      </c>
      <c r="P2" s="108">
        <f>IF(O2=0,0,LOG(O2))</f>
        <v>1.6989700043360187</v>
      </c>
      <c r="Q2" s="65">
        <v>2.95</v>
      </c>
      <c r="R2" s="65">
        <f>LOG(Q2)</f>
        <v>0.46982201597816303</v>
      </c>
      <c r="S2" s="155">
        <f t="shared" ref="S2:S65" si="5">(J2/G2)-1</f>
        <v>22.750188679245284</v>
      </c>
      <c r="T2" s="127">
        <f t="shared" ref="T2:T65" si="6">IF(S2=-1,LOG(0.1),LOG(1+S2))</f>
        <v>1.3756670641516049</v>
      </c>
      <c r="U2" s="108">
        <v>1171.498</v>
      </c>
      <c r="V2" s="108">
        <f t="shared" ref="V2:V65" si="7">LOG(U2)</f>
        <v>3.0687415514991745</v>
      </c>
      <c r="W2" s="108">
        <v>3386.1060000000002</v>
      </c>
      <c r="X2" s="108">
        <f t="shared" ref="X2:X65" si="8">LOG(W2)</f>
        <v>3.5297005493117593</v>
      </c>
      <c r="Y2" s="126">
        <v>0</v>
      </c>
      <c r="Z2" s="126">
        <f t="shared" ref="Z2:Z65" si="9">IF(Y2=0,0,LOG(1+Y2))</f>
        <v>0</v>
      </c>
      <c r="AA2" s="108">
        <v>85</v>
      </c>
      <c r="AB2" s="108">
        <f>LOG(AA2)</f>
        <v>1.9294189257142926</v>
      </c>
      <c r="AC2" s="127">
        <v>25.9</v>
      </c>
      <c r="AD2" s="127">
        <f>LOG(AC2)</f>
        <v>1.4132997640812519</v>
      </c>
      <c r="AE2" s="128">
        <v>40.815825693332798</v>
      </c>
      <c r="AF2" s="128">
        <f>LOG(AE2)</f>
        <v>1.6108285865865359</v>
      </c>
      <c r="AG2" s="153">
        <v>0.7</v>
      </c>
      <c r="AH2" s="127">
        <f t="shared" ref="AH2:AH65" si="10">LOG(1+AG2)</f>
        <v>0.23044892137827391</v>
      </c>
      <c r="AI2" s="108">
        <v>9</v>
      </c>
      <c r="AJ2" s="108">
        <f>LOG(AI2)</f>
        <v>0.95424250943932487</v>
      </c>
      <c r="AK2" s="108">
        <f t="shared" ref="AK2:AK65" si="11">IF(T2=-1,1,0)</f>
        <v>0</v>
      </c>
      <c r="AL2" s="108">
        <f t="shared" ref="AL2:AL65" si="12">IF($B2="US",1,0)</f>
        <v>1</v>
      </c>
      <c r="AM2" s="108">
        <f t="shared" ref="AM2:AM65" si="13">IF($B2="UK",1,0)</f>
        <v>0</v>
      </c>
      <c r="AN2" s="108">
        <f t="shared" ref="AN2:AN65" si="14">IF($B2="Norway",1,0)</f>
        <v>0</v>
      </c>
      <c r="AO2" s="108">
        <f t="shared" ref="AO2:AO65" si="15">IF($B2="Denmark",1,0)</f>
        <v>0</v>
      </c>
      <c r="AP2" s="108">
        <f t="shared" ref="AP2:AP65" si="16">IF($B2="Sweden",1,0)</f>
        <v>0</v>
      </c>
      <c r="AQ2" s="108">
        <f t="shared" ref="AQ2:AQ65" si="17">IF($B2="Netherlands",1,0)</f>
        <v>0</v>
      </c>
      <c r="AR2" s="108">
        <f t="shared" ref="AR2:AR65" si="18">IF($B2="France",1,0)</f>
        <v>0</v>
      </c>
      <c r="AS2" s="108">
        <f t="shared" ref="AS2:AS65" si="19">IF($B2="Belgium",1,0)</f>
        <v>0</v>
      </c>
      <c r="AT2" s="108">
        <f t="shared" ref="AT2:AT65" si="20">IF($B2="Germany",1,0)</f>
        <v>0</v>
      </c>
      <c r="AU2" s="108">
        <f t="shared" ref="AU2:AU65" si="21">IF($B2="Italy",1,0)</f>
        <v>0</v>
      </c>
      <c r="AV2" s="108">
        <f t="shared" ref="AV2:AV65" si="22">IF($B2="Spain",1,0)</f>
        <v>0</v>
      </c>
      <c r="AW2" s="108">
        <f t="shared" ref="AW2:AW65" si="23">IF($B2="Luxembourg",1,0)</f>
        <v>0</v>
      </c>
      <c r="AX2" s="108">
        <f t="shared" ref="AX2:AX65" si="24">IF($B2="Portugal",1,0)</f>
        <v>0</v>
      </c>
      <c r="AY2" s="108">
        <f t="shared" ref="AY2:AY65" si="25">IF($B2="Switzerland",1,0)</f>
        <v>0</v>
      </c>
      <c r="AZ2" s="108">
        <f t="shared" ref="AZ2:AZ65" si="26">IF($B2="Ireland",1,0)</f>
        <v>0</v>
      </c>
      <c r="BA2" s="109">
        <f t="shared" ref="BA2:BA65" si="27">IF($B2="Finland",1,0)</f>
        <v>0</v>
      </c>
    </row>
    <row r="3" spans="1:53" x14ac:dyDescent="0.35">
      <c r="A3" s="143">
        <v>29951</v>
      </c>
      <c r="B3" s="106" t="s">
        <v>45</v>
      </c>
      <c r="C3" s="106" t="s">
        <v>102</v>
      </c>
      <c r="D3" s="83">
        <f t="shared" si="0"/>
        <v>0</v>
      </c>
      <c r="E3" s="106" t="s">
        <v>235</v>
      </c>
      <c r="F3" s="83">
        <f t="shared" si="1"/>
        <v>1</v>
      </c>
      <c r="G3" s="106">
        <v>330000000</v>
      </c>
      <c r="H3" s="83">
        <f t="shared" si="2"/>
        <v>8.518513939877888</v>
      </c>
      <c r="I3" s="143">
        <v>34281</v>
      </c>
      <c r="J3" s="106">
        <v>340000000</v>
      </c>
      <c r="K3" s="145">
        <f t="shared" si="3"/>
        <v>11.863013698630137</v>
      </c>
      <c r="L3" s="148">
        <f t="shared" ref="L3:L66" si="28">LOG(K3)</f>
        <v>1.0741950318968907</v>
      </c>
      <c r="M3" s="106">
        <v>0</v>
      </c>
      <c r="N3" s="106">
        <f t="shared" si="4"/>
        <v>0</v>
      </c>
      <c r="O3" s="106">
        <v>59</v>
      </c>
      <c r="P3" s="108">
        <f t="shared" ref="P3:P66" si="29">IF(O3=0,0,LOG(O3))</f>
        <v>1.7708520116421442</v>
      </c>
      <c r="Q3" s="59">
        <v>2.95</v>
      </c>
      <c r="R3" s="65">
        <f t="shared" ref="R3:R66" si="30">LOG(Q3)</f>
        <v>0.46982201597816303</v>
      </c>
      <c r="S3" s="154">
        <f t="shared" si="5"/>
        <v>3.0303030303030276E-2</v>
      </c>
      <c r="T3" s="119">
        <f t="shared" si="6"/>
        <v>1.2964977164367635E-2</v>
      </c>
      <c r="U3" s="106">
        <v>1171.498</v>
      </c>
      <c r="V3" s="106">
        <f t="shared" si="7"/>
        <v>3.0687415514991745</v>
      </c>
      <c r="W3" s="106">
        <v>3386.1060000000002</v>
      </c>
      <c r="X3" s="106">
        <f t="shared" si="8"/>
        <v>3.5297005493117593</v>
      </c>
      <c r="Y3" s="118">
        <v>0</v>
      </c>
      <c r="Z3" s="118">
        <f t="shared" si="9"/>
        <v>0</v>
      </c>
      <c r="AA3" s="106">
        <v>85</v>
      </c>
      <c r="AB3" s="108">
        <f t="shared" ref="AB3:AB66" si="31">LOG(AA3)</f>
        <v>1.9294189257142926</v>
      </c>
      <c r="AC3" s="119">
        <v>25.9</v>
      </c>
      <c r="AD3" s="127">
        <f t="shared" ref="AD3:AD66" si="32">LOG(AC3)</f>
        <v>1.4132997640812519</v>
      </c>
      <c r="AE3" s="120">
        <v>40.815825693332798</v>
      </c>
      <c r="AF3" s="128">
        <f t="shared" ref="AF3:AF66" si="33">LOG(AE3)</f>
        <v>1.6108285865865359</v>
      </c>
      <c r="AG3" s="152">
        <v>0.22</v>
      </c>
      <c r="AH3" s="119">
        <f t="shared" si="10"/>
        <v>8.6359830674748214E-2</v>
      </c>
      <c r="AI3" s="106">
        <v>0</v>
      </c>
      <c r="AJ3" s="108">
        <v>0</v>
      </c>
      <c r="AK3" s="106">
        <f t="shared" si="11"/>
        <v>0</v>
      </c>
      <c r="AL3" s="106">
        <f t="shared" si="12"/>
        <v>1</v>
      </c>
      <c r="AM3" s="106">
        <f t="shared" si="13"/>
        <v>0</v>
      </c>
      <c r="AN3" s="106">
        <f t="shared" si="14"/>
        <v>0</v>
      </c>
      <c r="AO3" s="106">
        <f t="shared" si="15"/>
        <v>0</v>
      </c>
      <c r="AP3" s="106">
        <f t="shared" si="16"/>
        <v>0</v>
      </c>
      <c r="AQ3" s="106">
        <f t="shared" si="17"/>
        <v>0</v>
      </c>
      <c r="AR3" s="106">
        <f t="shared" si="18"/>
        <v>0</v>
      </c>
      <c r="AS3" s="106">
        <f t="shared" si="19"/>
        <v>0</v>
      </c>
      <c r="AT3" s="106">
        <f t="shared" si="20"/>
        <v>0</v>
      </c>
      <c r="AU3" s="106">
        <f t="shared" si="21"/>
        <v>0</v>
      </c>
      <c r="AV3" s="106">
        <f t="shared" si="22"/>
        <v>0</v>
      </c>
      <c r="AW3" s="106">
        <f t="shared" si="23"/>
        <v>0</v>
      </c>
      <c r="AX3" s="106">
        <f t="shared" si="24"/>
        <v>0</v>
      </c>
      <c r="AY3" s="106">
        <f t="shared" si="25"/>
        <v>0</v>
      </c>
      <c r="AZ3" s="106">
        <f t="shared" si="26"/>
        <v>0</v>
      </c>
      <c r="BA3" s="107">
        <f t="shared" si="27"/>
        <v>0</v>
      </c>
    </row>
    <row r="4" spans="1:53" x14ac:dyDescent="0.35">
      <c r="A4" s="146">
        <v>30252</v>
      </c>
      <c r="B4" s="108" t="s">
        <v>45</v>
      </c>
      <c r="C4" s="108" t="s">
        <v>102</v>
      </c>
      <c r="D4" s="84">
        <f t="shared" si="0"/>
        <v>0</v>
      </c>
      <c r="E4" s="108" t="s">
        <v>186</v>
      </c>
      <c r="F4" s="84">
        <f t="shared" si="1"/>
        <v>4</v>
      </c>
      <c r="G4" s="108">
        <v>245000000</v>
      </c>
      <c r="H4" s="84">
        <f t="shared" si="2"/>
        <v>8.3891660843645326</v>
      </c>
      <c r="I4" s="146">
        <v>31184</v>
      </c>
      <c r="J4" s="108">
        <v>510000000</v>
      </c>
      <c r="K4" s="148">
        <f t="shared" si="3"/>
        <v>2.5534246575342467</v>
      </c>
      <c r="L4" s="148">
        <f t="shared" si="28"/>
        <v>0.4071230478975067</v>
      </c>
      <c r="M4" s="108">
        <v>0</v>
      </c>
      <c r="N4" s="108">
        <f t="shared" si="4"/>
        <v>0</v>
      </c>
      <c r="O4" s="108">
        <v>63</v>
      </c>
      <c r="P4" s="108">
        <f t="shared" si="29"/>
        <v>1.7993405494535817</v>
      </c>
      <c r="Q4" s="65">
        <v>2.95</v>
      </c>
      <c r="R4" s="65">
        <f t="shared" si="30"/>
        <v>0.46982201597816303</v>
      </c>
      <c r="S4" s="155">
        <f t="shared" si="5"/>
        <v>1.0816326530612246</v>
      </c>
      <c r="T4" s="127">
        <f t="shared" si="6"/>
        <v>0.31840409173340389</v>
      </c>
      <c r="U4" s="108">
        <v>1171.498</v>
      </c>
      <c r="V4" s="108">
        <f t="shared" si="7"/>
        <v>3.0687415514991745</v>
      </c>
      <c r="W4" s="108">
        <v>3386.1060000000002</v>
      </c>
      <c r="X4" s="108">
        <f t="shared" si="8"/>
        <v>3.5297005493117593</v>
      </c>
      <c r="Y4" s="126">
        <v>0</v>
      </c>
      <c r="Z4" s="126">
        <f t="shared" si="9"/>
        <v>0</v>
      </c>
      <c r="AA4" s="108">
        <v>85</v>
      </c>
      <c r="AB4" s="108">
        <f t="shared" si="31"/>
        <v>1.9294189257142926</v>
      </c>
      <c r="AC4" s="127">
        <v>26</v>
      </c>
      <c r="AD4" s="127">
        <f t="shared" si="32"/>
        <v>1.414973347970818</v>
      </c>
      <c r="AE4" s="128">
        <v>40.815825693332798</v>
      </c>
      <c r="AF4" s="128">
        <f t="shared" si="33"/>
        <v>1.6108285865865359</v>
      </c>
      <c r="AG4" s="153">
        <v>-0.24</v>
      </c>
      <c r="AH4" s="127">
        <f t="shared" si="10"/>
        <v>-0.11918640771920865</v>
      </c>
      <c r="AI4" s="108">
        <v>16</v>
      </c>
      <c r="AJ4" s="108">
        <f t="shared" ref="AJ4:AJ66" si="34">LOG(AI4)</f>
        <v>1.2041199826559248</v>
      </c>
      <c r="AK4" s="108">
        <f t="shared" si="11"/>
        <v>0</v>
      </c>
      <c r="AL4" s="108">
        <f t="shared" si="12"/>
        <v>1</v>
      </c>
      <c r="AM4" s="108">
        <f t="shared" si="13"/>
        <v>0</v>
      </c>
      <c r="AN4" s="108">
        <f t="shared" si="14"/>
        <v>0</v>
      </c>
      <c r="AO4" s="108">
        <f t="shared" si="15"/>
        <v>0</v>
      </c>
      <c r="AP4" s="108">
        <f t="shared" si="16"/>
        <v>0</v>
      </c>
      <c r="AQ4" s="108">
        <f t="shared" si="17"/>
        <v>0</v>
      </c>
      <c r="AR4" s="108">
        <f t="shared" si="18"/>
        <v>0</v>
      </c>
      <c r="AS4" s="108">
        <f t="shared" si="19"/>
        <v>0</v>
      </c>
      <c r="AT4" s="108">
        <f t="shared" si="20"/>
        <v>0</v>
      </c>
      <c r="AU4" s="108">
        <f t="shared" si="21"/>
        <v>0</v>
      </c>
      <c r="AV4" s="108">
        <f t="shared" si="22"/>
        <v>0</v>
      </c>
      <c r="AW4" s="108">
        <f t="shared" si="23"/>
        <v>0</v>
      </c>
      <c r="AX4" s="108">
        <f t="shared" si="24"/>
        <v>0</v>
      </c>
      <c r="AY4" s="108">
        <f t="shared" si="25"/>
        <v>0</v>
      </c>
      <c r="AZ4" s="108">
        <f t="shared" si="26"/>
        <v>0</v>
      </c>
      <c r="BA4" s="109">
        <f t="shared" si="27"/>
        <v>0</v>
      </c>
    </row>
    <row r="5" spans="1:53" x14ac:dyDescent="0.35">
      <c r="A5" s="143">
        <v>30924</v>
      </c>
      <c r="B5" s="106" t="s">
        <v>45</v>
      </c>
      <c r="C5" s="106" t="s">
        <v>102</v>
      </c>
      <c r="D5" s="83">
        <f t="shared" si="0"/>
        <v>0</v>
      </c>
      <c r="E5" s="106" t="s">
        <v>248</v>
      </c>
      <c r="F5" s="83">
        <f t="shared" si="1"/>
        <v>5</v>
      </c>
      <c r="G5" s="106">
        <v>596000000</v>
      </c>
      <c r="H5" s="83">
        <f t="shared" si="2"/>
        <v>8.7752462597402356</v>
      </c>
      <c r="I5" s="143">
        <v>33979</v>
      </c>
      <c r="J5" s="106">
        <v>269500000</v>
      </c>
      <c r="K5" s="145">
        <f t="shared" si="3"/>
        <v>8.3698630136986303</v>
      </c>
      <c r="L5" s="148">
        <f t="shared" si="28"/>
        <v>0.92271835012209835</v>
      </c>
      <c r="M5" s="106">
        <v>0</v>
      </c>
      <c r="N5" s="106">
        <f t="shared" si="4"/>
        <v>0</v>
      </c>
      <c r="O5" s="106">
        <v>5</v>
      </c>
      <c r="P5" s="108">
        <f t="shared" si="29"/>
        <v>0.69897000433601886</v>
      </c>
      <c r="Q5" s="59">
        <v>2.95</v>
      </c>
      <c r="R5" s="65">
        <f t="shared" si="30"/>
        <v>0.46982201597816303</v>
      </c>
      <c r="S5" s="154">
        <f t="shared" si="5"/>
        <v>-0.54781879194630867</v>
      </c>
      <c r="T5" s="119">
        <f t="shared" si="6"/>
        <v>-0.34468749021747885</v>
      </c>
      <c r="U5" s="106">
        <v>1171.498</v>
      </c>
      <c r="V5" s="106">
        <f t="shared" si="7"/>
        <v>3.0687415514991745</v>
      </c>
      <c r="W5" s="106">
        <v>3386.1060000000002</v>
      </c>
      <c r="X5" s="106">
        <f t="shared" si="8"/>
        <v>3.5297005493117593</v>
      </c>
      <c r="Y5" s="118">
        <v>0</v>
      </c>
      <c r="Z5" s="118">
        <f t="shared" si="9"/>
        <v>0</v>
      </c>
      <c r="AA5" s="106">
        <v>85</v>
      </c>
      <c r="AB5" s="108">
        <f t="shared" si="31"/>
        <v>1.9294189257142926</v>
      </c>
      <c r="AC5" s="119">
        <v>24.1</v>
      </c>
      <c r="AD5" s="127">
        <f t="shared" si="32"/>
        <v>1.3820170425748683</v>
      </c>
      <c r="AE5" s="120">
        <v>36.728532427451597</v>
      </c>
      <c r="AF5" s="128">
        <f t="shared" si="33"/>
        <v>1.5650035754622837</v>
      </c>
      <c r="AG5" s="152">
        <v>-0.03</v>
      </c>
      <c r="AH5" s="119">
        <f t="shared" si="10"/>
        <v>-1.322826573375516E-2</v>
      </c>
      <c r="AI5" s="106">
        <v>9</v>
      </c>
      <c r="AJ5" s="108">
        <f t="shared" si="34"/>
        <v>0.95424250943932487</v>
      </c>
      <c r="AK5" s="106">
        <f t="shared" si="11"/>
        <v>0</v>
      </c>
      <c r="AL5" s="106">
        <f t="shared" si="12"/>
        <v>1</v>
      </c>
      <c r="AM5" s="106">
        <f t="shared" si="13"/>
        <v>0</v>
      </c>
      <c r="AN5" s="106">
        <f t="shared" si="14"/>
        <v>0</v>
      </c>
      <c r="AO5" s="106">
        <f t="shared" si="15"/>
        <v>0</v>
      </c>
      <c r="AP5" s="106">
        <f t="shared" si="16"/>
        <v>0</v>
      </c>
      <c r="AQ5" s="106">
        <f t="shared" si="17"/>
        <v>0</v>
      </c>
      <c r="AR5" s="106">
        <f t="shared" si="18"/>
        <v>0</v>
      </c>
      <c r="AS5" s="106">
        <f t="shared" si="19"/>
        <v>0</v>
      </c>
      <c r="AT5" s="106">
        <f t="shared" si="20"/>
        <v>0</v>
      </c>
      <c r="AU5" s="106">
        <f t="shared" si="21"/>
        <v>0</v>
      </c>
      <c r="AV5" s="106">
        <f t="shared" si="22"/>
        <v>0</v>
      </c>
      <c r="AW5" s="106">
        <f t="shared" si="23"/>
        <v>0</v>
      </c>
      <c r="AX5" s="106">
        <f t="shared" si="24"/>
        <v>0</v>
      </c>
      <c r="AY5" s="106">
        <f t="shared" si="25"/>
        <v>0</v>
      </c>
      <c r="AZ5" s="106">
        <f t="shared" si="26"/>
        <v>0</v>
      </c>
      <c r="BA5" s="107">
        <f t="shared" si="27"/>
        <v>0</v>
      </c>
    </row>
    <row r="6" spans="1:53" x14ac:dyDescent="0.35">
      <c r="A6" s="146">
        <v>31728</v>
      </c>
      <c r="B6" s="108" t="s">
        <v>45</v>
      </c>
      <c r="C6" s="108" t="s">
        <v>102</v>
      </c>
      <c r="D6" s="84">
        <f t="shared" si="0"/>
        <v>0</v>
      </c>
      <c r="E6" s="108" t="s">
        <v>326</v>
      </c>
      <c r="F6" s="84">
        <f t="shared" si="1"/>
        <v>8</v>
      </c>
      <c r="G6" s="108">
        <v>3600000000</v>
      </c>
      <c r="H6" s="84">
        <f t="shared" si="2"/>
        <v>9.5563025007672877</v>
      </c>
      <c r="I6" s="146">
        <v>33554</v>
      </c>
      <c r="J6" s="108">
        <v>528000000</v>
      </c>
      <c r="K6" s="148">
        <f t="shared" si="3"/>
        <v>5.0027397260273974</v>
      </c>
      <c r="L6" s="148">
        <f t="shared" si="28"/>
        <v>0.6992079087418055</v>
      </c>
      <c r="M6" s="108">
        <v>0</v>
      </c>
      <c r="N6" s="108">
        <f t="shared" si="4"/>
        <v>0</v>
      </c>
      <c r="O6" s="108">
        <v>57</v>
      </c>
      <c r="P6" s="108">
        <f t="shared" si="29"/>
        <v>1.7558748556724915</v>
      </c>
      <c r="Q6" s="65">
        <v>2.95</v>
      </c>
      <c r="R6" s="65">
        <f t="shared" si="30"/>
        <v>0.46982201597816303</v>
      </c>
      <c r="S6" s="155">
        <f t="shared" si="5"/>
        <v>-0.85333333333333328</v>
      </c>
      <c r="T6" s="127">
        <f t="shared" si="6"/>
        <v>-0.83366857823347484</v>
      </c>
      <c r="U6" s="108">
        <v>1171.498</v>
      </c>
      <c r="V6" s="108">
        <f t="shared" si="7"/>
        <v>3.0687415514991745</v>
      </c>
      <c r="W6" s="108">
        <v>3386.1060000000002</v>
      </c>
      <c r="X6" s="108">
        <f t="shared" si="8"/>
        <v>3.5297005493117593</v>
      </c>
      <c r="Y6" s="126">
        <v>0</v>
      </c>
      <c r="Z6" s="126">
        <f t="shared" si="9"/>
        <v>0</v>
      </c>
      <c r="AA6" s="108">
        <v>85</v>
      </c>
      <c r="AB6" s="108">
        <f t="shared" si="31"/>
        <v>1.9294189257142926</v>
      </c>
      <c r="AC6" s="127">
        <v>24.6</v>
      </c>
      <c r="AD6" s="127">
        <f t="shared" si="32"/>
        <v>1.3909351071033791</v>
      </c>
      <c r="AE6" s="128">
        <v>37.767307016657</v>
      </c>
      <c r="AF6" s="128">
        <f t="shared" si="33"/>
        <v>1.5771160187300453</v>
      </c>
      <c r="AG6" s="153">
        <v>-0.15</v>
      </c>
      <c r="AH6" s="127">
        <f t="shared" si="10"/>
        <v>-7.0581074285707285E-2</v>
      </c>
      <c r="AI6" s="108">
        <v>17</v>
      </c>
      <c r="AJ6" s="108">
        <f t="shared" si="34"/>
        <v>1.2304489213782739</v>
      </c>
      <c r="AK6" s="108">
        <f t="shared" si="11"/>
        <v>0</v>
      </c>
      <c r="AL6" s="108">
        <f t="shared" si="12"/>
        <v>1</v>
      </c>
      <c r="AM6" s="108">
        <f t="shared" si="13"/>
        <v>0</v>
      </c>
      <c r="AN6" s="108">
        <f t="shared" si="14"/>
        <v>0</v>
      </c>
      <c r="AO6" s="108">
        <f t="shared" si="15"/>
        <v>0</v>
      </c>
      <c r="AP6" s="108">
        <f t="shared" si="16"/>
        <v>0</v>
      </c>
      <c r="AQ6" s="108">
        <f t="shared" si="17"/>
        <v>0</v>
      </c>
      <c r="AR6" s="108">
        <f t="shared" si="18"/>
        <v>0</v>
      </c>
      <c r="AS6" s="108">
        <f t="shared" si="19"/>
        <v>0</v>
      </c>
      <c r="AT6" s="108">
        <f t="shared" si="20"/>
        <v>0</v>
      </c>
      <c r="AU6" s="108">
        <f t="shared" si="21"/>
        <v>0</v>
      </c>
      <c r="AV6" s="108">
        <f t="shared" si="22"/>
        <v>0</v>
      </c>
      <c r="AW6" s="108">
        <f t="shared" si="23"/>
        <v>0</v>
      </c>
      <c r="AX6" s="108">
        <f t="shared" si="24"/>
        <v>0</v>
      </c>
      <c r="AY6" s="108">
        <f t="shared" si="25"/>
        <v>0</v>
      </c>
      <c r="AZ6" s="108">
        <f t="shared" si="26"/>
        <v>0</v>
      </c>
      <c r="BA6" s="109">
        <f t="shared" si="27"/>
        <v>0</v>
      </c>
    </row>
    <row r="7" spans="1:53" x14ac:dyDescent="0.35">
      <c r="A7" s="143">
        <v>32508</v>
      </c>
      <c r="B7" s="106" t="s">
        <v>45</v>
      </c>
      <c r="C7" s="106" t="s">
        <v>47</v>
      </c>
      <c r="D7" s="83">
        <f t="shared" si="0"/>
        <v>0</v>
      </c>
      <c r="E7" s="106" t="s">
        <v>248</v>
      </c>
      <c r="F7" s="83">
        <f t="shared" si="1"/>
        <v>5</v>
      </c>
      <c r="G7" s="106">
        <v>2610000000</v>
      </c>
      <c r="H7" s="83">
        <f t="shared" si="2"/>
        <v>9.4166405073382808</v>
      </c>
      <c r="I7" s="143">
        <v>36948</v>
      </c>
      <c r="J7" s="106">
        <v>260000000</v>
      </c>
      <c r="K7" s="145">
        <f t="shared" si="3"/>
        <v>12.164383561643836</v>
      </c>
      <c r="L7" s="148">
        <f t="shared" si="28"/>
        <v>1.0850901056581452</v>
      </c>
      <c r="M7" s="106">
        <v>0</v>
      </c>
      <c r="N7" s="106">
        <f t="shared" si="4"/>
        <v>0</v>
      </c>
      <c r="O7" s="106">
        <v>145</v>
      </c>
      <c r="P7" s="108">
        <f t="shared" si="29"/>
        <v>2.1613680022349748</v>
      </c>
      <c r="Q7" s="59">
        <v>2.95</v>
      </c>
      <c r="R7" s="65">
        <f t="shared" si="30"/>
        <v>0.46982201597816303</v>
      </c>
      <c r="S7" s="154">
        <f t="shared" si="5"/>
        <v>-0.90038314176245215</v>
      </c>
      <c r="T7" s="119">
        <f t="shared" si="6"/>
        <v>-1.0016671593674633</v>
      </c>
      <c r="U7" s="106">
        <v>2315.9650000000001</v>
      </c>
      <c r="V7" s="106">
        <f t="shared" si="7"/>
        <v>3.3647319918335836</v>
      </c>
      <c r="W7" s="106">
        <v>3703.9029999999998</v>
      </c>
      <c r="X7" s="106">
        <f t="shared" si="8"/>
        <v>3.568659604598353</v>
      </c>
      <c r="Y7" s="106">
        <v>0</v>
      </c>
      <c r="Z7" s="118">
        <f t="shared" si="9"/>
        <v>0</v>
      </c>
      <c r="AA7" s="106">
        <v>85</v>
      </c>
      <c r="AB7" s="108">
        <f t="shared" si="31"/>
        <v>1.9294189257142926</v>
      </c>
      <c r="AC7" s="119">
        <v>25.4</v>
      </c>
      <c r="AD7" s="127">
        <f t="shared" si="32"/>
        <v>1.4048337166199381</v>
      </c>
      <c r="AE7" s="120">
        <v>36.691491429861301</v>
      </c>
      <c r="AF7" s="128">
        <f t="shared" si="33"/>
        <v>1.5645653652472133</v>
      </c>
      <c r="AG7" s="152">
        <v>-0.01</v>
      </c>
      <c r="AH7" s="119">
        <f t="shared" si="10"/>
        <v>-4.3648054024500883E-3</v>
      </c>
      <c r="AI7" s="106">
        <v>16</v>
      </c>
      <c r="AJ7" s="108">
        <f t="shared" si="34"/>
        <v>1.2041199826559248</v>
      </c>
      <c r="AK7" s="106">
        <f t="shared" si="11"/>
        <v>0</v>
      </c>
      <c r="AL7" s="106">
        <f t="shared" si="12"/>
        <v>1</v>
      </c>
      <c r="AM7" s="106">
        <f t="shared" si="13"/>
        <v>0</v>
      </c>
      <c r="AN7" s="106">
        <f t="shared" si="14"/>
        <v>0</v>
      </c>
      <c r="AO7" s="106">
        <f t="shared" si="15"/>
        <v>0</v>
      </c>
      <c r="AP7" s="106">
        <f t="shared" si="16"/>
        <v>0</v>
      </c>
      <c r="AQ7" s="106">
        <f t="shared" si="17"/>
        <v>0</v>
      </c>
      <c r="AR7" s="106">
        <f t="shared" si="18"/>
        <v>0</v>
      </c>
      <c r="AS7" s="106">
        <f t="shared" si="19"/>
        <v>0</v>
      </c>
      <c r="AT7" s="106">
        <f t="shared" si="20"/>
        <v>0</v>
      </c>
      <c r="AU7" s="106">
        <f t="shared" si="21"/>
        <v>0</v>
      </c>
      <c r="AV7" s="106">
        <f t="shared" si="22"/>
        <v>0</v>
      </c>
      <c r="AW7" s="106">
        <f t="shared" si="23"/>
        <v>0</v>
      </c>
      <c r="AX7" s="106">
        <f t="shared" si="24"/>
        <v>0</v>
      </c>
      <c r="AY7" s="106">
        <f t="shared" si="25"/>
        <v>0</v>
      </c>
      <c r="AZ7" s="106">
        <f t="shared" si="26"/>
        <v>0</v>
      </c>
      <c r="BA7" s="107">
        <f t="shared" si="27"/>
        <v>0</v>
      </c>
    </row>
    <row r="8" spans="1:53" x14ac:dyDescent="0.35">
      <c r="A8" s="146">
        <v>33238</v>
      </c>
      <c r="B8" s="108" t="s">
        <v>59</v>
      </c>
      <c r="C8" s="108" t="s">
        <v>102</v>
      </c>
      <c r="D8" s="84">
        <f t="shared" si="0"/>
        <v>0</v>
      </c>
      <c r="E8" s="108" t="s">
        <v>326</v>
      </c>
      <c r="F8" s="84">
        <f t="shared" si="1"/>
        <v>8</v>
      </c>
      <c r="G8" s="108">
        <v>84500000</v>
      </c>
      <c r="H8" s="84">
        <f t="shared" si="2"/>
        <v>7.9268567089496926</v>
      </c>
      <c r="I8" s="146">
        <v>37049</v>
      </c>
      <c r="J8" s="108">
        <v>148060000</v>
      </c>
      <c r="K8" s="148">
        <f t="shared" si="3"/>
        <v>10.441095890410958</v>
      </c>
      <c r="L8" s="148">
        <f t="shared" si="28"/>
        <v>1.0187460843156924</v>
      </c>
      <c r="M8" s="108">
        <v>0</v>
      </c>
      <c r="N8" s="108">
        <f t="shared" si="4"/>
        <v>0</v>
      </c>
      <c r="O8" s="108">
        <v>24</v>
      </c>
      <c r="P8" s="108">
        <f t="shared" si="29"/>
        <v>1.3802112417116059</v>
      </c>
      <c r="Q8" s="65">
        <v>3.29</v>
      </c>
      <c r="R8" s="65">
        <f t="shared" si="30"/>
        <v>0.51719589794997434</v>
      </c>
      <c r="S8" s="155">
        <f t="shared" si="5"/>
        <v>0.75218934911242608</v>
      </c>
      <c r="T8" s="127">
        <f t="shared" si="6"/>
        <v>0.24358103609649076</v>
      </c>
      <c r="U8" s="108">
        <v>1709.090909090909</v>
      </c>
      <c r="V8" s="108">
        <f t="shared" si="7"/>
        <v>3.2327651641054547</v>
      </c>
      <c r="W8" s="108">
        <v>8968.5950413223145</v>
      </c>
      <c r="X8" s="108">
        <f t="shared" si="8"/>
        <v>3.9527244147731087</v>
      </c>
      <c r="Y8" s="126">
        <v>0</v>
      </c>
      <c r="Z8" s="126">
        <f t="shared" si="9"/>
        <v>0</v>
      </c>
      <c r="AA8" s="108">
        <v>100</v>
      </c>
      <c r="AB8" s="108">
        <f t="shared" si="31"/>
        <v>2</v>
      </c>
      <c r="AC8" s="127">
        <v>32.9</v>
      </c>
      <c r="AD8" s="127">
        <f t="shared" si="32"/>
        <v>1.5171958979499742</v>
      </c>
      <c r="AE8" s="128">
        <v>49.329709120205997</v>
      </c>
      <c r="AF8" s="128">
        <f t="shared" si="33"/>
        <v>1.6931085545892062</v>
      </c>
      <c r="AG8" s="153">
        <v>0.41</v>
      </c>
      <c r="AH8" s="127">
        <f t="shared" si="10"/>
        <v>0.14921911265537988</v>
      </c>
      <c r="AI8" s="108">
        <v>34</v>
      </c>
      <c r="AJ8" s="108">
        <f t="shared" si="34"/>
        <v>1.5314789170422551</v>
      </c>
      <c r="AK8" s="108">
        <f t="shared" si="11"/>
        <v>0</v>
      </c>
      <c r="AL8" s="108">
        <f t="shared" si="12"/>
        <v>0</v>
      </c>
      <c r="AM8" s="108">
        <f t="shared" si="13"/>
        <v>1</v>
      </c>
      <c r="AN8" s="108">
        <f t="shared" si="14"/>
        <v>0</v>
      </c>
      <c r="AO8" s="108">
        <f t="shared" si="15"/>
        <v>0</v>
      </c>
      <c r="AP8" s="108">
        <f t="shared" si="16"/>
        <v>0</v>
      </c>
      <c r="AQ8" s="108">
        <f t="shared" si="17"/>
        <v>0</v>
      </c>
      <c r="AR8" s="108">
        <f t="shared" si="18"/>
        <v>0</v>
      </c>
      <c r="AS8" s="108">
        <f t="shared" si="19"/>
        <v>0</v>
      </c>
      <c r="AT8" s="108">
        <f t="shared" si="20"/>
        <v>0</v>
      </c>
      <c r="AU8" s="108">
        <f t="shared" si="21"/>
        <v>0</v>
      </c>
      <c r="AV8" s="108">
        <f t="shared" si="22"/>
        <v>0</v>
      </c>
      <c r="AW8" s="108">
        <f t="shared" si="23"/>
        <v>0</v>
      </c>
      <c r="AX8" s="108">
        <f t="shared" si="24"/>
        <v>0</v>
      </c>
      <c r="AY8" s="108">
        <f t="shared" si="25"/>
        <v>0</v>
      </c>
      <c r="AZ8" s="108">
        <f t="shared" si="26"/>
        <v>0</v>
      </c>
      <c r="BA8" s="109">
        <f t="shared" si="27"/>
        <v>0</v>
      </c>
    </row>
    <row r="9" spans="1:53" x14ac:dyDescent="0.35">
      <c r="A9" s="143">
        <v>34772</v>
      </c>
      <c r="B9" s="106" t="s">
        <v>45</v>
      </c>
      <c r="C9" s="106" t="s">
        <v>102</v>
      </c>
      <c r="D9" s="83">
        <f t="shared" si="0"/>
        <v>0</v>
      </c>
      <c r="E9" s="106" t="s">
        <v>269</v>
      </c>
      <c r="F9" s="83">
        <f t="shared" si="1"/>
        <v>7</v>
      </c>
      <c r="G9" s="106">
        <v>2100060000</v>
      </c>
      <c r="H9" s="83">
        <f t="shared" si="2"/>
        <v>9.3222317029704289</v>
      </c>
      <c r="I9" s="143">
        <v>38329</v>
      </c>
      <c r="J9" s="106">
        <v>1200000000</v>
      </c>
      <c r="K9" s="145">
        <f t="shared" si="3"/>
        <v>9.7452054794520553</v>
      </c>
      <c r="L9" s="148">
        <f t="shared" si="28"/>
        <v>0.9887910007293057</v>
      </c>
      <c r="M9" s="106">
        <v>0</v>
      </c>
      <c r="N9" s="106">
        <f t="shared" si="4"/>
        <v>0</v>
      </c>
      <c r="O9" s="106">
        <v>138</v>
      </c>
      <c r="P9" s="108">
        <f t="shared" si="29"/>
        <v>2.1398790864012365</v>
      </c>
      <c r="Q9" s="59">
        <v>2.95</v>
      </c>
      <c r="R9" s="65">
        <f t="shared" si="30"/>
        <v>0.46982201597816303</v>
      </c>
      <c r="S9" s="154">
        <f t="shared" si="5"/>
        <v>-0.42858775463558185</v>
      </c>
      <c r="T9" s="119">
        <f t="shared" si="6"/>
        <v>-0.24305045692280344</v>
      </c>
      <c r="U9" s="106">
        <v>1171.498</v>
      </c>
      <c r="V9" s="106">
        <f t="shared" si="7"/>
        <v>3.0687415514991745</v>
      </c>
      <c r="W9" s="106">
        <v>3386.1060000000002</v>
      </c>
      <c r="X9" s="106">
        <f t="shared" si="8"/>
        <v>3.5297005493117593</v>
      </c>
      <c r="Y9" s="118">
        <v>0</v>
      </c>
      <c r="Z9" s="118">
        <f t="shared" si="9"/>
        <v>0</v>
      </c>
      <c r="AA9" s="106">
        <v>85</v>
      </c>
      <c r="AB9" s="108">
        <f t="shared" si="31"/>
        <v>1.9294189257142926</v>
      </c>
      <c r="AC9" s="119">
        <v>26.5</v>
      </c>
      <c r="AD9" s="127">
        <f t="shared" si="32"/>
        <v>1.4232458739368079</v>
      </c>
      <c r="AE9" s="120">
        <v>37.808596853116498</v>
      </c>
      <c r="AF9" s="128">
        <f t="shared" si="33"/>
        <v>1.577590560190987</v>
      </c>
      <c r="AG9" s="152">
        <v>-0.2</v>
      </c>
      <c r="AH9" s="119">
        <f t="shared" si="10"/>
        <v>-9.6910013008056392E-2</v>
      </c>
      <c r="AI9" s="106">
        <v>46</v>
      </c>
      <c r="AJ9" s="108">
        <f t="shared" si="34"/>
        <v>1.6627578316815741</v>
      </c>
      <c r="AK9" s="106">
        <f t="shared" si="11"/>
        <v>0</v>
      </c>
      <c r="AL9" s="106">
        <f t="shared" si="12"/>
        <v>1</v>
      </c>
      <c r="AM9" s="106">
        <f t="shared" si="13"/>
        <v>0</v>
      </c>
      <c r="AN9" s="106">
        <f t="shared" si="14"/>
        <v>0</v>
      </c>
      <c r="AO9" s="106">
        <f t="shared" si="15"/>
        <v>0</v>
      </c>
      <c r="AP9" s="106">
        <f t="shared" si="16"/>
        <v>0</v>
      </c>
      <c r="AQ9" s="106">
        <f t="shared" si="17"/>
        <v>0</v>
      </c>
      <c r="AR9" s="106">
        <f t="shared" si="18"/>
        <v>0</v>
      </c>
      <c r="AS9" s="106">
        <f t="shared" si="19"/>
        <v>0</v>
      </c>
      <c r="AT9" s="106">
        <f t="shared" si="20"/>
        <v>0</v>
      </c>
      <c r="AU9" s="106">
        <f t="shared" si="21"/>
        <v>0</v>
      </c>
      <c r="AV9" s="106">
        <f t="shared" si="22"/>
        <v>0</v>
      </c>
      <c r="AW9" s="106">
        <f t="shared" si="23"/>
        <v>0</v>
      </c>
      <c r="AX9" s="106">
        <f t="shared" si="24"/>
        <v>0</v>
      </c>
      <c r="AY9" s="106">
        <f t="shared" si="25"/>
        <v>0</v>
      </c>
      <c r="AZ9" s="106">
        <f t="shared" si="26"/>
        <v>0</v>
      </c>
      <c r="BA9" s="107">
        <f t="shared" si="27"/>
        <v>0</v>
      </c>
    </row>
    <row r="10" spans="1:53" x14ac:dyDescent="0.35">
      <c r="A10" s="146">
        <v>35144</v>
      </c>
      <c r="B10" s="108" t="s">
        <v>45</v>
      </c>
      <c r="C10" s="108" t="s">
        <v>47</v>
      </c>
      <c r="D10" s="84">
        <f t="shared" si="0"/>
        <v>0</v>
      </c>
      <c r="E10" s="108" t="s">
        <v>326</v>
      </c>
      <c r="F10" s="84">
        <f t="shared" si="1"/>
        <v>8</v>
      </c>
      <c r="G10" s="108">
        <v>30000000</v>
      </c>
      <c r="H10" s="84">
        <f t="shared" si="2"/>
        <v>7.4771212547196626</v>
      </c>
      <c r="I10" s="146">
        <v>36983</v>
      </c>
      <c r="J10" s="108">
        <v>0</v>
      </c>
      <c r="K10" s="148">
        <f t="shared" si="3"/>
        <v>5.0383561643835613</v>
      </c>
      <c r="L10" s="148">
        <f t="shared" si="28"/>
        <v>0.70228886478160268</v>
      </c>
      <c r="M10" s="108">
        <v>0</v>
      </c>
      <c r="N10" s="108">
        <f t="shared" si="4"/>
        <v>0</v>
      </c>
      <c r="O10" s="108">
        <v>158</v>
      </c>
      <c r="P10" s="108">
        <f t="shared" si="29"/>
        <v>2.1986570869544226</v>
      </c>
      <c r="Q10" s="65">
        <v>2.95</v>
      </c>
      <c r="R10" s="65">
        <f t="shared" si="30"/>
        <v>0.46982201597816303</v>
      </c>
      <c r="S10" s="155">
        <f t="shared" si="5"/>
        <v>-1</v>
      </c>
      <c r="T10" s="127">
        <f t="shared" si="6"/>
        <v>-1</v>
      </c>
      <c r="U10" s="108">
        <v>2315.9650000000001</v>
      </c>
      <c r="V10" s="108">
        <f t="shared" si="7"/>
        <v>3.3647319918335836</v>
      </c>
      <c r="W10" s="108">
        <v>3703.9029999999998</v>
      </c>
      <c r="X10" s="108">
        <f t="shared" si="8"/>
        <v>3.568659604598353</v>
      </c>
      <c r="Y10" s="108">
        <v>0</v>
      </c>
      <c r="Z10" s="126">
        <f t="shared" si="9"/>
        <v>0</v>
      </c>
      <c r="AA10" s="108">
        <v>85</v>
      </c>
      <c r="AB10" s="108">
        <f t="shared" si="31"/>
        <v>1.9294189257142926</v>
      </c>
      <c r="AC10" s="127">
        <v>27</v>
      </c>
      <c r="AD10" s="127">
        <f t="shared" si="32"/>
        <v>1.4313637641589874</v>
      </c>
      <c r="AE10" s="128">
        <v>37.123527923893597</v>
      </c>
      <c r="AF10" s="128">
        <f t="shared" si="33"/>
        <v>1.5696492413904459</v>
      </c>
      <c r="AG10" s="153">
        <v>0.6</v>
      </c>
      <c r="AH10" s="127">
        <f t="shared" si="10"/>
        <v>0.20411998265592479</v>
      </c>
      <c r="AI10" s="108">
        <v>4</v>
      </c>
      <c r="AJ10" s="108">
        <f t="shared" si="34"/>
        <v>0.6020599913279624</v>
      </c>
      <c r="AK10" s="108">
        <f t="shared" si="11"/>
        <v>1</v>
      </c>
      <c r="AL10" s="108">
        <f t="shared" si="12"/>
        <v>1</v>
      </c>
      <c r="AM10" s="108">
        <f t="shared" si="13"/>
        <v>0</v>
      </c>
      <c r="AN10" s="108">
        <f t="shared" si="14"/>
        <v>0</v>
      </c>
      <c r="AO10" s="108">
        <f t="shared" si="15"/>
        <v>0</v>
      </c>
      <c r="AP10" s="108">
        <f t="shared" si="16"/>
        <v>0</v>
      </c>
      <c r="AQ10" s="108">
        <f t="shared" si="17"/>
        <v>0</v>
      </c>
      <c r="AR10" s="108">
        <f t="shared" si="18"/>
        <v>0</v>
      </c>
      <c r="AS10" s="108">
        <f t="shared" si="19"/>
        <v>0</v>
      </c>
      <c r="AT10" s="108">
        <f t="shared" si="20"/>
        <v>0</v>
      </c>
      <c r="AU10" s="108">
        <f t="shared" si="21"/>
        <v>0</v>
      </c>
      <c r="AV10" s="108">
        <f t="shared" si="22"/>
        <v>0</v>
      </c>
      <c r="AW10" s="108">
        <f t="shared" si="23"/>
        <v>0</v>
      </c>
      <c r="AX10" s="108">
        <f t="shared" si="24"/>
        <v>0</v>
      </c>
      <c r="AY10" s="108">
        <f t="shared" si="25"/>
        <v>0</v>
      </c>
      <c r="AZ10" s="108">
        <f t="shared" si="26"/>
        <v>0</v>
      </c>
      <c r="BA10" s="109">
        <f t="shared" si="27"/>
        <v>0</v>
      </c>
    </row>
    <row r="11" spans="1:53" x14ac:dyDescent="0.35">
      <c r="A11" s="143">
        <v>35246</v>
      </c>
      <c r="B11" s="83" t="s">
        <v>45</v>
      </c>
      <c r="C11" s="83" t="s">
        <v>47</v>
      </c>
      <c r="D11" s="83">
        <f t="shared" si="0"/>
        <v>0</v>
      </c>
      <c r="E11" s="83" t="s">
        <v>326</v>
      </c>
      <c r="F11" s="83">
        <f t="shared" si="1"/>
        <v>8</v>
      </c>
      <c r="G11" s="83">
        <v>55000000</v>
      </c>
      <c r="H11" s="83">
        <f t="shared" si="2"/>
        <v>7.7403626894942441</v>
      </c>
      <c r="I11" s="144">
        <v>37529</v>
      </c>
      <c r="J11" s="83">
        <v>837500000</v>
      </c>
      <c r="K11" s="145">
        <f t="shared" si="3"/>
        <v>6.2547945205479456</v>
      </c>
      <c r="L11" s="148">
        <f t="shared" si="28"/>
        <v>0.79621304703376061</v>
      </c>
      <c r="M11" s="106">
        <v>0</v>
      </c>
      <c r="N11" s="106">
        <f t="shared" si="4"/>
        <v>0</v>
      </c>
      <c r="O11" s="106">
        <v>29</v>
      </c>
      <c r="P11" s="108">
        <f t="shared" si="29"/>
        <v>1.4623979978989561</v>
      </c>
      <c r="Q11" s="59">
        <v>2.95</v>
      </c>
      <c r="R11" s="65">
        <f t="shared" si="30"/>
        <v>0.46982201597816303</v>
      </c>
      <c r="S11" s="154">
        <f t="shared" si="5"/>
        <v>14.227272727272727</v>
      </c>
      <c r="T11" s="119">
        <f t="shared" si="6"/>
        <v>1.182622126214639</v>
      </c>
      <c r="U11" s="106">
        <v>2232.1428599999999</v>
      </c>
      <c r="V11" s="106">
        <f t="shared" si="7"/>
        <v>3.3487219865577531</v>
      </c>
      <c r="W11" s="64">
        <v>5650.5102040816337</v>
      </c>
      <c r="X11" s="106">
        <f t="shared" si="8"/>
        <v>3.7520876635386311</v>
      </c>
      <c r="Y11" s="118">
        <v>0</v>
      </c>
      <c r="Z11" s="118">
        <f t="shared" si="9"/>
        <v>0</v>
      </c>
      <c r="AA11" s="106">
        <v>85</v>
      </c>
      <c r="AB11" s="108">
        <f t="shared" si="31"/>
        <v>1.9294189257142926</v>
      </c>
      <c r="AC11" s="119">
        <v>27</v>
      </c>
      <c r="AD11" s="127">
        <f t="shared" si="32"/>
        <v>1.4313637641589874</v>
      </c>
      <c r="AE11" s="120">
        <v>37.123527923893597</v>
      </c>
      <c r="AF11" s="128">
        <f t="shared" si="33"/>
        <v>1.5696492413904459</v>
      </c>
      <c r="AG11" s="152">
        <v>0.28999999999999998</v>
      </c>
      <c r="AH11" s="119">
        <f t="shared" si="10"/>
        <v>0.11058971029924898</v>
      </c>
      <c r="AI11" s="106">
        <v>16</v>
      </c>
      <c r="AJ11" s="108">
        <f t="shared" si="34"/>
        <v>1.2041199826559248</v>
      </c>
      <c r="AK11" s="106">
        <f t="shared" si="11"/>
        <v>0</v>
      </c>
      <c r="AL11" s="106">
        <f t="shared" si="12"/>
        <v>1</v>
      </c>
      <c r="AM11" s="106">
        <f t="shared" si="13"/>
        <v>0</v>
      </c>
      <c r="AN11" s="106">
        <f t="shared" si="14"/>
        <v>0</v>
      </c>
      <c r="AO11" s="106">
        <f t="shared" si="15"/>
        <v>0</v>
      </c>
      <c r="AP11" s="106">
        <f t="shared" si="16"/>
        <v>0</v>
      </c>
      <c r="AQ11" s="106">
        <f t="shared" si="17"/>
        <v>0</v>
      </c>
      <c r="AR11" s="106">
        <f t="shared" si="18"/>
        <v>0</v>
      </c>
      <c r="AS11" s="106">
        <f t="shared" si="19"/>
        <v>0</v>
      </c>
      <c r="AT11" s="106">
        <f t="shared" si="20"/>
        <v>0</v>
      </c>
      <c r="AU11" s="106">
        <f t="shared" si="21"/>
        <v>0</v>
      </c>
      <c r="AV11" s="106">
        <f t="shared" si="22"/>
        <v>0</v>
      </c>
      <c r="AW11" s="106">
        <f t="shared" si="23"/>
        <v>0</v>
      </c>
      <c r="AX11" s="106">
        <f t="shared" si="24"/>
        <v>0</v>
      </c>
      <c r="AY11" s="106">
        <f t="shared" si="25"/>
        <v>0</v>
      </c>
      <c r="AZ11" s="106">
        <f t="shared" si="26"/>
        <v>0</v>
      </c>
      <c r="BA11" s="107">
        <f t="shared" si="27"/>
        <v>0</v>
      </c>
    </row>
    <row r="12" spans="1:53" x14ac:dyDescent="0.35">
      <c r="A12" s="146">
        <v>35381</v>
      </c>
      <c r="B12" s="108" t="s">
        <v>59</v>
      </c>
      <c r="C12" s="108" t="s">
        <v>102</v>
      </c>
      <c r="D12" s="84">
        <f t="shared" si="0"/>
        <v>0</v>
      </c>
      <c r="E12" s="108" t="s">
        <v>248</v>
      </c>
      <c r="F12" s="84">
        <f t="shared" si="1"/>
        <v>5</v>
      </c>
      <c r="G12" s="108">
        <v>380000000</v>
      </c>
      <c r="H12" s="84">
        <f t="shared" si="2"/>
        <v>8.5797835966168101</v>
      </c>
      <c r="I12" s="146">
        <v>37400</v>
      </c>
      <c r="J12" s="108">
        <v>157647270</v>
      </c>
      <c r="K12" s="148">
        <f t="shared" si="3"/>
        <v>5.5315068493150683</v>
      </c>
      <c r="L12" s="148">
        <f t="shared" si="28"/>
        <v>0.7428434544871646</v>
      </c>
      <c r="M12" s="108">
        <v>0</v>
      </c>
      <c r="N12" s="108">
        <f t="shared" si="4"/>
        <v>0</v>
      </c>
      <c r="O12" s="108">
        <v>0</v>
      </c>
      <c r="P12" s="108">
        <f t="shared" si="29"/>
        <v>0</v>
      </c>
      <c r="Q12" s="65">
        <v>3.29</v>
      </c>
      <c r="R12" s="65">
        <f t="shared" si="30"/>
        <v>0.51719589794997434</v>
      </c>
      <c r="S12" s="155">
        <f t="shared" si="5"/>
        <v>-0.58513876315789481</v>
      </c>
      <c r="T12" s="127">
        <f t="shared" si="6"/>
        <v>-0.38209714220653945</v>
      </c>
      <c r="U12" s="108">
        <v>2144.9704142011828</v>
      </c>
      <c r="V12" s="108">
        <f t="shared" si="7"/>
        <v>3.3314213062933389</v>
      </c>
      <c r="W12" s="108">
        <v>7670.1183431952677</v>
      </c>
      <c r="X12" s="108">
        <f t="shared" si="8"/>
        <v>3.884802064783424</v>
      </c>
      <c r="Y12" s="126">
        <v>0</v>
      </c>
      <c r="Z12" s="126">
        <f t="shared" si="9"/>
        <v>0</v>
      </c>
      <c r="AA12" s="108">
        <v>85</v>
      </c>
      <c r="AB12" s="108">
        <f t="shared" si="31"/>
        <v>1.9294189257142926</v>
      </c>
      <c r="AC12" s="127">
        <v>29.3</v>
      </c>
      <c r="AD12" s="127">
        <f t="shared" si="32"/>
        <v>1.4668676203541096</v>
      </c>
      <c r="AE12" s="128">
        <v>36.913126831903199</v>
      </c>
      <c r="AF12" s="128">
        <f t="shared" si="33"/>
        <v>1.5671808349091383</v>
      </c>
      <c r="AG12" s="153">
        <v>0.53</v>
      </c>
      <c r="AH12" s="127">
        <f t="shared" si="10"/>
        <v>0.18469143081759881</v>
      </c>
      <c r="AI12" s="108">
        <v>22</v>
      </c>
      <c r="AJ12" s="108">
        <f t="shared" si="34"/>
        <v>1.3424226808222062</v>
      </c>
      <c r="AK12" s="108">
        <f t="shared" si="11"/>
        <v>0</v>
      </c>
      <c r="AL12" s="108">
        <f t="shared" si="12"/>
        <v>0</v>
      </c>
      <c r="AM12" s="108">
        <f t="shared" si="13"/>
        <v>1</v>
      </c>
      <c r="AN12" s="108">
        <f t="shared" si="14"/>
        <v>0</v>
      </c>
      <c r="AO12" s="108">
        <f t="shared" si="15"/>
        <v>0</v>
      </c>
      <c r="AP12" s="108">
        <f t="shared" si="16"/>
        <v>0</v>
      </c>
      <c r="AQ12" s="108">
        <f t="shared" si="17"/>
        <v>0</v>
      </c>
      <c r="AR12" s="108">
        <f t="shared" si="18"/>
        <v>0</v>
      </c>
      <c r="AS12" s="108">
        <f t="shared" si="19"/>
        <v>0</v>
      </c>
      <c r="AT12" s="108">
        <f t="shared" si="20"/>
        <v>0</v>
      </c>
      <c r="AU12" s="108">
        <f t="shared" si="21"/>
        <v>0</v>
      </c>
      <c r="AV12" s="108">
        <f t="shared" si="22"/>
        <v>0</v>
      </c>
      <c r="AW12" s="108">
        <f t="shared" si="23"/>
        <v>0</v>
      </c>
      <c r="AX12" s="108">
        <f t="shared" si="24"/>
        <v>0</v>
      </c>
      <c r="AY12" s="108">
        <f t="shared" si="25"/>
        <v>0</v>
      </c>
      <c r="AZ12" s="108">
        <f t="shared" si="26"/>
        <v>0</v>
      </c>
      <c r="BA12" s="109">
        <f t="shared" si="27"/>
        <v>0</v>
      </c>
    </row>
    <row r="13" spans="1:53" x14ac:dyDescent="0.35">
      <c r="A13" s="143">
        <v>35401</v>
      </c>
      <c r="B13" s="106" t="s">
        <v>5</v>
      </c>
      <c r="C13" s="106" t="s">
        <v>64</v>
      </c>
      <c r="D13" s="83">
        <f t="shared" si="0"/>
        <v>1</v>
      </c>
      <c r="E13" s="106" t="s">
        <v>235</v>
      </c>
      <c r="F13" s="83">
        <f t="shared" si="1"/>
        <v>1</v>
      </c>
      <c r="G13" s="106">
        <v>210000000</v>
      </c>
      <c r="H13" s="83">
        <f t="shared" si="2"/>
        <v>8.3222192947339195</v>
      </c>
      <c r="I13" s="143">
        <v>37315</v>
      </c>
      <c r="J13" s="106">
        <v>300000000</v>
      </c>
      <c r="K13" s="145">
        <f t="shared" si="3"/>
        <v>5.2438356164383562</v>
      </c>
      <c r="L13" s="148">
        <f t="shared" si="28"/>
        <v>0.7196490689843501</v>
      </c>
      <c r="M13" s="106">
        <v>6188.89</v>
      </c>
      <c r="N13" s="106">
        <f t="shared" si="4"/>
        <v>3.7916829312790057</v>
      </c>
      <c r="O13" s="106">
        <v>0</v>
      </c>
      <c r="P13" s="108">
        <f t="shared" si="29"/>
        <v>0</v>
      </c>
      <c r="Q13" s="59">
        <v>2.72</v>
      </c>
      <c r="R13" s="65">
        <f t="shared" si="30"/>
        <v>0.43456890403419873</v>
      </c>
      <c r="S13" s="154">
        <f t="shared" si="5"/>
        <v>0.4285714285714286</v>
      </c>
      <c r="T13" s="119">
        <f t="shared" si="6"/>
        <v>0.15490195998574319</v>
      </c>
      <c r="U13" s="106">
        <v>2065.9722222222217</v>
      </c>
      <c r="V13" s="106">
        <f t="shared" si="7"/>
        <v>3.3151244779693188</v>
      </c>
      <c r="W13" s="106">
        <v>7039.9305555555566</v>
      </c>
      <c r="X13" s="106">
        <f t="shared" si="8"/>
        <v>3.8475683751239629</v>
      </c>
      <c r="Y13" s="118">
        <v>1084.3333333333301</v>
      </c>
      <c r="Z13" s="118">
        <f t="shared" si="9"/>
        <v>3.0355631414974997</v>
      </c>
      <c r="AA13" s="106">
        <v>85</v>
      </c>
      <c r="AB13" s="108">
        <f t="shared" si="31"/>
        <v>1.9294189257142926</v>
      </c>
      <c r="AC13" s="119">
        <v>37.299999999999997</v>
      </c>
      <c r="AD13" s="127">
        <f t="shared" si="32"/>
        <v>1.5717088318086876</v>
      </c>
      <c r="AE13" s="120">
        <v>46.9693144722524</v>
      </c>
      <c r="AF13" s="128">
        <f t="shared" si="33"/>
        <v>1.6718142216035041</v>
      </c>
      <c r="AG13" s="152">
        <v>0.61</v>
      </c>
      <c r="AH13" s="119">
        <f t="shared" si="10"/>
        <v>0.20682587603184968</v>
      </c>
      <c r="AI13" s="106">
        <v>32</v>
      </c>
      <c r="AJ13" s="108">
        <f t="shared" si="34"/>
        <v>1.505149978319906</v>
      </c>
      <c r="AK13" s="106">
        <f t="shared" si="11"/>
        <v>0</v>
      </c>
      <c r="AL13" s="106">
        <f t="shared" si="12"/>
        <v>0</v>
      </c>
      <c r="AM13" s="106">
        <f t="shared" si="13"/>
        <v>0</v>
      </c>
      <c r="AN13" s="106">
        <f t="shared" si="14"/>
        <v>0</v>
      </c>
      <c r="AO13" s="106">
        <f t="shared" si="15"/>
        <v>0</v>
      </c>
      <c r="AP13" s="106">
        <f t="shared" si="16"/>
        <v>0</v>
      </c>
      <c r="AQ13" s="106">
        <f t="shared" si="17"/>
        <v>1</v>
      </c>
      <c r="AR13" s="106">
        <f t="shared" si="18"/>
        <v>0</v>
      </c>
      <c r="AS13" s="106">
        <f t="shared" si="19"/>
        <v>0</v>
      </c>
      <c r="AT13" s="106">
        <f t="shared" si="20"/>
        <v>0</v>
      </c>
      <c r="AU13" s="106">
        <f t="shared" si="21"/>
        <v>0</v>
      </c>
      <c r="AV13" s="106">
        <f t="shared" si="22"/>
        <v>0</v>
      </c>
      <c r="AW13" s="106">
        <f t="shared" si="23"/>
        <v>0</v>
      </c>
      <c r="AX13" s="106">
        <f t="shared" si="24"/>
        <v>0</v>
      </c>
      <c r="AY13" s="106">
        <f t="shared" si="25"/>
        <v>0</v>
      </c>
      <c r="AZ13" s="106">
        <f t="shared" si="26"/>
        <v>0</v>
      </c>
      <c r="BA13" s="107">
        <f t="shared" si="27"/>
        <v>0</v>
      </c>
    </row>
    <row r="14" spans="1:53" x14ac:dyDescent="0.35">
      <c r="A14" s="146">
        <v>35489</v>
      </c>
      <c r="B14" s="108" t="s">
        <v>163</v>
      </c>
      <c r="C14" s="108" t="s">
        <v>64</v>
      </c>
      <c r="D14" s="84">
        <f t="shared" si="0"/>
        <v>1</v>
      </c>
      <c r="E14" s="108" t="s">
        <v>248</v>
      </c>
      <c r="F14" s="84">
        <f t="shared" si="1"/>
        <v>5</v>
      </c>
      <c r="G14" s="108">
        <v>703970000</v>
      </c>
      <c r="H14" s="84">
        <f t="shared" si="2"/>
        <v>8.8475541518806526</v>
      </c>
      <c r="I14" s="146">
        <v>37453</v>
      </c>
      <c r="J14" s="108">
        <v>1500000000</v>
      </c>
      <c r="K14" s="148">
        <f t="shared" si="3"/>
        <v>5.3808219178082188</v>
      </c>
      <c r="L14" s="148">
        <f t="shared" si="28"/>
        <v>0.73084861899445608</v>
      </c>
      <c r="M14" s="108">
        <v>342.74</v>
      </c>
      <c r="N14" s="108">
        <f t="shared" si="4"/>
        <v>2.5362300726332561</v>
      </c>
      <c r="O14" s="108">
        <v>28</v>
      </c>
      <c r="P14" s="108">
        <f t="shared" si="29"/>
        <v>1.4471580313422192</v>
      </c>
      <c r="Q14" s="65">
        <v>2.3199999999999998</v>
      </c>
      <c r="R14" s="65">
        <f t="shared" si="30"/>
        <v>0.36548798489089962</v>
      </c>
      <c r="S14" s="155">
        <f t="shared" si="5"/>
        <v>1.1307726181513416</v>
      </c>
      <c r="T14" s="127">
        <f t="shared" si="6"/>
        <v>0.32853710717502921</v>
      </c>
      <c r="U14" s="108">
        <v>1655.1111111111111</v>
      </c>
      <c r="V14" s="108">
        <f t="shared" si="7"/>
        <v>3.2188271541979425</v>
      </c>
      <c r="W14" s="108">
        <v>5715.5555555555547</v>
      </c>
      <c r="X14" s="108">
        <f t="shared" si="8"/>
        <v>3.7570584504768405</v>
      </c>
      <c r="Y14" s="126">
        <v>569.16666666666697</v>
      </c>
      <c r="Z14" s="126">
        <f t="shared" si="9"/>
        <v>2.756001823801419</v>
      </c>
      <c r="AA14" s="108">
        <v>85</v>
      </c>
      <c r="AB14" s="108">
        <f t="shared" si="31"/>
        <v>1.9294189257142926</v>
      </c>
      <c r="AC14" s="127">
        <v>43.7</v>
      </c>
      <c r="AD14" s="127">
        <f t="shared" si="32"/>
        <v>1.6404814369704219</v>
      </c>
      <c r="AE14" s="128">
        <v>54.530673116863902</v>
      </c>
      <c r="AF14" s="128">
        <f t="shared" si="33"/>
        <v>1.7366408585732218</v>
      </c>
      <c r="AG14" s="153">
        <v>-0.09</v>
      </c>
      <c r="AH14" s="127">
        <f t="shared" si="10"/>
        <v>-4.0958607678906384E-2</v>
      </c>
      <c r="AI14" s="108">
        <v>23</v>
      </c>
      <c r="AJ14" s="108">
        <f t="shared" si="34"/>
        <v>1.3617278360175928</v>
      </c>
      <c r="AK14" s="108">
        <f t="shared" si="11"/>
        <v>0</v>
      </c>
      <c r="AL14" s="108">
        <f t="shared" si="12"/>
        <v>0</v>
      </c>
      <c r="AM14" s="108">
        <f t="shared" si="13"/>
        <v>0</v>
      </c>
      <c r="AN14" s="108">
        <f t="shared" si="14"/>
        <v>0</v>
      </c>
      <c r="AO14" s="108">
        <f t="shared" si="15"/>
        <v>0</v>
      </c>
      <c r="AP14" s="108">
        <f t="shared" si="16"/>
        <v>0</v>
      </c>
      <c r="AQ14" s="108">
        <f t="shared" si="17"/>
        <v>0</v>
      </c>
      <c r="AR14" s="108">
        <f t="shared" si="18"/>
        <v>1</v>
      </c>
      <c r="AS14" s="108">
        <f t="shared" si="19"/>
        <v>0</v>
      </c>
      <c r="AT14" s="108">
        <f t="shared" si="20"/>
        <v>0</v>
      </c>
      <c r="AU14" s="108">
        <f t="shared" si="21"/>
        <v>0</v>
      </c>
      <c r="AV14" s="108">
        <f t="shared" si="22"/>
        <v>0</v>
      </c>
      <c r="AW14" s="108">
        <f t="shared" si="23"/>
        <v>0</v>
      </c>
      <c r="AX14" s="108">
        <f t="shared" si="24"/>
        <v>0</v>
      </c>
      <c r="AY14" s="108">
        <f t="shared" si="25"/>
        <v>0</v>
      </c>
      <c r="AZ14" s="108">
        <f t="shared" si="26"/>
        <v>0</v>
      </c>
      <c r="BA14" s="109">
        <f t="shared" si="27"/>
        <v>0</v>
      </c>
    </row>
    <row r="15" spans="1:53" x14ac:dyDescent="0.35">
      <c r="A15" s="143">
        <v>35538</v>
      </c>
      <c r="B15" s="106" t="s">
        <v>45</v>
      </c>
      <c r="C15" s="106" t="s">
        <v>47</v>
      </c>
      <c r="D15" s="83">
        <f t="shared" si="0"/>
        <v>0</v>
      </c>
      <c r="E15" s="106" t="s">
        <v>269</v>
      </c>
      <c r="F15" s="83">
        <f t="shared" si="1"/>
        <v>7</v>
      </c>
      <c r="G15" s="106">
        <v>800000000</v>
      </c>
      <c r="H15" s="83">
        <f t="shared" si="2"/>
        <v>8.9030899869919438</v>
      </c>
      <c r="I15" s="143">
        <v>38240</v>
      </c>
      <c r="J15" s="106">
        <v>182710000</v>
      </c>
      <c r="K15" s="145">
        <f t="shared" si="3"/>
        <v>7.4027397260273968</v>
      </c>
      <c r="L15" s="148">
        <f t="shared" si="28"/>
        <v>0.86939248022953708</v>
      </c>
      <c r="M15" s="106">
        <v>0</v>
      </c>
      <c r="N15" s="106">
        <f t="shared" si="4"/>
        <v>0</v>
      </c>
      <c r="O15" s="106">
        <v>99</v>
      </c>
      <c r="P15" s="108">
        <f t="shared" si="29"/>
        <v>1.9956351945975499</v>
      </c>
      <c r="Q15" s="59">
        <v>2.95</v>
      </c>
      <c r="R15" s="65">
        <f t="shared" si="30"/>
        <v>0.46982201597816303</v>
      </c>
      <c r="S15" s="154">
        <f t="shared" si="5"/>
        <v>-0.77161250000000003</v>
      </c>
      <c r="T15" s="119">
        <f t="shared" si="6"/>
        <v>-0.64132766938232411</v>
      </c>
      <c r="U15" s="106">
        <v>1455.046</v>
      </c>
      <c r="V15" s="106">
        <f t="shared" si="7"/>
        <v>3.1628767233771686</v>
      </c>
      <c r="W15" s="106">
        <v>4062.5129999999999</v>
      </c>
      <c r="X15" s="106">
        <f t="shared" si="8"/>
        <v>3.6087947637270492</v>
      </c>
      <c r="Y15" s="106">
        <v>0</v>
      </c>
      <c r="Z15" s="118">
        <f t="shared" si="9"/>
        <v>0</v>
      </c>
      <c r="AA15" s="106">
        <v>85</v>
      </c>
      <c r="AB15" s="108">
        <f t="shared" si="31"/>
        <v>1.9294189257142926</v>
      </c>
      <c r="AC15" s="119">
        <v>27.4</v>
      </c>
      <c r="AD15" s="127">
        <f t="shared" si="32"/>
        <v>1.4377505628203879</v>
      </c>
      <c r="AE15" s="120">
        <v>35.968444143503902</v>
      </c>
      <c r="AF15" s="128">
        <f t="shared" si="33"/>
        <v>1.5559216523165715</v>
      </c>
      <c r="AG15" s="152">
        <v>-0.01</v>
      </c>
      <c r="AH15" s="119">
        <f t="shared" si="10"/>
        <v>-4.3648054024500883E-3</v>
      </c>
      <c r="AI15" s="106">
        <v>20</v>
      </c>
      <c r="AJ15" s="108">
        <f t="shared" si="34"/>
        <v>1.3010299956639813</v>
      </c>
      <c r="AK15" s="106">
        <f t="shared" si="11"/>
        <v>0</v>
      </c>
      <c r="AL15" s="106">
        <f t="shared" si="12"/>
        <v>1</v>
      </c>
      <c r="AM15" s="106">
        <f t="shared" si="13"/>
        <v>0</v>
      </c>
      <c r="AN15" s="106">
        <f t="shared" si="14"/>
        <v>0</v>
      </c>
      <c r="AO15" s="106">
        <f t="shared" si="15"/>
        <v>0</v>
      </c>
      <c r="AP15" s="106">
        <f t="shared" si="16"/>
        <v>0</v>
      </c>
      <c r="AQ15" s="106">
        <f t="shared" si="17"/>
        <v>0</v>
      </c>
      <c r="AR15" s="106">
        <f t="shared" si="18"/>
        <v>0</v>
      </c>
      <c r="AS15" s="106">
        <f t="shared" si="19"/>
        <v>0</v>
      </c>
      <c r="AT15" s="106">
        <f t="shared" si="20"/>
        <v>0</v>
      </c>
      <c r="AU15" s="106">
        <f t="shared" si="21"/>
        <v>0</v>
      </c>
      <c r="AV15" s="106">
        <f t="shared" si="22"/>
        <v>0</v>
      </c>
      <c r="AW15" s="106">
        <f t="shared" si="23"/>
        <v>0</v>
      </c>
      <c r="AX15" s="106">
        <f t="shared" si="24"/>
        <v>0</v>
      </c>
      <c r="AY15" s="106">
        <f t="shared" si="25"/>
        <v>0</v>
      </c>
      <c r="AZ15" s="106">
        <f t="shared" si="26"/>
        <v>0</v>
      </c>
      <c r="BA15" s="107">
        <f t="shared" si="27"/>
        <v>0</v>
      </c>
    </row>
    <row r="16" spans="1:53" x14ac:dyDescent="0.35">
      <c r="A16" s="146">
        <v>35570</v>
      </c>
      <c r="B16" s="108" t="s">
        <v>45</v>
      </c>
      <c r="C16" s="108" t="s">
        <v>102</v>
      </c>
      <c r="D16" s="84">
        <f t="shared" si="0"/>
        <v>0</v>
      </c>
      <c r="E16" s="108" t="s">
        <v>235</v>
      </c>
      <c r="F16" s="84">
        <f t="shared" si="1"/>
        <v>1</v>
      </c>
      <c r="G16" s="108">
        <v>1201720000</v>
      </c>
      <c r="H16" s="84">
        <f t="shared" si="2"/>
        <v>9.079803289113908</v>
      </c>
      <c r="I16" s="146">
        <v>38239</v>
      </c>
      <c r="J16" s="108">
        <v>1662100000</v>
      </c>
      <c r="K16" s="148">
        <f t="shared" si="3"/>
        <v>7.3123287671232875</v>
      </c>
      <c r="L16" s="148">
        <f t="shared" si="28"/>
        <v>0.86405570933103293</v>
      </c>
      <c r="M16" s="108">
        <v>0</v>
      </c>
      <c r="N16" s="108">
        <f t="shared" si="4"/>
        <v>0</v>
      </c>
      <c r="O16" s="108">
        <v>65</v>
      </c>
      <c r="P16" s="108">
        <f t="shared" si="29"/>
        <v>1.8129133566428555</v>
      </c>
      <c r="Q16" s="65">
        <v>2.95</v>
      </c>
      <c r="R16" s="65">
        <f t="shared" si="30"/>
        <v>0.46982201597816303</v>
      </c>
      <c r="S16" s="155">
        <f t="shared" si="5"/>
        <v>0.38310088872615911</v>
      </c>
      <c r="T16" s="127">
        <f t="shared" si="6"/>
        <v>0.14085386038334191</v>
      </c>
      <c r="U16" s="108">
        <v>1171.498</v>
      </c>
      <c r="V16" s="108">
        <f t="shared" si="7"/>
        <v>3.0687415514991745</v>
      </c>
      <c r="W16" s="108">
        <v>3386.1060000000002</v>
      </c>
      <c r="X16" s="108">
        <f t="shared" si="8"/>
        <v>3.5297005493117593</v>
      </c>
      <c r="Y16" s="126">
        <v>0</v>
      </c>
      <c r="Z16" s="126">
        <f t="shared" si="9"/>
        <v>0</v>
      </c>
      <c r="AA16" s="108">
        <v>85</v>
      </c>
      <c r="AB16" s="108">
        <f t="shared" si="31"/>
        <v>1.9294189257142926</v>
      </c>
      <c r="AC16" s="127">
        <v>27.4</v>
      </c>
      <c r="AD16" s="127">
        <f t="shared" si="32"/>
        <v>1.4377505628203879</v>
      </c>
      <c r="AE16" s="128">
        <v>35.968444143503902</v>
      </c>
      <c r="AF16" s="128">
        <f t="shared" si="33"/>
        <v>1.5559216523165715</v>
      </c>
      <c r="AG16" s="153">
        <v>1</v>
      </c>
      <c r="AH16" s="127">
        <f t="shared" si="10"/>
        <v>0.3010299956639812</v>
      </c>
      <c r="AI16" s="108">
        <v>33</v>
      </c>
      <c r="AJ16" s="108">
        <f t="shared" si="34"/>
        <v>1.5185139398778875</v>
      </c>
      <c r="AK16" s="108">
        <f t="shared" si="11"/>
        <v>0</v>
      </c>
      <c r="AL16" s="108">
        <f t="shared" si="12"/>
        <v>1</v>
      </c>
      <c r="AM16" s="108">
        <f t="shared" si="13"/>
        <v>0</v>
      </c>
      <c r="AN16" s="108">
        <f t="shared" si="14"/>
        <v>0</v>
      </c>
      <c r="AO16" s="108">
        <f t="shared" si="15"/>
        <v>0</v>
      </c>
      <c r="AP16" s="108">
        <f t="shared" si="16"/>
        <v>0</v>
      </c>
      <c r="AQ16" s="108">
        <f t="shared" si="17"/>
        <v>0</v>
      </c>
      <c r="AR16" s="108">
        <f t="shared" si="18"/>
        <v>0</v>
      </c>
      <c r="AS16" s="108">
        <f t="shared" si="19"/>
        <v>0</v>
      </c>
      <c r="AT16" s="108">
        <f t="shared" si="20"/>
        <v>0</v>
      </c>
      <c r="AU16" s="108">
        <f t="shared" si="21"/>
        <v>0</v>
      </c>
      <c r="AV16" s="108">
        <f t="shared" si="22"/>
        <v>0</v>
      </c>
      <c r="AW16" s="108">
        <f t="shared" si="23"/>
        <v>0</v>
      </c>
      <c r="AX16" s="108">
        <f t="shared" si="24"/>
        <v>0</v>
      </c>
      <c r="AY16" s="108">
        <f t="shared" si="25"/>
        <v>0</v>
      </c>
      <c r="AZ16" s="108">
        <f t="shared" si="26"/>
        <v>0</v>
      </c>
      <c r="BA16" s="109">
        <f t="shared" si="27"/>
        <v>0</v>
      </c>
    </row>
    <row r="17" spans="1:53" x14ac:dyDescent="0.35">
      <c r="A17" s="143">
        <v>35688</v>
      </c>
      <c r="B17" s="106" t="s">
        <v>5</v>
      </c>
      <c r="C17" s="106" t="s">
        <v>64</v>
      </c>
      <c r="D17" s="83">
        <f t="shared" si="0"/>
        <v>1</v>
      </c>
      <c r="E17" s="106" t="s">
        <v>235</v>
      </c>
      <c r="F17" s="83">
        <f t="shared" si="1"/>
        <v>1</v>
      </c>
      <c r="G17" s="106">
        <v>164000000</v>
      </c>
      <c r="H17" s="83">
        <f t="shared" si="2"/>
        <v>8.214843848047698</v>
      </c>
      <c r="I17" s="143">
        <v>38352</v>
      </c>
      <c r="J17" s="106">
        <v>285000000</v>
      </c>
      <c r="K17" s="145">
        <f t="shared" si="3"/>
        <v>7.2986301369863016</v>
      </c>
      <c r="L17" s="148">
        <f t="shared" si="28"/>
        <v>0.86324135604178875</v>
      </c>
      <c r="M17" s="106">
        <v>357.29</v>
      </c>
      <c r="N17" s="106">
        <f t="shared" si="4"/>
        <v>2.5542346870234227</v>
      </c>
      <c r="O17" s="106">
        <v>0</v>
      </c>
      <c r="P17" s="108">
        <f t="shared" si="29"/>
        <v>0</v>
      </c>
      <c r="Q17" s="59">
        <v>3.16</v>
      </c>
      <c r="R17" s="65">
        <f t="shared" si="30"/>
        <v>0.49968708261840383</v>
      </c>
      <c r="S17" s="154">
        <f t="shared" si="5"/>
        <v>0.73780487804878048</v>
      </c>
      <c r="T17" s="119">
        <f t="shared" si="6"/>
        <v>0.2400010119608123</v>
      </c>
      <c r="U17" s="106">
        <v>1669.0315179326171</v>
      </c>
      <c r="V17" s="106">
        <f t="shared" si="7"/>
        <v>3.22246453795844</v>
      </c>
      <c r="W17" s="106">
        <v>5094.7953145755328</v>
      </c>
      <c r="X17" s="106">
        <f t="shared" si="8"/>
        <v>3.7071267407396937</v>
      </c>
      <c r="Y17" s="118">
        <v>971</v>
      </c>
      <c r="Z17" s="118">
        <f t="shared" si="9"/>
        <v>2.9876662649262746</v>
      </c>
      <c r="AA17" s="106">
        <v>85</v>
      </c>
      <c r="AB17" s="108">
        <f t="shared" si="31"/>
        <v>1.9294189257142926</v>
      </c>
      <c r="AC17" s="119">
        <v>36.799999999999997</v>
      </c>
      <c r="AD17" s="127">
        <f t="shared" si="32"/>
        <v>1.5658478186735176</v>
      </c>
      <c r="AE17" s="120">
        <v>45.479154360161097</v>
      </c>
      <c r="AF17" s="128">
        <f t="shared" si="33"/>
        <v>1.6578123808149479</v>
      </c>
      <c r="AG17" s="152">
        <v>0.67</v>
      </c>
      <c r="AH17" s="119">
        <f t="shared" si="10"/>
        <v>0.22271647114758325</v>
      </c>
      <c r="AI17" s="106">
        <v>29</v>
      </c>
      <c r="AJ17" s="108">
        <f t="shared" si="34"/>
        <v>1.4623979978989561</v>
      </c>
      <c r="AK17" s="106">
        <f t="shared" si="11"/>
        <v>0</v>
      </c>
      <c r="AL17" s="106">
        <f t="shared" si="12"/>
        <v>0</v>
      </c>
      <c r="AM17" s="106">
        <f t="shared" si="13"/>
        <v>0</v>
      </c>
      <c r="AN17" s="106">
        <f t="shared" si="14"/>
        <v>0</v>
      </c>
      <c r="AO17" s="106">
        <f t="shared" si="15"/>
        <v>0</v>
      </c>
      <c r="AP17" s="106">
        <f t="shared" si="16"/>
        <v>0</v>
      </c>
      <c r="AQ17" s="106">
        <f t="shared" si="17"/>
        <v>1</v>
      </c>
      <c r="AR17" s="106">
        <f t="shared" si="18"/>
        <v>0</v>
      </c>
      <c r="AS17" s="106">
        <f t="shared" si="19"/>
        <v>0</v>
      </c>
      <c r="AT17" s="106">
        <f t="shared" si="20"/>
        <v>0</v>
      </c>
      <c r="AU17" s="106">
        <f t="shared" si="21"/>
        <v>0</v>
      </c>
      <c r="AV17" s="106">
        <f t="shared" si="22"/>
        <v>0</v>
      </c>
      <c r="AW17" s="106">
        <f t="shared" si="23"/>
        <v>0</v>
      </c>
      <c r="AX17" s="106">
        <f t="shared" si="24"/>
        <v>0</v>
      </c>
      <c r="AY17" s="106">
        <f t="shared" si="25"/>
        <v>0</v>
      </c>
      <c r="AZ17" s="106">
        <f t="shared" si="26"/>
        <v>0</v>
      </c>
      <c r="BA17" s="107">
        <f t="shared" si="27"/>
        <v>0</v>
      </c>
    </row>
    <row r="18" spans="1:53" x14ac:dyDescent="0.35">
      <c r="A18" s="146">
        <v>35713</v>
      </c>
      <c r="B18" s="108" t="s">
        <v>45</v>
      </c>
      <c r="C18" s="108" t="s">
        <v>47</v>
      </c>
      <c r="D18" s="84">
        <f t="shared" si="0"/>
        <v>0</v>
      </c>
      <c r="E18" s="108" t="s">
        <v>190</v>
      </c>
      <c r="F18" s="84">
        <f t="shared" si="1"/>
        <v>2</v>
      </c>
      <c r="G18" s="108">
        <v>1335100000</v>
      </c>
      <c r="H18" s="84">
        <f t="shared" si="2"/>
        <v>9.1255137959041157</v>
      </c>
      <c r="I18" s="146">
        <v>37166</v>
      </c>
      <c r="J18" s="108">
        <v>0</v>
      </c>
      <c r="K18" s="148">
        <f t="shared" si="3"/>
        <v>3.9808219178082194</v>
      </c>
      <c r="L18" s="148">
        <f t="shared" si="28"/>
        <v>0.5999727498415468</v>
      </c>
      <c r="M18" s="108">
        <v>0</v>
      </c>
      <c r="N18" s="108">
        <f t="shared" si="4"/>
        <v>0</v>
      </c>
      <c r="O18" s="108">
        <v>13</v>
      </c>
      <c r="P18" s="108">
        <f t="shared" si="29"/>
        <v>1.1139433523068367</v>
      </c>
      <c r="Q18" s="65">
        <v>2.95</v>
      </c>
      <c r="R18" s="65">
        <f t="shared" si="30"/>
        <v>0.46982201597816303</v>
      </c>
      <c r="S18" s="155">
        <f t="shared" si="5"/>
        <v>-1</v>
      </c>
      <c r="T18" s="127">
        <f t="shared" si="6"/>
        <v>-1</v>
      </c>
      <c r="U18" s="108">
        <v>1455.046</v>
      </c>
      <c r="V18" s="108">
        <f t="shared" si="7"/>
        <v>3.1628767233771686</v>
      </c>
      <c r="W18" s="108">
        <v>4062.5129999999999</v>
      </c>
      <c r="X18" s="108">
        <f t="shared" si="8"/>
        <v>3.6087947637270492</v>
      </c>
      <c r="Y18" s="108">
        <v>0</v>
      </c>
      <c r="Z18" s="126">
        <f t="shared" si="9"/>
        <v>0</v>
      </c>
      <c r="AA18" s="108">
        <v>85</v>
      </c>
      <c r="AB18" s="108">
        <f t="shared" si="31"/>
        <v>1.9294189257142926</v>
      </c>
      <c r="AC18" s="127">
        <v>27.4</v>
      </c>
      <c r="AD18" s="127">
        <f t="shared" si="32"/>
        <v>1.4377505628203879</v>
      </c>
      <c r="AE18" s="128">
        <v>35.968444143503902</v>
      </c>
      <c r="AF18" s="128">
        <f t="shared" si="33"/>
        <v>1.5559216523165715</v>
      </c>
      <c r="AG18" s="153">
        <v>0.18</v>
      </c>
      <c r="AH18" s="127">
        <f t="shared" si="10"/>
        <v>7.1882007306125359E-2</v>
      </c>
      <c r="AI18" s="108">
        <v>19</v>
      </c>
      <c r="AJ18" s="108">
        <f t="shared" si="34"/>
        <v>1.2787536009528289</v>
      </c>
      <c r="AK18" s="108">
        <f t="shared" si="11"/>
        <v>1</v>
      </c>
      <c r="AL18" s="108">
        <f t="shared" si="12"/>
        <v>1</v>
      </c>
      <c r="AM18" s="108">
        <f t="shared" si="13"/>
        <v>0</v>
      </c>
      <c r="AN18" s="108">
        <f t="shared" si="14"/>
        <v>0</v>
      </c>
      <c r="AO18" s="108">
        <f t="shared" si="15"/>
        <v>0</v>
      </c>
      <c r="AP18" s="108">
        <f t="shared" si="16"/>
        <v>0</v>
      </c>
      <c r="AQ18" s="108">
        <f t="shared" si="17"/>
        <v>0</v>
      </c>
      <c r="AR18" s="108">
        <f t="shared" si="18"/>
        <v>0</v>
      </c>
      <c r="AS18" s="108">
        <f t="shared" si="19"/>
        <v>0</v>
      </c>
      <c r="AT18" s="108">
        <f t="shared" si="20"/>
        <v>0</v>
      </c>
      <c r="AU18" s="108">
        <f t="shared" si="21"/>
        <v>0</v>
      </c>
      <c r="AV18" s="108">
        <f t="shared" si="22"/>
        <v>0</v>
      </c>
      <c r="AW18" s="108">
        <f t="shared" si="23"/>
        <v>0</v>
      </c>
      <c r="AX18" s="108">
        <f t="shared" si="24"/>
        <v>0</v>
      </c>
      <c r="AY18" s="108">
        <f t="shared" si="25"/>
        <v>0</v>
      </c>
      <c r="AZ18" s="108">
        <f t="shared" si="26"/>
        <v>0</v>
      </c>
      <c r="BA18" s="109">
        <f t="shared" si="27"/>
        <v>0</v>
      </c>
    </row>
    <row r="19" spans="1:53" x14ac:dyDescent="0.35">
      <c r="A19" s="143">
        <v>35758</v>
      </c>
      <c r="B19" s="106" t="s">
        <v>45</v>
      </c>
      <c r="C19" s="106" t="s">
        <v>47</v>
      </c>
      <c r="D19" s="83">
        <f t="shared" si="0"/>
        <v>0</v>
      </c>
      <c r="E19" s="106" t="s">
        <v>186</v>
      </c>
      <c r="F19" s="83">
        <f t="shared" si="1"/>
        <v>4</v>
      </c>
      <c r="G19" s="106">
        <v>191690000</v>
      </c>
      <c r="H19" s="83">
        <f t="shared" si="2"/>
        <v>8.2825994573845971</v>
      </c>
      <c r="I19" s="143">
        <v>37205</v>
      </c>
      <c r="J19" s="106">
        <v>2680000000</v>
      </c>
      <c r="K19" s="145">
        <f t="shared" si="3"/>
        <v>3.9643835616438357</v>
      </c>
      <c r="L19" s="148">
        <f t="shared" si="28"/>
        <v>0.59817566666256272</v>
      </c>
      <c r="M19" s="106">
        <v>0</v>
      </c>
      <c r="N19" s="106">
        <f t="shared" si="4"/>
        <v>0</v>
      </c>
      <c r="O19" s="106">
        <v>43</v>
      </c>
      <c r="P19" s="108">
        <f t="shared" si="29"/>
        <v>1.6334684555795864</v>
      </c>
      <c r="Q19" s="59">
        <v>2.95</v>
      </c>
      <c r="R19" s="65">
        <f t="shared" si="30"/>
        <v>0.46982201597816303</v>
      </c>
      <c r="S19" s="154">
        <f t="shared" si="5"/>
        <v>12.980906672231207</v>
      </c>
      <c r="T19" s="119">
        <f t="shared" si="6"/>
        <v>1.1455353366441925</v>
      </c>
      <c r="U19" s="106">
        <v>1518.5350000000001</v>
      </c>
      <c r="V19" s="106">
        <f t="shared" si="7"/>
        <v>3.1814248062191788</v>
      </c>
      <c r="W19" s="106">
        <v>5363.16</v>
      </c>
      <c r="X19" s="106">
        <f t="shared" si="8"/>
        <v>3.7294207535322617</v>
      </c>
      <c r="Y19" s="118">
        <v>0</v>
      </c>
      <c r="Z19" s="118">
        <f t="shared" si="9"/>
        <v>0</v>
      </c>
      <c r="AA19" s="106">
        <v>85</v>
      </c>
      <c r="AB19" s="108">
        <f t="shared" si="31"/>
        <v>1.9294189257142926</v>
      </c>
      <c r="AC19" s="119">
        <v>27.4</v>
      </c>
      <c r="AD19" s="127">
        <f t="shared" si="32"/>
        <v>1.4377505628203879</v>
      </c>
      <c r="AE19" s="120">
        <v>35.968444143503902</v>
      </c>
      <c r="AF19" s="128">
        <f t="shared" si="33"/>
        <v>1.5559216523165715</v>
      </c>
      <c r="AG19" s="152">
        <v>-0.05</v>
      </c>
      <c r="AH19" s="119">
        <f t="shared" si="10"/>
        <v>-2.2276394711152253E-2</v>
      </c>
      <c r="AI19" s="106">
        <v>17</v>
      </c>
      <c r="AJ19" s="108">
        <f t="shared" si="34"/>
        <v>1.2304489213782739</v>
      </c>
      <c r="AK19" s="106">
        <f t="shared" si="11"/>
        <v>0</v>
      </c>
      <c r="AL19" s="106">
        <f t="shared" si="12"/>
        <v>1</v>
      </c>
      <c r="AM19" s="106">
        <f t="shared" si="13"/>
        <v>0</v>
      </c>
      <c r="AN19" s="106">
        <f t="shared" si="14"/>
        <v>0</v>
      </c>
      <c r="AO19" s="106">
        <f t="shared" si="15"/>
        <v>0</v>
      </c>
      <c r="AP19" s="106">
        <f t="shared" si="16"/>
        <v>0</v>
      </c>
      <c r="AQ19" s="106">
        <f t="shared" si="17"/>
        <v>0</v>
      </c>
      <c r="AR19" s="106">
        <f t="shared" si="18"/>
        <v>0</v>
      </c>
      <c r="AS19" s="106">
        <f t="shared" si="19"/>
        <v>0</v>
      </c>
      <c r="AT19" s="106">
        <f t="shared" si="20"/>
        <v>0</v>
      </c>
      <c r="AU19" s="106">
        <f t="shared" si="21"/>
        <v>0</v>
      </c>
      <c r="AV19" s="106">
        <f t="shared" si="22"/>
        <v>0</v>
      </c>
      <c r="AW19" s="106">
        <f t="shared" si="23"/>
        <v>0</v>
      </c>
      <c r="AX19" s="106">
        <f t="shared" si="24"/>
        <v>0</v>
      </c>
      <c r="AY19" s="106">
        <f t="shared" si="25"/>
        <v>0</v>
      </c>
      <c r="AZ19" s="106">
        <f t="shared" si="26"/>
        <v>0</v>
      </c>
      <c r="BA19" s="107">
        <f t="shared" si="27"/>
        <v>0</v>
      </c>
    </row>
    <row r="20" spans="1:53" x14ac:dyDescent="0.35">
      <c r="A20" s="146">
        <v>35764</v>
      </c>
      <c r="B20" s="108" t="s">
        <v>163</v>
      </c>
      <c r="C20" s="108" t="s">
        <v>64</v>
      </c>
      <c r="D20" s="84">
        <f t="shared" si="0"/>
        <v>1</v>
      </c>
      <c r="E20" s="108" t="s">
        <v>326</v>
      </c>
      <c r="F20" s="84">
        <f t="shared" si="1"/>
        <v>8</v>
      </c>
      <c r="G20" s="108">
        <v>13000000</v>
      </c>
      <c r="H20" s="84">
        <f t="shared" si="2"/>
        <v>7.1139433523068369</v>
      </c>
      <c r="I20" s="146">
        <v>37064</v>
      </c>
      <c r="J20" s="108">
        <v>101000000</v>
      </c>
      <c r="K20" s="148">
        <f t="shared" si="3"/>
        <v>3.5616438356164384</v>
      </c>
      <c r="L20" s="148">
        <f t="shared" si="28"/>
        <v>0.55165048785036208</v>
      </c>
      <c r="M20" s="108">
        <v>342.74</v>
      </c>
      <c r="N20" s="108">
        <f t="shared" si="4"/>
        <v>2.5362300726332561</v>
      </c>
      <c r="O20" s="108">
        <v>7</v>
      </c>
      <c r="P20" s="108">
        <f t="shared" si="29"/>
        <v>0.84509804001425681</v>
      </c>
      <c r="Q20" s="65">
        <v>2.3199999999999998</v>
      </c>
      <c r="R20" s="65">
        <f t="shared" si="30"/>
        <v>0.36548798489089962</v>
      </c>
      <c r="S20" s="155">
        <f t="shared" si="5"/>
        <v>6.7692307692307692</v>
      </c>
      <c r="T20" s="127">
        <f t="shared" si="6"/>
        <v>0.8903780214758058</v>
      </c>
      <c r="U20" s="108">
        <v>3425.6694367497698</v>
      </c>
      <c r="V20" s="108">
        <f t="shared" si="7"/>
        <v>3.5347454529897258</v>
      </c>
      <c r="W20" s="108">
        <v>9322.8685749461365</v>
      </c>
      <c r="X20" s="108">
        <f t="shared" si="8"/>
        <v>3.9695495619878729</v>
      </c>
      <c r="Y20" s="126">
        <v>569.16666666666697</v>
      </c>
      <c r="Z20" s="126">
        <f t="shared" si="9"/>
        <v>2.756001823801419</v>
      </c>
      <c r="AA20" s="108">
        <v>85</v>
      </c>
      <c r="AB20" s="108">
        <f t="shared" si="31"/>
        <v>1.9294189257142926</v>
      </c>
      <c r="AC20" s="127">
        <v>43.7</v>
      </c>
      <c r="AD20" s="127">
        <f t="shared" si="32"/>
        <v>1.6404814369704219</v>
      </c>
      <c r="AE20" s="128">
        <v>54.530673116863902</v>
      </c>
      <c r="AF20" s="128">
        <f t="shared" si="33"/>
        <v>1.7366408585732218</v>
      </c>
      <c r="AG20" s="153">
        <v>0.42</v>
      </c>
      <c r="AH20" s="127">
        <f t="shared" si="10"/>
        <v>0.15228834438305647</v>
      </c>
      <c r="AI20" s="108">
        <v>31</v>
      </c>
      <c r="AJ20" s="108">
        <f t="shared" si="34"/>
        <v>1.4913616938342726</v>
      </c>
      <c r="AK20" s="108">
        <f t="shared" si="11"/>
        <v>0</v>
      </c>
      <c r="AL20" s="108">
        <f t="shared" si="12"/>
        <v>0</v>
      </c>
      <c r="AM20" s="108">
        <f t="shared" si="13"/>
        <v>0</v>
      </c>
      <c r="AN20" s="108">
        <f t="shared" si="14"/>
        <v>0</v>
      </c>
      <c r="AO20" s="108">
        <f t="shared" si="15"/>
        <v>0</v>
      </c>
      <c r="AP20" s="108">
        <f t="shared" si="16"/>
        <v>0</v>
      </c>
      <c r="AQ20" s="108">
        <f t="shared" si="17"/>
        <v>0</v>
      </c>
      <c r="AR20" s="108">
        <f t="shared" si="18"/>
        <v>1</v>
      </c>
      <c r="AS20" s="108">
        <f t="shared" si="19"/>
        <v>0</v>
      </c>
      <c r="AT20" s="108">
        <f t="shared" si="20"/>
        <v>0</v>
      </c>
      <c r="AU20" s="108">
        <f t="shared" si="21"/>
        <v>0</v>
      </c>
      <c r="AV20" s="108">
        <f t="shared" si="22"/>
        <v>0</v>
      </c>
      <c r="AW20" s="108">
        <f t="shared" si="23"/>
        <v>0</v>
      </c>
      <c r="AX20" s="108">
        <f t="shared" si="24"/>
        <v>0</v>
      </c>
      <c r="AY20" s="108">
        <f t="shared" si="25"/>
        <v>0</v>
      </c>
      <c r="AZ20" s="108">
        <f t="shared" si="26"/>
        <v>0</v>
      </c>
      <c r="BA20" s="109">
        <f t="shared" si="27"/>
        <v>0</v>
      </c>
    </row>
    <row r="21" spans="1:53" x14ac:dyDescent="0.35">
      <c r="A21" s="143">
        <v>35772</v>
      </c>
      <c r="B21" s="106" t="s">
        <v>45</v>
      </c>
      <c r="C21" s="106" t="s">
        <v>102</v>
      </c>
      <c r="D21" s="83">
        <f t="shared" si="0"/>
        <v>0</v>
      </c>
      <c r="E21" s="106" t="s">
        <v>245</v>
      </c>
      <c r="F21" s="83">
        <f t="shared" si="1"/>
        <v>6</v>
      </c>
      <c r="G21" s="106">
        <v>75000000</v>
      </c>
      <c r="H21" s="83">
        <f t="shared" si="2"/>
        <v>7.8750612633917001</v>
      </c>
      <c r="I21" s="143">
        <v>37363</v>
      </c>
      <c r="J21" s="106">
        <v>527100000</v>
      </c>
      <c r="K21" s="145">
        <f t="shared" si="3"/>
        <v>4.3589041095890408</v>
      </c>
      <c r="L21" s="148">
        <f t="shared" si="28"/>
        <v>0.63937731519010677</v>
      </c>
      <c r="M21" s="106">
        <v>0</v>
      </c>
      <c r="N21" s="106">
        <f t="shared" si="4"/>
        <v>0</v>
      </c>
      <c r="O21" s="106">
        <v>0</v>
      </c>
      <c r="P21" s="108">
        <f t="shared" si="29"/>
        <v>0</v>
      </c>
      <c r="Q21" s="59">
        <v>2.95</v>
      </c>
      <c r="R21" s="65">
        <f t="shared" si="30"/>
        <v>0.46982201597816303</v>
      </c>
      <c r="S21" s="154">
        <f t="shared" si="5"/>
        <v>6.0279999999999996</v>
      </c>
      <c r="T21" s="119">
        <f t="shared" si="6"/>
        <v>0.84683175282325729</v>
      </c>
      <c r="U21" s="106">
        <v>1518.5350000000001</v>
      </c>
      <c r="V21" s="106">
        <f t="shared" si="7"/>
        <v>3.1814248062191788</v>
      </c>
      <c r="W21" s="106">
        <v>5363.16</v>
      </c>
      <c r="X21" s="106">
        <f t="shared" si="8"/>
        <v>3.7294207535322617</v>
      </c>
      <c r="Y21" s="118">
        <v>0</v>
      </c>
      <c r="Z21" s="118">
        <f t="shared" si="9"/>
        <v>0</v>
      </c>
      <c r="AA21" s="106">
        <v>85</v>
      </c>
      <c r="AB21" s="108">
        <f t="shared" si="31"/>
        <v>1.9294189257142926</v>
      </c>
      <c r="AC21" s="119">
        <v>27.4</v>
      </c>
      <c r="AD21" s="127">
        <f t="shared" si="32"/>
        <v>1.4377505628203879</v>
      </c>
      <c r="AE21" s="120">
        <v>35.968444143503902</v>
      </c>
      <c r="AF21" s="128">
        <f t="shared" si="33"/>
        <v>1.5559216523165715</v>
      </c>
      <c r="AG21" s="152">
        <v>-0.02</v>
      </c>
      <c r="AH21" s="119">
        <f t="shared" si="10"/>
        <v>-8.7739243075051505E-3</v>
      </c>
      <c r="AI21" s="106">
        <v>18</v>
      </c>
      <c r="AJ21" s="108">
        <f t="shared" si="34"/>
        <v>1.255272505103306</v>
      </c>
      <c r="AK21" s="106">
        <f t="shared" si="11"/>
        <v>0</v>
      </c>
      <c r="AL21" s="106">
        <f t="shared" si="12"/>
        <v>1</v>
      </c>
      <c r="AM21" s="106">
        <f t="shared" si="13"/>
        <v>0</v>
      </c>
      <c r="AN21" s="106">
        <f t="shared" si="14"/>
        <v>0</v>
      </c>
      <c r="AO21" s="106">
        <f t="shared" si="15"/>
        <v>0</v>
      </c>
      <c r="AP21" s="106">
        <f t="shared" si="16"/>
        <v>0</v>
      </c>
      <c r="AQ21" s="106">
        <f t="shared" si="17"/>
        <v>0</v>
      </c>
      <c r="AR21" s="106">
        <f t="shared" si="18"/>
        <v>0</v>
      </c>
      <c r="AS21" s="106">
        <f t="shared" si="19"/>
        <v>0</v>
      </c>
      <c r="AT21" s="106">
        <f t="shared" si="20"/>
        <v>0</v>
      </c>
      <c r="AU21" s="106">
        <f t="shared" si="21"/>
        <v>0</v>
      </c>
      <c r="AV21" s="106">
        <f t="shared" si="22"/>
        <v>0</v>
      </c>
      <c r="AW21" s="106">
        <f t="shared" si="23"/>
        <v>0</v>
      </c>
      <c r="AX21" s="106">
        <f t="shared" si="24"/>
        <v>0</v>
      </c>
      <c r="AY21" s="106">
        <f t="shared" si="25"/>
        <v>0</v>
      </c>
      <c r="AZ21" s="106">
        <f t="shared" si="26"/>
        <v>0</v>
      </c>
      <c r="BA21" s="107">
        <f t="shared" si="27"/>
        <v>0</v>
      </c>
    </row>
    <row r="22" spans="1:53" x14ac:dyDescent="0.35">
      <c r="A22" s="146">
        <v>35795</v>
      </c>
      <c r="B22" s="108" t="s">
        <v>59</v>
      </c>
      <c r="C22" s="108" t="s">
        <v>47</v>
      </c>
      <c r="D22" s="84">
        <f t="shared" si="0"/>
        <v>0</v>
      </c>
      <c r="E22" s="108" t="s">
        <v>248</v>
      </c>
      <c r="F22" s="84">
        <f t="shared" si="1"/>
        <v>5</v>
      </c>
      <c r="G22" s="108">
        <v>279000000</v>
      </c>
      <c r="H22" s="84">
        <f t="shared" si="2"/>
        <v>8.4456042032735983</v>
      </c>
      <c r="I22" s="146">
        <v>37659</v>
      </c>
      <c r="J22" s="108">
        <v>1240000000</v>
      </c>
      <c r="K22" s="148">
        <f t="shared" si="3"/>
        <v>5.1068493150684935</v>
      </c>
      <c r="L22" s="148">
        <f t="shared" si="28"/>
        <v>0.70815304356148789</v>
      </c>
      <c r="M22" s="108">
        <v>0</v>
      </c>
      <c r="N22" s="108">
        <f t="shared" si="4"/>
        <v>0</v>
      </c>
      <c r="O22" s="108">
        <v>0</v>
      </c>
      <c r="P22" s="108">
        <f t="shared" si="29"/>
        <v>0</v>
      </c>
      <c r="Q22" s="65">
        <v>3.29</v>
      </c>
      <c r="R22" s="65">
        <f t="shared" si="30"/>
        <v>0.51719589794997434</v>
      </c>
      <c r="S22" s="155">
        <f t="shared" si="5"/>
        <v>3.4444444444444446</v>
      </c>
      <c r="T22" s="127">
        <f t="shared" si="6"/>
        <v>0.64781748188863753</v>
      </c>
      <c r="U22" s="108">
        <v>2417.5229853975125</v>
      </c>
      <c r="V22" s="108">
        <f t="shared" si="7"/>
        <v>3.3833706119727633</v>
      </c>
      <c r="W22" s="108">
        <v>9545.7003785830148</v>
      </c>
      <c r="X22" s="108">
        <f t="shared" si="8"/>
        <v>3.9798077985646683</v>
      </c>
      <c r="Y22" s="126">
        <v>0</v>
      </c>
      <c r="Z22" s="126">
        <f t="shared" si="9"/>
        <v>0</v>
      </c>
      <c r="AA22" s="108">
        <v>85</v>
      </c>
      <c r="AB22" s="108">
        <f t="shared" si="31"/>
        <v>1.9294189257142926</v>
      </c>
      <c r="AC22" s="127">
        <v>30</v>
      </c>
      <c r="AD22" s="127">
        <f t="shared" si="32"/>
        <v>1.4771212547196624</v>
      </c>
      <c r="AE22" s="128">
        <v>35.807885111275297</v>
      </c>
      <c r="AF22" s="128">
        <f t="shared" si="33"/>
        <v>1.5539786714272548</v>
      </c>
      <c r="AG22" s="153">
        <v>0.63</v>
      </c>
      <c r="AH22" s="127">
        <f t="shared" si="10"/>
        <v>0.21218760440395779</v>
      </c>
      <c r="AI22" s="108">
        <v>26</v>
      </c>
      <c r="AJ22" s="108">
        <f t="shared" si="34"/>
        <v>1.414973347970818</v>
      </c>
      <c r="AK22" s="108">
        <f t="shared" si="11"/>
        <v>0</v>
      </c>
      <c r="AL22" s="108">
        <f t="shared" si="12"/>
        <v>0</v>
      </c>
      <c r="AM22" s="108">
        <f t="shared" si="13"/>
        <v>1</v>
      </c>
      <c r="AN22" s="108">
        <f t="shared" si="14"/>
        <v>0</v>
      </c>
      <c r="AO22" s="108">
        <f t="shared" si="15"/>
        <v>0</v>
      </c>
      <c r="AP22" s="108">
        <f t="shared" si="16"/>
        <v>0</v>
      </c>
      <c r="AQ22" s="108">
        <f t="shared" si="17"/>
        <v>0</v>
      </c>
      <c r="AR22" s="108">
        <f t="shared" si="18"/>
        <v>0</v>
      </c>
      <c r="AS22" s="108">
        <f t="shared" si="19"/>
        <v>0</v>
      </c>
      <c r="AT22" s="108">
        <f t="shared" si="20"/>
        <v>0</v>
      </c>
      <c r="AU22" s="108">
        <f t="shared" si="21"/>
        <v>0</v>
      </c>
      <c r="AV22" s="108">
        <f t="shared" si="22"/>
        <v>0</v>
      </c>
      <c r="AW22" s="108">
        <f t="shared" si="23"/>
        <v>0</v>
      </c>
      <c r="AX22" s="108">
        <f t="shared" si="24"/>
        <v>0</v>
      </c>
      <c r="AY22" s="108">
        <f t="shared" si="25"/>
        <v>0</v>
      </c>
      <c r="AZ22" s="108">
        <f t="shared" si="26"/>
        <v>0</v>
      </c>
      <c r="BA22" s="109">
        <f t="shared" si="27"/>
        <v>0</v>
      </c>
    </row>
    <row r="23" spans="1:53" x14ac:dyDescent="0.35">
      <c r="A23" s="143">
        <v>35795</v>
      </c>
      <c r="B23" s="106" t="s">
        <v>59</v>
      </c>
      <c r="C23" s="106" t="s">
        <v>47</v>
      </c>
      <c r="D23" s="83">
        <f t="shared" si="0"/>
        <v>0</v>
      </c>
      <c r="E23" s="106" t="s">
        <v>245</v>
      </c>
      <c r="F23" s="83">
        <f t="shared" si="1"/>
        <v>6</v>
      </c>
      <c r="G23" s="106">
        <v>121028501</v>
      </c>
      <c r="H23" s="83">
        <f t="shared" si="2"/>
        <v>8.082887654361798</v>
      </c>
      <c r="I23" s="143">
        <v>37606</v>
      </c>
      <c r="J23" s="106">
        <v>48700000</v>
      </c>
      <c r="K23" s="145">
        <f t="shared" si="3"/>
        <v>4.9616438356164387</v>
      </c>
      <c r="L23" s="148">
        <f t="shared" si="28"/>
        <v>0.69562558585758372</v>
      </c>
      <c r="M23" s="106">
        <v>0</v>
      </c>
      <c r="N23" s="106">
        <f t="shared" si="4"/>
        <v>0</v>
      </c>
      <c r="O23" s="106">
        <v>0</v>
      </c>
      <c r="P23" s="108">
        <f t="shared" si="29"/>
        <v>0</v>
      </c>
      <c r="Q23" s="59">
        <v>3.29</v>
      </c>
      <c r="R23" s="65">
        <f t="shared" si="30"/>
        <v>0.51719589794997434</v>
      </c>
      <c r="S23" s="154">
        <f t="shared" si="5"/>
        <v>-0.59761544101087394</v>
      </c>
      <c r="T23" s="119">
        <f t="shared" si="6"/>
        <v>-0.3953586931471641</v>
      </c>
      <c r="U23" s="106">
        <v>1669.0315000000001</v>
      </c>
      <c r="V23" s="106">
        <f t="shared" si="7"/>
        <v>3.2224645332922388</v>
      </c>
      <c r="W23" s="106">
        <v>5094.7950000000001</v>
      </c>
      <c r="X23" s="106">
        <f t="shared" si="8"/>
        <v>3.707126713924402</v>
      </c>
      <c r="Y23" s="118">
        <v>0</v>
      </c>
      <c r="Z23" s="118">
        <f t="shared" si="9"/>
        <v>0</v>
      </c>
      <c r="AA23" s="106">
        <v>85</v>
      </c>
      <c r="AB23" s="108">
        <f t="shared" si="31"/>
        <v>1.9294189257142926</v>
      </c>
      <c r="AC23" s="119">
        <v>30</v>
      </c>
      <c r="AD23" s="127">
        <f t="shared" si="32"/>
        <v>1.4771212547196624</v>
      </c>
      <c r="AE23" s="120">
        <v>35.807885111275297</v>
      </c>
      <c r="AF23" s="128">
        <f t="shared" si="33"/>
        <v>1.5539786714272548</v>
      </c>
      <c r="AG23" s="152">
        <v>0.17</v>
      </c>
      <c r="AH23" s="119">
        <f t="shared" si="10"/>
        <v>6.8185861746161619E-2</v>
      </c>
      <c r="AI23" s="106">
        <v>20</v>
      </c>
      <c r="AJ23" s="108">
        <f t="shared" si="34"/>
        <v>1.3010299956639813</v>
      </c>
      <c r="AK23" s="106">
        <f t="shared" si="11"/>
        <v>0</v>
      </c>
      <c r="AL23" s="106">
        <f t="shared" si="12"/>
        <v>0</v>
      </c>
      <c r="AM23" s="106">
        <f t="shared" si="13"/>
        <v>1</v>
      </c>
      <c r="AN23" s="106">
        <f t="shared" si="14"/>
        <v>0</v>
      </c>
      <c r="AO23" s="106">
        <f t="shared" si="15"/>
        <v>0</v>
      </c>
      <c r="AP23" s="106">
        <f t="shared" si="16"/>
        <v>0</v>
      </c>
      <c r="AQ23" s="106">
        <f t="shared" si="17"/>
        <v>0</v>
      </c>
      <c r="AR23" s="106">
        <f t="shared" si="18"/>
        <v>0</v>
      </c>
      <c r="AS23" s="106">
        <f t="shared" si="19"/>
        <v>0</v>
      </c>
      <c r="AT23" s="106">
        <f t="shared" si="20"/>
        <v>0</v>
      </c>
      <c r="AU23" s="106">
        <f t="shared" si="21"/>
        <v>0</v>
      </c>
      <c r="AV23" s="106">
        <f t="shared" si="22"/>
        <v>0</v>
      </c>
      <c r="AW23" s="106">
        <f t="shared" si="23"/>
        <v>0</v>
      </c>
      <c r="AX23" s="106">
        <f t="shared" si="24"/>
        <v>0</v>
      </c>
      <c r="AY23" s="106">
        <f t="shared" si="25"/>
        <v>0</v>
      </c>
      <c r="AZ23" s="106">
        <f t="shared" si="26"/>
        <v>0</v>
      </c>
      <c r="BA23" s="107">
        <f t="shared" si="27"/>
        <v>0</v>
      </c>
    </row>
    <row r="24" spans="1:53" x14ac:dyDescent="0.35">
      <c r="A24" s="146">
        <v>35799</v>
      </c>
      <c r="B24" s="108" t="s">
        <v>45</v>
      </c>
      <c r="C24" s="108" t="s">
        <v>102</v>
      </c>
      <c r="D24" s="84">
        <f t="shared" si="0"/>
        <v>0</v>
      </c>
      <c r="E24" s="108" t="s">
        <v>248</v>
      </c>
      <c r="F24" s="84">
        <f t="shared" si="1"/>
        <v>5</v>
      </c>
      <c r="G24" s="108">
        <v>593000000</v>
      </c>
      <c r="H24" s="84">
        <f t="shared" si="2"/>
        <v>8.7730546933642621</v>
      </c>
      <c r="I24" s="146">
        <v>37682</v>
      </c>
      <c r="J24" s="108">
        <v>0</v>
      </c>
      <c r="K24" s="148">
        <f t="shared" si="3"/>
        <v>5.1589041095890407</v>
      </c>
      <c r="L24" s="148">
        <f t="shared" si="28"/>
        <v>0.71255745556019012</v>
      </c>
      <c r="M24" s="108">
        <v>0</v>
      </c>
      <c r="N24" s="108">
        <f t="shared" si="4"/>
        <v>0</v>
      </c>
      <c r="O24" s="108">
        <v>7</v>
      </c>
      <c r="P24" s="108">
        <f t="shared" si="29"/>
        <v>0.84509804001425681</v>
      </c>
      <c r="Q24" s="65">
        <v>2.95</v>
      </c>
      <c r="R24" s="65">
        <f t="shared" si="30"/>
        <v>0.46982201597816303</v>
      </c>
      <c r="S24" s="155">
        <f t="shared" si="5"/>
        <v>-1</v>
      </c>
      <c r="T24" s="127">
        <f t="shared" si="6"/>
        <v>-1</v>
      </c>
      <c r="U24" s="108">
        <v>1171.498</v>
      </c>
      <c r="V24" s="108">
        <f t="shared" si="7"/>
        <v>3.0687415514991745</v>
      </c>
      <c r="W24" s="108">
        <v>3386.1060000000002</v>
      </c>
      <c r="X24" s="108">
        <f t="shared" si="8"/>
        <v>3.5297005493117593</v>
      </c>
      <c r="Y24" s="126">
        <v>0</v>
      </c>
      <c r="Z24" s="126">
        <f t="shared" si="9"/>
        <v>0</v>
      </c>
      <c r="AA24" s="108">
        <v>85</v>
      </c>
      <c r="AB24" s="108">
        <f t="shared" si="31"/>
        <v>1.9294189257142926</v>
      </c>
      <c r="AC24" s="127">
        <v>27.8</v>
      </c>
      <c r="AD24" s="127">
        <f t="shared" si="32"/>
        <v>1.4440447959180762</v>
      </c>
      <c r="AE24" s="128">
        <v>35.119429201759203</v>
      </c>
      <c r="AF24" s="128">
        <f t="shared" si="33"/>
        <v>1.5455474486765259</v>
      </c>
      <c r="AG24" s="153">
        <v>0.48</v>
      </c>
      <c r="AH24" s="127">
        <f t="shared" si="10"/>
        <v>0.17026171539495738</v>
      </c>
      <c r="AI24" s="108">
        <v>25</v>
      </c>
      <c r="AJ24" s="108">
        <f t="shared" si="34"/>
        <v>1.3979400086720377</v>
      </c>
      <c r="AK24" s="108">
        <f t="shared" si="11"/>
        <v>1</v>
      </c>
      <c r="AL24" s="108">
        <f t="shared" si="12"/>
        <v>1</v>
      </c>
      <c r="AM24" s="108">
        <f t="shared" si="13"/>
        <v>0</v>
      </c>
      <c r="AN24" s="108">
        <f t="shared" si="14"/>
        <v>0</v>
      </c>
      <c r="AO24" s="108">
        <f t="shared" si="15"/>
        <v>0</v>
      </c>
      <c r="AP24" s="108">
        <f t="shared" si="16"/>
        <v>0</v>
      </c>
      <c r="AQ24" s="108">
        <f t="shared" si="17"/>
        <v>0</v>
      </c>
      <c r="AR24" s="108">
        <f t="shared" si="18"/>
        <v>0</v>
      </c>
      <c r="AS24" s="108">
        <f t="shared" si="19"/>
        <v>0</v>
      </c>
      <c r="AT24" s="108">
        <f t="shared" si="20"/>
        <v>0</v>
      </c>
      <c r="AU24" s="108">
        <f t="shared" si="21"/>
        <v>0</v>
      </c>
      <c r="AV24" s="108">
        <f t="shared" si="22"/>
        <v>0</v>
      </c>
      <c r="AW24" s="108">
        <f t="shared" si="23"/>
        <v>0</v>
      </c>
      <c r="AX24" s="108">
        <f t="shared" si="24"/>
        <v>0</v>
      </c>
      <c r="AY24" s="108">
        <f t="shared" si="25"/>
        <v>0</v>
      </c>
      <c r="AZ24" s="108">
        <f t="shared" si="26"/>
        <v>0</v>
      </c>
      <c r="BA24" s="109">
        <f t="shared" si="27"/>
        <v>0</v>
      </c>
    </row>
    <row r="25" spans="1:53" x14ac:dyDescent="0.35">
      <c r="A25" s="143">
        <v>35836</v>
      </c>
      <c r="B25" s="83" t="s">
        <v>4</v>
      </c>
      <c r="C25" s="83" t="s">
        <v>64</v>
      </c>
      <c r="D25" s="83">
        <f t="shared" si="0"/>
        <v>1</v>
      </c>
      <c r="E25" s="83" t="s">
        <v>245</v>
      </c>
      <c r="F25" s="83">
        <f t="shared" si="1"/>
        <v>6</v>
      </c>
      <c r="G25" s="83">
        <v>125670000</v>
      </c>
      <c r="H25" s="83">
        <f t="shared" si="2"/>
        <v>8.0992316150808819</v>
      </c>
      <c r="I25" s="144">
        <v>37443</v>
      </c>
      <c r="J25" s="83">
        <v>116410000</v>
      </c>
      <c r="K25" s="145">
        <f t="shared" si="3"/>
        <v>4.4027397260273968</v>
      </c>
      <c r="L25" s="148">
        <f t="shared" si="28"/>
        <v>0.64372301230686979</v>
      </c>
      <c r="M25" s="106">
        <v>1433.25</v>
      </c>
      <c r="N25" s="106">
        <f t="shared" si="4"/>
        <v>3.1566248585544785</v>
      </c>
      <c r="O25" s="106">
        <v>75</v>
      </c>
      <c r="P25" s="108">
        <f t="shared" si="29"/>
        <v>1.8750612633917001</v>
      </c>
      <c r="Q25" s="59">
        <v>3.03</v>
      </c>
      <c r="R25" s="65">
        <f t="shared" si="30"/>
        <v>0.48144262850230496</v>
      </c>
      <c r="S25" s="154">
        <f t="shared" si="5"/>
        <v>-7.3685048141959086E-2</v>
      </c>
      <c r="T25" s="119">
        <f t="shared" si="6"/>
        <v>-3.3241325847105839E-2</v>
      </c>
      <c r="U25" s="106">
        <v>1895.918367346939</v>
      </c>
      <c r="V25" s="106">
        <f t="shared" si="7"/>
        <v>3.277819633965128</v>
      </c>
      <c r="W25" s="64">
        <v>8519.3877551020414</v>
      </c>
      <c r="X25" s="106">
        <f t="shared" si="8"/>
        <v>3.9304083853612104</v>
      </c>
      <c r="Y25" s="118">
        <v>697</v>
      </c>
      <c r="Z25" s="118">
        <f t="shared" si="9"/>
        <v>2.8438554226231609</v>
      </c>
      <c r="AA25" s="106">
        <v>70</v>
      </c>
      <c r="AB25" s="108">
        <f t="shared" si="31"/>
        <v>1.8450980400142569</v>
      </c>
      <c r="AC25" s="119">
        <v>48.4</v>
      </c>
      <c r="AD25" s="127">
        <f t="shared" si="32"/>
        <v>1.6848453616444126</v>
      </c>
      <c r="AE25" s="120">
        <v>56.929890049265502</v>
      </c>
      <c r="AF25" s="128">
        <f t="shared" si="33"/>
        <v>1.7553403450438787</v>
      </c>
      <c r="AG25" s="152">
        <v>0.39</v>
      </c>
      <c r="AH25" s="119">
        <f t="shared" si="10"/>
        <v>0.14301480025409513</v>
      </c>
      <c r="AI25" s="106">
        <v>15</v>
      </c>
      <c r="AJ25" s="108">
        <f t="shared" si="34"/>
        <v>1.1760912590556813</v>
      </c>
      <c r="AK25" s="106">
        <f t="shared" si="11"/>
        <v>0</v>
      </c>
      <c r="AL25" s="106">
        <f t="shared" si="12"/>
        <v>0</v>
      </c>
      <c r="AM25" s="106">
        <f t="shared" si="13"/>
        <v>0</v>
      </c>
      <c r="AN25" s="106">
        <f t="shared" si="14"/>
        <v>0</v>
      </c>
      <c r="AO25" s="106">
        <f t="shared" si="15"/>
        <v>0</v>
      </c>
      <c r="AP25" s="106">
        <f t="shared" si="16"/>
        <v>1</v>
      </c>
      <c r="AQ25" s="106">
        <f t="shared" si="17"/>
        <v>0</v>
      </c>
      <c r="AR25" s="106">
        <f t="shared" si="18"/>
        <v>0</v>
      </c>
      <c r="AS25" s="106">
        <f t="shared" si="19"/>
        <v>0</v>
      </c>
      <c r="AT25" s="106">
        <f t="shared" si="20"/>
        <v>0</v>
      </c>
      <c r="AU25" s="106">
        <f t="shared" si="21"/>
        <v>0</v>
      </c>
      <c r="AV25" s="106">
        <f t="shared" si="22"/>
        <v>0</v>
      </c>
      <c r="AW25" s="106">
        <f t="shared" si="23"/>
        <v>0</v>
      </c>
      <c r="AX25" s="106">
        <f t="shared" si="24"/>
        <v>0</v>
      </c>
      <c r="AY25" s="106">
        <f t="shared" si="25"/>
        <v>0</v>
      </c>
      <c r="AZ25" s="106">
        <f t="shared" si="26"/>
        <v>0</v>
      </c>
      <c r="BA25" s="107">
        <f t="shared" si="27"/>
        <v>0</v>
      </c>
    </row>
    <row r="26" spans="1:53" x14ac:dyDescent="0.35">
      <c r="A26" s="146">
        <v>35853</v>
      </c>
      <c r="B26" s="108" t="s">
        <v>59</v>
      </c>
      <c r="C26" s="108" t="s">
        <v>102</v>
      </c>
      <c r="D26" s="84">
        <f t="shared" si="0"/>
        <v>0</v>
      </c>
      <c r="E26" s="108" t="s">
        <v>186</v>
      </c>
      <c r="F26" s="84">
        <f t="shared" si="1"/>
        <v>4</v>
      </c>
      <c r="G26" s="108">
        <v>360000000</v>
      </c>
      <c r="H26" s="84">
        <f t="shared" si="2"/>
        <v>8.5563025007672877</v>
      </c>
      <c r="I26" s="146">
        <v>37358</v>
      </c>
      <c r="J26" s="108">
        <v>560000000</v>
      </c>
      <c r="K26" s="148">
        <f t="shared" si="3"/>
        <v>4.1232876712328768</v>
      </c>
      <c r="L26" s="148">
        <f t="shared" si="28"/>
        <v>0.61524363547338745</v>
      </c>
      <c r="M26" s="108">
        <v>0</v>
      </c>
      <c r="N26" s="108">
        <f t="shared" si="4"/>
        <v>0</v>
      </c>
      <c r="O26" s="108">
        <v>0</v>
      </c>
      <c r="P26" s="108">
        <f t="shared" si="29"/>
        <v>0</v>
      </c>
      <c r="Q26" s="65">
        <v>3.29</v>
      </c>
      <c r="R26" s="65">
        <f t="shared" si="30"/>
        <v>0.51719589794997434</v>
      </c>
      <c r="S26" s="155">
        <f t="shared" si="5"/>
        <v>0.55555555555555558</v>
      </c>
      <c r="T26" s="127">
        <f t="shared" si="6"/>
        <v>0.19188552623891317</v>
      </c>
      <c r="U26" s="108">
        <v>1709.090909090909</v>
      </c>
      <c r="V26" s="108">
        <f t="shared" si="7"/>
        <v>3.2327651641054547</v>
      </c>
      <c r="W26" s="108">
        <v>8968.5950413223145</v>
      </c>
      <c r="X26" s="108">
        <f t="shared" si="8"/>
        <v>3.9527244147731087</v>
      </c>
      <c r="Y26" s="126">
        <v>0</v>
      </c>
      <c r="Z26" s="126">
        <f t="shared" si="9"/>
        <v>0</v>
      </c>
      <c r="AA26" s="108">
        <v>85</v>
      </c>
      <c r="AB26" s="108">
        <f t="shared" si="31"/>
        <v>1.9294189257142926</v>
      </c>
      <c r="AC26" s="127">
        <v>31.5</v>
      </c>
      <c r="AD26" s="127">
        <f t="shared" si="32"/>
        <v>1.4983105537896004</v>
      </c>
      <c r="AE26" s="128">
        <v>35.516899069648296</v>
      </c>
      <c r="AF26" s="128">
        <f t="shared" si="33"/>
        <v>1.5504350411232082</v>
      </c>
      <c r="AG26" s="153">
        <v>0.86</v>
      </c>
      <c r="AH26" s="127">
        <f t="shared" si="10"/>
        <v>0.26951294421791627</v>
      </c>
      <c r="AI26" s="108">
        <v>25</v>
      </c>
      <c r="AJ26" s="108">
        <f t="shared" si="34"/>
        <v>1.3979400086720377</v>
      </c>
      <c r="AK26" s="108">
        <f t="shared" si="11"/>
        <v>0</v>
      </c>
      <c r="AL26" s="108">
        <f t="shared" si="12"/>
        <v>0</v>
      </c>
      <c r="AM26" s="108">
        <f t="shared" si="13"/>
        <v>1</v>
      </c>
      <c r="AN26" s="108">
        <f t="shared" si="14"/>
        <v>0</v>
      </c>
      <c r="AO26" s="108">
        <f t="shared" si="15"/>
        <v>0</v>
      </c>
      <c r="AP26" s="108">
        <f t="shared" si="16"/>
        <v>0</v>
      </c>
      <c r="AQ26" s="108">
        <f t="shared" si="17"/>
        <v>0</v>
      </c>
      <c r="AR26" s="108">
        <f t="shared" si="18"/>
        <v>0</v>
      </c>
      <c r="AS26" s="108">
        <f t="shared" si="19"/>
        <v>0</v>
      </c>
      <c r="AT26" s="108">
        <f t="shared" si="20"/>
        <v>0</v>
      </c>
      <c r="AU26" s="108">
        <f t="shared" si="21"/>
        <v>0</v>
      </c>
      <c r="AV26" s="108">
        <f t="shared" si="22"/>
        <v>0</v>
      </c>
      <c r="AW26" s="108">
        <f t="shared" si="23"/>
        <v>0</v>
      </c>
      <c r="AX26" s="108">
        <f t="shared" si="24"/>
        <v>0</v>
      </c>
      <c r="AY26" s="108">
        <f t="shared" si="25"/>
        <v>0</v>
      </c>
      <c r="AZ26" s="108">
        <f t="shared" si="26"/>
        <v>0</v>
      </c>
      <c r="BA26" s="109">
        <f t="shared" si="27"/>
        <v>0</v>
      </c>
    </row>
    <row r="27" spans="1:53" x14ac:dyDescent="0.35">
      <c r="A27" s="143">
        <v>35871</v>
      </c>
      <c r="B27" s="106" t="s">
        <v>45</v>
      </c>
      <c r="C27" s="106" t="s">
        <v>102</v>
      </c>
      <c r="D27" s="83">
        <f t="shared" si="0"/>
        <v>0</v>
      </c>
      <c r="E27" s="106" t="s">
        <v>248</v>
      </c>
      <c r="F27" s="83">
        <f t="shared" si="1"/>
        <v>5</v>
      </c>
      <c r="G27" s="106">
        <v>1060168118</v>
      </c>
      <c r="H27" s="83">
        <f t="shared" si="2"/>
        <v>9.0253747397273578</v>
      </c>
      <c r="I27" s="143">
        <v>38266</v>
      </c>
      <c r="J27" s="106">
        <v>175000000</v>
      </c>
      <c r="K27" s="145">
        <f t="shared" si="3"/>
        <v>6.5616438356164384</v>
      </c>
      <c r="L27" s="148">
        <f t="shared" si="28"/>
        <v>0.81701265329410733</v>
      </c>
      <c r="M27" s="106">
        <v>5897.96</v>
      </c>
      <c r="N27" s="106">
        <f t="shared" si="4"/>
        <v>3.7707754512906644</v>
      </c>
      <c r="O27" s="106">
        <v>85</v>
      </c>
      <c r="P27" s="108">
        <f t="shared" si="29"/>
        <v>1.9294189257142926</v>
      </c>
      <c r="Q27" s="59">
        <v>2.3199999999999998</v>
      </c>
      <c r="R27" s="65">
        <f t="shared" si="30"/>
        <v>0.36548798489089962</v>
      </c>
      <c r="S27" s="154">
        <f t="shared" si="5"/>
        <v>-0.83493184049890479</v>
      </c>
      <c r="T27" s="119">
        <f t="shared" si="6"/>
        <v>-0.78233669104106385</v>
      </c>
      <c r="U27" s="106">
        <v>1669.0315000000001</v>
      </c>
      <c r="V27" s="106">
        <f t="shared" si="7"/>
        <v>3.2224645332922388</v>
      </c>
      <c r="W27" s="106">
        <v>5094.7950000000001</v>
      </c>
      <c r="X27" s="106">
        <f t="shared" si="8"/>
        <v>3.707126713924402</v>
      </c>
      <c r="Y27" s="118">
        <v>132</v>
      </c>
      <c r="Z27" s="118">
        <f t="shared" si="9"/>
        <v>2.1238516409670858</v>
      </c>
      <c r="AA27" s="106">
        <v>85</v>
      </c>
      <c r="AB27" s="108">
        <f t="shared" si="31"/>
        <v>1.9294189257142926</v>
      </c>
      <c r="AC27" s="119">
        <v>27.8</v>
      </c>
      <c r="AD27" s="127">
        <f t="shared" si="32"/>
        <v>1.4440447959180762</v>
      </c>
      <c r="AE27" s="120">
        <v>35.119429201759203</v>
      </c>
      <c r="AF27" s="128">
        <f t="shared" si="33"/>
        <v>1.5455474486765259</v>
      </c>
      <c r="AG27" s="152">
        <v>0.2</v>
      </c>
      <c r="AH27" s="119">
        <f t="shared" si="10"/>
        <v>7.9181246047624818E-2</v>
      </c>
      <c r="AI27" s="106">
        <v>17</v>
      </c>
      <c r="AJ27" s="108">
        <f t="shared" si="34"/>
        <v>1.2304489213782739</v>
      </c>
      <c r="AK27" s="106">
        <f t="shared" si="11"/>
        <v>0</v>
      </c>
      <c r="AL27" s="106">
        <f t="shared" si="12"/>
        <v>1</v>
      </c>
      <c r="AM27" s="106">
        <f t="shared" si="13"/>
        <v>0</v>
      </c>
      <c r="AN27" s="106">
        <f t="shared" si="14"/>
        <v>0</v>
      </c>
      <c r="AO27" s="106">
        <f t="shared" si="15"/>
        <v>0</v>
      </c>
      <c r="AP27" s="106">
        <f t="shared" si="16"/>
        <v>0</v>
      </c>
      <c r="AQ27" s="106">
        <f t="shared" si="17"/>
        <v>0</v>
      </c>
      <c r="AR27" s="106">
        <f t="shared" si="18"/>
        <v>0</v>
      </c>
      <c r="AS27" s="106">
        <f t="shared" si="19"/>
        <v>0</v>
      </c>
      <c r="AT27" s="106">
        <f t="shared" si="20"/>
        <v>0</v>
      </c>
      <c r="AU27" s="106">
        <f t="shared" si="21"/>
        <v>0</v>
      </c>
      <c r="AV27" s="106">
        <f t="shared" si="22"/>
        <v>0</v>
      </c>
      <c r="AW27" s="106">
        <f t="shared" si="23"/>
        <v>0</v>
      </c>
      <c r="AX27" s="106">
        <f t="shared" si="24"/>
        <v>0</v>
      </c>
      <c r="AY27" s="106">
        <f t="shared" si="25"/>
        <v>0</v>
      </c>
      <c r="AZ27" s="106">
        <f t="shared" si="26"/>
        <v>0</v>
      </c>
      <c r="BA27" s="107">
        <f t="shared" si="27"/>
        <v>0</v>
      </c>
    </row>
    <row r="28" spans="1:53" x14ac:dyDescent="0.35">
      <c r="A28" s="146">
        <v>35885</v>
      </c>
      <c r="B28" s="108" t="s">
        <v>4</v>
      </c>
      <c r="C28" s="108" t="s">
        <v>102</v>
      </c>
      <c r="D28" s="84">
        <f t="shared" si="0"/>
        <v>0</v>
      </c>
      <c r="E28" s="108" t="s">
        <v>178</v>
      </c>
      <c r="F28" s="84">
        <f t="shared" si="1"/>
        <v>9</v>
      </c>
      <c r="G28" s="108">
        <v>45647180</v>
      </c>
      <c r="H28" s="84">
        <f t="shared" si="2"/>
        <v>7.6594139527735292</v>
      </c>
      <c r="I28" s="146">
        <v>37862</v>
      </c>
      <c r="J28" s="108">
        <v>422000000</v>
      </c>
      <c r="K28" s="148">
        <f t="shared" si="3"/>
        <v>5.4164383561643836</v>
      </c>
      <c r="L28" s="148">
        <f t="shared" si="28"/>
        <v>0.73371380485719762</v>
      </c>
      <c r="M28" s="108">
        <v>0</v>
      </c>
      <c r="N28" s="108">
        <f t="shared" si="4"/>
        <v>0</v>
      </c>
      <c r="O28" s="108">
        <v>73</v>
      </c>
      <c r="P28" s="108">
        <f t="shared" si="29"/>
        <v>1.8633228601204559</v>
      </c>
      <c r="Q28" s="65">
        <v>3.59</v>
      </c>
      <c r="R28" s="65">
        <f t="shared" si="30"/>
        <v>0.55509444857831913</v>
      </c>
      <c r="S28" s="155">
        <f t="shared" si="5"/>
        <v>8.2448208191612267</v>
      </c>
      <c r="T28" s="127">
        <f t="shared" si="6"/>
        <v>0.96589849818814433</v>
      </c>
      <c r="U28" s="108">
        <v>1450.8446376578247</v>
      </c>
      <c r="V28" s="108">
        <f t="shared" si="7"/>
        <v>3.1616209089088487</v>
      </c>
      <c r="W28" s="108">
        <v>6306.1358665754287</v>
      </c>
      <c r="X28" s="108">
        <f t="shared" si="8"/>
        <v>3.7997633234477775</v>
      </c>
      <c r="Y28" s="126">
        <v>0</v>
      </c>
      <c r="Z28" s="126">
        <f t="shared" si="9"/>
        <v>0</v>
      </c>
      <c r="AA28" s="108">
        <v>70</v>
      </c>
      <c r="AB28" s="108">
        <f t="shared" si="31"/>
        <v>1.8450980400142569</v>
      </c>
      <c r="AC28" s="127">
        <v>48.4</v>
      </c>
      <c r="AD28" s="127">
        <f t="shared" si="32"/>
        <v>1.6848453616444126</v>
      </c>
      <c r="AE28" s="128">
        <v>56.929890049265502</v>
      </c>
      <c r="AF28" s="128">
        <f t="shared" si="33"/>
        <v>1.7553403450438787</v>
      </c>
      <c r="AG28" s="153">
        <v>0.72</v>
      </c>
      <c r="AH28" s="127">
        <f t="shared" si="10"/>
        <v>0.2355284469075489</v>
      </c>
      <c r="AI28" s="108">
        <v>17</v>
      </c>
      <c r="AJ28" s="108">
        <f t="shared" si="34"/>
        <v>1.2304489213782739</v>
      </c>
      <c r="AK28" s="108">
        <f t="shared" si="11"/>
        <v>0</v>
      </c>
      <c r="AL28" s="108">
        <f t="shared" si="12"/>
        <v>0</v>
      </c>
      <c r="AM28" s="108">
        <f t="shared" si="13"/>
        <v>0</v>
      </c>
      <c r="AN28" s="108">
        <f t="shared" si="14"/>
        <v>0</v>
      </c>
      <c r="AO28" s="108">
        <f t="shared" si="15"/>
        <v>0</v>
      </c>
      <c r="AP28" s="108">
        <f t="shared" si="16"/>
        <v>1</v>
      </c>
      <c r="AQ28" s="108">
        <f t="shared" si="17"/>
        <v>0</v>
      </c>
      <c r="AR28" s="108">
        <f t="shared" si="18"/>
        <v>0</v>
      </c>
      <c r="AS28" s="108">
        <f t="shared" si="19"/>
        <v>0</v>
      </c>
      <c r="AT28" s="108">
        <f t="shared" si="20"/>
        <v>0</v>
      </c>
      <c r="AU28" s="108">
        <f t="shared" si="21"/>
        <v>0</v>
      </c>
      <c r="AV28" s="108">
        <f t="shared" si="22"/>
        <v>0</v>
      </c>
      <c r="AW28" s="108">
        <f t="shared" si="23"/>
        <v>0</v>
      </c>
      <c r="AX28" s="108">
        <f t="shared" si="24"/>
        <v>0</v>
      </c>
      <c r="AY28" s="108">
        <f t="shared" si="25"/>
        <v>0</v>
      </c>
      <c r="AZ28" s="108">
        <f t="shared" si="26"/>
        <v>0</v>
      </c>
      <c r="BA28" s="109">
        <f t="shared" si="27"/>
        <v>0</v>
      </c>
    </row>
    <row r="29" spans="1:53" x14ac:dyDescent="0.35">
      <c r="A29" s="143">
        <v>35905</v>
      </c>
      <c r="B29" s="106" t="s">
        <v>59</v>
      </c>
      <c r="C29" s="106" t="s">
        <v>47</v>
      </c>
      <c r="D29" s="83">
        <f t="shared" si="0"/>
        <v>0</v>
      </c>
      <c r="E29" s="106" t="s">
        <v>235</v>
      </c>
      <c r="F29" s="83">
        <f t="shared" si="1"/>
        <v>1</v>
      </c>
      <c r="G29" s="106">
        <v>135000000</v>
      </c>
      <c r="H29" s="83">
        <f t="shared" si="2"/>
        <v>8.1303337684950066</v>
      </c>
      <c r="I29" s="143">
        <v>38132</v>
      </c>
      <c r="J29" s="106">
        <v>46000000</v>
      </c>
      <c r="K29" s="145">
        <f t="shared" si="3"/>
        <v>6.1013698630136988</v>
      </c>
      <c r="L29" s="148">
        <f t="shared" si="28"/>
        <v>0.78542735257756346</v>
      </c>
      <c r="M29" s="106">
        <v>0</v>
      </c>
      <c r="N29" s="106">
        <f t="shared" si="4"/>
        <v>0</v>
      </c>
      <c r="O29" s="106">
        <v>0</v>
      </c>
      <c r="P29" s="108">
        <f t="shared" si="29"/>
        <v>0</v>
      </c>
      <c r="Q29" s="59">
        <v>3.29</v>
      </c>
      <c r="R29" s="65">
        <f t="shared" si="30"/>
        <v>0.51719589794997434</v>
      </c>
      <c r="S29" s="154">
        <f t="shared" si="5"/>
        <v>-0.65925925925925921</v>
      </c>
      <c r="T29" s="119">
        <f t="shared" si="6"/>
        <v>-0.46757593681343196</v>
      </c>
      <c r="U29" s="106">
        <v>1669.0315000000001</v>
      </c>
      <c r="V29" s="106">
        <f t="shared" si="7"/>
        <v>3.2224645332922388</v>
      </c>
      <c r="W29" s="106">
        <v>5094.7950000000001</v>
      </c>
      <c r="X29" s="106">
        <f t="shared" si="8"/>
        <v>3.707126713924402</v>
      </c>
      <c r="Y29" s="118">
        <v>0</v>
      </c>
      <c r="Z29" s="118">
        <f t="shared" si="9"/>
        <v>0</v>
      </c>
      <c r="AA29" s="106">
        <v>85</v>
      </c>
      <c r="AB29" s="108">
        <f t="shared" si="31"/>
        <v>1.9294189257142926</v>
      </c>
      <c r="AC29" s="119">
        <v>31.5</v>
      </c>
      <c r="AD29" s="127">
        <f t="shared" si="32"/>
        <v>1.4983105537896004</v>
      </c>
      <c r="AE29" s="120">
        <v>35.516899069648296</v>
      </c>
      <c r="AF29" s="128">
        <f t="shared" si="33"/>
        <v>1.5504350411232082</v>
      </c>
      <c r="AG29" s="152">
        <v>-0.15</v>
      </c>
      <c r="AH29" s="119">
        <f t="shared" si="10"/>
        <v>-7.0581074285707285E-2</v>
      </c>
      <c r="AI29" s="106">
        <v>19</v>
      </c>
      <c r="AJ29" s="108">
        <f t="shared" si="34"/>
        <v>1.2787536009528289</v>
      </c>
      <c r="AK29" s="106">
        <f t="shared" si="11"/>
        <v>0</v>
      </c>
      <c r="AL29" s="106">
        <f t="shared" si="12"/>
        <v>0</v>
      </c>
      <c r="AM29" s="106">
        <f t="shared" si="13"/>
        <v>1</v>
      </c>
      <c r="AN29" s="106">
        <f t="shared" si="14"/>
        <v>0</v>
      </c>
      <c r="AO29" s="106">
        <f t="shared" si="15"/>
        <v>0</v>
      </c>
      <c r="AP29" s="106">
        <f t="shared" si="16"/>
        <v>0</v>
      </c>
      <c r="AQ29" s="106">
        <f t="shared" si="17"/>
        <v>0</v>
      </c>
      <c r="AR29" s="106">
        <f t="shared" si="18"/>
        <v>0</v>
      </c>
      <c r="AS29" s="106">
        <f t="shared" si="19"/>
        <v>0</v>
      </c>
      <c r="AT29" s="106">
        <f t="shared" si="20"/>
        <v>0</v>
      </c>
      <c r="AU29" s="106">
        <f t="shared" si="21"/>
        <v>0</v>
      </c>
      <c r="AV29" s="106">
        <f t="shared" si="22"/>
        <v>0</v>
      </c>
      <c r="AW29" s="106">
        <f t="shared" si="23"/>
        <v>0</v>
      </c>
      <c r="AX29" s="106">
        <f t="shared" si="24"/>
        <v>0</v>
      </c>
      <c r="AY29" s="106">
        <f t="shared" si="25"/>
        <v>0</v>
      </c>
      <c r="AZ29" s="106">
        <f t="shared" si="26"/>
        <v>0</v>
      </c>
      <c r="BA29" s="107">
        <f t="shared" si="27"/>
        <v>0</v>
      </c>
    </row>
    <row r="30" spans="1:53" x14ac:dyDescent="0.35">
      <c r="A30" s="146">
        <v>35928</v>
      </c>
      <c r="B30" s="108" t="s">
        <v>45</v>
      </c>
      <c r="C30" s="108" t="s">
        <v>47</v>
      </c>
      <c r="D30" s="84">
        <f t="shared" si="0"/>
        <v>0</v>
      </c>
      <c r="E30" s="108" t="s">
        <v>190</v>
      </c>
      <c r="F30" s="84">
        <f t="shared" si="1"/>
        <v>2</v>
      </c>
      <c r="G30" s="108">
        <v>350000000</v>
      </c>
      <c r="H30" s="84">
        <f t="shared" si="2"/>
        <v>8.5440680443502757</v>
      </c>
      <c r="I30" s="146">
        <v>38198</v>
      </c>
      <c r="J30" s="108">
        <v>1058722600</v>
      </c>
      <c r="K30" s="148">
        <f t="shared" si="3"/>
        <v>6.2191780821917808</v>
      </c>
      <c r="L30" s="148">
        <f t="shared" si="28"/>
        <v>0.79373299273664799</v>
      </c>
      <c r="M30" s="108">
        <v>0</v>
      </c>
      <c r="N30" s="108">
        <f t="shared" si="4"/>
        <v>0</v>
      </c>
      <c r="O30" s="108">
        <v>14</v>
      </c>
      <c r="P30" s="108">
        <f t="shared" si="29"/>
        <v>1.146128035678238</v>
      </c>
      <c r="Q30" s="65">
        <v>2.95</v>
      </c>
      <c r="R30" s="65">
        <f t="shared" si="30"/>
        <v>0.46982201597816303</v>
      </c>
      <c r="S30" s="155">
        <f t="shared" si="5"/>
        <v>2.0249217142857141</v>
      </c>
      <c r="T30" s="127">
        <f t="shared" si="6"/>
        <v>0.48071413948644659</v>
      </c>
      <c r="U30" s="108">
        <v>1455.046</v>
      </c>
      <c r="V30" s="108">
        <f t="shared" si="7"/>
        <v>3.1628767233771686</v>
      </c>
      <c r="W30" s="108">
        <v>4062.5129999999999</v>
      </c>
      <c r="X30" s="108">
        <f t="shared" si="8"/>
        <v>3.6087947637270492</v>
      </c>
      <c r="Y30" s="108">
        <v>0</v>
      </c>
      <c r="Z30" s="126">
        <f t="shared" si="9"/>
        <v>0</v>
      </c>
      <c r="AA30" s="108">
        <v>85</v>
      </c>
      <c r="AB30" s="108">
        <f t="shared" si="31"/>
        <v>1.9294189257142926</v>
      </c>
      <c r="AC30" s="127">
        <v>27.8</v>
      </c>
      <c r="AD30" s="127">
        <f t="shared" si="32"/>
        <v>1.4440447959180762</v>
      </c>
      <c r="AE30" s="128">
        <v>35.119429201759203</v>
      </c>
      <c r="AF30" s="128">
        <f t="shared" si="33"/>
        <v>1.5455474486765259</v>
      </c>
      <c r="AG30" s="153">
        <v>0.43</v>
      </c>
      <c r="AH30" s="127">
        <f t="shared" si="10"/>
        <v>0.1553360374650618</v>
      </c>
      <c r="AI30" s="108">
        <v>16</v>
      </c>
      <c r="AJ30" s="108">
        <f t="shared" si="34"/>
        <v>1.2041199826559248</v>
      </c>
      <c r="AK30" s="108">
        <f t="shared" si="11"/>
        <v>0</v>
      </c>
      <c r="AL30" s="108">
        <f t="shared" si="12"/>
        <v>1</v>
      </c>
      <c r="AM30" s="108">
        <f t="shared" si="13"/>
        <v>0</v>
      </c>
      <c r="AN30" s="108">
        <f t="shared" si="14"/>
        <v>0</v>
      </c>
      <c r="AO30" s="108">
        <f t="shared" si="15"/>
        <v>0</v>
      </c>
      <c r="AP30" s="108">
        <f t="shared" si="16"/>
        <v>0</v>
      </c>
      <c r="AQ30" s="108">
        <f t="shared" si="17"/>
        <v>0</v>
      </c>
      <c r="AR30" s="108">
        <f t="shared" si="18"/>
        <v>0</v>
      </c>
      <c r="AS30" s="108">
        <f t="shared" si="19"/>
        <v>0</v>
      </c>
      <c r="AT30" s="108">
        <f t="shared" si="20"/>
        <v>0</v>
      </c>
      <c r="AU30" s="108">
        <f t="shared" si="21"/>
        <v>0</v>
      </c>
      <c r="AV30" s="108">
        <f t="shared" si="22"/>
        <v>0</v>
      </c>
      <c r="AW30" s="108">
        <f t="shared" si="23"/>
        <v>0</v>
      </c>
      <c r="AX30" s="108">
        <f t="shared" si="24"/>
        <v>0</v>
      </c>
      <c r="AY30" s="108">
        <f t="shared" si="25"/>
        <v>0</v>
      </c>
      <c r="AZ30" s="108">
        <f t="shared" si="26"/>
        <v>0</v>
      </c>
      <c r="BA30" s="109">
        <f t="shared" si="27"/>
        <v>0</v>
      </c>
    </row>
    <row r="31" spans="1:53" x14ac:dyDescent="0.35">
      <c r="A31" s="143">
        <v>36160</v>
      </c>
      <c r="B31" s="106" t="s">
        <v>59</v>
      </c>
      <c r="C31" s="106" t="s">
        <v>47</v>
      </c>
      <c r="D31" s="83">
        <f t="shared" si="0"/>
        <v>0</v>
      </c>
      <c r="E31" s="106" t="s">
        <v>248</v>
      </c>
      <c r="F31" s="83">
        <f t="shared" si="1"/>
        <v>5</v>
      </c>
      <c r="G31" s="106">
        <v>20600000</v>
      </c>
      <c r="H31" s="83">
        <f t="shared" si="2"/>
        <v>7.3138672203691533</v>
      </c>
      <c r="I31" s="143">
        <v>37081</v>
      </c>
      <c r="J31" s="106">
        <v>23400000</v>
      </c>
      <c r="K31" s="145">
        <f t="shared" si="3"/>
        <v>2.5232876712328767</v>
      </c>
      <c r="L31" s="148">
        <f t="shared" si="28"/>
        <v>0.40196676574037421</v>
      </c>
      <c r="M31" s="106">
        <v>0</v>
      </c>
      <c r="N31" s="106">
        <f t="shared" si="4"/>
        <v>0</v>
      </c>
      <c r="O31" s="106">
        <v>15</v>
      </c>
      <c r="P31" s="108">
        <f t="shared" si="29"/>
        <v>1.1760912590556813</v>
      </c>
      <c r="Q31" s="59">
        <v>3.29</v>
      </c>
      <c r="R31" s="65">
        <f t="shared" si="30"/>
        <v>0.51719589794997434</v>
      </c>
      <c r="S31" s="154">
        <f t="shared" si="5"/>
        <v>0.13592233009708732</v>
      </c>
      <c r="T31" s="119">
        <f t="shared" si="6"/>
        <v>5.5348637040989412E-2</v>
      </c>
      <c r="U31" s="106">
        <v>2417.5229853975125</v>
      </c>
      <c r="V31" s="106">
        <f t="shared" si="7"/>
        <v>3.3833706119727633</v>
      </c>
      <c r="W31" s="106">
        <v>9545.7003785830148</v>
      </c>
      <c r="X31" s="106">
        <f t="shared" si="8"/>
        <v>3.9798077985646683</v>
      </c>
      <c r="Y31" s="118">
        <v>0</v>
      </c>
      <c r="Z31" s="118">
        <f t="shared" si="9"/>
        <v>0</v>
      </c>
      <c r="AA31" s="106">
        <v>85</v>
      </c>
      <c r="AB31" s="108">
        <f t="shared" si="31"/>
        <v>1.9294189257142926</v>
      </c>
      <c r="AC31" s="119">
        <v>31.5</v>
      </c>
      <c r="AD31" s="127">
        <f t="shared" si="32"/>
        <v>1.4983105537896004</v>
      </c>
      <c r="AE31" s="120">
        <v>35.516899069648296</v>
      </c>
      <c r="AF31" s="128">
        <f t="shared" si="33"/>
        <v>1.5504350411232082</v>
      </c>
      <c r="AG31" s="154">
        <v>0.63</v>
      </c>
      <c r="AH31" s="119">
        <f t="shared" si="10"/>
        <v>0.21218760440395779</v>
      </c>
      <c r="AI31" s="106">
        <v>22</v>
      </c>
      <c r="AJ31" s="108">
        <f t="shared" si="34"/>
        <v>1.3424226808222062</v>
      </c>
      <c r="AK31" s="106">
        <f t="shared" si="11"/>
        <v>0</v>
      </c>
      <c r="AL31" s="106">
        <f t="shared" si="12"/>
        <v>0</v>
      </c>
      <c r="AM31" s="106">
        <f t="shared" si="13"/>
        <v>1</v>
      </c>
      <c r="AN31" s="106">
        <f t="shared" si="14"/>
        <v>0</v>
      </c>
      <c r="AO31" s="106">
        <f t="shared" si="15"/>
        <v>0</v>
      </c>
      <c r="AP31" s="106">
        <f t="shared" si="16"/>
        <v>0</v>
      </c>
      <c r="AQ31" s="106">
        <f t="shared" si="17"/>
        <v>0</v>
      </c>
      <c r="AR31" s="106">
        <f t="shared" si="18"/>
        <v>0</v>
      </c>
      <c r="AS31" s="106">
        <f t="shared" si="19"/>
        <v>0</v>
      </c>
      <c r="AT31" s="106">
        <f t="shared" si="20"/>
        <v>0</v>
      </c>
      <c r="AU31" s="106">
        <f t="shared" si="21"/>
        <v>0</v>
      </c>
      <c r="AV31" s="106">
        <f t="shared" si="22"/>
        <v>0</v>
      </c>
      <c r="AW31" s="106">
        <f t="shared" si="23"/>
        <v>0</v>
      </c>
      <c r="AX31" s="106">
        <f t="shared" si="24"/>
        <v>0</v>
      </c>
      <c r="AY31" s="106">
        <f t="shared" si="25"/>
        <v>0</v>
      </c>
      <c r="AZ31" s="106">
        <f t="shared" si="26"/>
        <v>0</v>
      </c>
      <c r="BA31" s="107">
        <f t="shared" si="27"/>
        <v>0</v>
      </c>
    </row>
    <row r="32" spans="1:53" x14ac:dyDescent="0.35">
      <c r="A32" s="146">
        <v>36160</v>
      </c>
      <c r="B32" s="108" t="s">
        <v>59</v>
      </c>
      <c r="C32" s="108" t="s">
        <v>47</v>
      </c>
      <c r="D32" s="84">
        <f t="shared" si="0"/>
        <v>0</v>
      </c>
      <c r="E32" s="108" t="s">
        <v>186</v>
      </c>
      <c r="F32" s="84">
        <f t="shared" si="1"/>
        <v>4</v>
      </c>
      <c r="G32" s="108">
        <v>442000000</v>
      </c>
      <c r="H32" s="84">
        <f t="shared" si="2"/>
        <v>8.6454222693490923</v>
      </c>
      <c r="I32" s="146">
        <v>37925</v>
      </c>
      <c r="J32" s="108">
        <v>839270000</v>
      </c>
      <c r="K32" s="148">
        <f t="shared" si="3"/>
        <v>4.8356164383561646</v>
      </c>
      <c r="L32" s="148">
        <f t="shared" si="28"/>
        <v>0.68445184526736669</v>
      </c>
      <c r="M32" s="108">
        <v>0</v>
      </c>
      <c r="N32" s="108">
        <f t="shared" si="4"/>
        <v>0</v>
      </c>
      <c r="O32" s="108">
        <v>23</v>
      </c>
      <c r="P32" s="108">
        <f t="shared" si="29"/>
        <v>1.3617278360175928</v>
      </c>
      <c r="Q32" s="65">
        <v>3.29</v>
      </c>
      <c r="R32" s="65">
        <f t="shared" si="30"/>
        <v>0.51719589794997434</v>
      </c>
      <c r="S32" s="155">
        <f t="shared" si="5"/>
        <v>0.89880090497737553</v>
      </c>
      <c r="T32" s="127">
        <f t="shared" si="6"/>
        <v>0.27847943003314923</v>
      </c>
      <c r="U32" s="108">
        <v>1655.11</v>
      </c>
      <c r="V32" s="108">
        <f t="shared" si="7"/>
        <v>3.2188268626467691</v>
      </c>
      <c r="W32" s="108">
        <v>5715.55</v>
      </c>
      <c r="X32" s="108">
        <f t="shared" si="8"/>
        <v>3.7570580283396975</v>
      </c>
      <c r="Y32" s="126">
        <v>0</v>
      </c>
      <c r="Z32" s="126">
        <f t="shared" si="9"/>
        <v>0</v>
      </c>
      <c r="AA32" s="108">
        <v>85</v>
      </c>
      <c r="AB32" s="108">
        <f t="shared" si="31"/>
        <v>1.9294189257142926</v>
      </c>
      <c r="AC32" s="127">
        <v>31.5</v>
      </c>
      <c r="AD32" s="127">
        <f t="shared" si="32"/>
        <v>1.4983105537896004</v>
      </c>
      <c r="AE32" s="128">
        <v>35.516899069648296</v>
      </c>
      <c r="AF32" s="128">
        <f t="shared" si="33"/>
        <v>1.5504350411232082</v>
      </c>
      <c r="AG32" s="153">
        <v>0.06</v>
      </c>
      <c r="AH32" s="127">
        <f t="shared" si="10"/>
        <v>2.5305865264770262E-2</v>
      </c>
      <c r="AI32" s="108">
        <v>17</v>
      </c>
      <c r="AJ32" s="108">
        <f t="shared" si="34"/>
        <v>1.2304489213782739</v>
      </c>
      <c r="AK32" s="108">
        <f t="shared" si="11"/>
        <v>0</v>
      </c>
      <c r="AL32" s="108">
        <f t="shared" si="12"/>
        <v>0</v>
      </c>
      <c r="AM32" s="108">
        <f t="shared" si="13"/>
        <v>1</v>
      </c>
      <c r="AN32" s="108">
        <f t="shared" si="14"/>
        <v>0</v>
      </c>
      <c r="AO32" s="108">
        <f t="shared" si="15"/>
        <v>0</v>
      </c>
      <c r="AP32" s="108">
        <f t="shared" si="16"/>
        <v>0</v>
      </c>
      <c r="AQ32" s="108">
        <f t="shared" si="17"/>
        <v>0</v>
      </c>
      <c r="AR32" s="108">
        <f t="shared" si="18"/>
        <v>0</v>
      </c>
      <c r="AS32" s="108">
        <f t="shared" si="19"/>
        <v>0</v>
      </c>
      <c r="AT32" s="108">
        <f t="shared" si="20"/>
        <v>0</v>
      </c>
      <c r="AU32" s="108">
        <f t="shared" si="21"/>
        <v>0</v>
      </c>
      <c r="AV32" s="108">
        <f t="shared" si="22"/>
        <v>0</v>
      </c>
      <c r="AW32" s="108">
        <f t="shared" si="23"/>
        <v>0</v>
      </c>
      <c r="AX32" s="108">
        <f t="shared" si="24"/>
        <v>0</v>
      </c>
      <c r="AY32" s="108">
        <f t="shared" si="25"/>
        <v>0</v>
      </c>
      <c r="AZ32" s="108">
        <f t="shared" si="26"/>
        <v>0</v>
      </c>
      <c r="BA32" s="109">
        <f t="shared" si="27"/>
        <v>0</v>
      </c>
    </row>
    <row r="33" spans="1:53" x14ac:dyDescent="0.35">
      <c r="A33" s="143">
        <v>36167</v>
      </c>
      <c r="B33" s="106" t="s">
        <v>45</v>
      </c>
      <c r="C33" s="106" t="s">
        <v>47</v>
      </c>
      <c r="D33" s="83">
        <f t="shared" si="0"/>
        <v>0</v>
      </c>
      <c r="E33" s="106" t="s">
        <v>186</v>
      </c>
      <c r="F33" s="83">
        <f t="shared" si="1"/>
        <v>4</v>
      </c>
      <c r="G33" s="106">
        <v>2652000000</v>
      </c>
      <c r="H33" s="83">
        <f t="shared" si="2"/>
        <v>9.4235735197327362</v>
      </c>
      <c r="I33" s="143">
        <v>40126</v>
      </c>
      <c r="J33" s="106">
        <v>2808990000</v>
      </c>
      <c r="K33" s="145">
        <f t="shared" si="3"/>
        <v>10.846575342465753</v>
      </c>
      <c r="L33" s="148">
        <f t="shared" si="28"/>
        <v>1.0352926372957298</v>
      </c>
      <c r="M33" s="106">
        <v>0</v>
      </c>
      <c r="N33" s="106">
        <f t="shared" si="4"/>
        <v>0</v>
      </c>
      <c r="O33" s="106">
        <v>20</v>
      </c>
      <c r="P33" s="108">
        <f t="shared" si="29"/>
        <v>1.3010299956639813</v>
      </c>
      <c r="Q33" s="59">
        <v>2.95</v>
      </c>
      <c r="R33" s="65">
        <f t="shared" si="30"/>
        <v>0.46982201597816303</v>
      </c>
      <c r="S33" s="154">
        <f t="shared" si="5"/>
        <v>5.9196832579185621E-2</v>
      </c>
      <c r="T33" s="119">
        <f t="shared" si="6"/>
        <v>2.4976673383919339E-2</v>
      </c>
      <c r="U33" s="106">
        <v>2443.0081229801726</v>
      </c>
      <c r="V33" s="106">
        <f t="shared" si="7"/>
        <v>3.3879249110011078</v>
      </c>
      <c r="W33" s="106">
        <v>8757.9701283954928</v>
      </c>
      <c r="X33" s="106">
        <f t="shared" si="8"/>
        <v>3.9424034595709814</v>
      </c>
      <c r="Y33" s="106">
        <v>0</v>
      </c>
      <c r="Z33" s="118">
        <f t="shared" si="9"/>
        <v>0</v>
      </c>
      <c r="AA33" s="106">
        <v>85</v>
      </c>
      <c r="AB33" s="108">
        <f t="shared" si="31"/>
        <v>1.9294189257142926</v>
      </c>
      <c r="AC33" s="119">
        <v>27.8</v>
      </c>
      <c r="AD33" s="127">
        <f t="shared" si="32"/>
        <v>1.4440447959180762</v>
      </c>
      <c r="AE33" s="120">
        <v>34.656907836978597</v>
      </c>
      <c r="AF33" s="128">
        <f t="shared" si="33"/>
        <v>1.5397898114291337</v>
      </c>
      <c r="AG33" s="152">
        <v>0.97</v>
      </c>
      <c r="AH33" s="119">
        <f t="shared" si="10"/>
        <v>0.2944662261615929</v>
      </c>
      <c r="AI33" s="106">
        <v>18</v>
      </c>
      <c r="AJ33" s="108">
        <f t="shared" si="34"/>
        <v>1.255272505103306</v>
      </c>
      <c r="AK33" s="106">
        <f t="shared" si="11"/>
        <v>0</v>
      </c>
      <c r="AL33" s="106">
        <f t="shared" si="12"/>
        <v>1</v>
      </c>
      <c r="AM33" s="106">
        <f t="shared" si="13"/>
        <v>0</v>
      </c>
      <c r="AN33" s="106">
        <f t="shared" si="14"/>
        <v>0</v>
      </c>
      <c r="AO33" s="106">
        <f t="shared" si="15"/>
        <v>0</v>
      </c>
      <c r="AP33" s="106">
        <f t="shared" si="16"/>
        <v>0</v>
      </c>
      <c r="AQ33" s="106">
        <f t="shared" si="17"/>
        <v>0</v>
      </c>
      <c r="AR33" s="106">
        <f t="shared" si="18"/>
        <v>0</v>
      </c>
      <c r="AS33" s="106">
        <f t="shared" si="19"/>
        <v>0</v>
      </c>
      <c r="AT33" s="106">
        <f t="shared" si="20"/>
        <v>0</v>
      </c>
      <c r="AU33" s="106">
        <f t="shared" si="21"/>
        <v>0</v>
      </c>
      <c r="AV33" s="106">
        <f t="shared" si="22"/>
        <v>0</v>
      </c>
      <c r="AW33" s="106">
        <f t="shared" si="23"/>
        <v>0</v>
      </c>
      <c r="AX33" s="106">
        <f t="shared" si="24"/>
        <v>0</v>
      </c>
      <c r="AY33" s="106">
        <f t="shared" si="25"/>
        <v>0</v>
      </c>
      <c r="AZ33" s="106">
        <f t="shared" si="26"/>
        <v>0</v>
      </c>
      <c r="BA33" s="107">
        <f t="shared" si="27"/>
        <v>0</v>
      </c>
    </row>
    <row r="34" spans="1:53" x14ac:dyDescent="0.35">
      <c r="A34" s="146">
        <v>36168</v>
      </c>
      <c r="B34" s="108" t="s">
        <v>497</v>
      </c>
      <c r="C34" s="108" t="s">
        <v>64</v>
      </c>
      <c r="D34" s="84">
        <f t="shared" si="0"/>
        <v>1</v>
      </c>
      <c r="E34" s="108" t="s">
        <v>269</v>
      </c>
      <c r="F34" s="84">
        <f t="shared" si="1"/>
        <v>7</v>
      </c>
      <c r="G34" s="108">
        <v>519000000</v>
      </c>
      <c r="H34" s="84">
        <f t="shared" si="2"/>
        <v>8.7151673578484576</v>
      </c>
      <c r="I34" s="146">
        <v>38121</v>
      </c>
      <c r="J34" s="108">
        <v>264170000</v>
      </c>
      <c r="K34" s="148">
        <f t="shared" si="3"/>
        <v>5.3506849315068497</v>
      </c>
      <c r="L34" s="148">
        <f t="shared" si="28"/>
        <v>0.72840937883137968</v>
      </c>
      <c r="M34" s="108">
        <v>463.97</v>
      </c>
      <c r="N34" s="108">
        <f t="shared" si="4"/>
        <v>2.6674249329872439</v>
      </c>
      <c r="O34" s="108">
        <v>147</v>
      </c>
      <c r="P34" s="108">
        <f t="shared" si="29"/>
        <v>2.167317334748176</v>
      </c>
      <c r="Q34" s="65">
        <v>2.61</v>
      </c>
      <c r="R34" s="65">
        <f t="shared" si="30"/>
        <v>0.41664050733828095</v>
      </c>
      <c r="S34" s="155">
        <f t="shared" si="5"/>
        <v>-0.49100192678227361</v>
      </c>
      <c r="T34" s="127">
        <f t="shared" si="6"/>
        <v>-0.2932838616563514</v>
      </c>
      <c r="U34" s="108">
        <v>1655.1111111111111</v>
      </c>
      <c r="V34" s="108">
        <f t="shared" si="7"/>
        <v>3.2188271541979425</v>
      </c>
      <c r="W34" s="108">
        <v>5715.5555555555547</v>
      </c>
      <c r="X34" s="108">
        <f t="shared" si="8"/>
        <v>3.7570584504768405</v>
      </c>
      <c r="Y34" s="126">
        <v>193.166666666667</v>
      </c>
      <c r="Z34" s="126">
        <f t="shared" si="9"/>
        <v>2.2881746749783951</v>
      </c>
      <c r="AA34" s="108">
        <v>85</v>
      </c>
      <c r="AB34" s="108">
        <f t="shared" si="31"/>
        <v>1.9294189257142926</v>
      </c>
      <c r="AC34" s="127">
        <v>30.9</v>
      </c>
      <c r="AD34" s="127">
        <f t="shared" si="32"/>
        <v>1.4899584794248346</v>
      </c>
      <c r="AE34" s="128">
        <v>33.950689057445601</v>
      </c>
      <c r="AF34" s="128">
        <f t="shared" si="33"/>
        <v>1.5308485930733544</v>
      </c>
      <c r="AG34" s="153">
        <v>-0.01</v>
      </c>
      <c r="AH34" s="127">
        <f t="shared" si="10"/>
        <v>-4.3648054024500883E-3</v>
      </c>
      <c r="AI34" s="108">
        <v>14</v>
      </c>
      <c r="AJ34" s="108">
        <f t="shared" si="34"/>
        <v>1.146128035678238</v>
      </c>
      <c r="AK34" s="108">
        <f t="shared" si="11"/>
        <v>0</v>
      </c>
      <c r="AL34" s="108">
        <f t="shared" si="12"/>
        <v>0</v>
      </c>
      <c r="AM34" s="108">
        <f t="shared" si="13"/>
        <v>0</v>
      </c>
      <c r="AN34" s="108">
        <f t="shared" si="14"/>
        <v>0</v>
      </c>
      <c r="AO34" s="108">
        <f t="shared" si="15"/>
        <v>0</v>
      </c>
      <c r="AP34" s="108">
        <f t="shared" si="16"/>
        <v>0</v>
      </c>
      <c r="AQ34" s="108">
        <f t="shared" si="17"/>
        <v>0</v>
      </c>
      <c r="AR34" s="108">
        <f t="shared" si="18"/>
        <v>0</v>
      </c>
      <c r="AS34" s="108">
        <f t="shared" si="19"/>
        <v>0</v>
      </c>
      <c r="AT34" s="108">
        <f t="shared" si="20"/>
        <v>0</v>
      </c>
      <c r="AU34" s="108">
        <f t="shared" si="21"/>
        <v>0</v>
      </c>
      <c r="AV34" s="108">
        <f t="shared" si="22"/>
        <v>0</v>
      </c>
      <c r="AW34" s="108">
        <f t="shared" si="23"/>
        <v>0</v>
      </c>
      <c r="AX34" s="108">
        <f t="shared" si="24"/>
        <v>0</v>
      </c>
      <c r="AY34" s="108">
        <f t="shared" si="25"/>
        <v>0</v>
      </c>
      <c r="AZ34" s="108">
        <f t="shared" si="26"/>
        <v>1</v>
      </c>
      <c r="BA34" s="109">
        <f t="shared" si="27"/>
        <v>0</v>
      </c>
    </row>
    <row r="35" spans="1:53" x14ac:dyDescent="0.35">
      <c r="A35" s="143">
        <v>36213</v>
      </c>
      <c r="B35" s="83" t="s">
        <v>59</v>
      </c>
      <c r="C35" s="83" t="s">
        <v>47</v>
      </c>
      <c r="D35" s="83">
        <f t="shared" si="0"/>
        <v>0</v>
      </c>
      <c r="E35" s="83" t="s">
        <v>68</v>
      </c>
      <c r="F35" s="83">
        <f t="shared" si="1"/>
        <v>2</v>
      </c>
      <c r="G35" s="83">
        <v>825000000</v>
      </c>
      <c r="H35" s="83">
        <f t="shared" si="2"/>
        <v>8.9164539485499255</v>
      </c>
      <c r="I35" s="144">
        <v>37778</v>
      </c>
      <c r="J35" s="83">
        <v>490397338</v>
      </c>
      <c r="K35" s="145">
        <f t="shared" si="3"/>
        <v>4.2876712328767121</v>
      </c>
      <c r="L35" s="148">
        <f t="shared" si="28"/>
        <v>0.63222147742599255</v>
      </c>
      <c r="M35" s="106">
        <v>0</v>
      </c>
      <c r="N35" s="106">
        <f t="shared" si="4"/>
        <v>0</v>
      </c>
      <c r="O35" s="106">
        <v>65</v>
      </c>
      <c r="P35" s="108">
        <f t="shared" si="29"/>
        <v>1.8129133566428555</v>
      </c>
      <c r="Q35" s="59">
        <v>3.29</v>
      </c>
      <c r="R35" s="65">
        <f t="shared" si="30"/>
        <v>0.51719589794997434</v>
      </c>
      <c r="S35" s="154">
        <f t="shared" si="5"/>
        <v>-0.40557898424242422</v>
      </c>
      <c r="T35" s="119">
        <f t="shared" si="6"/>
        <v>-0.22590584449276507</v>
      </c>
      <c r="U35" s="106">
        <v>1519.5854290504496</v>
      </c>
      <c r="V35" s="106">
        <f t="shared" si="7"/>
        <v>3.1817251205543564</v>
      </c>
      <c r="W35" s="106">
        <v>8383.6305441243712</v>
      </c>
      <c r="X35" s="106">
        <f t="shared" si="8"/>
        <v>3.9234321312589846</v>
      </c>
      <c r="Y35" s="118">
        <v>0</v>
      </c>
      <c r="Z35" s="118">
        <f t="shared" si="9"/>
        <v>0</v>
      </c>
      <c r="AA35" s="106">
        <v>85</v>
      </c>
      <c r="AB35" s="108">
        <f t="shared" si="31"/>
        <v>1.9294189257142926</v>
      </c>
      <c r="AC35" s="119">
        <v>32.200000000000003</v>
      </c>
      <c r="AD35" s="127">
        <f t="shared" si="32"/>
        <v>1.507855871695831</v>
      </c>
      <c r="AE35" s="120">
        <v>35.326012114535303</v>
      </c>
      <c r="AF35" s="128">
        <f t="shared" si="33"/>
        <v>1.548094613534351</v>
      </c>
      <c r="AG35" s="152">
        <v>0.11</v>
      </c>
      <c r="AH35" s="119">
        <f t="shared" si="10"/>
        <v>4.5322978786657475E-2</v>
      </c>
      <c r="AI35" s="106">
        <v>5</v>
      </c>
      <c r="AJ35" s="108">
        <f t="shared" si="34"/>
        <v>0.69897000433601886</v>
      </c>
      <c r="AK35" s="106">
        <f t="shared" si="11"/>
        <v>0</v>
      </c>
      <c r="AL35" s="106">
        <f t="shared" si="12"/>
        <v>0</v>
      </c>
      <c r="AM35" s="106">
        <f t="shared" si="13"/>
        <v>1</v>
      </c>
      <c r="AN35" s="106">
        <f t="shared" si="14"/>
        <v>0</v>
      </c>
      <c r="AO35" s="106">
        <f t="shared" si="15"/>
        <v>0</v>
      </c>
      <c r="AP35" s="106">
        <f t="shared" si="16"/>
        <v>0</v>
      </c>
      <c r="AQ35" s="106">
        <f t="shared" si="17"/>
        <v>0</v>
      </c>
      <c r="AR35" s="106">
        <f t="shared" si="18"/>
        <v>0</v>
      </c>
      <c r="AS35" s="106">
        <f t="shared" si="19"/>
        <v>0</v>
      </c>
      <c r="AT35" s="106">
        <f t="shared" si="20"/>
        <v>0</v>
      </c>
      <c r="AU35" s="106">
        <f t="shared" si="21"/>
        <v>0</v>
      </c>
      <c r="AV35" s="106">
        <f t="shared" si="22"/>
        <v>0</v>
      </c>
      <c r="AW35" s="106">
        <f t="shared" si="23"/>
        <v>0</v>
      </c>
      <c r="AX35" s="106">
        <f t="shared" si="24"/>
        <v>0</v>
      </c>
      <c r="AY35" s="106">
        <f t="shared" si="25"/>
        <v>0</v>
      </c>
      <c r="AZ35" s="106">
        <f t="shared" si="26"/>
        <v>0</v>
      </c>
      <c r="BA35" s="107">
        <f t="shared" si="27"/>
        <v>0</v>
      </c>
    </row>
    <row r="36" spans="1:53" x14ac:dyDescent="0.35">
      <c r="A36" s="146">
        <v>36271</v>
      </c>
      <c r="B36" s="108" t="s">
        <v>45</v>
      </c>
      <c r="C36" s="108" t="s">
        <v>47</v>
      </c>
      <c r="D36" s="84">
        <f t="shared" si="0"/>
        <v>0</v>
      </c>
      <c r="E36" s="108" t="s">
        <v>183</v>
      </c>
      <c r="F36" s="84">
        <f t="shared" si="1"/>
        <v>3</v>
      </c>
      <c r="G36" s="108">
        <v>140000000</v>
      </c>
      <c r="H36" s="84">
        <f t="shared" si="2"/>
        <v>8.1461280356782382</v>
      </c>
      <c r="I36" s="146">
        <v>38069</v>
      </c>
      <c r="J36" s="108">
        <v>140700000</v>
      </c>
      <c r="K36" s="148">
        <f t="shared" si="3"/>
        <v>4.9260273972602739</v>
      </c>
      <c r="L36" s="148">
        <f t="shared" si="28"/>
        <v>0.69249682294073522</v>
      </c>
      <c r="M36" s="108">
        <v>0</v>
      </c>
      <c r="N36" s="108">
        <f t="shared" si="4"/>
        <v>0</v>
      </c>
      <c r="O36" s="108">
        <v>48</v>
      </c>
      <c r="P36" s="108">
        <f t="shared" si="29"/>
        <v>1.6812412373755872</v>
      </c>
      <c r="Q36" s="65">
        <v>2.95</v>
      </c>
      <c r="R36" s="65">
        <f t="shared" si="30"/>
        <v>0.46982201597816303</v>
      </c>
      <c r="S36" s="155">
        <f t="shared" si="5"/>
        <v>4.9999999999998934E-3</v>
      </c>
      <c r="T36" s="127">
        <f t="shared" si="6"/>
        <v>2.1660617565076304E-3</v>
      </c>
      <c r="U36" s="108">
        <v>1455.046</v>
      </c>
      <c r="V36" s="108">
        <f t="shared" si="7"/>
        <v>3.1628767233771686</v>
      </c>
      <c r="W36" s="108">
        <v>4062.5129999999999</v>
      </c>
      <c r="X36" s="108">
        <f t="shared" si="8"/>
        <v>3.6087947637270492</v>
      </c>
      <c r="Y36" s="108">
        <v>0</v>
      </c>
      <c r="Z36" s="126">
        <f t="shared" si="9"/>
        <v>0</v>
      </c>
      <c r="AA36" s="108">
        <v>85</v>
      </c>
      <c r="AB36" s="108">
        <f t="shared" si="31"/>
        <v>1.9294189257142926</v>
      </c>
      <c r="AC36" s="127">
        <v>27.8</v>
      </c>
      <c r="AD36" s="127">
        <f t="shared" si="32"/>
        <v>1.4440447959180762</v>
      </c>
      <c r="AE36" s="128">
        <v>34.656907836978597</v>
      </c>
      <c r="AF36" s="128">
        <f t="shared" si="33"/>
        <v>1.5397898114291337</v>
      </c>
      <c r="AG36" s="153">
        <v>0.85</v>
      </c>
      <c r="AH36" s="127">
        <f t="shared" si="10"/>
        <v>0.26717172840301384</v>
      </c>
      <c r="AI36" s="108">
        <v>14</v>
      </c>
      <c r="AJ36" s="108">
        <f t="shared" si="34"/>
        <v>1.146128035678238</v>
      </c>
      <c r="AK36" s="108">
        <f t="shared" si="11"/>
        <v>0</v>
      </c>
      <c r="AL36" s="108">
        <f t="shared" si="12"/>
        <v>1</v>
      </c>
      <c r="AM36" s="108">
        <f t="shared" si="13"/>
        <v>0</v>
      </c>
      <c r="AN36" s="108">
        <f t="shared" si="14"/>
        <v>0</v>
      </c>
      <c r="AO36" s="108">
        <f t="shared" si="15"/>
        <v>0</v>
      </c>
      <c r="AP36" s="108">
        <f t="shared" si="16"/>
        <v>0</v>
      </c>
      <c r="AQ36" s="108">
        <f t="shared" si="17"/>
        <v>0</v>
      </c>
      <c r="AR36" s="108">
        <f t="shared" si="18"/>
        <v>0</v>
      </c>
      <c r="AS36" s="108">
        <f t="shared" si="19"/>
        <v>0</v>
      </c>
      <c r="AT36" s="108">
        <f t="shared" si="20"/>
        <v>0</v>
      </c>
      <c r="AU36" s="108">
        <f t="shared" si="21"/>
        <v>0</v>
      </c>
      <c r="AV36" s="108">
        <f t="shared" si="22"/>
        <v>0</v>
      </c>
      <c r="AW36" s="108">
        <f t="shared" si="23"/>
        <v>0</v>
      </c>
      <c r="AX36" s="108">
        <f t="shared" si="24"/>
        <v>0</v>
      </c>
      <c r="AY36" s="108">
        <f t="shared" si="25"/>
        <v>0</v>
      </c>
      <c r="AZ36" s="108">
        <f t="shared" si="26"/>
        <v>0</v>
      </c>
      <c r="BA36" s="109">
        <f t="shared" si="27"/>
        <v>0</v>
      </c>
    </row>
    <row r="37" spans="1:53" x14ac:dyDescent="0.35">
      <c r="A37" s="143">
        <v>36279</v>
      </c>
      <c r="B37" s="106" t="s">
        <v>59</v>
      </c>
      <c r="C37" s="106" t="s">
        <v>64</v>
      </c>
      <c r="D37" s="83">
        <f t="shared" si="0"/>
        <v>1</v>
      </c>
      <c r="E37" s="106" t="s">
        <v>248</v>
      </c>
      <c r="F37" s="83">
        <f t="shared" si="1"/>
        <v>5</v>
      </c>
      <c r="G37" s="106">
        <v>180360000</v>
      </c>
      <c r="H37" s="83">
        <f t="shared" si="2"/>
        <v>8.2561402266345336</v>
      </c>
      <c r="I37" s="143">
        <v>38006</v>
      </c>
      <c r="J37" s="106">
        <v>180360000</v>
      </c>
      <c r="K37" s="145">
        <f t="shared" si="3"/>
        <v>4.7315068493150685</v>
      </c>
      <c r="L37" s="148">
        <f t="shared" si="28"/>
        <v>0.67499947311098407</v>
      </c>
      <c r="M37" s="106">
        <v>5897.96</v>
      </c>
      <c r="N37" s="106">
        <f t="shared" si="4"/>
        <v>3.7707754512906644</v>
      </c>
      <c r="O37" s="106">
        <v>30</v>
      </c>
      <c r="P37" s="108">
        <f t="shared" si="29"/>
        <v>1.4771212547196624</v>
      </c>
      <c r="Q37" s="59">
        <v>2.3199999999999998</v>
      </c>
      <c r="R37" s="65">
        <f t="shared" si="30"/>
        <v>0.36548798489089962</v>
      </c>
      <c r="S37" s="154">
        <f t="shared" si="5"/>
        <v>0</v>
      </c>
      <c r="T37" s="119">
        <f t="shared" si="6"/>
        <v>0</v>
      </c>
      <c r="U37" s="106">
        <v>1421.558</v>
      </c>
      <c r="V37" s="106">
        <f t="shared" si="7"/>
        <v>3.1527645837352773</v>
      </c>
      <c r="W37" s="106">
        <v>3476.3409999999999</v>
      </c>
      <c r="X37" s="106">
        <f t="shared" si="8"/>
        <v>3.5411223705253856</v>
      </c>
      <c r="Y37" s="118">
        <v>132</v>
      </c>
      <c r="Z37" s="118">
        <f t="shared" si="9"/>
        <v>2.1238516409670858</v>
      </c>
      <c r="AA37" s="106">
        <v>85</v>
      </c>
      <c r="AB37" s="108">
        <f t="shared" si="31"/>
        <v>1.9294189257142926</v>
      </c>
      <c r="AC37" s="119">
        <v>32.200000000000003</v>
      </c>
      <c r="AD37" s="127">
        <f t="shared" si="32"/>
        <v>1.507855871695831</v>
      </c>
      <c r="AE37" s="120">
        <v>35.326012114535303</v>
      </c>
      <c r="AF37" s="128">
        <f t="shared" si="33"/>
        <v>1.548094613534351</v>
      </c>
      <c r="AG37" s="152">
        <v>-0.01</v>
      </c>
      <c r="AH37" s="119">
        <f t="shared" si="10"/>
        <v>-4.3648054024500883E-3</v>
      </c>
      <c r="AI37" s="106">
        <v>12</v>
      </c>
      <c r="AJ37" s="108">
        <f t="shared" si="34"/>
        <v>1.0791812460476249</v>
      </c>
      <c r="AK37" s="106">
        <f t="shared" si="11"/>
        <v>0</v>
      </c>
      <c r="AL37" s="106">
        <f t="shared" si="12"/>
        <v>0</v>
      </c>
      <c r="AM37" s="106">
        <f t="shared" si="13"/>
        <v>1</v>
      </c>
      <c r="AN37" s="106">
        <f t="shared" si="14"/>
        <v>0</v>
      </c>
      <c r="AO37" s="106">
        <f t="shared" si="15"/>
        <v>0</v>
      </c>
      <c r="AP37" s="106">
        <f t="shared" si="16"/>
        <v>0</v>
      </c>
      <c r="AQ37" s="106">
        <f t="shared" si="17"/>
        <v>0</v>
      </c>
      <c r="AR37" s="106">
        <f t="shared" si="18"/>
        <v>0</v>
      </c>
      <c r="AS37" s="106">
        <f t="shared" si="19"/>
        <v>0</v>
      </c>
      <c r="AT37" s="106">
        <f t="shared" si="20"/>
        <v>0</v>
      </c>
      <c r="AU37" s="106">
        <f t="shared" si="21"/>
        <v>0</v>
      </c>
      <c r="AV37" s="106">
        <f t="shared" si="22"/>
        <v>0</v>
      </c>
      <c r="AW37" s="106">
        <f t="shared" si="23"/>
        <v>0</v>
      </c>
      <c r="AX37" s="106">
        <f t="shared" si="24"/>
        <v>0</v>
      </c>
      <c r="AY37" s="106">
        <f t="shared" si="25"/>
        <v>0</v>
      </c>
      <c r="AZ37" s="106">
        <f t="shared" si="26"/>
        <v>0</v>
      </c>
      <c r="BA37" s="107">
        <f t="shared" si="27"/>
        <v>0</v>
      </c>
    </row>
    <row r="38" spans="1:53" x14ac:dyDescent="0.35">
      <c r="A38" s="146">
        <v>36280</v>
      </c>
      <c r="B38" s="108" t="s">
        <v>4</v>
      </c>
      <c r="C38" s="108" t="s">
        <v>102</v>
      </c>
      <c r="D38" s="84">
        <f t="shared" si="0"/>
        <v>0</v>
      </c>
      <c r="E38" s="108" t="s">
        <v>248</v>
      </c>
      <c r="F38" s="84">
        <f t="shared" si="1"/>
        <v>5</v>
      </c>
      <c r="G38" s="108">
        <v>216809269</v>
      </c>
      <c r="H38" s="84">
        <f t="shared" si="2"/>
        <v>8.3360778451611068</v>
      </c>
      <c r="I38" s="146">
        <v>38337</v>
      </c>
      <c r="J38" s="108">
        <v>465000000</v>
      </c>
      <c r="K38" s="148">
        <f t="shared" si="3"/>
        <v>5.6356164383561644</v>
      </c>
      <c r="L38" s="148">
        <f t="shared" si="28"/>
        <v>0.7509414272382493</v>
      </c>
      <c r="M38" s="108">
        <v>0</v>
      </c>
      <c r="N38" s="108">
        <f t="shared" si="4"/>
        <v>0</v>
      </c>
      <c r="O38" s="108">
        <v>57</v>
      </c>
      <c r="P38" s="108">
        <f t="shared" si="29"/>
        <v>1.7558748556724915</v>
      </c>
      <c r="Q38" s="65">
        <v>3.59</v>
      </c>
      <c r="R38" s="65">
        <f t="shared" si="30"/>
        <v>0.55509444857831913</v>
      </c>
      <c r="S38" s="155">
        <f t="shared" si="5"/>
        <v>1.1447422526940025</v>
      </c>
      <c r="T38" s="127">
        <f t="shared" si="6"/>
        <v>0.33137510772884793</v>
      </c>
      <c r="U38" s="108">
        <v>1450.8446376578247</v>
      </c>
      <c r="V38" s="108">
        <f t="shared" si="7"/>
        <v>3.1616209089088487</v>
      </c>
      <c r="W38" s="108">
        <v>6306.1358665754287</v>
      </c>
      <c r="X38" s="108">
        <f t="shared" si="8"/>
        <v>3.7997633234477775</v>
      </c>
      <c r="Y38" s="126">
        <v>0</v>
      </c>
      <c r="Z38" s="126">
        <f t="shared" si="9"/>
        <v>0</v>
      </c>
      <c r="AA38" s="108">
        <v>70</v>
      </c>
      <c r="AB38" s="108">
        <f t="shared" si="31"/>
        <v>1.8450980400142569</v>
      </c>
      <c r="AC38" s="127">
        <v>48.8</v>
      </c>
      <c r="AD38" s="127">
        <f t="shared" si="32"/>
        <v>1.6884198220027107</v>
      </c>
      <c r="AE38" s="128">
        <v>56.244853437044902</v>
      </c>
      <c r="AF38" s="128">
        <f t="shared" si="33"/>
        <v>1.750082789429638</v>
      </c>
      <c r="AG38" s="153">
        <v>-0.42</v>
      </c>
      <c r="AH38" s="127">
        <f t="shared" si="10"/>
        <v>-0.23657200643706267</v>
      </c>
      <c r="AI38" s="108">
        <v>21</v>
      </c>
      <c r="AJ38" s="108">
        <f t="shared" si="34"/>
        <v>1.3222192947339193</v>
      </c>
      <c r="AK38" s="108">
        <f t="shared" si="11"/>
        <v>0</v>
      </c>
      <c r="AL38" s="108">
        <f t="shared" si="12"/>
        <v>0</v>
      </c>
      <c r="AM38" s="108">
        <f t="shared" si="13"/>
        <v>0</v>
      </c>
      <c r="AN38" s="108">
        <f t="shared" si="14"/>
        <v>0</v>
      </c>
      <c r="AO38" s="108">
        <f t="shared" si="15"/>
        <v>0</v>
      </c>
      <c r="AP38" s="108">
        <f t="shared" si="16"/>
        <v>1</v>
      </c>
      <c r="AQ38" s="108">
        <f t="shared" si="17"/>
        <v>0</v>
      </c>
      <c r="AR38" s="108">
        <f t="shared" si="18"/>
        <v>0</v>
      </c>
      <c r="AS38" s="108">
        <f t="shared" si="19"/>
        <v>0</v>
      </c>
      <c r="AT38" s="108">
        <f t="shared" si="20"/>
        <v>0</v>
      </c>
      <c r="AU38" s="108">
        <f t="shared" si="21"/>
        <v>0</v>
      </c>
      <c r="AV38" s="108">
        <f t="shared" si="22"/>
        <v>0</v>
      </c>
      <c r="AW38" s="108">
        <f t="shared" si="23"/>
        <v>0</v>
      </c>
      <c r="AX38" s="108">
        <f t="shared" si="24"/>
        <v>0</v>
      </c>
      <c r="AY38" s="108">
        <f t="shared" si="25"/>
        <v>0</v>
      </c>
      <c r="AZ38" s="108">
        <f t="shared" si="26"/>
        <v>0</v>
      </c>
      <c r="BA38" s="109">
        <f t="shared" si="27"/>
        <v>0</v>
      </c>
    </row>
    <row r="39" spans="1:53" x14ac:dyDescent="0.35">
      <c r="A39" s="143">
        <v>36311</v>
      </c>
      <c r="B39" s="106" t="s">
        <v>2</v>
      </c>
      <c r="C39" s="106" t="s">
        <v>64</v>
      </c>
      <c r="D39" s="83">
        <f t="shared" si="0"/>
        <v>1</v>
      </c>
      <c r="E39" s="106" t="s">
        <v>235</v>
      </c>
      <c r="F39" s="83">
        <f t="shared" si="1"/>
        <v>1</v>
      </c>
      <c r="G39" s="106">
        <v>62827225</v>
      </c>
      <c r="H39" s="83">
        <f t="shared" si="2"/>
        <v>7.7981478778951168</v>
      </c>
      <c r="I39" s="143">
        <v>38322</v>
      </c>
      <c r="J39" s="106">
        <v>700000000</v>
      </c>
      <c r="K39" s="145">
        <f t="shared" si="3"/>
        <v>5.5095890410958903</v>
      </c>
      <c r="L39" s="148">
        <f t="shared" si="28"/>
        <v>0.74111920614026727</v>
      </c>
      <c r="M39" s="106">
        <v>6815.73</v>
      </c>
      <c r="N39" s="106">
        <f t="shared" si="4"/>
        <v>3.8335760926148099</v>
      </c>
      <c r="O39" s="106">
        <v>91</v>
      </c>
      <c r="P39" s="108">
        <f t="shared" si="29"/>
        <v>1.9590413923210936</v>
      </c>
      <c r="Q39" s="59">
        <v>2.85</v>
      </c>
      <c r="R39" s="65">
        <f t="shared" si="30"/>
        <v>0.45484486000851021</v>
      </c>
      <c r="S39" s="154">
        <f t="shared" si="5"/>
        <v>10.141666689878472</v>
      </c>
      <c r="T39" s="119">
        <f t="shared" si="6"/>
        <v>1.0469501621191397</v>
      </c>
      <c r="U39" s="106">
        <v>1246.953</v>
      </c>
      <c r="V39" s="106">
        <f t="shared" si="7"/>
        <v>3.0958500844125241</v>
      </c>
      <c r="W39" s="106">
        <v>3219.7179999999998</v>
      </c>
      <c r="X39" s="106">
        <f t="shared" si="8"/>
        <v>3.5078178355445662</v>
      </c>
      <c r="Y39" s="118">
        <v>819</v>
      </c>
      <c r="Z39" s="118">
        <f t="shared" si="9"/>
        <v>2.9138138523837167</v>
      </c>
      <c r="AA39" s="106">
        <v>70</v>
      </c>
      <c r="AB39" s="108">
        <f t="shared" si="31"/>
        <v>1.8450980400142569</v>
      </c>
      <c r="AC39" s="119">
        <v>36.200000000000003</v>
      </c>
      <c r="AD39" s="127">
        <f t="shared" si="32"/>
        <v>1.5587085705331658</v>
      </c>
      <c r="AE39" s="120">
        <v>47.694345434117203</v>
      </c>
      <c r="AF39" s="128">
        <f t="shared" si="33"/>
        <v>1.6784668928277571</v>
      </c>
      <c r="AG39" s="152">
        <v>0.24</v>
      </c>
      <c r="AH39" s="119">
        <f t="shared" si="10"/>
        <v>9.3421685162235063E-2</v>
      </c>
      <c r="AI39" s="106">
        <v>16</v>
      </c>
      <c r="AJ39" s="108">
        <f t="shared" si="34"/>
        <v>1.2041199826559248</v>
      </c>
      <c r="AK39" s="106">
        <f t="shared" si="11"/>
        <v>0</v>
      </c>
      <c r="AL39" s="106">
        <f t="shared" si="12"/>
        <v>0</v>
      </c>
      <c r="AM39" s="106">
        <f t="shared" si="13"/>
        <v>0</v>
      </c>
      <c r="AN39" s="106">
        <f t="shared" si="14"/>
        <v>0</v>
      </c>
      <c r="AO39" s="106">
        <f t="shared" si="15"/>
        <v>0</v>
      </c>
      <c r="AP39" s="106">
        <f t="shared" si="16"/>
        <v>0</v>
      </c>
      <c r="AQ39" s="106">
        <f t="shared" si="17"/>
        <v>0</v>
      </c>
      <c r="AR39" s="106">
        <f t="shared" si="18"/>
        <v>0</v>
      </c>
      <c r="AS39" s="106">
        <f t="shared" si="19"/>
        <v>0</v>
      </c>
      <c r="AT39" s="106">
        <f t="shared" si="20"/>
        <v>1</v>
      </c>
      <c r="AU39" s="106">
        <f t="shared" si="21"/>
        <v>0</v>
      </c>
      <c r="AV39" s="106">
        <f t="shared" si="22"/>
        <v>0</v>
      </c>
      <c r="AW39" s="106">
        <f t="shared" si="23"/>
        <v>0</v>
      </c>
      <c r="AX39" s="106">
        <f t="shared" si="24"/>
        <v>0</v>
      </c>
      <c r="AY39" s="106">
        <f t="shared" si="25"/>
        <v>0</v>
      </c>
      <c r="AZ39" s="106">
        <f t="shared" si="26"/>
        <v>0</v>
      </c>
      <c r="BA39" s="107">
        <f t="shared" si="27"/>
        <v>0</v>
      </c>
    </row>
    <row r="40" spans="1:53" x14ac:dyDescent="0.35">
      <c r="A40" s="146">
        <v>36341</v>
      </c>
      <c r="B40" s="108" t="s">
        <v>163</v>
      </c>
      <c r="C40" s="108" t="s">
        <v>64</v>
      </c>
      <c r="D40" s="84">
        <f t="shared" si="0"/>
        <v>1</v>
      </c>
      <c r="E40" s="108" t="s">
        <v>248</v>
      </c>
      <c r="F40" s="84">
        <f t="shared" si="1"/>
        <v>5</v>
      </c>
      <c r="G40" s="108">
        <v>44000000</v>
      </c>
      <c r="H40" s="84">
        <f t="shared" si="2"/>
        <v>7.6434526764861879</v>
      </c>
      <c r="I40" s="146">
        <v>38182</v>
      </c>
      <c r="J40" s="108">
        <v>100000000</v>
      </c>
      <c r="K40" s="148">
        <f t="shared" si="3"/>
        <v>5.043835616438356</v>
      </c>
      <c r="L40" s="148">
        <f t="shared" si="28"/>
        <v>0.70276092404753998</v>
      </c>
      <c r="M40" s="108">
        <v>342.74</v>
      </c>
      <c r="N40" s="108">
        <f t="shared" si="4"/>
        <v>2.5362300726332561</v>
      </c>
      <c r="O40" s="108">
        <v>4</v>
      </c>
      <c r="P40" s="108">
        <f t="shared" si="29"/>
        <v>0.6020599913279624</v>
      </c>
      <c r="Q40" s="65">
        <v>2.3199999999999998</v>
      </c>
      <c r="R40" s="65">
        <f t="shared" si="30"/>
        <v>0.36548798489089962</v>
      </c>
      <c r="S40" s="155">
        <f t="shared" si="5"/>
        <v>1.2727272727272729</v>
      </c>
      <c r="T40" s="127">
        <f t="shared" si="6"/>
        <v>0.35654732351381263</v>
      </c>
      <c r="U40" s="108">
        <v>1801.108033240997</v>
      </c>
      <c r="V40" s="108">
        <f t="shared" si="7"/>
        <v>3.25553976325445</v>
      </c>
      <c r="W40" s="108">
        <v>8416.6204986149605</v>
      </c>
      <c r="X40" s="108">
        <f t="shared" si="8"/>
        <v>3.9251377454872847</v>
      </c>
      <c r="Y40" s="126">
        <v>569.16666666666697</v>
      </c>
      <c r="Z40" s="126">
        <f t="shared" si="9"/>
        <v>2.756001823801419</v>
      </c>
      <c r="AA40" s="108">
        <v>85</v>
      </c>
      <c r="AB40" s="108">
        <f t="shared" si="31"/>
        <v>1.9294189257142926</v>
      </c>
      <c r="AC40" s="127">
        <v>44.2</v>
      </c>
      <c r="AD40" s="127">
        <f t="shared" si="32"/>
        <v>1.6454222693490919</v>
      </c>
      <c r="AE40" s="128">
        <v>52.629944775121203</v>
      </c>
      <c r="AF40" s="128">
        <f t="shared" si="33"/>
        <v>1.7212329143100249</v>
      </c>
      <c r="AG40" s="153">
        <v>-0.15</v>
      </c>
      <c r="AH40" s="127">
        <f t="shared" si="10"/>
        <v>-7.0581074285707285E-2</v>
      </c>
      <c r="AI40" s="108">
        <v>18</v>
      </c>
      <c r="AJ40" s="108">
        <f t="shared" si="34"/>
        <v>1.255272505103306</v>
      </c>
      <c r="AK40" s="108">
        <f t="shared" si="11"/>
        <v>0</v>
      </c>
      <c r="AL40" s="108">
        <f t="shared" si="12"/>
        <v>0</v>
      </c>
      <c r="AM40" s="108">
        <f t="shared" si="13"/>
        <v>0</v>
      </c>
      <c r="AN40" s="108">
        <f t="shared" si="14"/>
        <v>0</v>
      </c>
      <c r="AO40" s="108">
        <f t="shared" si="15"/>
        <v>0</v>
      </c>
      <c r="AP40" s="108">
        <f t="shared" si="16"/>
        <v>0</v>
      </c>
      <c r="AQ40" s="108">
        <f t="shared" si="17"/>
        <v>0</v>
      </c>
      <c r="AR40" s="108">
        <f t="shared" si="18"/>
        <v>1</v>
      </c>
      <c r="AS40" s="108">
        <f t="shared" si="19"/>
        <v>0</v>
      </c>
      <c r="AT40" s="108">
        <f t="shared" si="20"/>
        <v>0</v>
      </c>
      <c r="AU40" s="108">
        <f t="shared" si="21"/>
        <v>0</v>
      </c>
      <c r="AV40" s="108">
        <f t="shared" si="22"/>
        <v>0</v>
      </c>
      <c r="AW40" s="108">
        <f t="shared" si="23"/>
        <v>0</v>
      </c>
      <c r="AX40" s="108">
        <f t="shared" si="24"/>
        <v>0</v>
      </c>
      <c r="AY40" s="108">
        <f t="shared" si="25"/>
        <v>0</v>
      </c>
      <c r="AZ40" s="108">
        <f t="shared" si="26"/>
        <v>0</v>
      </c>
      <c r="BA40" s="109">
        <f t="shared" si="27"/>
        <v>0</v>
      </c>
    </row>
    <row r="41" spans="1:53" x14ac:dyDescent="0.35">
      <c r="A41" s="143">
        <v>36341</v>
      </c>
      <c r="B41" s="106" t="s">
        <v>163</v>
      </c>
      <c r="C41" s="106" t="s">
        <v>64</v>
      </c>
      <c r="D41" s="83">
        <f t="shared" si="0"/>
        <v>1</v>
      </c>
      <c r="E41" s="106" t="s">
        <v>248</v>
      </c>
      <c r="F41" s="83">
        <f t="shared" si="1"/>
        <v>5</v>
      </c>
      <c r="G41" s="106">
        <v>77000000</v>
      </c>
      <c r="H41" s="83">
        <f t="shared" si="2"/>
        <v>7.8864907251724823</v>
      </c>
      <c r="I41" s="143">
        <v>37322</v>
      </c>
      <c r="J41" s="106">
        <v>400000000</v>
      </c>
      <c r="K41" s="145">
        <f t="shared" si="3"/>
        <v>2.6876712328767125</v>
      </c>
      <c r="L41" s="148">
        <f t="shared" si="28"/>
        <v>0.42937614292347381</v>
      </c>
      <c r="M41" s="106">
        <v>342.74</v>
      </c>
      <c r="N41" s="106">
        <f t="shared" si="4"/>
        <v>2.5362300726332561</v>
      </c>
      <c r="O41" s="106">
        <v>0</v>
      </c>
      <c r="P41" s="108">
        <f t="shared" si="29"/>
        <v>0</v>
      </c>
      <c r="Q41" s="59">
        <v>2.3199999999999998</v>
      </c>
      <c r="R41" s="65">
        <f t="shared" si="30"/>
        <v>0.36548798489089962</v>
      </c>
      <c r="S41" s="154">
        <f t="shared" si="5"/>
        <v>4.1948051948051948</v>
      </c>
      <c r="T41" s="119">
        <f t="shared" si="6"/>
        <v>0.71556926615548055</v>
      </c>
      <c r="U41" s="106">
        <v>2417.5229853975125</v>
      </c>
      <c r="V41" s="106">
        <f t="shared" si="7"/>
        <v>3.3833706119727633</v>
      </c>
      <c r="W41" s="106">
        <v>9545.7003785830148</v>
      </c>
      <c r="X41" s="106">
        <f t="shared" si="8"/>
        <v>3.9798077985646683</v>
      </c>
      <c r="Y41" s="118">
        <v>569.16666666666697</v>
      </c>
      <c r="Z41" s="118">
        <f t="shared" si="9"/>
        <v>2.756001823801419</v>
      </c>
      <c r="AA41" s="106">
        <v>85</v>
      </c>
      <c r="AB41" s="108">
        <f t="shared" si="31"/>
        <v>1.9294189257142926</v>
      </c>
      <c r="AC41" s="119">
        <v>44.2</v>
      </c>
      <c r="AD41" s="127">
        <f t="shared" si="32"/>
        <v>1.6454222693490919</v>
      </c>
      <c r="AE41" s="120">
        <v>52.629944775121203</v>
      </c>
      <c r="AF41" s="128">
        <f t="shared" si="33"/>
        <v>1.7212329143100249</v>
      </c>
      <c r="AG41" s="152">
        <v>0.28000000000000003</v>
      </c>
      <c r="AH41" s="119">
        <f t="shared" si="10"/>
        <v>0.10720996964786837</v>
      </c>
      <c r="AI41" s="106">
        <v>23</v>
      </c>
      <c r="AJ41" s="108">
        <f t="shared" si="34"/>
        <v>1.3617278360175928</v>
      </c>
      <c r="AK41" s="106">
        <f t="shared" si="11"/>
        <v>0</v>
      </c>
      <c r="AL41" s="106">
        <f t="shared" si="12"/>
        <v>0</v>
      </c>
      <c r="AM41" s="106">
        <f t="shared" si="13"/>
        <v>0</v>
      </c>
      <c r="AN41" s="106">
        <f t="shared" si="14"/>
        <v>0</v>
      </c>
      <c r="AO41" s="106">
        <f t="shared" si="15"/>
        <v>0</v>
      </c>
      <c r="AP41" s="106">
        <f t="shared" si="16"/>
        <v>0</v>
      </c>
      <c r="AQ41" s="106">
        <f t="shared" si="17"/>
        <v>0</v>
      </c>
      <c r="AR41" s="106">
        <f t="shared" si="18"/>
        <v>1</v>
      </c>
      <c r="AS41" s="106">
        <f t="shared" si="19"/>
        <v>0</v>
      </c>
      <c r="AT41" s="106">
        <f t="shared" si="20"/>
        <v>0</v>
      </c>
      <c r="AU41" s="106">
        <f t="shared" si="21"/>
        <v>0</v>
      </c>
      <c r="AV41" s="106">
        <f t="shared" si="22"/>
        <v>0</v>
      </c>
      <c r="AW41" s="106">
        <f t="shared" si="23"/>
        <v>0</v>
      </c>
      <c r="AX41" s="106">
        <f t="shared" si="24"/>
        <v>0</v>
      </c>
      <c r="AY41" s="106">
        <f t="shared" si="25"/>
        <v>0</v>
      </c>
      <c r="AZ41" s="106">
        <f t="shared" si="26"/>
        <v>0</v>
      </c>
      <c r="BA41" s="107">
        <f t="shared" si="27"/>
        <v>0</v>
      </c>
    </row>
    <row r="42" spans="1:53" x14ac:dyDescent="0.35">
      <c r="A42" s="146">
        <v>36342</v>
      </c>
      <c r="B42" s="108" t="s">
        <v>45</v>
      </c>
      <c r="C42" s="108" t="s">
        <v>102</v>
      </c>
      <c r="D42" s="84">
        <f t="shared" si="0"/>
        <v>0</v>
      </c>
      <c r="E42" s="108" t="s">
        <v>235</v>
      </c>
      <c r="F42" s="84">
        <f t="shared" si="1"/>
        <v>1</v>
      </c>
      <c r="G42" s="108">
        <v>450000000</v>
      </c>
      <c r="H42" s="84">
        <f t="shared" si="2"/>
        <v>8.653212513775344</v>
      </c>
      <c r="I42" s="146">
        <v>39727</v>
      </c>
      <c r="J42" s="108">
        <v>679000000</v>
      </c>
      <c r="K42" s="148">
        <f t="shared" si="3"/>
        <v>9.2739726027397253</v>
      </c>
      <c r="L42" s="148">
        <f t="shared" si="28"/>
        <v>0.96726580856468836</v>
      </c>
      <c r="M42" s="108">
        <v>0</v>
      </c>
      <c r="N42" s="108">
        <f t="shared" si="4"/>
        <v>0</v>
      </c>
      <c r="O42" s="108">
        <v>2</v>
      </c>
      <c r="P42" s="108">
        <f t="shared" si="29"/>
        <v>0.3010299956639812</v>
      </c>
      <c r="Q42" s="65">
        <v>2.95</v>
      </c>
      <c r="R42" s="65">
        <f t="shared" si="30"/>
        <v>0.46982201597816303</v>
      </c>
      <c r="S42" s="155">
        <f t="shared" si="5"/>
        <v>0.50888888888888895</v>
      </c>
      <c r="T42" s="127">
        <f t="shared" si="6"/>
        <v>0.17865726050515801</v>
      </c>
      <c r="U42" s="108">
        <v>1518.5350000000001</v>
      </c>
      <c r="V42" s="108">
        <f t="shared" si="7"/>
        <v>3.1814248062191788</v>
      </c>
      <c r="W42" s="108">
        <v>5363.16</v>
      </c>
      <c r="X42" s="108">
        <f t="shared" si="8"/>
        <v>3.7294207535322617</v>
      </c>
      <c r="Y42" s="126">
        <v>0</v>
      </c>
      <c r="Z42" s="126">
        <f t="shared" si="9"/>
        <v>0</v>
      </c>
      <c r="AA42" s="108">
        <v>85</v>
      </c>
      <c r="AB42" s="108">
        <f t="shared" si="31"/>
        <v>1.9294189257142926</v>
      </c>
      <c r="AC42" s="127">
        <v>27.8</v>
      </c>
      <c r="AD42" s="127">
        <f t="shared" si="32"/>
        <v>1.4440447959180762</v>
      </c>
      <c r="AE42" s="128">
        <v>34.656907836978597</v>
      </c>
      <c r="AF42" s="128">
        <f t="shared" si="33"/>
        <v>1.5397898114291337</v>
      </c>
      <c r="AG42" s="153">
        <v>0.04</v>
      </c>
      <c r="AH42" s="127">
        <f t="shared" si="10"/>
        <v>1.703333929878037E-2</v>
      </c>
      <c r="AI42" s="108">
        <v>16</v>
      </c>
      <c r="AJ42" s="108">
        <f t="shared" si="34"/>
        <v>1.2041199826559248</v>
      </c>
      <c r="AK42" s="108">
        <f t="shared" si="11"/>
        <v>0</v>
      </c>
      <c r="AL42" s="108">
        <f t="shared" si="12"/>
        <v>1</v>
      </c>
      <c r="AM42" s="108">
        <f t="shared" si="13"/>
        <v>0</v>
      </c>
      <c r="AN42" s="108">
        <f t="shared" si="14"/>
        <v>0</v>
      </c>
      <c r="AO42" s="108">
        <f t="shared" si="15"/>
        <v>0</v>
      </c>
      <c r="AP42" s="108">
        <f t="shared" si="16"/>
        <v>0</v>
      </c>
      <c r="AQ42" s="108">
        <f t="shared" si="17"/>
        <v>0</v>
      </c>
      <c r="AR42" s="108">
        <f t="shared" si="18"/>
        <v>0</v>
      </c>
      <c r="AS42" s="108">
        <f t="shared" si="19"/>
        <v>0</v>
      </c>
      <c r="AT42" s="108">
        <f t="shared" si="20"/>
        <v>0</v>
      </c>
      <c r="AU42" s="108">
        <f t="shared" si="21"/>
        <v>0</v>
      </c>
      <c r="AV42" s="108">
        <f t="shared" si="22"/>
        <v>0</v>
      </c>
      <c r="AW42" s="108">
        <f t="shared" si="23"/>
        <v>0</v>
      </c>
      <c r="AX42" s="108">
        <f t="shared" si="24"/>
        <v>0</v>
      </c>
      <c r="AY42" s="108">
        <f t="shared" si="25"/>
        <v>0</v>
      </c>
      <c r="AZ42" s="108">
        <f t="shared" si="26"/>
        <v>0</v>
      </c>
      <c r="BA42" s="109">
        <f t="shared" si="27"/>
        <v>0</v>
      </c>
    </row>
    <row r="43" spans="1:53" x14ac:dyDescent="0.35">
      <c r="A43" s="143">
        <v>36357</v>
      </c>
      <c r="B43" s="106" t="s">
        <v>2</v>
      </c>
      <c r="C43" s="106" t="s">
        <v>64</v>
      </c>
      <c r="D43" s="83">
        <f t="shared" si="0"/>
        <v>1</v>
      </c>
      <c r="E43" s="106" t="s">
        <v>248</v>
      </c>
      <c r="F43" s="83">
        <f t="shared" si="1"/>
        <v>5</v>
      </c>
      <c r="G43" s="106">
        <v>1435279945</v>
      </c>
      <c r="H43" s="83">
        <f t="shared" si="2"/>
        <v>9.1569366165482577</v>
      </c>
      <c r="I43" s="143">
        <v>38182</v>
      </c>
      <c r="J43" s="106">
        <v>1500000000</v>
      </c>
      <c r="K43" s="145">
        <f t="shared" si="3"/>
        <v>5</v>
      </c>
      <c r="L43" s="148">
        <f t="shared" si="28"/>
        <v>0.69897000433601886</v>
      </c>
      <c r="M43" s="106">
        <v>917.19</v>
      </c>
      <c r="N43" s="106">
        <f t="shared" si="4"/>
        <v>2.9629325585580042</v>
      </c>
      <c r="O43" s="106">
        <v>63</v>
      </c>
      <c r="P43" s="108">
        <f t="shared" si="29"/>
        <v>1.7993405494535817</v>
      </c>
      <c r="Q43" s="59">
        <v>2.62</v>
      </c>
      <c r="R43" s="65">
        <f t="shared" si="30"/>
        <v>0.41830129131974547</v>
      </c>
      <c r="S43" s="154">
        <f t="shared" si="5"/>
        <v>4.5092286856972752E-2</v>
      </c>
      <c r="T43" s="119">
        <f t="shared" si="6"/>
        <v>1.9154642507423002E-2</v>
      </c>
      <c r="U43" s="106">
        <v>1655.1111111111111</v>
      </c>
      <c r="V43" s="106">
        <f t="shared" si="7"/>
        <v>3.2188271541979425</v>
      </c>
      <c r="W43" s="106">
        <v>5715.5555555555547</v>
      </c>
      <c r="X43" s="106">
        <f t="shared" si="8"/>
        <v>3.7570584504768405</v>
      </c>
      <c r="Y43" s="118">
        <v>854.66666666666697</v>
      </c>
      <c r="Z43" s="118">
        <f t="shared" si="9"/>
        <v>2.9323046139517812</v>
      </c>
      <c r="AA43" s="106">
        <v>70</v>
      </c>
      <c r="AB43" s="108">
        <f t="shared" si="31"/>
        <v>1.8450980400142569</v>
      </c>
      <c r="AC43" s="119">
        <v>36.200000000000003</v>
      </c>
      <c r="AD43" s="127">
        <f t="shared" si="32"/>
        <v>1.5587085705331658</v>
      </c>
      <c r="AE43" s="120">
        <v>47.694345434117203</v>
      </c>
      <c r="AF43" s="128">
        <f t="shared" si="33"/>
        <v>1.6784668928277571</v>
      </c>
      <c r="AG43" s="152">
        <v>0.01</v>
      </c>
      <c r="AH43" s="119">
        <f t="shared" si="10"/>
        <v>4.3213737826425782E-3</v>
      </c>
      <c r="AI43" s="106">
        <v>13</v>
      </c>
      <c r="AJ43" s="108">
        <f t="shared" si="34"/>
        <v>1.1139433523068367</v>
      </c>
      <c r="AK43" s="106">
        <f t="shared" si="11"/>
        <v>0</v>
      </c>
      <c r="AL43" s="106">
        <f t="shared" si="12"/>
        <v>0</v>
      </c>
      <c r="AM43" s="106">
        <f t="shared" si="13"/>
        <v>0</v>
      </c>
      <c r="AN43" s="106">
        <f t="shared" si="14"/>
        <v>0</v>
      </c>
      <c r="AO43" s="106">
        <f t="shared" si="15"/>
        <v>0</v>
      </c>
      <c r="AP43" s="106">
        <f t="shared" si="16"/>
        <v>0</v>
      </c>
      <c r="AQ43" s="106">
        <f t="shared" si="17"/>
        <v>0</v>
      </c>
      <c r="AR43" s="106">
        <f t="shared" si="18"/>
        <v>0</v>
      </c>
      <c r="AS43" s="106">
        <f t="shared" si="19"/>
        <v>0</v>
      </c>
      <c r="AT43" s="106">
        <f t="shared" si="20"/>
        <v>1</v>
      </c>
      <c r="AU43" s="106">
        <f t="shared" si="21"/>
        <v>0</v>
      </c>
      <c r="AV43" s="106">
        <f t="shared" si="22"/>
        <v>0</v>
      </c>
      <c r="AW43" s="106">
        <f t="shared" si="23"/>
        <v>0</v>
      </c>
      <c r="AX43" s="106">
        <f t="shared" si="24"/>
        <v>0</v>
      </c>
      <c r="AY43" s="106">
        <f t="shared" si="25"/>
        <v>0</v>
      </c>
      <c r="AZ43" s="106">
        <f t="shared" si="26"/>
        <v>0</v>
      </c>
      <c r="BA43" s="107">
        <f t="shared" si="27"/>
        <v>0</v>
      </c>
    </row>
    <row r="44" spans="1:53" x14ac:dyDescent="0.35">
      <c r="A44" s="146">
        <v>36382</v>
      </c>
      <c r="B44" s="108" t="s">
        <v>4</v>
      </c>
      <c r="C44" s="108" t="s">
        <v>102</v>
      </c>
      <c r="D44" s="84">
        <f t="shared" si="0"/>
        <v>0</v>
      </c>
      <c r="E44" s="108" t="s">
        <v>269</v>
      </c>
      <c r="F44" s="84">
        <f t="shared" si="1"/>
        <v>7</v>
      </c>
      <c r="G44" s="108">
        <v>600000000</v>
      </c>
      <c r="H44" s="84">
        <f t="shared" si="2"/>
        <v>8.7781512503836439</v>
      </c>
      <c r="I44" s="146">
        <v>39082</v>
      </c>
      <c r="J44" s="108">
        <v>550000000</v>
      </c>
      <c r="K44" s="148">
        <f t="shared" si="3"/>
        <v>7.397260273972603</v>
      </c>
      <c r="L44" s="148">
        <f t="shared" si="28"/>
        <v>0.86907089970251261</v>
      </c>
      <c r="M44" s="108">
        <v>0</v>
      </c>
      <c r="N44" s="108">
        <f t="shared" si="4"/>
        <v>0</v>
      </c>
      <c r="O44" s="108">
        <v>96</v>
      </c>
      <c r="P44" s="108">
        <f t="shared" si="29"/>
        <v>1.9822712330395684</v>
      </c>
      <c r="Q44" s="65">
        <v>3.59</v>
      </c>
      <c r="R44" s="65">
        <f t="shared" si="30"/>
        <v>0.55509444857831913</v>
      </c>
      <c r="S44" s="155">
        <f t="shared" si="5"/>
        <v>-8.333333333333337E-2</v>
      </c>
      <c r="T44" s="127">
        <f t="shared" si="6"/>
        <v>-3.7788560889399803E-2</v>
      </c>
      <c r="U44" s="108">
        <v>1450.8446376578247</v>
      </c>
      <c r="V44" s="108">
        <f t="shared" si="7"/>
        <v>3.1616209089088487</v>
      </c>
      <c r="W44" s="108">
        <v>6306.1358665754287</v>
      </c>
      <c r="X44" s="108">
        <f t="shared" si="8"/>
        <v>3.7997633234477775</v>
      </c>
      <c r="Y44" s="126">
        <v>0</v>
      </c>
      <c r="Z44" s="126">
        <f t="shared" si="9"/>
        <v>0</v>
      </c>
      <c r="AA44" s="108">
        <v>70</v>
      </c>
      <c r="AB44" s="108">
        <f t="shared" si="31"/>
        <v>1.8450980400142569</v>
      </c>
      <c r="AC44" s="127">
        <v>48.8</v>
      </c>
      <c r="AD44" s="127">
        <f t="shared" si="32"/>
        <v>1.6884198220027107</v>
      </c>
      <c r="AE44" s="128">
        <v>56.244853437044902</v>
      </c>
      <c r="AF44" s="128">
        <f t="shared" si="33"/>
        <v>1.750082789429638</v>
      </c>
      <c r="AG44" s="70" t="s">
        <v>308</v>
      </c>
      <c r="AH44" s="127">
        <f t="shared" si="10"/>
        <v>0.52608069180202999</v>
      </c>
      <c r="AI44" s="108">
        <v>5</v>
      </c>
      <c r="AJ44" s="108">
        <f t="shared" si="34"/>
        <v>0.69897000433601886</v>
      </c>
      <c r="AK44" s="108">
        <f t="shared" si="11"/>
        <v>0</v>
      </c>
      <c r="AL44" s="108">
        <f t="shared" si="12"/>
        <v>0</v>
      </c>
      <c r="AM44" s="108">
        <f t="shared" si="13"/>
        <v>0</v>
      </c>
      <c r="AN44" s="108">
        <f t="shared" si="14"/>
        <v>0</v>
      </c>
      <c r="AO44" s="108">
        <f t="shared" si="15"/>
        <v>0</v>
      </c>
      <c r="AP44" s="108">
        <f t="shared" si="16"/>
        <v>1</v>
      </c>
      <c r="AQ44" s="108">
        <f t="shared" si="17"/>
        <v>0</v>
      </c>
      <c r="AR44" s="108">
        <f t="shared" si="18"/>
        <v>0</v>
      </c>
      <c r="AS44" s="108">
        <f t="shared" si="19"/>
        <v>0</v>
      </c>
      <c r="AT44" s="108">
        <f t="shared" si="20"/>
        <v>0</v>
      </c>
      <c r="AU44" s="108">
        <f t="shared" si="21"/>
        <v>0</v>
      </c>
      <c r="AV44" s="108">
        <f t="shared" si="22"/>
        <v>0</v>
      </c>
      <c r="AW44" s="108">
        <f t="shared" si="23"/>
        <v>0</v>
      </c>
      <c r="AX44" s="108">
        <f t="shared" si="24"/>
        <v>0</v>
      </c>
      <c r="AY44" s="108">
        <f t="shared" si="25"/>
        <v>0</v>
      </c>
      <c r="AZ44" s="108">
        <f t="shared" si="26"/>
        <v>0</v>
      </c>
      <c r="BA44" s="109">
        <f t="shared" si="27"/>
        <v>0</v>
      </c>
    </row>
    <row r="45" spans="1:53" x14ac:dyDescent="0.35">
      <c r="A45" s="143">
        <v>36404</v>
      </c>
      <c r="B45" s="106" t="s">
        <v>45</v>
      </c>
      <c r="C45" s="106" t="s">
        <v>47</v>
      </c>
      <c r="D45" s="83">
        <f t="shared" si="0"/>
        <v>0</v>
      </c>
      <c r="E45" s="106" t="s">
        <v>190</v>
      </c>
      <c r="F45" s="83">
        <f t="shared" si="1"/>
        <v>2</v>
      </c>
      <c r="G45" s="106">
        <v>161890000</v>
      </c>
      <c r="H45" s="83">
        <f t="shared" si="2"/>
        <v>8.2092200230649937</v>
      </c>
      <c r="I45" s="143">
        <v>38265</v>
      </c>
      <c r="J45" s="106">
        <v>529350000</v>
      </c>
      <c r="K45" s="145">
        <f t="shared" si="3"/>
        <v>5.0986301369863014</v>
      </c>
      <c r="L45" s="148">
        <f t="shared" si="28"/>
        <v>0.70745350867429235</v>
      </c>
      <c r="M45" s="106">
        <v>0</v>
      </c>
      <c r="N45" s="106">
        <f t="shared" si="4"/>
        <v>0</v>
      </c>
      <c r="O45" s="106">
        <v>52</v>
      </c>
      <c r="P45" s="108">
        <f t="shared" si="29"/>
        <v>1.7160033436347992</v>
      </c>
      <c r="Q45" s="59">
        <v>2.95</v>
      </c>
      <c r="R45" s="65">
        <f t="shared" si="30"/>
        <v>0.46982201597816303</v>
      </c>
      <c r="S45" s="154">
        <f t="shared" si="5"/>
        <v>2.2698128358762122</v>
      </c>
      <c r="T45" s="119">
        <f t="shared" si="6"/>
        <v>0.51452289435065757</v>
      </c>
      <c r="U45" s="106">
        <v>1246.953</v>
      </c>
      <c r="V45" s="106">
        <f t="shared" si="7"/>
        <v>3.0958500844125241</v>
      </c>
      <c r="W45" s="106">
        <v>3219.7179999999998</v>
      </c>
      <c r="X45" s="106">
        <f t="shared" si="8"/>
        <v>3.5078178355445662</v>
      </c>
      <c r="Y45" s="106">
        <v>0</v>
      </c>
      <c r="Z45" s="118">
        <f t="shared" si="9"/>
        <v>0</v>
      </c>
      <c r="AA45" s="106">
        <v>85</v>
      </c>
      <c r="AB45" s="108">
        <f t="shared" si="31"/>
        <v>1.9294189257142926</v>
      </c>
      <c r="AC45" s="119">
        <v>27.8</v>
      </c>
      <c r="AD45" s="127">
        <f t="shared" si="32"/>
        <v>1.4440447959180762</v>
      </c>
      <c r="AE45" s="120">
        <v>34.656907836978597</v>
      </c>
      <c r="AF45" s="128">
        <f t="shared" si="33"/>
        <v>1.5397898114291337</v>
      </c>
      <c r="AG45" s="69" t="s">
        <v>316</v>
      </c>
      <c r="AH45" s="119">
        <f t="shared" si="10"/>
        <v>0.15075643986030904</v>
      </c>
      <c r="AI45" s="106">
        <v>8</v>
      </c>
      <c r="AJ45" s="108">
        <f t="shared" si="34"/>
        <v>0.90308998699194354</v>
      </c>
      <c r="AK45" s="106">
        <f t="shared" si="11"/>
        <v>0</v>
      </c>
      <c r="AL45" s="106">
        <f t="shared" si="12"/>
        <v>1</v>
      </c>
      <c r="AM45" s="106">
        <f t="shared" si="13"/>
        <v>0</v>
      </c>
      <c r="AN45" s="106">
        <f t="shared" si="14"/>
        <v>0</v>
      </c>
      <c r="AO45" s="106">
        <f t="shared" si="15"/>
        <v>0</v>
      </c>
      <c r="AP45" s="106">
        <f t="shared" si="16"/>
        <v>0</v>
      </c>
      <c r="AQ45" s="106">
        <f t="shared" si="17"/>
        <v>0</v>
      </c>
      <c r="AR45" s="106">
        <f t="shared" si="18"/>
        <v>0</v>
      </c>
      <c r="AS45" s="106">
        <f t="shared" si="19"/>
        <v>0</v>
      </c>
      <c r="AT45" s="106">
        <f t="shared" si="20"/>
        <v>0</v>
      </c>
      <c r="AU45" s="106">
        <f t="shared" si="21"/>
        <v>0</v>
      </c>
      <c r="AV45" s="106">
        <f t="shared" si="22"/>
        <v>0</v>
      </c>
      <c r="AW45" s="106">
        <f t="shared" si="23"/>
        <v>0</v>
      </c>
      <c r="AX45" s="106">
        <f t="shared" si="24"/>
        <v>0</v>
      </c>
      <c r="AY45" s="106">
        <f t="shared" si="25"/>
        <v>0</v>
      </c>
      <c r="AZ45" s="106">
        <f t="shared" si="26"/>
        <v>0</v>
      </c>
      <c r="BA45" s="107">
        <f t="shared" si="27"/>
        <v>0</v>
      </c>
    </row>
    <row r="46" spans="1:53" x14ac:dyDescent="0.35">
      <c r="A46" s="146">
        <v>36404</v>
      </c>
      <c r="B46" s="108" t="s">
        <v>45</v>
      </c>
      <c r="C46" s="108" t="s">
        <v>47</v>
      </c>
      <c r="D46" s="84">
        <f t="shared" si="0"/>
        <v>0</v>
      </c>
      <c r="E46" s="108" t="s">
        <v>190</v>
      </c>
      <c r="F46" s="84">
        <f t="shared" si="1"/>
        <v>2</v>
      </c>
      <c r="G46" s="108">
        <v>161890000</v>
      </c>
      <c r="H46" s="84">
        <f t="shared" si="2"/>
        <v>8.2092200230649937</v>
      </c>
      <c r="I46" s="146">
        <v>38265</v>
      </c>
      <c r="J46" s="108">
        <v>529350000</v>
      </c>
      <c r="K46" s="148">
        <f t="shared" si="3"/>
        <v>5.0986301369863014</v>
      </c>
      <c r="L46" s="148">
        <f t="shared" si="28"/>
        <v>0.70745350867429235</v>
      </c>
      <c r="M46" s="108">
        <v>0</v>
      </c>
      <c r="N46" s="108">
        <f t="shared" si="4"/>
        <v>0</v>
      </c>
      <c r="O46" s="108">
        <v>22</v>
      </c>
      <c r="P46" s="108">
        <f t="shared" si="29"/>
        <v>1.3424226808222062</v>
      </c>
      <c r="Q46" s="65">
        <v>2.95</v>
      </c>
      <c r="R46" s="65">
        <f t="shared" si="30"/>
        <v>0.46982201597816303</v>
      </c>
      <c r="S46" s="155">
        <f t="shared" si="5"/>
        <v>2.2698128358762122</v>
      </c>
      <c r="T46" s="127">
        <f t="shared" si="6"/>
        <v>0.51452289435065757</v>
      </c>
      <c r="U46" s="108">
        <v>1246.953</v>
      </c>
      <c r="V46" s="108">
        <f t="shared" si="7"/>
        <v>3.0958500844125241</v>
      </c>
      <c r="W46" s="108">
        <v>3219.7179999999998</v>
      </c>
      <c r="X46" s="108">
        <f t="shared" si="8"/>
        <v>3.5078178355445662</v>
      </c>
      <c r="Y46" s="108">
        <v>0</v>
      </c>
      <c r="Z46" s="126">
        <f t="shared" si="9"/>
        <v>0</v>
      </c>
      <c r="AA46" s="108">
        <v>85</v>
      </c>
      <c r="AB46" s="108">
        <f t="shared" si="31"/>
        <v>1.9294189257142926</v>
      </c>
      <c r="AC46" s="127">
        <v>27.8</v>
      </c>
      <c r="AD46" s="127">
        <f t="shared" si="32"/>
        <v>1.4440447959180762</v>
      </c>
      <c r="AE46" s="128">
        <v>34.656907836978597</v>
      </c>
      <c r="AF46" s="128">
        <f t="shared" si="33"/>
        <v>1.5397898114291337</v>
      </c>
      <c r="AG46" s="70" t="s">
        <v>316</v>
      </c>
      <c r="AH46" s="127">
        <f t="shared" si="10"/>
        <v>0.15075643986030904</v>
      </c>
      <c r="AI46" s="108">
        <v>8</v>
      </c>
      <c r="AJ46" s="108">
        <f t="shared" si="34"/>
        <v>0.90308998699194354</v>
      </c>
      <c r="AK46" s="108">
        <f t="shared" si="11"/>
        <v>0</v>
      </c>
      <c r="AL46" s="108">
        <f t="shared" si="12"/>
        <v>1</v>
      </c>
      <c r="AM46" s="108">
        <f t="shared" si="13"/>
        <v>0</v>
      </c>
      <c r="AN46" s="108">
        <f t="shared" si="14"/>
        <v>0</v>
      </c>
      <c r="AO46" s="108">
        <f t="shared" si="15"/>
        <v>0</v>
      </c>
      <c r="AP46" s="108">
        <f t="shared" si="16"/>
        <v>0</v>
      </c>
      <c r="AQ46" s="108">
        <f t="shared" si="17"/>
        <v>0</v>
      </c>
      <c r="AR46" s="108">
        <f t="shared" si="18"/>
        <v>0</v>
      </c>
      <c r="AS46" s="108">
        <f t="shared" si="19"/>
        <v>0</v>
      </c>
      <c r="AT46" s="108">
        <f t="shared" si="20"/>
        <v>0</v>
      </c>
      <c r="AU46" s="108">
        <f t="shared" si="21"/>
        <v>0</v>
      </c>
      <c r="AV46" s="108">
        <f t="shared" si="22"/>
        <v>0</v>
      </c>
      <c r="AW46" s="108">
        <f t="shared" si="23"/>
        <v>0</v>
      </c>
      <c r="AX46" s="108">
        <f t="shared" si="24"/>
        <v>0</v>
      </c>
      <c r="AY46" s="108">
        <f t="shared" si="25"/>
        <v>0</v>
      </c>
      <c r="AZ46" s="108">
        <f t="shared" si="26"/>
        <v>0</v>
      </c>
      <c r="BA46" s="109">
        <f t="shared" si="27"/>
        <v>0</v>
      </c>
    </row>
    <row r="47" spans="1:53" x14ac:dyDescent="0.35">
      <c r="A47" s="143">
        <v>36434</v>
      </c>
      <c r="B47" s="106" t="s">
        <v>59</v>
      </c>
      <c r="C47" s="106" t="s">
        <v>102</v>
      </c>
      <c r="D47" s="83">
        <f t="shared" si="0"/>
        <v>0</v>
      </c>
      <c r="E47" s="106" t="s">
        <v>248</v>
      </c>
      <c r="F47" s="83">
        <f t="shared" si="1"/>
        <v>5</v>
      </c>
      <c r="G47" s="106">
        <v>183000000</v>
      </c>
      <c r="H47" s="83">
        <f t="shared" si="2"/>
        <v>8.2624510897304297</v>
      </c>
      <c r="I47" s="143">
        <v>38114</v>
      </c>
      <c r="J47" s="106">
        <v>245000000</v>
      </c>
      <c r="K47" s="145">
        <f t="shared" si="3"/>
        <v>4.602739726027397</v>
      </c>
      <c r="L47" s="148">
        <f t="shared" si="28"/>
        <v>0.66301641726938809</v>
      </c>
      <c r="M47" s="106">
        <v>0</v>
      </c>
      <c r="N47" s="106">
        <f t="shared" si="4"/>
        <v>0</v>
      </c>
      <c r="O47" s="106">
        <v>113</v>
      </c>
      <c r="P47" s="108">
        <f t="shared" si="29"/>
        <v>2.0530784434834195</v>
      </c>
      <c r="Q47" s="59">
        <v>3.29</v>
      </c>
      <c r="R47" s="65">
        <f t="shared" si="30"/>
        <v>0.51719589794997434</v>
      </c>
      <c r="S47" s="154">
        <f t="shared" si="5"/>
        <v>0.33879781420765021</v>
      </c>
      <c r="T47" s="119">
        <f t="shared" si="6"/>
        <v>0.12671499463410296</v>
      </c>
      <c r="U47" s="106">
        <v>1709.090909090909</v>
      </c>
      <c r="V47" s="106">
        <f t="shared" si="7"/>
        <v>3.2327651641054547</v>
      </c>
      <c r="W47" s="106">
        <v>8968.5950413223145</v>
      </c>
      <c r="X47" s="106">
        <f t="shared" si="8"/>
        <v>3.9527244147731087</v>
      </c>
      <c r="Y47" s="118">
        <v>0</v>
      </c>
      <c r="Z47" s="118">
        <f t="shared" si="9"/>
        <v>0</v>
      </c>
      <c r="AA47" s="106">
        <v>85</v>
      </c>
      <c r="AB47" s="108">
        <f t="shared" si="31"/>
        <v>1.9294189257142926</v>
      </c>
      <c r="AC47" s="119">
        <v>32.200000000000003</v>
      </c>
      <c r="AD47" s="127">
        <f t="shared" si="32"/>
        <v>1.507855871695831</v>
      </c>
      <c r="AE47" s="120">
        <v>35.326012114535303</v>
      </c>
      <c r="AF47" s="128">
        <f t="shared" si="33"/>
        <v>1.548094613534351</v>
      </c>
      <c r="AG47" s="69" t="s">
        <v>323</v>
      </c>
      <c r="AH47" s="119">
        <f t="shared" si="10"/>
        <v>0.32469391386177465</v>
      </c>
      <c r="AI47" s="106">
        <v>8</v>
      </c>
      <c r="AJ47" s="108">
        <f t="shared" si="34"/>
        <v>0.90308998699194354</v>
      </c>
      <c r="AK47" s="106">
        <f t="shared" si="11"/>
        <v>0</v>
      </c>
      <c r="AL47" s="106">
        <f t="shared" si="12"/>
        <v>0</v>
      </c>
      <c r="AM47" s="106">
        <f t="shared" si="13"/>
        <v>1</v>
      </c>
      <c r="AN47" s="106">
        <f t="shared" si="14"/>
        <v>0</v>
      </c>
      <c r="AO47" s="106">
        <f t="shared" si="15"/>
        <v>0</v>
      </c>
      <c r="AP47" s="106">
        <f t="shared" si="16"/>
        <v>0</v>
      </c>
      <c r="AQ47" s="106">
        <f t="shared" si="17"/>
        <v>0</v>
      </c>
      <c r="AR47" s="106">
        <f t="shared" si="18"/>
        <v>0</v>
      </c>
      <c r="AS47" s="106">
        <f t="shared" si="19"/>
        <v>0</v>
      </c>
      <c r="AT47" s="106">
        <f t="shared" si="20"/>
        <v>0</v>
      </c>
      <c r="AU47" s="106">
        <f t="shared" si="21"/>
        <v>0</v>
      </c>
      <c r="AV47" s="106">
        <f t="shared" si="22"/>
        <v>0</v>
      </c>
      <c r="AW47" s="106">
        <f t="shared" si="23"/>
        <v>0</v>
      </c>
      <c r="AX47" s="106">
        <f t="shared" si="24"/>
        <v>0</v>
      </c>
      <c r="AY47" s="106">
        <f t="shared" si="25"/>
        <v>0</v>
      </c>
      <c r="AZ47" s="106">
        <f t="shared" si="26"/>
        <v>0</v>
      </c>
      <c r="BA47" s="107">
        <f t="shared" si="27"/>
        <v>0</v>
      </c>
    </row>
    <row r="48" spans="1:53" x14ac:dyDescent="0.35">
      <c r="A48" s="146">
        <v>36465</v>
      </c>
      <c r="B48" s="108" t="s">
        <v>59</v>
      </c>
      <c r="C48" s="108" t="s">
        <v>102</v>
      </c>
      <c r="D48" s="84">
        <f t="shared" si="0"/>
        <v>0</v>
      </c>
      <c r="E48" s="108" t="s">
        <v>326</v>
      </c>
      <c r="F48" s="84">
        <f t="shared" si="1"/>
        <v>8</v>
      </c>
      <c r="G48" s="108">
        <v>505000000</v>
      </c>
      <c r="H48" s="84">
        <f t="shared" si="2"/>
        <v>8.7032913781186618</v>
      </c>
      <c r="I48" s="146">
        <v>39962</v>
      </c>
      <c r="J48" s="108">
        <v>1037920000</v>
      </c>
      <c r="K48" s="148">
        <f t="shared" si="3"/>
        <v>9.580821917808219</v>
      </c>
      <c r="L48" s="148">
        <f t="shared" si="28"/>
        <v>0.98140276785277003</v>
      </c>
      <c r="M48" s="108">
        <v>0</v>
      </c>
      <c r="N48" s="108">
        <f t="shared" si="4"/>
        <v>0</v>
      </c>
      <c r="O48" s="108">
        <v>52</v>
      </c>
      <c r="P48" s="108">
        <f t="shared" si="29"/>
        <v>1.7160033436347992</v>
      </c>
      <c r="Q48" s="65">
        <v>3.29</v>
      </c>
      <c r="R48" s="65">
        <f t="shared" si="30"/>
        <v>0.51719589794997434</v>
      </c>
      <c r="S48" s="155">
        <f t="shared" si="5"/>
        <v>1.0552871287128713</v>
      </c>
      <c r="T48" s="127">
        <f t="shared" si="6"/>
        <v>0.3128725024674901</v>
      </c>
      <c r="U48" s="108">
        <v>2144.9704142011828</v>
      </c>
      <c r="V48" s="108">
        <f t="shared" si="7"/>
        <v>3.3314213062933389</v>
      </c>
      <c r="W48" s="108">
        <v>7670.1183431952677</v>
      </c>
      <c r="X48" s="108">
        <f t="shared" si="8"/>
        <v>3.884802064783424</v>
      </c>
      <c r="Y48" s="126">
        <v>0</v>
      </c>
      <c r="Z48" s="126">
        <f t="shared" si="9"/>
        <v>0</v>
      </c>
      <c r="AA48" s="108">
        <v>85</v>
      </c>
      <c r="AB48" s="108">
        <f t="shared" si="31"/>
        <v>1.9294189257142926</v>
      </c>
      <c r="AC48" s="127">
        <v>32.200000000000003</v>
      </c>
      <c r="AD48" s="127">
        <f t="shared" si="32"/>
        <v>1.507855871695831</v>
      </c>
      <c r="AE48" s="128">
        <v>35.326012114535303</v>
      </c>
      <c r="AF48" s="128">
        <f t="shared" si="33"/>
        <v>1.548094613534351</v>
      </c>
      <c r="AG48" s="153">
        <v>2.1</v>
      </c>
      <c r="AH48" s="127">
        <f t="shared" si="10"/>
        <v>0.49136169383427269</v>
      </c>
      <c r="AI48" s="108">
        <v>17</v>
      </c>
      <c r="AJ48" s="108">
        <f t="shared" si="34"/>
        <v>1.2304489213782739</v>
      </c>
      <c r="AK48" s="108">
        <f t="shared" si="11"/>
        <v>0</v>
      </c>
      <c r="AL48" s="108">
        <f t="shared" si="12"/>
        <v>0</v>
      </c>
      <c r="AM48" s="108">
        <f t="shared" si="13"/>
        <v>1</v>
      </c>
      <c r="AN48" s="108">
        <f t="shared" si="14"/>
        <v>0</v>
      </c>
      <c r="AO48" s="108">
        <f t="shared" si="15"/>
        <v>0</v>
      </c>
      <c r="AP48" s="108">
        <f t="shared" si="16"/>
        <v>0</v>
      </c>
      <c r="AQ48" s="108">
        <f t="shared" si="17"/>
        <v>0</v>
      </c>
      <c r="AR48" s="108">
        <f t="shared" si="18"/>
        <v>0</v>
      </c>
      <c r="AS48" s="108">
        <f t="shared" si="19"/>
        <v>0</v>
      </c>
      <c r="AT48" s="108">
        <f t="shared" si="20"/>
        <v>0</v>
      </c>
      <c r="AU48" s="108">
        <f t="shared" si="21"/>
        <v>0</v>
      </c>
      <c r="AV48" s="108">
        <f t="shared" si="22"/>
        <v>0</v>
      </c>
      <c r="AW48" s="108">
        <f t="shared" si="23"/>
        <v>0</v>
      </c>
      <c r="AX48" s="108">
        <f t="shared" si="24"/>
        <v>0</v>
      </c>
      <c r="AY48" s="108">
        <f t="shared" si="25"/>
        <v>0</v>
      </c>
      <c r="AZ48" s="108">
        <f t="shared" si="26"/>
        <v>0</v>
      </c>
      <c r="BA48" s="109">
        <f t="shared" si="27"/>
        <v>0</v>
      </c>
    </row>
    <row r="49" spans="1:53" x14ac:dyDescent="0.35">
      <c r="A49" s="143">
        <v>36494</v>
      </c>
      <c r="B49" s="106" t="s">
        <v>45</v>
      </c>
      <c r="C49" s="106" t="s">
        <v>47</v>
      </c>
      <c r="D49" s="83">
        <f t="shared" si="0"/>
        <v>0</v>
      </c>
      <c r="E49" s="106" t="s">
        <v>186</v>
      </c>
      <c r="F49" s="83">
        <f t="shared" si="1"/>
        <v>4</v>
      </c>
      <c r="G49" s="106">
        <v>281000000</v>
      </c>
      <c r="H49" s="83">
        <f t="shared" si="2"/>
        <v>8.4487063199050798</v>
      </c>
      <c r="I49" s="143">
        <v>37705</v>
      </c>
      <c r="J49" s="106">
        <v>360000000</v>
      </c>
      <c r="K49" s="145">
        <f t="shared" si="3"/>
        <v>3.3178082191780822</v>
      </c>
      <c r="L49" s="148">
        <f t="shared" si="28"/>
        <v>0.52085127868657755</v>
      </c>
      <c r="M49" s="106">
        <v>0</v>
      </c>
      <c r="N49" s="106">
        <f t="shared" si="4"/>
        <v>0</v>
      </c>
      <c r="O49" s="106">
        <v>37</v>
      </c>
      <c r="P49" s="108">
        <f t="shared" si="29"/>
        <v>1.568201724066995</v>
      </c>
      <c r="Q49" s="59">
        <v>2.95</v>
      </c>
      <c r="R49" s="65">
        <f t="shared" si="30"/>
        <v>0.46982201597816303</v>
      </c>
      <c r="S49" s="154">
        <f t="shared" si="5"/>
        <v>0.28113879003558728</v>
      </c>
      <c r="T49" s="119">
        <f t="shared" si="6"/>
        <v>0.1075961808622074</v>
      </c>
      <c r="U49" s="106">
        <v>1246.953</v>
      </c>
      <c r="V49" s="106">
        <f t="shared" si="7"/>
        <v>3.0958500844125241</v>
      </c>
      <c r="W49" s="106">
        <v>3219.7179999999998</v>
      </c>
      <c r="X49" s="106">
        <f t="shared" si="8"/>
        <v>3.5078178355445662</v>
      </c>
      <c r="Y49" s="106">
        <v>0</v>
      </c>
      <c r="Z49" s="118">
        <f t="shared" si="9"/>
        <v>0</v>
      </c>
      <c r="AA49" s="106">
        <v>85</v>
      </c>
      <c r="AB49" s="108">
        <f t="shared" si="31"/>
        <v>1.9294189257142926</v>
      </c>
      <c r="AC49" s="119">
        <v>27.8</v>
      </c>
      <c r="AD49" s="127">
        <f t="shared" si="32"/>
        <v>1.4440447959180762</v>
      </c>
      <c r="AE49" s="120">
        <v>34.656907836978597</v>
      </c>
      <c r="AF49" s="128">
        <f t="shared" si="33"/>
        <v>1.5397898114291337</v>
      </c>
      <c r="AG49" s="152">
        <v>1.17</v>
      </c>
      <c r="AH49" s="119">
        <f t="shared" si="10"/>
        <v>0.33645973384852951</v>
      </c>
      <c r="AI49" s="106">
        <v>19</v>
      </c>
      <c r="AJ49" s="108">
        <f t="shared" si="34"/>
        <v>1.2787536009528289</v>
      </c>
      <c r="AK49" s="106">
        <f t="shared" si="11"/>
        <v>0</v>
      </c>
      <c r="AL49" s="106">
        <f t="shared" si="12"/>
        <v>1</v>
      </c>
      <c r="AM49" s="106">
        <f t="shared" si="13"/>
        <v>0</v>
      </c>
      <c r="AN49" s="106">
        <f t="shared" si="14"/>
        <v>0</v>
      </c>
      <c r="AO49" s="106">
        <f t="shared" si="15"/>
        <v>0</v>
      </c>
      <c r="AP49" s="106">
        <f t="shared" si="16"/>
        <v>0</v>
      </c>
      <c r="AQ49" s="106">
        <f t="shared" si="17"/>
        <v>0</v>
      </c>
      <c r="AR49" s="106">
        <f t="shared" si="18"/>
        <v>0</v>
      </c>
      <c r="AS49" s="106">
        <f t="shared" si="19"/>
        <v>0</v>
      </c>
      <c r="AT49" s="106">
        <f t="shared" si="20"/>
        <v>0</v>
      </c>
      <c r="AU49" s="106">
        <f t="shared" si="21"/>
        <v>0</v>
      </c>
      <c r="AV49" s="106">
        <f t="shared" si="22"/>
        <v>0</v>
      </c>
      <c r="AW49" s="106">
        <f t="shared" si="23"/>
        <v>0</v>
      </c>
      <c r="AX49" s="106">
        <f t="shared" si="24"/>
        <v>0</v>
      </c>
      <c r="AY49" s="106">
        <f t="shared" si="25"/>
        <v>0</v>
      </c>
      <c r="AZ49" s="106">
        <f t="shared" si="26"/>
        <v>0</v>
      </c>
      <c r="BA49" s="107">
        <f t="shared" si="27"/>
        <v>0</v>
      </c>
    </row>
    <row r="50" spans="1:53" x14ac:dyDescent="0.35">
      <c r="A50" s="146">
        <v>36500</v>
      </c>
      <c r="B50" s="108" t="s">
        <v>59</v>
      </c>
      <c r="C50" s="108" t="s">
        <v>102</v>
      </c>
      <c r="D50" s="84">
        <f t="shared" si="0"/>
        <v>0</v>
      </c>
      <c r="E50" s="108" t="s">
        <v>235</v>
      </c>
      <c r="F50" s="84">
        <f t="shared" si="1"/>
        <v>1</v>
      </c>
      <c r="G50" s="108">
        <v>194000000</v>
      </c>
      <c r="H50" s="84">
        <f t="shared" si="2"/>
        <v>8.2878017299302265</v>
      </c>
      <c r="I50" s="146">
        <v>37929</v>
      </c>
      <c r="J50" s="108">
        <v>165000000</v>
      </c>
      <c r="K50" s="148">
        <f t="shared" si="3"/>
        <v>3.9150684931506849</v>
      </c>
      <c r="L50" s="148">
        <f t="shared" si="28"/>
        <v>0.59273936433449548</v>
      </c>
      <c r="M50" s="108">
        <v>0</v>
      </c>
      <c r="N50" s="108">
        <f t="shared" si="4"/>
        <v>0</v>
      </c>
      <c r="O50" s="108">
        <v>62</v>
      </c>
      <c r="P50" s="108">
        <f t="shared" si="29"/>
        <v>1.7923916894982539</v>
      </c>
      <c r="Q50" s="65">
        <v>3.29</v>
      </c>
      <c r="R50" s="65">
        <f t="shared" si="30"/>
        <v>0.51719589794997434</v>
      </c>
      <c r="S50" s="155">
        <f t="shared" si="5"/>
        <v>-0.14948453608247425</v>
      </c>
      <c r="T50" s="127">
        <f t="shared" si="6"/>
        <v>-7.0317785716319775E-2</v>
      </c>
      <c r="U50" s="108">
        <v>1709.090909090909</v>
      </c>
      <c r="V50" s="108">
        <f t="shared" si="7"/>
        <v>3.2327651641054547</v>
      </c>
      <c r="W50" s="108">
        <v>8968.5950413223145</v>
      </c>
      <c r="X50" s="108">
        <f t="shared" si="8"/>
        <v>3.9527244147731087</v>
      </c>
      <c r="Y50" s="126">
        <v>0</v>
      </c>
      <c r="Z50" s="126">
        <f t="shared" si="9"/>
        <v>0</v>
      </c>
      <c r="AA50" s="108">
        <v>85</v>
      </c>
      <c r="AB50" s="108">
        <f t="shared" si="31"/>
        <v>1.9294189257142926</v>
      </c>
      <c r="AC50" s="127">
        <v>32.200000000000003</v>
      </c>
      <c r="AD50" s="127">
        <f t="shared" si="32"/>
        <v>1.507855871695831</v>
      </c>
      <c r="AE50" s="128">
        <v>35.326012114535303</v>
      </c>
      <c r="AF50" s="128">
        <f t="shared" si="33"/>
        <v>1.548094613534351</v>
      </c>
      <c r="AG50" s="153">
        <v>1.4</v>
      </c>
      <c r="AH50" s="127">
        <f t="shared" si="10"/>
        <v>0.38021124171160603</v>
      </c>
      <c r="AI50" s="108">
        <v>19</v>
      </c>
      <c r="AJ50" s="108">
        <f t="shared" si="34"/>
        <v>1.2787536009528289</v>
      </c>
      <c r="AK50" s="108">
        <f t="shared" si="11"/>
        <v>0</v>
      </c>
      <c r="AL50" s="108">
        <f t="shared" si="12"/>
        <v>0</v>
      </c>
      <c r="AM50" s="108">
        <f t="shared" si="13"/>
        <v>1</v>
      </c>
      <c r="AN50" s="108">
        <f t="shared" si="14"/>
        <v>0</v>
      </c>
      <c r="AO50" s="108">
        <f t="shared" si="15"/>
        <v>0</v>
      </c>
      <c r="AP50" s="108">
        <f t="shared" si="16"/>
        <v>0</v>
      </c>
      <c r="AQ50" s="108">
        <f t="shared" si="17"/>
        <v>0</v>
      </c>
      <c r="AR50" s="108">
        <f t="shared" si="18"/>
        <v>0</v>
      </c>
      <c r="AS50" s="108">
        <f t="shared" si="19"/>
        <v>0</v>
      </c>
      <c r="AT50" s="108">
        <f t="shared" si="20"/>
        <v>0</v>
      </c>
      <c r="AU50" s="108">
        <f t="shared" si="21"/>
        <v>0</v>
      </c>
      <c r="AV50" s="108">
        <f t="shared" si="22"/>
        <v>0</v>
      </c>
      <c r="AW50" s="108">
        <f t="shared" si="23"/>
        <v>0</v>
      </c>
      <c r="AX50" s="108">
        <f t="shared" si="24"/>
        <v>0</v>
      </c>
      <c r="AY50" s="108">
        <f t="shared" si="25"/>
        <v>0</v>
      </c>
      <c r="AZ50" s="108">
        <f t="shared" si="26"/>
        <v>0</v>
      </c>
      <c r="BA50" s="109">
        <f t="shared" si="27"/>
        <v>0</v>
      </c>
    </row>
    <row r="51" spans="1:53" x14ac:dyDescent="0.35">
      <c r="A51" s="143">
        <v>36500</v>
      </c>
      <c r="B51" s="106" t="s">
        <v>59</v>
      </c>
      <c r="C51" s="106" t="s">
        <v>102</v>
      </c>
      <c r="D51" s="83">
        <f t="shared" si="0"/>
        <v>0</v>
      </c>
      <c r="E51" s="106" t="s">
        <v>235</v>
      </c>
      <c r="F51" s="83">
        <f t="shared" si="1"/>
        <v>1</v>
      </c>
      <c r="G51" s="106">
        <v>194000000</v>
      </c>
      <c r="H51" s="83">
        <f t="shared" si="2"/>
        <v>8.2878017299302265</v>
      </c>
      <c r="I51" s="143">
        <v>37634</v>
      </c>
      <c r="J51" s="106">
        <v>50000000</v>
      </c>
      <c r="K51" s="145">
        <f t="shared" si="3"/>
        <v>3.106849315068493</v>
      </c>
      <c r="L51" s="148">
        <f t="shared" si="28"/>
        <v>0.49232019010041306</v>
      </c>
      <c r="M51" s="106">
        <v>0</v>
      </c>
      <c r="N51" s="106">
        <f t="shared" si="4"/>
        <v>0</v>
      </c>
      <c r="O51" s="106">
        <v>7</v>
      </c>
      <c r="P51" s="108">
        <f t="shared" si="29"/>
        <v>0.84509804001425681</v>
      </c>
      <c r="Q51" s="59">
        <v>3.29</v>
      </c>
      <c r="R51" s="65">
        <f t="shared" si="30"/>
        <v>0.51719589794997434</v>
      </c>
      <c r="S51" s="154">
        <f t="shared" si="5"/>
        <v>-0.74226804123711343</v>
      </c>
      <c r="T51" s="119">
        <f t="shared" si="6"/>
        <v>-0.58883172559420727</v>
      </c>
      <c r="U51" s="106">
        <v>1709.090909090909</v>
      </c>
      <c r="V51" s="106">
        <f t="shared" si="7"/>
        <v>3.2327651641054547</v>
      </c>
      <c r="W51" s="106">
        <v>8968.5950413223145</v>
      </c>
      <c r="X51" s="106">
        <f t="shared" si="8"/>
        <v>3.9527244147731087</v>
      </c>
      <c r="Y51" s="118">
        <v>0</v>
      </c>
      <c r="Z51" s="118">
        <f t="shared" si="9"/>
        <v>0</v>
      </c>
      <c r="AA51" s="106">
        <v>85</v>
      </c>
      <c r="AB51" s="108">
        <f t="shared" si="31"/>
        <v>1.9294189257142926</v>
      </c>
      <c r="AC51" s="119">
        <v>32.200000000000003</v>
      </c>
      <c r="AD51" s="127">
        <f t="shared" si="32"/>
        <v>1.507855871695831</v>
      </c>
      <c r="AE51" s="120">
        <v>35.326012114535303</v>
      </c>
      <c r="AF51" s="128">
        <f t="shared" si="33"/>
        <v>1.548094613534351</v>
      </c>
      <c r="AG51" s="152">
        <v>0.79</v>
      </c>
      <c r="AH51" s="119">
        <f t="shared" si="10"/>
        <v>0.2528530309798932</v>
      </c>
      <c r="AI51" s="106">
        <v>19</v>
      </c>
      <c r="AJ51" s="108">
        <f t="shared" si="34"/>
        <v>1.2787536009528289</v>
      </c>
      <c r="AK51" s="106">
        <f t="shared" si="11"/>
        <v>0</v>
      </c>
      <c r="AL51" s="106">
        <f t="shared" si="12"/>
        <v>0</v>
      </c>
      <c r="AM51" s="106">
        <f t="shared" si="13"/>
        <v>1</v>
      </c>
      <c r="AN51" s="106">
        <f t="shared" si="14"/>
        <v>0</v>
      </c>
      <c r="AO51" s="106">
        <f t="shared" si="15"/>
        <v>0</v>
      </c>
      <c r="AP51" s="106">
        <f t="shared" si="16"/>
        <v>0</v>
      </c>
      <c r="AQ51" s="106">
        <f t="shared" si="17"/>
        <v>0</v>
      </c>
      <c r="AR51" s="106">
        <f t="shared" si="18"/>
        <v>0</v>
      </c>
      <c r="AS51" s="106">
        <f t="shared" si="19"/>
        <v>0</v>
      </c>
      <c r="AT51" s="106">
        <f t="shared" si="20"/>
        <v>0</v>
      </c>
      <c r="AU51" s="106">
        <f t="shared" si="21"/>
        <v>0</v>
      </c>
      <c r="AV51" s="106">
        <f t="shared" si="22"/>
        <v>0</v>
      </c>
      <c r="AW51" s="106">
        <f t="shared" si="23"/>
        <v>0</v>
      </c>
      <c r="AX51" s="106">
        <f t="shared" si="24"/>
        <v>0</v>
      </c>
      <c r="AY51" s="106">
        <f t="shared" si="25"/>
        <v>0</v>
      </c>
      <c r="AZ51" s="106">
        <f t="shared" si="26"/>
        <v>0</v>
      </c>
      <c r="BA51" s="107">
        <f t="shared" si="27"/>
        <v>0</v>
      </c>
    </row>
    <row r="52" spans="1:53" x14ac:dyDescent="0.35">
      <c r="A52" s="146">
        <v>36528</v>
      </c>
      <c r="B52" s="108" t="s">
        <v>2</v>
      </c>
      <c r="C52" s="108" t="s">
        <v>64</v>
      </c>
      <c r="D52" s="84">
        <f t="shared" si="0"/>
        <v>1</v>
      </c>
      <c r="E52" s="108" t="s">
        <v>235</v>
      </c>
      <c r="F52" s="84">
        <f t="shared" si="1"/>
        <v>1</v>
      </c>
      <c r="G52" s="108">
        <v>1200000000</v>
      </c>
      <c r="H52" s="84">
        <f t="shared" si="2"/>
        <v>9.0791812460476251</v>
      </c>
      <c r="I52" s="146">
        <v>37376</v>
      </c>
      <c r="J52" s="108">
        <v>0</v>
      </c>
      <c r="K52" s="148">
        <f t="shared" si="3"/>
        <v>2.3232876712328765</v>
      </c>
      <c r="L52" s="148">
        <f t="shared" si="28"/>
        <v>0.36610298780023909</v>
      </c>
      <c r="M52" s="108">
        <v>6815.73</v>
      </c>
      <c r="N52" s="108">
        <f t="shared" si="4"/>
        <v>3.8335760926148099</v>
      </c>
      <c r="O52" s="108">
        <v>66</v>
      </c>
      <c r="P52" s="108">
        <f t="shared" si="29"/>
        <v>1.8195439355418688</v>
      </c>
      <c r="Q52" s="65">
        <v>2.85</v>
      </c>
      <c r="R52" s="65">
        <f t="shared" si="30"/>
        <v>0.45484486000851021</v>
      </c>
      <c r="S52" s="155">
        <f t="shared" si="5"/>
        <v>-1</v>
      </c>
      <c r="T52" s="127">
        <f t="shared" si="6"/>
        <v>-1</v>
      </c>
      <c r="U52" s="108">
        <v>2030.3304662743317</v>
      </c>
      <c r="V52" s="108">
        <f t="shared" si="7"/>
        <v>3.3075667315086759</v>
      </c>
      <c r="W52" s="108">
        <v>6774.5586238116803</v>
      </c>
      <c r="X52" s="108">
        <f t="shared" si="8"/>
        <v>3.8308810053047755</v>
      </c>
      <c r="Y52" s="126">
        <v>819</v>
      </c>
      <c r="Z52" s="126">
        <f t="shared" si="9"/>
        <v>2.9138138523837167</v>
      </c>
      <c r="AA52" s="108">
        <v>70</v>
      </c>
      <c r="AB52" s="108">
        <f t="shared" si="31"/>
        <v>1.8450980400142569</v>
      </c>
      <c r="AC52" s="127">
        <v>36.200000000000003</v>
      </c>
      <c r="AD52" s="127">
        <f t="shared" si="32"/>
        <v>1.5587085705331658</v>
      </c>
      <c r="AE52" s="128">
        <v>44.748733746598099</v>
      </c>
      <c r="AF52" s="128">
        <f t="shared" si="33"/>
        <v>1.6507807506095689</v>
      </c>
      <c r="AG52" s="153">
        <v>0.42</v>
      </c>
      <c r="AH52" s="127">
        <f t="shared" si="10"/>
        <v>0.15228834438305647</v>
      </c>
      <c r="AI52" s="108">
        <v>21</v>
      </c>
      <c r="AJ52" s="108">
        <f t="shared" si="34"/>
        <v>1.3222192947339193</v>
      </c>
      <c r="AK52" s="108">
        <f t="shared" si="11"/>
        <v>1</v>
      </c>
      <c r="AL52" s="108">
        <f t="shared" si="12"/>
        <v>0</v>
      </c>
      <c r="AM52" s="108">
        <f t="shared" si="13"/>
        <v>0</v>
      </c>
      <c r="AN52" s="108">
        <f t="shared" si="14"/>
        <v>0</v>
      </c>
      <c r="AO52" s="108">
        <f t="shared" si="15"/>
        <v>0</v>
      </c>
      <c r="AP52" s="108">
        <f t="shared" si="16"/>
        <v>0</v>
      </c>
      <c r="AQ52" s="108">
        <f t="shared" si="17"/>
        <v>0</v>
      </c>
      <c r="AR52" s="108">
        <f t="shared" si="18"/>
        <v>0</v>
      </c>
      <c r="AS52" s="108">
        <f t="shared" si="19"/>
        <v>0</v>
      </c>
      <c r="AT52" s="108">
        <f t="shared" si="20"/>
        <v>1</v>
      </c>
      <c r="AU52" s="108">
        <f t="shared" si="21"/>
        <v>0</v>
      </c>
      <c r="AV52" s="108">
        <f t="shared" si="22"/>
        <v>0</v>
      </c>
      <c r="AW52" s="108">
        <f t="shared" si="23"/>
        <v>0</v>
      </c>
      <c r="AX52" s="108">
        <f t="shared" si="24"/>
        <v>0</v>
      </c>
      <c r="AY52" s="108">
        <f t="shared" si="25"/>
        <v>0</v>
      </c>
      <c r="AZ52" s="108">
        <f t="shared" si="26"/>
        <v>0</v>
      </c>
      <c r="BA52" s="109">
        <f t="shared" si="27"/>
        <v>0</v>
      </c>
    </row>
    <row r="53" spans="1:53" x14ac:dyDescent="0.35">
      <c r="A53" s="143">
        <v>36557</v>
      </c>
      <c r="B53" s="106" t="s">
        <v>163</v>
      </c>
      <c r="C53" s="106" t="s">
        <v>125</v>
      </c>
      <c r="D53" s="83">
        <f t="shared" si="0"/>
        <v>1</v>
      </c>
      <c r="E53" s="106" t="s">
        <v>248</v>
      </c>
      <c r="F53" s="83">
        <f t="shared" si="1"/>
        <v>5</v>
      </c>
      <c r="G53" s="106">
        <v>416000000</v>
      </c>
      <c r="H53" s="83">
        <f t="shared" si="2"/>
        <v>8.6190933306267432</v>
      </c>
      <c r="I53" s="143">
        <v>37894</v>
      </c>
      <c r="J53" s="106">
        <v>520000000</v>
      </c>
      <c r="K53" s="145">
        <f t="shared" si="3"/>
        <v>3.6630136986301371</v>
      </c>
      <c r="L53" s="148">
        <f t="shared" si="28"/>
        <v>0.56383854280550971</v>
      </c>
      <c r="M53" s="106">
        <v>342.74</v>
      </c>
      <c r="N53" s="106">
        <f t="shared" si="4"/>
        <v>2.5362300726332561</v>
      </c>
      <c r="O53" s="106">
        <v>65</v>
      </c>
      <c r="P53" s="108">
        <f t="shared" si="29"/>
        <v>1.8129133566428555</v>
      </c>
      <c r="Q53" s="59">
        <v>2.3199999999999998</v>
      </c>
      <c r="R53" s="65">
        <f t="shared" si="30"/>
        <v>0.36548798489089962</v>
      </c>
      <c r="S53" s="154">
        <f t="shared" si="5"/>
        <v>0.25</v>
      </c>
      <c r="T53" s="119">
        <f t="shared" si="6"/>
        <v>9.691001300805642E-2</v>
      </c>
      <c r="U53" s="106">
        <v>1248.0746999999999</v>
      </c>
      <c r="V53" s="106">
        <f t="shared" si="7"/>
        <v>3.0962405795987471</v>
      </c>
      <c r="W53" s="106">
        <v>2518.2170000000001</v>
      </c>
      <c r="X53" s="106">
        <f t="shared" si="8"/>
        <v>3.4010931514437841</v>
      </c>
      <c r="Y53" s="118">
        <v>569.16666666666697</v>
      </c>
      <c r="Z53" s="118">
        <f t="shared" si="9"/>
        <v>2.756001823801419</v>
      </c>
      <c r="AA53" s="106">
        <v>70</v>
      </c>
      <c r="AB53" s="108">
        <f t="shared" si="31"/>
        <v>1.8450980400142569</v>
      </c>
      <c r="AC53" s="119">
        <v>43.4</v>
      </c>
      <c r="AD53" s="127">
        <f t="shared" si="32"/>
        <v>1.6374897295125106</v>
      </c>
      <c r="AE53" s="120">
        <v>51.652289181886701</v>
      </c>
      <c r="AF53" s="128">
        <f t="shared" si="33"/>
        <v>1.7130895738136374</v>
      </c>
      <c r="AG53" s="152">
        <v>-0.14000000000000001</v>
      </c>
      <c r="AH53" s="119">
        <f t="shared" si="10"/>
        <v>-6.5501548756432285E-2</v>
      </c>
      <c r="AI53" s="106">
        <v>22</v>
      </c>
      <c r="AJ53" s="108">
        <f t="shared" si="34"/>
        <v>1.3424226808222062</v>
      </c>
      <c r="AK53" s="106">
        <f t="shared" si="11"/>
        <v>0</v>
      </c>
      <c r="AL53" s="106">
        <f t="shared" si="12"/>
        <v>0</v>
      </c>
      <c r="AM53" s="106">
        <f t="shared" si="13"/>
        <v>0</v>
      </c>
      <c r="AN53" s="106">
        <f t="shared" si="14"/>
        <v>0</v>
      </c>
      <c r="AO53" s="106">
        <f t="shared" si="15"/>
        <v>0</v>
      </c>
      <c r="AP53" s="106">
        <f t="shared" si="16"/>
        <v>0</v>
      </c>
      <c r="AQ53" s="106">
        <f t="shared" si="17"/>
        <v>0</v>
      </c>
      <c r="AR53" s="106">
        <f t="shared" si="18"/>
        <v>1</v>
      </c>
      <c r="AS53" s="106">
        <f t="shared" si="19"/>
        <v>0</v>
      </c>
      <c r="AT53" s="106">
        <f t="shared" si="20"/>
        <v>0</v>
      </c>
      <c r="AU53" s="106">
        <f t="shared" si="21"/>
        <v>0</v>
      </c>
      <c r="AV53" s="106">
        <f t="shared" si="22"/>
        <v>0</v>
      </c>
      <c r="AW53" s="106">
        <f t="shared" si="23"/>
        <v>0</v>
      </c>
      <c r="AX53" s="106">
        <f t="shared" si="24"/>
        <v>0</v>
      </c>
      <c r="AY53" s="106">
        <f t="shared" si="25"/>
        <v>0</v>
      </c>
      <c r="AZ53" s="106">
        <f t="shared" si="26"/>
        <v>0</v>
      </c>
      <c r="BA53" s="107">
        <f t="shared" si="27"/>
        <v>0</v>
      </c>
    </row>
    <row r="54" spans="1:53" x14ac:dyDescent="0.35">
      <c r="A54" s="146">
        <v>36557</v>
      </c>
      <c r="B54" s="108" t="s">
        <v>59</v>
      </c>
      <c r="C54" s="108" t="s">
        <v>102</v>
      </c>
      <c r="D54" s="84">
        <f t="shared" si="0"/>
        <v>0</v>
      </c>
      <c r="E54" s="108" t="s">
        <v>248</v>
      </c>
      <c r="F54" s="84">
        <f t="shared" si="1"/>
        <v>5</v>
      </c>
      <c r="G54" s="108">
        <v>210500000</v>
      </c>
      <c r="H54" s="84">
        <f t="shared" si="2"/>
        <v>8.3232521001716879</v>
      </c>
      <c r="I54" s="146">
        <v>36703</v>
      </c>
      <c r="J54" s="108">
        <v>67000000</v>
      </c>
      <c r="K54" s="148">
        <f t="shared" si="3"/>
        <v>0.4</v>
      </c>
      <c r="L54" s="148">
        <f t="shared" si="28"/>
        <v>-0.3979400086720376</v>
      </c>
      <c r="M54" s="108">
        <v>0</v>
      </c>
      <c r="N54" s="108">
        <f t="shared" si="4"/>
        <v>0</v>
      </c>
      <c r="O54" s="108">
        <v>18</v>
      </c>
      <c r="P54" s="108">
        <f t="shared" si="29"/>
        <v>1.255272505103306</v>
      </c>
      <c r="Q54" s="65">
        <v>3.29</v>
      </c>
      <c r="R54" s="65">
        <f t="shared" si="30"/>
        <v>0.51719589794997434</v>
      </c>
      <c r="S54" s="155">
        <f t="shared" si="5"/>
        <v>-0.68171021377672214</v>
      </c>
      <c r="T54" s="127">
        <f t="shared" si="6"/>
        <v>-0.49717729747086076</v>
      </c>
      <c r="U54" s="108">
        <v>1709.090909090909</v>
      </c>
      <c r="V54" s="108">
        <f t="shared" si="7"/>
        <v>3.2327651641054547</v>
      </c>
      <c r="W54" s="108">
        <v>8968.5950413223145</v>
      </c>
      <c r="X54" s="108">
        <f t="shared" si="8"/>
        <v>3.9527244147731087</v>
      </c>
      <c r="Y54" s="126">
        <v>0</v>
      </c>
      <c r="Z54" s="126">
        <f t="shared" si="9"/>
        <v>0</v>
      </c>
      <c r="AA54" s="108">
        <v>85</v>
      </c>
      <c r="AB54" s="108">
        <f t="shared" si="31"/>
        <v>1.9294189257142926</v>
      </c>
      <c r="AC54" s="127">
        <v>32.9</v>
      </c>
      <c r="AD54" s="127">
        <f t="shared" si="32"/>
        <v>1.5171958979499742</v>
      </c>
      <c r="AE54" s="128">
        <v>35.433808146393098</v>
      </c>
      <c r="AF54" s="128">
        <f t="shared" si="33"/>
        <v>1.5494178293890581</v>
      </c>
      <c r="AG54" s="153">
        <v>0.17</v>
      </c>
      <c r="AH54" s="127">
        <f t="shared" si="10"/>
        <v>6.8185861746161619E-2</v>
      </c>
      <c r="AI54" s="108">
        <v>23</v>
      </c>
      <c r="AJ54" s="108">
        <f t="shared" si="34"/>
        <v>1.3617278360175928</v>
      </c>
      <c r="AK54" s="108">
        <f t="shared" si="11"/>
        <v>0</v>
      </c>
      <c r="AL54" s="108">
        <f t="shared" si="12"/>
        <v>0</v>
      </c>
      <c r="AM54" s="108">
        <f t="shared" si="13"/>
        <v>1</v>
      </c>
      <c r="AN54" s="108">
        <f t="shared" si="14"/>
        <v>0</v>
      </c>
      <c r="AO54" s="108">
        <f t="shared" si="15"/>
        <v>0</v>
      </c>
      <c r="AP54" s="108">
        <f t="shared" si="16"/>
        <v>0</v>
      </c>
      <c r="AQ54" s="108">
        <f t="shared" si="17"/>
        <v>0</v>
      </c>
      <c r="AR54" s="108">
        <f t="shared" si="18"/>
        <v>0</v>
      </c>
      <c r="AS54" s="108">
        <f t="shared" si="19"/>
        <v>0</v>
      </c>
      <c r="AT54" s="108">
        <f t="shared" si="20"/>
        <v>0</v>
      </c>
      <c r="AU54" s="108">
        <f t="shared" si="21"/>
        <v>0</v>
      </c>
      <c r="AV54" s="108">
        <f t="shared" si="22"/>
        <v>0</v>
      </c>
      <c r="AW54" s="108">
        <f t="shared" si="23"/>
        <v>0</v>
      </c>
      <c r="AX54" s="108">
        <f t="shared" si="24"/>
        <v>0</v>
      </c>
      <c r="AY54" s="108">
        <f t="shared" si="25"/>
        <v>0</v>
      </c>
      <c r="AZ54" s="108">
        <f t="shared" si="26"/>
        <v>0</v>
      </c>
      <c r="BA54" s="109">
        <f t="shared" si="27"/>
        <v>0</v>
      </c>
    </row>
    <row r="55" spans="1:53" x14ac:dyDescent="0.35">
      <c r="A55" s="143">
        <v>36574</v>
      </c>
      <c r="B55" s="106" t="s">
        <v>45</v>
      </c>
      <c r="C55" s="106" t="s">
        <v>102</v>
      </c>
      <c r="D55" s="83">
        <f t="shared" si="0"/>
        <v>0</v>
      </c>
      <c r="E55" s="106" t="s">
        <v>186</v>
      </c>
      <c r="F55" s="83">
        <f t="shared" si="1"/>
        <v>4</v>
      </c>
      <c r="G55" s="106">
        <v>200000000</v>
      </c>
      <c r="H55" s="83">
        <f t="shared" si="2"/>
        <v>8.3010299956639813</v>
      </c>
      <c r="I55" s="143">
        <v>38352</v>
      </c>
      <c r="J55" s="106">
        <v>0</v>
      </c>
      <c r="K55" s="145">
        <f t="shared" si="3"/>
        <v>4.8712328767123285</v>
      </c>
      <c r="L55" s="148">
        <f t="shared" si="28"/>
        <v>0.68763889217772012</v>
      </c>
      <c r="M55" s="106">
        <v>0</v>
      </c>
      <c r="N55" s="106">
        <f t="shared" si="4"/>
        <v>0</v>
      </c>
      <c r="O55" s="106">
        <v>13</v>
      </c>
      <c r="P55" s="108">
        <f t="shared" si="29"/>
        <v>1.1139433523068367</v>
      </c>
      <c r="Q55" s="59">
        <v>2.95</v>
      </c>
      <c r="R55" s="65">
        <f t="shared" si="30"/>
        <v>0.46982201597816303</v>
      </c>
      <c r="S55" s="154">
        <f t="shared" si="5"/>
        <v>-1</v>
      </c>
      <c r="T55" s="119">
        <f t="shared" si="6"/>
        <v>-1</v>
      </c>
      <c r="U55" s="106">
        <v>1171.498</v>
      </c>
      <c r="V55" s="106">
        <f t="shared" si="7"/>
        <v>3.0687415514991745</v>
      </c>
      <c r="W55" s="106">
        <v>3386.1060000000002</v>
      </c>
      <c r="X55" s="106">
        <f t="shared" si="8"/>
        <v>3.5297005493117593</v>
      </c>
      <c r="Y55" s="118">
        <v>0</v>
      </c>
      <c r="Z55" s="118">
        <f t="shared" si="9"/>
        <v>0</v>
      </c>
      <c r="AA55" s="106">
        <v>85</v>
      </c>
      <c r="AB55" s="108">
        <f t="shared" si="31"/>
        <v>1.9294189257142926</v>
      </c>
      <c r="AC55" s="119">
        <v>28.2</v>
      </c>
      <c r="AD55" s="127">
        <f t="shared" si="32"/>
        <v>1.4502491083193612</v>
      </c>
      <c r="AE55" s="120">
        <v>34.298950279384798</v>
      </c>
      <c r="AF55" s="128">
        <f t="shared" si="33"/>
        <v>1.5352808286478177</v>
      </c>
      <c r="AG55" s="152">
        <v>-0.1</v>
      </c>
      <c r="AH55" s="119">
        <f t="shared" si="10"/>
        <v>-4.5757490560675115E-2</v>
      </c>
      <c r="AI55" s="106">
        <v>24</v>
      </c>
      <c r="AJ55" s="108">
        <f t="shared" si="34"/>
        <v>1.3802112417116059</v>
      </c>
      <c r="AK55" s="106">
        <f t="shared" si="11"/>
        <v>1</v>
      </c>
      <c r="AL55" s="106">
        <f t="shared" si="12"/>
        <v>1</v>
      </c>
      <c r="AM55" s="106">
        <f t="shared" si="13"/>
        <v>0</v>
      </c>
      <c r="AN55" s="106">
        <f t="shared" si="14"/>
        <v>0</v>
      </c>
      <c r="AO55" s="106">
        <f t="shared" si="15"/>
        <v>0</v>
      </c>
      <c r="AP55" s="106">
        <f t="shared" si="16"/>
        <v>0</v>
      </c>
      <c r="AQ55" s="106">
        <f t="shared" si="17"/>
        <v>0</v>
      </c>
      <c r="AR55" s="106">
        <f t="shared" si="18"/>
        <v>0</v>
      </c>
      <c r="AS55" s="106">
        <f t="shared" si="19"/>
        <v>0</v>
      </c>
      <c r="AT55" s="106">
        <f t="shared" si="20"/>
        <v>0</v>
      </c>
      <c r="AU55" s="106">
        <f t="shared" si="21"/>
        <v>0</v>
      </c>
      <c r="AV55" s="106">
        <f t="shared" si="22"/>
        <v>0</v>
      </c>
      <c r="AW55" s="106">
        <f t="shared" si="23"/>
        <v>0</v>
      </c>
      <c r="AX55" s="106">
        <f t="shared" si="24"/>
        <v>0</v>
      </c>
      <c r="AY55" s="106">
        <f t="shared" si="25"/>
        <v>0</v>
      </c>
      <c r="AZ55" s="106">
        <f t="shared" si="26"/>
        <v>0</v>
      </c>
      <c r="BA55" s="107">
        <f t="shared" si="27"/>
        <v>0</v>
      </c>
    </row>
    <row r="56" spans="1:53" x14ac:dyDescent="0.35">
      <c r="A56" s="146">
        <v>36598</v>
      </c>
      <c r="B56" s="108" t="s">
        <v>45</v>
      </c>
      <c r="C56" s="108" t="s">
        <v>102</v>
      </c>
      <c r="D56" s="84">
        <f t="shared" si="0"/>
        <v>0</v>
      </c>
      <c r="E56" s="108" t="s">
        <v>279</v>
      </c>
      <c r="F56" s="84">
        <f t="shared" si="1"/>
        <v>10</v>
      </c>
      <c r="G56" s="108">
        <v>552210000</v>
      </c>
      <c r="H56" s="84">
        <f t="shared" si="2"/>
        <v>8.7421042670361224</v>
      </c>
      <c r="I56" s="146">
        <v>40875</v>
      </c>
      <c r="J56" s="108">
        <v>923276420</v>
      </c>
      <c r="K56" s="148">
        <f t="shared" si="3"/>
        <v>11.717808219178082</v>
      </c>
      <c r="L56" s="148">
        <f t="shared" si="28"/>
        <v>1.0688463858003363</v>
      </c>
      <c r="M56" s="108">
        <v>0</v>
      </c>
      <c r="N56" s="108">
        <f t="shared" si="4"/>
        <v>0</v>
      </c>
      <c r="O56" s="108">
        <v>89</v>
      </c>
      <c r="P56" s="108">
        <f t="shared" si="29"/>
        <v>1.9493900066449128</v>
      </c>
      <c r="Q56" s="65">
        <v>2.95</v>
      </c>
      <c r="R56" s="65">
        <f t="shared" si="30"/>
        <v>0.46982201597816303</v>
      </c>
      <c r="S56" s="155">
        <f t="shared" si="5"/>
        <v>0.67196613607142219</v>
      </c>
      <c r="T56" s="127">
        <f t="shared" si="6"/>
        <v>0.22322747701074128</v>
      </c>
      <c r="U56" s="108">
        <v>1171.498</v>
      </c>
      <c r="V56" s="108">
        <f t="shared" si="7"/>
        <v>3.0687415514991745</v>
      </c>
      <c r="W56" s="108">
        <v>3386.1060000000002</v>
      </c>
      <c r="X56" s="108">
        <f t="shared" si="8"/>
        <v>3.5297005493117593</v>
      </c>
      <c r="Y56" s="126">
        <v>0</v>
      </c>
      <c r="Z56" s="126">
        <f t="shared" si="9"/>
        <v>0</v>
      </c>
      <c r="AA56" s="108">
        <v>85</v>
      </c>
      <c r="AB56" s="108">
        <f t="shared" si="31"/>
        <v>1.9294189257142926</v>
      </c>
      <c r="AC56" s="127">
        <v>28.2</v>
      </c>
      <c r="AD56" s="127">
        <f t="shared" si="32"/>
        <v>1.4502491083193612</v>
      </c>
      <c r="AE56" s="128">
        <v>34.298950279384798</v>
      </c>
      <c r="AF56" s="128">
        <f t="shared" si="33"/>
        <v>1.5352808286478177</v>
      </c>
      <c r="AG56" s="153">
        <v>-0.25</v>
      </c>
      <c r="AH56" s="127">
        <f t="shared" si="10"/>
        <v>-0.12493873660829995</v>
      </c>
      <c r="AI56" s="108">
        <v>24</v>
      </c>
      <c r="AJ56" s="108">
        <f t="shared" si="34"/>
        <v>1.3802112417116059</v>
      </c>
      <c r="AK56" s="108">
        <f t="shared" si="11"/>
        <v>0</v>
      </c>
      <c r="AL56" s="108">
        <f t="shared" si="12"/>
        <v>1</v>
      </c>
      <c r="AM56" s="108">
        <f t="shared" si="13"/>
        <v>0</v>
      </c>
      <c r="AN56" s="108">
        <f t="shared" si="14"/>
        <v>0</v>
      </c>
      <c r="AO56" s="108">
        <f t="shared" si="15"/>
        <v>0</v>
      </c>
      <c r="AP56" s="108">
        <f t="shared" si="16"/>
        <v>0</v>
      </c>
      <c r="AQ56" s="108">
        <f t="shared" si="17"/>
        <v>0</v>
      </c>
      <c r="AR56" s="108">
        <f t="shared" si="18"/>
        <v>0</v>
      </c>
      <c r="AS56" s="108">
        <f t="shared" si="19"/>
        <v>0</v>
      </c>
      <c r="AT56" s="108">
        <f t="shared" si="20"/>
        <v>0</v>
      </c>
      <c r="AU56" s="108">
        <f t="shared" si="21"/>
        <v>0</v>
      </c>
      <c r="AV56" s="108">
        <f t="shared" si="22"/>
        <v>0</v>
      </c>
      <c r="AW56" s="108">
        <f t="shared" si="23"/>
        <v>0</v>
      </c>
      <c r="AX56" s="108">
        <f t="shared" si="24"/>
        <v>0</v>
      </c>
      <c r="AY56" s="108">
        <f t="shared" si="25"/>
        <v>0</v>
      </c>
      <c r="AZ56" s="108">
        <f t="shared" si="26"/>
        <v>0</v>
      </c>
      <c r="BA56" s="109">
        <f t="shared" si="27"/>
        <v>0</v>
      </c>
    </row>
    <row r="57" spans="1:53" x14ac:dyDescent="0.35">
      <c r="A57" s="143">
        <v>36598</v>
      </c>
      <c r="B57" s="106" t="s">
        <v>45</v>
      </c>
      <c r="C57" s="106" t="s">
        <v>47</v>
      </c>
      <c r="D57" s="83">
        <f t="shared" si="0"/>
        <v>0</v>
      </c>
      <c r="E57" s="106" t="s">
        <v>178</v>
      </c>
      <c r="F57" s="83">
        <f t="shared" si="1"/>
        <v>9</v>
      </c>
      <c r="G57" s="106">
        <v>40000000</v>
      </c>
      <c r="H57" s="83">
        <f t="shared" si="2"/>
        <v>7.6020599913279625</v>
      </c>
      <c r="I57" s="143">
        <v>38694</v>
      </c>
      <c r="J57" s="106">
        <v>0</v>
      </c>
      <c r="K57" s="145">
        <f t="shared" si="3"/>
        <v>5.7424657534246579</v>
      </c>
      <c r="L57" s="148">
        <f t="shared" si="28"/>
        <v>0.75909841385521437</v>
      </c>
      <c r="M57" s="106">
        <v>0</v>
      </c>
      <c r="N57" s="106">
        <f t="shared" si="4"/>
        <v>0</v>
      </c>
      <c r="O57" s="106">
        <v>4</v>
      </c>
      <c r="P57" s="108">
        <f t="shared" si="29"/>
        <v>0.6020599913279624</v>
      </c>
      <c r="Q57" s="59">
        <v>2.95</v>
      </c>
      <c r="R57" s="65">
        <f t="shared" si="30"/>
        <v>0.46982201597816303</v>
      </c>
      <c r="S57" s="154">
        <f t="shared" si="5"/>
        <v>-1</v>
      </c>
      <c r="T57" s="119">
        <f t="shared" si="6"/>
        <v>-1</v>
      </c>
      <c r="U57" s="106">
        <v>1246.953</v>
      </c>
      <c r="V57" s="106">
        <f t="shared" si="7"/>
        <v>3.0958500844125241</v>
      </c>
      <c r="W57" s="106">
        <v>3219.7179999999998</v>
      </c>
      <c r="X57" s="106">
        <f t="shared" si="8"/>
        <v>3.5078178355445662</v>
      </c>
      <c r="Y57" s="106">
        <v>0</v>
      </c>
      <c r="Z57" s="118">
        <f t="shared" si="9"/>
        <v>0</v>
      </c>
      <c r="AA57" s="106">
        <v>85</v>
      </c>
      <c r="AB57" s="108">
        <f t="shared" si="31"/>
        <v>1.9294189257142926</v>
      </c>
      <c r="AC57" s="119">
        <v>28.2</v>
      </c>
      <c r="AD57" s="127">
        <f t="shared" si="32"/>
        <v>1.4502491083193612</v>
      </c>
      <c r="AE57" s="120">
        <v>34.298950279384798</v>
      </c>
      <c r="AF57" s="128">
        <f t="shared" si="33"/>
        <v>1.5352808286478177</v>
      </c>
      <c r="AG57" s="152">
        <v>-0.14000000000000001</v>
      </c>
      <c r="AH57" s="119">
        <f t="shared" si="10"/>
        <v>-6.5501548756432285E-2</v>
      </c>
      <c r="AI57" s="106">
        <v>24</v>
      </c>
      <c r="AJ57" s="108">
        <f t="shared" si="34"/>
        <v>1.3802112417116059</v>
      </c>
      <c r="AK57" s="106">
        <f t="shared" si="11"/>
        <v>1</v>
      </c>
      <c r="AL57" s="106">
        <f t="shared" si="12"/>
        <v>1</v>
      </c>
      <c r="AM57" s="106">
        <f t="shared" si="13"/>
        <v>0</v>
      </c>
      <c r="AN57" s="106">
        <f t="shared" si="14"/>
        <v>0</v>
      </c>
      <c r="AO57" s="106">
        <f t="shared" si="15"/>
        <v>0</v>
      </c>
      <c r="AP57" s="106">
        <f t="shared" si="16"/>
        <v>0</v>
      </c>
      <c r="AQ57" s="106">
        <f t="shared" si="17"/>
        <v>0</v>
      </c>
      <c r="AR57" s="106">
        <f t="shared" si="18"/>
        <v>0</v>
      </c>
      <c r="AS57" s="106">
        <f t="shared" si="19"/>
        <v>0</v>
      </c>
      <c r="AT57" s="106">
        <f t="shared" si="20"/>
        <v>0</v>
      </c>
      <c r="AU57" s="106">
        <f t="shared" si="21"/>
        <v>0</v>
      </c>
      <c r="AV57" s="106">
        <f t="shared" si="22"/>
        <v>0</v>
      </c>
      <c r="AW57" s="106">
        <f t="shared" si="23"/>
        <v>0</v>
      </c>
      <c r="AX57" s="106">
        <f t="shared" si="24"/>
        <v>0</v>
      </c>
      <c r="AY57" s="106">
        <f t="shared" si="25"/>
        <v>0</v>
      </c>
      <c r="AZ57" s="106">
        <f t="shared" si="26"/>
        <v>0</v>
      </c>
      <c r="BA57" s="107">
        <f t="shared" si="27"/>
        <v>0</v>
      </c>
    </row>
    <row r="58" spans="1:53" x14ac:dyDescent="0.35">
      <c r="A58" s="146">
        <v>36608</v>
      </c>
      <c r="B58" s="108" t="s">
        <v>45</v>
      </c>
      <c r="C58" s="108" t="s">
        <v>47</v>
      </c>
      <c r="D58" s="84">
        <f t="shared" si="0"/>
        <v>0</v>
      </c>
      <c r="E58" s="108" t="s">
        <v>190</v>
      </c>
      <c r="F58" s="84">
        <f t="shared" si="1"/>
        <v>2</v>
      </c>
      <c r="G58" s="108">
        <v>25000000</v>
      </c>
      <c r="H58" s="84">
        <f t="shared" si="2"/>
        <v>7.3979400086720375</v>
      </c>
      <c r="I58" s="146">
        <v>37014</v>
      </c>
      <c r="J58" s="108">
        <v>0</v>
      </c>
      <c r="K58" s="148">
        <f t="shared" si="3"/>
        <v>1.1123287671232878</v>
      </c>
      <c r="L58" s="148">
        <f t="shared" si="28"/>
        <v>4.6233169120719446E-2</v>
      </c>
      <c r="M58" s="108">
        <v>0</v>
      </c>
      <c r="N58" s="108">
        <f t="shared" si="4"/>
        <v>0</v>
      </c>
      <c r="O58" s="108">
        <v>0</v>
      </c>
      <c r="P58" s="108">
        <f t="shared" si="29"/>
        <v>0</v>
      </c>
      <c r="Q58" s="65">
        <v>2.95</v>
      </c>
      <c r="R58" s="65">
        <f t="shared" si="30"/>
        <v>0.46982201597816303</v>
      </c>
      <c r="S58" s="155">
        <f t="shared" si="5"/>
        <v>-1</v>
      </c>
      <c r="T58" s="127">
        <f t="shared" si="6"/>
        <v>-1</v>
      </c>
      <c r="U58" s="108">
        <v>1421.558</v>
      </c>
      <c r="V58" s="108">
        <f t="shared" si="7"/>
        <v>3.1527645837352773</v>
      </c>
      <c r="W58" s="108">
        <v>3476.3409999999999</v>
      </c>
      <c r="X58" s="108">
        <f t="shared" si="8"/>
        <v>3.5411223705253856</v>
      </c>
      <c r="Y58" s="108">
        <v>0</v>
      </c>
      <c r="Z58" s="126">
        <f t="shared" si="9"/>
        <v>0</v>
      </c>
      <c r="AA58" s="108">
        <v>85</v>
      </c>
      <c r="AB58" s="108">
        <f t="shared" si="31"/>
        <v>1.9294189257142926</v>
      </c>
      <c r="AC58" s="127">
        <v>28.2</v>
      </c>
      <c r="AD58" s="127">
        <f t="shared" si="32"/>
        <v>1.4502491083193612</v>
      </c>
      <c r="AE58" s="128">
        <v>34.298950279384798</v>
      </c>
      <c r="AF58" s="128">
        <f t="shared" si="33"/>
        <v>1.5352808286478177</v>
      </c>
      <c r="AG58" s="153">
        <v>0.67</v>
      </c>
      <c r="AH58" s="127">
        <f t="shared" si="10"/>
        <v>0.22271647114758325</v>
      </c>
      <c r="AI58" s="108">
        <v>31</v>
      </c>
      <c r="AJ58" s="108">
        <f t="shared" si="34"/>
        <v>1.4913616938342726</v>
      </c>
      <c r="AK58" s="108">
        <f t="shared" si="11"/>
        <v>1</v>
      </c>
      <c r="AL58" s="108">
        <f t="shared" si="12"/>
        <v>1</v>
      </c>
      <c r="AM58" s="108">
        <f t="shared" si="13"/>
        <v>0</v>
      </c>
      <c r="AN58" s="108">
        <f t="shared" si="14"/>
        <v>0</v>
      </c>
      <c r="AO58" s="108">
        <f t="shared" si="15"/>
        <v>0</v>
      </c>
      <c r="AP58" s="108">
        <f t="shared" si="16"/>
        <v>0</v>
      </c>
      <c r="AQ58" s="108">
        <f t="shared" si="17"/>
        <v>0</v>
      </c>
      <c r="AR58" s="108">
        <f t="shared" si="18"/>
        <v>0</v>
      </c>
      <c r="AS58" s="108">
        <f t="shared" si="19"/>
        <v>0</v>
      </c>
      <c r="AT58" s="108">
        <f t="shared" si="20"/>
        <v>0</v>
      </c>
      <c r="AU58" s="108">
        <f t="shared" si="21"/>
        <v>0</v>
      </c>
      <c r="AV58" s="108">
        <f t="shared" si="22"/>
        <v>0</v>
      </c>
      <c r="AW58" s="108">
        <f t="shared" si="23"/>
        <v>0</v>
      </c>
      <c r="AX58" s="108">
        <f t="shared" si="24"/>
        <v>0</v>
      </c>
      <c r="AY58" s="108">
        <f t="shared" si="25"/>
        <v>0</v>
      </c>
      <c r="AZ58" s="108">
        <f t="shared" si="26"/>
        <v>0</v>
      </c>
      <c r="BA58" s="109">
        <f t="shared" si="27"/>
        <v>0</v>
      </c>
    </row>
    <row r="59" spans="1:53" x14ac:dyDescent="0.35">
      <c r="A59" s="143">
        <v>36612</v>
      </c>
      <c r="B59" s="106" t="s">
        <v>45</v>
      </c>
      <c r="C59" s="106" t="s">
        <v>47</v>
      </c>
      <c r="D59" s="83">
        <f t="shared" si="0"/>
        <v>0</v>
      </c>
      <c r="E59" s="106" t="s">
        <v>186</v>
      </c>
      <c r="F59" s="83">
        <f t="shared" si="1"/>
        <v>4</v>
      </c>
      <c r="G59" s="106">
        <v>175000000</v>
      </c>
      <c r="H59" s="83">
        <f t="shared" si="2"/>
        <v>8.2430380486862944</v>
      </c>
      <c r="I59" s="143">
        <v>37000</v>
      </c>
      <c r="J59" s="106">
        <v>0</v>
      </c>
      <c r="K59" s="145">
        <f t="shared" si="3"/>
        <v>1.0630136986301371</v>
      </c>
      <c r="L59" s="148">
        <f t="shared" si="28"/>
        <v>2.6538861137732565E-2</v>
      </c>
      <c r="M59" s="106">
        <v>0</v>
      </c>
      <c r="N59" s="106">
        <f t="shared" si="4"/>
        <v>0</v>
      </c>
      <c r="O59" s="106">
        <v>3</v>
      </c>
      <c r="P59" s="108">
        <f t="shared" si="29"/>
        <v>0.47712125471966244</v>
      </c>
      <c r="Q59" s="59">
        <v>2.95</v>
      </c>
      <c r="R59" s="65">
        <f t="shared" si="30"/>
        <v>0.46982201597816303</v>
      </c>
      <c r="S59" s="154">
        <f t="shared" si="5"/>
        <v>-1</v>
      </c>
      <c r="T59" s="119">
        <f t="shared" si="6"/>
        <v>-1</v>
      </c>
      <c r="U59" s="106">
        <v>1455.046</v>
      </c>
      <c r="V59" s="106">
        <f t="shared" si="7"/>
        <v>3.1628767233771686</v>
      </c>
      <c r="W59" s="106">
        <v>4062.5129999999999</v>
      </c>
      <c r="X59" s="106">
        <f t="shared" si="8"/>
        <v>3.6087947637270492</v>
      </c>
      <c r="Y59" s="106">
        <v>0</v>
      </c>
      <c r="Z59" s="118">
        <f t="shared" si="9"/>
        <v>0</v>
      </c>
      <c r="AA59" s="106">
        <v>85</v>
      </c>
      <c r="AB59" s="108">
        <f t="shared" si="31"/>
        <v>1.9294189257142926</v>
      </c>
      <c r="AC59" s="119">
        <v>28.2</v>
      </c>
      <c r="AD59" s="127">
        <f t="shared" si="32"/>
        <v>1.4502491083193612</v>
      </c>
      <c r="AE59" s="120">
        <v>34.298950279384798</v>
      </c>
      <c r="AF59" s="128">
        <f t="shared" si="33"/>
        <v>1.5352808286478177</v>
      </c>
      <c r="AG59" s="152">
        <v>-0.06</v>
      </c>
      <c r="AH59" s="119">
        <f t="shared" si="10"/>
        <v>-2.6872146400301365E-2</v>
      </c>
      <c r="AI59" s="106">
        <v>31</v>
      </c>
      <c r="AJ59" s="108">
        <f t="shared" si="34"/>
        <v>1.4913616938342726</v>
      </c>
      <c r="AK59" s="106">
        <f t="shared" si="11"/>
        <v>1</v>
      </c>
      <c r="AL59" s="106">
        <f t="shared" si="12"/>
        <v>1</v>
      </c>
      <c r="AM59" s="106">
        <f t="shared" si="13"/>
        <v>0</v>
      </c>
      <c r="AN59" s="106">
        <f t="shared" si="14"/>
        <v>0</v>
      </c>
      <c r="AO59" s="106">
        <f t="shared" si="15"/>
        <v>0</v>
      </c>
      <c r="AP59" s="106">
        <f t="shared" si="16"/>
        <v>0</v>
      </c>
      <c r="AQ59" s="106">
        <f t="shared" si="17"/>
        <v>0</v>
      </c>
      <c r="AR59" s="106">
        <f t="shared" si="18"/>
        <v>0</v>
      </c>
      <c r="AS59" s="106">
        <f t="shared" si="19"/>
        <v>0</v>
      </c>
      <c r="AT59" s="106">
        <f t="shared" si="20"/>
        <v>0</v>
      </c>
      <c r="AU59" s="106">
        <f t="shared" si="21"/>
        <v>0</v>
      </c>
      <c r="AV59" s="106">
        <f t="shared" si="22"/>
        <v>0</v>
      </c>
      <c r="AW59" s="106">
        <f t="shared" si="23"/>
        <v>0</v>
      </c>
      <c r="AX59" s="106">
        <f t="shared" si="24"/>
        <v>0</v>
      </c>
      <c r="AY59" s="106">
        <f t="shared" si="25"/>
        <v>0</v>
      </c>
      <c r="AZ59" s="106">
        <f t="shared" si="26"/>
        <v>0</v>
      </c>
      <c r="BA59" s="107">
        <f t="shared" si="27"/>
        <v>0</v>
      </c>
    </row>
    <row r="60" spans="1:53" x14ac:dyDescent="0.35">
      <c r="A60" s="146">
        <v>36685</v>
      </c>
      <c r="B60" s="108" t="s">
        <v>59</v>
      </c>
      <c r="C60" s="108" t="s">
        <v>64</v>
      </c>
      <c r="D60" s="84">
        <f t="shared" si="0"/>
        <v>1</v>
      </c>
      <c r="E60" s="108" t="s">
        <v>245</v>
      </c>
      <c r="F60" s="84">
        <f t="shared" si="1"/>
        <v>6</v>
      </c>
      <c r="G60" s="108">
        <v>60000000</v>
      </c>
      <c r="H60" s="84">
        <f t="shared" si="2"/>
        <v>7.7781512503836439</v>
      </c>
      <c r="I60" s="146">
        <v>37264</v>
      </c>
      <c r="J60" s="108">
        <v>555000000</v>
      </c>
      <c r="K60" s="148">
        <f t="shared" si="3"/>
        <v>1.5863013698630137</v>
      </c>
      <c r="L60" s="148">
        <f t="shared" si="28"/>
        <v>0.2003856992709615</v>
      </c>
      <c r="M60" s="108">
        <v>5897.96</v>
      </c>
      <c r="N60" s="108">
        <f t="shared" si="4"/>
        <v>3.7707754512906644</v>
      </c>
      <c r="O60" s="108">
        <v>12</v>
      </c>
      <c r="P60" s="108">
        <f t="shared" si="29"/>
        <v>1.0791812460476249</v>
      </c>
      <c r="Q60" s="65">
        <v>2.3199999999999998</v>
      </c>
      <c r="R60" s="65">
        <f t="shared" si="30"/>
        <v>0.36548798489089962</v>
      </c>
      <c r="S60" s="155">
        <f t="shared" si="5"/>
        <v>8.25</v>
      </c>
      <c r="T60" s="127">
        <f t="shared" si="6"/>
        <v>0.96614173273903259</v>
      </c>
      <c r="U60" s="108">
        <v>2315.9650000000001</v>
      </c>
      <c r="V60" s="108">
        <f t="shared" si="7"/>
        <v>3.3647319918335836</v>
      </c>
      <c r="W60" s="108">
        <v>3703.9029999999998</v>
      </c>
      <c r="X60" s="108">
        <f t="shared" si="8"/>
        <v>3.568659604598353</v>
      </c>
      <c r="Y60" s="126">
        <v>132</v>
      </c>
      <c r="Z60" s="126">
        <f t="shared" si="9"/>
        <v>2.1238516409670858</v>
      </c>
      <c r="AA60" s="108">
        <v>85</v>
      </c>
      <c r="AB60" s="108">
        <f t="shared" si="31"/>
        <v>1.9294189257142926</v>
      </c>
      <c r="AC60" s="127">
        <v>32.9</v>
      </c>
      <c r="AD60" s="127">
        <f t="shared" si="32"/>
        <v>1.5171958979499742</v>
      </c>
      <c r="AE60" s="128">
        <v>35.433808146393098</v>
      </c>
      <c r="AF60" s="128">
        <f t="shared" si="33"/>
        <v>1.5494178293890581</v>
      </c>
      <c r="AG60" s="153">
        <v>0.79</v>
      </c>
      <c r="AH60" s="127">
        <f t="shared" si="10"/>
        <v>0.2528530309798932</v>
      </c>
      <c r="AI60" s="108">
        <v>35</v>
      </c>
      <c r="AJ60" s="108">
        <f t="shared" si="34"/>
        <v>1.5440680443502757</v>
      </c>
      <c r="AK60" s="108">
        <f t="shared" si="11"/>
        <v>0</v>
      </c>
      <c r="AL60" s="108">
        <f t="shared" si="12"/>
        <v>0</v>
      </c>
      <c r="AM60" s="108">
        <f t="shared" si="13"/>
        <v>1</v>
      </c>
      <c r="AN60" s="108">
        <f t="shared" si="14"/>
        <v>0</v>
      </c>
      <c r="AO60" s="108">
        <f t="shared" si="15"/>
        <v>0</v>
      </c>
      <c r="AP60" s="108">
        <f t="shared" si="16"/>
        <v>0</v>
      </c>
      <c r="AQ60" s="108">
        <f t="shared" si="17"/>
        <v>0</v>
      </c>
      <c r="AR60" s="108">
        <f t="shared" si="18"/>
        <v>0</v>
      </c>
      <c r="AS60" s="108">
        <f t="shared" si="19"/>
        <v>0</v>
      </c>
      <c r="AT60" s="108">
        <f t="shared" si="20"/>
        <v>0</v>
      </c>
      <c r="AU60" s="108">
        <f t="shared" si="21"/>
        <v>0</v>
      </c>
      <c r="AV60" s="108">
        <f t="shared" si="22"/>
        <v>0</v>
      </c>
      <c r="AW60" s="108">
        <f t="shared" si="23"/>
        <v>0</v>
      </c>
      <c r="AX60" s="108">
        <f t="shared" si="24"/>
        <v>0</v>
      </c>
      <c r="AY60" s="108">
        <f t="shared" si="25"/>
        <v>0</v>
      </c>
      <c r="AZ60" s="108">
        <f t="shared" si="26"/>
        <v>0</v>
      </c>
      <c r="BA60" s="109">
        <f t="shared" si="27"/>
        <v>0</v>
      </c>
    </row>
    <row r="61" spans="1:53" x14ac:dyDescent="0.35">
      <c r="A61" s="143">
        <v>36692</v>
      </c>
      <c r="B61" s="106" t="s">
        <v>45</v>
      </c>
      <c r="C61" s="106" t="s">
        <v>47</v>
      </c>
      <c r="D61" s="83">
        <f t="shared" si="0"/>
        <v>0</v>
      </c>
      <c r="E61" s="106" t="s">
        <v>248</v>
      </c>
      <c r="F61" s="83">
        <f t="shared" si="1"/>
        <v>5</v>
      </c>
      <c r="G61" s="106">
        <v>65580000</v>
      </c>
      <c r="H61" s="83">
        <f t="shared" si="2"/>
        <v>7.8167714123333463</v>
      </c>
      <c r="I61" s="143">
        <v>37610</v>
      </c>
      <c r="J61" s="106">
        <v>0</v>
      </c>
      <c r="K61" s="145">
        <f t="shared" si="3"/>
        <v>2.515068493150685</v>
      </c>
      <c r="L61" s="148">
        <f t="shared" si="28"/>
        <v>0.40054981674476775</v>
      </c>
      <c r="M61" s="106">
        <v>0</v>
      </c>
      <c r="N61" s="106">
        <f t="shared" si="4"/>
        <v>0</v>
      </c>
      <c r="O61" s="106">
        <v>11</v>
      </c>
      <c r="P61" s="108">
        <f t="shared" si="29"/>
        <v>1.0413926851582251</v>
      </c>
      <c r="Q61" s="59">
        <v>2.95</v>
      </c>
      <c r="R61" s="65">
        <f t="shared" si="30"/>
        <v>0.46982201597816303</v>
      </c>
      <c r="S61" s="154">
        <f t="shared" si="5"/>
        <v>-1</v>
      </c>
      <c r="T61" s="119">
        <f t="shared" si="6"/>
        <v>-1</v>
      </c>
      <c r="U61" s="106">
        <v>1421.558</v>
      </c>
      <c r="V61" s="106">
        <f t="shared" si="7"/>
        <v>3.1527645837352773</v>
      </c>
      <c r="W61" s="106">
        <v>3476.3409999999999</v>
      </c>
      <c r="X61" s="106">
        <f t="shared" si="8"/>
        <v>3.5411223705253856</v>
      </c>
      <c r="Y61" s="106">
        <v>0</v>
      </c>
      <c r="Z61" s="118">
        <f t="shared" si="9"/>
        <v>0</v>
      </c>
      <c r="AA61" s="106">
        <v>85</v>
      </c>
      <c r="AB61" s="108">
        <f t="shared" si="31"/>
        <v>1.9294189257142926</v>
      </c>
      <c r="AC61" s="119">
        <v>28.2</v>
      </c>
      <c r="AD61" s="127">
        <f t="shared" si="32"/>
        <v>1.4502491083193612</v>
      </c>
      <c r="AE61" s="120">
        <v>34.298950279384798</v>
      </c>
      <c r="AF61" s="128">
        <f t="shared" si="33"/>
        <v>1.5352808286478177</v>
      </c>
      <c r="AG61" s="152">
        <v>0.91</v>
      </c>
      <c r="AH61" s="119">
        <f t="shared" si="10"/>
        <v>0.28103336724772759</v>
      </c>
      <c r="AI61" s="106">
        <v>35</v>
      </c>
      <c r="AJ61" s="108">
        <f t="shared" si="34"/>
        <v>1.5440680443502757</v>
      </c>
      <c r="AK61" s="106">
        <f t="shared" si="11"/>
        <v>1</v>
      </c>
      <c r="AL61" s="106">
        <f t="shared" si="12"/>
        <v>1</v>
      </c>
      <c r="AM61" s="106">
        <f t="shared" si="13"/>
        <v>0</v>
      </c>
      <c r="AN61" s="106">
        <f t="shared" si="14"/>
        <v>0</v>
      </c>
      <c r="AO61" s="106">
        <f t="shared" si="15"/>
        <v>0</v>
      </c>
      <c r="AP61" s="106">
        <f t="shared" si="16"/>
        <v>0</v>
      </c>
      <c r="AQ61" s="106">
        <f t="shared" si="17"/>
        <v>0</v>
      </c>
      <c r="AR61" s="106">
        <f t="shared" si="18"/>
        <v>0</v>
      </c>
      <c r="AS61" s="106">
        <f t="shared" si="19"/>
        <v>0</v>
      </c>
      <c r="AT61" s="106">
        <f t="shared" si="20"/>
        <v>0</v>
      </c>
      <c r="AU61" s="106">
        <f t="shared" si="21"/>
        <v>0</v>
      </c>
      <c r="AV61" s="106">
        <f t="shared" si="22"/>
        <v>0</v>
      </c>
      <c r="AW61" s="106">
        <f t="shared" si="23"/>
        <v>0</v>
      </c>
      <c r="AX61" s="106">
        <f t="shared" si="24"/>
        <v>0</v>
      </c>
      <c r="AY61" s="106">
        <f t="shared" si="25"/>
        <v>0</v>
      </c>
      <c r="AZ61" s="106">
        <f t="shared" si="26"/>
        <v>0</v>
      </c>
      <c r="BA61" s="107">
        <f t="shared" si="27"/>
        <v>0</v>
      </c>
    </row>
    <row r="62" spans="1:53" x14ac:dyDescent="0.35">
      <c r="A62" s="146">
        <v>36705</v>
      </c>
      <c r="B62" s="108" t="s">
        <v>5</v>
      </c>
      <c r="C62" s="108" t="s">
        <v>102</v>
      </c>
      <c r="D62" s="84">
        <f t="shared" si="0"/>
        <v>0</v>
      </c>
      <c r="E62" s="108" t="s">
        <v>235</v>
      </c>
      <c r="F62" s="84">
        <f t="shared" si="1"/>
        <v>1</v>
      </c>
      <c r="G62" s="108">
        <v>157000000</v>
      </c>
      <c r="H62" s="84">
        <f t="shared" si="2"/>
        <v>8.1958996524092331</v>
      </c>
      <c r="I62" s="146">
        <v>37074</v>
      </c>
      <c r="J62" s="108">
        <v>151000000</v>
      </c>
      <c r="K62" s="148">
        <f t="shared" si="3"/>
        <v>1.010958904109589</v>
      </c>
      <c r="L62" s="148">
        <f t="shared" si="28"/>
        <v>4.7335017025856435E-3</v>
      </c>
      <c r="M62" s="108">
        <v>0</v>
      </c>
      <c r="N62" s="108">
        <f t="shared" si="4"/>
        <v>0</v>
      </c>
      <c r="O62" s="108">
        <v>82</v>
      </c>
      <c r="P62" s="108">
        <f t="shared" si="29"/>
        <v>1.9138138523837167</v>
      </c>
      <c r="Q62" s="65">
        <v>3.28</v>
      </c>
      <c r="R62" s="65">
        <f t="shared" si="30"/>
        <v>0.5158738437116791</v>
      </c>
      <c r="S62" s="155">
        <f t="shared" si="5"/>
        <v>-3.8216560509554132E-2</v>
      </c>
      <c r="T62" s="127">
        <f t="shared" si="6"/>
        <v>-1.6922705116064297E-2</v>
      </c>
      <c r="U62" s="108">
        <v>2366.2306777645658</v>
      </c>
      <c r="V62" s="108">
        <f t="shared" si="7"/>
        <v>3.3740570806117947</v>
      </c>
      <c r="W62" s="57">
        <v>9334.126040428062</v>
      </c>
      <c r="X62" s="108">
        <f t="shared" si="8"/>
        <v>3.9700736609473402</v>
      </c>
      <c r="Y62" s="126">
        <v>0</v>
      </c>
      <c r="Z62" s="126">
        <f t="shared" si="9"/>
        <v>0</v>
      </c>
      <c r="AA62" s="108">
        <v>70</v>
      </c>
      <c r="AB62" s="108">
        <f t="shared" si="31"/>
        <v>1.8450980400142569</v>
      </c>
      <c r="AC62" s="127">
        <v>36.9</v>
      </c>
      <c r="AD62" s="127">
        <f t="shared" si="32"/>
        <v>1.5670263661590604</v>
      </c>
      <c r="AE62" s="128">
        <v>42.177001683602199</v>
      </c>
      <c r="AF62" s="128">
        <f t="shared" si="33"/>
        <v>1.6250757029864513</v>
      </c>
      <c r="AG62" s="153">
        <v>0.5</v>
      </c>
      <c r="AH62" s="127">
        <f t="shared" si="10"/>
        <v>0.17609125905568124</v>
      </c>
      <c r="AI62" s="108">
        <v>36</v>
      </c>
      <c r="AJ62" s="108">
        <f t="shared" si="34"/>
        <v>1.5563025007672873</v>
      </c>
      <c r="AK62" s="108">
        <f t="shared" si="11"/>
        <v>0</v>
      </c>
      <c r="AL62" s="108">
        <f t="shared" si="12"/>
        <v>0</v>
      </c>
      <c r="AM62" s="108">
        <f t="shared" si="13"/>
        <v>0</v>
      </c>
      <c r="AN62" s="108">
        <f t="shared" si="14"/>
        <v>0</v>
      </c>
      <c r="AO62" s="108">
        <f t="shared" si="15"/>
        <v>0</v>
      </c>
      <c r="AP62" s="108">
        <f t="shared" si="16"/>
        <v>0</v>
      </c>
      <c r="AQ62" s="108">
        <f t="shared" si="17"/>
        <v>1</v>
      </c>
      <c r="AR62" s="108">
        <f t="shared" si="18"/>
        <v>0</v>
      </c>
      <c r="AS62" s="108">
        <f t="shared" si="19"/>
        <v>0</v>
      </c>
      <c r="AT62" s="108">
        <f t="shared" si="20"/>
        <v>0</v>
      </c>
      <c r="AU62" s="108">
        <f t="shared" si="21"/>
        <v>0</v>
      </c>
      <c r="AV62" s="108">
        <f t="shared" si="22"/>
        <v>0</v>
      </c>
      <c r="AW62" s="108">
        <f t="shared" si="23"/>
        <v>0</v>
      </c>
      <c r="AX62" s="108">
        <f t="shared" si="24"/>
        <v>0</v>
      </c>
      <c r="AY62" s="108">
        <f t="shared" si="25"/>
        <v>0</v>
      </c>
      <c r="AZ62" s="108">
        <f t="shared" si="26"/>
        <v>0</v>
      </c>
      <c r="BA62" s="109">
        <f t="shared" si="27"/>
        <v>0</v>
      </c>
    </row>
    <row r="63" spans="1:53" x14ac:dyDescent="0.35">
      <c r="A63" s="143">
        <v>36709</v>
      </c>
      <c r="B63" s="106" t="s">
        <v>45</v>
      </c>
      <c r="C63" s="106" t="s">
        <v>102</v>
      </c>
      <c r="D63" s="83">
        <f t="shared" si="0"/>
        <v>0</v>
      </c>
      <c r="E63" s="106" t="s">
        <v>186</v>
      </c>
      <c r="F63" s="83">
        <f t="shared" si="1"/>
        <v>4</v>
      </c>
      <c r="G63" s="106">
        <v>59000000</v>
      </c>
      <c r="H63" s="83">
        <f t="shared" si="2"/>
        <v>7.7708520116421438</v>
      </c>
      <c r="I63" s="143">
        <v>37187</v>
      </c>
      <c r="J63" s="106">
        <v>0</v>
      </c>
      <c r="K63" s="145">
        <f t="shared" si="3"/>
        <v>1.3095890410958904</v>
      </c>
      <c r="L63" s="148">
        <f t="shared" si="28"/>
        <v>0.11713503215564416</v>
      </c>
      <c r="M63" s="106">
        <v>0</v>
      </c>
      <c r="N63" s="106">
        <f t="shared" si="4"/>
        <v>0</v>
      </c>
      <c r="O63" s="106">
        <v>3</v>
      </c>
      <c r="P63" s="108">
        <f t="shared" si="29"/>
        <v>0.47712125471966244</v>
      </c>
      <c r="Q63" s="59">
        <v>2.95</v>
      </c>
      <c r="R63" s="65">
        <f t="shared" si="30"/>
        <v>0.46982201597816303</v>
      </c>
      <c r="S63" s="154">
        <f t="shared" si="5"/>
        <v>-1</v>
      </c>
      <c r="T63" s="119">
        <f t="shared" si="6"/>
        <v>-1</v>
      </c>
      <c r="U63" s="106">
        <v>1171.498</v>
      </c>
      <c r="V63" s="106">
        <f t="shared" si="7"/>
        <v>3.0687415514991745</v>
      </c>
      <c r="W63" s="106">
        <v>3386.1060000000002</v>
      </c>
      <c r="X63" s="106">
        <f t="shared" si="8"/>
        <v>3.5297005493117593</v>
      </c>
      <c r="Y63" s="118">
        <v>0</v>
      </c>
      <c r="Z63" s="118">
        <f t="shared" si="9"/>
        <v>0</v>
      </c>
      <c r="AA63" s="106">
        <v>85</v>
      </c>
      <c r="AB63" s="108">
        <f t="shared" si="31"/>
        <v>1.9294189257142926</v>
      </c>
      <c r="AC63" s="119">
        <v>28.2</v>
      </c>
      <c r="AD63" s="127">
        <f t="shared" si="32"/>
        <v>1.4502491083193612</v>
      </c>
      <c r="AE63" s="120">
        <v>34.298950279384798</v>
      </c>
      <c r="AF63" s="128">
        <f t="shared" si="33"/>
        <v>1.5352808286478177</v>
      </c>
      <c r="AG63" s="152">
        <v>0.67</v>
      </c>
      <c r="AH63" s="119">
        <f t="shared" si="10"/>
        <v>0.22271647114758325</v>
      </c>
      <c r="AI63" s="106">
        <v>36</v>
      </c>
      <c r="AJ63" s="108">
        <f t="shared" si="34"/>
        <v>1.5563025007672873</v>
      </c>
      <c r="AK63" s="106">
        <f t="shared" si="11"/>
        <v>1</v>
      </c>
      <c r="AL63" s="106">
        <f t="shared" si="12"/>
        <v>1</v>
      </c>
      <c r="AM63" s="106">
        <f t="shared" si="13"/>
        <v>0</v>
      </c>
      <c r="AN63" s="106">
        <f t="shared" si="14"/>
        <v>0</v>
      </c>
      <c r="AO63" s="106">
        <f t="shared" si="15"/>
        <v>0</v>
      </c>
      <c r="AP63" s="106">
        <f t="shared" si="16"/>
        <v>0</v>
      </c>
      <c r="AQ63" s="106">
        <f t="shared" si="17"/>
        <v>0</v>
      </c>
      <c r="AR63" s="106">
        <f t="shared" si="18"/>
        <v>0</v>
      </c>
      <c r="AS63" s="106">
        <f t="shared" si="19"/>
        <v>0</v>
      </c>
      <c r="AT63" s="106">
        <f t="shared" si="20"/>
        <v>0</v>
      </c>
      <c r="AU63" s="106">
        <f t="shared" si="21"/>
        <v>0</v>
      </c>
      <c r="AV63" s="106">
        <f t="shared" si="22"/>
        <v>0</v>
      </c>
      <c r="AW63" s="106">
        <f t="shared" si="23"/>
        <v>0</v>
      </c>
      <c r="AX63" s="106">
        <f t="shared" si="24"/>
        <v>0</v>
      </c>
      <c r="AY63" s="106">
        <f t="shared" si="25"/>
        <v>0</v>
      </c>
      <c r="AZ63" s="106">
        <f t="shared" si="26"/>
        <v>0</v>
      </c>
      <c r="BA63" s="107">
        <f t="shared" si="27"/>
        <v>0</v>
      </c>
    </row>
    <row r="64" spans="1:53" x14ac:dyDescent="0.35">
      <c r="A64" s="146">
        <v>36739</v>
      </c>
      <c r="B64" s="108" t="s">
        <v>45</v>
      </c>
      <c r="C64" s="108" t="s">
        <v>47</v>
      </c>
      <c r="D64" s="84">
        <f t="shared" si="0"/>
        <v>0</v>
      </c>
      <c r="E64" s="108" t="s">
        <v>178</v>
      </c>
      <c r="F64" s="84">
        <f t="shared" si="1"/>
        <v>9</v>
      </c>
      <c r="G64" s="108">
        <v>36000000</v>
      </c>
      <c r="H64" s="84">
        <f t="shared" si="2"/>
        <v>7.5563025007672868</v>
      </c>
      <c r="I64" s="146">
        <v>37499</v>
      </c>
      <c r="J64" s="108">
        <v>0</v>
      </c>
      <c r="K64" s="148">
        <f t="shared" si="3"/>
        <v>2.0821917808219177</v>
      </c>
      <c r="L64" s="148">
        <f t="shared" si="28"/>
        <v>0.31852072782431662</v>
      </c>
      <c r="M64" s="108">
        <v>0</v>
      </c>
      <c r="N64" s="108">
        <f t="shared" si="4"/>
        <v>0</v>
      </c>
      <c r="O64" s="108">
        <v>0</v>
      </c>
      <c r="P64" s="108">
        <f t="shared" si="29"/>
        <v>0</v>
      </c>
      <c r="Q64" s="65">
        <v>2.95</v>
      </c>
      <c r="R64" s="65">
        <f t="shared" si="30"/>
        <v>0.46982201597816303</v>
      </c>
      <c r="S64" s="155">
        <f t="shared" si="5"/>
        <v>-1</v>
      </c>
      <c r="T64" s="127">
        <f t="shared" si="6"/>
        <v>-1</v>
      </c>
      <c r="U64" s="108">
        <v>1455.046</v>
      </c>
      <c r="V64" s="108">
        <f t="shared" si="7"/>
        <v>3.1628767233771686</v>
      </c>
      <c r="W64" s="108">
        <v>4062.5129999999999</v>
      </c>
      <c r="X64" s="108">
        <f t="shared" si="8"/>
        <v>3.6087947637270492</v>
      </c>
      <c r="Y64" s="108">
        <v>0</v>
      </c>
      <c r="Z64" s="126">
        <f t="shared" si="9"/>
        <v>0</v>
      </c>
      <c r="AA64" s="108">
        <v>85</v>
      </c>
      <c r="AB64" s="108">
        <f t="shared" si="31"/>
        <v>1.9294189257142926</v>
      </c>
      <c r="AC64" s="127">
        <v>28.2</v>
      </c>
      <c r="AD64" s="127">
        <f t="shared" si="32"/>
        <v>1.4502491083193612</v>
      </c>
      <c r="AE64" s="128">
        <v>34.298950279384798</v>
      </c>
      <c r="AF64" s="128">
        <f t="shared" si="33"/>
        <v>1.5352808286478177</v>
      </c>
      <c r="AG64" s="153">
        <v>0.1</v>
      </c>
      <c r="AH64" s="127">
        <f t="shared" si="10"/>
        <v>4.1392685158225077E-2</v>
      </c>
      <c r="AI64" s="108">
        <v>27</v>
      </c>
      <c r="AJ64" s="108">
        <f t="shared" si="34"/>
        <v>1.4313637641589874</v>
      </c>
      <c r="AK64" s="108">
        <f t="shared" si="11"/>
        <v>1</v>
      </c>
      <c r="AL64" s="108">
        <f t="shared" si="12"/>
        <v>1</v>
      </c>
      <c r="AM64" s="108">
        <f t="shared" si="13"/>
        <v>0</v>
      </c>
      <c r="AN64" s="108">
        <f t="shared" si="14"/>
        <v>0</v>
      </c>
      <c r="AO64" s="108">
        <f t="shared" si="15"/>
        <v>0</v>
      </c>
      <c r="AP64" s="108">
        <f t="shared" si="16"/>
        <v>0</v>
      </c>
      <c r="AQ64" s="108">
        <f t="shared" si="17"/>
        <v>0</v>
      </c>
      <c r="AR64" s="108">
        <f t="shared" si="18"/>
        <v>0</v>
      </c>
      <c r="AS64" s="108">
        <f t="shared" si="19"/>
        <v>0</v>
      </c>
      <c r="AT64" s="108">
        <f t="shared" si="20"/>
        <v>0</v>
      </c>
      <c r="AU64" s="108">
        <f t="shared" si="21"/>
        <v>0</v>
      </c>
      <c r="AV64" s="108">
        <f t="shared" si="22"/>
        <v>0</v>
      </c>
      <c r="AW64" s="108">
        <f t="shared" si="23"/>
        <v>0</v>
      </c>
      <c r="AX64" s="108">
        <f t="shared" si="24"/>
        <v>0</v>
      </c>
      <c r="AY64" s="108">
        <f t="shared" si="25"/>
        <v>0</v>
      </c>
      <c r="AZ64" s="108">
        <f t="shared" si="26"/>
        <v>0</v>
      </c>
      <c r="BA64" s="109">
        <f t="shared" si="27"/>
        <v>0</v>
      </c>
    </row>
    <row r="65" spans="1:53" x14ac:dyDescent="0.35">
      <c r="A65" s="143">
        <v>36802</v>
      </c>
      <c r="B65" s="106" t="s">
        <v>45</v>
      </c>
      <c r="C65" s="106" t="s">
        <v>47</v>
      </c>
      <c r="D65" s="83">
        <f t="shared" si="0"/>
        <v>0</v>
      </c>
      <c r="E65" s="106" t="s">
        <v>248</v>
      </c>
      <c r="F65" s="83">
        <f t="shared" si="1"/>
        <v>5</v>
      </c>
      <c r="G65" s="106">
        <v>534330000</v>
      </c>
      <c r="H65" s="83">
        <f t="shared" si="2"/>
        <v>8.727809558365383</v>
      </c>
      <c r="I65" s="143">
        <v>38282</v>
      </c>
      <c r="J65" s="106">
        <v>247300000</v>
      </c>
      <c r="K65" s="145">
        <f t="shared" si="3"/>
        <v>4.0547945205479454</v>
      </c>
      <c r="L65" s="148">
        <f t="shared" si="28"/>
        <v>0.60796885093848274</v>
      </c>
      <c r="M65" s="106">
        <v>0</v>
      </c>
      <c r="N65" s="106">
        <f t="shared" si="4"/>
        <v>0</v>
      </c>
      <c r="O65" s="106">
        <v>35</v>
      </c>
      <c r="P65" s="108">
        <f t="shared" si="29"/>
        <v>1.5440680443502757</v>
      </c>
      <c r="Q65" s="59">
        <v>2.95</v>
      </c>
      <c r="R65" s="65">
        <f t="shared" si="30"/>
        <v>0.46982201597816303</v>
      </c>
      <c r="S65" s="154">
        <f t="shared" si="5"/>
        <v>-0.53717739973424661</v>
      </c>
      <c r="T65" s="119">
        <f t="shared" si="6"/>
        <v>-0.3345854420040863</v>
      </c>
      <c r="U65" s="106">
        <v>1455.046</v>
      </c>
      <c r="V65" s="106">
        <f t="shared" si="7"/>
        <v>3.1628767233771686</v>
      </c>
      <c r="W65" s="106">
        <v>4062.5129999999999</v>
      </c>
      <c r="X65" s="106">
        <f t="shared" si="8"/>
        <v>3.6087947637270492</v>
      </c>
      <c r="Y65" s="106">
        <v>0</v>
      </c>
      <c r="Z65" s="118">
        <f t="shared" si="9"/>
        <v>0</v>
      </c>
      <c r="AA65" s="106">
        <v>85</v>
      </c>
      <c r="AB65" s="108">
        <f t="shared" si="31"/>
        <v>1.9294189257142926</v>
      </c>
      <c r="AC65" s="119">
        <v>28.2</v>
      </c>
      <c r="AD65" s="127">
        <f t="shared" si="32"/>
        <v>1.4502491083193612</v>
      </c>
      <c r="AE65" s="120">
        <v>34.298950279384798</v>
      </c>
      <c r="AF65" s="128">
        <f t="shared" si="33"/>
        <v>1.5352808286478177</v>
      </c>
      <c r="AG65" s="152">
        <v>0.14000000000000001</v>
      </c>
      <c r="AH65" s="119">
        <f t="shared" si="10"/>
        <v>5.6904851336472641E-2</v>
      </c>
      <c r="AI65" s="106">
        <v>22</v>
      </c>
      <c r="AJ65" s="108">
        <f t="shared" si="34"/>
        <v>1.3424226808222062</v>
      </c>
      <c r="AK65" s="106">
        <f t="shared" si="11"/>
        <v>0</v>
      </c>
      <c r="AL65" s="106">
        <f t="shared" si="12"/>
        <v>1</v>
      </c>
      <c r="AM65" s="106">
        <f t="shared" si="13"/>
        <v>0</v>
      </c>
      <c r="AN65" s="106">
        <f t="shared" si="14"/>
        <v>0</v>
      </c>
      <c r="AO65" s="106">
        <f t="shared" si="15"/>
        <v>0</v>
      </c>
      <c r="AP65" s="106">
        <f t="shared" si="16"/>
        <v>0</v>
      </c>
      <c r="AQ65" s="106">
        <f t="shared" si="17"/>
        <v>0</v>
      </c>
      <c r="AR65" s="106">
        <f t="shared" si="18"/>
        <v>0</v>
      </c>
      <c r="AS65" s="106">
        <f t="shared" si="19"/>
        <v>0</v>
      </c>
      <c r="AT65" s="106">
        <f t="shared" si="20"/>
        <v>0</v>
      </c>
      <c r="AU65" s="106">
        <f t="shared" si="21"/>
        <v>0</v>
      </c>
      <c r="AV65" s="106">
        <f t="shared" si="22"/>
        <v>0</v>
      </c>
      <c r="AW65" s="106">
        <f t="shared" si="23"/>
        <v>0</v>
      </c>
      <c r="AX65" s="106">
        <f t="shared" si="24"/>
        <v>0</v>
      </c>
      <c r="AY65" s="106">
        <f t="shared" si="25"/>
        <v>0</v>
      </c>
      <c r="AZ65" s="106">
        <f t="shared" si="26"/>
        <v>0</v>
      </c>
      <c r="BA65" s="107">
        <f t="shared" si="27"/>
        <v>0</v>
      </c>
    </row>
    <row r="66" spans="1:53" x14ac:dyDescent="0.35">
      <c r="A66" s="146">
        <v>36816</v>
      </c>
      <c r="B66" s="108" t="s">
        <v>59</v>
      </c>
      <c r="C66" s="108" t="s">
        <v>47</v>
      </c>
      <c r="D66" s="84">
        <f t="shared" ref="D66:D129" si="35">IF(C66="domestic",0,1)</f>
        <v>0</v>
      </c>
      <c r="E66" s="108" t="s">
        <v>178</v>
      </c>
      <c r="F66" s="84">
        <f t="shared" ref="F66:F129" si="36">IF(E66="Consumer Discretionary",5,IF(E66="Industrials",1,IF(E66="Energy",3,IF(E66="Health Care",2,IF(E66="Communications",4,IF(E66="Financials",6,IF(E66="Consumer Staples",7,IF(E66="Materials",8,IF(E66="Technology",9,IF(E66="Utilities",10,""))))))))))</f>
        <v>9</v>
      </c>
      <c r="G66" s="108">
        <v>2600000000</v>
      </c>
      <c r="H66" s="84">
        <f t="shared" ref="H66:H129" si="37">LOG(G66)</f>
        <v>9.4149733479708182</v>
      </c>
      <c r="I66" s="146">
        <v>38538</v>
      </c>
      <c r="J66" s="108">
        <v>665480000</v>
      </c>
      <c r="K66" s="148">
        <f t="shared" ref="K66:K129" si="38">YEARFRAC(A66,I66,3)</f>
        <v>4.7178082191780826</v>
      </c>
      <c r="L66" s="148">
        <f t="shared" si="28"/>
        <v>0.67374028266116126</v>
      </c>
      <c r="M66" s="108">
        <v>0</v>
      </c>
      <c r="N66" s="108">
        <f t="shared" ref="N66:N129" si="39">LOG(1+M66)</f>
        <v>0</v>
      </c>
      <c r="O66" s="108">
        <v>0</v>
      </c>
      <c r="P66" s="108">
        <f t="shared" si="29"/>
        <v>0</v>
      </c>
      <c r="Q66" s="65">
        <v>3.29</v>
      </c>
      <c r="R66" s="65">
        <f t="shared" si="30"/>
        <v>0.51719589794997434</v>
      </c>
      <c r="S66" s="155">
        <f t="shared" ref="S66:S129" si="40">(J66/G66)-1</f>
        <v>-0.7440461538461538</v>
      </c>
      <c r="T66" s="127">
        <f t="shared" ref="T66:T129" si="41">IF(S66=-1,LOG(0.1),LOG(1+S66))</f>
        <v>-0.59183834003113434</v>
      </c>
      <c r="U66" s="108">
        <v>1861.76</v>
      </c>
      <c r="V66" s="108">
        <f t="shared" ref="V66:V129" si="42">LOG(U66)</f>
        <v>3.2699236952309465</v>
      </c>
      <c r="W66" s="108">
        <v>4993.92</v>
      </c>
      <c r="X66" s="108">
        <f t="shared" ref="X66:X129" si="43">LOG(W66)</f>
        <v>3.6984415808994222</v>
      </c>
      <c r="Y66" s="126">
        <v>0</v>
      </c>
      <c r="Z66" s="126">
        <f t="shared" ref="Z66:Z129" si="44">IF(Y66=0,0,LOG(1+Y66))</f>
        <v>0</v>
      </c>
      <c r="AA66" s="108">
        <v>85</v>
      </c>
      <c r="AB66" s="108">
        <f t="shared" si="31"/>
        <v>1.9294189257142926</v>
      </c>
      <c r="AC66" s="127">
        <v>32.9</v>
      </c>
      <c r="AD66" s="127">
        <f t="shared" si="32"/>
        <v>1.5171958979499742</v>
      </c>
      <c r="AE66" s="128">
        <v>35.433808146393098</v>
      </c>
      <c r="AF66" s="128">
        <f t="shared" si="33"/>
        <v>1.5494178293890581</v>
      </c>
      <c r="AG66" s="153">
        <v>0.12</v>
      </c>
      <c r="AH66" s="127">
        <f t="shared" ref="AH66:AH129" si="45">LOG(1+AG66)</f>
        <v>4.9218022670181653E-2</v>
      </c>
      <c r="AI66" s="108">
        <v>14</v>
      </c>
      <c r="AJ66" s="108">
        <f t="shared" si="34"/>
        <v>1.146128035678238</v>
      </c>
      <c r="AK66" s="108">
        <f t="shared" ref="AK66:AK129" si="46">IF(T66=-1,1,0)</f>
        <v>0</v>
      </c>
      <c r="AL66" s="108">
        <f t="shared" ref="AL66:AL129" si="47">IF($B66="US",1,0)</f>
        <v>0</v>
      </c>
      <c r="AM66" s="108">
        <f t="shared" ref="AM66:AM129" si="48">IF($B66="UK",1,0)</f>
        <v>1</v>
      </c>
      <c r="AN66" s="108">
        <f t="shared" ref="AN66:AN129" si="49">IF($B66="Norway",1,0)</f>
        <v>0</v>
      </c>
      <c r="AO66" s="108">
        <f t="shared" ref="AO66:AO129" si="50">IF($B66="Denmark",1,0)</f>
        <v>0</v>
      </c>
      <c r="AP66" s="108">
        <f t="shared" ref="AP66:AP129" si="51">IF($B66="Sweden",1,0)</f>
        <v>0</v>
      </c>
      <c r="AQ66" s="108">
        <f t="shared" ref="AQ66:AQ129" si="52">IF($B66="Netherlands",1,0)</f>
        <v>0</v>
      </c>
      <c r="AR66" s="108">
        <f t="shared" ref="AR66:AR129" si="53">IF($B66="France",1,0)</f>
        <v>0</v>
      </c>
      <c r="AS66" s="108">
        <f t="shared" ref="AS66:AS129" si="54">IF($B66="Belgium",1,0)</f>
        <v>0</v>
      </c>
      <c r="AT66" s="108">
        <f t="shared" ref="AT66:AT129" si="55">IF($B66="Germany",1,0)</f>
        <v>0</v>
      </c>
      <c r="AU66" s="108">
        <f t="shared" ref="AU66:AU129" si="56">IF($B66="Italy",1,0)</f>
        <v>0</v>
      </c>
      <c r="AV66" s="108">
        <f t="shared" ref="AV66:AV129" si="57">IF($B66="Spain",1,0)</f>
        <v>0</v>
      </c>
      <c r="AW66" s="108">
        <f t="shared" ref="AW66:AW129" si="58">IF($B66="Luxembourg",1,0)</f>
        <v>0</v>
      </c>
      <c r="AX66" s="108">
        <f t="shared" ref="AX66:AX129" si="59">IF($B66="Portugal",1,0)</f>
        <v>0</v>
      </c>
      <c r="AY66" s="108">
        <f t="shared" ref="AY66:AY129" si="60">IF($B66="Switzerland",1,0)</f>
        <v>0</v>
      </c>
      <c r="AZ66" s="108">
        <f t="shared" ref="AZ66:AZ129" si="61">IF($B66="Ireland",1,0)</f>
        <v>0</v>
      </c>
      <c r="BA66" s="109">
        <f t="shared" ref="BA66:BA129" si="62">IF($B66="Finland",1,0)</f>
        <v>0</v>
      </c>
    </row>
    <row r="67" spans="1:53" x14ac:dyDescent="0.35">
      <c r="A67" s="143">
        <v>36843</v>
      </c>
      <c r="B67" s="106" t="s">
        <v>45</v>
      </c>
      <c r="C67" s="106" t="s">
        <v>64</v>
      </c>
      <c r="D67" s="83">
        <f t="shared" si="35"/>
        <v>1</v>
      </c>
      <c r="E67" s="106" t="s">
        <v>186</v>
      </c>
      <c r="F67" s="83">
        <f t="shared" si="36"/>
        <v>4</v>
      </c>
      <c r="G67" s="106">
        <v>30000000</v>
      </c>
      <c r="H67" s="83">
        <f t="shared" si="37"/>
        <v>7.4771212547196626</v>
      </c>
      <c r="I67" s="143">
        <v>37621</v>
      </c>
      <c r="J67" s="106">
        <v>0</v>
      </c>
      <c r="K67" s="145">
        <f t="shared" si="38"/>
        <v>2.1315068493150684</v>
      </c>
      <c r="L67" s="148">
        <f t="shared" ref="L67:L130" si="63">LOG(K67)</f>
        <v>0.32868673253321423</v>
      </c>
      <c r="M67" s="106">
        <v>5897.96</v>
      </c>
      <c r="N67" s="106">
        <f t="shared" si="39"/>
        <v>3.7707754512906644</v>
      </c>
      <c r="O67" s="106">
        <v>18</v>
      </c>
      <c r="P67" s="108">
        <f t="shared" ref="P67:P130" si="64">IF(O67=0,0,LOG(O67))</f>
        <v>1.255272505103306</v>
      </c>
      <c r="Q67" s="59">
        <v>2.3199999999999998</v>
      </c>
      <c r="R67" s="65">
        <f t="shared" ref="R67:R130" si="65">LOG(Q67)</f>
        <v>0.36548798489089962</v>
      </c>
      <c r="S67" s="154">
        <f t="shared" si="40"/>
        <v>-1</v>
      </c>
      <c r="T67" s="119">
        <f t="shared" si="41"/>
        <v>-1</v>
      </c>
      <c r="U67" s="106">
        <v>1669.0315179326171</v>
      </c>
      <c r="V67" s="106">
        <f t="shared" si="42"/>
        <v>3.22246453795844</v>
      </c>
      <c r="W67" s="106">
        <v>5094.7953145755328</v>
      </c>
      <c r="X67" s="106">
        <f t="shared" si="43"/>
        <v>3.7071267407396937</v>
      </c>
      <c r="Y67" s="118">
        <v>132</v>
      </c>
      <c r="Z67" s="118">
        <f t="shared" si="44"/>
        <v>2.1238516409670858</v>
      </c>
      <c r="AA67" s="106">
        <v>85</v>
      </c>
      <c r="AB67" s="108">
        <f t="shared" ref="AB67:AB130" si="66">LOG(AA67)</f>
        <v>1.9294189257142926</v>
      </c>
      <c r="AC67" s="119">
        <v>28.2</v>
      </c>
      <c r="AD67" s="127">
        <f t="shared" ref="AD67:AD130" si="67">LOG(AC67)</f>
        <v>1.4502491083193612</v>
      </c>
      <c r="AE67" s="120">
        <v>34.298950279384798</v>
      </c>
      <c r="AF67" s="128">
        <f t="shared" ref="AF67:AF130" si="68">LOG(AE67)</f>
        <v>1.5352808286478177</v>
      </c>
      <c r="AG67" s="152">
        <v>-0.23</v>
      </c>
      <c r="AH67" s="119">
        <f t="shared" si="45"/>
        <v>-0.11350927482751812</v>
      </c>
      <c r="AI67" s="106">
        <v>9</v>
      </c>
      <c r="AJ67" s="108">
        <f t="shared" ref="AJ67:AJ130" si="69">LOG(AI67)</f>
        <v>0.95424250943932487</v>
      </c>
      <c r="AK67" s="106">
        <f t="shared" si="46"/>
        <v>1</v>
      </c>
      <c r="AL67" s="106">
        <f t="shared" si="47"/>
        <v>1</v>
      </c>
      <c r="AM67" s="106">
        <f t="shared" si="48"/>
        <v>0</v>
      </c>
      <c r="AN67" s="106">
        <f t="shared" si="49"/>
        <v>0</v>
      </c>
      <c r="AO67" s="106">
        <f t="shared" si="50"/>
        <v>0</v>
      </c>
      <c r="AP67" s="106">
        <f t="shared" si="51"/>
        <v>0</v>
      </c>
      <c r="AQ67" s="106">
        <f t="shared" si="52"/>
        <v>0</v>
      </c>
      <c r="AR67" s="106">
        <f t="shared" si="53"/>
        <v>0</v>
      </c>
      <c r="AS67" s="106">
        <f t="shared" si="54"/>
        <v>0</v>
      </c>
      <c r="AT67" s="106">
        <f t="shared" si="55"/>
        <v>0</v>
      </c>
      <c r="AU67" s="106">
        <f t="shared" si="56"/>
        <v>0</v>
      </c>
      <c r="AV67" s="106">
        <f t="shared" si="57"/>
        <v>0</v>
      </c>
      <c r="AW67" s="106">
        <f t="shared" si="58"/>
        <v>0</v>
      </c>
      <c r="AX67" s="106">
        <f t="shared" si="59"/>
        <v>0</v>
      </c>
      <c r="AY67" s="106">
        <f t="shared" si="60"/>
        <v>0</v>
      </c>
      <c r="AZ67" s="106">
        <f t="shared" si="61"/>
        <v>0</v>
      </c>
      <c r="BA67" s="107">
        <f t="shared" si="62"/>
        <v>0</v>
      </c>
    </row>
    <row r="68" spans="1:53" x14ac:dyDescent="0.35">
      <c r="A68" s="146">
        <v>36857</v>
      </c>
      <c r="B68" s="108" t="s">
        <v>59</v>
      </c>
      <c r="C68" s="108" t="s">
        <v>102</v>
      </c>
      <c r="D68" s="84">
        <f t="shared" si="35"/>
        <v>0</v>
      </c>
      <c r="E68" s="108" t="s">
        <v>178</v>
      </c>
      <c r="F68" s="84">
        <f t="shared" si="36"/>
        <v>9</v>
      </c>
      <c r="G68" s="108">
        <v>10000000</v>
      </c>
      <c r="H68" s="84">
        <f t="shared" si="37"/>
        <v>7</v>
      </c>
      <c r="I68" s="146">
        <v>37986</v>
      </c>
      <c r="J68" s="108">
        <v>1720000</v>
      </c>
      <c r="K68" s="148">
        <f t="shared" si="38"/>
        <v>3.0931506849315067</v>
      </c>
      <c r="L68" s="148">
        <f t="shared" si="63"/>
        <v>0.49040107746849315</v>
      </c>
      <c r="M68" s="108">
        <v>0</v>
      </c>
      <c r="N68" s="108">
        <f t="shared" si="39"/>
        <v>0</v>
      </c>
      <c r="O68" s="108">
        <v>6</v>
      </c>
      <c r="P68" s="108">
        <f t="shared" si="64"/>
        <v>0.77815125038364363</v>
      </c>
      <c r="Q68" s="65">
        <v>3.29</v>
      </c>
      <c r="R68" s="65">
        <f t="shared" si="65"/>
        <v>0.51719589794997434</v>
      </c>
      <c r="S68" s="155">
        <f t="shared" si="40"/>
        <v>-0.82800000000000007</v>
      </c>
      <c r="T68" s="127">
        <f t="shared" si="41"/>
        <v>-0.76447155309245129</v>
      </c>
      <c r="U68" s="108">
        <v>1581.451</v>
      </c>
      <c r="V68" s="108">
        <f t="shared" si="42"/>
        <v>3.1990557401914899</v>
      </c>
      <c r="W68" s="108">
        <v>6004.7560000000003</v>
      </c>
      <c r="X68" s="108">
        <f t="shared" si="43"/>
        <v>3.7784953647769717</v>
      </c>
      <c r="Y68" s="126">
        <v>0</v>
      </c>
      <c r="Z68" s="126">
        <f t="shared" si="44"/>
        <v>0</v>
      </c>
      <c r="AA68" s="108">
        <v>85</v>
      </c>
      <c r="AB68" s="108">
        <f t="shared" si="66"/>
        <v>1.9294189257142926</v>
      </c>
      <c r="AC68" s="127">
        <v>32.9</v>
      </c>
      <c r="AD68" s="127">
        <f t="shared" si="67"/>
        <v>1.5171958979499742</v>
      </c>
      <c r="AE68" s="128">
        <v>35.433808146393098</v>
      </c>
      <c r="AF68" s="128">
        <f t="shared" si="68"/>
        <v>1.5494178293890581</v>
      </c>
      <c r="AG68" s="153">
        <v>0.15</v>
      </c>
      <c r="AH68" s="127">
        <f t="shared" si="45"/>
        <v>6.069784035361165E-2</v>
      </c>
      <c r="AI68" s="108">
        <v>7</v>
      </c>
      <c r="AJ68" s="108">
        <f t="shared" si="69"/>
        <v>0.84509804001425681</v>
      </c>
      <c r="AK68" s="108">
        <f t="shared" si="46"/>
        <v>0</v>
      </c>
      <c r="AL68" s="108">
        <f t="shared" si="47"/>
        <v>0</v>
      </c>
      <c r="AM68" s="108">
        <f t="shared" si="48"/>
        <v>1</v>
      </c>
      <c r="AN68" s="108">
        <f t="shared" si="49"/>
        <v>0</v>
      </c>
      <c r="AO68" s="108">
        <f t="shared" si="50"/>
        <v>0</v>
      </c>
      <c r="AP68" s="108">
        <f t="shared" si="51"/>
        <v>0</v>
      </c>
      <c r="AQ68" s="108">
        <f t="shared" si="52"/>
        <v>0</v>
      </c>
      <c r="AR68" s="108">
        <f t="shared" si="53"/>
        <v>0</v>
      </c>
      <c r="AS68" s="108">
        <f t="shared" si="54"/>
        <v>0</v>
      </c>
      <c r="AT68" s="108">
        <f t="shared" si="55"/>
        <v>0</v>
      </c>
      <c r="AU68" s="108">
        <f t="shared" si="56"/>
        <v>0</v>
      </c>
      <c r="AV68" s="108">
        <f t="shared" si="57"/>
        <v>0</v>
      </c>
      <c r="AW68" s="108">
        <f t="shared" si="58"/>
        <v>0</v>
      </c>
      <c r="AX68" s="108">
        <f t="shared" si="59"/>
        <v>0</v>
      </c>
      <c r="AY68" s="108">
        <f t="shared" si="60"/>
        <v>0</v>
      </c>
      <c r="AZ68" s="108">
        <f t="shared" si="61"/>
        <v>0</v>
      </c>
      <c r="BA68" s="109">
        <f t="shared" si="62"/>
        <v>0</v>
      </c>
    </row>
    <row r="69" spans="1:53" x14ac:dyDescent="0.35">
      <c r="A69" s="143">
        <v>36857</v>
      </c>
      <c r="B69" s="106" t="s">
        <v>163</v>
      </c>
      <c r="C69" s="106" t="s">
        <v>64</v>
      </c>
      <c r="D69" s="83">
        <f t="shared" si="35"/>
        <v>1</v>
      </c>
      <c r="E69" s="106" t="s">
        <v>326</v>
      </c>
      <c r="F69" s="83">
        <f t="shared" si="36"/>
        <v>8</v>
      </c>
      <c r="G69" s="106">
        <v>800000000</v>
      </c>
      <c r="H69" s="83">
        <f t="shared" si="37"/>
        <v>8.9030899869919438</v>
      </c>
      <c r="I69" s="143">
        <v>37894</v>
      </c>
      <c r="J69" s="106">
        <v>210000000</v>
      </c>
      <c r="K69" s="145">
        <f t="shared" si="38"/>
        <v>2.8410958904109589</v>
      </c>
      <c r="L69" s="148">
        <f t="shared" si="63"/>
        <v>0.45348589193256628</v>
      </c>
      <c r="M69" s="106">
        <v>342.74</v>
      </c>
      <c r="N69" s="106">
        <f t="shared" si="39"/>
        <v>2.5362300726332561</v>
      </c>
      <c r="O69" s="106">
        <v>14</v>
      </c>
      <c r="P69" s="108">
        <f t="shared" si="64"/>
        <v>1.146128035678238</v>
      </c>
      <c r="Q69" s="59">
        <v>2.3199999999999998</v>
      </c>
      <c r="R69" s="65">
        <f t="shared" si="65"/>
        <v>0.36548798489089962</v>
      </c>
      <c r="S69" s="154">
        <f t="shared" si="40"/>
        <v>-0.73750000000000004</v>
      </c>
      <c r="T69" s="119">
        <f t="shared" si="41"/>
        <v>-0.58087069225802435</v>
      </c>
      <c r="U69" s="106">
        <v>1669.0315179326171</v>
      </c>
      <c r="V69" s="106">
        <f t="shared" si="42"/>
        <v>3.22246453795844</v>
      </c>
      <c r="W69" s="106">
        <v>5094.7953145755328</v>
      </c>
      <c r="X69" s="106">
        <f t="shared" si="43"/>
        <v>3.7071267407396937</v>
      </c>
      <c r="Y69" s="118">
        <v>569.16666666666697</v>
      </c>
      <c r="Z69" s="118">
        <f t="shared" si="44"/>
        <v>2.756001823801419</v>
      </c>
      <c r="AA69" s="106">
        <v>70</v>
      </c>
      <c r="AB69" s="108">
        <f t="shared" si="66"/>
        <v>1.8450980400142569</v>
      </c>
      <c r="AC69" s="119">
        <v>43.4</v>
      </c>
      <c r="AD69" s="127">
        <f t="shared" si="67"/>
        <v>1.6374897295125106</v>
      </c>
      <c r="AE69" s="120">
        <v>51.652289181886701</v>
      </c>
      <c r="AF69" s="128">
        <f t="shared" si="68"/>
        <v>1.7130895738136374</v>
      </c>
      <c r="AG69" s="152">
        <v>0.31</v>
      </c>
      <c r="AH69" s="119">
        <f t="shared" si="45"/>
        <v>0.11727129565576427</v>
      </c>
      <c r="AI69" s="106">
        <v>31</v>
      </c>
      <c r="AJ69" s="108">
        <f t="shared" si="69"/>
        <v>1.4913616938342726</v>
      </c>
      <c r="AK69" s="106">
        <f t="shared" si="46"/>
        <v>0</v>
      </c>
      <c r="AL69" s="106">
        <f t="shared" si="47"/>
        <v>0</v>
      </c>
      <c r="AM69" s="106">
        <f t="shared" si="48"/>
        <v>0</v>
      </c>
      <c r="AN69" s="106">
        <f t="shared" si="49"/>
        <v>0</v>
      </c>
      <c r="AO69" s="106">
        <f t="shared" si="50"/>
        <v>0</v>
      </c>
      <c r="AP69" s="106">
        <f t="shared" si="51"/>
        <v>0</v>
      </c>
      <c r="AQ69" s="106">
        <f t="shared" si="52"/>
        <v>0</v>
      </c>
      <c r="AR69" s="106">
        <f t="shared" si="53"/>
        <v>1</v>
      </c>
      <c r="AS69" s="106">
        <f t="shared" si="54"/>
        <v>0</v>
      </c>
      <c r="AT69" s="106">
        <f t="shared" si="55"/>
        <v>0</v>
      </c>
      <c r="AU69" s="106">
        <f t="shared" si="56"/>
        <v>0</v>
      </c>
      <c r="AV69" s="106">
        <f t="shared" si="57"/>
        <v>0</v>
      </c>
      <c r="AW69" s="106">
        <f t="shared" si="58"/>
        <v>0</v>
      </c>
      <c r="AX69" s="106">
        <f t="shared" si="59"/>
        <v>0</v>
      </c>
      <c r="AY69" s="106">
        <f t="shared" si="60"/>
        <v>0</v>
      </c>
      <c r="AZ69" s="106">
        <f t="shared" si="61"/>
        <v>0</v>
      </c>
      <c r="BA69" s="107">
        <f t="shared" si="62"/>
        <v>0</v>
      </c>
    </row>
    <row r="70" spans="1:53" x14ac:dyDescent="0.35">
      <c r="A70" s="146">
        <v>36867</v>
      </c>
      <c r="B70" s="108" t="s">
        <v>434</v>
      </c>
      <c r="C70" s="108" t="s">
        <v>64</v>
      </c>
      <c r="D70" s="84">
        <f t="shared" si="35"/>
        <v>1</v>
      </c>
      <c r="E70" s="108" t="s">
        <v>178</v>
      </c>
      <c r="F70" s="84">
        <f t="shared" si="36"/>
        <v>9</v>
      </c>
      <c r="G70" s="108">
        <v>1000000000</v>
      </c>
      <c r="H70" s="84">
        <f t="shared" si="37"/>
        <v>9</v>
      </c>
      <c r="I70" s="146">
        <v>43084</v>
      </c>
      <c r="J70" s="108">
        <v>25000000</v>
      </c>
      <c r="K70" s="148">
        <f t="shared" si="38"/>
        <v>17.032876712328768</v>
      </c>
      <c r="L70" s="148">
        <f t="shared" si="63"/>
        <v>1.2312880029116811</v>
      </c>
      <c r="M70" s="108">
        <v>7216.98</v>
      </c>
      <c r="N70" s="108">
        <f t="shared" si="39"/>
        <v>3.8584156743566731</v>
      </c>
      <c r="O70" s="108">
        <v>79</v>
      </c>
      <c r="P70" s="108">
        <f t="shared" si="64"/>
        <v>1.8976270912904414</v>
      </c>
      <c r="Q70" s="65">
        <v>2.66</v>
      </c>
      <c r="R70" s="65">
        <f t="shared" si="65"/>
        <v>0.42488163663106698</v>
      </c>
      <c r="S70" s="155">
        <f t="shared" si="40"/>
        <v>-0.97499999999999998</v>
      </c>
      <c r="T70" s="127">
        <f t="shared" si="41"/>
        <v>-1.6020599913279621</v>
      </c>
      <c r="U70" s="108">
        <v>2030.3304662743317</v>
      </c>
      <c r="V70" s="108">
        <f t="shared" si="42"/>
        <v>3.3075667315086759</v>
      </c>
      <c r="W70" s="108">
        <v>6774.5586238116803</v>
      </c>
      <c r="X70" s="108">
        <f t="shared" si="43"/>
        <v>3.8308810053047755</v>
      </c>
      <c r="Y70" s="126">
        <v>649.83333333333303</v>
      </c>
      <c r="Z70" s="126">
        <f t="shared" si="44"/>
        <v>2.8134697878296753</v>
      </c>
      <c r="AA70" s="108">
        <v>70</v>
      </c>
      <c r="AB70" s="108">
        <f t="shared" si="66"/>
        <v>1.8450980400142569</v>
      </c>
      <c r="AC70" s="127">
        <v>40.57</v>
      </c>
      <c r="AD70" s="127">
        <f t="shared" si="67"/>
        <v>1.6082050077043262</v>
      </c>
      <c r="AE70" s="128">
        <v>46.612741748887998</v>
      </c>
      <c r="AF70" s="128">
        <f t="shared" si="68"/>
        <v>1.6685046487680937</v>
      </c>
      <c r="AG70" s="153">
        <v>0.24</v>
      </c>
      <c r="AH70" s="127">
        <f t="shared" si="45"/>
        <v>9.3421685162235063E-2</v>
      </c>
      <c r="AI70" s="108">
        <v>21</v>
      </c>
      <c r="AJ70" s="108">
        <f t="shared" si="69"/>
        <v>1.3222192947339193</v>
      </c>
      <c r="AK70" s="108">
        <f t="shared" si="46"/>
        <v>0</v>
      </c>
      <c r="AL70" s="108">
        <f t="shared" si="47"/>
        <v>0</v>
      </c>
      <c r="AM70" s="108">
        <f t="shared" si="48"/>
        <v>0</v>
      </c>
      <c r="AN70" s="108">
        <f t="shared" si="49"/>
        <v>0</v>
      </c>
      <c r="AO70" s="108">
        <f t="shared" si="50"/>
        <v>0</v>
      </c>
      <c r="AP70" s="108">
        <f t="shared" si="51"/>
        <v>0</v>
      </c>
      <c r="AQ70" s="108">
        <f t="shared" si="52"/>
        <v>0</v>
      </c>
      <c r="AR70" s="108">
        <f t="shared" si="53"/>
        <v>0</v>
      </c>
      <c r="AS70" s="108">
        <f t="shared" si="54"/>
        <v>0</v>
      </c>
      <c r="AT70" s="108">
        <f t="shared" si="55"/>
        <v>0</v>
      </c>
      <c r="AU70" s="108">
        <f t="shared" si="56"/>
        <v>1</v>
      </c>
      <c r="AV70" s="108">
        <f t="shared" si="57"/>
        <v>0</v>
      </c>
      <c r="AW70" s="108">
        <f t="shared" si="58"/>
        <v>0</v>
      </c>
      <c r="AX70" s="108">
        <f t="shared" si="59"/>
        <v>0</v>
      </c>
      <c r="AY70" s="108">
        <f t="shared" si="60"/>
        <v>0</v>
      </c>
      <c r="AZ70" s="108">
        <f t="shared" si="61"/>
        <v>0</v>
      </c>
      <c r="BA70" s="109">
        <f t="shared" si="62"/>
        <v>0</v>
      </c>
    </row>
    <row r="71" spans="1:53" x14ac:dyDescent="0.35">
      <c r="A71" s="143">
        <v>36882</v>
      </c>
      <c r="B71" s="106" t="s">
        <v>59</v>
      </c>
      <c r="C71" s="106" t="s">
        <v>47</v>
      </c>
      <c r="D71" s="83">
        <f t="shared" si="35"/>
        <v>0</v>
      </c>
      <c r="E71" s="106" t="s">
        <v>248</v>
      </c>
      <c r="F71" s="83">
        <f t="shared" si="36"/>
        <v>5</v>
      </c>
      <c r="G71" s="106">
        <v>750000000</v>
      </c>
      <c r="H71" s="83">
        <f t="shared" si="37"/>
        <v>8.8750612633917001</v>
      </c>
      <c r="I71" s="143">
        <v>37610</v>
      </c>
      <c r="J71" s="106">
        <v>738000000</v>
      </c>
      <c r="K71" s="145">
        <f t="shared" si="38"/>
        <v>1.9945205479452055</v>
      </c>
      <c r="L71" s="148">
        <f t="shared" si="63"/>
        <v>0.29983851485656249</v>
      </c>
      <c r="M71" s="106">
        <v>0</v>
      </c>
      <c r="N71" s="106">
        <f t="shared" si="39"/>
        <v>0</v>
      </c>
      <c r="O71" s="106">
        <v>21</v>
      </c>
      <c r="P71" s="108">
        <f t="shared" si="64"/>
        <v>1.3222192947339193</v>
      </c>
      <c r="Q71" s="59">
        <v>3.29</v>
      </c>
      <c r="R71" s="65">
        <f t="shared" si="65"/>
        <v>0.51719589794997434</v>
      </c>
      <c r="S71" s="154">
        <f t="shared" si="40"/>
        <v>-1.6000000000000014E-2</v>
      </c>
      <c r="T71" s="119">
        <f t="shared" si="41"/>
        <v>-7.0049015686584892E-3</v>
      </c>
      <c r="U71" s="106">
        <v>1861.76</v>
      </c>
      <c r="V71" s="106">
        <f t="shared" si="42"/>
        <v>3.2699236952309465</v>
      </c>
      <c r="W71" s="106">
        <v>4993.92</v>
      </c>
      <c r="X71" s="106">
        <f t="shared" si="43"/>
        <v>3.6984415808994222</v>
      </c>
      <c r="Y71" s="118">
        <v>0</v>
      </c>
      <c r="Z71" s="118">
        <f t="shared" si="44"/>
        <v>0</v>
      </c>
      <c r="AA71" s="106">
        <v>85</v>
      </c>
      <c r="AB71" s="108">
        <f t="shared" si="66"/>
        <v>1.9294189257142926</v>
      </c>
      <c r="AC71" s="119">
        <v>32.9</v>
      </c>
      <c r="AD71" s="127">
        <f t="shared" si="67"/>
        <v>1.5171958979499742</v>
      </c>
      <c r="AE71" s="120">
        <v>35.433808146393098</v>
      </c>
      <c r="AF71" s="128">
        <f t="shared" si="68"/>
        <v>1.5494178293890581</v>
      </c>
      <c r="AG71" s="152">
        <v>0.11</v>
      </c>
      <c r="AH71" s="119">
        <f t="shared" si="45"/>
        <v>4.5322978786657475E-2</v>
      </c>
      <c r="AI71" s="106">
        <v>20</v>
      </c>
      <c r="AJ71" s="108">
        <f t="shared" si="69"/>
        <v>1.3010299956639813</v>
      </c>
      <c r="AK71" s="106">
        <f t="shared" si="46"/>
        <v>0</v>
      </c>
      <c r="AL71" s="106">
        <f t="shared" si="47"/>
        <v>0</v>
      </c>
      <c r="AM71" s="106">
        <f t="shared" si="48"/>
        <v>1</v>
      </c>
      <c r="AN71" s="106">
        <f t="shared" si="49"/>
        <v>0</v>
      </c>
      <c r="AO71" s="106">
        <f t="shared" si="50"/>
        <v>0</v>
      </c>
      <c r="AP71" s="106">
        <f t="shared" si="51"/>
        <v>0</v>
      </c>
      <c r="AQ71" s="106">
        <f t="shared" si="52"/>
        <v>0</v>
      </c>
      <c r="AR71" s="106">
        <f t="shared" si="53"/>
        <v>0</v>
      </c>
      <c r="AS71" s="106">
        <f t="shared" si="54"/>
        <v>0</v>
      </c>
      <c r="AT71" s="106">
        <f t="shared" si="55"/>
        <v>0</v>
      </c>
      <c r="AU71" s="106">
        <f t="shared" si="56"/>
        <v>0</v>
      </c>
      <c r="AV71" s="106">
        <f t="shared" si="57"/>
        <v>0</v>
      </c>
      <c r="AW71" s="106">
        <f t="shared" si="58"/>
        <v>0</v>
      </c>
      <c r="AX71" s="106">
        <f t="shared" si="59"/>
        <v>0</v>
      </c>
      <c r="AY71" s="106">
        <f t="shared" si="60"/>
        <v>0</v>
      </c>
      <c r="AZ71" s="106">
        <f t="shared" si="61"/>
        <v>0</v>
      </c>
      <c r="BA71" s="107">
        <f t="shared" si="62"/>
        <v>0</v>
      </c>
    </row>
    <row r="72" spans="1:53" x14ac:dyDescent="0.35">
      <c r="A72" s="146">
        <v>36891</v>
      </c>
      <c r="B72" s="108" t="s">
        <v>2</v>
      </c>
      <c r="C72" s="108" t="s">
        <v>64</v>
      </c>
      <c r="D72" s="84">
        <f t="shared" si="35"/>
        <v>1</v>
      </c>
      <c r="E72" s="108" t="s">
        <v>190</v>
      </c>
      <c r="F72" s="84">
        <f t="shared" si="36"/>
        <v>2</v>
      </c>
      <c r="G72" s="108">
        <v>137000000</v>
      </c>
      <c r="H72" s="84">
        <f t="shared" si="37"/>
        <v>8.1367205671564076</v>
      </c>
      <c r="I72" s="146">
        <v>37924</v>
      </c>
      <c r="J72" s="108">
        <v>287230000</v>
      </c>
      <c r="K72" s="148">
        <f t="shared" si="38"/>
        <v>2.8301369863013699</v>
      </c>
      <c r="L72" s="148">
        <f t="shared" si="63"/>
        <v>0.4518074570631459</v>
      </c>
      <c r="M72" s="108">
        <v>917.19</v>
      </c>
      <c r="N72" s="108">
        <f t="shared" si="39"/>
        <v>2.9629325585580042</v>
      </c>
      <c r="O72" s="108">
        <v>3</v>
      </c>
      <c r="P72" s="108">
        <f t="shared" si="64"/>
        <v>0.47712125471966244</v>
      </c>
      <c r="Q72" s="65">
        <v>2.62</v>
      </c>
      <c r="R72" s="65">
        <f t="shared" si="65"/>
        <v>0.41830129131974547</v>
      </c>
      <c r="S72" s="155">
        <f t="shared" si="40"/>
        <v>1.0965693430656933</v>
      </c>
      <c r="T72" s="127">
        <f t="shared" si="41"/>
        <v>0.32150923106716078</v>
      </c>
      <c r="U72" s="108">
        <v>1861.7599999999995</v>
      </c>
      <c r="V72" s="108">
        <f t="shared" si="42"/>
        <v>3.2699236952309461</v>
      </c>
      <c r="W72" s="108">
        <v>4993.920000000001</v>
      </c>
      <c r="X72" s="108">
        <f t="shared" si="43"/>
        <v>3.6984415808994222</v>
      </c>
      <c r="Y72" s="126">
        <v>854.66666666666697</v>
      </c>
      <c r="Z72" s="126">
        <f t="shared" si="44"/>
        <v>2.9323046139517812</v>
      </c>
      <c r="AA72" s="108">
        <v>70</v>
      </c>
      <c r="AB72" s="108">
        <f t="shared" si="66"/>
        <v>1.8450980400142569</v>
      </c>
      <c r="AC72" s="127">
        <v>36.200000000000003</v>
      </c>
      <c r="AD72" s="127">
        <f t="shared" si="67"/>
        <v>1.5587085705331658</v>
      </c>
      <c r="AE72" s="128">
        <v>44.748733746598099</v>
      </c>
      <c r="AF72" s="128">
        <f t="shared" si="68"/>
        <v>1.6507807506095689</v>
      </c>
      <c r="AG72" s="153">
        <v>7.0000000000000007E-2</v>
      </c>
      <c r="AH72" s="127">
        <f t="shared" si="45"/>
        <v>2.9383777685209667E-2</v>
      </c>
      <c r="AI72" s="108">
        <v>12</v>
      </c>
      <c r="AJ72" s="108">
        <f t="shared" si="69"/>
        <v>1.0791812460476249</v>
      </c>
      <c r="AK72" s="108">
        <f t="shared" si="46"/>
        <v>0</v>
      </c>
      <c r="AL72" s="108">
        <f t="shared" si="47"/>
        <v>0</v>
      </c>
      <c r="AM72" s="108">
        <f t="shared" si="48"/>
        <v>0</v>
      </c>
      <c r="AN72" s="108">
        <f t="shared" si="49"/>
        <v>0</v>
      </c>
      <c r="AO72" s="108">
        <f t="shared" si="50"/>
        <v>0</v>
      </c>
      <c r="AP72" s="108">
        <f t="shared" si="51"/>
        <v>0</v>
      </c>
      <c r="AQ72" s="108">
        <f t="shared" si="52"/>
        <v>0</v>
      </c>
      <c r="AR72" s="108">
        <f t="shared" si="53"/>
        <v>0</v>
      </c>
      <c r="AS72" s="108">
        <f t="shared" si="54"/>
        <v>0</v>
      </c>
      <c r="AT72" s="108">
        <f t="shared" si="55"/>
        <v>1</v>
      </c>
      <c r="AU72" s="108">
        <f t="shared" si="56"/>
        <v>0</v>
      </c>
      <c r="AV72" s="108">
        <f t="shared" si="57"/>
        <v>0</v>
      </c>
      <c r="AW72" s="108">
        <f t="shared" si="58"/>
        <v>0</v>
      </c>
      <c r="AX72" s="108">
        <f t="shared" si="59"/>
        <v>0</v>
      </c>
      <c r="AY72" s="108">
        <f t="shared" si="60"/>
        <v>0</v>
      </c>
      <c r="AZ72" s="108">
        <f t="shared" si="61"/>
        <v>0</v>
      </c>
      <c r="BA72" s="109">
        <f t="shared" si="62"/>
        <v>0</v>
      </c>
    </row>
    <row r="73" spans="1:53" x14ac:dyDescent="0.35">
      <c r="A73" s="143">
        <v>36899</v>
      </c>
      <c r="B73" s="106" t="s">
        <v>4</v>
      </c>
      <c r="C73" s="106" t="s">
        <v>102</v>
      </c>
      <c r="D73" s="83">
        <f t="shared" si="35"/>
        <v>0</v>
      </c>
      <c r="E73" s="106" t="s">
        <v>248</v>
      </c>
      <c r="F73" s="83">
        <f t="shared" si="36"/>
        <v>5</v>
      </c>
      <c r="G73" s="106">
        <v>433280000</v>
      </c>
      <c r="H73" s="83">
        <f t="shared" si="37"/>
        <v>8.6367686426690309</v>
      </c>
      <c r="I73" s="143">
        <v>38389</v>
      </c>
      <c r="J73" s="106">
        <v>1105784000</v>
      </c>
      <c r="K73" s="145">
        <f t="shared" si="38"/>
        <v>4.0821917808219181</v>
      </c>
      <c r="L73" s="148">
        <f t="shared" si="63"/>
        <v>0.61089340395579939</v>
      </c>
      <c r="M73" s="106">
        <v>0</v>
      </c>
      <c r="N73" s="106">
        <f t="shared" si="39"/>
        <v>0</v>
      </c>
      <c r="O73" s="106">
        <v>82</v>
      </c>
      <c r="P73" s="108">
        <f t="shared" si="64"/>
        <v>1.9138138523837167</v>
      </c>
      <c r="Q73" s="59">
        <v>3.59</v>
      </c>
      <c r="R73" s="65">
        <f t="shared" si="65"/>
        <v>0.55509444857831913</v>
      </c>
      <c r="S73" s="154">
        <f t="shared" si="40"/>
        <v>1.5521233382570161</v>
      </c>
      <c r="T73" s="119">
        <f t="shared" si="41"/>
        <v>0.40690165901075054</v>
      </c>
      <c r="U73" s="106">
        <v>1450.8446376578247</v>
      </c>
      <c r="V73" s="106">
        <f t="shared" si="42"/>
        <v>3.1616209089088487</v>
      </c>
      <c r="W73" s="106">
        <v>6306.1358665754287</v>
      </c>
      <c r="X73" s="106">
        <f t="shared" si="43"/>
        <v>3.7997633234477775</v>
      </c>
      <c r="Y73" s="118">
        <v>0</v>
      </c>
      <c r="Z73" s="118">
        <f t="shared" si="44"/>
        <v>0</v>
      </c>
      <c r="AA73" s="106">
        <v>70</v>
      </c>
      <c r="AB73" s="108">
        <f t="shared" si="66"/>
        <v>1.8450980400142569</v>
      </c>
      <c r="AC73" s="119">
        <v>46.8</v>
      </c>
      <c r="AD73" s="127">
        <f t="shared" si="67"/>
        <v>1.670245853074124</v>
      </c>
      <c r="AE73" s="120">
        <v>52.695054949482603</v>
      </c>
      <c r="AF73" s="128">
        <f t="shared" si="68"/>
        <v>1.7217698617226407</v>
      </c>
      <c r="AG73" s="152">
        <v>-0.3</v>
      </c>
      <c r="AH73" s="119">
        <f t="shared" si="45"/>
        <v>-0.15490195998574319</v>
      </c>
      <c r="AI73" s="106">
        <v>10</v>
      </c>
      <c r="AJ73" s="108">
        <f t="shared" si="69"/>
        <v>1</v>
      </c>
      <c r="AK73" s="106">
        <f t="shared" si="46"/>
        <v>0</v>
      </c>
      <c r="AL73" s="106">
        <f t="shared" si="47"/>
        <v>0</v>
      </c>
      <c r="AM73" s="106">
        <f t="shared" si="48"/>
        <v>0</v>
      </c>
      <c r="AN73" s="106">
        <f t="shared" si="49"/>
        <v>0</v>
      </c>
      <c r="AO73" s="106">
        <f t="shared" si="50"/>
        <v>0</v>
      </c>
      <c r="AP73" s="106">
        <f t="shared" si="51"/>
        <v>1</v>
      </c>
      <c r="AQ73" s="106">
        <f t="shared" si="52"/>
        <v>0</v>
      </c>
      <c r="AR73" s="106">
        <f t="shared" si="53"/>
        <v>0</v>
      </c>
      <c r="AS73" s="106">
        <f t="shared" si="54"/>
        <v>0</v>
      </c>
      <c r="AT73" s="106">
        <f t="shared" si="55"/>
        <v>0</v>
      </c>
      <c r="AU73" s="106">
        <f t="shared" si="56"/>
        <v>0</v>
      </c>
      <c r="AV73" s="106">
        <f t="shared" si="57"/>
        <v>0</v>
      </c>
      <c r="AW73" s="106">
        <f t="shared" si="58"/>
        <v>0</v>
      </c>
      <c r="AX73" s="106">
        <f t="shared" si="59"/>
        <v>0</v>
      </c>
      <c r="AY73" s="106">
        <f t="shared" si="60"/>
        <v>0</v>
      </c>
      <c r="AZ73" s="106">
        <f t="shared" si="61"/>
        <v>0</v>
      </c>
      <c r="BA73" s="107">
        <f t="shared" si="62"/>
        <v>0</v>
      </c>
    </row>
    <row r="74" spans="1:53" x14ac:dyDescent="0.35">
      <c r="A74" s="146">
        <v>36958</v>
      </c>
      <c r="B74" s="108" t="s">
        <v>45</v>
      </c>
      <c r="C74" s="108" t="s">
        <v>125</v>
      </c>
      <c r="D74" s="84">
        <f t="shared" si="35"/>
        <v>1</v>
      </c>
      <c r="E74" s="108" t="s">
        <v>178</v>
      </c>
      <c r="F74" s="84">
        <f t="shared" si="36"/>
        <v>9</v>
      </c>
      <c r="G74" s="108">
        <v>12000000</v>
      </c>
      <c r="H74" s="84">
        <f t="shared" si="37"/>
        <v>7.0791812460476251</v>
      </c>
      <c r="I74" s="146">
        <v>37223</v>
      </c>
      <c r="J74" s="108">
        <v>46000000</v>
      </c>
      <c r="K74" s="148">
        <f t="shared" si="38"/>
        <v>0.72602739726027399</v>
      </c>
      <c r="L74" s="148">
        <f t="shared" si="63"/>
        <v>-0.13904699051966685</v>
      </c>
      <c r="M74" s="108">
        <v>5897.96</v>
      </c>
      <c r="N74" s="108">
        <f t="shared" si="39"/>
        <v>3.7707754512906644</v>
      </c>
      <c r="O74" s="108">
        <v>54</v>
      </c>
      <c r="P74" s="108">
        <f t="shared" si="64"/>
        <v>1.7323937598229686</v>
      </c>
      <c r="Q74" s="65">
        <v>2.3199999999999998</v>
      </c>
      <c r="R74" s="65">
        <f t="shared" si="65"/>
        <v>0.36548798489089962</v>
      </c>
      <c r="S74" s="155">
        <f t="shared" si="40"/>
        <v>2.8333333333333335</v>
      </c>
      <c r="T74" s="127">
        <f t="shared" si="41"/>
        <v>0.58357658563394932</v>
      </c>
      <c r="U74" s="108">
        <v>1581.451</v>
      </c>
      <c r="V74" s="108">
        <f t="shared" si="42"/>
        <v>3.1990557401914899</v>
      </c>
      <c r="W74" s="108">
        <v>6004.7560000000003</v>
      </c>
      <c r="X74" s="108">
        <f t="shared" si="43"/>
        <v>3.7784953647769717</v>
      </c>
      <c r="Y74" s="126">
        <v>132</v>
      </c>
      <c r="Z74" s="126">
        <f t="shared" si="44"/>
        <v>2.1238516409670858</v>
      </c>
      <c r="AA74" s="108">
        <v>85</v>
      </c>
      <c r="AB74" s="108">
        <f t="shared" si="66"/>
        <v>1.9294189257142926</v>
      </c>
      <c r="AC74" s="127">
        <v>27.2</v>
      </c>
      <c r="AD74" s="127">
        <f t="shared" si="67"/>
        <v>1.4345689040341987</v>
      </c>
      <c r="AE74" s="128">
        <v>35.608384832026097</v>
      </c>
      <c r="AF74" s="128">
        <f t="shared" si="68"/>
        <v>1.5515522748692276</v>
      </c>
      <c r="AG74" s="153">
        <v>-0.15</v>
      </c>
      <c r="AH74" s="127">
        <f t="shared" si="45"/>
        <v>-7.0581074285707285E-2</v>
      </c>
      <c r="AI74" s="108">
        <v>0</v>
      </c>
      <c r="AJ74" s="108">
        <v>0</v>
      </c>
      <c r="AK74" s="108">
        <f t="shared" si="46"/>
        <v>0</v>
      </c>
      <c r="AL74" s="108">
        <f t="shared" si="47"/>
        <v>1</v>
      </c>
      <c r="AM74" s="108">
        <f t="shared" si="48"/>
        <v>0</v>
      </c>
      <c r="AN74" s="108">
        <f t="shared" si="49"/>
        <v>0</v>
      </c>
      <c r="AO74" s="108">
        <f t="shared" si="50"/>
        <v>0</v>
      </c>
      <c r="AP74" s="108">
        <f t="shared" si="51"/>
        <v>0</v>
      </c>
      <c r="AQ74" s="108">
        <f t="shared" si="52"/>
        <v>0</v>
      </c>
      <c r="AR74" s="108">
        <f t="shared" si="53"/>
        <v>0</v>
      </c>
      <c r="AS74" s="108">
        <f t="shared" si="54"/>
        <v>0</v>
      </c>
      <c r="AT74" s="108">
        <f t="shared" si="55"/>
        <v>0</v>
      </c>
      <c r="AU74" s="108">
        <f t="shared" si="56"/>
        <v>0</v>
      </c>
      <c r="AV74" s="108">
        <f t="shared" si="57"/>
        <v>0</v>
      </c>
      <c r="AW74" s="108">
        <f t="shared" si="58"/>
        <v>0</v>
      </c>
      <c r="AX74" s="108">
        <f t="shared" si="59"/>
        <v>0</v>
      </c>
      <c r="AY74" s="108">
        <f t="shared" si="60"/>
        <v>0</v>
      </c>
      <c r="AZ74" s="108">
        <f t="shared" si="61"/>
        <v>0</v>
      </c>
      <c r="BA74" s="109">
        <f t="shared" si="62"/>
        <v>0</v>
      </c>
    </row>
    <row r="75" spans="1:53" x14ac:dyDescent="0.35">
      <c r="A75" s="143">
        <v>36971</v>
      </c>
      <c r="B75" s="106" t="s">
        <v>163</v>
      </c>
      <c r="C75" s="106" t="s">
        <v>125</v>
      </c>
      <c r="D75" s="83">
        <f t="shared" si="35"/>
        <v>1</v>
      </c>
      <c r="E75" s="106" t="s">
        <v>269</v>
      </c>
      <c r="F75" s="83">
        <f t="shared" si="36"/>
        <v>7</v>
      </c>
      <c r="G75" s="106">
        <v>920000000</v>
      </c>
      <c r="H75" s="83">
        <f t="shared" si="37"/>
        <v>8.9637878273455556</v>
      </c>
      <c r="I75" s="143">
        <v>38320</v>
      </c>
      <c r="J75" s="106">
        <v>1310000000</v>
      </c>
      <c r="K75" s="145">
        <f t="shared" si="38"/>
        <v>3.6958904109589041</v>
      </c>
      <c r="L75" s="148">
        <f t="shared" si="63"/>
        <v>0.56771908521542958</v>
      </c>
      <c r="M75" s="106">
        <v>342.74</v>
      </c>
      <c r="N75" s="106">
        <f t="shared" si="39"/>
        <v>2.5362300726332561</v>
      </c>
      <c r="O75" s="106">
        <v>95</v>
      </c>
      <c r="P75" s="108">
        <f t="shared" si="64"/>
        <v>1.9777236052888478</v>
      </c>
      <c r="Q75" s="59">
        <v>2.3199999999999998</v>
      </c>
      <c r="R75" s="65">
        <f t="shared" si="65"/>
        <v>0.36548798489089962</v>
      </c>
      <c r="S75" s="154">
        <f t="shared" si="40"/>
        <v>0.42391304347826098</v>
      </c>
      <c r="T75" s="119">
        <f t="shared" si="41"/>
        <v>0.15348346831020904</v>
      </c>
      <c r="U75" s="106">
        <v>1709.090909090909</v>
      </c>
      <c r="V75" s="106">
        <f t="shared" si="42"/>
        <v>3.2327651641054547</v>
      </c>
      <c r="W75" s="106">
        <v>8968.5950413223145</v>
      </c>
      <c r="X75" s="106">
        <f t="shared" si="43"/>
        <v>3.9527244147731087</v>
      </c>
      <c r="Y75" s="118">
        <v>569.16666666666697</v>
      </c>
      <c r="Z75" s="118">
        <f t="shared" si="44"/>
        <v>2.756001823801419</v>
      </c>
      <c r="AA75" s="106">
        <v>70</v>
      </c>
      <c r="AB75" s="108">
        <f t="shared" si="66"/>
        <v>1.8450980400142569</v>
      </c>
      <c r="AC75" s="119">
        <v>43.1</v>
      </c>
      <c r="AD75" s="127">
        <f t="shared" si="67"/>
        <v>1.6344772701607315</v>
      </c>
      <c r="AE75" s="120">
        <v>51.718307112209096</v>
      </c>
      <c r="AF75" s="128">
        <f t="shared" si="68"/>
        <v>1.7136443007431839</v>
      </c>
      <c r="AG75" s="152">
        <v>0.23</v>
      </c>
      <c r="AH75" s="119">
        <f t="shared" si="45"/>
        <v>8.9905111439397931E-2</v>
      </c>
      <c r="AI75" s="106">
        <v>0</v>
      </c>
      <c r="AJ75" s="108">
        <v>0</v>
      </c>
      <c r="AK75" s="106">
        <f t="shared" si="46"/>
        <v>0</v>
      </c>
      <c r="AL75" s="106">
        <f t="shared" si="47"/>
        <v>0</v>
      </c>
      <c r="AM75" s="106">
        <f t="shared" si="48"/>
        <v>0</v>
      </c>
      <c r="AN75" s="106">
        <f t="shared" si="49"/>
        <v>0</v>
      </c>
      <c r="AO75" s="106">
        <f t="shared" si="50"/>
        <v>0</v>
      </c>
      <c r="AP75" s="106">
        <f t="shared" si="51"/>
        <v>0</v>
      </c>
      <c r="AQ75" s="106">
        <f t="shared" si="52"/>
        <v>0</v>
      </c>
      <c r="AR75" s="106">
        <f t="shared" si="53"/>
        <v>1</v>
      </c>
      <c r="AS75" s="106">
        <f t="shared" si="54"/>
        <v>0</v>
      </c>
      <c r="AT75" s="106">
        <f t="shared" si="55"/>
        <v>0</v>
      </c>
      <c r="AU75" s="106">
        <f t="shared" si="56"/>
        <v>0</v>
      </c>
      <c r="AV75" s="106">
        <f t="shared" si="57"/>
        <v>0</v>
      </c>
      <c r="AW75" s="106">
        <f t="shared" si="58"/>
        <v>0</v>
      </c>
      <c r="AX75" s="106">
        <f t="shared" si="59"/>
        <v>0</v>
      </c>
      <c r="AY75" s="106">
        <f t="shared" si="60"/>
        <v>0</v>
      </c>
      <c r="AZ75" s="106">
        <f t="shared" si="61"/>
        <v>0</v>
      </c>
      <c r="BA75" s="107">
        <f t="shared" si="62"/>
        <v>0</v>
      </c>
    </row>
    <row r="76" spans="1:53" x14ac:dyDescent="0.35">
      <c r="A76" s="146">
        <v>36978</v>
      </c>
      <c r="B76" s="108" t="s">
        <v>163</v>
      </c>
      <c r="C76" s="108" t="s">
        <v>47</v>
      </c>
      <c r="D76" s="84">
        <f t="shared" si="35"/>
        <v>0</v>
      </c>
      <c r="E76" s="108" t="s">
        <v>183</v>
      </c>
      <c r="F76" s="84">
        <f t="shared" si="36"/>
        <v>3</v>
      </c>
      <c r="G76" s="108">
        <v>520000000</v>
      </c>
      <c r="H76" s="84">
        <f t="shared" si="37"/>
        <v>8.7160033436347994</v>
      </c>
      <c r="I76" s="146">
        <v>38077</v>
      </c>
      <c r="J76" s="108">
        <v>261800000</v>
      </c>
      <c r="K76" s="148">
        <f t="shared" si="38"/>
        <v>3.010958904109589</v>
      </c>
      <c r="L76" s="148">
        <f t="shared" si="63"/>
        <v>0.47870482796701586</v>
      </c>
      <c r="M76" s="108">
        <v>0</v>
      </c>
      <c r="N76" s="108">
        <f t="shared" si="39"/>
        <v>0</v>
      </c>
      <c r="O76" s="108">
        <v>50</v>
      </c>
      <c r="P76" s="108">
        <f t="shared" si="64"/>
        <v>1.6989700043360187</v>
      </c>
      <c r="Q76" s="65">
        <v>3.18</v>
      </c>
      <c r="R76" s="65">
        <f t="shared" si="65"/>
        <v>0.50242711998443268</v>
      </c>
      <c r="S76" s="155">
        <f t="shared" si="40"/>
        <v>-0.49653846153846148</v>
      </c>
      <c r="T76" s="127">
        <f t="shared" si="41"/>
        <v>-0.29803370142006214</v>
      </c>
      <c r="U76" s="108">
        <v>1682.164</v>
      </c>
      <c r="V76" s="108">
        <f t="shared" si="42"/>
        <v>3.2258683344006376</v>
      </c>
      <c r="W76" s="108">
        <v>9152.2764999999999</v>
      </c>
      <c r="X76" s="108">
        <f t="shared" si="43"/>
        <v>3.9615291321450066</v>
      </c>
      <c r="Y76" s="126">
        <v>0</v>
      </c>
      <c r="Z76" s="126">
        <f t="shared" si="44"/>
        <v>0</v>
      </c>
      <c r="AA76" s="108">
        <v>70</v>
      </c>
      <c r="AB76" s="108">
        <f t="shared" si="66"/>
        <v>1.8450980400142569</v>
      </c>
      <c r="AC76" s="127">
        <v>43.1</v>
      </c>
      <c r="AD76" s="127">
        <f t="shared" si="67"/>
        <v>1.6344772701607315</v>
      </c>
      <c r="AE76" s="128">
        <v>51.718307112209096</v>
      </c>
      <c r="AF76" s="128">
        <f t="shared" si="68"/>
        <v>1.7136443007431839</v>
      </c>
      <c r="AG76" s="153">
        <v>0.25</v>
      </c>
      <c r="AH76" s="127">
        <f t="shared" si="45"/>
        <v>9.691001300805642E-2</v>
      </c>
      <c r="AI76" s="108">
        <v>0</v>
      </c>
      <c r="AJ76" s="108">
        <v>0</v>
      </c>
      <c r="AK76" s="108">
        <f t="shared" si="46"/>
        <v>0</v>
      </c>
      <c r="AL76" s="108">
        <f t="shared" si="47"/>
        <v>0</v>
      </c>
      <c r="AM76" s="108">
        <f t="shared" si="48"/>
        <v>0</v>
      </c>
      <c r="AN76" s="108">
        <f t="shared" si="49"/>
        <v>0</v>
      </c>
      <c r="AO76" s="108">
        <f t="shared" si="50"/>
        <v>0</v>
      </c>
      <c r="AP76" s="108">
        <f t="shared" si="51"/>
        <v>0</v>
      </c>
      <c r="AQ76" s="108">
        <f t="shared" si="52"/>
        <v>0</v>
      </c>
      <c r="AR76" s="108">
        <f t="shared" si="53"/>
        <v>1</v>
      </c>
      <c r="AS76" s="108">
        <f t="shared" si="54"/>
        <v>0</v>
      </c>
      <c r="AT76" s="108">
        <f t="shared" si="55"/>
        <v>0</v>
      </c>
      <c r="AU76" s="108">
        <f t="shared" si="56"/>
        <v>0</v>
      </c>
      <c r="AV76" s="108">
        <f t="shared" si="57"/>
        <v>0</v>
      </c>
      <c r="AW76" s="108">
        <f t="shared" si="58"/>
        <v>0</v>
      </c>
      <c r="AX76" s="108">
        <f t="shared" si="59"/>
        <v>0</v>
      </c>
      <c r="AY76" s="108">
        <f t="shared" si="60"/>
        <v>0</v>
      </c>
      <c r="AZ76" s="108">
        <f t="shared" si="61"/>
        <v>0</v>
      </c>
      <c r="BA76" s="109">
        <f t="shared" si="62"/>
        <v>0</v>
      </c>
    </row>
    <row r="77" spans="1:53" x14ac:dyDescent="0.35">
      <c r="A77" s="143">
        <v>37007</v>
      </c>
      <c r="B77" s="83" t="s">
        <v>2</v>
      </c>
      <c r="C77" s="83" t="s">
        <v>64</v>
      </c>
      <c r="D77" s="83">
        <f t="shared" si="35"/>
        <v>1</v>
      </c>
      <c r="E77" s="83" t="s">
        <v>235</v>
      </c>
      <c r="F77" s="83">
        <f t="shared" si="36"/>
        <v>1</v>
      </c>
      <c r="G77" s="83">
        <v>240650000</v>
      </c>
      <c r="H77" s="83">
        <f t="shared" si="37"/>
        <v>8.3813858660133764</v>
      </c>
      <c r="I77" s="144">
        <v>38546</v>
      </c>
      <c r="J77" s="83">
        <v>210426000</v>
      </c>
      <c r="K77" s="145">
        <f t="shared" si="38"/>
        <v>4.2164383561643834</v>
      </c>
      <c r="L77" s="148">
        <f t="shared" si="63"/>
        <v>0.62494575537500396</v>
      </c>
      <c r="M77" s="106">
        <v>917.19</v>
      </c>
      <c r="N77" s="106">
        <f t="shared" si="39"/>
        <v>2.9629325585580042</v>
      </c>
      <c r="O77" s="106">
        <v>47</v>
      </c>
      <c r="P77" s="108">
        <f t="shared" si="64"/>
        <v>1.6720978579357175</v>
      </c>
      <c r="Q77" s="59">
        <v>2.62</v>
      </c>
      <c r="R77" s="65">
        <f t="shared" si="65"/>
        <v>0.41830129131974547</v>
      </c>
      <c r="S77" s="154">
        <f t="shared" si="40"/>
        <v>-0.1255931851236235</v>
      </c>
      <c r="T77" s="119">
        <f t="shared" si="41"/>
        <v>-5.8286466278308156E-2</v>
      </c>
      <c r="U77" s="106">
        <v>1861.76</v>
      </c>
      <c r="V77" s="106">
        <f t="shared" si="42"/>
        <v>3.2699236952309465</v>
      </c>
      <c r="W77" s="106">
        <v>4993.92</v>
      </c>
      <c r="X77" s="106">
        <f t="shared" si="43"/>
        <v>3.6984415808994222</v>
      </c>
      <c r="Y77" s="118">
        <v>854.66666666666697</v>
      </c>
      <c r="Z77" s="118">
        <f t="shared" si="44"/>
        <v>2.9323046139517812</v>
      </c>
      <c r="AA77" s="106">
        <v>70</v>
      </c>
      <c r="AB77" s="108">
        <f t="shared" si="66"/>
        <v>1.8450980400142569</v>
      </c>
      <c r="AC77" s="119">
        <v>35</v>
      </c>
      <c r="AD77" s="127">
        <f t="shared" si="67"/>
        <v>1.5440680443502757</v>
      </c>
      <c r="AE77" s="120">
        <v>46.908044131476899</v>
      </c>
      <c r="AF77" s="128">
        <f t="shared" si="68"/>
        <v>1.6712473250679141</v>
      </c>
      <c r="AG77" s="152">
        <v>0.36</v>
      </c>
      <c r="AH77" s="119">
        <f t="shared" si="45"/>
        <v>0.13353890837021748</v>
      </c>
      <c r="AI77" s="106">
        <v>1</v>
      </c>
      <c r="AJ77" s="108">
        <f t="shared" si="69"/>
        <v>0</v>
      </c>
      <c r="AK77" s="106">
        <f t="shared" si="46"/>
        <v>0</v>
      </c>
      <c r="AL77" s="106">
        <f t="shared" si="47"/>
        <v>0</v>
      </c>
      <c r="AM77" s="106">
        <f t="shared" si="48"/>
        <v>0</v>
      </c>
      <c r="AN77" s="106">
        <f t="shared" si="49"/>
        <v>0</v>
      </c>
      <c r="AO77" s="106">
        <f t="shared" si="50"/>
        <v>0</v>
      </c>
      <c r="AP77" s="106">
        <f t="shared" si="51"/>
        <v>0</v>
      </c>
      <c r="AQ77" s="106">
        <f t="shared" si="52"/>
        <v>0</v>
      </c>
      <c r="AR77" s="106">
        <f t="shared" si="53"/>
        <v>0</v>
      </c>
      <c r="AS77" s="106">
        <f t="shared" si="54"/>
        <v>0</v>
      </c>
      <c r="AT77" s="106">
        <f t="shared" si="55"/>
        <v>1</v>
      </c>
      <c r="AU77" s="106">
        <f t="shared" si="56"/>
        <v>0</v>
      </c>
      <c r="AV77" s="106">
        <f t="shared" si="57"/>
        <v>0</v>
      </c>
      <c r="AW77" s="106">
        <f t="shared" si="58"/>
        <v>0</v>
      </c>
      <c r="AX77" s="106">
        <f t="shared" si="59"/>
        <v>0</v>
      </c>
      <c r="AY77" s="106">
        <f t="shared" si="60"/>
        <v>0</v>
      </c>
      <c r="AZ77" s="106">
        <f t="shared" si="61"/>
        <v>0</v>
      </c>
      <c r="BA77" s="107">
        <f t="shared" si="62"/>
        <v>0</v>
      </c>
    </row>
    <row r="78" spans="1:53" x14ac:dyDescent="0.35">
      <c r="A78" s="146">
        <v>37015</v>
      </c>
      <c r="B78" s="108" t="s">
        <v>45</v>
      </c>
      <c r="C78" s="108" t="s">
        <v>47</v>
      </c>
      <c r="D78" s="84">
        <f t="shared" si="35"/>
        <v>0</v>
      </c>
      <c r="E78" s="108" t="s">
        <v>248</v>
      </c>
      <c r="F78" s="84">
        <f t="shared" si="36"/>
        <v>5</v>
      </c>
      <c r="G78" s="108">
        <v>190000000</v>
      </c>
      <c r="H78" s="84">
        <f t="shared" si="37"/>
        <v>8.2787536009528289</v>
      </c>
      <c r="I78" s="146">
        <v>39797</v>
      </c>
      <c r="J78" s="108">
        <v>0</v>
      </c>
      <c r="K78" s="148">
        <f t="shared" si="38"/>
        <v>7.6219178082191785</v>
      </c>
      <c r="L78" s="148">
        <f t="shared" si="63"/>
        <v>0.88206426119955295</v>
      </c>
      <c r="M78" s="108">
        <v>0</v>
      </c>
      <c r="N78" s="108">
        <f t="shared" si="39"/>
        <v>0</v>
      </c>
      <c r="O78" s="108">
        <v>15</v>
      </c>
      <c r="P78" s="108">
        <f t="shared" si="64"/>
        <v>1.1760912590556813</v>
      </c>
      <c r="Q78" s="65">
        <v>2.95</v>
      </c>
      <c r="R78" s="65">
        <f t="shared" si="65"/>
        <v>0.46982201597816303</v>
      </c>
      <c r="S78" s="155">
        <f t="shared" si="40"/>
        <v>-1</v>
      </c>
      <c r="T78" s="127">
        <f t="shared" si="41"/>
        <v>-1</v>
      </c>
      <c r="U78" s="108">
        <v>1246.953</v>
      </c>
      <c r="V78" s="108">
        <f t="shared" si="42"/>
        <v>3.0958500844125241</v>
      </c>
      <c r="W78" s="108">
        <v>3219.7179999999998</v>
      </c>
      <c r="X78" s="108">
        <f t="shared" si="43"/>
        <v>3.5078178355445662</v>
      </c>
      <c r="Y78" s="108">
        <v>0</v>
      </c>
      <c r="Z78" s="126">
        <f t="shared" si="44"/>
        <v>0</v>
      </c>
      <c r="AA78" s="108">
        <v>85</v>
      </c>
      <c r="AB78" s="108">
        <f t="shared" si="66"/>
        <v>1.9294189257142926</v>
      </c>
      <c r="AC78" s="127">
        <v>27.2</v>
      </c>
      <c r="AD78" s="127">
        <f t="shared" si="67"/>
        <v>1.4345689040341987</v>
      </c>
      <c r="AE78" s="128">
        <v>35.608384832026097</v>
      </c>
      <c r="AF78" s="128">
        <f t="shared" si="68"/>
        <v>1.5515522748692276</v>
      </c>
      <c r="AG78" s="153">
        <v>0.74</v>
      </c>
      <c r="AH78" s="127">
        <f t="shared" si="45"/>
        <v>0.24054924828259971</v>
      </c>
      <c r="AI78" s="108">
        <v>1</v>
      </c>
      <c r="AJ78" s="108">
        <f t="shared" si="69"/>
        <v>0</v>
      </c>
      <c r="AK78" s="108">
        <f t="shared" si="46"/>
        <v>1</v>
      </c>
      <c r="AL78" s="108">
        <f t="shared" si="47"/>
        <v>1</v>
      </c>
      <c r="AM78" s="108">
        <f t="shared" si="48"/>
        <v>0</v>
      </c>
      <c r="AN78" s="108">
        <f t="shared" si="49"/>
        <v>0</v>
      </c>
      <c r="AO78" s="108">
        <f t="shared" si="50"/>
        <v>0</v>
      </c>
      <c r="AP78" s="108">
        <f t="shared" si="51"/>
        <v>0</v>
      </c>
      <c r="AQ78" s="108">
        <f t="shared" si="52"/>
        <v>0</v>
      </c>
      <c r="AR78" s="108">
        <f t="shared" si="53"/>
        <v>0</v>
      </c>
      <c r="AS78" s="108">
        <f t="shared" si="54"/>
        <v>0</v>
      </c>
      <c r="AT78" s="108">
        <f t="shared" si="55"/>
        <v>0</v>
      </c>
      <c r="AU78" s="108">
        <f t="shared" si="56"/>
        <v>0</v>
      </c>
      <c r="AV78" s="108">
        <f t="shared" si="57"/>
        <v>0</v>
      </c>
      <c r="AW78" s="108">
        <f t="shared" si="58"/>
        <v>0</v>
      </c>
      <c r="AX78" s="108">
        <f t="shared" si="59"/>
        <v>0</v>
      </c>
      <c r="AY78" s="108">
        <f t="shared" si="60"/>
        <v>0</v>
      </c>
      <c r="AZ78" s="108">
        <f t="shared" si="61"/>
        <v>0</v>
      </c>
      <c r="BA78" s="109">
        <f t="shared" si="62"/>
        <v>0</v>
      </c>
    </row>
    <row r="79" spans="1:53" x14ac:dyDescent="0.35">
      <c r="A79" s="143">
        <v>37015</v>
      </c>
      <c r="B79" s="106" t="s">
        <v>45</v>
      </c>
      <c r="C79" s="106" t="s">
        <v>47</v>
      </c>
      <c r="D79" s="83">
        <f t="shared" si="35"/>
        <v>0</v>
      </c>
      <c r="E79" s="106" t="s">
        <v>248</v>
      </c>
      <c r="F79" s="83">
        <f t="shared" si="36"/>
        <v>5</v>
      </c>
      <c r="G79" s="106">
        <v>190000000</v>
      </c>
      <c r="H79" s="83">
        <f t="shared" si="37"/>
        <v>8.2787536009528289</v>
      </c>
      <c r="I79" s="143">
        <v>39797</v>
      </c>
      <c r="J79" s="106">
        <v>0</v>
      </c>
      <c r="K79" s="145">
        <f t="shared" si="38"/>
        <v>7.6219178082191785</v>
      </c>
      <c r="L79" s="148">
        <f t="shared" si="63"/>
        <v>0.88206426119955295</v>
      </c>
      <c r="M79" s="106">
        <v>0</v>
      </c>
      <c r="N79" s="106">
        <f t="shared" si="39"/>
        <v>0</v>
      </c>
      <c r="O79" s="106">
        <v>15</v>
      </c>
      <c r="P79" s="108">
        <f t="shared" si="64"/>
        <v>1.1760912590556813</v>
      </c>
      <c r="Q79" s="59">
        <v>2.95</v>
      </c>
      <c r="R79" s="65">
        <f t="shared" si="65"/>
        <v>0.46982201597816303</v>
      </c>
      <c r="S79" s="154">
        <f t="shared" si="40"/>
        <v>-1</v>
      </c>
      <c r="T79" s="119">
        <f t="shared" si="41"/>
        <v>-1</v>
      </c>
      <c r="U79" s="106">
        <v>1246.953</v>
      </c>
      <c r="V79" s="106">
        <f t="shared" si="42"/>
        <v>3.0958500844125241</v>
      </c>
      <c r="W79" s="106">
        <v>3219.7179999999998</v>
      </c>
      <c r="X79" s="106">
        <f t="shared" si="43"/>
        <v>3.5078178355445662</v>
      </c>
      <c r="Y79" s="106">
        <v>0</v>
      </c>
      <c r="Z79" s="118">
        <f t="shared" si="44"/>
        <v>0</v>
      </c>
      <c r="AA79" s="106">
        <v>85</v>
      </c>
      <c r="AB79" s="108">
        <f t="shared" si="66"/>
        <v>1.9294189257142926</v>
      </c>
      <c r="AC79" s="119">
        <v>27.2</v>
      </c>
      <c r="AD79" s="127">
        <f t="shared" si="67"/>
        <v>1.4345689040341987</v>
      </c>
      <c r="AE79" s="120">
        <v>35.608384832026097</v>
      </c>
      <c r="AF79" s="128">
        <f t="shared" si="68"/>
        <v>1.5515522748692276</v>
      </c>
      <c r="AG79" s="152">
        <v>-0.11</v>
      </c>
      <c r="AH79" s="119">
        <f t="shared" si="45"/>
        <v>-5.0609993355087209E-2</v>
      </c>
      <c r="AI79" s="106">
        <v>56</v>
      </c>
      <c r="AJ79" s="108">
        <f t="shared" si="69"/>
        <v>1.7481880270062005</v>
      </c>
      <c r="AK79" s="106">
        <f t="shared" si="46"/>
        <v>1</v>
      </c>
      <c r="AL79" s="106">
        <f t="shared" si="47"/>
        <v>1</v>
      </c>
      <c r="AM79" s="106">
        <f t="shared" si="48"/>
        <v>0</v>
      </c>
      <c r="AN79" s="106">
        <f t="shared" si="49"/>
        <v>0</v>
      </c>
      <c r="AO79" s="106">
        <f t="shared" si="50"/>
        <v>0</v>
      </c>
      <c r="AP79" s="106">
        <f t="shared" si="51"/>
        <v>0</v>
      </c>
      <c r="AQ79" s="106">
        <f t="shared" si="52"/>
        <v>0</v>
      </c>
      <c r="AR79" s="106">
        <f t="shared" si="53"/>
        <v>0</v>
      </c>
      <c r="AS79" s="106">
        <f t="shared" si="54"/>
        <v>0</v>
      </c>
      <c r="AT79" s="106">
        <f t="shared" si="55"/>
        <v>0</v>
      </c>
      <c r="AU79" s="106">
        <f t="shared" si="56"/>
        <v>0</v>
      </c>
      <c r="AV79" s="106">
        <f t="shared" si="57"/>
        <v>0</v>
      </c>
      <c r="AW79" s="106">
        <f t="shared" si="58"/>
        <v>0</v>
      </c>
      <c r="AX79" s="106">
        <f t="shared" si="59"/>
        <v>0</v>
      </c>
      <c r="AY79" s="106">
        <f t="shared" si="60"/>
        <v>0</v>
      </c>
      <c r="AZ79" s="106">
        <f t="shared" si="61"/>
        <v>0</v>
      </c>
      <c r="BA79" s="107">
        <f t="shared" si="62"/>
        <v>0</v>
      </c>
    </row>
    <row r="80" spans="1:53" x14ac:dyDescent="0.35">
      <c r="A80" s="146">
        <v>37035</v>
      </c>
      <c r="B80" s="108" t="s">
        <v>45</v>
      </c>
      <c r="C80" s="108" t="s">
        <v>64</v>
      </c>
      <c r="D80" s="84">
        <f t="shared" si="35"/>
        <v>1</v>
      </c>
      <c r="E80" s="108" t="s">
        <v>248</v>
      </c>
      <c r="F80" s="84">
        <f t="shared" si="36"/>
        <v>5</v>
      </c>
      <c r="G80" s="108">
        <v>40000000</v>
      </c>
      <c r="H80" s="84">
        <f t="shared" si="37"/>
        <v>7.6020599913279625</v>
      </c>
      <c r="I80" s="146">
        <v>37403</v>
      </c>
      <c r="J80" s="108">
        <v>0</v>
      </c>
      <c r="K80" s="148">
        <f t="shared" si="38"/>
        <v>1.0082191780821919</v>
      </c>
      <c r="L80" s="148">
        <f t="shared" si="63"/>
        <v>3.5549542170429872E-3</v>
      </c>
      <c r="M80" s="108">
        <v>6651.37</v>
      </c>
      <c r="N80" s="108">
        <f t="shared" si="39"/>
        <v>3.8229763963637051</v>
      </c>
      <c r="O80" s="108">
        <v>2</v>
      </c>
      <c r="P80" s="108">
        <f t="shared" si="64"/>
        <v>0.3010299956639812</v>
      </c>
      <c r="Q80" s="65">
        <v>3.03</v>
      </c>
      <c r="R80" s="65">
        <f t="shared" si="65"/>
        <v>0.48144262850230496</v>
      </c>
      <c r="S80" s="155">
        <f t="shared" si="40"/>
        <v>-1</v>
      </c>
      <c r="T80" s="127">
        <f t="shared" si="41"/>
        <v>-1</v>
      </c>
      <c r="U80" s="108">
        <v>1423.0371900826444</v>
      </c>
      <c r="V80" s="108">
        <f t="shared" si="42"/>
        <v>3.1532162502154288</v>
      </c>
      <c r="W80" s="108">
        <v>3292.8719008264461</v>
      </c>
      <c r="X80" s="108">
        <f t="shared" si="43"/>
        <v>3.5175748361336181</v>
      </c>
      <c r="Y80" s="126">
        <v>513.5</v>
      </c>
      <c r="Z80" s="126">
        <f t="shared" si="44"/>
        <v>2.7113853790984517</v>
      </c>
      <c r="AA80" s="108">
        <v>85</v>
      </c>
      <c r="AB80" s="108">
        <f t="shared" si="66"/>
        <v>1.9294189257142926</v>
      </c>
      <c r="AC80" s="127">
        <v>27.2</v>
      </c>
      <c r="AD80" s="127">
        <f t="shared" si="67"/>
        <v>1.4345689040341987</v>
      </c>
      <c r="AE80" s="128">
        <v>35.608384832026097</v>
      </c>
      <c r="AF80" s="128">
        <f t="shared" si="68"/>
        <v>1.5515522748692276</v>
      </c>
      <c r="AG80" s="153">
        <v>0.52</v>
      </c>
      <c r="AH80" s="127">
        <f t="shared" si="45"/>
        <v>0.18184358794477254</v>
      </c>
      <c r="AI80" s="108">
        <v>7</v>
      </c>
      <c r="AJ80" s="108">
        <f t="shared" si="69"/>
        <v>0.84509804001425681</v>
      </c>
      <c r="AK80" s="108">
        <f t="shared" si="46"/>
        <v>1</v>
      </c>
      <c r="AL80" s="108">
        <f t="shared" si="47"/>
        <v>1</v>
      </c>
      <c r="AM80" s="108">
        <f t="shared" si="48"/>
        <v>0</v>
      </c>
      <c r="AN80" s="108">
        <f t="shared" si="49"/>
        <v>0</v>
      </c>
      <c r="AO80" s="108">
        <f t="shared" si="50"/>
        <v>0</v>
      </c>
      <c r="AP80" s="108">
        <f t="shared" si="51"/>
        <v>0</v>
      </c>
      <c r="AQ80" s="108">
        <f t="shared" si="52"/>
        <v>0</v>
      </c>
      <c r="AR80" s="108">
        <f t="shared" si="53"/>
        <v>0</v>
      </c>
      <c r="AS80" s="108">
        <f t="shared" si="54"/>
        <v>0</v>
      </c>
      <c r="AT80" s="108">
        <f t="shared" si="55"/>
        <v>0</v>
      </c>
      <c r="AU80" s="108">
        <f t="shared" si="56"/>
        <v>0</v>
      </c>
      <c r="AV80" s="108">
        <f t="shared" si="57"/>
        <v>0</v>
      </c>
      <c r="AW80" s="108">
        <f t="shared" si="58"/>
        <v>0</v>
      </c>
      <c r="AX80" s="108">
        <f t="shared" si="59"/>
        <v>0</v>
      </c>
      <c r="AY80" s="108">
        <f t="shared" si="60"/>
        <v>0</v>
      </c>
      <c r="AZ80" s="108">
        <f t="shared" si="61"/>
        <v>0</v>
      </c>
      <c r="BA80" s="109">
        <f t="shared" si="62"/>
        <v>0</v>
      </c>
    </row>
    <row r="81" spans="1:53" x14ac:dyDescent="0.35">
      <c r="A81" s="143">
        <v>37085</v>
      </c>
      <c r="B81" s="106" t="s">
        <v>59</v>
      </c>
      <c r="C81" s="106" t="s">
        <v>47</v>
      </c>
      <c r="D81" s="83">
        <f t="shared" si="35"/>
        <v>0</v>
      </c>
      <c r="E81" s="106" t="s">
        <v>248</v>
      </c>
      <c r="F81" s="83">
        <f t="shared" si="36"/>
        <v>5</v>
      </c>
      <c r="G81" s="106">
        <v>54000000</v>
      </c>
      <c r="H81" s="83">
        <f t="shared" si="37"/>
        <v>7.7323937598229682</v>
      </c>
      <c r="I81" s="143">
        <v>37941</v>
      </c>
      <c r="J81" s="106">
        <v>152000000</v>
      </c>
      <c r="K81" s="145">
        <f t="shared" si="38"/>
        <v>2.3452054794520549</v>
      </c>
      <c r="L81" s="148">
        <f t="shared" si="63"/>
        <v>0.37018090022067857</v>
      </c>
      <c r="M81" s="106">
        <v>0</v>
      </c>
      <c r="N81" s="106">
        <f t="shared" si="39"/>
        <v>0</v>
      </c>
      <c r="O81" s="106">
        <v>3</v>
      </c>
      <c r="P81" s="108">
        <f t="shared" si="64"/>
        <v>0.47712125471966244</v>
      </c>
      <c r="Q81" s="59">
        <v>3.29</v>
      </c>
      <c r="R81" s="65">
        <f t="shared" si="65"/>
        <v>0.51719589794997434</v>
      </c>
      <c r="S81" s="154">
        <f t="shared" si="40"/>
        <v>1.8148148148148149</v>
      </c>
      <c r="T81" s="119">
        <f t="shared" si="41"/>
        <v>0.44944982812180406</v>
      </c>
      <c r="U81" s="106">
        <v>2417.5229853975125</v>
      </c>
      <c r="V81" s="106">
        <f t="shared" si="42"/>
        <v>3.3833706119727633</v>
      </c>
      <c r="W81" s="106">
        <v>9545.7003785830148</v>
      </c>
      <c r="X81" s="106">
        <f t="shared" si="43"/>
        <v>3.9798077985646683</v>
      </c>
      <c r="Y81" s="118">
        <v>0</v>
      </c>
      <c r="Z81" s="118">
        <f t="shared" si="44"/>
        <v>0</v>
      </c>
      <c r="AA81" s="106">
        <v>85</v>
      </c>
      <c r="AB81" s="108">
        <f t="shared" si="66"/>
        <v>1.9294189257142926</v>
      </c>
      <c r="AC81" s="119">
        <v>32.6</v>
      </c>
      <c r="AD81" s="127">
        <f t="shared" si="67"/>
        <v>1.5132176000679389</v>
      </c>
      <c r="AE81" s="120">
        <v>36.544739309553499</v>
      </c>
      <c r="AF81" s="128">
        <f t="shared" si="68"/>
        <v>1.5628248682086028</v>
      </c>
      <c r="AG81" s="152">
        <v>0.84</v>
      </c>
      <c r="AH81" s="119">
        <f t="shared" si="45"/>
        <v>0.26481782300953643</v>
      </c>
      <c r="AI81" s="106">
        <v>14</v>
      </c>
      <c r="AJ81" s="108">
        <f t="shared" si="69"/>
        <v>1.146128035678238</v>
      </c>
      <c r="AK81" s="106">
        <f t="shared" si="46"/>
        <v>0</v>
      </c>
      <c r="AL81" s="106">
        <f t="shared" si="47"/>
        <v>0</v>
      </c>
      <c r="AM81" s="106">
        <f t="shared" si="48"/>
        <v>1</v>
      </c>
      <c r="AN81" s="106">
        <f t="shared" si="49"/>
        <v>0</v>
      </c>
      <c r="AO81" s="106">
        <f t="shared" si="50"/>
        <v>0</v>
      </c>
      <c r="AP81" s="106">
        <f t="shared" si="51"/>
        <v>0</v>
      </c>
      <c r="AQ81" s="106">
        <f t="shared" si="52"/>
        <v>0</v>
      </c>
      <c r="AR81" s="106">
        <f t="shared" si="53"/>
        <v>0</v>
      </c>
      <c r="AS81" s="106">
        <f t="shared" si="54"/>
        <v>0</v>
      </c>
      <c r="AT81" s="106">
        <f t="shared" si="55"/>
        <v>0</v>
      </c>
      <c r="AU81" s="106">
        <f t="shared" si="56"/>
        <v>0</v>
      </c>
      <c r="AV81" s="106">
        <f t="shared" si="57"/>
        <v>0</v>
      </c>
      <c r="AW81" s="106">
        <f t="shared" si="58"/>
        <v>0</v>
      </c>
      <c r="AX81" s="106">
        <f t="shared" si="59"/>
        <v>0</v>
      </c>
      <c r="AY81" s="106">
        <f t="shared" si="60"/>
        <v>0</v>
      </c>
      <c r="AZ81" s="106">
        <f t="shared" si="61"/>
        <v>0</v>
      </c>
      <c r="BA81" s="107">
        <f t="shared" si="62"/>
        <v>0</v>
      </c>
    </row>
    <row r="82" spans="1:53" x14ac:dyDescent="0.35">
      <c r="A82" s="146">
        <v>37103</v>
      </c>
      <c r="B82" s="108" t="s">
        <v>1</v>
      </c>
      <c r="C82" s="108" t="s">
        <v>64</v>
      </c>
      <c r="D82" s="84">
        <f t="shared" si="35"/>
        <v>1</v>
      </c>
      <c r="E82" s="108" t="s">
        <v>183</v>
      </c>
      <c r="F82" s="84">
        <f t="shared" si="36"/>
        <v>3</v>
      </c>
      <c r="G82" s="108">
        <v>175520000</v>
      </c>
      <c r="H82" s="84">
        <f t="shared" si="37"/>
        <v>8.2443266102306367</v>
      </c>
      <c r="I82" s="146">
        <v>40387</v>
      </c>
      <c r="J82" s="108">
        <v>1756300000</v>
      </c>
      <c r="K82" s="148">
        <f t="shared" si="38"/>
        <v>8.9972602739726035</v>
      </c>
      <c r="L82" s="148">
        <f t="shared" si="63"/>
        <v>0.95411028399092845</v>
      </c>
      <c r="M82" s="108">
        <v>6232.1</v>
      </c>
      <c r="N82" s="108">
        <f t="shared" si="39"/>
        <v>3.7947040944998616</v>
      </c>
      <c r="O82" s="108">
        <v>4</v>
      </c>
      <c r="P82" s="108">
        <f t="shared" si="64"/>
        <v>0.6020599913279624</v>
      </c>
      <c r="Q82" s="65">
        <v>2.93</v>
      </c>
      <c r="R82" s="65">
        <f t="shared" si="65"/>
        <v>0.4668676203541095</v>
      </c>
      <c r="S82" s="155">
        <f t="shared" si="40"/>
        <v>9.0062670920692796</v>
      </c>
      <c r="T82" s="127">
        <f t="shared" si="41"/>
        <v>1.0002720910982315</v>
      </c>
      <c r="U82" s="108">
        <v>1246.953</v>
      </c>
      <c r="V82" s="108">
        <f t="shared" si="42"/>
        <v>3.0958500844125241</v>
      </c>
      <c r="W82" s="108">
        <v>3219.7179999999998</v>
      </c>
      <c r="X82" s="108">
        <f t="shared" si="43"/>
        <v>3.5078178355445662</v>
      </c>
      <c r="Y82" s="126">
        <v>624.5</v>
      </c>
      <c r="Z82" s="126">
        <f t="shared" si="44"/>
        <v>2.7962273140294389</v>
      </c>
      <c r="AA82" s="108">
        <v>70</v>
      </c>
      <c r="AB82" s="108">
        <f t="shared" si="66"/>
        <v>1.8450980400142569</v>
      </c>
      <c r="AC82" s="127">
        <v>42.1</v>
      </c>
      <c r="AD82" s="127">
        <f t="shared" si="67"/>
        <v>1.6242820958356683</v>
      </c>
      <c r="AE82" s="128">
        <v>43.801966655694599</v>
      </c>
      <c r="AF82" s="128">
        <f t="shared" si="68"/>
        <v>1.6414936102424893</v>
      </c>
      <c r="AG82" s="153">
        <v>-0.08</v>
      </c>
      <c r="AH82" s="127">
        <f t="shared" si="45"/>
        <v>-3.6212172654444715E-2</v>
      </c>
      <c r="AI82" s="108">
        <v>5</v>
      </c>
      <c r="AJ82" s="108">
        <f t="shared" si="69"/>
        <v>0.69897000433601886</v>
      </c>
      <c r="AK82" s="108">
        <f t="shared" si="46"/>
        <v>0</v>
      </c>
      <c r="AL82" s="108">
        <f t="shared" si="47"/>
        <v>0</v>
      </c>
      <c r="AM82" s="108">
        <f t="shared" si="48"/>
        <v>0</v>
      </c>
      <c r="AN82" s="108">
        <f t="shared" si="49"/>
        <v>1</v>
      </c>
      <c r="AO82" s="108">
        <f t="shared" si="50"/>
        <v>0</v>
      </c>
      <c r="AP82" s="108">
        <f t="shared" si="51"/>
        <v>0</v>
      </c>
      <c r="AQ82" s="108">
        <f t="shared" si="52"/>
        <v>0</v>
      </c>
      <c r="AR82" s="108">
        <f t="shared" si="53"/>
        <v>0</v>
      </c>
      <c r="AS82" s="108">
        <f t="shared" si="54"/>
        <v>0</v>
      </c>
      <c r="AT82" s="108">
        <f t="shared" si="55"/>
        <v>0</v>
      </c>
      <c r="AU82" s="108">
        <f t="shared" si="56"/>
        <v>0</v>
      </c>
      <c r="AV82" s="108">
        <f t="shared" si="57"/>
        <v>0</v>
      </c>
      <c r="AW82" s="108">
        <f t="shared" si="58"/>
        <v>0</v>
      </c>
      <c r="AX82" s="108">
        <f t="shared" si="59"/>
        <v>0</v>
      </c>
      <c r="AY82" s="108">
        <f t="shared" si="60"/>
        <v>0</v>
      </c>
      <c r="AZ82" s="108">
        <f t="shared" si="61"/>
        <v>0</v>
      </c>
      <c r="BA82" s="109">
        <f t="shared" si="62"/>
        <v>0</v>
      </c>
    </row>
    <row r="83" spans="1:53" x14ac:dyDescent="0.35">
      <c r="A83" s="143">
        <v>37789</v>
      </c>
      <c r="B83" s="106" t="s">
        <v>45</v>
      </c>
      <c r="C83" s="106" t="s">
        <v>47</v>
      </c>
      <c r="D83" s="83">
        <f t="shared" si="35"/>
        <v>0</v>
      </c>
      <c r="E83" s="106" t="s">
        <v>183</v>
      </c>
      <c r="F83" s="83">
        <f t="shared" si="36"/>
        <v>3</v>
      </c>
      <c r="G83" s="106">
        <v>1082000000</v>
      </c>
      <c r="H83" s="83">
        <f t="shared" si="37"/>
        <v>9.0342272607705514</v>
      </c>
      <c r="I83" s="143">
        <v>40084</v>
      </c>
      <c r="J83" s="106">
        <v>1285731720</v>
      </c>
      <c r="K83" s="145">
        <f t="shared" si="38"/>
        <v>6.2876712328767121</v>
      </c>
      <c r="L83" s="148">
        <f t="shared" si="63"/>
        <v>0.79848982541680535</v>
      </c>
      <c r="M83" s="106">
        <v>0</v>
      </c>
      <c r="N83" s="106">
        <f t="shared" si="39"/>
        <v>0</v>
      </c>
      <c r="O83" s="106">
        <v>3</v>
      </c>
      <c r="P83" s="108">
        <f t="shared" si="64"/>
        <v>0.47712125471966244</v>
      </c>
      <c r="Q83" s="59">
        <v>2.95</v>
      </c>
      <c r="R83" s="65">
        <f t="shared" si="65"/>
        <v>0.46982201597816303</v>
      </c>
      <c r="S83" s="154">
        <f t="shared" si="40"/>
        <v>0.18829179297597043</v>
      </c>
      <c r="T83" s="119">
        <f t="shared" si="41"/>
        <v>7.4923097647764739E-2</v>
      </c>
      <c r="U83" s="106">
        <v>1246.953</v>
      </c>
      <c r="V83" s="106">
        <f t="shared" si="42"/>
        <v>3.0958500844125241</v>
      </c>
      <c r="W83" s="106">
        <v>3219.7179999999998</v>
      </c>
      <c r="X83" s="106">
        <f t="shared" si="43"/>
        <v>3.5078178355445662</v>
      </c>
      <c r="Y83" s="106">
        <v>0</v>
      </c>
      <c r="Z83" s="118">
        <f t="shared" si="44"/>
        <v>0</v>
      </c>
      <c r="AA83" s="106">
        <v>85</v>
      </c>
      <c r="AB83" s="108">
        <f t="shared" si="66"/>
        <v>1.9294189257142926</v>
      </c>
      <c r="AC83" s="119">
        <v>24.4</v>
      </c>
      <c r="AD83" s="127">
        <f t="shared" si="67"/>
        <v>1.3873898263387294</v>
      </c>
      <c r="AE83" s="120">
        <v>37.256914365427299</v>
      </c>
      <c r="AF83" s="128">
        <f t="shared" si="68"/>
        <v>1.5712068835833228</v>
      </c>
      <c r="AG83" s="152">
        <v>-0.12</v>
      </c>
      <c r="AH83" s="119">
        <f t="shared" si="45"/>
        <v>-5.551732784983137E-2</v>
      </c>
      <c r="AI83" s="106">
        <v>10</v>
      </c>
      <c r="AJ83" s="108">
        <f t="shared" si="69"/>
        <v>1</v>
      </c>
      <c r="AK83" s="106">
        <f t="shared" si="46"/>
        <v>0</v>
      </c>
      <c r="AL83" s="106">
        <f t="shared" si="47"/>
        <v>1</v>
      </c>
      <c r="AM83" s="106">
        <f t="shared" si="48"/>
        <v>0</v>
      </c>
      <c r="AN83" s="106">
        <f t="shared" si="49"/>
        <v>0</v>
      </c>
      <c r="AO83" s="106">
        <f t="shared" si="50"/>
        <v>0</v>
      </c>
      <c r="AP83" s="106">
        <f t="shared" si="51"/>
        <v>0</v>
      </c>
      <c r="AQ83" s="106">
        <f t="shared" si="52"/>
        <v>0</v>
      </c>
      <c r="AR83" s="106">
        <f t="shared" si="53"/>
        <v>0</v>
      </c>
      <c r="AS83" s="106">
        <f t="shared" si="54"/>
        <v>0</v>
      </c>
      <c r="AT83" s="106">
        <f t="shared" si="55"/>
        <v>0</v>
      </c>
      <c r="AU83" s="106">
        <f t="shared" si="56"/>
        <v>0</v>
      </c>
      <c r="AV83" s="106">
        <f t="shared" si="57"/>
        <v>0</v>
      </c>
      <c r="AW83" s="106">
        <f t="shared" si="58"/>
        <v>0</v>
      </c>
      <c r="AX83" s="106">
        <f t="shared" si="59"/>
        <v>0</v>
      </c>
      <c r="AY83" s="106">
        <f t="shared" si="60"/>
        <v>0</v>
      </c>
      <c r="AZ83" s="106">
        <f t="shared" si="61"/>
        <v>0</v>
      </c>
      <c r="BA83" s="107">
        <f t="shared" si="62"/>
        <v>0</v>
      </c>
    </row>
    <row r="84" spans="1:53" x14ac:dyDescent="0.35">
      <c r="A84" s="146">
        <v>37805</v>
      </c>
      <c r="B84" s="108" t="s">
        <v>2</v>
      </c>
      <c r="C84" s="108" t="s">
        <v>64</v>
      </c>
      <c r="D84" s="84">
        <f t="shared" si="35"/>
        <v>1</v>
      </c>
      <c r="E84" s="108" t="s">
        <v>186</v>
      </c>
      <c r="F84" s="84">
        <f t="shared" si="36"/>
        <v>4</v>
      </c>
      <c r="G84" s="108">
        <v>2769360000</v>
      </c>
      <c r="H84" s="84">
        <f t="shared" si="37"/>
        <v>9.4423794150633888</v>
      </c>
      <c r="I84" s="146">
        <v>40206</v>
      </c>
      <c r="J84" s="108">
        <v>3500000000</v>
      </c>
      <c r="K84" s="148">
        <f t="shared" si="38"/>
        <v>6.5780821917808217</v>
      </c>
      <c r="L84" s="148">
        <f t="shared" si="63"/>
        <v>0.81809929560055261</v>
      </c>
      <c r="M84" s="108">
        <v>917.19</v>
      </c>
      <c r="N84" s="108">
        <f t="shared" si="39"/>
        <v>2.9629325585580042</v>
      </c>
      <c r="O84" s="108">
        <v>1</v>
      </c>
      <c r="P84" s="108">
        <f t="shared" si="64"/>
        <v>0</v>
      </c>
      <c r="Q84" s="65">
        <v>2.62</v>
      </c>
      <c r="R84" s="65">
        <f t="shared" si="65"/>
        <v>0.41830129131974547</v>
      </c>
      <c r="S84" s="155">
        <f t="shared" si="40"/>
        <v>0.2638299101597481</v>
      </c>
      <c r="T84" s="127">
        <f t="shared" si="41"/>
        <v>0.10168862928688671</v>
      </c>
      <c r="U84" s="108">
        <v>1655.1111111111111</v>
      </c>
      <c r="V84" s="108">
        <f t="shared" si="42"/>
        <v>3.2188271541979425</v>
      </c>
      <c r="W84" s="108">
        <v>5715.5555555555547</v>
      </c>
      <c r="X84" s="108">
        <f t="shared" si="43"/>
        <v>3.7570584504768405</v>
      </c>
      <c r="Y84" s="126">
        <v>854.66666666666697</v>
      </c>
      <c r="Z84" s="126">
        <f t="shared" si="44"/>
        <v>2.9323046139517812</v>
      </c>
      <c r="AA84" s="108">
        <v>70</v>
      </c>
      <c r="AB84" s="108">
        <f t="shared" si="66"/>
        <v>1.8450980400142569</v>
      </c>
      <c r="AC84" s="127">
        <v>34.6</v>
      </c>
      <c r="AD84" s="127">
        <f t="shared" si="67"/>
        <v>1.5390760987927767</v>
      </c>
      <c r="AE84" s="128">
        <v>47.8156192569637</v>
      </c>
      <c r="AF84" s="128">
        <f t="shared" si="68"/>
        <v>1.6795697846681461</v>
      </c>
      <c r="AG84" s="153">
        <v>-0.19</v>
      </c>
      <c r="AH84" s="127">
        <f t="shared" si="45"/>
        <v>-9.1514981121350217E-2</v>
      </c>
      <c r="AI84" s="108">
        <v>13</v>
      </c>
      <c r="AJ84" s="108">
        <f t="shared" si="69"/>
        <v>1.1139433523068367</v>
      </c>
      <c r="AK84" s="108">
        <f t="shared" si="46"/>
        <v>0</v>
      </c>
      <c r="AL84" s="108">
        <f t="shared" si="47"/>
        <v>0</v>
      </c>
      <c r="AM84" s="108">
        <f t="shared" si="48"/>
        <v>0</v>
      </c>
      <c r="AN84" s="108">
        <f t="shared" si="49"/>
        <v>0</v>
      </c>
      <c r="AO84" s="108">
        <f t="shared" si="50"/>
        <v>0</v>
      </c>
      <c r="AP84" s="108">
        <f t="shared" si="51"/>
        <v>0</v>
      </c>
      <c r="AQ84" s="108">
        <f t="shared" si="52"/>
        <v>0</v>
      </c>
      <c r="AR84" s="108">
        <f t="shared" si="53"/>
        <v>0</v>
      </c>
      <c r="AS84" s="108">
        <f t="shared" si="54"/>
        <v>0</v>
      </c>
      <c r="AT84" s="108">
        <f t="shared" si="55"/>
        <v>1</v>
      </c>
      <c r="AU84" s="108">
        <f t="shared" si="56"/>
        <v>0</v>
      </c>
      <c r="AV84" s="108">
        <f t="shared" si="57"/>
        <v>0</v>
      </c>
      <c r="AW84" s="108">
        <f t="shared" si="58"/>
        <v>0</v>
      </c>
      <c r="AX84" s="108">
        <f t="shared" si="59"/>
        <v>0</v>
      </c>
      <c r="AY84" s="108">
        <f t="shared" si="60"/>
        <v>0</v>
      </c>
      <c r="AZ84" s="108">
        <f t="shared" si="61"/>
        <v>0</v>
      </c>
      <c r="BA84" s="109">
        <f t="shared" si="62"/>
        <v>0</v>
      </c>
    </row>
    <row r="85" spans="1:53" x14ac:dyDescent="0.35">
      <c r="A85" s="143">
        <v>37908</v>
      </c>
      <c r="B85" s="106" t="s">
        <v>45</v>
      </c>
      <c r="C85" s="106" t="s">
        <v>47</v>
      </c>
      <c r="D85" s="83">
        <f t="shared" si="35"/>
        <v>0</v>
      </c>
      <c r="E85" s="106" t="s">
        <v>186</v>
      </c>
      <c r="F85" s="83">
        <f t="shared" si="36"/>
        <v>4</v>
      </c>
      <c r="G85" s="106">
        <v>1501910000</v>
      </c>
      <c r="H85" s="83">
        <f t="shared" si="37"/>
        <v>9.1766439089168497</v>
      </c>
      <c r="I85" s="143">
        <v>40057</v>
      </c>
      <c r="J85" s="106">
        <v>0</v>
      </c>
      <c r="K85" s="145">
        <f t="shared" si="38"/>
        <v>5.8876712328767127</v>
      </c>
      <c r="L85" s="148">
        <f t="shared" si="63"/>
        <v>0.76994355103496859</v>
      </c>
      <c r="M85" s="106">
        <v>0</v>
      </c>
      <c r="N85" s="106">
        <f t="shared" si="39"/>
        <v>0</v>
      </c>
      <c r="O85" s="106">
        <v>53</v>
      </c>
      <c r="P85" s="108">
        <f t="shared" si="64"/>
        <v>1.7242758696007889</v>
      </c>
      <c r="Q85" s="59">
        <v>2.95</v>
      </c>
      <c r="R85" s="65">
        <f t="shared" si="65"/>
        <v>0.46982201597816303</v>
      </c>
      <c r="S85" s="154">
        <f t="shared" si="40"/>
        <v>-1</v>
      </c>
      <c r="T85" s="119">
        <f t="shared" si="41"/>
        <v>-1</v>
      </c>
      <c r="U85" s="106">
        <v>2315.9650000000001</v>
      </c>
      <c r="V85" s="106">
        <f t="shared" si="42"/>
        <v>3.3647319918335836</v>
      </c>
      <c r="W85" s="106">
        <v>3703.9029999999998</v>
      </c>
      <c r="X85" s="106">
        <f t="shared" si="43"/>
        <v>3.568659604598353</v>
      </c>
      <c r="Y85" s="106">
        <v>0</v>
      </c>
      <c r="Z85" s="118">
        <f t="shared" si="44"/>
        <v>0</v>
      </c>
      <c r="AA85" s="106">
        <v>85</v>
      </c>
      <c r="AB85" s="108">
        <f t="shared" si="66"/>
        <v>1.9294189257142926</v>
      </c>
      <c r="AC85" s="119">
        <v>24.4</v>
      </c>
      <c r="AD85" s="127">
        <f t="shared" si="67"/>
        <v>1.3873898263387294</v>
      </c>
      <c r="AE85" s="120">
        <v>37.256914365427299</v>
      </c>
      <c r="AF85" s="128">
        <f t="shared" si="68"/>
        <v>1.5712068835833228</v>
      </c>
      <c r="AG85" s="152">
        <v>-0.24</v>
      </c>
      <c r="AH85" s="119">
        <f t="shared" si="45"/>
        <v>-0.11918640771920865</v>
      </c>
      <c r="AI85" s="106">
        <v>19</v>
      </c>
      <c r="AJ85" s="108">
        <f t="shared" si="69"/>
        <v>1.2787536009528289</v>
      </c>
      <c r="AK85" s="106">
        <f t="shared" si="46"/>
        <v>1</v>
      </c>
      <c r="AL85" s="106">
        <f t="shared" si="47"/>
        <v>1</v>
      </c>
      <c r="AM85" s="106">
        <f t="shared" si="48"/>
        <v>0</v>
      </c>
      <c r="AN85" s="106">
        <f t="shared" si="49"/>
        <v>0</v>
      </c>
      <c r="AO85" s="106">
        <f t="shared" si="50"/>
        <v>0</v>
      </c>
      <c r="AP85" s="106">
        <f t="shared" si="51"/>
        <v>0</v>
      </c>
      <c r="AQ85" s="106">
        <f t="shared" si="52"/>
        <v>0</v>
      </c>
      <c r="AR85" s="106">
        <f t="shared" si="53"/>
        <v>0</v>
      </c>
      <c r="AS85" s="106">
        <f t="shared" si="54"/>
        <v>0</v>
      </c>
      <c r="AT85" s="106">
        <f t="shared" si="55"/>
        <v>0</v>
      </c>
      <c r="AU85" s="106">
        <f t="shared" si="56"/>
        <v>0</v>
      </c>
      <c r="AV85" s="106">
        <f t="shared" si="57"/>
        <v>0</v>
      </c>
      <c r="AW85" s="106">
        <f t="shared" si="58"/>
        <v>0</v>
      </c>
      <c r="AX85" s="106">
        <f t="shared" si="59"/>
        <v>0</v>
      </c>
      <c r="AY85" s="106">
        <f t="shared" si="60"/>
        <v>0</v>
      </c>
      <c r="AZ85" s="106">
        <f t="shared" si="61"/>
        <v>0</v>
      </c>
      <c r="BA85" s="107">
        <f t="shared" si="62"/>
        <v>0</v>
      </c>
    </row>
    <row r="86" spans="1:53" x14ac:dyDescent="0.35">
      <c r="A86" s="146">
        <v>37948</v>
      </c>
      <c r="B86" s="108" t="s">
        <v>59</v>
      </c>
      <c r="C86" s="108" t="s">
        <v>47</v>
      </c>
      <c r="D86" s="84">
        <f t="shared" si="35"/>
        <v>0</v>
      </c>
      <c r="E86" s="108" t="s">
        <v>269</v>
      </c>
      <c r="F86" s="84">
        <f t="shared" si="36"/>
        <v>7</v>
      </c>
      <c r="G86" s="108">
        <v>225000000</v>
      </c>
      <c r="H86" s="84">
        <f t="shared" si="37"/>
        <v>8.3521825181113627</v>
      </c>
      <c r="I86" s="146">
        <v>40165</v>
      </c>
      <c r="J86" s="108">
        <v>809678000</v>
      </c>
      <c r="K86" s="148">
        <f t="shared" si="38"/>
        <v>6.0739726027397261</v>
      </c>
      <c r="L86" s="148">
        <f t="shared" si="63"/>
        <v>0.78347282865801349</v>
      </c>
      <c r="M86" s="108">
        <v>0</v>
      </c>
      <c r="N86" s="108">
        <f t="shared" si="39"/>
        <v>0</v>
      </c>
      <c r="O86" s="108">
        <v>3</v>
      </c>
      <c r="P86" s="108">
        <f t="shared" si="64"/>
        <v>0.47712125471966244</v>
      </c>
      <c r="Q86" s="65">
        <v>3.29</v>
      </c>
      <c r="R86" s="65">
        <f t="shared" si="65"/>
        <v>0.51719589794997434</v>
      </c>
      <c r="S86" s="155">
        <f t="shared" si="40"/>
        <v>2.5985688888888889</v>
      </c>
      <c r="T86" s="127">
        <f t="shared" si="41"/>
        <v>0.5561298209815333</v>
      </c>
      <c r="U86" s="108">
        <v>3425.6694367497698</v>
      </c>
      <c r="V86" s="108">
        <f t="shared" si="42"/>
        <v>3.5347454529897258</v>
      </c>
      <c r="W86" s="108">
        <v>9322.8685749461365</v>
      </c>
      <c r="X86" s="108">
        <f t="shared" si="43"/>
        <v>3.9695495619878729</v>
      </c>
      <c r="Y86" s="126">
        <v>0</v>
      </c>
      <c r="Z86" s="126">
        <f t="shared" si="44"/>
        <v>0</v>
      </c>
      <c r="AA86" s="108">
        <v>85</v>
      </c>
      <c r="AB86" s="108">
        <f t="shared" si="66"/>
        <v>1.9294189257142926</v>
      </c>
      <c r="AC86" s="127">
        <v>31.3</v>
      </c>
      <c r="AD86" s="127">
        <f t="shared" si="67"/>
        <v>1.4955443375464486</v>
      </c>
      <c r="AE86" s="128">
        <v>38.7850112673514</v>
      </c>
      <c r="AF86" s="128">
        <f t="shared" si="68"/>
        <v>1.5886639219461918</v>
      </c>
      <c r="AG86" s="153">
        <v>0.1</v>
      </c>
      <c r="AH86" s="127">
        <f t="shared" si="45"/>
        <v>4.1392685158225077E-2</v>
      </c>
      <c r="AI86" s="108">
        <v>17</v>
      </c>
      <c r="AJ86" s="108">
        <f t="shared" si="69"/>
        <v>1.2304489213782739</v>
      </c>
      <c r="AK86" s="108">
        <f t="shared" si="46"/>
        <v>0</v>
      </c>
      <c r="AL86" s="108">
        <f t="shared" si="47"/>
        <v>0</v>
      </c>
      <c r="AM86" s="108">
        <f t="shared" si="48"/>
        <v>1</v>
      </c>
      <c r="AN86" s="108">
        <f t="shared" si="49"/>
        <v>0</v>
      </c>
      <c r="AO86" s="108">
        <f t="shared" si="50"/>
        <v>0</v>
      </c>
      <c r="AP86" s="108">
        <f t="shared" si="51"/>
        <v>0</v>
      </c>
      <c r="AQ86" s="108">
        <f t="shared" si="52"/>
        <v>0</v>
      </c>
      <c r="AR86" s="108">
        <f t="shared" si="53"/>
        <v>0</v>
      </c>
      <c r="AS86" s="108">
        <f t="shared" si="54"/>
        <v>0</v>
      </c>
      <c r="AT86" s="108">
        <f t="shared" si="55"/>
        <v>0</v>
      </c>
      <c r="AU86" s="108">
        <f t="shared" si="56"/>
        <v>0</v>
      </c>
      <c r="AV86" s="108">
        <f t="shared" si="57"/>
        <v>0</v>
      </c>
      <c r="AW86" s="108">
        <f t="shared" si="58"/>
        <v>0</v>
      </c>
      <c r="AX86" s="108">
        <f t="shared" si="59"/>
        <v>0</v>
      </c>
      <c r="AY86" s="108">
        <f t="shared" si="60"/>
        <v>0</v>
      </c>
      <c r="AZ86" s="108">
        <f t="shared" si="61"/>
        <v>0</v>
      </c>
      <c r="BA86" s="109">
        <f t="shared" si="62"/>
        <v>0</v>
      </c>
    </row>
    <row r="87" spans="1:53" x14ac:dyDescent="0.35">
      <c r="A87" s="143">
        <v>37960</v>
      </c>
      <c r="B87" s="106" t="s">
        <v>59</v>
      </c>
      <c r="C87" s="106" t="s">
        <v>64</v>
      </c>
      <c r="D87" s="83">
        <f t="shared" si="35"/>
        <v>1</v>
      </c>
      <c r="E87" s="106" t="s">
        <v>248</v>
      </c>
      <c r="F87" s="83">
        <f t="shared" si="36"/>
        <v>5</v>
      </c>
      <c r="G87" s="106">
        <v>1831500000</v>
      </c>
      <c r="H87" s="83">
        <f t="shared" si="37"/>
        <v>9.2628069230005643</v>
      </c>
      <c r="I87" s="143">
        <v>40114</v>
      </c>
      <c r="J87" s="106">
        <v>227300000</v>
      </c>
      <c r="K87" s="145">
        <f t="shared" si="38"/>
        <v>5.9013698630136986</v>
      </c>
      <c r="L87" s="148">
        <f t="shared" si="63"/>
        <v>0.77095283450548813</v>
      </c>
      <c r="M87" s="106">
        <v>5897.96</v>
      </c>
      <c r="N87" s="106">
        <f t="shared" si="39"/>
        <v>3.7707754512906644</v>
      </c>
      <c r="O87" s="106">
        <v>190</v>
      </c>
      <c r="P87" s="108">
        <f t="shared" si="64"/>
        <v>2.2787536009528289</v>
      </c>
      <c r="Q87" s="59">
        <v>2.3199999999999998</v>
      </c>
      <c r="R87" s="65">
        <f t="shared" si="65"/>
        <v>0.36548798489089962</v>
      </c>
      <c r="S87" s="154">
        <f t="shared" si="40"/>
        <v>-0.87589407589407586</v>
      </c>
      <c r="T87" s="119">
        <f t="shared" si="41"/>
        <v>-0.90620748727559275</v>
      </c>
      <c r="U87" s="106">
        <v>1455.046</v>
      </c>
      <c r="V87" s="106">
        <f t="shared" si="42"/>
        <v>3.1628767233771686</v>
      </c>
      <c r="W87" s="106">
        <v>4062.5129999999999</v>
      </c>
      <c r="X87" s="106">
        <f t="shared" si="43"/>
        <v>3.6087947637270492</v>
      </c>
      <c r="Y87" s="118">
        <v>132</v>
      </c>
      <c r="Z87" s="118">
        <f t="shared" si="44"/>
        <v>2.1238516409670858</v>
      </c>
      <c r="AA87" s="106">
        <v>85</v>
      </c>
      <c r="AB87" s="108">
        <f t="shared" si="66"/>
        <v>1.9294189257142926</v>
      </c>
      <c r="AC87" s="119">
        <v>31.3</v>
      </c>
      <c r="AD87" s="127">
        <f t="shared" si="67"/>
        <v>1.4955443375464486</v>
      </c>
      <c r="AE87" s="120">
        <v>38.7850112673514</v>
      </c>
      <c r="AF87" s="128">
        <f t="shared" si="68"/>
        <v>1.5886639219461918</v>
      </c>
      <c r="AG87" s="152">
        <v>0.78</v>
      </c>
      <c r="AH87" s="119">
        <f t="shared" si="45"/>
        <v>0.250420002308894</v>
      </c>
      <c r="AI87" s="106">
        <v>16</v>
      </c>
      <c r="AJ87" s="108">
        <f t="shared" si="69"/>
        <v>1.2041199826559248</v>
      </c>
      <c r="AK87" s="106">
        <f t="shared" si="46"/>
        <v>0</v>
      </c>
      <c r="AL87" s="106">
        <f t="shared" si="47"/>
        <v>0</v>
      </c>
      <c r="AM87" s="106">
        <f t="shared" si="48"/>
        <v>1</v>
      </c>
      <c r="AN87" s="106">
        <f t="shared" si="49"/>
        <v>0</v>
      </c>
      <c r="AO87" s="106">
        <f t="shared" si="50"/>
        <v>0</v>
      </c>
      <c r="AP87" s="106">
        <f t="shared" si="51"/>
        <v>0</v>
      </c>
      <c r="AQ87" s="106">
        <f t="shared" si="52"/>
        <v>0</v>
      </c>
      <c r="AR87" s="106">
        <f t="shared" si="53"/>
        <v>0</v>
      </c>
      <c r="AS87" s="106">
        <f t="shared" si="54"/>
        <v>0</v>
      </c>
      <c r="AT87" s="106">
        <f t="shared" si="55"/>
        <v>0</v>
      </c>
      <c r="AU87" s="106">
        <f t="shared" si="56"/>
        <v>0</v>
      </c>
      <c r="AV87" s="106">
        <f t="shared" si="57"/>
        <v>0</v>
      </c>
      <c r="AW87" s="106">
        <f t="shared" si="58"/>
        <v>0</v>
      </c>
      <c r="AX87" s="106">
        <f t="shared" si="59"/>
        <v>0</v>
      </c>
      <c r="AY87" s="106">
        <f t="shared" si="60"/>
        <v>0</v>
      </c>
      <c r="AZ87" s="106">
        <f t="shared" si="61"/>
        <v>0</v>
      </c>
      <c r="BA87" s="107">
        <f t="shared" si="62"/>
        <v>0</v>
      </c>
    </row>
    <row r="88" spans="1:53" x14ac:dyDescent="0.35">
      <c r="A88" s="146">
        <v>38014</v>
      </c>
      <c r="B88" s="108" t="s">
        <v>59</v>
      </c>
      <c r="C88" s="108" t="s">
        <v>47</v>
      </c>
      <c r="D88" s="84">
        <f t="shared" si="35"/>
        <v>0</v>
      </c>
      <c r="E88" s="108" t="s">
        <v>235</v>
      </c>
      <c r="F88" s="84">
        <f t="shared" si="36"/>
        <v>1</v>
      </c>
      <c r="G88" s="108">
        <v>662500000</v>
      </c>
      <c r="H88" s="84">
        <f t="shared" si="37"/>
        <v>8.8211858826088463</v>
      </c>
      <c r="I88" s="146">
        <v>40153</v>
      </c>
      <c r="J88" s="108">
        <v>1700000000</v>
      </c>
      <c r="K88" s="148">
        <f t="shared" si="38"/>
        <v>5.86027397260274</v>
      </c>
      <c r="L88" s="148">
        <f t="shared" si="63"/>
        <v>0.76791792011505333</v>
      </c>
      <c r="M88" s="108">
        <v>0</v>
      </c>
      <c r="N88" s="108">
        <f t="shared" si="39"/>
        <v>0</v>
      </c>
      <c r="O88" s="108">
        <v>138</v>
      </c>
      <c r="P88" s="108">
        <f t="shared" si="64"/>
        <v>2.1398790864012365</v>
      </c>
      <c r="Q88" s="65">
        <v>3.29</v>
      </c>
      <c r="R88" s="65">
        <f t="shared" si="65"/>
        <v>0.51719589794997434</v>
      </c>
      <c r="S88" s="155">
        <f t="shared" si="40"/>
        <v>1.5660377358490565</v>
      </c>
      <c r="T88" s="127">
        <f t="shared" si="41"/>
        <v>0.40926303876942843</v>
      </c>
      <c r="U88" s="108">
        <v>1655.11</v>
      </c>
      <c r="V88" s="108">
        <f t="shared" si="42"/>
        <v>3.2188268626467691</v>
      </c>
      <c r="W88" s="108">
        <v>5715.55</v>
      </c>
      <c r="X88" s="108">
        <f t="shared" si="43"/>
        <v>3.7570580283396975</v>
      </c>
      <c r="Y88" s="126">
        <v>0</v>
      </c>
      <c r="Z88" s="126">
        <f t="shared" si="44"/>
        <v>0</v>
      </c>
      <c r="AA88" s="108">
        <v>85</v>
      </c>
      <c r="AB88" s="108">
        <f t="shared" si="66"/>
        <v>1.9294189257142926</v>
      </c>
      <c r="AC88" s="127">
        <v>32.299999999999997</v>
      </c>
      <c r="AD88" s="127">
        <f t="shared" si="67"/>
        <v>1.5092025223311027</v>
      </c>
      <c r="AE88" s="128">
        <v>40.040400531970803</v>
      </c>
      <c r="AF88" s="128">
        <f t="shared" si="68"/>
        <v>1.6024984131617945</v>
      </c>
      <c r="AG88" s="153">
        <v>0.82</v>
      </c>
      <c r="AH88" s="127">
        <f t="shared" si="45"/>
        <v>0.26007138798507473</v>
      </c>
      <c r="AI88" s="108">
        <v>26</v>
      </c>
      <c r="AJ88" s="108">
        <f t="shared" si="69"/>
        <v>1.414973347970818</v>
      </c>
      <c r="AK88" s="108">
        <f t="shared" si="46"/>
        <v>0</v>
      </c>
      <c r="AL88" s="108">
        <f t="shared" si="47"/>
        <v>0</v>
      </c>
      <c r="AM88" s="108">
        <f t="shared" si="48"/>
        <v>1</v>
      </c>
      <c r="AN88" s="108">
        <f t="shared" si="49"/>
        <v>0</v>
      </c>
      <c r="AO88" s="108">
        <f t="shared" si="50"/>
        <v>0</v>
      </c>
      <c r="AP88" s="108">
        <f t="shared" si="51"/>
        <v>0</v>
      </c>
      <c r="AQ88" s="108">
        <f t="shared" si="52"/>
        <v>0</v>
      </c>
      <c r="AR88" s="108">
        <f t="shared" si="53"/>
        <v>0</v>
      </c>
      <c r="AS88" s="108">
        <f t="shared" si="54"/>
        <v>0</v>
      </c>
      <c r="AT88" s="108">
        <f t="shared" si="55"/>
        <v>0</v>
      </c>
      <c r="AU88" s="108">
        <f t="shared" si="56"/>
        <v>0</v>
      </c>
      <c r="AV88" s="108">
        <f t="shared" si="57"/>
        <v>0</v>
      </c>
      <c r="AW88" s="108">
        <f t="shared" si="58"/>
        <v>0</v>
      </c>
      <c r="AX88" s="108">
        <f t="shared" si="59"/>
        <v>0</v>
      </c>
      <c r="AY88" s="108">
        <f t="shared" si="60"/>
        <v>0</v>
      </c>
      <c r="AZ88" s="108">
        <f t="shared" si="61"/>
        <v>0</v>
      </c>
      <c r="BA88" s="109">
        <f t="shared" si="62"/>
        <v>0</v>
      </c>
    </row>
    <row r="89" spans="1:53" x14ac:dyDescent="0.35">
      <c r="A89" s="143">
        <v>38061</v>
      </c>
      <c r="B89" s="106" t="s">
        <v>59</v>
      </c>
      <c r="C89" s="106" t="s">
        <v>47</v>
      </c>
      <c r="D89" s="83">
        <f t="shared" si="35"/>
        <v>0</v>
      </c>
      <c r="E89" s="106" t="s">
        <v>235</v>
      </c>
      <c r="F89" s="83">
        <f t="shared" si="36"/>
        <v>1</v>
      </c>
      <c r="G89" s="106">
        <v>662500000</v>
      </c>
      <c r="H89" s="83">
        <f t="shared" si="37"/>
        <v>8.8211858826088463</v>
      </c>
      <c r="I89" s="143">
        <v>40119</v>
      </c>
      <c r="J89" s="106">
        <v>1523292791</v>
      </c>
      <c r="K89" s="145">
        <f t="shared" si="38"/>
        <v>5.6383561643835618</v>
      </c>
      <c r="L89" s="148">
        <f t="shared" si="63"/>
        <v>0.75115250596993943</v>
      </c>
      <c r="M89" s="106">
        <v>0</v>
      </c>
      <c r="N89" s="106">
        <f t="shared" si="39"/>
        <v>0</v>
      </c>
      <c r="O89" s="106">
        <v>138</v>
      </c>
      <c r="P89" s="108">
        <f t="shared" si="64"/>
        <v>2.1398790864012365</v>
      </c>
      <c r="Q89" s="59">
        <v>3.29</v>
      </c>
      <c r="R89" s="65">
        <f t="shared" si="65"/>
        <v>0.51719589794997434</v>
      </c>
      <c r="S89" s="154">
        <f t="shared" si="40"/>
        <v>1.2993098732075472</v>
      </c>
      <c r="T89" s="119">
        <f t="shared" si="41"/>
        <v>0.36159750417725695</v>
      </c>
      <c r="U89" s="106">
        <v>1655.11</v>
      </c>
      <c r="V89" s="106">
        <f t="shared" si="42"/>
        <v>3.2188268626467691</v>
      </c>
      <c r="W89" s="106">
        <v>5715.55</v>
      </c>
      <c r="X89" s="106">
        <f t="shared" si="43"/>
        <v>3.7570580283396975</v>
      </c>
      <c r="Y89" s="118">
        <v>0</v>
      </c>
      <c r="Z89" s="118">
        <f t="shared" si="44"/>
        <v>0</v>
      </c>
      <c r="AA89" s="106">
        <v>85</v>
      </c>
      <c r="AB89" s="108">
        <f t="shared" si="66"/>
        <v>1.9294189257142926</v>
      </c>
      <c r="AC89" s="119">
        <v>32.299999999999997</v>
      </c>
      <c r="AD89" s="127">
        <f t="shared" si="67"/>
        <v>1.5092025223311027</v>
      </c>
      <c r="AE89" s="120">
        <v>40.040400531970803</v>
      </c>
      <c r="AF89" s="128">
        <f t="shared" si="68"/>
        <v>1.6024984131617945</v>
      </c>
      <c r="AG89" s="152">
        <v>0.14000000000000001</v>
      </c>
      <c r="AH89" s="119">
        <f t="shared" si="45"/>
        <v>5.6904851336472641E-2</v>
      </c>
      <c r="AI89" s="106">
        <v>19</v>
      </c>
      <c r="AJ89" s="108">
        <f t="shared" si="69"/>
        <v>1.2787536009528289</v>
      </c>
      <c r="AK89" s="106">
        <f t="shared" si="46"/>
        <v>0</v>
      </c>
      <c r="AL89" s="106">
        <f t="shared" si="47"/>
        <v>0</v>
      </c>
      <c r="AM89" s="106">
        <f t="shared" si="48"/>
        <v>1</v>
      </c>
      <c r="AN89" s="106">
        <f t="shared" si="49"/>
        <v>0</v>
      </c>
      <c r="AO89" s="106">
        <f t="shared" si="50"/>
        <v>0</v>
      </c>
      <c r="AP89" s="106">
        <f t="shared" si="51"/>
        <v>0</v>
      </c>
      <c r="AQ89" s="106">
        <f t="shared" si="52"/>
        <v>0</v>
      </c>
      <c r="AR89" s="106">
        <f t="shared" si="53"/>
        <v>0</v>
      </c>
      <c r="AS89" s="106">
        <f t="shared" si="54"/>
        <v>0</v>
      </c>
      <c r="AT89" s="106">
        <f t="shared" si="55"/>
        <v>0</v>
      </c>
      <c r="AU89" s="106">
        <f t="shared" si="56"/>
        <v>0</v>
      </c>
      <c r="AV89" s="106">
        <f t="shared" si="57"/>
        <v>0</v>
      </c>
      <c r="AW89" s="106">
        <f t="shared" si="58"/>
        <v>0</v>
      </c>
      <c r="AX89" s="106">
        <f t="shared" si="59"/>
        <v>0</v>
      </c>
      <c r="AY89" s="106">
        <f t="shared" si="60"/>
        <v>0</v>
      </c>
      <c r="AZ89" s="106">
        <f t="shared" si="61"/>
        <v>0</v>
      </c>
      <c r="BA89" s="107">
        <f t="shared" si="62"/>
        <v>0</v>
      </c>
    </row>
    <row r="90" spans="1:53" x14ac:dyDescent="0.35">
      <c r="A90" s="146">
        <v>38132</v>
      </c>
      <c r="B90" s="108" t="s">
        <v>45</v>
      </c>
      <c r="C90" s="108" t="s">
        <v>47</v>
      </c>
      <c r="D90" s="84">
        <f t="shared" si="35"/>
        <v>0</v>
      </c>
      <c r="E90" s="108" t="s">
        <v>190</v>
      </c>
      <c r="F90" s="84">
        <f t="shared" si="36"/>
        <v>2</v>
      </c>
      <c r="G90" s="108">
        <v>51000000</v>
      </c>
      <c r="H90" s="84">
        <f t="shared" si="37"/>
        <v>7.7075701760979367</v>
      </c>
      <c r="I90" s="146">
        <v>40128</v>
      </c>
      <c r="J90" s="108">
        <v>0</v>
      </c>
      <c r="K90" s="148">
        <f t="shared" si="38"/>
        <v>5.4684931506849317</v>
      </c>
      <c r="L90" s="148">
        <f t="shared" si="63"/>
        <v>0.73786767249487761</v>
      </c>
      <c r="M90" s="108">
        <v>0</v>
      </c>
      <c r="N90" s="108">
        <f t="shared" si="39"/>
        <v>0</v>
      </c>
      <c r="O90" s="108">
        <v>12</v>
      </c>
      <c r="P90" s="108">
        <f t="shared" si="64"/>
        <v>1.0791812460476249</v>
      </c>
      <c r="Q90" s="65">
        <v>2.95</v>
      </c>
      <c r="R90" s="65">
        <f t="shared" si="65"/>
        <v>0.46982201597816303</v>
      </c>
      <c r="S90" s="155">
        <f t="shared" si="40"/>
        <v>-1</v>
      </c>
      <c r="T90" s="127">
        <f t="shared" si="41"/>
        <v>-1</v>
      </c>
      <c r="U90" s="108">
        <v>1421.558</v>
      </c>
      <c r="V90" s="108">
        <f t="shared" si="42"/>
        <v>3.1527645837352773</v>
      </c>
      <c r="W90" s="108">
        <v>3476.3409999999999</v>
      </c>
      <c r="X90" s="108">
        <f t="shared" si="43"/>
        <v>3.5411223705253856</v>
      </c>
      <c r="Y90" s="108">
        <v>0</v>
      </c>
      <c r="Z90" s="126">
        <f t="shared" si="44"/>
        <v>0</v>
      </c>
      <c r="AA90" s="108">
        <v>85</v>
      </c>
      <c r="AB90" s="108">
        <f t="shared" si="66"/>
        <v>1.9294189257142926</v>
      </c>
      <c r="AC90" s="127">
        <v>24.6</v>
      </c>
      <c r="AD90" s="127">
        <f t="shared" si="67"/>
        <v>1.3909351071033791</v>
      </c>
      <c r="AE90" s="128">
        <v>36.876470987978301</v>
      </c>
      <c r="AF90" s="128">
        <f t="shared" si="68"/>
        <v>1.5667493531684615</v>
      </c>
      <c r="AG90" s="153">
        <v>0.36</v>
      </c>
      <c r="AH90" s="127">
        <f t="shared" si="45"/>
        <v>0.13353890837021748</v>
      </c>
      <c r="AI90" s="108">
        <v>18</v>
      </c>
      <c r="AJ90" s="108">
        <f t="shared" si="69"/>
        <v>1.255272505103306</v>
      </c>
      <c r="AK90" s="108">
        <f t="shared" si="46"/>
        <v>1</v>
      </c>
      <c r="AL90" s="108">
        <f t="shared" si="47"/>
        <v>1</v>
      </c>
      <c r="AM90" s="108">
        <f t="shared" si="48"/>
        <v>0</v>
      </c>
      <c r="AN90" s="108">
        <f t="shared" si="49"/>
        <v>0</v>
      </c>
      <c r="AO90" s="108">
        <f t="shared" si="50"/>
        <v>0</v>
      </c>
      <c r="AP90" s="108">
        <f t="shared" si="51"/>
        <v>0</v>
      </c>
      <c r="AQ90" s="108">
        <f t="shared" si="52"/>
        <v>0</v>
      </c>
      <c r="AR90" s="108">
        <f t="shared" si="53"/>
        <v>0</v>
      </c>
      <c r="AS90" s="108">
        <f t="shared" si="54"/>
        <v>0</v>
      </c>
      <c r="AT90" s="108">
        <f t="shared" si="55"/>
        <v>0</v>
      </c>
      <c r="AU90" s="108">
        <f t="shared" si="56"/>
        <v>0</v>
      </c>
      <c r="AV90" s="108">
        <f t="shared" si="57"/>
        <v>0</v>
      </c>
      <c r="AW90" s="108">
        <f t="shared" si="58"/>
        <v>0</v>
      </c>
      <c r="AX90" s="108">
        <f t="shared" si="59"/>
        <v>0</v>
      </c>
      <c r="AY90" s="108">
        <f t="shared" si="60"/>
        <v>0</v>
      </c>
      <c r="AZ90" s="108">
        <f t="shared" si="61"/>
        <v>0</v>
      </c>
      <c r="BA90" s="109">
        <f t="shared" si="62"/>
        <v>0</v>
      </c>
    </row>
    <row r="91" spans="1:53" x14ac:dyDescent="0.35">
      <c r="A91" s="143">
        <v>38188</v>
      </c>
      <c r="B91" s="106" t="s">
        <v>59</v>
      </c>
      <c r="C91" s="106" t="s">
        <v>102</v>
      </c>
      <c r="D91" s="83">
        <f t="shared" si="35"/>
        <v>0</v>
      </c>
      <c r="E91" s="106" t="s">
        <v>248</v>
      </c>
      <c r="F91" s="83">
        <f t="shared" si="36"/>
        <v>5</v>
      </c>
      <c r="G91" s="106">
        <v>230000000</v>
      </c>
      <c r="H91" s="83">
        <f t="shared" si="37"/>
        <v>8.3617278360175931</v>
      </c>
      <c r="I91" s="143">
        <v>40205</v>
      </c>
      <c r="J91" s="106">
        <v>955000000</v>
      </c>
      <c r="K91" s="145">
        <f t="shared" si="38"/>
        <v>5.5260273972602736</v>
      </c>
      <c r="L91" s="148">
        <f t="shared" si="63"/>
        <v>0.74241303375629075</v>
      </c>
      <c r="M91" s="106">
        <v>0</v>
      </c>
      <c r="N91" s="106">
        <f t="shared" si="39"/>
        <v>0</v>
      </c>
      <c r="O91" s="106">
        <v>13</v>
      </c>
      <c r="P91" s="108">
        <f t="shared" si="64"/>
        <v>1.1139433523068367</v>
      </c>
      <c r="Q91" s="59">
        <v>3.29</v>
      </c>
      <c r="R91" s="65">
        <f t="shared" si="65"/>
        <v>0.51719589794997434</v>
      </c>
      <c r="S91" s="154">
        <f t="shared" si="40"/>
        <v>3.1521739130434785</v>
      </c>
      <c r="T91" s="119">
        <f t="shared" si="41"/>
        <v>0.61827553556615344</v>
      </c>
      <c r="U91" s="106">
        <v>1801.1079999999999</v>
      </c>
      <c r="V91" s="106">
        <f t="shared" si="42"/>
        <v>3.2555397552391718</v>
      </c>
      <c r="W91" s="106">
        <v>8416.6209999999992</v>
      </c>
      <c r="X91" s="106">
        <f t="shared" si="43"/>
        <v>3.9251377713585649</v>
      </c>
      <c r="Y91" s="118">
        <v>0</v>
      </c>
      <c r="Z91" s="118">
        <f t="shared" si="44"/>
        <v>0</v>
      </c>
      <c r="AA91" s="106">
        <v>85</v>
      </c>
      <c r="AB91" s="108">
        <f t="shared" si="66"/>
        <v>1.9294189257142926</v>
      </c>
      <c r="AC91" s="119">
        <v>32.299999999999997</v>
      </c>
      <c r="AD91" s="127">
        <f t="shared" si="67"/>
        <v>1.5092025223311027</v>
      </c>
      <c r="AE91" s="120">
        <v>40.040400531970803</v>
      </c>
      <c r="AF91" s="128">
        <f t="shared" si="68"/>
        <v>1.6024984131617945</v>
      </c>
      <c r="AG91" s="152">
        <v>-0.09</v>
      </c>
      <c r="AH91" s="119">
        <f t="shared" si="45"/>
        <v>-4.0958607678906384E-2</v>
      </c>
      <c r="AI91" s="106">
        <v>27</v>
      </c>
      <c r="AJ91" s="108">
        <f t="shared" si="69"/>
        <v>1.4313637641589874</v>
      </c>
      <c r="AK91" s="106">
        <f t="shared" si="46"/>
        <v>0</v>
      </c>
      <c r="AL91" s="106">
        <f t="shared" si="47"/>
        <v>0</v>
      </c>
      <c r="AM91" s="106">
        <f t="shared" si="48"/>
        <v>1</v>
      </c>
      <c r="AN91" s="106">
        <f t="shared" si="49"/>
        <v>0</v>
      </c>
      <c r="AO91" s="106">
        <f t="shared" si="50"/>
        <v>0</v>
      </c>
      <c r="AP91" s="106">
        <f t="shared" si="51"/>
        <v>0</v>
      </c>
      <c r="AQ91" s="106">
        <f t="shared" si="52"/>
        <v>0</v>
      </c>
      <c r="AR91" s="106">
        <f t="shared" si="53"/>
        <v>0</v>
      </c>
      <c r="AS91" s="106">
        <f t="shared" si="54"/>
        <v>0</v>
      </c>
      <c r="AT91" s="106">
        <f t="shared" si="55"/>
        <v>0</v>
      </c>
      <c r="AU91" s="106">
        <f t="shared" si="56"/>
        <v>0</v>
      </c>
      <c r="AV91" s="106">
        <f t="shared" si="57"/>
        <v>0</v>
      </c>
      <c r="AW91" s="106">
        <f t="shared" si="58"/>
        <v>0</v>
      </c>
      <c r="AX91" s="106">
        <f t="shared" si="59"/>
        <v>0</v>
      </c>
      <c r="AY91" s="106">
        <f t="shared" si="60"/>
        <v>0</v>
      </c>
      <c r="AZ91" s="106">
        <f t="shared" si="61"/>
        <v>0</v>
      </c>
      <c r="BA91" s="107">
        <f t="shared" si="62"/>
        <v>0</v>
      </c>
    </row>
    <row r="92" spans="1:53" x14ac:dyDescent="0.35">
      <c r="A92" s="146">
        <v>38188</v>
      </c>
      <c r="B92" s="108" t="s">
        <v>59</v>
      </c>
      <c r="C92" s="108" t="s">
        <v>47</v>
      </c>
      <c r="D92" s="84">
        <f t="shared" si="35"/>
        <v>0</v>
      </c>
      <c r="E92" s="108" t="s">
        <v>248</v>
      </c>
      <c r="F92" s="84">
        <f t="shared" si="36"/>
        <v>5</v>
      </c>
      <c r="G92" s="108">
        <v>230000000</v>
      </c>
      <c r="H92" s="84">
        <f t="shared" si="37"/>
        <v>8.3617278360175931</v>
      </c>
      <c r="I92" s="146">
        <v>40209</v>
      </c>
      <c r="J92" s="108">
        <v>206730000</v>
      </c>
      <c r="K92" s="148">
        <f t="shared" si="38"/>
        <v>5.536986301369863</v>
      </c>
      <c r="L92" s="148">
        <f t="shared" si="63"/>
        <v>0.74327344905882931</v>
      </c>
      <c r="M92" s="108">
        <v>0</v>
      </c>
      <c r="N92" s="108">
        <f t="shared" si="39"/>
        <v>0</v>
      </c>
      <c r="O92" s="108">
        <v>13</v>
      </c>
      <c r="P92" s="108">
        <f t="shared" si="64"/>
        <v>1.1139433523068367</v>
      </c>
      <c r="Q92" s="65">
        <v>3.29</v>
      </c>
      <c r="R92" s="65">
        <f t="shared" si="65"/>
        <v>0.51719589794997434</v>
      </c>
      <c r="S92" s="155">
        <f t="shared" si="40"/>
        <v>-0.10117391304347823</v>
      </c>
      <c r="T92" s="127">
        <f t="shared" si="41"/>
        <v>-4.6324331383241914E-2</v>
      </c>
      <c r="U92" s="108">
        <v>1801.1079999999999</v>
      </c>
      <c r="V92" s="108">
        <f t="shared" si="42"/>
        <v>3.2555397552391718</v>
      </c>
      <c r="W92" s="108">
        <v>8416.6209999999992</v>
      </c>
      <c r="X92" s="108">
        <f t="shared" si="43"/>
        <v>3.9251377713585649</v>
      </c>
      <c r="Y92" s="126">
        <v>0</v>
      </c>
      <c r="Z92" s="126">
        <f t="shared" si="44"/>
        <v>0</v>
      </c>
      <c r="AA92" s="108">
        <v>85</v>
      </c>
      <c r="AB92" s="108">
        <f t="shared" si="66"/>
        <v>1.9294189257142926</v>
      </c>
      <c r="AC92" s="127">
        <v>32.299999999999997</v>
      </c>
      <c r="AD92" s="127">
        <f t="shared" si="67"/>
        <v>1.5092025223311027</v>
      </c>
      <c r="AE92" s="128">
        <v>40.040400531970803</v>
      </c>
      <c r="AF92" s="128">
        <f t="shared" si="68"/>
        <v>1.6024984131617945</v>
      </c>
      <c r="AG92" s="153">
        <v>0.27</v>
      </c>
      <c r="AH92" s="127">
        <f t="shared" si="45"/>
        <v>0.10380372095595687</v>
      </c>
      <c r="AI92" s="108">
        <v>17</v>
      </c>
      <c r="AJ92" s="108">
        <f t="shared" si="69"/>
        <v>1.2304489213782739</v>
      </c>
      <c r="AK92" s="108">
        <f t="shared" si="46"/>
        <v>0</v>
      </c>
      <c r="AL92" s="108">
        <f t="shared" si="47"/>
        <v>0</v>
      </c>
      <c r="AM92" s="108">
        <f t="shared" si="48"/>
        <v>1</v>
      </c>
      <c r="AN92" s="108">
        <f t="shared" si="49"/>
        <v>0</v>
      </c>
      <c r="AO92" s="108">
        <f t="shared" si="50"/>
        <v>0</v>
      </c>
      <c r="AP92" s="108">
        <f t="shared" si="51"/>
        <v>0</v>
      </c>
      <c r="AQ92" s="108">
        <f t="shared" si="52"/>
        <v>0</v>
      </c>
      <c r="AR92" s="108">
        <f t="shared" si="53"/>
        <v>0</v>
      </c>
      <c r="AS92" s="108">
        <f t="shared" si="54"/>
        <v>0</v>
      </c>
      <c r="AT92" s="108">
        <f t="shared" si="55"/>
        <v>0</v>
      </c>
      <c r="AU92" s="108">
        <f t="shared" si="56"/>
        <v>0</v>
      </c>
      <c r="AV92" s="108">
        <f t="shared" si="57"/>
        <v>0</v>
      </c>
      <c r="AW92" s="108">
        <f t="shared" si="58"/>
        <v>0</v>
      </c>
      <c r="AX92" s="108">
        <f t="shared" si="59"/>
        <v>0</v>
      </c>
      <c r="AY92" s="108">
        <f t="shared" si="60"/>
        <v>0</v>
      </c>
      <c r="AZ92" s="108">
        <f t="shared" si="61"/>
        <v>0</v>
      </c>
      <c r="BA92" s="109">
        <f t="shared" si="62"/>
        <v>0</v>
      </c>
    </row>
    <row r="93" spans="1:53" x14ac:dyDescent="0.35">
      <c r="A93" s="143">
        <v>38593</v>
      </c>
      <c r="B93" s="106" t="s">
        <v>163</v>
      </c>
      <c r="C93" s="106" t="s">
        <v>64</v>
      </c>
      <c r="D93" s="83">
        <f t="shared" si="35"/>
        <v>1</v>
      </c>
      <c r="E93" s="106" t="s">
        <v>186</v>
      </c>
      <c r="F93" s="83">
        <f t="shared" si="36"/>
        <v>4</v>
      </c>
      <c r="G93" s="106">
        <v>450000000</v>
      </c>
      <c r="H93" s="83">
        <f t="shared" si="37"/>
        <v>8.653212513775344</v>
      </c>
      <c r="I93" s="143">
        <v>40120</v>
      </c>
      <c r="J93" s="106">
        <v>0</v>
      </c>
      <c r="K93" s="145">
        <f t="shared" si="38"/>
        <v>4.183561643835616</v>
      </c>
      <c r="L93" s="148">
        <f t="shared" si="63"/>
        <v>0.62154617259994649</v>
      </c>
      <c r="M93" s="106">
        <v>342.74</v>
      </c>
      <c r="N93" s="106">
        <f t="shared" si="39"/>
        <v>2.5362300726332561</v>
      </c>
      <c r="O93" s="106">
        <v>9</v>
      </c>
      <c r="P93" s="108">
        <f t="shared" si="64"/>
        <v>0.95424250943932487</v>
      </c>
      <c r="Q93" s="59">
        <v>2.3199999999999998</v>
      </c>
      <c r="R93" s="65">
        <f t="shared" si="65"/>
        <v>0.36548798489089962</v>
      </c>
      <c r="S93" s="154">
        <f t="shared" si="40"/>
        <v>-1</v>
      </c>
      <c r="T93" s="119">
        <f t="shared" si="41"/>
        <v>-1</v>
      </c>
      <c r="U93" s="106">
        <v>1669.0315179326171</v>
      </c>
      <c r="V93" s="106">
        <f t="shared" si="42"/>
        <v>3.22246453795844</v>
      </c>
      <c r="W93" s="106">
        <v>5094.7953145755328</v>
      </c>
      <c r="X93" s="106">
        <f t="shared" si="43"/>
        <v>3.7071267407396937</v>
      </c>
      <c r="Y93" s="118">
        <v>569.16666666666697</v>
      </c>
      <c r="Z93" s="118">
        <f t="shared" si="44"/>
        <v>2.756001823801419</v>
      </c>
      <c r="AA93" s="106">
        <v>70</v>
      </c>
      <c r="AB93" s="108">
        <f t="shared" si="66"/>
        <v>1.8450980400142569</v>
      </c>
      <c r="AC93" s="119">
        <v>42.9</v>
      </c>
      <c r="AD93" s="127">
        <f t="shared" si="67"/>
        <v>1.6324572921847242</v>
      </c>
      <c r="AE93" s="120">
        <v>53.2941466273667</v>
      </c>
      <c r="AF93" s="128">
        <f t="shared" si="68"/>
        <v>1.7266795124593939</v>
      </c>
      <c r="AG93" s="152">
        <v>0.38</v>
      </c>
      <c r="AH93" s="119">
        <f t="shared" si="45"/>
        <v>0.13987908640123647</v>
      </c>
      <c r="AI93" s="106">
        <v>18</v>
      </c>
      <c r="AJ93" s="108">
        <f t="shared" si="69"/>
        <v>1.255272505103306</v>
      </c>
      <c r="AK93" s="106">
        <f t="shared" si="46"/>
        <v>1</v>
      </c>
      <c r="AL93" s="106">
        <f t="shared" si="47"/>
        <v>0</v>
      </c>
      <c r="AM93" s="106">
        <f t="shared" si="48"/>
        <v>0</v>
      </c>
      <c r="AN93" s="106">
        <f t="shared" si="49"/>
        <v>0</v>
      </c>
      <c r="AO93" s="106">
        <f t="shared" si="50"/>
        <v>0</v>
      </c>
      <c r="AP93" s="106">
        <f t="shared" si="51"/>
        <v>0</v>
      </c>
      <c r="AQ93" s="106">
        <f t="shared" si="52"/>
        <v>0</v>
      </c>
      <c r="AR93" s="106">
        <f t="shared" si="53"/>
        <v>1</v>
      </c>
      <c r="AS93" s="106">
        <f t="shared" si="54"/>
        <v>0</v>
      </c>
      <c r="AT93" s="106">
        <f t="shared" si="55"/>
        <v>0</v>
      </c>
      <c r="AU93" s="106">
        <f t="shared" si="56"/>
        <v>0</v>
      </c>
      <c r="AV93" s="106">
        <f t="shared" si="57"/>
        <v>0</v>
      </c>
      <c r="AW93" s="106">
        <f t="shared" si="58"/>
        <v>0</v>
      </c>
      <c r="AX93" s="106">
        <f t="shared" si="59"/>
        <v>0</v>
      </c>
      <c r="AY93" s="106">
        <f t="shared" si="60"/>
        <v>0</v>
      </c>
      <c r="AZ93" s="106">
        <f t="shared" si="61"/>
        <v>0</v>
      </c>
      <c r="BA93" s="107">
        <f t="shared" si="62"/>
        <v>0</v>
      </c>
    </row>
    <row r="94" spans="1:53" x14ac:dyDescent="0.35">
      <c r="A94" s="146">
        <v>38628</v>
      </c>
      <c r="B94" s="108" t="s">
        <v>45</v>
      </c>
      <c r="C94" s="108" t="s">
        <v>47</v>
      </c>
      <c r="D94" s="84">
        <f t="shared" si="35"/>
        <v>0</v>
      </c>
      <c r="E94" s="108" t="s">
        <v>190</v>
      </c>
      <c r="F94" s="84">
        <f t="shared" si="36"/>
        <v>2</v>
      </c>
      <c r="G94" s="108">
        <v>360000000</v>
      </c>
      <c r="H94" s="84">
        <f t="shared" si="37"/>
        <v>8.5563025007672877</v>
      </c>
      <c r="I94" s="146">
        <v>40002</v>
      </c>
      <c r="J94" s="108">
        <v>0</v>
      </c>
      <c r="K94" s="148">
        <f t="shared" si="38"/>
        <v>3.7643835616438355</v>
      </c>
      <c r="L94" s="148">
        <f t="shared" si="63"/>
        <v>0.57569386826705693</v>
      </c>
      <c r="M94" s="108">
        <v>0</v>
      </c>
      <c r="N94" s="108">
        <f t="shared" si="39"/>
        <v>0</v>
      </c>
      <c r="O94" s="108">
        <v>0</v>
      </c>
      <c r="P94" s="108">
        <f t="shared" si="64"/>
        <v>0</v>
      </c>
      <c r="Q94" s="65">
        <v>2.95</v>
      </c>
      <c r="R94" s="65">
        <f t="shared" si="65"/>
        <v>0.46982201597816303</v>
      </c>
      <c r="S94" s="155">
        <f t="shared" si="40"/>
        <v>-1</v>
      </c>
      <c r="T94" s="127">
        <f t="shared" si="41"/>
        <v>-1</v>
      </c>
      <c r="U94" s="108">
        <v>1421.558</v>
      </c>
      <c r="V94" s="108">
        <f t="shared" si="42"/>
        <v>3.1527645837352773</v>
      </c>
      <c r="W94" s="108">
        <v>3476.3409999999999</v>
      </c>
      <c r="X94" s="108">
        <f t="shared" si="43"/>
        <v>3.5411223705253856</v>
      </c>
      <c r="Y94" s="108">
        <v>0</v>
      </c>
      <c r="Z94" s="126">
        <f t="shared" si="44"/>
        <v>0</v>
      </c>
      <c r="AA94" s="108">
        <v>85</v>
      </c>
      <c r="AB94" s="108">
        <f t="shared" si="66"/>
        <v>1.9294189257142926</v>
      </c>
      <c r="AC94" s="127">
        <v>25.9</v>
      </c>
      <c r="AD94" s="127">
        <f t="shared" si="67"/>
        <v>1.4132997640812519</v>
      </c>
      <c r="AE94" s="128">
        <v>36.959146749272797</v>
      </c>
      <c r="AF94" s="128">
        <f t="shared" si="68"/>
        <v>1.5677219364019672</v>
      </c>
      <c r="AG94" s="153">
        <v>-0.16</v>
      </c>
      <c r="AH94" s="127">
        <f t="shared" si="45"/>
        <v>-7.5720713938118356E-2</v>
      </c>
      <c r="AI94" s="108">
        <v>5</v>
      </c>
      <c r="AJ94" s="108">
        <f t="shared" si="69"/>
        <v>0.69897000433601886</v>
      </c>
      <c r="AK94" s="108">
        <f t="shared" si="46"/>
        <v>1</v>
      </c>
      <c r="AL94" s="108">
        <f t="shared" si="47"/>
        <v>1</v>
      </c>
      <c r="AM94" s="108">
        <f t="shared" si="48"/>
        <v>0</v>
      </c>
      <c r="AN94" s="108">
        <f t="shared" si="49"/>
        <v>0</v>
      </c>
      <c r="AO94" s="108">
        <f t="shared" si="50"/>
        <v>0</v>
      </c>
      <c r="AP94" s="108">
        <f t="shared" si="51"/>
        <v>0</v>
      </c>
      <c r="AQ94" s="108">
        <f t="shared" si="52"/>
        <v>0</v>
      </c>
      <c r="AR94" s="108">
        <f t="shared" si="53"/>
        <v>0</v>
      </c>
      <c r="AS94" s="108">
        <f t="shared" si="54"/>
        <v>0</v>
      </c>
      <c r="AT94" s="108">
        <f t="shared" si="55"/>
        <v>0</v>
      </c>
      <c r="AU94" s="108">
        <f t="shared" si="56"/>
        <v>0</v>
      </c>
      <c r="AV94" s="108">
        <f t="shared" si="57"/>
        <v>0</v>
      </c>
      <c r="AW94" s="108">
        <f t="shared" si="58"/>
        <v>0</v>
      </c>
      <c r="AX94" s="108">
        <f t="shared" si="59"/>
        <v>0</v>
      </c>
      <c r="AY94" s="108">
        <f t="shared" si="60"/>
        <v>0</v>
      </c>
      <c r="AZ94" s="108">
        <f t="shared" si="61"/>
        <v>0</v>
      </c>
      <c r="BA94" s="109">
        <f t="shared" si="62"/>
        <v>0</v>
      </c>
    </row>
    <row r="95" spans="1:53" x14ac:dyDescent="0.35">
      <c r="A95" s="143">
        <v>38628</v>
      </c>
      <c r="B95" s="106" t="s">
        <v>45</v>
      </c>
      <c r="C95" s="106" t="s">
        <v>47</v>
      </c>
      <c r="D95" s="83">
        <f t="shared" si="35"/>
        <v>0</v>
      </c>
      <c r="E95" s="106" t="s">
        <v>190</v>
      </c>
      <c r="F95" s="83">
        <f t="shared" si="36"/>
        <v>2</v>
      </c>
      <c r="G95" s="106">
        <v>270000000</v>
      </c>
      <c r="H95" s="83">
        <f t="shared" si="37"/>
        <v>8.4313637641589878</v>
      </c>
      <c r="I95" s="143">
        <v>40002</v>
      </c>
      <c r="J95" s="106">
        <v>0</v>
      </c>
      <c r="K95" s="145">
        <f t="shared" si="38"/>
        <v>3.7643835616438355</v>
      </c>
      <c r="L95" s="148">
        <f t="shared" si="63"/>
        <v>0.57569386826705693</v>
      </c>
      <c r="M95" s="106">
        <v>0</v>
      </c>
      <c r="N95" s="106">
        <f t="shared" si="39"/>
        <v>0</v>
      </c>
      <c r="O95" s="106">
        <v>15</v>
      </c>
      <c r="P95" s="108">
        <f t="shared" si="64"/>
        <v>1.1760912590556813</v>
      </c>
      <c r="Q95" s="59">
        <v>2.95</v>
      </c>
      <c r="R95" s="65">
        <f t="shared" si="65"/>
        <v>0.46982201597816303</v>
      </c>
      <c r="S95" s="154">
        <f t="shared" si="40"/>
        <v>-1</v>
      </c>
      <c r="T95" s="119">
        <f t="shared" si="41"/>
        <v>-1</v>
      </c>
      <c r="U95" s="106">
        <v>1421.558</v>
      </c>
      <c r="V95" s="106">
        <f t="shared" si="42"/>
        <v>3.1527645837352773</v>
      </c>
      <c r="W95" s="106">
        <v>3476.3409999999999</v>
      </c>
      <c r="X95" s="106">
        <f t="shared" si="43"/>
        <v>3.5411223705253856</v>
      </c>
      <c r="Y95" s="106">
        <v>0</v>
      </c>
      <c r="Z95" s="118">
        <f t="shared" si="44"/>
        <v>0</v>
      </c>
      <c r="AA95" s="106">
        <v>85</v>
      </c>
      <c r="AB95" s="108">
        <f t="shared" si="66"/>
        <v>1.9294189257142926</v>
      </c>
      <c r="AC95" s="119">
        <v>25.9</v>
      </c>
      <c r="AD95" s="127">
        <f t="shared" si="67"/>
        <v>1.4132997640812519</v>
      </c>
      <c r="AE95" s="120">
        <v>36.959146749272797</v>
      </c>
      <c r="AF95" s="128">
        <f t="shared" si="68"/>
        <v>1.5677219364019672</v>
      </c>
      <c r="AG95" s="152">
        <v>-0.17</v>
      </c>
      <c r="AH95" s="119">
        <f t="shared" si="45"/>
        <v>-8.092190762392612E-2</v>
      </c>
      <c r="AI95" s="106">
        <v>4</v>
      </c>
      <c r="AJ95" s="108">
        <f t="shared" si="69"/>
        <v>0.6020599913279624</v>
      </c>
      <c r="AK95" s="106">
        <f t="shared" si="46"/>
        <v>1</v>
      </c>
      <c r="AL95" s="106">
        <f t="shared" si="47"/>
        <v>1</v>
      </c>
      <c r="AM95" s="106">
        <f t="shared" si="48"/>
        <v>0</v>
      </c>
      <c r="AN95" s="106">
        <f t="shared" si="49"/>
        <v>0</v>
      </c>
      <c r="AO95" s="106">
        <f t="shared" si="50"/>
        <v>0</v>
      </c>
      <c r="AP95" s="106">
        <f t="shared" si="51"/>
        <v>0</v>
      </c>
      <c r="AQ95" s="106">
        <f t="shared" si="52"/>
        <v>0</v>
      </c>
      <c r="AR95" s="106">
        <f t="shared" si="53"/>
        <v>0</v>
      </c>
      <c r="AS95" s="106">
        <f t="shared" si="54"/>
        <v>0</v>
      </c>
      <c r="AT95" s="106">
        <f t="shared" si="55"/>
        <v>0</v>
      </c>
      <c r="AU95" s="106">
        <f t="shared" si="56"/>
        <v>0</v>
      </c>
      <c r="AV95" s="106">
        <f t="shared" si="57"/>
        <v>0</v>
      </c>
      <c r="AW95" s="106">
        <f t="shared" si="58"/>
        <v>0</v>
      </c>
      <c r="AX95" s="106">
        <f t="shared" si="59"/>
        <v>0</v>
      </c>
      <c r="AY95" s="106">
        <f t="shared" si="60"/>
        <v>0</v>
      </c>
      <c r="AZ95" s="106">
        <f t="shared" si="61"/>
        <v>0</v>
      </c>
      <c r="BA95" s="107">
        <f t="shared" si="62"/>
        <v>0</v>
      </c>
    </row>
    <row r="96" spans="1:53" x14ac:dyDescent="0.35">
      <c r="A96" s="146">
        <v>38677</v>
      </c>
      <c r="B96" s="108" t="s">
        <v>59</v>
      </c>
      <c r="C96" s="108" t="s">
        <v>64</v>
      </c>
      <c r="D96" s="84">
        <f t="shared" si="35"/>
        <v>1</v>
      </c>
      <c r="E96" s="108" t="s">
        <v>326</v>
      </c>
      <c r="F96" s="84">
        <f t="shared" si="36"/>
        <v>8</v>
      </c>
      <c r="G96" s="108">
        <v>53260000</v>
      </c>
      <c r="H96" s="84">
        <f t="shared" si="37"/>
        <v>7.7264011621029223</v>
      </c>
      <c r="I96" s="146">
        <v>39819</v>
      </c>
      <c r="J96" s="108">
        <v>53200000</v>
      </c>
      <c r="K96" s="148">
        <f t="shared" si="38"/>
        <v>3.128767123287671</v>
      </c>
      <c r="L96" s="148">
        <f t="shared" si="63"/>
        <v>0.49537323945335449</v>
      </c>
      <c r="M96" s="108">
        <v>5897.96</v>
      </c>
      <c r="N96" s="108">
        <f t="shared" si="39"/>
        <v>3.7707754512906644</v>
      </c>
      <c r="O96" s="108">
        <v>79</v>
      </c>
      <c r="P96" s="108">
        <f t="shared" si="64"/>
        <v>1.8976270912904414</v>
      </c>
      <c r="Q96" s="65">
        <v>2.3199999999999998</v>
      </c>
      <c r="R96" s="65">
        <f t="shared" si="65"/>
        <v>0.36548798489089962</v>
      </c>
      <c r="S96" s="155">
        <f t="shared" si="40"/>
        <v>-1.1265490048817384E-3</v>
      </c>
      <c r="T96" s="127">
        <f t="shared" si="41"/>
        <v>-4.8952980787425474E-4</v>
      </c>
      <c r="U96" s="108">
        <v>1246.953</v>
      </c>
      <c r="V96" s="108">
        <f t="shared" si="42"/>
        <v>3.0958500844125241</v>
      </c>
      <c r="W96" s="108">
        <v>3219.7179999999998</v>
      </c>
      <c r="X96" s="108">
        <f t="shared" si="43"/>
        <v>3.5078178355445662</v>
      </c>
      <c r="Y96" s="126">
        <v>132</v>
      </c>
      <c r="Z96" s="126">
        <f t="shared" si="44"/>
        <v>2.1238516409670858</v>
      </c>
      <c r="AA96" s="108">
        <v>85</v>
      </c>
      <c r="AB96" s="108">
        <f t="shared" si="66"/>
        <v>1.9294189257142926</v>
      </c>
      <c r="AC96" s="127">
        <v>32.700000000000003</v>
      </c>
      <c r="AD96" s="127">
        <f t="shared" si="67"/>
        <v>1.5145477526602862</v>
      </c>
      <c r="AE96" s="128">
        <v>41.286751495766303</v>
      </c>
      <c r="AF96" s="128">
        <f t="shared" si="68"/>
        <v>1.6158107132703448</v>
      </c>
      <c r="AG96" s="153">
        <v>0.25</v>
      </c>
      <c r="AH96" s="127">
        <f t="shared" si="45"/>
        <v>9.691001300805642E-2</v>
      </c>
      <c r="AI96" s="108">
        <v>2</v>
      </c>
      <c r="AJ96" s="108">
        <f t="shared" si="69"/>
        <v>0.3010299956639812</v>
      </c>
      <c r="AK96" s="108">
        <f t="shared" si="46"/>
        <v>0</v>
      </c>
      <c r="AL96" s="108">
        <f t="shared" si="47"/>
        <v>0</v>
      </c>
      <c r="AM96" s="108">
        <f t="shared" si="48"/>
        <v>1</v>
      </c>
      <c r="AN96" s="108">
        <f t="shared" si="49"/>
        <v>0</v>
      </c>
      <c r="AO96" s="108">
        <f t="shared" si="50"/>
        <v>0</v>
      </c>
      <c r="AP96" s="108">
        <f t="shared" si="51"/>
        <v>0</v>
      </c>
      <c r="AQ96" s="108">
        <f t="shared" si="52"/>
        <v>0</v>
      </c>
      <c r="AR96" s="108">
        <f t="shared" si="53"/>
        <v>0</v>
      </c>
      <c r="AS96" s="108">
        <f t="shared" si="54"/>
        <v>0</v>
      </c>
      <c r="AT96" s="108">
        <f t="shared" si="55"/>
        <v>0</v>
      </c>
      <c r="AU96" s="108">
        <f t="shared" si="56"/>
        <v>0</v>
      </c>
      <c r="AV96" s="108">
        <f t="shared" si="57"/>
        <v>0</v>
      </c>
      <c r="AW96" s="108">
        <f t="shared" si="58"/>
        <v>0</v>
      </c>
      <c r="AX96" s="108">
        <f t="shared" si="59"/>
        <v>0</v>
      </c>
      <c r="AY96" s="108">
        <f t="shared" si="60"/>
        <v>0</v>
      </c>
      <c r="AZ96" s="108">
        <f t="shared" si="61"/>
        <v>0</v>
      </c>
      <c r="BA96" s="109">
        <f t="shared" si="62"/>
        <v>0</v>
      </c>
    </row>
    <row r="97" spans="1:53" x14ac:dyDescent="0.35">
      <c r="A97" s="143">
        <v>38799</v>
      </c>
      <c r="B97" s="106" t="s">
        <v>45</v>
      </c>
      <c r="C97" s="106" t="s">
        <v>102</v>
      </c>
      <c r="D97" s="83">
        <f t="shared" si="35"/>
        <v>0</v>
      </c>
      <c r="E97" s="106" t="s">
        <v>248</v>
      </c>
      <c r="F97" s="83">
        <f t="shared" si="36"/>
        <v>5</v>
      </c>
      <c r="G97" s="106">
        <v>8800000000</v>
      </c>
      <c r="H97" s="83">
        <f t="shared" si="37"/>
        <v>9.9444826721501691</v>
      </c>
      <c r="I97" s="143">
        <v>40111</v>
      </c>
      <c r="J97" s="106">
        <v>0</v>
      </c>
      <c r="K97" s="145">
        <f t="shared" si="38"/>
        <v>3.5945205479452054</v>
      </c>
      <c r="L97" s="148">
        <f t="shared" si="63"/>
        <v>0.55564097058316675</v>
      </c>
      <c r="M97" s="106">
        <v>0</v>
      </c>
      <c r="N97" s="106">
        <f t="shared" si="39"/>
        <v>0</v>
      </c>
      <c r="O97" s="106">
        <v>8</v>
      </c>
      <c r="P97" s="108">
        <f t="shared" si="64"/>
        <v>0.90308998699194354</v>
      </c>
      <c r="Q97" s="59">
        <v>2.95</v>
      </c>
      <c r="R97" s="65">
        <f t="shared" si="65"/>
        <v>0.46982201597816303</v>
      </c>
      <c r="S97" s="154">
        <f t="shared" si="40"/>
        <v>-1</v>
      </c>
      <c r="T97" s="119">
        <f t="shared" si="41"/>
        <v>-1</v>
      </c>
      <c r="U97" s="106">
        <v>1171.498</v>
      </c>
      <c r="V97" s="106">
        <f t="shared" si="42"/>
        <v>3.0687415514991745</v>
      </c>
      <c r="W97" s="106">
        <v>3386.1060000000002</v>
      </c>
      <c r="X97" s="106">
        <f t="shared" si="43"/>
        <v>3.5297005493117593</v>
      </c>
      <c r="Y97" s="118">
        <v>0</v>
      </c>
      <c r="Z97" s="118">
        <f t="shared" si="44"/>
        <v>0</v>
      </c>
      <c r="AA97" s="106">
        <v>93.2</v>
      </c>
      <c r="AB97" s="108">
        <f t="shared" si="66"/>
        <v>1.9694159123539814</v>
      </c>
      <c r="AC97" s="119">
        <v>26.7</v>
      </c>
      <c r="AD97" s="127">
        <f t="shared" si="67"/>
        <v>1.4265112613645752</v>
      </c>
      <c r="AE97" s="120">
        <v>36.669158714517401</v>
      </c>
      <c r="AF97" s="128">
        <f t="shared" si="68"/>
        <v>1.5643009462345601</v>
      </c>
      <c r="AG97" s="152">
        <v>0.72</v>
      </c>
      <c r="AH97" s="119">
        <f t="shared" si="45"/>
        <v>0.2355284469075489</v>
      </c>
      <c r="AI97" s="106">
        <v>79</v>
      </c>
      <c r="AJ97" s="108">
        <f t="shared" si="69"/>
        <v>1.8976270912904414</v>
      </c>
      <c r="AK97" s="106">
        <f t="shared" si="46"/>
        <v>1</v>
      </c>
      <c r="AL97" s="106">
        <f t="shared" si="47"/>
        <v>1</v>
      </c>
      <c r="AM97" s="106">
        <f t="shared" si="48"/>
        <v>0</v>
      </c>
      <c r="AN97" s="106">
        <f t="shared" si="49"/>
        <v>0</v>
      </c>
      <c r="AO97" s="106">
        <f t="shared" si="50"/>
        <v>0</v>
      </c>
      <c r="AP97" s="106">
        <f t="shared" si="51"/>
        <v>0</v>
      </c>
      <c r="AQ97" s="106">
        <f t="shared" si="52"/>
        <v>0</v>
      </c>
      <c r="AR97" s="106">
        <f t="shared" si="53"/>
        <v>0</v>
      </c>
      <c r="AS97" s="106">
        <f t="shared" si="54"/>
        <v>0</v>
      </c>
      <c r="AT97" s="106">
        <f t="shared" si="55"/>
        <v>0</v>
      </c>
      <c r="AU97" s="106">
        <f t="shared" si="56"/>
        <v>0</v>
      </c>
      <c r="AV97" s="106">
        <f t="shared" si="57"/>
        <v>0</v>
      </c>
      <c r="AW97" s="106">
        <f t="shared" si="58"/>
        <v>0</v>
      </c>
      <c r="AX97" s="106">
        <f t="shared" si="59"/>
        <v>0</v>
      </c>
      <c r="AY97" s="106">
        <f t="shared" si="60"/>
        <v>0</v>
      </c>
      <c r="AZ97" s="106">
        <f t="shared" si="61"/>
        <v>0</v>
      </c>
      <c r="BA97" s="107">
        <f t="shared" si="62"/>
        <v>0</v>
      </c>
    </row>
    <row r="98" spans="1:53" x14ac:dyDescent="0.35">
      <c r="A98" s="146">
        <v>38807</v>
      </c>
      <c r="B98" s="108" t="s">
        <v>59</v>
      </c>
      <c r="C98" s="108" t="s">
        <v>64</v>
      </c>
      <c r="D98" s="84">
        <f t="shared" si="35"/>
        <v>1</v>
      </c>
      <c r="E98" s="108" t="s">
        <v>248</v>
      </c>
      <c r="F98" s="84">
        <f t="shared" si="36"/>
        <v>5</v>
      </c>
      <c r="G98" s="108">
        <v>350000000</v>
      </c>
      <c r="H98" s="84">
        <f t="shared" si="37"/>
        <v>8.5440680443502757</v>
      </c>
      <c r="I98" s="146">
        <v>40026</v>
      </c>
      <c r="J98" s="108">
        <v>313000000</v>
      </c>
      <c r="K98" s="148">
        <f t="shared" si="38"/>
        <v>3.3397260273972602</v>
      </c>
      <c r="L98" s="148">
        <f t="shared" si="63"/>
        <v>0.52371084116190725</v>
      </c>
      <c r="M98" s="108">
        <v>5897.96</v>
      </c>
      <c r="N98" s="108">
        <f t="shared" si="39"/>
        <v>3.7707754512906644</v>
      </c>
      <c r="O98" s="108">
        <v>41</v>
      </c>
      <c r="P98" s="108">
        <f t="shared" si="64"/>
        <v>1.6127838567197355</v>
      </c>
      <c r="Q98" s="65">
        <v>2.3199999999999998</v>
      </c>
      <c r="R98" s="65">
        <f t="shared" si="65"/>
        <v>0.36548798489089962</v>
      </c>
      <c r="S98" s="155">
        <f t="shared" si="40"/>
        <v>-0.10571428571428576</v>
      </c>
      <c r="T98" s="127">
        <f t="shared" si="41"/>
        <v>-4.8523706803827171E-2</v>
      </c>
      <c r="U98" s="108">
        <v>1246.953</v>
      </c>
      <c r="V98" s="108">
        <f t="shared" si="42"/>
        <v>3.0958500844125241</v>
      </c>
      <c r="W98" s="108">
        <v>3219.7179999999998</v>
      </c>
      <c r="X98" s="108">
        <f t="shared" si="43"/>
        <v>3.5078178355445662</v>
      </c>
      <c r="Y98" s="126">
        <v>132</v>
      </c>
      <c r="Z98" s="126">
        <f t="shared" si="44"/>
        <v>2.1238516409670858</v>
      </c>
      <c r="AA98" s="108">
        <v>91.5</v>
      </c>
      <c r="AB98" s="108">
        <f t="shared" si="66"/>
        <v>1.9614210940664483</v>
      </c>
      <c r="AC98" s="127">
        <v>32.9</v>
      </c>
      <c r="AD98" s="127">
        <f t="shared" si="67"/>
        <v>1.5171958979499742</v>
      </c>
      <c r="AE98" s="128">
        <v>40.767390998852598</v>
      </c>
      <c r="AF98" s="128">
        <f t="shared" si="68"/>
        <v>1.6103129186864549</v>
      </c>
      <c r="AG98" s="153">
        <v>0.52</v>
      </c>
      <c r="AH98" s="127">
        <f t="shared" si="45"/>
        <v>0.18184358794477254</v>
      </c>
      <c r="AI98" s="108">
        <v>31</v>
      </c>
      <c r="AJ98" s="108">
        <f t="shared" si="69"/>
        <v>1.4913616938342726</v>
      </c>
      <c r="AK98" s="108">
        <f t="shared" si="46"/>
        <v>0</v>
      </c>
      <c r="AL98" s="108">
        <f t="shared" si="47"/>
        <v>0</v>
      </c>
      <c r="AM98" s="108">
        <f t="shared" si="48"/>
        <v>1</v>
      </c>
      <c r="AN98" s="108">
        <f t="shared" si="49"/>
        <v>0</v>
      </c>
      <c r="AO98" s="108">
        <f t="shared" si="50"/>
        <v>0</v>
      </c>
      <c r="AP98" s="108">
        <f t="shared" si="51"/>
        <v>0</v>
      </c>
      <c r="AQ98" s="108">
        <f t="shared" si="52"/>
        <v>0</v>
      </c>
      <c r="AR98" s="108">
        <f t="shared" si="53"/>
        <v>0</v>
      </c>
      <c r="AS98" s="108">
        <f t="shared" si="54"/>
        <v>0</v>
      </c>
      <c r="AT98" s="108">
        <f t="shared" si="55"/>
        <v>0</v>
      </c>
      <c r="AU98" s="108">
        <f t="shared" si="56"/>
        <v>0</v>
      </c>
      <c r="AV98" s="108">
        <f t="shared" si="57"/>
        <v>0</v>
      </c>
      <c r="AW98" s="108">
        <f t="shared" si="58"/>
        <v>0</v>
      </c>
      <c r="AX98" s="108">
        <f t="shared" si="59"/>
        <v>0</v>
      </c>
      <c r="AY98" s="108">
        <f t="shared" si="60"/>
        <v>0</v>
      </c>
      <c r="AZ98" s="108">
        <f t="shared" si="61"/>
        <v>0</v>
      </c>
      <c r="BA98" s="109">
        <f t="shared" si="62"/>
        <v>0</v>
      </c>
    </row>
    <row r="99" spans="1:53" x14ac:dyDescent="0.35">
      <c r="A99" s="143">
        <v>38993</v>
      </c>
      <c r="B99" s="106" t="s">
        <v>45</v>
      </c>
      <c r="C99" s="106" t="s">
        <v>47</v>
      </c>
      <c r="D99" s="83">
        <f t="shared" si="35"/>
        <v>0</v>
      </c>
      <c r="E99" s="106" t="s">
        <v>235</v>
      </c>
      <c r="F99" s="83">
        <f t="shared" si="36"/>
        <v>1</v>
      </c>
      <c r="G99" s="106">
        <v>50000000</v>
      </c>
      <c r="H99" s="83">
        <f t="shared" si="37"/>
        <v>7.6989700043360187</v>
      </c>
      <c r="I99" s="143">
        <v>39947</v>
      </c>
      <c r="J99" s="106">
        <v>185000000</v>
      </c>
      <c r="K99" s="145">
        <f t="shared" si="38"/>
        <v>2.6136986301369864</v>
      </c>
      <c r="L99" s="148">
        <f t="shared" si="63"/>
        <v>0.41725551024762042</v>
      </c>
      <c r="M99" s="106">
        <v>0</v>
      </c>
      <c r="N99" s="106">
        <f t="shared" si="39"/>
        <v>0</v>
      </c>
      <c r="O99" s="106">
        <v>3</v>
      </c>
      <c r="P99" s="108">
        <f t="shared" si="64"/>
        <v>0.47712125471966244</v>
      </c>
      <c r="Q99" s="59">
        <v>2.95</v>
      </c>
      <c r="R99" s="65">
        <f t="shared" si="65"/>
        <v>0.46982201597816303</v>
      </c>
      <c r="S99" s="154">
        <f t="shared" si="40"/>
        <v>2.7</v>
      </c>
      <c r="T99" s="119">
        <f t="shared" si="41"/>
        <v>0.56820172406699498</v>
      </c>
      <c r="U99" s="106">
        <v>2229.0809327846364</v>
      </c>
      <c r="V99" s="106">
        <f t="shared" si="42"/>
        <v>3.3481258369969185</v>
      </c>
      <c r="W99" s="106">
        <v>7475.9945130315509</v>
      </c>
      <c r="X99" s="106">
        <f t="shared" si="43"/>
        <v>3.8736689739586678</v>
      </c>
      <c r="Y99" s="118">
        <v>0</v>
      </c>
      <c r="Z99" s="118">
        <f t="shared" si="44"/>
        <v>0</v>
      </c>
      <c r="AA99" s="106">
        <v>93.2</v>
      </c>
      <c r="AB99" s="108">
        <f t="shared" si="66"/>
        <v>1.9694159123539814</v>
      </c>
      <c r="AC99" s="119">
        <v>26.7</v>
      </c>
      <c r="AD99" s="127">
        <f t="shared" si="67"/>
        <v>1.4265112613645752</v>
      </c>
      <c r="AE99" s="120">
        <v>36.669158714517401</v>
      </c>
      <c r="AF99" s="128">
        <f t="shared" si="68"/>
        <v>1.5643009462345601</v>
      </c>
      <c r="AG99" s="152">
        <v>0.05</v>
      </c>
      <c r="AH99" s="119">
        <f t="shared" si="45"/>
        <v>2.1189299069938092E-2</v>
      </c>
      <c r="AI99" s="106">
        <v>13</v>
      </c>
      <c r="AJ99" s="108">
        <f t="shared" si="69"/>
        <v>1.1139433523068367</v>
      </c>
      <c r="AK99" s="106">
        <f t="shared" si="46"/>
        <v>0</v>
      </c>
      <c r="AL99" s="106">
        <f t="shared" si="47"/>
        <v>1</v>
      </c>
      <c r="AM99" s="106">
        <f t="shared" si="48"/>
        <v>0</v>
      </c>
      <c r="AN99" s="106">
        <f t="shared" si="49"/>
        <v>0</v>
      </c>
      <c r="AO99" s="106">
        <f t="shared" si="50"/>
        <v>0</v>
      </c>
      <c r="AP99" s="106">
        <f t="shared" si="51"/>
        <v>0</v>
      </c>
      <c r="AQ99" s="106">
        <f t="shared" si="52"/>
        <v>0</v>
      </c>
      <c r="AR99" s="106">
        <f t="shared" si="53"/>
        <v>0</v>
      </c>
      <c r="AS99" s="106">
        <f t="shared" si="54"/>
        <v>0</v>
      </c>
      <c r="AT99" s="106">
        <f t="shared" si="55"/>
        <v>0</v>
      </c>
      <c r="AU99" s="106">
        <f t="shared" si="56"/>
        <v>0</v>
      </c>
      <c r="AV99" s="106">
        <f t="shared" si="57"/>
        <v>0</v>
      </c>
      <c r="AW99" s="106">
        <f t="shared" si="58"/>
        <v>0</v>
      </c>
      <c r="AX99" s="106">
        <f t="shared" si="59"/>
        <v>0</v>
      </c>
      <c r="AY99" s="106">
        <f t="shared" si="60"/>
        <v>0</v>
      </c>
      <c r="AZ99" s="106">
        <f t="shared" si="61"/>
        <v>0</v>
      </c>
      <c r="BA99" s="107">
        <f t="shared" si="62"/>
        <v>0</v>
      </c>
    </row>
    <row r="100" spans="1:53" x14ac:dyDescent="0.35">
      <c r="A100" s="146">
        <v>39071</v>
      </c>
      <c r="B100" s="108" t="s">
        <v>45</v>
      </c>
      <c r="C100" s="108" t="s">
        <v>47</v>
      </c>
      <c r="D100" s="84">
        <f t="shared" si="35"/>
        <v>0</v>
      </c>
      <c r="E100" s="108" t="s">
        <v>326</v>
      </c>
      <c r="F100" s="84">
        <f t="shared" si="36"/>
        <v>8</v>
      </c>
      <c r="G100" s="108">
        <v>2301620000</v>
      </c>
      <c r="H100" s="84">
        <f t="shared" si="37"/>
        <v>9.3620336227143426</v>
      </c>
      <c r="I100" s="146">
        <v>39856</v>
      </c>
      <c r="J100" s="108">
        <v>0</v>
      </c>
      <c r="K100" s="148">
        <f t="shared" si="38"/>
        <v>2.1506849315068495</v>
      </c>
      <c r="L100" s="148">
        <f t="shared" si="63"/>
        <v>0.33257679228877784</v>
      </c>
      <c r="M100" s="108">
        <v>0</v>
      </c>
      <c r="N100" s="108">
        <f t="shared" si="39"/>
        <v>0</v>
      </c>
      <c r="O100" s="108">
        <v>2</v>
      </c>
      <c r="P100" s="108">
        <f t="shared" si="64"/>
        <v>0.3010299956639812</v>
      </c>
      <c r="Q100" s="65">
        <v>2.95</v>
      </c>
      <c r="R100" s="65">
        <f t="shared" si="65"/>
        <v>0.46982201597816303</v>
      </c>
      <c r="S100" s="155">
        <f t="shared" si="40"/>
        <v>-1</v>
      </c>
      <c r="T100" s="127">
        <f t="shared" si="41"/>
        <v>-1</v>
      </c>
      <c r="U100" s="108">
        <v>1455.046</v>
      </c>
      <c r="V100" s="108">
        <f t="shared" si="42"/>
        <v>3.1628767233771686</v>
      </c>
      <c r="W100" s="108">
        <v>4062.5129999999999</v>
      </c>
      <c r="X100" s="108">
        <f t="shared" si="43"/>
        <v>3.6087947637270492</v>
      </c>
      <c r="Y100" s="108">
        <v>0</v>
      </c>
      <c r="Z100" s="126">
        <f t="shared" si="44"/>
        <v>0</v>
      </c>
      <c r="AA100" s="108">
        <v>93.2</v>
      </c>
      <c r="AB100" s="108">
        <f t="shared" si="66"/>
        <v>1.9694159123539814</v>
      </c>
      <c r="AC100" s="127">
        <v>26.7</v>
      </c>
      <c r="AD100" s="127">
        <f t="shared" si="67"/>
        <v>1.4265112613645752</v>
      </c>
      <c r="AE100" s="128">
        <v>36.669158714517401</v>
      </c>
      <c r="AF100" s="128">
        <f t="shared" si="68"/>
        <v>1.5643009462345601</v>
      </c>
      <c r="AG100" s="153">
        <v>-0.24</v>
      </c>
      <c r="AH100" s="127">
        <f t="shared" si="45"/>
        <v>-0.11918640771920865</v>
      </c>
      <c r="AI100" s="108">
        <v>19</v>
      </c>
      <c r="AJ100" s="108">
        <f t="shared" si="69"/>
        <v>1.2787536009528289</v>
      </c>
      <c r="AK100" s="108">
        <f t="shared" si="46"/>
        <v>1</v>
      </c>
      <c r="AL100" s="108">
        <f t="shared" si="47"/>
        <v>1</v>
      </c>
      <c r="AM100" s="108">
        <f t="shared" si="48"/>
        <v>0</v>
      </c>
      <c r="AN100" s="108">
        <f t="shared" si="49"/>
        <v>0</v>
      </c>
      <c r="AO100" s="108">
        <f t="shared" si="50"/>
        <v>0</v>
      </c>
      <c r="AP100" s="108">
        <f t="shared" si="51"/>
        <v>0</v>
      </c>
      <c r="AQ100" s="108">
        <f t="shared" si="52"/>
        <v>0</v>
      </c>
      <c r="AR100" s="108">
        <f t="shared" si="53"/>
        <v>0</v>
      </c>
      <c r="AS100" s="108">
        <f t="shared" si="54"/>
        <v>0</v>
      </c>
      <c r="AT100" s="108">
        <f t="shared" si="55"/>
        <v>0</v>
      </c>
      <c r="AU100" s="108">
        <f t="shared" si="56"/>
        <v>0</v>
      </c>
      <c r="AV100" s="108">
        <f t="shared" si="57"/>
        <v>0</v>
      </c>
      <c r="AW100" s="108">
        <f t="shared" si="58"/>
        <v>0</v>
      </c>
      <c r="AX100" s="108">
        <f t="shared" si="59"/>
        <v>0</v>
      </c>
      <c r="AY100" s="108">
        <f t="shared" si="60"/>
        <v>0</v>
      </c>
      <c r="AZ100" s="108">
        <f t="shared" si="61"/>
        <v>0</v>
      </c>
      <c r="BA100" s="109">
        <f t="shared" si="62"/>
        <v>0</v>
      </c>
    </row>
    <row r="101" spans="1:53" x14ac:dyDescent="0.35">
      <c r="A101" s="143">
        <v>39071</v>
      </c>
      <c r="B101" s="106" t="s">
        <v>45</v>
      </c>
      <c r="C101" s="106" t="s">
        <v>47</v>
      </c>
      <c r="D101" s="83">
        <f t="shared" si="35"/>
        <v>0</v>
      </c>
      <c r="E101" s="106" t="s">
        <v>326</v>
      </c>
      <c r="F101" s="83">
        <f t="shared" si="36"/>
        <v>8</v>
      </c>
      <c r="G101" s="106">
        <v>2301620000</v>
      </c>
      <c r="H101" s="83">
        <f t="shared" si="37"/>
        <v>9.3620336227143426</v>
      </c>
      <c r="I101" s="143">
        <v>39856</v>
      </c>
      <c r="J101" s="106">
        <v>0</v>
      </c>
      <c r="K101" s="145">
        <f t="shared" si="38"/>
        <v>2.1506849315068495</v>
      </c>
      <c r="L101" s="148">
        <f t="shared" si="63"/>
        <v>0.33257679228877784</v>
      </c>
      <c r="M101" s="106">
        <v>0</v>
      </c>
      <c r="N101" s="106">
        <f t="shared" si="39"/>
        <v>0</v>
      </c>
      <c r="O101" s="106">
        <v>2</v>
      </c>
      <c r="P101" s="108">
        <f t="shared" si="64"/>
        <v>0.3010299956639812</v>
      </c>
      <c r="Q101" s="59">
        <v>2.95</v>
      </c>
      <c r="R101" s="65">
        <f t="shared" si="65"/>
        <v>0.46982201597816303</v>
      </c>
      <c r="S101" s="154">
        <f t="shared" si="40"/>
        <v>-1</v>
      </c>
      <c r="T101" s="119">
        <f t="shared" si="41"/>
        <v>-1</v>
      </c>
      <c r="U101" s="106">
        <v>1455.046</v>
      </c>
      <c r="V101" s="106">
        <f t="shared" si="42"/>
        <v>3.1628767233771686</v>
      </c>
      <c r="W101" s="106">
        <v>4062.5129999999999</v>
      </c>
      <c r="X101" s="106">
        <f t="shared" si="43"/>
        <v>3.6087947637270492</v>
      </c>
      <c r="Y101" s="106">
        <v>0</v>
      </c>
      <c r="Z101" s="118">
        <f t="shared" si="44"/>
        <v>0</v>
      </c>
      <c r="AA101" s="106">
        <v>93.2</v>
      </c>
      <c r="AB101" s="108">
        <f t="shared" si="66"/>
        <v>1.9694159123539814</v>
      </c>
      <c r="AC101" s="119">
        <v>26.7</v>
      </c>
      <c r="AD101" s="127">
        <f t="shared" si="67"/>
        <v>1.4265112613645752</v>
      </c>
      <c r="AE101" s="120">
        <v>36.669158714517401</v>
      </c>
      <c r="AF101" s="128">
        <f t="shared" si="68"/>
        <v>1.5643009462345601</v>
      </c>
      <c r="AG101" s="152">
        <v>-0.09</v>
      </c>
      <c r="AH101" s="119">
        <f t="shared" si="45"/>
        <v>-4.0958607678906384E-2</v>
      </c>
      <c r="AI101" s="106">
        <v>17</v>
      </c>
      <c r="AJ101" s="108">
        <f t="shared" si="69"/>
        <v>1.2304489213782739</v>
      </c>
      <c r="AK101" s="106">
        <f t="shared" si="46"/>
        <v>1</v>
      </c>
      <c r="AL101" s="106">
        <f t="shared" si="47"/>
        <v>1</v>
      </c>
      <c r="AM101" s="106">
        <f t="shared" si="48"/>
        <v>0</v>
      </c>
      <c r="AN101" s="106">
        <f t="shared" si="49"/>
        <v>0</v>
      </c>
      <c r="AO101" s="106">
        <f t="shared" si="50"/>
        <v>0</v>
      </c>
      <c r="AP101" s="106">
        <f t="shared" si="51"/>
        <v>0</v>
      </c>
      <c r="AQ101" s="106">
        <f t="shared" si="52"/>
        <v>0</v>
      </c>
      <c r="AR101" s="106">
        <f t="shared" si="53"/>
        <v>0</v>
      </c>
      <c r="AS101" s="106">
        <f t="shared" si="54"/>
        <v>0</v>
      </c>
      <c r="AT101" s="106">
        <f t="shared" si="55"/>
        <v>0</v>
      </c>
      <c r="AU101" s="106">
        <f t="shared" si="56"/>
        <v>0</v>
      </c>
      <c r="AV101" s="106">
        <f t="shared" si="57"/>
        <v>0</v>
      </c>
      <c r="AW101" s="106">
        <f t="shared" si="58"/>
        <v>0</v>
      </c>
      <c r="AX101" s="106">
        <f t="shared" si="59"/>
        <v>0</v>
      </c>
      <c r="AY101" s="106">
        <f t="shared" si="60"/>
        <v>0</v>
      </c>
      <c r="AZ101" s="106">
        <f t="shared" si="61"/>
        <v>0</v>
      </c>
      <c r="BA101" s="107">
        <f t="shared" si="62"/>
        <v>0</v>
      </c>
    </row>
    <row r="102" spans="1:53" x14ac:dyDescent="0.35">
      <c r="A102" s="146">
        <v>39087</v>
      </c>
      <c r="B102" s="108" t="s">
        <v>2</v>
      </c>
      <c r="C102" s="108" t="s">
        <v>64</v>
      </c>
      <c r="D102" s="84">
        <f t="shared" si="35"/>
        <v>1</v>
      </c>
      <c r="E102" s="108" t="s">
        <v>248</v>
      </c>
      <c r="F102" s="84">
        <f t="shared" si="36"/>
        <v>5</v>
      </c>
      <c r="G102" s="108">
        <v>30220000</v>
      </c>
      <c r="H102" s="84">
        <f t="shared" si="37"/>
        <v>7.4802944600030061</v>
      </c>
      <c r="I102" s="146">
        <v>39883</v>
      </c>
      <c r="J102" s="108">
        <v>0</v>
      </c>
      <c r="K102" s="148">
        <f t="shared" si="38"/>
        <v>2.1808219178082191</v>
      </c>
      <c r="L102" s="148">
        <f t="shared" si="63"/>
        <v>0.3386202032811943</v>
      </c>
      <c r="M102" s="108">
        <v>854.67</v>
      </c>
      <c r="N102" s="108">
        <f t="shared" si="39"/>
        <v>2.9323063057851897</v>
      </c>
      <c r="O102" s="108">
        <v>22</v>
      </c>
      <c r="P102" s="108">
        <f t="shared" si="64"/>
        <v>1.3424226808222062</v>
      </c>
      <c r="Q102" s="65">
        <v>3.5</v>
      </c>
      <c r="R102" s="65">
        <f t="shared" si="65"/>
        <v>0.54406804435027567</v>
      </c>
      <c r="S102" s="155">
        <f t="shared" si="40"/>
        <v>-1</v>
      </c>
      <c r="T102" s="127">
        <f t="shared" si="41"/>
        <v>-1</v>
      </c>
      <c r="U102" s="108">
        <v>2288.1257948895832</v>
      </c>
      <c r="V102" s="108">
        <f t="shared" si="42"/>
        <v>3.359479897098526</v>
      </c>
      <c r="W102" s="108">
        <v>8582.4950861371235</v>
      </c>
      <c r="X102" s="108">
        <f t="shared" si="43"/>
        <v>3.9336135634448146</v>
      </c>
      <c r="Y102" s="181">
        <v>854.66666666666663</v>
      </c>
      <c r="Z102" s="126">
        <f t="shared" si="44"/>
        <v>2.9323046139517808</v>
      </c>
      <c r="AA102" s="108">
        <v>88.9</v>
      </c>
      <c r="AB102" s="108">
        <f t="shared" si="66"/>
        <v>1.9489017609702137</v>
      </c>
      <c r="AC102" s="127">
        <v>34.9</v>
      </c>
      <c r="AD102" s="127">
        <f t="shared" si="67"/>
        <v>1.5428254269591799</v>
      </c>
      <c r="AE102" s="128">
        <v>42.817370475444001</v>
      </c>
      <c r="AF102" s="128">
        <f t="shared" si="68"/>
        <v>1.6316199926391717</v>
      </c>
      <c r="AG102" s="153">
        <v>0.06</v>
      </c>
      <c r="AH102" s="127">
        <f t="shared" si="45"/>
        <v>2.5305865264770262E-2</v>
      </c>
      <c r="AI102" s="108">
        <v>15</v>
      </c>
      <c r="AJ102" s="108">
        <f t="shared" si="69"/>
        <v>1.1760912590556813</v>
      </c>
      <c r="AK102" s="108">
        <f t="shared" si="46"/>
        <v>1</v>
      </c>
      <c r="AL102" s="108">
        <f t="shared" si="47"/>
        <v>0</v>
      </c>
      <c r="AM102" s="108">
        <f t="shared" si="48"/>
        <v>0</v>
      </c>
      <c r="AN102" s="108">
        <f t="shared" si="49"/>
        <v>0</v>
      </c>
      <c r="AO102" s="108">
        <f t="shared" si="50"/>
        <v>0</v>
      </c>
      <c r="AP102" s="108">
        <f t="shared" si="51"/>
        <v>0</v>
      </c>
      <c r="AQ102" s="108">
        <f t="shared" si="52"/>
        <v>0</v>
      </c>
      <c r="AR102" s="108">
        <f t="shared" si="53"/>
        <v>0</v>
      </c>
      <c r="AS102" s="108">
        <f t="shared" si="54"/>
        <v>0</v>
      </c>
      <c r="AT102" s="108">
        <f t="shared" si="55"/>
        <v>1</v>
      </c>
      <c r="AU102" s="108">
        <f t="shared" si="56"/>
        <v>0</v>
      </c>
      <c r="AV102" s="108">
        <f t="shared" si="57"/>
        <v>0</v>
      </c>
      <c r="AW102" s="108">
        <f t="shared" si="58"/>
        <v>0</v>
      </c>
      <c r="AX102" s="108">
        <f t="shared" si="59"/>
        <v>0</v>
      </c>
      <c r="AY102" s="108">
        <f t="shared" si="60"/>
        <v>0</v>
      </c>
      <c r="AZ102" s="108">
        <f t="shared" si="61"/>
        <v>0</v>
      </c>
      <c r="BA102" s="109">
        <f t="shared" si="62"/>
        <v>0</v>
      </c>
    </row>
    <row r="103" spans="1:53" x14ac:dyDescent="0.35">
      <c r="A103" s="143">
        <v>39106</v>
      </c>
      <c r="B103" s="106" t="s">
        <v>45</v>
      </c>
      <c r="C103" s="106" t="s">
        <v>47</v>
      </c>
      <c r="D103" s="83">
        <f t="shared" si="35"/>
        <v>0</v>
      </c>
      <c r="E103" s="106" t="s">
        <v>178</v>
      </c>
      <c r="F103" s="83">
        <f t="shared" si="36"/>
        <v>9</v>
      </c>
      <c r="G103" s="106">
        <v>1271390000</v>
      </c>
      <c r="H103" s="83">
        <f t="shared" si="37"/>
        <v>9.1042787912049477</v>
      </c>
      <c r="I103" s="143">
        <v>41288</v>
      </c>
      <c r="J103" s="106">
        <v>1015000000</v>
      </c>
      <c r="K103" s="145">
        <f t="shared" si="38"/>
        <v>5.978082191780822</v>
      </c>
      <c r="L103" s="148">
        <f t="shared" si="63"/>
        <v>0.7765618817958484</v>
      </c>
      <c r="M103" s="106">
        <v>0</v>
      </c>
      <c r="N103" s="106">
        <f t="shared" si="39"/>
        <v>0</v>
      </c>
      <c r="O103" s="106">
        <v>15</v>
      </c>
      <c r="P103" s="108">
        <f t="shared" si="64"/>
        <v>1.1760912590556813</v>
      </c>
      <c r="Q103" s="59">
        <v>2.95</v>
      </c>
      <c r="R103" s="65">
        <f t="shared" si="65"/>
        <v>0.46982201597816303</v>
      </c>
      <c r="S103" s="154">
        <f t="shared" si="40"/>
        <v>-0.20166117399067163</v>
      </c>
      <c r="T103" s="119">
        <f t="shared" si="41"/>
        <v>-9.7812748955715761E-2</v>
      </c>
      <c r="U103" s="106">
        <v>1246.953</v>
      </c>
      <c r="V103" s="106">
        <f t="shared" si="42"/>
        <v>3.0958500844125241</v>
      </c>
      <c r="W103" s="106">
        <v>3219.7179999999998</v>
      </c>
      <c r="X103" s="106">
        <f t="shared" si="43"/>
        <v>3.5078178355445662</v>
      </c>
      <c r="Y103" s="106">
        <v>0</v>
      </c>
      <c r="Z103" s="118">
        <f t="shared" si="44"/>
        <v>0</v>
      </c>
      <c r="AA103" s="106">
        <v>91.4</v>
      </c>
      <c r="AB103" s="108">
        <f t="shared" si="66"/>
        <v>1.9609461957338314</v>
      </c>
      <c r="AC103" s="119">
        <v>26.7</v>
      </c>
      <c r="AD103" s="127">
        <f t="shared" si="67"/>
        <v>1.4265112613645752</v>
      </c>
      <c r="AE103" s="120">
        <v>37.425715444240403</v>
      </c>
      <c r="AF103" s="128">
        <f t="shared" si="68"/>
        <v>1.5731701112332821</v>
      </c>
      <c r="AG103" s="152">
        <v>0.24</v>
      </c>
      <c r="AH103" s="119">
        <f t="shared" si="45"/>
        <v>9.3421685162235063E-2</v>
      </c>
      <c r="AI103" s="106">
        <v>15</v>
      </c>
      <c r="AJ103" s="108">
        <f t="shared" si="69"/>
        <v>1.1760912590556813</v>
      </c>
      <c r="AK103" s="106">
        <f t="shared" si="46"/>
        <v>0</v>
      </c>
      <c r="AL103" s="106">
        <f t="shared" si="47"/>
        <v>1</v>
      </c>
      <c r="AM103" s="106">
        <f t="shared" si="48"/>
        <v>0</v>
      </c>
      <c r="AN103" s="106">
        <f t="shared" si="49"/>
        <v>0</v>
      </c>
      <c r="AO103" s="106">
        <f t="shared" si="50"/>
        <v>0</v>
      </c>
      <c r="AP103" s="106">
        <f t="shared" si="51"/>
        <v>0</v>
      </c>
      <c r="AQ103" s="106">
        <f t="shared" si="52"/>
        <v>0</v>
      </c>
      <c r="AR103" s="106">
        <f t="shared" si="53"/>
        <v>0</v>
      </c>
      <c r="AS103" s="106">
        <f t="shared" si="54"/>
        <v>0</v>
      </c>
      <c r="AT103" s="106">
        <f t="shared" si="55"/>
        <v>0</v>
      </c>
      <c r="AU103" s="106">
        <f t="shared" si="56"/>
        <v>0</v>
      </c>
      <c r="AV103" s="106">
        <f t="shared" si="57"/>
        <v>0</v>
      </c>
      <c r="AW103" s="106">
        <f t="shared" si="58"/>
        <v>0</v>
      </c>
      <c r="AX103" s="106">
        <f t="shared" si="59"/>
        <v>0</v>
      </c>
      <c r="AY103" s="106">
        <f t="shared" si="60"/>
        <v>0</v>
      </c>
      <c r="AZ103" s="106">
        <f t="shared" si="61"/>
        <v>0</v>
      </c>
      <c r="BA103" s="107">
        <f t="shared" si="62"/>
        <v>0</v>
      </c>
    </row>
    <row r="104" spans="1:53" x14ac:dyDescent="0.35">
      <c r="A104" s="146">
        <v>39113</v>
      </c>
      <c r="B104" s="84" t="s">
        <v>45</v>
      </c>
      <c r="C104" s="84" t="s">
        <v>102</v>
      </c>
      <c r="D104" s="84">
        <f t="shared" si="35"/>
        <v>0</v>
      </c>
      <c r="E104" s="84" t="s">
        <v>186</v>
      </c>
      <c r="F104" s="84">
        <f t="shared" si="36"/>
        <v>4</v>
      </c>
      <c r="G104" s="84">
        <v>141600000</v>
      </c>
      <c r="H104" s="84">
        <f t="shared" si="37"/>
        <v>8.151063253353751</v>
      </c>
      <c r="I104" s="147">
        <v>41047</v>
      </c>
      <c r="J104" s="84">
        <v>221500000</v>
      </c>
      <c r="K104" s="148">
        <f t="shared" si="38"/>
        <v>5.2986301369863016</v>
      </c>
      <c r="L104" s="148">
        <f t="shared" si="63"/>
        <v>0.72416360529050816</v>
      </c>
      <c r="M104" s="108">
        <v>0</v>
      </c>
      <c r="N104" s="108">
        <f t="shared" si="39"/>
        <v>0</v>
      </c>
      <c r="O104" s="108">
        <v>7</v>
      </c>
      <c r="P104" s="108">
        <f t="shared" si="64"/>
        <v>0.84509804001425681</v>
      </c>
      <c r="Q104" s="65">
        <v>2.95</v>
      </c>
      <c r="R104" s="65">
        <f t="shared" si="65"/>
        <v>0.46982201597816303</v>
      </c>
      <c r="S104" s="155">
        <f t="shared" si="40"/>
        <v>0.56426553672316393</v>
      </c>
      <c r="T104" s="127">
        <f t="shared" si="41"/>
        <v>0.19431047720533817</v>
      </c>
      <c r="U104" s="108">
        <v>2652.825836216839</v>
      </c>
      <c r="V104" s="108">
        <f t="shared" si="42"/>
        <v>3.4237087385413827</v>
      </c>
      <c r="W104" s="108">
        <v>4960.527482912571</v>
      </c>
      <c r="X104" s="108">
        <f t="shared" si="43"/>
        <v>3.6955278601067114</v>
      </c>
      <c r="Y104" s="126">
        <v>0</v>
      </c>
      <c r="Z104" s="126">
        <f t="shared" si="44"/>
        <v>0</v>
      </c>
      <c r="AA104" s="108">
        <v>91.4</v>
      </c>
      <c r="AB104" s="108">
        <f t="shared" si="66"/>
        <v>1.9609461957338314</v>
      </c>
      <c r="AC104" s="127">
        <v>26.7</v>
      </c>
      <c r="AD104" s="127">
        <f t="shared" si="67"/>
        <v>1.4265112613645752</v>
      </c>
      <c r="AE104" s="128">
        <v>37.425715444240403</v>
      </c>
      <c r="AF104" s="128">
        <f t="shared" si="68"/>
        <v>1.5731701112332821</v>
      </c>
      <c r="AG104" s="153">
        <v>0.4</v>
      </c>
      <c r="AH104" s="127">
        <f t="shared" si="45"/>
        <v>0.14612803567823801</v>
      </c>
      <c r="AI104" s="108">
        <v>15</v>
      </c>
      <c r="AJ104" s="108">
        <f t="shared" si="69"/>
        <v>1.1760912590556813</v>
      </c>
      <c r="AK104" s="108">
        <f t="shared" si="46"/>
        <v>0</v>
      </c>
      <c r="AL104" s="108">
        <f t="shared" si="47"/>
        <v>1</v>
      </c>
      <c r="AM104" s="108">
        <f t="shared" si="48"/>
        <v>0</v>
      </c>
      <c r="AN104" s="108">
        <f t="shared" si="49"/>
        <v>0</v>
      </c>
      <c r="AO104" s="108">
        <f t="shared" si="50"/>
        <v>0</v>
      </c>
      <c r="AP104" s="108">
        <f t="shared" si="51"/>
        <v>0</v>
      </c>
      <c r="AQ104" s="108">
        <f t="shared" si="52"/>
        <v>0</v>
      </c>
      <c r="AR104" s="108">
        <f t="shared" si="53"/>
        <v>0</v>
      </c>
      <c r="AS104" s="108">
        <f t="shared" si="54"/>
        <v>0</v>
      </c>
      <c r="AT104" s="108">
        <f t="shared" si="55"/>
        <v>0</v>
      </c>
      <c r="AU104" s="108">
        <f t="shared" si="56"/>
        <v>0</v>
      </c>
      <c r="AV104" s="108">
        <f t="shared" si="57"/>
        <v>0</v>
      </c>
      <c r="AW104" s="108">
        <f t="shared" si="58"/>
        <v>0</v>
      </c>
      <c r="AX104" s="108">
        <f t="shared" si="59"/>
        <v>0</v>
      </c>
      <c r="AY104" s="108">
        <f t="shared" si="60"/>
        <v>0</v>
      </c>
      <c r="AZ104" s="108">
        <f t="shared" si="61"/>
        <v>0</v>
      </c>
      <c r="BA104" s="109">
        <f t="shared" si="62"/>
        <v>0</v>
      </c>
    </row>
    <row r="105" spans="1:53" x14ac:dyDescent="0.35">
      <c r="A105" s="143">
        <v>39113</v>
      </c>
      <c r="B105" s="106" t="s">
        <v>45</v>
      </c>
      <c r="C105" s="83" t="s">
        <v>47</v>
      </c>
      <c r="D105" s="83">
        <f t="shared" si="35"/>
        <v>0</v>
      </c>
      <c r="E105" s="106" t="s">
        <v>269</v>
      </c>
      <c r="F105" s="83">
        <f t="shared" si="36"/>
        <v>7</v>
      </c>
      <c r="G105" s="106">
        <v>475000000</v>
      </c>
      <c r="H105" s="83">
        <f t="shared" si="37"/>
        <v>8.6766936096248664</v>
      </c>
      <c r="I105" s="150">
        <v>41237</v>
      </c>
      <c r="J105" s="106">
        <v>100000000</v>
      </c>
      <c r="K105" s="145">
        <f t="shared" si="38"/>
        <v>5.8191780821917805</v>
      </c>
      <c r="L105" s="148">
        <f t="shared" si="63"/>
        <v>0.76486164795295675</v>
      </c>
      <c r="M105" s="106">
        <v>0</v>
      </c>
      <c r="N105" s="106">
        <f t="shared" si="39"/>
        <v>0</v>
      </c>
      <c r="O105" s="106">
        <v>11</v>
      </c>
      <c r="P105" s="108">
        <f t="shared" si="64"/>
        <v>1.0413926851582251</v>
      </c>
      <c r="Q105" s="59">
        <v>2.95</v>
      </c>
      <c r="R105" s="65">
        <f t="shared" si="65"/>
        <v>0.46982201597816303</v>
      </c>
      <c r="S105" s="154">
        <f t="shared" si="40"/>
        <v>-0.78947368421052633</v>
      </c>
      <c r="T105" s="119">
        <f t="shared" si="41"/>
        <v>-0.67669360962486658</v>
      </c>
      <c r="U105" s="106">
        <v>1246.953</v>
      </c>
      <c r="V105" s="106">
        <f t="shared" si="42"/>
        <v>3.0958500844125241</v>
      </c>
      <c r="W105" s="106">
        <v>3219.7179999999998</v>
      </c>
      <c r="X105" s="106">
        <f t="shared" si="43"/>
        <v>3.5078178355445662</v>
      </c>
      <c r="Y105" s="118">
        <v>0</v>
      </c>
      <c r="Z105" s="118">
        <f t="shared" si="44"/>
        <v>0</v>
      </c>
      <c r="AA105" s="106">
        <v>91.4</v>
      </c>
      <c r="AB105" s="108">
        <f t="shared" si="66"/>
        <v>1.9609461957338314</v>
      </c>
      <c r="AC105" s="119">
        <v>26.7</v>
      </c>
      <c r="AD105" s="127">
        <f t="shared" si="67"/>
        <v>1.4265112613645752</v>
      </c>
      <c r="AE105" s="120">
        <v>37.425715444240403</v>
      </c>
      <c r="AF105" s="128">
        <f t="shared" si="68"/>
        <v>1.5731701112332821</v>
      </c>
      <c r="AG105" s="152">
        <v>-0.05</v>
      </c>
      <c r="AH105" s="119">
        <f t="shared" si="45"/>
        <v>-2.2276394711152253E-2</v>
      </c>
      <c r="AI105" s="106">
        <v>12</v>
      </c>
      <c r="AJ105" s="108">
        <f t="shared" si="69"/>
        <v>1.0791812460476249</v>
      </c>
      <c r="AK105" s="106">
        <f t="shared" si="46"/>
        <v>0</v>
      </c>
      <c r="AL105" s="106">
        <f t="shared" si="47"/>
        <v>1</v>
      </c>
      <c r="AM105" s="106">
        <f t="shared" si="48"/>
        <v>0</v>
      </c>
      <c r="AN105" s="106">
        <f t="shared" si="49"/>
        <v>0</v>
      </c>
      <c r="AO105" s="106">
        <f t="shared" si="50"/>
        <v>0</v>
      </c>
      <c r="AP105" s="106">
        <f t="shared" si="51"/>
        <v>0</v>
      </c>
      <c r="AQ105" s="106">
        <f t="shared" si="52"/>
        <v>0</v>
      </c>
      <c r="AR105" s="106">
        <f t="shared" si="53"/>
        <v>0</v>
      </c>
      <c r="AS105" s="106">
        <f t="shared" si="54"/>
        <v>0</v>
      </c>
      <c r="AT105" s="106">
        <f t="shared" si="55"/>
        <v>0</v>
      </c>
      <c r="AU105" s="106">
        <f t="shared" si="56"/>
        <v>0</v>
      </c>
      <c r="AV105" s="106">
        <f t="shared" si="57"/>
        <v>0</v>
      </c>
      <c r="AW105" s="106">
        <f t="shared" si="58"/>
        <v>0</v>
      </c>
      <c r="AX105" s="106">
        <f t="shared" si="59"/>
        <v>0</v>
      </c>
      <c r="AY105" s="106">
        <f t="shared" si="60"/>
        <v>0</v>
      </c>
      <c r="AZ105" s="106">
        <f t="shared" si="61"/>
        <v>0</v>
      </c>
      <c r="BA105" s="107">
        <f t="shared" si="62"/>
        <v>0</v>
      </c>
    </row>
    <row r="106" spans="1:53" x14ac:dyDescent="0.35">
      <c r="A106" s="146">
        <v>39113</v>
      </c>
      <c r="B106" s="108" t="s">
        <v>45</v>
      </c>
      <c r="C106" s="108" t="s">
        <v>64</v>
      </c>
      <c r="D106" s="84">
        <f t="shared" si="35"/>
        <v>1</v>
      </c>
      <c r="E106" s="108" t="s">
        <v>248</v>
      </c>
      <c r="F106" s="84">
        <f t="shared" si="36"/>
        <v>5</v>
      </c>
      <c r="G106" s="108">
        <v>450000000</v>
      </c>
      <c r="H106" s="84">
        <f t="shared" si="37"/>
        <v>8.653212513775344</v>
      </c>
      <c r="I106" s="146">
        <v>40637</v>
      </c>
      <c r="J106" s="108">
        <v>0</v>
      </c>
      <c r="K106" s="148">
        <f t="shared" si="38"/>
        <v>4.1753424657534248</v>
      </c>
      <c r="L106" s="148">
        <f t="shared" si="63"/>
        <v>0.62069210254710705</v>
      </c>
      <c r="M106" s="108">
        <v>5441.73</v>
      </c>
      <c r="N106" s="108">
        <f t="shared" si="39"/>
        <v>3.7358167906061537</v>
      </c>
      <c r="O106" s="108">
        <v>51</v>
      </c>
      <c r="P106" s="108">
        <f t="shared" si="64"/>
        <v>1.7075701760979363</v>
      </c>
      <c r="Q106" s="65">
        <v>2.81</v>
      </c>
      <c r="R106" s="65">
        <f t="shared" si="65"/>
        <v>0.44870631990507992</v>
      </c>
      <c r="S106" s="155">
        <f t="shared" si="40"/>
        <v>-1</v>
      </c>
      <c r="T106" s="127">
        <f t="shared" si="41"/>
        <v>-1</v>
      </c>
      <c r="U106" s="108">
        <v>2445.7102171591318</v>
      </c>
      <c r="V106" s="108">
        <f t="shared" si="42"/>
        <v>3.3884049978579722</v>
      </c>
      <c r="W106" s="108">
        <v>7210.2229667110805</v>
      </c>
      <c r="X106" s="108">
        <f t="shared" si="43"/>
        <v>3.8579486949156889</v>
      </c>
      <c r="Y106" s="126">
        <v>125.833333333333</v>
      </c>
      <c r="Z106" s="126">
        <f t="shared" si="44"/>
        <v>2.103233406386928</v>
      </c>
      <c r="AA106" s="108">
        <v>91.4</v>
      </c>
      <c r="AB106" s="108">
        <f t="shared" si="66"/>
        <v>1.9609461957338314</v>
      </c>
      <c r="AC106" s="127">
        <v>26.7</v>
      </c>
      <c r="AD106" s="127">
        <f t="shared" si="67"/>
        <v>1.4265112613645752</v>
      </c>
      <c r="AE106" s="128">
        <v>37.425715444240403</v>
      </c>
      <c r="AF106" s="128">
        <f t="shared" si="68"/>
        <v>1.5731701112332821</v>
      </c>
      <c r="AG106" s="153">
        <v>-0.15</v>
      </c>
      <c r="AH106" s="127">
        <f t="shared" si="45"/>
        <v>-7.0581074285707285E-2</v>
      </c>
      <c r="AI106" s="108">
        <v>12</v>
      </c>
      <c r="AJ106" s="108">
        <f t="shared" si="69"/>
        <v>1.0791812460476249</v>
      </c>
      <c r="AK106" s="108">
        <f t="shared" si="46"/>
        <v>1</v>
      </c>
      <c r="AL106" s="108">
        <f t="shared" si="47"/>
        <v>1</v>
      </c>
      <c r="AM106" s="108">
        <f t="shared" si="48"/>
        <v>0</v>
      </c>
      <c r="AN106" s="108">
        <f t="shared" si="49"/>
        <v>0</v>
      </c>
      <c r="AO106" s="108">
        <f t="shared" si="50"/>
        <v>0</v>
      </c>
      <c r="AP106" s="108">
        <f t="shared" si="51"/>
        <v>0</v>
      </c>
      <c r="AQ106" s="108">
        <f t="shared" si="52"/>
        <v>0</v>
      </c>
      <c r="AR106" s="108">
        <f t="shared" si="53"/>
        <v>0</v>
      </c>
      <c r="AS106" s="108">
        <f t="shared" si="54"/>
        <v>0</v>
      </c>
      <c r="AT106" s="108">
        <f t="shared" si="55"/>
        <v>0</v>
      </c>
      <c r="AU106" s="108">
        <f t="shared" si="56"/>
        <v>0</v>
      </c>
      <c r="AV106" s="108">
        <f t="shared" si="57"/>
        <v>0</v>
      </c>
      <c r="AW106" s="108">
        <f t="shared" si="58"/>
        <v>0</v>
      </c>
      <c r="AX106" s="108">
        <f t="shared" si="59"/>
        <v>0</v>
      </c>
      <c r="AY106" s="108">
        <f t="shared" si="60"/>
        <v>0</v>
      </c>
      <c r="AZ106" s="108">
        <f t="shared" si="61"/>
        <v>0</v>
      </c>
      <c r="BA106" s="109">
        <f t="shared" si="62"/>
        <v>0</v>
      </c>
    </row>
    <row r="107" spans="1:53" x14ac:dyDescent="0.35">
      <c r="A107" s="143">
        <v>39113</v>
      </c>
      <c r="B107" s="106" t="s">
        <v>45</v>
      </c>
      <c r="C107" s="106" t="s">
        <v>47</v>
      </c>
      <c r="D107" s="83">
        <f t="shared" si="35"/>
        <v>0</v>
      </c>
      <c r="E107" s="106" t="s">
        <v>248</v>
      </c>
      <c r="F107" s="83">
        <f t="shared" si="36"/>
        <v>5</v>
      </c>
      <c r="G107" s="106">
        <v>750000000</v>
      </c>
      <c r="H107" s="83">
        <f t="shared" si="37"/>
        <v>8.8750612633917001</v>
      </c>
      <c r="I107" s="143">
        <v>41194</v>
      </c>
      <c r="J107" s="106">
        <v>1100000000</v>
      </c>
      <c r="K107" s="145">
        <f t="shared" si="38"/>
        <v>5.7013698630136984</v>
      </c>
      <c r="L107" s="148">
        <f t="shared" si="63"/>
        <v>0.75597921575515226</v>
      </c>
      <c r="M107" s="106">
        <v>0</v>
      </c>
      <c r="N107" s="106">
        <f t="shared" si="39"/>
        <v>0</v>
      </c>
      <c r="O107" s="106">
        <v>57</v>
      </c>
      <c r="P107" s="108">
        <f t="shared" si="64"/>
        <v>1.7558748556724915</v>
      </c>
      <c r="Q107" s="59">
        <v>2.95</v>
      </c>
      <c r="R107" s="65">
        <f t="shared" si="65"/>
        <v>0.46982201597816303</v>
      </c>
      <c r="S107" s="154">
        <f t="shared" si="40"/>
        <v>0.46666666666666656</v>
      </c>
      <c r="T107" s="119">
        <f t="shared" si="41"/>
        <v>0.16633142176652496</v>
      </c>
      <c r="U107" s="106">
        <v>1455.046</v>
      </c>
      <c r="V107" s="106">
        <f t="shared" si="42"/>
        <v>3.1628767233771686</v>
      </c>
      <c r="W107" s="106">
        <v>4062.5129999999999</v>
      </c>
      <c r="X107" s="106">
        <f t="shared" si="43"/>
        <v>3.6087947637270492</v>
      </c>
      <c r="Y107" s="106">
        <v>0</v>
      </c>
      <c r="Z107" s="118">
        <f t="shared" si="44"/>
        <v>0</v>
      </c>
      <c r="AA107" s="106">
        <v>91.4</v>
      </c>
      <c r="AB107" s="108">
        <f t="shared" si="66"/>
        <v>1.9609461957338314</v>
      </c>
      <c r="AC107" s="119">
        <v>26.7</v>
      </c>
      <c r="AD107" s="127">
        <f t="shared" si="67"/>
        <v>1.4265112613645752</v>
      </c>
      <c r="AE107" s="120">
        <v>37.425715444240403</v>
      </c>
      <c r="AF107" s="128">
        <f t="shared" si="68"/>
        <v>1.5731701112332821</v>
      </c>
      <c r="AG107" s="152">
        <v>-0.22</v>
      </c>
      <c r="AH107" s="119">
        <f t="shared" si="45"/>
        <v>-0.10790539730951958</v>
      </c>
      <c r="AI107" s="106">
        <v>11</v>
      </c>
      <c r="AJ107" s="108">
        <f t="shared" si="69"/>
        <v>1.0413926851582251</v>
      </c>
      <c r="AK107" s="106">
        <f t="shared" si="46"/>
        <v>0</v>
      </c>
      <c r="AL107" s="106">
        <f t="shared" si="47"/>
        <v>1</v>
      </c>
      <c r="AM107" s="106">
        <f t="shared" si="48"/>
        <v>0</v>
      </c>
      <c r="AN107" s="106">
        <f t="shared" si="49"/>
        <v>0</v>
      </c>
      <c r="AO107" s="106">
        <f t="shared" si="50"/>
        <v>0</v>
      </c>
      <c r="AP107" s="106">
        <f t="shared" si="51"/>
        <v>0</v>
      </c>
      <c r="AQ107" s="106">
        <f t="shared" si="52"/>
        <v>0</v>
      </c>
      <c r="AR107" s="106">
        <f t="shared" si="53"/>
        <v>0</v>
      </c>
      <c r="AS107" s="106">
        <f t="shared" si="54"/>
        <v>0</v>
      </c>
      <c r="AT107" s="106">
        <f t="shared" si="55"/>
        <v>0</v>
      </c>
      <c r="AU107" s="106">
        <f t="shared" si="56"/>
        <v>0</v>
      </c>
      <c r="AV107" s="106">
        <f t="shared" si="57"/>
        <v>0</v>
      </c>
      <c r="AW107" s="106">
        <f t="shared" si="58"/>
        <v>0</v>
      </c>
      <c r="AX107" s="106">
        <f t="shared" si="59"/>
        <v>0</v>
      </c>
      <c r="AY107" s="106">
        <f t="shared" si="60"/>
        <v>0</v>
      </c>
      <c r="AZ107" s="106">
        <f t="shared" si="61"/>
        <v>0</v>
      </c>
      <c r="BA107" s="107">
        <f t="shared" si="62"/>
        <v>0</v>
      </c>
    </row>
    <row r="108" spans="1:53" x14ac:dyDescent="0.35">
      <c r="A108" s="146">
        <v>39133</v>
      </c>
      <c r="B108" s="108" t="s">
        <v>45</v>
      </c>
      <c r="C108" s="108" t="s">
        <v>47</v>
      </c>
      <c r="D108" s="84">
        <f t="shared" si="35"/>
        <v>0</v>
      </c>
      <c r="E108" s="108" t="s">
        <v>248</v>
      </c>
      <c r="F108" s="84">
        <f t="shared" si="36"/>
        <v>5</v>
      </c>
      <c r="G108" s="108">
        <v>815690000</v>
      </c>
      <c r="H108" s="84">
        <f t="shared" si="37"/>
        <v>8.9115251380808047</v>
      </c>
      <c r="I108" s="146">
        <v>41223</v>
      </c>
      <c r="J108" s="108">
        <v>975000000</v>
      </c>
      <c r="K108" s="148">
        <f t="shared" si="38"/>
        <v>5.7260273972602738</v>
      </c>
      <c r="L108" s="148">
        <f t="shared" si="63"/>
        <v>0.75785342165457925</v>
      </c>
      <c r="M108" s="108">
        <v>0</v>
      </c>
      <c r="N108" s="108">
        <f t="shared" si="39"/>
        <v>0</v>
      </c>
      <c r="O108" s="108">
        <v>136</v>
      </c>
      <c r="P108" s="108">
        <f t="shared" si="64"/>
        <v>2.1335389083702174</v>
      </c>
      <c r="Q108" s="65">
        <v>2.95</v>
      </c>
      <c r="R108" s="65">
        <f t="shared" si="65"/>
        <v>0.46982201597816303</v>
      </c>
      <c r="S108" s="155">
        <f t="shared" si="40"/>
        <v>0.19530704066495841</v>
      </c>
      <c r="T108" s="127">
        <f t="shared" si="41"/>
        <v>7.7479477617732218E-2</v>
      </c>
      <c r="U108" s="108">
        <v>1518.5350000000001</v>
      </c>
      <c r="V108" s="108">
        <f t="shared" si="42"/>
        <v>3.1814248062191788</v>
      </c>
      <c r="W108" s="108">
        <v>5363.16</v>
      </c>
      <c r="X108" s="108">
        <f t="shared" si="43"/>
        <v>3.7294207535322617</v>
      </c>
      <c r="Y108" s="126">
        <v>0</v>
      </c>
      <c r="Z108" s="126">
        <f t="shared" si="44"/>
        <v>0</v>
      </c>
      <c r="AA108" s="108">
        <v>91.4</v>
      </c>
      <c r="AB108" s="108">
        <f t="shared" si="66"/>
        <v>1.9609461957338314</v>
      </c>
      <c r="AC108" s="127">
        <v>26.7</v>
      </c>
      <c r="AD108" s="127">
        <f t="shared" si="67"/>
        <v>1.4265112613645752</v>
      </c>
      <c r="AE108" s="128">
        <v>37.425715444240403</v>
      </c>
      <c r="AF108" s="128">
        <f t="shared" si="68"/>
        <v>1.5731701112332821</v>
      </c>
      <c r="AG108" s="153">
        <v>0.28999999999999998</v>
      </c>
      <c r="AH108" s="127">
        <f t="shared" si="45"/>
        <v>0.11058971029924898</v>
      </c>
      <c r="AI108" s="108">
        <v>10</v>
      </c>
      <c r="AJ108" s="108">
        <f t="shared" si="69"/>
        <v>1</v>
      </c>
      <c r="AK108" s="108">
        <f t="shared" si="46"/>
        <v>0</v>
      </c>
      <c r="AL108" s="108">
        <f t="shared" si="47"/>
        <v>1</v>
      </c>
      <c r="AM108" s="108">
        <f t="shared" si="48"/>
        <v>0</v>
      </c>
      <c r="AN108" s="108">
        <f t="shared" si="49"/>
        <v>0</v>
      </c>
      <c r="AO108" s="108">
        <f t="shared" si="50"/>
        <v>0</v>
      </c>
      <c r="AP108" s="108">
        <f t="shared" si="51"/>
        <v>0</v>
      </c>
      <c r="AQ108" s="108">
        <f t="shared" si="52"/>
        <v>0</v>
      </c>
      <c r="AR108" s="108">
        <f t="shared" si="53"/>
        <v>0</v>
      </c>
      <c r="AS108" s="108">
        <f t="shared" si="54"/>
        <v>0</v>
      </c>
      <c r="AT108" s="108">
        <f t="shared" si="55"/>
        <v>0</v>
      </c>
      <c r="AU108" s="108">
        <f t="shared" si="56"/>
        <v>0</v>
      </c>
      <c r="AV108" s="108">
        <f t="shared" si="57"/>
        <v>0</v>
      </c>
      <c r="AW108" s="108">
        <f t="shared" si="58"/>
        <v>0</v>
      </c>
      <c r="AX108" s="108">
        <f t="shared" si="59"/>
        <v>0</v>
      </c>
      <c r="AY108" s="108">
        <f t="shared" si="60"/>
        <v>0</v>
      </c>
      <c r="AZ108" s="108">
        <f t="shared" si="61"/>
        <v>0</v>
      </c>
      <c r="BA108" s="109">
        <f t="shared" si="62"/>
        <v>0</v>
      </c>
    </row>
    <row r="109" spans="1:53" x14ac:dyDescent="0.35">
      <c r="A109" s="143">
        <v>39146</v>
      </c>
      <c r="B109" s="106" t="s">
        <v>2</v>
      </c>
      <c r="C109" s="83" t="s">
        <v>64</v>
      </c>
      <c r="D109" s="83">
        <f t="shared" si="35"/>
        <v>1</v>
      </c>
      <c r="E109" s="106" t="s">
        <v>235</v>
      </c>
      <c r="F109" s="83">
        <f t="shared" si="36"/>
        <v>1</v>
      </c>
      <c r="G109" s="106">
        <v>1300000000</v>
      </c>
      <c r="H109" s="83">
        <f t="shared" si="37"/>
        <v>9.1139433523068369</v>
      </c>
      <c r="I109" s="143">
        <v>41111</v>
      </c>
      <c r="J109" s="106">
        <v>231290000</v>
      </c>
      <c r="K109" s="145">
        <f t="shared" si="38"/>
        <v>5.3835616438356162</v>
      </c>
      <c r="L109" s="148">
        <f t="shared" si="63"/>
        <v>0.73106969025497082</v>
      </c>
      <c r="M109" s="106">
        <v>6815.73</v>
      </c>
      <c r="N109" s="106">
        <f t="shared" si="39"/>
        <v>3.8335760926148099</v>
      </c>
      <c r="O109" s="106">
        <v>42</v>
      </c>
      <c r="P109" s="108">
        <f t="shared" si="64"/>
        <v>1.6232492903979006</v>
      </c>
      <c r="Q109" s="59">
        <v>2.85</v>
      </c>
      <c r="R109" s="65">
        <f t="shared" si="65"/>
        <v>0.45484486000851021</v>
      </c>
      <c r="S109" s="154">
        <f t="shared" si="40"/>
        <v>-0.82208461538461541</v>
      </c>
      <c r="T109" s="119">
        <f t="shared" si="41"/>
        <v>-0.74978649618430626</v>
      </c>
      <c r="U109" s="106">
        <v>2315.9650000000001</v>
      </c>
      <c r="V109" s="106">
        <f t="shared" si="42"/>
        <v>3.3647319918335836</v>
      </c>
      <c r="W109" s="106">
        <v>3703.9029999999998</v>
      </c>
      <c r="X109" s="106">
        <f t="shared" si="43"/>
        <v>3.568659604598353</v>
      </c>
      <c r="Y109" s="118">
        <v>819</v>
      </c>
      <c r="Z109" s="118">
        <f t="shared" si="44"/>
        <v>2.9138138523837167</v>
      </c>
      <c r="AA109" s="106">
        <v>88.9</v>
      </c>
      <c r="AB109" s="108">
        <f t="shared" si="66"/>
        <v>1.9489017609702137</v>
      </c>
      <c r="AC109" s="119">
        <v>34.9</v>
      </c>
      <c r="AD109" s="127">
        <f t="shared" si="67"/>
        <v>1.5428254269591799</v>
      </c>
      <c r="AE109" s="120">
        <v>42.817370475444001</v>
      </c>
      <c r="AF109" s="128">
        <f t="shared" si="68"/>
        <v>1.6316199926391717</v>
      </c>
      <c r="AG109" s="152">
        <v>0.28000000000000003</v>
      </c>
      <c r="AH109" s="119">
        <f t="shared" si="45"/>
        <v>0.10720996964786837</v>
      </c>
      <c r="AI109" s="106">
        <v>9</v>
      </c>
      <c r="AJ109" s="108">
        <f t="shared" si="69"/>
        <v>0.95424250943932487</v>
      </c>
      <c r="AK109" s="106">
        <f t="shared" si="46"/>
        <v>0</v>
      </c>
      <c r="AL109" s="106">
        <f t="shared" si="47"/>
        <v>0</v>
      </c>
      <c r="AM109" s="106">
        <f t="shared" si="48"/>
        <v>0</v>
      </c>
      <c r="AN109" s="106">
        <f t="shared" si="49"/>
        <v>0</v>
      </c>
      <c r="AO109" s="106">
        <f t="shared" si="50"/>
        <v>0</v>
      </c>
      <c r="AP109" s="106">
        <f t="shared" si="51"/>
        <v>0</v>
      </c>
      <c r="AQ109" s="106">
        <f t="shared" si="52"/>
        <v>0</v>
      </c>
      <c r="AR109" s="106">
        <f t="shared" si="53"/>
        <v>0</v>
      </c>
      <c r="AS109" s="106">
        <f t="shared" si="54"/>
        <v>0</v>
      </c>
      <c r="AT109" s="106">
        <f t="shared" si="55"/>
        <v>1</v>
      </c>
      <c r="AU109" s="106">
        <f t="shared" si="56"/>
        <v>0</v>
      </c>
      <c r="AV109" s="106">
        <f t="shared" si="57"/>
        <v>0</v>
      </c>
      <c r="AW109" s="106">
        <f t="shared" si="58"/>
        <v>0</v>
      </c>
      <c r="AX109" s="106">
        <f t="shared" si="59"/>
        <v>0</v>
      </c>
      <c r="AY109" s="106">
        <f t="shared" si="60"/>
        <v>0</v>
      </c>
      <c r="AZ109" s="106">
        <f t="shared" si="61"/>
        <v>0</v>
      </c>
      <c r="BA109" s="107">
        <f t="shared" si="62"/>
        <v>0</v>
      </c>
    </row>
    <row r="110" spans="1:53" x14ac:dyDescent="0.35">
      <c r="A110" s="146">
        <v>39153</v>
      </c>
      <c r="B110" s="108" t="s">
        <v>59</v>
      </c>
      <c r="C110" s="108" t="s">
        <v>64</v>
      </c>
      <c r="D110" s="84">
        <f t="shared" si="35"/>
        <v>1</v>
      </c>
      <c r="E110" s="108" t="s">
        <v>235</v>
      </c>
      <c r="F110" s="84">
        <f t="shared" si="36"/>
        <v>1</v>
      </c>
      <c r="G110" s="108">
        <v>685000000</v>
      </c>
      <c r="H110" s="84">
        <f t="shared" si="37"/>
        <v>8.8356905714924263</v>
      </c>
      <c r="I110" s="146">
        <v>41505</v>
      </c>
      <c r="J110" s="108">
        <v>969040000</v>
      </c>
      <c r="K110" s="148">
        <f t="shared" si="38"/>
        <v>6.4438356164383563</v>
      </c>
      <c r="L110" s="148">
        <f t="shared" si="63"/>
        <v>0.80914445294762616</v>
      </c>
      <c r="M110" s="108">
        <v>5897.96</v>
      </c>
      <c r="N110" s="108">
        <f t="shared" si="39"/>
        <v>3.7707754512906644</v>
      </c>
      <c r="O110" s="108">
        <v>12</v>
      </c>
      <c r="P110" s="108">
        <f t="shared" si="64"/>
        <v>1.0791812460476249</v>
      </c>
      <c r="Q110" s="65">
        <v>2.3199999999999998</v>
      </c>
      <c r="R110" s="65">
        <f t="shared" si="65"/>
        <v>0.36548798489089962</v>
      </c>
      <c r="S110" s="155">
        <f t="shared" si="40"/>
        <v>0.41465693430656936</v>
      </c>
      <c r="T110" s="127">
        <f t="shared" si="41"/>
        <v>0.15065113272112132</v>
      </c>
      <c r="U110" s="108">
        <v>1298.5550759992495</v>
      </c>
      <c r="V110" s="108">
        <f t="shared" si="42"/>
        <v>3.1134603742158462</v>
      </c>
      <c r="W110" s="108">
        <v>6025.5207355976736</v>
      </c>
      <c r="X110" s="108">
        <f t="shared" si="43"/>
        <v>3.7799945853255905</v>
      </c>
      <c r="Y110" s="126">
        <v>132</v>
      </c>
      <c r="Z110" s="126">
        <f t="shared" si="44"/>
        <v>2.1238516409670858</v>
      </c>
      <c r="AA110" s="108">
        <v>91.2</v>
      </c>
      <c r="AB110" s="108">
        <f t="shared" si="66"/>
        <v>1.9599948383284163</v>
      </c>
      <c r="AC110" s="127">
        <v>33</v>
      </c>
      <c r="AD110" s="127">
        <f t="shared" si="67"/>
        <v>1.5185139398778875</v>
      </c>
      <c r="AE110" s="128">
        <v>40.902544500539101</v>
      </c>
      <c r="AF110" s="128">
        <f t="shared" si="68"/>
        <v>1.6117503258110162</v>
      </c>
      <c r="AG110" s="153">
        <v>0.65</v>
      </c>
      <c r="AH110" s="127">
        <f t="shared" si="45"/>
        <v>0.21748394421390627</v>
      </c>
      <c r="AI110" s="108">
        <v>9</v>
      </c>
      <c r="AJ110" s="108">
        <f t="shared" si="69"/>
        <v>0.95424250943932487</v>
      </c>
      <c r="AK110" s="108">
        <f t="shared" si="46"/>
        <v>0</v>
      </c>
      <c r="AL110" s="108">
        <f t="shared" si="47"/>
        <v>0</v>
      </c>
      <c r="AM110" s="108">
        <f t="shared" si="48"/>
        <v>1</v>
      </c>
      <c r="AN110" s="108">
        <f t="shared" si="49"/>
        <v>0</v>
      </c>
      <c r="AO110" s="108">
        <f t="shared" si="50"/>
        <v>0</v>
      </c>
      <c r="AP110" s="108">
        <f t="shared" si="51"/>
        <v>0</v>
      </c>
      <c r="AQ110" s="108">
        <f t="shared" si="52"/>
        <v>0</v>
      </c>
      <c r="AR110" s="108">
        <f t="shared" si="53"/>
        <v>0</v>
      </c>
      <c r="AS110" s="108">
        <f t="shared" si="54"/>
        <v>0</v>
      </c>
      <c r="AT110" s="108">
        <f t="shared" si="55"/>
        <v>0</v>
      </c>
      <c r="AU110" s="108">
        <f t="shared" si="56"/>
        <v>0</v>
      </c>
      <c r="AV110" s="108">
        <f t="shared" si="57"/>
        <v>0</v>
      </c>
      <c r="AW110" s="108">
        <f t="shared" si="58"/>
        <v>0</v>
      </c>
      <c r="AX110" s="108">
        <f t="shared" si="59"/>
        <v>0</v>
      </c>
      <c r="AY110" s="108">
        <f t="shared" si="60"/>
        <v>0</v>
      </c>
      <c r="AZ110" s="108">
        <f t="shared" si="61"/>
        <v>0</v>
      </c>
      <c r="BA110" s="109">
        <f t="shared" si="62"/>
        <v>0</v>
      </c>
    </row>
    <row r="111" spans="1:53" x14ac:dyDescent="0.35">
      <c r="A111" s="143">
        <v>39159</v>
      </c>
      <c r="B111" s="106" t="s">
        <v>59</v>
      </c>
      <c r="C111" s="106" t="s">
        <v>47</v>
      </c>
      <c r="D111" s="83">
        <f t="shared" si="35"/>
        <v>0</v>
      </c>
      <c r="E111" s="106" t="s">
        <v>269</v>
      </c>
      <c r="F111" s="83">
        <f t="shared" si="36"/>
        <v>7</v>
      </c>
      <c r="G111" s="106">
        <v>200000000</v>
      </c>
      <c r="H111" s="83">
        <f t="shared" si="37"/>
        <v>8.3010299956639813</v>
      </c>
      <c r="I111" s="143">
        <v>40086</v>
      </c>
      <c r="J111" s="106">
        <v>350000000</v>
      </c>
      <c r="K111" s="145">
        <f t="shared" si="38"/>
        <v>2.5397260273972604</v>
      </c>
      <c r="L111" s="148">
        <f t="shared" si="63"/>
        <v>0.40478686968802241</v>
      </c>
      <c r="M111" s="106">
        <v>0</v>
      </c>
      <c r="N111" s="106">
        <f t="shared" si="39"/>
        <v>0</v>
      </c>
      <c r="O111" s="106">
        <v>72</v>
      </c>
      <c r="P111" s="108">
        <f t="shared" si="64"/>
        <v>1.8573324964312685</v>
      </c>
      <c r="Q111" s="59">
        <v>3.29</v>
      </c>
      <c r="R111" s="65">
        <f t="shared" si="65"/>
        <v>0.51719589794997434</v>
      </c>
      <c r="S111" s="154">
        <f t="shared" si="40"/>
        <v>0.75</v>
      </c>
      <c r="T111" s="119">
        <f t="shared" si="41"/>
        <v>0.24303804868629444</v>
      </c>
      <c r="U111" s="106">
        <v>3425.6694367497698</v>
      </c>
      <c r="V111" s="106">
        <f t="shared" si="42"/>
        <v>3.5347454529897258</v>
      </c>
      <c r="W111" s="106">
        <v>9322.8685749461365</v>
      </c>
      <c r="X111" s="106">
        <f t="shared" si="43"/>
        <v>3.9695495619878729</v>
      </c>
      <c r="Y111" s="118">
        <v>0</v>
      </c>
      <c r="Z111" s="118">
        <f t="shared" si="44"/>
        <v>0</v>
      </c>
      <c r="AA111" s="106">
        <v>91.2</v>
      </c>
      <c r="AB111" s="108">
        <f t="shared" si="66"/>
        <v>1.9599948383284163</v>
      </c>
      <c r="AC111" s="119">
        <v>33</v>
      </c>
      <c r="AD111" s="127">
        <f t="shared" si="67"/>
        <v>1.5185139398778875</v>
      </c>
      <c r="AE111" s="120">
        <v>40.902544500539101</v>
      </c>
      <c r="AF111" s="128">
        <f t="shared" si="68"/>
        <v>1.6117503258110162</v>
      </c>
      <c r="AG111" s="152">
        <v>0.69</v>
      </c>
      <c r="AH111" s="119">
        <f t="shared" si="45"/>
        <v>0.22788670461367352</v>
      </c>
      <c r="AI111" s="106">
        <v>8</v>
      </c>
      <c r="AJ111" s="108">
        <f t="shared" si="69"/>
        <v>0.90308998699194354</v>
      </c>
      <c r="AK111" s="106">
        <f t="shared" si="46"/>
        <v>0</v>
      </c>
      <c r="AL111" s="106">
        <f t="shared" si="47"/>
        <v>0</v>
      </c>
      <c r="AM111" s="106">
        <f t="shared" si="48"/>
        <v>1</v>
      </c>
      <c r="AN111" s="106">
        <f t="shared" si="49"/>
        <v>0</v>
      </c>
      <c r="AO111" s="106">
        <f t="shared" si="50"/>
        <v>0</v>
      </c>
      <c r="AP111" s="106">
        <f t="shared" si="51"/>
        <v>0</v>
      </c>
      <c r="AQ111" s="106">
        <f t="shared" si="52"/>
        <v>0</v>
      </c>
      <c r="AR111" s="106">
        <f t="shared" si="53"/>
        <v>0</v>
      </c>
      <c r="AS111" s="106">
        <f t="shared" si="54"/>
        <v>0</v>
      </c>
      <c r="AT111" s="106">
        <f t="shared" si="55"/>
        <v>0</v>
      </c>
      <c r="AU111" s="106">
        <f t="shared" si="56"/>
        <v>0</v>
      </c>
      <c r="AV111" s="106">
        <f t="shared" si="57"/>
        <v>0</v>
      </c>
      <c r="AW111" s="106">
        <f t="shared" si="58"/>
        <v>0</v>
      </c>
      <c r="AX111" s="106">
        <f t="shared" si="59"/>
        <v>0</v>
      </c>
      <c r="AY111" s="106">
        <f t="shared" si="60"/>
        <v>0</v>
      </c>
      <c r="AZ111" s="106">
        <f t="shared" si="61"/>
        <v>0</v>
      </c>
      <c r="BA111" s="107">
        <f t="shared" si="62"/>
        <v>0</v>
      </c>
    </row>
    <row r="112" spans="1:53" x14ac:dyDescent="0.35">
      <c r="A112" s="146">
        <v>39172</v>
      </c>
      <c r="B112" s="108" t="s">
        <v>163</v>
      </c>
      <c r="C112" s="108" t="s">
        <v>125</v>
      </c>
      <c r="D112" s="84">
        <f t="shared" si="35"/>
        <v>1</v>
      </c>
      <c r="E112" s="108" t="s">
        <v>326</v>
      </c>
      <c r="F112" s="84">
        <f t="shared" si="36"/>
        <v>8</v>
      </c>
      <c r="G112" s="108">
        <v>65000000</v>
      </c>
      <c r="H112" s="84">
        <f t="shared" si="37"/>
        <v>7.8129133566428557</v>
      </c>
      <c r="I112" s="146">
        <v>41117</v>
      </c>
      <c r="J112" s="108">
        <v>87500000</v>
      </c>
      <c r="K112" s="148">
        <f t="shared" si="38"/>
        <v>5.3287671232876717</v>
      </c>
      <c r="L112" s="148">
        <f t="shared" si="63"/>
        <v>0.72662674120525184</v>
      </c>
      <c r="M112" s="108">
        <v>342.74</v>
      </c>
      <c r="N112" s="108">
        <f t="shared" si="39"/>
        <v>2.5362300726332561</v>
      </c>
      <c r="O112" s="108">
        <v>11</v>
      </c>
      <c r="P112" s="108">
        <f t="shared" si="64"/>
        <v>1.0413926851582251</v>
      </c>
      <c r="Q112" s="65">
        <v>2.3199999999999998</v>
      </c>
      <c r="R112" s="65">
        <f t="shared" si="65"/>
        <v>0.36548798489089962</v>
      </c>
      <c r="S112" s="155">
        <f t="shared" si="40"/>
        <v>0.34615384615384626</v>
      </c>
      <c r="T112" s="127">
        <f t="shared" si="41"/>
        <v>0.1290946963794577</v>
      </c>
      <c r="U112" s="108">
        <v>2094.0408163265306</v>
      </c>
      <c r="V112" s="108">
        <f t="shared" si="42"/>
        <v>3.3209851425446502</v>
      </c>
      <c r="W112" s="108">
        <v>9886.3673469387759</v>
      </c>
      <c r="X112" s="108">
        <f t="shared" si="43"/>
        <v>3.9950367434689285</v>
      </c>
      <c r="Y112" s="126">
        <v>569.16666666666697</v>
      </c>
      <c r="Z112" s="126">
        <f t="shared" si="44"/>
        <v>2.756001823801419</v>
      </c>
      <c r="AA112" s="108">
        <v>87.2</v>
      </c>
      <c r="AB112" s="108">
        <f t="shared" si="66"/>
        <v>1.9405164849325673</v>
      </c>
      <c r="AC112" s="127">
        <v>42.5</v>
      </c>
      <c r="AD112" s="127">
        <f t="shared" si="67"/>
        <v>1.6283889300503116</v>
      </c>
      <c r="AE112" s="128">
        <v>52.565521078007201</v>
      </c>
      <c r="AF112" s="128">
        <f t="shared" si="68"/>
        <v>1.7207009738992591</v>
      </c>
      <c r="AG112" s="153">
        <v>0.57999999999999996</v>
      </c>
      <c r="AH112" s="127">
        <f t="shared" si="45"/>
        <v>0.19865708695442263</v>
      </c>
      <c r="AI112" s="108">
        <v>7</v>
      </c>
      <c r="AJ112" s="108">
        <f t="shared" si="69"/>
        <v>0.84509804001425681</v>
      </c>
      <c r="AK112" s="108">
        <f t="shared" si="46"/>
        <v>0</v>
      </c>
      <c r="AL112" s="108">
        <f t="shared" si="47"/>
        <v>0</v>
      </c>
      <c r="AM112" s="108">
        <f t="shared" si="48"/>
        <v>0</v>
      </c>
      <c r="AN112" s="108">
        <f t="shared" si="49"/>
        <v>0</v>
      </c>
      <c r="AO112" s="108">
        <f t="shared" si="50"/>
        <v>0</v>
      </c>
      <c r="AP112" s="108">
        <f t="shared" si="51"/>
        <v>0</v>
      </c>
      <c r="AQ112" s="108">
        <f t="shared" si="52"/>
        <v>0</v>
      </c>
      <c r="AR112" s="108">
        <f t="shared" si="53"/>
        <v>1</v>
      </c>
      <c r="AS112" s="108">
        <f t="shared" si="54"/>
        <v>0</v>
      </c>
      <c r="AT112" s="108">
        <f t="shared" si="55"/>
        <v>0</v>
      </c>
      <c r="AU112" s="108">
        <f t="shared" si="56"/>
        <v>0</v>
      </c>
      <c r="AV112" s="108">
        <f t="shared" si="57"/>
        <v>0</v>
      </c>
      <c r="AW112" s="108">
        <f t="shared" si="58"/>
        <v>0</v>
      </c>
      <c r="AX112" s="108">
        <f t="shared" si="59"/>
        <v>0</v>
      </c>
      <c r="AY112" s="108">
        <f t="shared" si="60"/>
        <v>0</v>
      </c>
      <c r="AZ112" s="108">
        <f t="shared" si="61"/>
        <v>0</v>
      </c>
      <c r="BA112" s="109">
        <f t="shared" si="62"/>
        <v>0</v>
      </c>
    </row>
    <row r="113" spans="1:53" x14ac:dyDescent="0.35">
      <c r="A113" s="143">
        <v>39174</v>
      </c>
      <c r="B113" s="83" t="s">
        <v>45</v>
      </c>
      <c r="C113" s="83" t="s">
        <v>102</v>
      </c>
      <c r="D113" s="83">
        <f t="shared" si="35"/>
        <v>0</v>
      </c>
      <c r="E113" s="83" t="s">
        <v>248</v>
      </c>
      <c r="F113" s="83">
        <f t="shared" si="36"/>
        <v>5</v>
      </c>
      <c r="G113" s="83">
        <v>409000000</v>
      </c>
      <c r="H113" s="83">
        <f t="shared" si="37"/>
        <v>8.6117233080073419</v>
      </c>
      <c r="I113" s="144">
        <v>40314</v>
      </c>
      <c r="J113" s="83">
        <v>0</v>
      </c>
      <c r="K113" s="145">
        <f t="shared" si="38"/>
        <v>3.1232876712328768</v>
      </c>
      <c r="L113" s="148">
        <f t="shared" si="63"/>
        <v>0.49461198687999791</v>
      </c>
      <c r="M113" s="106">
        <v>0</v>
      </c>
      <c r="N113" s="106">
        <f t="shared" si="39"/>
        <v>0</v>
      </c>
      <c r="O113" s="106">
        <v>18</v>
      </c>
      <c r="P113" s="108">
        <f t="shared" si="64"/>
        <v>1.255272505103306</v>
      </c>
      <c r="Q113" s="59">
        <v>2.95</v>
      </c>
      <c r="R113" s="65">
        <f t="shared" si="65"/>
        <v>0.46982201597816303</v>
      </c>
      <c r="S113" s="154">
        <f t="shared" si="40"/>
        <v>-1</v>
      </c>
      <c r="T113" s="119">
        <f t="shared" si="41"/>
        <v>-1</v>
      </c>
      <c r="U113" s="106">
        <v>1663.3600000000004</v>
      </c>
      <c r="V113" s="106">
        <f t="shared" si="42"/>
        <v>3.2209862534849001</v>
      </c>
      <c r="W113" s="64">
        <v>9531.5199999999986</v>
      </c>
      <c r="X113" s="106">
        <f t="shared" si="43"/>
        <v>3.979162163489756</v>
      </c>
      <c r="Y113" s="118">
        <v>0</v>
      </c>
      <c r="Z113" s="118">
        <f t="shared" si="44"/>
        <v>0</v>
      </c>
      <c r="AA113" s="106">
        <v>91.4</v>
      </c>
      <c r="AB113" s="108">
        <f t="shared" si="66"/>
        <v>1.9609461957338314</v>
      </c>
      <c r="AC113" s="119">
        <v>26.7</v>
      </c>
      <c r="AD113" s="127">
        <f t="shared" si="67"/>
        <v>1.4265112613645752</v>
      </c>
      <c r="AE113" s="120">
        <v>37.425715444240403</v>
      </c>
      <c r="AF113" s="128">
        <f t="shared" si="68"/>
        <v>1.5731701112332821</v>
      </c>
      <c r="AG113" s="152">
        <v>0.64</v>
      </c>
      <c r="AH113" s="119">
        <f t="shared" si="45"/>
        <v>0.21484384804769791</v>
      </c>
      <c r="AI113" s="106">
        <v>7</v>
      </c>
      <c r="AJ113" s="108">
        <f t="shared" si="69"/>
        <v>0.84509804001425681</v>
      </c>
      <c r="AK113" s="106">
        <f t="shared" si="46"/>
        <v>1</v>
      </c>
      <c r="AL113" s="106">
        <f t="shared" si="47"/>
        <v>1</v>
      </c>
      <c r="AM113" s="106">
        <f t="shared" si="48"/>
        <v>0</v>
      </c>
      <c r="AN113" s="106">
        <f t="shared" si="49"/>
        <v>0</v>
      </c>
      <c r="AO113" s="106">
        <f t="shared" si="50"/>
        <v>0</v>
      </c>
      <c r="AP113" s="106">
        <f t="shared" si="51"/>
        <v>0</v>
      </c>
      <c r="AQ113" s="106">
        <f t="shared" si="52"/>
        <v>0</v>
      </c>
      <c r="AR113" s="106">
        <f t="shared" si="53"/>
        <v>0</v>
      </c>
      <c r="AS113" s="106">
        <f t="shared" si="54"/>
        <v>0</v>
      </c>
      <c r="AT113" s="106">
        <f t="shared" si="55"/>
        <v>0</v>
      </c>
      <c r="AU113" s="106">
        <f t="shared" si="56"/>
        <v>0</v>
      </c>
      <c r="AV113" s="106">
        <f t="shared" si="57"/>
        <v>0</v>
      </c>
      <c r="AW113" s="106">
        <f t="shared" si="58"/>
        <v>0</v>
      </c>
      <c r="AX113" s="106">
        <f t="shared" si="59"/>
        <v>0</v>
      </c>
      <c r="AY113" s="106">
        <f t="shared" si="60"/>
        <v>0</v>
      </c>
      <c r="AZ113" s="106">
        <f t="shared" si="61"/>
        <v>0</v>
      </c>
      <c r="BA113" s="107">
        <f t="shared" si="62"/>
        <v>0</v>
      </c>
    </row>
    <row r="114" spans="1:53" x14ac:dyDescent="0.35">
      <c r="A114" s="146">
        <v>39174</v>
      </c>
      <c r="B114" s="108" t="s">
        <v>45</v>
      </c>
      <c r="C114" s="108" t="s">
        <v>47</v>
      </c>
      <c r="D114" s="84">
        <f t="shared" si="35"/>
        <v>0</v>
      </c>
      <c r="E114" s="108" t="s">
        <v>178</v>
      </c>
      <c r="F114" s="84">
        <f t="shared" si="36"/>
        <v>9</v>
      </c>
      <c r="G114" s="108">
        <v>4997640000</v>
      </c>
      <c r="H114" s="84">
        <f t="shared" si="37"/>
        <v>9.6987649689484012</v>
      </c>
      <c r="I114" s="146">
        <v>43430</v>
      </c>
      <c r="J114" s="108">
        <v>4904600000</v>
      </c>
      <c r="K114" s="148">
        <f t="shared" si="38"/>
        <v>11.66027397260274</v>
      </c>
      <c r="L114" s="148">
        <f t="shared" si="63"/>
        <v>1.066708754830517</v>
      </c>
      <c r="M114" s="108">
        <v>0</v>
      </c>
      <c r="N114" s="108">
        <f t="shared" si="39"/>
        <v>0</v>
      </c>
      <c r="O114" s="108">
        <v>47</v>
      </c>
      <c r="P114" s="108">
        <f t="shared" si="64"/>
        <v>1.6720978579357175</v>
      </c>
      <c r="Q114" s="65">
        <v>2.95</v>
      </c>
      <c r="R114" s="65">
        <f t="shared" si="65"/>
        <v>0.46982201597816303</v>
      </c>
      <c r="S114" s="155">
        <f t="shared" si="40"/>
        <v>-1.8616787123522327E-2</v>
      </c>
      <c r="T114" s="127">
        <f t="shared" si="41"/>
        <v>-8.1613751481204207E-3</v>
      </c>
      <c r="U114" s="108">
        <v>1455.046</v>
      </c>
      <c r="V114" s="108">
        <f t="shared" si="42"/>
        <v>3.1628767233771686</v>
      </c>
      <c r="W114" s="108">
        <v>4062.5129999999999</v>
      </c>
      <c r="X114" s="108">
        <f t="shared" si="43"/>
        <v>3.6087947637270492</v>
      </c>
      <c r="Y114" s="108">
        <v>0</v>
      </c>
      <c r="Z114" s="126">
        <f t="shared" si="44"/>
        <v>0</v>
      </c>
      <c r="AA114" s="108">
        <v>91.4</v>
      </c>
      <c r="AB114" s="108">
        <f t="shared" si="66"/>
        <v>1.9609461957338314</v>
      </c>
      <c r="AC114" s="127">
        <v>26.7</v>
      </c>
      <c r="AD114" s="127">
        <f t="shared" si="67"/>
        <v>1.4265112613645752</v>
      </c>
      <c r="AE114" s="128">
        <v>37.425715444240403</v>
      </c>
      <c r="AF114" s="128">
        <f t="shared" si="68"/>
        <v>1.5731701112332821</v>
      </c>
      <c r="AG114" s="153">
        <v>0.77</v>
      </c>
      <c r="AH114" s="127">
        <f t="shared" si="45"/>
        <v>0.24797326636180664</v>
      </c>
      <c r="AI114" s="108">
        <v>6</v>
      </c>
      <c r="AJ114" s="108">
        <f t="shared" si="69"/>
        <v>0.77815125038364363</v>
      </c>
      <c r="AK114" s="108">
        <f t="shared" si="46"/>
        <v>0</v>
      </c>
      <c r="AL114" s="108">
        <f t="shared" si="47"/>
        <v>1</v>
      </c>
      <c r="AM114" s="108">
        <f t="shared" si="48"/>
        <v>0</v>
      </c>
      <c r="AN114" s="108">
        <f t="shared" si="49"/>
        <v>0</v>
      </c>
      <c r="AO114" s="108">
        <f t="shared" si="50"/>
        <v>0</v>
      </c>
      <c r="AP114" s="108">
        <f t="shared" si="51"/>
        <v>0</v>
      </c>
      <c r="AQ114" s="108">
        <f t="shared" si="52"/>
        <v>0</v>
      </c>
      <c r="AR114" s="108">
        <f t="shared" si="53"/>
        <v>0</v>
      </c>
      <c r="AS114" s="108">
        <f t="shared" si="54"/>
        <v>0</v>
      </c>
      <c r="AT114" s="108">
        <f t="shared" si="55"/>
        <v>0</v>
      </c>
      <c r="AU114" s="108">
        <f t="shared" si="56"/>
        <v>0</v>
      </c>
      <c r="AV114" s="108">
        <f t="shared" si="57"/>
        <v>0</v>
      </c>
      <c r="AW114" s="108">
        <f t="shared" si="58"/>
        <v>0</v>
      </c>
      <c r="AX114" s="108">
        <f t="shared" si="59"/>
        <v>0</v>
      </c>
      <c r="AY114" s="108">
        <f t="shared" si="60"/>
        <v>0</v>
      </c>
      <c r="AZ114" s="108">
        <f t="shared" si="61"/>
        <v>0</v>
      </c>
      <c r="BA114" s="109">
        <f t="shared" si="62"/>
        <v>0</v>
      </c>
    </row>
    <row r="115" spans="1:53" x14ac:dyDescent="0.35">
      <c r="A115" s="143">
        <v>39182</v>
      </c>
      <c r="B115" s="106" t="s">
        <v>163</v>
      </c>
      <c r="C115" s="106" t="s">
        <v>125</v>
      </c>
      <c r="D115" s="83">
        <f t="shared" si="35"/>
        <v>1</v>
      </c>
      <c r="E115" s="106" t="s">
        <v>248</v>
      </c>
      <c r="F115" s="83">
        <f t="shared" si="36"/>
        <v>5</v>
      </c>
      <c r="G115" s="106">
        <v>131000000</v>
      </c>
      <c r="H115" s="83">
        <f t="shared" si="37"/>
        <v>8.1172712956557636</v>
      </c>
      <c r="I115" s="143">
        <v>41032</v>
      </c>
      <c r="J115" s="106">
        <v>200000000</v>
      </c>
      <c r="K115" s="145">
        <f t="shared" si="38"/>
        <v>5.0684931506849313</v>
      </c>
      <c r="L115" s="148">
        <f t="shared" si="63"/>
        <v>0.70487886394653909</v>
      </c>
      <c r="M115" s="106">
        <v>6164.6</v>
      </c>
      <c r="N115" s="106">
        <f t="shared" si="39"/>
        <v>3.7899753459779522</v>
      </c>
      <c r="O115" s="106">
        <v>45</v>
      </c>
      <c r="P115" s="108">
        <f t="shared" si="64"/>
        <v>1.6532125137753437</v>
      </c>
      <c r="Q115" s="59">
        <v>3.18</v>
      </c>
      <c r="R115" s="65">
        <f t="shared" si="65"/>
        <v>0.50242711998443268</v>
      </c>
      <c r="S115" s="154">
        <f t="shared" si="40"/>
        <v>0.5267175572519085</v>
      </c>
      <c r="T115" s="119">
        <f t="shared" si="41"/>
        <v>0.18375870000821695</v>
      </c>
      <c r="U115" s="106">
        <v>1248.0746999999999</v>
      </c>
      <c r="V115" s="106">
        <f t="shared" si="42"/>
        <v>3.0962405795987471</v>
      </c>
      <c r="W115" s="106">
        <v>2518.2170000000001</v>
      </c>
      <c r="X115" s="106">
        <f t="shared" si="43"/>
        <v>3.4010931514437841</v>
      </c>
      <c r="Y115" s="118">
        <v>583.83333333333303</v>
      </c>
      <c r="Z115" s="118">
        <f t="shared" si="44"/>
        <v>2.7670321178317625</v>
      </c>
      <c r="AA115" s="106">
        <v>87.2</v>
      </c>
      <c r="AB115" s="108">
        <f t="shared" si="66"/>
        <v>1.9405164849325673</v>
      </c>
      <c r="AC115" s="119">
        <v>42.5</v>
      </c>
      <c r="AD115" s="127">
        <f t="shared" si="67"/>
        <v>1.6283889300503116</v>
      </c>
      <c r="AE115" s="120">
        <v>52.565521078007201</v>
      </c>
      <c r="AF115" s="128">
        <f t="shared" si="68"/>
        <v>1.7207009738992591</v>
      </c>
      <c r="AG115" s="152">
        <v>0.51</v>
      </c>
      <c r="AH115" s="119">
        <f t="shared" si="45"/>
        <v>0.17897694729316943</v>
      </c>
      <c r="AI115" s="106">
        <v>44</v>
      </c>
      <c r="AJ115" s="108">
        <f t="shared" si="69"/>
        <v>1.6434526764861874</v>
      </c>
      <c r="AK115" s="106">
        <f t="shared" si="46"/>
        <v>0</v>
      </c>
      <c r="AL115" s="106">
        <f t="shared" si="47"/>
        <v>0</v>
      </c>
      <c r="AM115" s="106">
        <f t="shared" si="48"/>
        <v>0</v>
      </c>
      <c r="AN115" s="106">
        <f t="shared" si="49"/>
        <v>0</v>
      </c>
      <c r="AO115" s="106">
        <f t="shared" si="50"/>
        <v>0</v>
      </c>
      <c r="AP115" s="106">
        <f t="shared" si="51"/>
        <v>0</v>
      </c>
      <c r="AQ115" s="106">
        <f t="shared" si="52"/>
        <v>0</v>
      </c>
      <c r="AR115" s="106">
        <f t="shared" si="53"/>
        <v>1</v>
      </c>
      <c r="AS115" s="106">
        <f t="shared" si="54"/>
        <v>0</v>
      </c>
      <c r="AT115" s="106">
        <f t="shared" si="55"/>
        <v>0</v>
      </c>
      <c r="AU115" s="106">
        <f t="shared" si="56"/>
        <v>0</v>
      </c>
      <c r="AV115" s="106">
        <f t="shared" si="57"/>
        <v>0</v>
      </c>
      <c r="AW115" s="106">
        <f t="shared" si="58"/>
        <v>0</v>
      </c>
      <c r="AX115" s="106">
        <f t="shared" si="59"/>
        <v>0</v>
      </c>
      <c r="AY115" s="106">
        <f t="shared" si="60"/>
        <v>0</v>
      </c>
      <c r="AZ115" s="106">
        <f t="shared" si="61"/>
        <v>0</v>
      </c>
      <c r="BA115" s="107">
        <f t="shared" si="62"/>
        <v>0</v>
      </c>
    </row>
    <row r="116" spans="1:53" x14ac:dyDescent="0.35">
      <c r="A116" s="146">
        <v>39184</v>
      </c>
      <c r="B116" s="108" t="s">
        <v>45</v>
      </c>
      <c r="C116" s="108" t="s">
        <v>47</v>
      </c>
      <c r="D116" s="84">
        <f t="shared" si="35"/>
        <v>0</v>
      </c>
      <c r="E116" s="108" t="s">
        <v>190</v>
      </c>
      <c r="F116" s="84">
        <f t="shared" si="36"/>
        <v>2</v>
      </c>
      <c r="G116" s="108">
        <v>210000000</v>
      </c>
      <c r="H116" s="84">
        <f t="shared" si="37"/>
        <v>8.3222192947339195</v>
      </c>
      <c r="I116" s="146">
        <v>40939</v>
      </c>
      <c r="J116" s="108">
        <v>350000000</v>
      </c>
      <c r="K116" s="148">
        <f t="shared" si="38"/>
        <v>4.8082191780821919</v>
      </c>
      <c r="L116" s="148">
        <f t="shared" si="63"/>
        <v>0.68198425634536819</v>
      </c>
      <c r="M116" s="108">
        <v>0</v>
      </c>
      <c r="N116" s="108">
        <f t="shared" si="39"/>
        <v>0</v>
      </c>
      <c r="O116" s="108">
        <v>60</v>
      </c>
      <c r="P116" s="108">
        <f t="shared" si="64"/>
        <v>1.7781512503836436</v>
      </c>
      <c r="Q116" s="65">
        <v>2.95</v>
      </c>
      <c r="R116" s="65">
        <f t="shared" si="65"/>
        <v>0.46982201597816303</v>
      </c>
      <c r="S116" s="155">
        <f t="shared" si="40"/>
        <v>0.66666666666666674</v>
      </c>
      <c r="T116" s="127">
        <f t="shared" si="41"/>
        <v>0.22184874961635639</v>
      </c>
      <c r="U116" s="108">
        <v>2229.0809327846364</v>
      </c>
      <c r="V116" s="108">
        <f t="shared" si="42"/>
        <v>3.3481258369969185</v>
      </c>
      <c r="W116" s="108">
        <v>7475.9945130315509</v>
      </c>
      <c r="X116" s="108">
        <f t="shared" si="43"/>
        <v>3.8736689739586678</v>
      </c>
      <c r="Y116" s="126">
        <v>0</v>
      </c>
      <c r="Z116" s="126">
        <f t="shared" si="44"/>
        <v>0</v>
      </c>
      <c r="AA116" s="108">
        <v>91.4</v>
      </c>
      <c r="AB116" s="108">
        <f t="shared" si="66"/>
        <v>1.9609461957338314</v>
      </c>
      <c r="AC116" s="127">
        <v>26.7</v>
      </c>
      <c r="AD116" s="127">
        <f t="shared" si="67"/>
        <v>1.4265112613645752</v>
      </c>
      <c r="AE116" s="128">
        <v>37.425715444240403</v>
      </c>
      <c r="AF116" s="128">
        <f t="shared" si="68"/>
        <v>1.5731701112332821</v>
      </c>
      <c r="AG116" s="153">
        <v>-0.02</v>
      </c>
      <c r="AH116" s="127">
        <f t="shared" si="45"/>
        <v>-8.7739243075051505E-3</v>
      </c>
      <c r="AI116" s="108">
        <v>3</v>
      </c>
      <c r="AJ116" s="108">
        <f t="shared" si="69"/>
        <v>0.47712125471966244</v>
      </c>
      <c r="AK116" s="108">
        <f t="shared" si="46"/>
        <v>0</v>
      </c>
      <c r="AL116" s="108">
        <f t="shared" si="47"/>
        <v>1</v>
      </c>
      <c r="AM116" s="108">
        <f t="shared" si="48"/>
        <v>0</v>
      </c>
      <c r="AN116" s="108">
        <f t="shared" si="49"/>
        <v>0</v>
      </c>
      <c r="AO116" s="108">
        <f t="shared" si="50"/>
        <v>0</v>
      </c>
      <c r="AP116" s="108">
        <f t="shared" si="51"/>
        <v>0</v>
      </c>
      <c r="AQ116" s="108">
        <f t="shared" si="52"/>
        <v>0</v>
      </c>
      <c r="AR116" s="108">
        <f t="shared" si="53"/>
        <v>0</v>
      </c>
      <c r="AS116" s="108">
        <f t="shared" si="54"/>
        <v>0</v>
      </c>
      <c r="AT116" s="108">
        <f t="shared" si="55"/>
        <v>0</v>
      </c>
      <c r="AU116" s="108">
        <f t="shared" si="56"/>
        <v>0</v>
      </c>
      <c r="AV116" s="108">
        <f t="shared" si="57"/>
        <v>0</v>
      </c>
      <c r="AW116" s="108">
        <f t="shared" si="58"/>
        <v>0</v>
      </c>
      <c r="AX116" s="108">
        <f t="shared" si="59"/>
        <v>0</v>
      </c>
      <c r="AY116" s="108">
        <f t="shared" si="60"/>
        <v>0</v>
      </c>
      <c r="AZ116" s="108">
        <f t="shared" si="61"/>
        <v>0</v>
      </c>
      <c r="BA116" s="109">
        <f t="shared" si="62"/>
        <v>0</v>
      </c>
    </row>
    <row r="117" spans="1:53" x14ac:dyDescent="0.35">
      <c r="A117" s="143">
        <v>39190</v>
      </c>
      <c r="B117" s="106" t="s">
        <v>163</v>
      </c>
      <c r="C117" s="106" t="s">
        <v>64</v>
      </c>
      <c r="D117" s="83">
        <f t="shared" si="35"/>
        <v>1</v>
      </c>
      <c r="E117" s="106" t="s">
        <v>269</v>
      </c>
      <c r="F117" s="83">
        <f t="shared" si="36"/>
        <v>7</v>
      </c>
      <c r="G117" s="106">
        <v>1117760000</v>
      </c>
      <c r="H117" s="83">
        <f t="shared" si="37"/>
        <v>9.0483485639575534</v>
      </c>
      <c r="I117" s="143">
        <v>40869</v>
      </c>
      <c r="J117" s="106">
        <v>1500000000</v>
      </c>
      <c r="K117" s="145">
        <f t="shared" si="38"/>
        <v>4.5999999999999996</v>
      </c>
      <c r="L117" s="148">
        <f t="shared" si="63"/>
        <v>0.66275783168157409</v>
      </c>
      <c r="M117" s="106">
        <v>342.74</v>
      </c>
      <c r="N117" s="106">
        <f t="shared" si="39"/>
        <v>2.5362300726332561</v>
      </c>
      <c r="O117" s="106">
        <v>80</v>
      </c>
      <c r="P117" s="108">
        <f t="shared" si="64"/>
        <v>1.9030899869919435</v>
      </c>
      <c r="Q117" s="59">
        <v>2.3199999999999998</v>
      </c>
      <c r="R117" s="65">
        <f t="shared" si="65"/>
        <v>0.36548798489089962</v>
      </c>
      <c r="S117" s="154">
        <f t="shared" si="40"/>
        <v>0.34196965359289999</v>
      </c>
      <c r="T117" s="119">
        <f t="shared" si="41"/>
        <v>0.12774269509812849</v>
      </c>
      <c r="U117" s="106">
        <v>1861.7599999999995</v>
      </c>
      <c r="V117" s="106">
        <f t="shared" si="42"/>
        <v>3.2699236952309461</v>
      </c>
      <c r="W117" s="106">
        <v>4993.920000000001</v>
      </c>
      <c r="X117" s="106">
        <f t="shared" si="43"/>
        <v>3.6984415808994222</v>
      </c>
      <c r="Y117" s="118">
        <v>569.16666666666697</v>
      </c>
      <c r="Z117" s="118">
        <f t="shared" si="44"/>
        <v>2.756001823801419</v>
      </c>
      <c r="AA117" s="106">
        <v>87.2</v>
      </c>
      <c r="AB117" s="108">
        <f t="shared" si="66"/>
        <v>1.9405164849325673</v>
      </c>
      <c r="AC117" s="119">
        <v>42.5</v>
      </c>
      <c r="AD117" s="127">
        <f t="shared" si="67"/>
        <v>1.6283889300503116</v>
      </c>
      <c r="AE117" s="120">
        <v>52.565521078007201</v>
      </c>
      <c r="AF117" s="128">
        <f t="shared" si="68"/>
        <v>1.7207009738992591</v>
      </c>
      <c r="AG117" s="152">
        <v>-0.09</v>
      </c>
      <c r="AH117" s="119">
        <f t="shared" si="45"/>
        <v>-4.0958607678906384E-2</v>
      </c>
      <c r="AI117" s="106">
        <v>2</v>
      </c>
      <c r="AJ117" s="108">
        <f t="shared" si="69"/>
        <v>0.3010299956639812</v>
      </c>
      <c r="AK117" s="106">
        <f t="shared" si="46"/>
        <v>0</v>
      </c>
      <c r="AL117" s="106">
        <f t="shared" si="47"/>
        <v>0</v>
      </c>
      <c r="AM117" s="106">
        <f t="shared" si="48"/>
        <v>0</v>
      </c>
      <c r="AN117" s="106">
        <f t="shared" si="49"/>
        <v>0</v>
      </c>
      <c r="AO117" s="106">
        <f t="shared" si="50"/>
        <v>0</v>
      </c>
      <c r="AP117" s="106">
        <f t="shared" si="51"/>
        <v>0</v>
      </c>
      <c r="AQ117" s="106">
        <f t="shared" si="52"/>
        <v>0</v>
      </c>
      <c r="AR117" s="106">
        <f t="shared" si="53"/>
        <v>1</v>
      </c>
      <c r="AS117" s="106">
        <f t="shared" si="54"/>
        <v>0</v>
      </c>
      <c r="AT117" s="106">
        <f t="shared" si="55"/>
        <v>0</v>
      </c>
      <c r="AU117" s="106">
        <f t="shared" si="56"/>
        <v>0</v>
      </c>
      <c r="AV117" s="106">
        <f t="shared" si="57"/>
        <v>0</v>
      </c>
      <c r="AW117" s="106">
        <f t="shared" si="58"/>
        <v>0</v>
      </c>
      <c r="AX117" s="106">
        <f t="shared" si="59"/>
        <v>0</v>
      </c>
      <c r="AY117" s="106">
        <f t="shared" si="60"/>
        <v>0</v>
      </c>
      <c r="AZ117" s="106">
        <f t="shared" si="61"/>
        <v>0</v>
      </c>
      <c r="BA117" s="107">
        <f t="shared" si="62"/>
        <v>0</v>
      </c>
    </row>
    <row r="118" spans="1:53" x14ac:dyDescent="0.35">
      <c r="A118" s="146">
        <v>39193</v>
      </c>
      <c r="B118" s="108" t="s">
        <v>2</v>
      </c>
      <c r="C118" s="108" t="s">
        <v>47</v>
      </c>
      <c r="D118" s="84">
        <f t="shared" si="35"/>
        <v>0</v>
      </c>
      <c r="E118" s="108" t="s">
        <v>235</v>
      </c>
      <c r="F118" s="84">
        <f t="shared" si="36"/>
        <v>1</v>
      </c>
      <c r="G118" s="108">
        <v>300000000</v>
      </c>
      <c r="H118" s="84">
        <f t="shared" si="37"/>
        <v>8.4771212547196626</v>
      </c>
      <c r="I118" s="146">
        <v>41246</v>
      </c>
      <c r="J118" s="108">
        <v>408000000</v>
      </c>
      <c r="K118" s="148">
        <f t="shared" si="38"/>
        <v>5.624657534246575</v>
      </c>
      <c r="L118" s="148">
        <f t="shared" si="63"/>
        <v>0.75009608491411717</v>
      </c>
      <c r="M118" s="108">
        <v>0</v>
      </c>
      <c r="N118" s="108">
        <f t="shared" si="39"/>
        <v>0</v>
      </c>
      <c r="O118" s="108">
        <v>128</v>
      </c>
      <c r="P118" s="108">
        <f t="shared" si="64"/>
        <v>2.1072099696478683</v>
      </c>
      <c r="Q118" s="65">
        <v>3.5</v>
      </c>
      <c r="R118" s="65">
        <f t="shared" si="65"/>
        <v>0.54406804435027567</v>
      </c>
      <c r="S118" s="155">
        <f t="shared" si="40"/>
        <v>0.3600000000000001</v>
      </c>
      <c r="T118" s="127">
        <f t="shared" si="41"/>
        <v>0.13353890837021754</v>
      </c>
      <c r="U118" s="108">
        <v>1495.578623606305</v>
      </c>
      <c r="V118" s="108">
        <f t="shared" si="42"/>
        <v>3.1748092491298348</v>
      </c>
      <c r="W118" s="108">
        <v>3763.9369473279512</v>
      </c>
      <c r="X118" s="108">
        <f t="shared" si="43"/>
        <v>3.5756423396072652</v>
      </c>
      <c r="Y118" s="126">
        <v>0</v>
      </c>
      <c r="Z118" s="126">
        <f t="shared" si="44"/>
        <v>0</v>
      </c>
      <c r="AA118" s="108">
        <v>88.9</v>
      </c>
      <c r="AB118" s="108">
        <f t="shared" si="66"/>
        <v>1.9489017609702137</v>
      </c>
      <c r="AC118" s="127">
        <v>34.9</v>
      </c>
      <c r="AD118" s="127">
        <f t="shared" si="67"/>
        <v>1.5428254269591799</v>
      </c>
      <c r="AE118" s="128">
        <v>42.817370475444001</v>
      </c>
      <c r="AF118" s="128">
        <f t="shared" si="68"/>
        <v>1.6316199926391717</v>
      </c>
      <c r="AG118" s="153">
        <v>-0.33</v>
      </c>
      <c r="AH118" s="127">
        <f t="shared" si="45"/>
        <v>-0.17392519729917361</v>
      </c>
      <c r="AI118" s="108">
        <v>1</v>
      </c>
      <c r="AJ118" s="108">
        <f t="shared" si="69"/>
        <v>0</v>
      </c>
      <c r="AK118" s="108">
        <f t="shared" si="46"/>
        <v>0</v>
      </c>
      <c r="AL118" s="108">
        <f t="shared" si="47"/>
        <v>0</v>
      </c>
      <c r="AM118" s="108">
        <f t="shared" si="48"/>
        <v>0</v>
      </c>
      <c r="AN118" s="108">
        <f t="shared" si="49"/>
        <v>0</v>
      </c>
      <c r="AO118" s="108">
        <f t="shared" si="50"/>
        <v>0</v>
      </c>
      <c r="AP118" s="108">
        <f t="shared" si="51"/>
        <v>0</v>
      </c>
      <c r="AQ118" s="108">
        <f t="shared" si="52"/>
        <v>0</v>
      </c>
      <c r="AR118" s="108">
        <f t="shared" si="53"/>
        <v>0</v>
      </c>
      <c r="AS118" s="108">
        <f t="shared" si="54"/>
        <v>0</v>
      </c>
      <c r="AT118" s="108">
        <f t="shared" si="55"/>
        <v>1</v>
      </c>
      <c r="AU118" s="108">
        <f t="shared" si="56"/>
        <v>0</v>
      </c>
      <c r="AV118" s="108">
        <f t="shared" si="57"/>
        <v>0</v>
      </c>
      <c r="AW118" s="108">
        <f t="shared" si="58"/>
        <v>0</v>
      </c>
      <c r="AX118" s="108">
        <f t="shared" si="59"/>
        <v>0</v>
      </c>
      <c r="AY118" s="108">
        <f t="shared" si="60"/>
        <v>0</v>
      </c>
      <c r="AZ118" s="108">
        <f t="shared" si="61"/>
        <v>0</v>
      </c>
      <c r="BA118" s="109">
        <f t="shared" si="62"/>
        <v>0</v>
      </c>
    </row>
    <row r="119" spans="1:53" x14ac:dyDescent="0.35">
      <c r="A119" s="143">
        <v>39195</v>
      </c>
      <c r="B119" s="106" t="s">
        <v>45</v>
      </c>
      <c r="C119" s="106" t="s">
        <v>47</v>
      </c>
      <c r="D119" s="83">
        <f t="shared" si="35"/>
        <v>0</v>
      </c>
      <c r="E119" s="106" t="s">
        <v>245</v>
      </c>
      <c r="F119" s="83">
        <f t="shared" si="36"/>
        <v>6</v>
      </c>
      <c r="G119" s="106">
        <v>55930000</v>
      </c>
      <c r="H119" s="83">
        <f t="shared" si="37"/>
        <v>7.7476448193282481</v>
      </c>
      <c r="I119" s="143">
        <v>40850</v>
      </c>
      <c r="J119" s="106">
        <v>87900000</v>
      </c>
      <c r="K119" s="145">
        <f t="shared" si="38"/>
        <v>4.5342465753424657</v>
      </c>
      <c r="L119" s="148">
        <f t="shared" si="63"/>
        <v>0.65650513365526286</v>
      </c>
      <c r="M119" s="106">
        <v>0</v>
      </c>
      <c r="N119" s="106">
        <f t="shared" si="39"/>
        <v>0</v>
      </c>
      <c r="O119" s="106">
        <v>54</v>
      </c>
      <c r="P119" s="108">
        <f t="shared" si="64"/>
        <v>1.7323937598229686</v>
      </c>
      <c r="Q119" s="59">
        <v>2.95</v>
      </c>
      <c r="R119" s="65">
        <f t="shared" si="65"/>
        <v>0.46982201597816303</v>
      </c>
      <c r="S119" s="154">
        <f t="shared" si="40"/>
        <v>0.57160736635079568</v>
      </c>
      <c r="T119" s="119">
        <f t="shared" si="41"/>
        <v>0.19634405574552369</v>
      </c>
      <c r="U119" s="106">
        <v>6200.5542957923917</v>
      </c>
      <c r="V119" s="106">
        <f t="shared" si="42"/>
        <v>3.792430514795639</v>
      </c>
      <c r="W119" s="106">
        <v>3504.6611237087427</v>
      </c>
      <c r="X119" s="106">
        <f t="shared" si="43"/>
        <v>3.5446460310848829</v>
      </c>
      <c r="Y119" s="118">
        <v>0</v>
      </c>
      <c r="Z119" s="118">
        <f t="shared" si="44"/>
        <v>0</v>
      </c>
      <c r="AA119" s="106">
        <v>91.4</v>
      </c>
      <c r="AB119" s="108">
        <f t="shared" si="66"/>
        <v>1.9609461957338314</v>
      </c>
      <c r="AC119" s="119">
        <v>26.7</v>
      </c>
      <c r="AD119" s="127">
        <f t="shared" si="67"/>
        <v>1.4265112613645752</v>
      </c>
      <c r="AE119" s="120">
        <v>37.425715444240403</v>
      </c>
      <c r="AF119" s="128">
        <f t="shared" si="68"/>
        <v>1.5731701112332821</v>
      </c>
      <c r="AG119" s="152">
        <v>0.3</v>
      </c>
      <c r="AH119" s="119">
        <f t="shared" si="45"/>
        <v>0.11394335230683679</v>
      </c>
      <c r="AI119" s="106">
        <v>9</v>
      </c>
      <c r="AJ119" s="108">
        <f t="shared" si="69"/>
        <v>0.95424250943932487</v>
      </c>
      <c r="AK119" s="106">
        <f t="shared" si="46"/>
        <v>0</v>
      </c>
      <c r="AL119" s="106">
        <f t="shared" si="47"/>
        <v>1</v>
      </c>
      <c r="AM119" s="106">
        <f t="shared" si="48"/>
        <v>0</v>
      </c>
      <c r="AN119" s="106">
        <f t="shared" si="49"/>
        <v>0</v>
      </c>
      <c r="AO119" s="106">
        <f t="shared" si="50"/>
        <v>0</v>
      </c>
      <c r="AP119" s="106">
        <f t="shared" si="51"/>
        <v>0</v>
      </c>
      <c r="AQ119" s="106">
        <f t="shared" si="52"/>
        <v>0</v>
      </c>
      <c r="AR119" s="106">
        <f t="shared" si="53"/>
        <v>0</v>
      </c>
      <c r="AS119" s="106">
        <f t="shared" si="54"/>
        <v>0</v>
      </c>
      <c r="AT119" s="106">
        <f t="shared" si="55"/>
        <v>0</v>
      </c>
      <c r="AU119" s="106">
        <f t="shared" si="56"/>
        <v>0</v>
      </c>
      <c r="AV119" s="106">
        <f t="shared" si="57"/>
        <v>0</v>
      </c>
      <c r="AW119" s="106">
        <f t="shared" si="58"/>
        <v>0</v>
      </c>
      <c r="AX119" s="106">
        <f t="shared" si="59"/>
        <v>0</v>
      </c>
      <c r="AY119" s="106">
        <f t="shared" si="60"/>
        <v>0</v>
      </c>
      <c r="AZ119" s="106">
        <f t="shared" si="61"/>
        <v>0</v>
      </c>
      <c r="BA119" s="107">
        <f t="shared" si="62"/>
        <v>0</v>
      </c>
    </row>
    <row r="120" spans="1:53" x14ac:dyDescent="0.35">
      <c r="A120" s="146">
        <v>39199</v>
      </c>
      <c r="B120" s="108" t="s">
        <v>45</v>
      </c>
      <c r="C120" s="108" t="s">
        <v>102</v>
      </c>
      <c r="D120" s="84">
        <f t="shared" si="35"/>
        <v>0</v>
      </c>
      <c r="E120" s="108" t="s">
        <v>248</v>
      </c>
      <c r="F120" s="84">
        <f t="shared" si="36"/>
        <v>5</v>
      </c>
      <c r="G120" s="108">
        <v>850000000</v>
      </c>
      <c r="H120" s="84">
        <f t="shared" si="37"/>
        <v>8.9294189257142929</v>
      </c>
      <c r="I120" s="146">
        <v>41962</v>
      </c>
      <c r="J120" s="108">
        <v>3075000000</v>
      </c>
      <c r="K120" s="148">
        <f t="shared" si="38"/>
        <v>7.5698630136986305</v>
      </c>
      <c r="L120" s="148">
        <f t="shared" si="63"/>
        <v>0.87908802046003665</v>
      </c>
      <c r="M120" s="108">
        <v>0</v>
      </c>
      <c r="N120" s="108">
        <f t="shared" si="39"/>
        <v>0</v>
      </c>
      <c r="O120" s="108">
        <v>0</v>
      </c>
      <c r="P120" s="108">
        <f t="shared" si="64"/>
        <v>0</v>
      </c>
      <c r="Q120" s="65">
        <v>2.95</v>
      </c>
      <c r="R120" s="65">
        <f t="shared" si="65"/>
        <v>0.46982201597816303</v>
      </c>
      <c r="S120" s="155">
        <f t="shared" si="40"/>
        <v>2.6176470588235294</v>
      </c>
      <c r="T120" s="127">
        <f t="shared" si="41"/>
        <v>0.55842619439714281</v>
      </c>
      <c r="U120" s="108">
        <v>1518.5350000000001</v>
      </c>
      <c r="V120" s="108">
        <f t="shared" si="42"/>
        <v>3.1814248062191788</v>
      </c>
      <c r="W120" s="108">
        <v>5363.16</v>
      </c>
      <c r="X120" s="108">
        <f t="shared" si="43"/>
        <v>3.7294207535322617</v>
      </c>
      <c r="Y120" s="126">
        <v>0</v>
      </c>
      <c r="Z120" s="126">
        <f t="shared" si="44"/>
        <v>0</v>
      </c>
      <c r="AA120" s="108">
        <v>91.4</v>
      </c>
      <c r="AB120" s="108">
        <f t="shared" si="66"/>
        <v>1.9609461957338314</v>
      </c>
      <c r="AC120" s="127">
        <v>26.7</v>
      </c>
      <c r="AD120" s="127">
        <f t="shared" si="67"/>
        <v>1.4265112613645752</v>
      </c>
      <c r="AE120" s="128">
        <v>37.425715444240403</v>
      </c>
      <c r="AF120" s="128">
        <f t="shared" si="68"/>
        <v>1.5731701112332821</v>
      </c>
      <c r="AG120" s="153">
        <v>0.52</v>
      </c>
      <c r="AH120" s="127">
        <f t="shared" si="45"/>
        <v>0.18184358794477254</v>
      </c>
      <c r="AI120" s="108">
        <v>6</v>
      </c>
      <c r="AJ120" s="108">
        <f t="shared" si="69"/>
        <v>0.77815125038364363</v>
      </c>
      <c r="AK120" s="108">
        <f t="shared" si="46"/>
        <v>0</v>
      </c>
      <c r="AL120" s="108">
        <f t="shared" si="47"/>
        <v>1</v>
      </c>
      <c r="AM120" s="108">
        <f t="shared" si="48"/>
        <v>0</v>
      </c>
      <c r="AN120" s="108">
        <f t="shared" si="49"/>
        <v>0</v>
      </c>
      <c r="AO120" s="108">
        <f t="shared" si="50"/>
        <v>0</v>
      </c>
      <c r="AP120" s="108">
        <f t="shared" si="51"/>
        <v>0</v>
      </c>
      <c r="AQ120" s="108">
        <f t="shared" si="52"/>
        <v>0</v>
      </c>
      <c r="AR120" s="108">
        <f t="shared" si="53"/>
        <v>0</v>
      </c>
      <c r="AS120" s="108">
        <f t="shared" si="54"/>
        <v>0</v>
      </c>
      <c r="AT120" s="108">
        <f t="shared" si="55"/>
        <v>0</v>
      </c>
      <c r="AU120" s="108">
        <f t="shared" si="56"/>
        <v>0</v>
      </c>
      <c r="AV120" s="108">
        <f t="shared" si="57"/>
        <v>0</v>
      </c>
      <c r="AW120" s="108">
        <f t="shared" si="58"/>
        <v>0</v>
      </c>
      <c r="AX120" s="108">
        <f t="shared" si="59"/>
        <v>0</v>
      </c>
      <c r="AY120" s="108">
        <f t="shared" si="60"/>
        <v>0</v>
      </c>
      <c r="AZ120" s="108">
        <f t="shared" si="61"/>
        <v>0</v>
      </c>
      <c r="BA120" s="109">
        <f t="shared" si="62"/>
        <v>0</v>
      </c>
    </row>
    <row r="121" spans="1:53" x14ac:dyDescent="0.35">
      <c r="A121" s="143">
        <v>39202</v>
      </c>
      <c r="B121" s="106" t="s">
        <v>45</v>
      </c>
      <c r="C121" s="106" t="s">
        <v>47</v>
      </c>
      <c r="D121" s="83">
        <f t="shared" si="35"/>
        <v>0</v>
      </c>
      <c r="E121" s="106" t="s">
        <v>269</v>
      </c>
      <c r="F121" s="83">
        <f t="shared" si="36"/>
        <v>7</v>
      </c>
      <c r="G121" s="106">
        <v>2160000000</v>
      </c>
      <c r="H121" s="83">
        <f t="shared" si="37"/>
        <v>9.3344537511509316</v>
      </c>
      <c r="I121" s="143">
        <v>42128</v>
      </c>
      <c r="J121" s="106">
        <v>2490400000</v>
      </c>
      <c r="K121" s="145">
        <f t="shared" si="38"/>
        <v>8.0164383561643842</v>
      </c>
      <c r="L121" s="148">
        <f t="shared" si="63"/>
        <v>0.90398145733281732</v>
      </c>
      <c r="M121" s="106">
        <v>0</v>
      </c>
      <c r="N121" s="106">
        <f t="shared" si="39"/>
        <v>0</v>
      </c>
      <c r="O121" s="106">
        <v>9</v>
      </c>
      <c r="P121" s="108">
        <f t="shared" si="64"/>
        <v>0.95424250943932487</v>
      </c>
      <c r="Q121" s="59">
        <v>2.95</v>
      </c>
      <c r="R121" s="65">
        <f t="shared" si="65"/>
        <v>0.46982201597816303</v>
      </c>
      <c r="S121" s="154">
        <f t="shared" si="40"/>
        <v>0.15296296296296297</v>
      </c>
      <c r="T121" s="119">
        <f t="shared" si="41"/>
        <v>6.1815356523527966E-2</v>
      </c>
      <c r="U121" s="106">
        <v>2315.9650000000001</v>
      </c>
      <c r="V121" s="106">
        <f t="shared" si="42"/>
        <v>3.3647319918335836</v>
      </c>
      <c r="W121" s="106">
        <v>3703.9029999999998</v>
      </c>
      <c r="X121" s="106">
        <f t="shared" si="43"/>
        <v>3.568659604598353</v>
      </c>
      <c r="Y121" s="106">
        <v>0</v>
      </c>
      <c r="Z121" s="118">
        <f t="shared" si="44"/>
        <v>0</v>
      </c>
      <c r="AA121" s="106">
        <v>91.4</v>
      </c>
      <c r="AB121" s="108">
        <f t="shared" si="66"/>
        <v>1.9609461957338314</v>
      </c>
      <c r="AC121" s="119">
        <v>26.7</v>
      </c>
      <c r="AD121" s="127">
        <f t="shared" si="67"/>
        <v>1.4265112613645752</v>
      </c>
      <c r="AE121" s="120">
        <v>37.425715444240403</v>
      </c>
      <c r="AF121" s="128">
        <f t="shared" si="68"/>
        <v>1.5731701112332821</v>
      </c>
      <c r="AG121" s="152">
        <v>7.0000000000000007E-2</v>
      </c>
      <c r="AH121" s="119">
        <f t="shared" si="45"/>
        <v>2.9383777685209667E-2</v>
      </c>
      <c r="AI121" s="106">
        <v>1</v>
      </c>
      <c r="AJ121" s="108">
        <f t="shared" si="69"/>
        <v>0</v>
      </c>
      <c r="AK121" s="106">
        <f t="shared" si="46"/>
        <v>0</v>
      </c>
      <c r="AL121" s="106">
        <f t="shared" si="47"/>
        <v>1</v>
      </c>
      <c r="AM121" s="106">
        <f t="shared" si="48"/>
        <v>0</v>
      </c>
      <c r="AN121" s="106">
        <f t="shared" si="49"/>
        <v>0</v>
      </c>
      <c r="AO121" s="106">
        <f t="shared" si="50"/>
        <v>0</v>
      </c>
      <c r="AP121" s="106">
        <f t="shared" si="51"/>
        <v>0</v>
      </c>
      <c r="AQ121" s="106">
        <f t="shared" si="52"/>
        <v>0</v>
      </c>
      <c r="AR121" s="106">
        <f t="shared" si="53"/>
        <v>0</v>
      </c>
      <c r="AS121" s="106">
        <f t="shared" si="54"/>
        <v>0</v>
      </c>
      <c r="AT121" s="106">
        <f t="shared" si="55"/>
        <v>0</v>
      </c>
      <c r="AU121" s="106">
        <f t="shared" si="56"/>
        <v>0</v>
      </c>
      <c r="AV121" s="106">
        <f t="shared" si="57"/>
        <v>0</v>
      </c>
      <c r="AW121" s="106">
        <f t="shared" si="58"/>
        <v>0</v>
      </c>
      <c r="AX121" s="106">
        <f t="shared" si="59"/>
        <v>0</v>
      </c>
      <c r="AY121" s="106">
        <f t="shared" si="60"/>
        <v>0</v>
      </c>
      <c r="AZ121" s="106">
        <f t="shared" si="61"/>
        <v>0</v>
      </c>
      <c r="BA121" s="107">
        <f t="shared" si="62"/>
        <v>0</v>
      </c>
    </row>
    <row r="122" spans="1:53" x14ac:dyDescent="0.35">
      <c r="A122" s="146">
        <v>39205</v>
      </c>
      <c r="B122" s="108" t="s">
        <v>59</v>
      </c>
      <c r="C122" s="108" t="s">
        <v>47</v>
      </c>
      <c r="D122" s="84">
        <f t="shared" si="35"/>
        <v>0</v>
      </c>
      <c r="E122" s="108" t="s">
        <v>248</v>
      </c>
      <c r="F122" s="84">
        <f t="shared" si="36"/>
        <v>5</v>
      </c>
      <c r="G122" s="108">
        <v>145500000</v>
      </c>
      <c r="H122" s="84">
        <f t="shared" si="37"/>
        <v>8.1628629933219266</v>
      </c>
      <c r="I122" s="146">
        <v>43026</v>
      </c>
      <c r="J122" s="108">
        <v>220000000</v>
      </c>
      <c r="K122" s="148">
        <f t="shared" si="38"/>
        <v>10.468493150684932</v>
      </c>
      <c r="L122" s="148">
        <f t="shared" si="63"/>
        <v>1.0198841732319341</v>
      </c>
      <c r="M122" s="108">
        <v>0</v>
      </c>
      <c r="N122" s="108">
        <f t="shared" si="39"/>
        <v>0</v>
      </c>
      <c r="O122" s="108">
        <v>76</v>
      </c>
      <c r="P122" s="108">
        <f t="shared" si="64"/>
        <v>1.8808135922807914</v>
      </c>
      <c r="Q122" s="65">
        <v>3.29</v>
      </c>
      <c r="R122" s="65">
        <f t="shared" si="65"/>
        <v>0.51719589794997434</v>
      </c>
      <c r="S122" s="155">
        <f t="shared" si="40"/>
        <v>0.51202749140893467</v>
      </c>
      <c r="T122" s="127">
        <f t="shared" si="41"/>
        <v>0.17955968750028012</v>
      </c>
      <c r="U122" s="108">
        <v>1801.1079999999999</v>
      </c>
      <c r="V122" s="108">
        <f t="shared" si="42"/>
        <v>3.2555397552391718</v>
      </c>
      <c r="W122" s="108">
        <v>8416.6209999999992</v>
      </c>
      <c r="X122" s="108">
        <f t="shared" si="43"/>
        <v>3.9251377713585649</v>
      </c>
      <c r="Y122" s="126">
        <v>0</v>
      </c>
      <c r="Z122" s="126">
        <f t="shared" si="44"/>
        <v>0</v>
      </c>
      <c r="AA122" s="108">
        <v>91.2</v>
      </c>
      <c r="AB122" s="108">
        <f t="shared" si="66"/>
        <v>1.9599948383284163</v>
      </c>
      <c r="AC122" s="127">
        <v>33</v>
      </c>
      <c r="AD122" s="127">
        <f t="shared" si="67"/>
        <v>1.5185139398778875</v>
      </c>
      <c r="AE122" s="128">
        <v>40.902544500539101</v>
      </c>
      <c r="AF122" s="128">
        <f t="shared" si="68"/>
        <v>1.6117503258110162</v>
      </c>
      <c r="AG122" s="153">
        <v>0.4</v>
      </c>
      <c r="AH122" s="127">
        <f t="shared" si="45"/>
        <v>0.14612803567823801</v>
      </c>
      <c r="AI122" s="108">
        <v>14</v>
      </c>
      <c r="AJ122" s="108">
        <f t="shared" si="69"/>
        <v>1.146128035678238</v>
      </c>
      <c r="AK122" s="108">
        <f t="shared" si="46"/>
        <v>0</v>
      </c>
      <c r="AL122" s="108">
        <f t="shared" si="47"/>
        <v>0</v>
      </c>
      <c r="AM122" s="108">
        <f t="shared" si="48"/>
        <v>1</v>
      </c>
      <c r="AN122" s="108">
        <f t="shared" si="49"/>
        <v>0</v>
      </c>
      <c r="AO122" s="108">
        <f t="shared" si="50"/>
        <v>0</v>
      </c>
      <c r="AP122" s="108">
        <f t="shared" si="51"/>
        <v>0</v>
      </c>
      <c r="AQ122" s="108">
        <f t="shared" si="52"/>
        <v>0</v>
      </c>
      <c r="AR122" s="108">
        <f t="shared" si="53"/>
        <v>0</v>
      </c>
      <c r="AS122" s="108">
        <f t="shared" si="54"/>
        <v>0</v>
      </c>
      <c r="AT122" s="108">
        <f t="shared" si="55"/>
        <v>0</v>
      </c>
      <c r="AU122" s="108">
        <f t="shared" si="56"/>
        <v>0</v>
      </c>
      <c r="AV122" s="108">
        <f t="shared" si="57"/>
        <v>0</v>
      </c>
      <c r="AW122" s="108">
        <f t="shared" si="58"/>
        <v>0</v>
      </c>
      <c r="AX122" s="108">
        <f t="shared" si="59"/>
        <v>0</v>
      </c>
      <c r="AY122" s="108">
        <f t="shared" si="60"/>
        <v>0</v>
      </c>
      <c r="AZ122" s="108">
        <f t="shared" si="61"/>
        <v>0</v>
      </c>
      <c r="BA122" s="109">
        <f t="shared" si="62"/>
        <v>0</v>
      </c>
    </row>
    <row r="123" spans="1:53" x14ac:dyDescent="0.35">
      <c r="A123" s="143">
        <v>39209</v>
      </c>
      <c r="B123" s="106" t="s">
        <v>45</v>
      </c>
      <c r="C123" s="83" t="s">
        <v>47</v>
      </c>
      <c r="D123" s="83">
        <f t="shared" si="35"/>
        <v>0</v>
      </c>
      <c r="E123" s="106" t="s">
        <v>186</v>
      </c>
      <c r="F123" s="83">
        <f t="shared" si="36"/>
        <v>4</v>
      </c>
      <c r="G123" s="106">
        <v>632000000</v>
      </c>
      <c r="H123" s="83">
        <f t="shared" si="37"/>
        <v>8.8007170782823856</v>
      </c>
      <c r="I123" s="143">
        <v>41586</v>
      </c>
      <c r="J123" s="106">
        <v>1400000000</v>
      </c>
      <c r="K123" s="145">
        <f t="shared" si="38"/>
        <v>6.5123287671232877</v>
      </c>
      <c r="L123" s="148">
        <f t="shared" si="63"/>
        <v>0.81373631727170559</v>
      </c>
      <c r="M123" s="106">
        <v>0</v>
      </c>
      <c r="N123" s="106">
        <f t="shared" si="39"/>
        <v>0</v>
      </c>
      <c r="O123" s="106">
        <v>78</v>
      </c>
      <c r="P123" s="108">
        <f t="shared" si="64"/>
        <v>1.8920946026904804</v>
      </c>
      <c r="Q123" s="59">
        <v>2.95</v>
      </c>
      <c r="R123" s="65">
        <f t="shared" si="65"/>
        <v>0.46982201597816303</v>
      </c>
      <c r="S123" s="154">
        <f t="shared" si="40"/>
        <v>1.2151898734177213</v>
      </c>
      <c r="T123" s="119">
        <f t="shared" si="41"/>
        <v>0.34541095739585298</v>
      </c>
      <c r="U123" s="106">
        <v>1246.953</v>
      </c>
      <c r="V123" s="106">
        <f t="shared" si="42"/>
        <v>3.0958500844125241</v>
      </c>
      <c r="W123" s="106">
        <v>3219.7179999999998</v>
      </c>
      <c r="X123" s="106">
        <f t="shared" si="43"/>
        <v>3.5078178355445662</v>
      </c>
      <c r="Y123" s="118">
        <v>0</v>
      </c>
      <c r="Z123" s="118">
        <f t="shared" si="44"/>
        <v>0</v>
      </c>
      <c r="AA123" s="106">
        <v>91.4</v>
      </c>
      <c r="AB123" s="108">
        <f t="shared" si="66"/>
        <v>1.9609461957338314</v>
      </c>
      <c r="AC123" s="119">
        <v>26.7</v>
      </c>
      <c r="AD123" s="127">
        <f t="shared" si="67"/>
        <v>1.4265112613645752</v>
      </c>
      <c r="AE123" s="120">
        <v>37.425715444240403</v>
      </c>
      <c r="AF123" s="128">
        <f t="shared" si="68"/>
        <v>1.5731701112332821</v>
      </c>
      <c r="AG123" s="152">
        <v>0.6</v>
      </c>
      <c r="AH123" s="119">
        <f t="shared" si="45"/>
        <v>0.20411998265592479</v>
      </c>
      <c r="AI123" s="106">
        <v>12</v>
      </c>
      <c r="AJ123" s="108">
        <f t="shared" si="69"/>
        <v>1.0791812460476249</v>
      </c>
      <c r="AK123" s="106">
        <f t="shared" si="46"/>
        <v>0</v>
      </c>
      <c r="AL123" s="106">
        <f t="shared" si="47"/>
        <v>1</v>
      </c>
      <c r="AM123" s="106">
        <f t="shared" si="48"/>
        <v>0</v>
      </c>
      <c r="AN123" s="106">
        <f t="shared" si="49"/>
        <v>0</v>
      </c>
      <c r="AO123" s="106">
        <f t="shared" si="50"/>
        <v>0</v>
      </c>
      <c r="AP123" s="106">
        <f t="shared" si="51"/>
        <v>0</v>
      </c>
      <c r="AQ123" s="106">
        <f t="shared" si="52"/>
        <v>0</v>
      </c>
      <c r="AR123" s="106">
        <f t="shared" si="53"/>
        <v>0</v>
      </c>
      <c r="AS123" s="106">
        <f t="shared" si="54"/>
        <v>0</v>
      </c>
      <c r="AT123" s="106">
        <f t="shared" si="55"/>
        <v>0</v>
      </c>
      <c r="AU123" s="106">
        <f t="shared" si="56"/>
        <v>0</v>
      </c>
      <c r="AV123" s="106">
        <f t="shared" si="57"/>
        <v>0</v>
      </c>
      <c r="AW123" s="106">
        <f t="shared" si="58"/>
        <v>0</v>
      </c>
      <c r="AX123" s="106">
        <f t="shared" si="59"/>
        <v>0</v>
      </c>
      <c r="AY123" s="106">
        <f t="shared" si="60"/>
        <v>0</v>
      </c>
      <c r="AZ123" s="106">
        <f t="shared" si="61"/>
        <v>0</v>
      </c>
      <c r="BA123" s="107">
        <f t="shared" si="62"/>
        <v>0</v>
      </c>
    </row>
    <row r="124" spans="1:53" x14ac:dyDescent="0.35">
      <c r="A124" s="146">
        <v>39232</v>
      </c>
      <c r="B124" s="108" t="s">
        <v>163</v>
      </c>
      <c r="C124" s="108" t="s">
        <v>64</v>
      </c>
      <c r="D124" s="84">
        <f t="shared" si="35"/>
        <v>1</v>
      </c>
      <c r="E124" s="108" t="s">
        <v>235</v>
      </c>
      <c r="F124" s="84">
        <f t="shared" si="36"/>
        <v>1</v>
      </c>
      <c r="G124" s="108">
        <v>343000000</v>
      </c>
      <c r="H124" s="84">
        <f t="shared" si="37"/>
        <v>8.5352941200427708</v>
      </c>
      <c r="I124" s="146">
        <v>41578</v>
      </c>
      <c r="J124" s="108">
        <v>600000000</v>
      </c>
      <c r="K124" s="148">
        <f t="shared" si="38"/>
        <v>6.4273972602739722</v>
      </c>
      <c r="L124" s="148">
        <f t="shared" si="63"/>
        <v>0.80803514332303572</v>
      </c>
      <c r="M124" s="108">
        <v>342.74</v>
      </c>
      <c r="N124" s="108">
        <f t="shared" si="39"/>
        <v>2.5362300726332561</v>
      </c>
      <c r="O124" s="108">
        <v>33</v>
      </c>
      <c r="P124" s="108">
        <f t="shared" si="64"/>
        <v>1.5185139398778875</v>
      </c>
      <c r="Q124" s="65">
        <v>2.3199999999999998</v>
      </c>
      <c r="R124" s="65">
        <f t="shared" si="65"/>
        <v>0.36548798489089962</v>
      </c>
      <c r="S124" s="155">
        <f t="shared" si="40"/>
        <v>0.74927113702623904</v>
      </c>
      <c r="T124" s="127">
        <f t="shared" si="41"/>
        <v>0.24285713034087314</v>
      </c>
      <c r="U124" s="108">
        <v>1801.108033240997</v>
      </c>
      <c r="V124" s="108">
        <f t="shared" si="42"/>
        <v>3.25553976325445</v>
      </c>
      <c r="W124" s="108">
        <v>8416.6204986149605</v>
      </c>
      <c r="X124" s="108">
        <f t="shared" si="43"/>
        <v>3.9251377454872847</v>
      </c>
      <c r="Y124" s="126">
        <v>569.16666666666697</v>
      </c>
      <c r="Z124" s="126">
        <f t="shared" si="44"/>
        <v>2.756001823801419</v>
      </c>
      <c r="AA124" s="108">
        <v>87.2</v>
      </c>
      <c r="AB124" s="108">
        <f t="shared" si="66"/>
        <v>1.9405164849325673</v>
      </c>
      <c r="AC124" s="127">
        <v>42.5</v>
      </c>
      <c r="AD124" s="127">
        <f t="shared" si="67"/>
        <v>1.6283889300503116</v>
      </c>
      <c r="AE124" s="128">
        <v>52.565521078007201</v>
      </c>
      <c r="AF124" s="128">
        <f t="shared" si="68"/>
        <v>1.7207009738992591</v>
      </c>
      <c r="AG124" s="153">
        <v>1.18</v>
      </c>
      <c r="AH124" s="127">
        <f t="shared" si="45"/>
        <v>0.33845649360460478</v>
      </c>
      <c r="AI124" s="108">
        <v>11</v>
      </c>
      <c r="AJ124" s="108">
        <f t="shared" si="69"/>
        <v>1.0413926851582251</v>
      </c>
      <c r="AK124" s="108">
        <f t="shared" si="46"/>
        <v>0</v>
      </c>
      <c r="AL124" s="108">
        <f t="shared" si="47"/>
        <v>0</v>
      </c>
      <c r="AM124" s="108">
        <f t="shared" si="48"/>
        <v>0</v>
      </c>
      <c r="AN124" s="108">
        <f t="shared" si="49"/>
        <v>0</v>
      </c>
      <c r="AO124" s="108">
        <f t="shared" si="50"/>
        <v>0</v>
      </c>
      <c r="AP124" s="108">
        <f t="shared" si="51"/>
        <v>0</v>
      </c>
      <c r="AQ124" s="108">
        <f t="shared" si="52"/>
        <v>0</v>
      </c>
      <c r="AR124" s="108">
        <f t="shared" si="53"/>
        <v>1</v>
      </c>
      <c r="AS124" s="108">
        <f t="shared" si="54"/>
        <v>0</v>
      </c>
      <c r="AT124" s="108">
        <f t="shared" si="55"/>
        <v>0</v>
      </c>
      <c r="AU124" s="108">
        <f t="shared" si="56"/>
        <v>0</v>
      </c>
      <c r="AV124" s="108">
        <f t="shared" si="57"/>
        <v>0</v>
      </c>
      <c r="AW124" s="108">
        <f t="shared" si="58"/>
        <v>0</v>
      </c>
      <c r="AX124" s="108">
        <f t="shared" si="59"/>
        <v>0</v>
      </c>
      <c r="AY124" s="108">
        <f t="shared" si="60"/>
        <v>0</v>
      </c>
      <c r="AZ124" s="108">
        <f t="shared" si="61"/>
        <v>0</v>
      </c>
      <c r="BA124" s="109">
        <f t="shared" si="62"/>
        <v>0</v>
      </c>
    </row>
    <row r="125" spans="1:53" x14ac:dyDescent="0.35">
      <c r="A125" s="143">
        <v>39233</v>
      </c>
      <c r="B125" s="106" t="s">
        <v>7</v>
      </c>
      <c r="C125" s="106" t="s">
        <v>125</v>
      </c>
      <c r="D125" s="83">
        <f t="shared" si="35"/>
        <v>1</v>
      </c>
      <c r="E125" s="106" t="s">
        <v>235</v>
      </c>
      <c r="F125" s="83">
        <f t="shared" si="36"/>
        <v>1</v>
      </c>
      <c r="G125" s="106">
        <v>2400000000</v>
      </c>
      <c r="H125" s="83">
        <f t="shared" si="37"/>
        <v>9.3802112417116064</v>
      </c>
      <c r="I125" s="143">
        <v>41639</v>
      </c>
      <c r="J125" s="106">
        <v>3100000000</v>
      </c>
      <c r="K125" s="145">
        <f t="shared" si="38"/>
        <v>6.5917808219178085</v>
      </c>
      <c r="L125" s="148">
        <f t="shared" si="63"/>
        <v>0.81900275854735127</v>
      </c>
      <c r="M125" s="106">
        <v>489.17</v>
      </c>
      <c r="N125" s="106">
        <f t="shared" si="39"/>
        <v>2.6903467274930635</v>
      </c>
      <c r="O125" s="106">
        <v>34</v>
      </c>
      <c r="P125" s="108">
        <f t="shared" si="64"/>
        <v>1.5314789170422551</v>
      </c>
      <c r="Q125" s="59">
        <v>2.59</v>
      </c>
      <c r="R125" s="65">
        <f t="shared" si="65"/>
        <v>0.4132997640812518</v>
      </c>
      <c r="S125" s="154">
        <f t="shared" si="40"/>
        <v>0.29166666666666674</v>
      </c>
      <c r="T125" s="119">
        <f t="shared" si="41"/>
        <v>0.11115045212266668</v>
      </c>
      <c r="U125" s="106">
        <v>2144.9704142011828</v>
      </c>
      <c r="V125" s="106">
        <f t="shared" si="42"/>
        <v>3.3314213062933389</v>
      </c>
      <c r="W125" s="106">
        <v>7670.1183431952677</v>
      </c>
      <c r="X125" s="106">
        <f t="shared" si="43"/>
        <v>3.884802064783424</v>
      </c>
      <c r="Y125" s="118">
        <v>562.5</v>
      </c>
      <c r="Z125" s="118">
        <f t="shared" si="44"/>
        <v>2.7508939203821252</v>
      </c>
      <c r="AA125" s="106">
        <v>76.900000000000006</v>
      </c>
      <c r="AB125" s="108">
        <f t="shared" si="66"/>
        <v>1.885926339801431</v>
      </c>
      <c r="AC125" s="119">
        <v>36.1</v>
      </c>
      <c r="AD125" s="127">
        <f t="shared" si="67"/>
        <v>1.5575072019056579</v>
      </c>
      <c r="AE125" s="120">
        <v>37.805693454220297</v>
      </c>
      <c r="AF125" s="128">
        <f t="shared" si="68"/>
        <v>1.5775572085556049</v>
      </c>
      <c r="AG125" s="152">
        <v>0.26</v>
      </c>
      <c r="AH125" s="119">
        <f t="shared" si="45"/>
        <v>0.10037054511756291</v>
      </c>
      <c r="AI125" s="106">
        <v>8</v>
      </c>
      <c r="AJ125" s="108">
        <f t="shared" si="69"/>
        <v>0.90308998699194354</v>
      </c>
      <c r="AK125" s="106">
        <f t="shared" si="46"/>
        <v>0</v>
      </c>
      <c r="AL125" s="106">
        <f t="shared" si="47"/>
        <v>0</v>
      </c>
      <c r="AM125" s="106">
        <f t="shared" si="48"/>
        <v>0</v>
      </c>
      <c r="AN125" s="106">
        <f t="shared" si="49"/>
        <v>0</v>
      </c>
      <c r="AO125" s="106">
        <f t="shared" si="50"/>
        <v>0</v>
      </c>
      <c r="AP125" s="106">
        <f t="shared" si="51"/>
        <v>0</v>
      </c>
      <c r="AQ125" s="106">
        <f t="shared" si="52"/>
        <v>0</v>
      </c>
      <c r="AR125" s="106">
        <f t="shared" si="53"/>
        <v>0</v>
      </c>
      <c r="AS125" s="106">
        <f t="shared" si="54"/>
        <v>0</v>
      </c>
      <c r="AT125" s="106">
        <f t="shared" si="55"/>
        <v>0</v>
      </c>
      <c r="AU125" s="106">
        <f t="shared" si="56"/>
        <v>0</v>
      </c>
      <c r="AV125" s="106">
        <f t="shared" si="57"/>
        <v>0</v>
      </c>
      <c r="AW125" s="106">
        <f t="shared" si="58"/>
        <v>1</v>
      </c>
      <c r="AX125" s="106">
        <f t="shared" si="59"/>
        <v>0</v>
      </c>
      <c r="AY125" s="106">
        <f t="shared" si="60"/>
        <v>0</v>
      </c>
      <c r="AZ125" s="106">
        <f t="shared" si="61"/>
        <v>0</v>
      </c>
      <c r="BA125" s="107">
        <f t="shared" si="62"/>
        <v>0</v>
      </c>
    </row>
    <row r="126" spans="1:53" x14ac:dyDescent="0.35">
      <c r="A126" s="146">
        <v>39240</v>
      </c>
      <c r="B126" s="108" t="s">
        <v>59</v>
      </c>
      <c r="C126" s="108" t="s">
        <v>47</v>
      </c>
      <c r="D126" s="84">
        <f t="shared" si="35"/>
        <v>0</v>
      </c>
      <c r="E126" s="108" t="s">
        <v>248</v>
      </c>
      <c r="F126" s="84">
        <f t="shared" si="36"/>
        <v>5</v>
      </c>
      <c r="G126" s="108">
        <v>88399000</v>
      </c>
      <c r="H126" s="84">
        <f t="shared" si="37"/>
        <v>7.9464473521517798</v>
      </c>
      <c r="I126" s="146">
        <v>43100</v>
      </c>
      <c r="J126" s="108">
        <v>796088000</v>
      </c>
      <c r="K126" s="148">
        <f t="shared" si="38"/>
        <v>10.575342465753424</v>
      </c>
      <c r="L126" s="148">
        <f t="shared" si="63"/>
        <v>1.0242944402152803</v>
      </c>
      <c r="M126" s="108">
        <v>0</v>
      </c>
      <c r="N126" s="108">
        <f t="shared" si="39"/>
        <v>0</v>
      </c>
      <c r="O126" s="108">
        <v>24</v>
      </c>
      <c r="P126" s="108">
        <f t="shared" si="64"/>
        <v>1.3802112417116059</v>
      </c>
      <c r="Q126" s="65">
        <v>3.29</v>
      </c>
      <c r="R126" s="65">
        <f t="shared" si="65"/>
        <v>0.51719589794997434</v>
      </c>
      <c r="S126" s="155">
        <f t="shared" si="40"/>
        <v>8.0056222355456512</v>
      </c>
      <c r="T126" s="127">
        <f t="shared" si="41"/>
        <v>0.95451372538741597</v>
      </c>
      <c r="U126" s="108">
        <v>2207.03125</v>
      </c>
      <c r="V126" s="108">
        <f t="shared" si="42"/>
        <v>3.3438084825075891</v>
      </c>
      <c r="W126" s="108">
        <v>7753.90625</v>
      </c>
      <c r="X126" s="108">
        <f t="shared" si="43"/>
        <v>3.8895205457872843</v>
      </c>
      <c r="Y126" s="126">
        <v>0</v>
      </c>
      <c r="Z126" s="126">
        <f t="shared" si="44"/>
        <v>0</v>
      </c>
      <c r="AA126" s="108">
        <v>91.2</v>
      </c>
      <c r="AB126" s="108">
        <f t="shared" si="66"/>
        <v>1.9599948383284163</v>
      </c>
      <c r="AC126" s="127">
        <v>33</v>
      </c>
      <c r="AD126" s="127">
        <f t="shared" si="67"/>
        <v>1.5185139398778875</v>
      </c>
      <c r="AE126" s="128">
        <v>40.902544500539101</v>
      </c>
      <c r="AF126" s="128">
        <f t="shared" si="68"/>
        <v>1.6117503258110162</v>
      </c>
      <c r="AG126" s="153">
        <v>0.39</v>
      </c>
      <c r="AH126" s="127">
        <f t="shared" si="45"/>
        <v>0.14301480025409513</v>
      </c>
      <c r="AI126" s="108">
        <v>8</v>
      </c>
      <c r="AJ126" s="108">
        <f t="shared" si="69"/>
        <v>0.90308998699194354</v>
      </c>
      <c r="AK126" s="108">
        <f t="shared" si="46"/>
        <v>0</v>
      </c>
      <c r="AL126" s="108">
        <f t="shared" si="47"/>
        <v>0</v>
      </c>
      <c r="AM126" s="108">
        <f t="shared" si="48"/>
        <v>1</v>
      </c>
      <c r="AN126" s="108">
        <f t="shared" si="49"/>
        <v>0</v>
      </c>
      <c r="AO126" s="108">
        <f t="shared" si="50"/>
        <v>0</v>
      </c>
      <c r="AP126" s="108">
        <f t="shared" si="51"/>
        <v>0</v>
      </c>
      <c r="AQ126" s="108">
        <f t="shared" si="52"/>
        <v>0</v>
      </c>
      <c r="AR126" s="108">
        <f t="shared" si="53"/>
        <v>0</v>
      </c>
      <c r="AS126" s="108">
        <f t="shared" si="54"/>
        <v>0</v>
      </c>
      <c r="AT126" s="108">
        <f t="shared" si="55"/>
        <v>0</v>
      </c>
      <c r="AU126" s="108">
        <f t="shared" si="56"/>
        <v>0</v>
      </c>
      <c r="AV126" s="108">
        <f t="shared" si="57"/>
        <v>0</v>
      </c>
      <c r="AW126" s="108">
        <f t="shared" si="58"/>
        <v>0</v>
      </c>
      <c r="AX126" s="108">
        <f t="shared" si="59"/>
        <v>0</v>
      </c>
      <c r="AY126" s="108">
        <f t="shared" si="60"/>
        <v>0</v>
      </c>
      <c r="AZ126" s="108">
        <f t="shared" si="61"/>
        <v>0</v>
      </c>
      <c r="BA126" s="109">
        <f t="shared" si="62"/>
        <v>0</v>
      </c>
    </row>
    <row r="127" spans="1:53" x14ac:dyDescent="0.35">
      <c r="A127" s="143">
        <v>39244</v>
      </c>
      <c r="B127" s="106" t="s">
        <v>163</v>
      </c>
      <c r="C127" s="106" t="s">
        <v>125</v>
      </c>
      <c r="D127" s="83">
        <f t="shared" si="35"/>
        <v>1</v>
      </c>
      <c r="E127" s="106" t="s">
        <v>269</v>
      </c>
      <c r="F127" s="83">
        <f t="shared" si="36"/>
        <v>7</v>
      </c>
      <c r="G127" s="106">
        <v>464450000</v>
      </c>
      <c r="H127" s="83">
        <f t="shared" si="37"/>
        <v>8.6669389672147119</v>
      </c>
      <c r="I127" s="143">
        <v>41121</v>
      </c>
      <c r="J127" s="106">
        <v>800000000</v>
      </c>
      <c r="K127" s="145">
        <f t="shared" si="38"/>
        <v>5.1424657534246574</v>
      </c>
      <c r="L127" s="148">
        <f t="shared" si="63"/>
        <v>0.71117140816487157</v>
      </c>
      <c r="M127" s="106">
        <v>342.74</v>
      </c>
      <c r="N127" s="106">
        <f t="shared" si="39"/>
        <v>2.5362300726332561</v>
      </c>
      <c r="O127" s="106">
        <v>35</v>
      </c>
      <c r="P127" s="108">
        <f t="shared" si="64"/>
        <v>1.5440680443502757</v>
      </c>
      <c r="Q127" s="59">
        <v>2.3199999999999998</v>
      </c>
      <c r="R127" s="65">
        <f t="shared" si="65"/>
        <v>0.36548798489089962</v>
      </c>
      <c r="S127" s="154">
        <f t="shared" si="40"/>
        <v>0.72246743460006457</v>
      </c>
      <c r="T127" s="119">
        <f t="shared" si="41"/>
        <v>0.23615101977723243</v>
      </c>
      <c r="U127" s="106">
        <v>1801.1079999999999</v>
      </c>
      <c r="V127" s="106">
        <f t="shared" si="42"/>
        <v>3.2555397552391718</v>
      </c>
      <c r="W127" s="106">
        <v>8416.6209999999992</v>
      </c>
      <c r="X127" s="106">
        <f t="shared" si="43"/>
        <v>3.9251377713585649</v>
      </c>
      <c r="Y127" s="118">
        <v>569.16666666666697</v>
      </c>
      <c r="Z127" s="118">
        <f t="shared" si="44"/>
        <v>2.756001823801419</v>
      </c>
      <c r="AA127" s="106">
        <v>87.2</v>
      </c>
      <c r="AB127" s="108">
        <f t="shared" si="66"/>
        <v>1.9405164849325673</v>
      </c>
      <c r="AC127" s="119">
        <v>42.5</v>
      </c>
      <c r="AD127" s="127">
        <f t="shared" si="67"/>
        <v>1.6283889300503116</v>
      </c>
      <c r="AE127" s="120">
        <v>52.565521078007201</v>
      </c>
      <c r="AF127" s="128">
        <f t="shared" si="68"/>
        <v>1.7207009738992591</v>
      </c>
      <c r="AG127" s="152">
        <v>-0.04</v>
      </c>
      <c r="AH127" s="119">
        <f t="shared" si="45"/>
        <v>-1.7728766960431602E-2</v>
      </c>
      <c r="AI127" s="106">
        <v>7</v>
      </c>
      <c r="AJ127" s="108">
        <f t="shared" si="69"/>
        <v>0.84509804001425681</v>
      </c>
      <c r="AK127" s="106">
        <f t="shared" si="46"/>
        <v>0</v>
      </c>
      <c r="AL127" s="106">
        <f t="shared" si="47"/>
        <v>0</v>
      </c>
      <c r="AM127" s="106">
        <f t="shared" si="48"/>
        <v>0</v>
      </c>
      <c r="AN127" s="106">
        <f t="shared" si="49"/>
        <v>0</v>
      </c>
      <c r="AO127" s="106">
        <f t="shared" si="50"/>
        <v>0</v>
      </c>
      <c r="AP127" s="106">
        <f t="shared" si="51"/>
        <v>0</v>
      </c>
      <c r="AQ127" s="106">
        <f t="shared" si="52"/>
        <v>0</v>
      </c>
      <c r="AR127" s="106">
        <f t="shared" si="53"/>
        <v>1</v>
      </c>
      <c r="AS127" s="106">
        <f t="shared" si="54"/>
        <v>0</v>
      </c>
      <c r="AT127" s="106">
        <f t="shared" si="55"/>
        <v>0</v>
      </c>
      <c r="AU127" s="106">
        <f t="shared" si="56"/>
        <v>0</v>
      </c>
      <c r="AV127" s="106">
        <f t="shared" si="57"/>
        <v>0</v>
      </c>
      <c r="AW127" s="106">
        <f t="shared" si="58"/>
        <v>0</v>
      </c>
      <c r="AX127" s="106">
        <f t="shared" si="59"/>
        <v>0</v>
      </c>
      <c r="AY127" s="106">
        <f t="shared" si="60"/>
        <v>0</v>
      </c>
      <c r="AZ127" s="106">
        <f t="shared" si="61"/>
        <v>0</v>
      </c>
      <c r="BA127" s="107">
        <f t="shared" si="62"/>
        <v>0</v>
      </c>
    </row>
    <row r="128" spans="1:53" x14ac:dyDescent="0.35">
      <c r="A128" s="146">
        <v>39248</v>
      </c>
      <c r="B128" s="108" t="s">
        <v>45</v>
      </c>
      <c r="C128" s="108" t="s">
        <v>125</v>
      </c>
      <c r="D128" s="84">
        <f t="shared" si="35"/>
        <v>1</v>
      </c>
      <c r="E128" s="108" t="s">
        <v>178</v>
      </c>
      <c r="F128" s="84">
        <f t="shared" si="36"/>
        <v>9</v>
      </c>
      <c r="G128" s="108">
        <v>415000000</v>
      </c>
      <c r="H128" s="84">
        <f t="shared" si="37"/>
        <v>8.6180480967120925</v>
      </c>
      <c r="I128" s="146">
        <v>40928</v>
      </c>
      <c r="J128" s="108">
        <v>841230000</v>
      </c>
      <c r="K128" s="148">
        <f t="shared" si="38"/>
        <v>4.602739726027397</v>
      </c>
      <c r="L128" s="148">
        <f t="shared" si="63"/>
        <v>0.66301641726938809</v>
      </c>
      <c r="M128" s="108">
        <v>5897.96</v>
      </c>
      <c r="N128" s="108">
        <f t="shared" si="39"/>
        <v>3.7707754512906644</v>
      </c>
      <c r="O128" s="108">
        <v>9</v>
      </c>
      <c r="P128" s="108">
        <f t="shared" si="64"/>
        <v>0.95424250943932487</v>
      </c>
      <c r="Q128" s="65">
        <v>2.3199999999999998</v>
      </c>
      <c r="R128" s="65">
        <f t="shared" si="65"/>
        <v>0.36548798489089962</v>
      </c>
      <c r="S128" s="155">
        <f t="shared" si="40"/>
        <v>1.0270602409638556</v>
      </c>
      <c r="T128" s="127">
        <f t="shared" si="41"/>
        <v>0.30686665541695157</v>
      </c>
      <c r="U128" s="108">
        <v>1709.090909090909</v>
      </c>
      <c r="V128" s="108">
        <f t="shared" si="42"/>
        <v>3.2327651641054547</v>
      </c>
      <c r="W128" s="108">
        <v>8968.5950413223145</v>
      </c>
      <c r="X128" s="108">
        <f t="shared" si="43"/>
        <v>3.9527244147731087</v>
      </c>
      <c r="Y128" s="126">
        <v>132</v>
      </c>
      <c r="Z128" s="126">
        <f t="shared" si="44"/>
        <v>2.1238516409670858</v>
      </c>
      <c r="AA128" s="108">
        <v>91.4</v>
      </c>
      <c r="AB128" s="108">
        <f t="shared" si="66"/>
        <v>1.9609461957338314</v>
      </c>
      <c r="AC128" s="127">
        <v>26.7</v>
      </c>
      <c r="AD128" s="127">
        <f t="shared" si="67"/>
        <v>1.4265112613645752</v>
      </c>
      <c r="AE128" s="128">
        <v>37.425715444240403</v>
      </c>
      <c r="AF128" s="128">
        <f t="shared" si="68"/>
        <v>1.5731701112332821</v>
      </c>
      <c r="AG128" s="153">
        <v>0.23</v>
      </c>
      <c r="AH128" s="127">
        <f t="shared" si="45"/>
        <v>8.9905111439397931E-2</v>
      </c>
      <c r="AI128" s="108">
        <v>6</v>
      </c>
      <c r="AJ128" s="108">
        <f t="shared" si="69"/>
        <v>0.77815125038364363</v>
      </c>
      <c r="AK128" s="108">
        <f t="shared" si="46"/>
        <v>0</v>
      </c>
      <c r="AL128" s="108">
        <f t="shared" si="47"/>
        <v>1</v>
      </c>
      <c r="AM128" s="108">
        <f t="shared" si="48"/>
        <v>0</v>
      </c>
      <c r="AN128" s="108">
        <f t="shared" si="49"/>
        <v>0</v>
      </c>
      <c r="AO128" s="108">
        <f t="shared" si="50"/>
        <v>0</v>
      </c>
      <c r="AP128" s="108">
        <f t="shared" si="51"/>
        <v>0</v>
      </c>
      <c r="AQ128" s="108">
        <f t="shared" si="52"/>
        <v>0</v>
      </c>
      <c r="AR128" s="108">
        <f t="shared" si="53"/>
        <v>0</v>
      </c>
      <c r="AS128" s="108">
        <f t="shared" si="54"/>
        <v>0</v>
      </c>
      <c r="AT128" s="108">
        <f t="shared" si="55"/>
        <v>0</v>
      </c>
      <c r="AU128" s="108">
        <f t="shared" si="56"/>
        <v>0</v>
      </c>
      <c r="AV128" s="108">
        <f t="shared" si="57"/>
        <v>0</v>
      </c>
      <c r="AW128" s="108">
        <f t="shared" si="58"/>
        <v>0</v>
      </c>
      <c r="AX128" s="108">
        <f t="shared" si="59"/>
        <v>0</v>
      </c>
      <c r="AY128" s="108">
        <f t="shared" si="60"/>
        <v>0</v>
      </c>
      <c r="AZ128" s="108">
        <f t="shared" si="61"/>
        <v>0</v>
      </c>
      <c r="BA128" s="109">
        <f t="shared" si="62"/>
        <v>0</v>
      </c>
    </row>
    <row r="129" spans="1:53" x14ac:dyDescent="0.35">
      <c r="A129" s="143">
        <v>39254</v>
      </c>
      <c r="B129" s="106" t="s">
        <v>5</v>
      </c>
      <c r="C129" s="106" t="s">
        <v>64</v>
      </c>
      <c r="D129" s="83">
        <f t="shared" si="35"/>
        <v>1</v>
      </c>
      <c r="E129" s="106" t="s">
        <v>248</v>
      </c>
      <c r="F129" s="83">
        <f t="shared" si="36"/>
        <v>5</v>
      </c>
      <c r="G129" s="106">
        <v>82520000</v>
      </c>
      <c r="H129" s="83">
        <f t="shared" si="37"/>
        <v>7.9165592193011136</v>
      </c>
      <c r="I129" s="143">
        <v>41142</v>
      </c>
      <c r="J129" s="106">
        <v>180000000</v>
      </c>
      <c r="K129" s="145">
        <f t="shared" si="38"/>
        <v>5.1726027397260275</v>
      </c>
      <c r="L129" s="148">
        <f t="shared" si="63"/>
        <v>0.71370912550557541</v>
      </c>
      <c r="M129" s="106">
        <v>357.29</v>
      </c>
      <c r="N129" s="106">
        <f t="shared" si="39"/>
        <v>2.5542346870234227</v>
      </c>
      <c r="O129" s="106">
        <v>72</v>
      </c>
      <c r="P129" s="108">
        <f t="shared" si="64"/>
        <v>1.8573324964312685</v>
      </c>
      <c r="Q129" s="59">
        <v>3.16</v>
      </c>
      <c r="R129" s="65">
        <f t="shared" si="65"/>
        <v>0.49968708261840383</v>
      </c>
      <c r="S129" s="154">
        <f t="shared" si="40"/>
        <v>1.1812893843916625</v>
      </c>
      <c r="T129" s="119">
        <f t="shared" si="41"/>
        <v>0.33871328580219212</v>
      </c>
      <c r="U129" s="106">
        <v>2207.03125</v>
      </c>
      <c r="V129" s="106">
        <f t="shared" si="42"/>
        <v>3.3438084825075891</v>
      </c>
      <c r="W129" s="106">
        <v>7753.90625</v>
      </c>
      <c r="X129" s="106">
        <f t="shared" si="43"/>
        <v>3.8895205457872843</v>
      </c>
      <c r="Y129" s="118">
        <v>971</v>
      </c>
      <c r="Z129" s="118">
        <f t="shared" si="44"/>
        <v>2.9876662649262746</v>
      </c>
      <c r="AA129" s="106">
        <v>88.4</v>
      </c>
      <c r="AB129" s="108">
        <f t="shared" si="66"/>
        <v>1.9464522650130731</v>
      </c>
      <c r="AC129" s="119">
        <v>35.700000000000003</v>
      </c>
      <c r="AD129" s="127">
        <f t="shared" si="67"/>
        <v>1.5526682161121932</v>
      </c>
      <c r="AE129" s="120">
        <v>42.337645557762798</v>
      </c>
      <c r="AF129" s="128">
        <f t="shared" si="68"/>
        <v>1.6267267027692975</v>
      </c>
      <c r="AG129" s="152">
        <v>0.53</v>
      </c>
      <c r="AH129" s="119">
        <f t="shared" si="45"/>
        <v>0.18469143081759881</v>
      </c>
      <c r="AI129" s="106">
        <v>29</v>
      </c>
      <c r="AJ129" s="108">
        <f t="shared" si="69"/>
        <v>1.4623979978989561</v>
      </c>
      <c r="AK129" s="106">
        <f t="shared" si="46"/>
        <v>0</v>
      </c>
      <c r="AL129" s="106">
        <f t="shared" si="47"/>
        <v>0</v>
      </c>
      <c r="AM129" s="106">
        <f t="shared" si="48"/>
        <v>0</v>
      </c>
      <c r="AN129" s="106">
        <f t="shared" si="49"/>
        <v>0</v>
      </c>
      <c r="AO129" s="106">
        <f t="shared" si="50"/>
        <v>0</v>
      </c>
      <c r="AP129" s="106">
        <f t="shared" si="51"/>
        <v>0</v>
      </c>
      <c r="AQ129" s="106">
        <f t="shared" si="52"/>
        <v>1</v>
      </c>
      <c r="AR129" s="106">
        <f t="shared" si="53"/>
        <v>0</v>
      </c>
      <c r="AS129" s="106">
        <f t="shared" si="54"/>
        <v>0</v>
      </c>
      <c r="AT129" s="106">
        <f t="shared" si="55"/>
        <v>0</v>
      </c>
      <c r="AU129" s="106">
        <f t="shared" si="56"/>
        <v>0</v>
      </c>
      <c r="AV129" s="106">
        <f t="shared" si="57"/>
        <v>0</v>
      </c>
      <c r="AW129" s="106">
        <f t="shared" si="58"/>
        <v>0</v>
      </c>
      <c r="AX129" s="106">
        <f t="shared" si="59"/>
        <v>0</v>
      </c>
      <c r="AY129" s="106">
        <f t="shared" si="60"/>
        <v>0</v>
      </c>
      <c r="AZ129" s="106">
        <f t="shared" si="61"/>
        <v>0</v>
      </c>
      <c r="BA129" s="107">
        <f t="shared" si="62"/>
        <v>0</v>
      </c>
    </row>
    <row r="130" spans="1:53" x14ac:dyDescent="0.35">
      <c r="A130" s="146">
        <v>39261</v>
      </c>
      <c r="B130" s="108" t="s">
        <v>2</v>
      </c>
      <c r="C130" s="108" t="s">
        <v>64</v>
      </c>
      <c r="D130" s="84">
        <f t="shared" ref="D130:D193" si="70">IF(C130="domestic",0,1)</f>
        <v>1</v>
      </c>
      <c r="E130" s="108" t="s">
        <v>326</v>
      </c>
      <c r="F130" s="84">
        <f t="shared" ref="F130:F193" si="71">IF(E130="Consumer Discretionary",5,IF(E130="Industrials",1,IF(E130="Energy",3,IF(E130="Health Care",2,IF(E130="Communications",4,IF(E130="Financials",6,IF(E130="Consumer Staples",7,IF(E130="Materials",8,IF(E130="Technology",9,IF(E130="Utilities",10,""))))))))))</f>
        <v>8</v>
      </c>
      <c r="G130" s="108">
        <v>1300000000</v>
      </c>
      <c r="H130" s="84">
        <f t="shared" ref="H130:H193" si="72">LOG(G130)</f>
        <v>9.1139433523068369</v>
      </c>
      <c r="I130" s="146">
        <v>41111</v>
      </c>
      <c r="J130" s="108">
        <v>190000000</v>
      </c>
      <c r="K130" s="148">
        <f t="shared" ref="K130:K193" si="73">YEARFRAC(A130,I130,3)</f>
        <v>5.0684931506849313</v>
      </c>
      <c r="L130" s="148">
        <f t="shared" si="63"/>
        <v>0.70487886394653909</v>
      </c>
      <c r="M130" s="108">
        <v>6815.73</v>
      </c>
      <c r="N130" s="108">
        <f t="shared" ref="N130:N193" si="74">LOG(1+M130)</f>
        <v>3.8335760926148099</v>
      </c>
      <c r="O130" s="108">
        <v>42</v>
      </c>
      <c r="P130" s="108">
        <f t="shared" si="64"/>
        <v>1.6232492903979006</v>
      </c>
      <c r="Q130" s="65">
        <v>2.85</v>
      </c>
      <c r="R130" s="65">
        <f t="shared" si="65"/>
        <v>0.45484486000851021</v>
      </c>
      <c r="S130" s="155">
        <f t="shared" ref="S130:S193" si="75">(J130/G130)-1</f>
        <v>-0.85384615384615381</v>
      </c>
      <c r="T130" s="127">
        <f t="shared" ref="T130:T193" si="76">IF(S130=-1,LOG(0.1),LOG(1+S130))</f>
        <v>-0.83518975135400775</v>
      </c>
      <c r="U130" s="108">
        <v>2315.9650000000001</v>
      </c>
      <c r="V130" s="108">
        <f t="shared" ref="V130:V193" si="77">LOG(U130)</f>
        <v>3.3647319918335836</v>
      </c>
      <c r="W130" s="108">
        <v>3703.9029999999998</v>
      </c>
      <c r="X130" s="108">
        <f t="shared" ref="X130:X193" si="78">LOG(W130)</f>
        <v>3.568659604598353</v>
      </c>
      <c r="Y130" s="126">
        <v>819</v>
      </c>
      <c r="Z130" s="126">
        <f t="shared" ref="Z130:Z193" si="79">IF(Y130=0,0,LOG(1+Y130))</f>
        <v>2.9138138523837167</v>
      </c>
      <c r="AA130" s="108">
        <v>88.9</v>
      </c>
      <c r="AB130" s="108">
        <f t="shared" si="66"/>
        <v>1.9489017609702137</v>
      </c>
      <c r="AC130" s="127">
        <v>34.9</v>
      </c>
      <c r="AD130" s="127">
        <f t="shared" si="67"/>
        <v>1.5428254269591799</v>
      </c>
      <c r="AE130" s="128">
        <v>42.817370475444001</v>
      </c>
      <c r="AF130" s="128">
        <f t="shared" si="68"/>
        <v>1.6316199926391717</v>
      </c>
      <c r="AG130" s="153">
        <v>-0.2</v>
      </c>
      <c r="AH130" s="127">
        <f t="shared" ref="AH130:AH193" si="80">LOG(1+AG130)</f>
        <v>-9.6910013008056392E-2</v>
      </c>
      <c r="AI130" s="108">
        <v>23</v>
      </c>
      <c r="AJ130" s="108">
        <f t="shared" si="69"/>
        <v>1.3617278360175928</v>
      </c>
      <c r="AK130" s="108">
        <f t="shared" ref="AK130:AK193" si="81">IF(T130=-1,1,0)</f>
        <v>0</v>
      </c>
      <c r="AL130" s="108">
        <f t="shared" ref="AL130:AL193" si="82">IF($B130="US",1,0)</f>
        <v>0</v>
      </c>
      <c r="AM130" s="108">
        <f t="shared" ref="AM130:AM193" si="83">IF($B130="UK",1,0)</f>
        <v>0</v>
      </c>
      <c r="AN130" s="108">
        <f t="shared" ref="AN130:AN193" si="84">IF($B130="Norway",1,0)</f>
        <v>0</v>
      </c>
      <c r="AO130" s="108">
        <f t="shared" ref="AO130:AO193" si="85">IF($B130="Denmark",1,0)</f>
        <v>0</v>
      </c>
      <c r="AP130" s="108">
        <f t="shared" ref="AP130:AP193" si="86">IF($B130="Sweden",1,0)</f>
        <v>0</v>
      </c>
      <c r="AQ130" s="108">
        <f t="shared" ref="AQ130:AQ193" si="87">IF($B130="Netherlands",1,0)</f>
        <v>0</v>
      </c>
      <c r="AR130" s="108">
        <f t="shared" ref="AR130:AR193" si="88">IF($B130="France",1,0)</f>
        <v>0</v>
      </c>
      <c r="AS130" s="108">
        <f t="shared" ref="AS130:AS193" si="89">IF($B130="Belgium",1,0)</f>
        <v>0</v>
      </c>
      <c r="AT130" s="108">
        <f t="shared" ref="AT130:AT193" si="90">IF($B130="Germany",1,0)</f>
        <v>1</v>
      </c>
      <c r="AU130" s="108">
        <f t="shared" ref="AU130:AU193" si="91">IF($B130="Italy",1,0)</f>
        <v>0</v>
      </c>
      <c r="AV130" s="108">
        <f t="shared" ref="AV130:AV193" si="92">IF($B130="Spain",1,0)</f>
        <v>0</v>
      </c>
      <c r="AW130" s="108">
        <f t="shared" ref="AW130:AW193" si="93">IF($B130="Luxembourg",1,0)</f>
        <v>0</v>
      </c>
      <c r="AX130" s="108">
        <f t="shared" ref="AX130:AX193" si="94">IF($B130="Portugal",1,0)</f>
        <v>0</v>
      </c>
      <c r="AY130" s="108">
        <f t="shared" ref="AY130:AY193" si="95">IF($B130="Switzerland",1,0)</f>
        <v>0</v>
      </c>
      <c r="AZ130" s="108">
        <f t="shared" ref="AZ130:AZ193" si="96">IF($B130="Ireland",1,0)</f>
        <v>0</v>
      </c>
      <c r="BA130" s="109">
        <f t="shared" ref="BA130:BA193" si="97">IF($B130="Finland",1,0)</f>
        <v>0</v>
      </c>
    </row>
    <row r="131" spans="1:53" x14ac:dyDescent="0.35">
      <c r="A131" s="143">
        <v>39263</v>
      </c>
      <c r="B131" s="83" t="s">
        <v>45</v>
      </c>
      <c r="C131" s="83" t="s">
        <v>102</v>
      </c>
      <c r="D131" s="83">
        <f t="shared" si="70"/>
        <v>0</v>
      </c>
      <c r="E131" s="83" t="s">
        <v>245</v>
      </c>
      <c r="F131" s="83">
        <f t="shared" si="71"/>
        <v>6</v>
      </c>
      <c r="G131" s="83">
        <v>98100000</v>
      </c>
      <c r="H131" s="83">
        <f t="shared" si="72"/>
        <v>7.9916690073799481</v>
      </c>
      <c r="I131" s="144">
        <v>40529</v>
      </c>
      <c r="J131" s="83">
        <v>135160019</v>
      </c>
      <c r="K131" s="145">
        <f t="shared" si="73"/>
        <v>3.4684931506849317</v>
      </c>
      <c r="L131" s="148">
        <f t="shared" ref="L131:L194" si="98">LOG(K131)</f>
        <v>0.54014084122486161</v>
      </c>
      <c r="M131" s="106">
        <v>0</v>
      </c>
      <c r="N131" s="106">
        <f t="shared" si="74"/>
        <v>0</v>
      </c>
      <c r="O131" s="106">
        <v>26</v>
      </c>
      <c r="P131" s="108">
        <f t="shared" ref="P131:P194" si="99">IF(O131=0,0,LOG(O131))</f>
        <v>1.414973347970818</v>
      </c>
      <c r="Q131" s="59">
        <v>2.95</v>
      </c>
      <c r="R131" s="65">
        <f t="shared" ref="R131:R194" si="100">LOG(Q131)</f>
        <v>0.46982201597816303</v>
      </c>
      <c r="S131" s="154">
        <f t="shared" si="75"/>
        <v>0.37777797145769632</v>
      </c>
      <c r="T131" s="119">
        <f t="shared" si="76"/>
        <v>0.13917923677347679</v>
      </c>
      <c r="U131" s="106">
        <v>2800</v>
      </c>
      <c r="V131" s="106">
        <f t="shared" si="77"/>
        <v>3.4471580313422194</v>
      </c>
      <c r="W131" s="106">
        <v>6800</v>
      </c>
      <c r="X131" s="106">
        <f t="shared" si="78"/>
        <v>3.8325089127062362</v>
      </c>
      <c r="Y131" s="118">
        <v>0</v>
      </c>
      <c r="Z131" s="118">
        <f t="shared" si="79"/>
        <v>0</v>
      </c>
      <c r="AA131" s="106">
        <v>91.4</v>
      </c>
      <c r="AB131" s="108">
        <f t="shared" ref="AB131:AB194" si="101">LOG(AA131)</f>
        <v>1.9609461957338314</v>
      </c>
      <c r="AC131" s="119">
        <v>26.7</v>
      </c>
      <c r="AD131" s="127">
        <f t="shared" ref="AD131:AD194" si="102">LOG(AC131)</f>
        <v>1.4265112613645752</v>
      </c>
      <c r="AE131" s="120">
        <v>37.425715444240403</v>
      </c>
      <c r="AF131" s="128">
        <f t="shared" ref="AF131:AF194" si="103">LOG(AE131)</f>
        <v>1.5731701112332821</v>
      </c>
      <c r="AG131" s="152">
        <v>0.32</v>
      </c>
      <c r="AH131" s="119">
        <f t="shared" si="80"/>
        <v>0.12057393120584989</v>
      </c>
      <c r="AI131" s="106">
        <v>18</v>
      </c>
      <c r="AJ131" s="108">
        <f t="shared" ref="AJ131:AJ194" si="104">LOG(AI131)</f>
        <v>1.255272505103306</v>
      </c>
      <c r="AK131" s="106">
        <f t="shared" si="81"/>
        <v>0</v>
      </c>
      <c r="AL131" s="106">
        <f t="shared" si="82"/>
        <v>1</v>
      </c>
      <c r="AM131" s="106">
        <f t="shared" si="83"/>
        <v>0</v>
      </c>
      <c r="AN131" s="106">
        <f t="shared" si="84"/>
        <v>0</v>
      </c>
      <c r="AO131" s="106">
        <f t="shared" si="85"/>
        <v>0</v>
      </c>
      <c r="AP131" s="106">
        <f t="shared" si="86"/>
        <v>0</v>
      </c>
      <c r="AQ131" s="106">
        <f t="shared" si="87"/>
        <v>0</v>
      </c>
      <c r="AR131" s="106">
        <f t="shared" si="88"/>
        <v>0</v>
      </c>
      <c r="AS131" s="106">
        <f t="shared" si="89"/>
        <v>0</v>
      </c>
      <c r="AT131" s="106">
        <f t="shared" si="90"/>
        <v>0</v>
      </c>
      <c r="AU131" s="106">
        <f t="shared" si="91"/>
        <v>0</v>
      </c>
      <c r="AV131" s="106">
        <f t="shared" si="92"/>
        <v>0</v>
      </c>
      <c r="AW131" s="106">
        <f t="shared" si="93"/>
        <v>0</v>
      </c>
      <c r="AX131" s="106">
        <f t="shared" si="94"/>
        <v>0</v>
      </c>
      <c r="AY131" s="106">
        <f t="shared" si="95"/>
        <v>0</v>
      </c>
      <c r="AZ131" s="106">
        <f t="shared" si="96"/>
        <v>0</v>
      </c>
      <c r="BA131" s="107">
        <f t="shared" si="97"/>
        <v>0</v>
      </c>
    </row>
    <row r="132" spans="1:53" x14ac:dyDescent="0.35">
      <c r="A132" s="146">
        <v>39265</v>
      </c>
      <c r="B132" s="108" t="s">
        <v>489</v>
      </c>
      <c r="C132" s="108" t="s">
        <v>64</v>
      </c>
      <c r="D132" s="84">
        <f t="shared" si="70"/>
        <v>1</v>
      </c>
      <c r="E132" s="108" t="s">
        <v>235</v>
      </c>
      <c r="F132" s="84">
        <f t="shared" si="71"/>
        <v>1</v>
      </c>
      <c r="G132" s="108">
        <v>1146822805</v>
      </c>
      <c r="H132" s="84">
        <f t="shared" si="72"/>
        <v>9.0594963204683658</v>
      </c>
      <c r="I132" s="146">
        <v>42349</v>
      </c>
      <c r="J132" s="93">
        <v>700000000</v>
      </c>
      <c r="K132" s="148">
        <f t="shared" si="73"/>
        <v>8.4493150684931511</v>
      </c>
      <c r="L132" s="148">
        <f t="shared" si="98"/>
        <v>0.92682150492244464</v>
      </c>
      <c r="M132" s="108">
        <v>670.54</v>
      </c>
      <c r="N132" s="108">
        <f t="shared" si="74"/>
        <v>2.8270718863448598</v>
      </c>
      <c r="O132" s="108">
        <v>50</v>
      </c>
      <c r="P132" s="108">
        <f t="shared" si="99"/>
        <v>1.6989700043360187</v>
      </c>
      <c r="Q132" s="65">
        <v>3.25</v>
      </c>
      <c r="R132" s="65">
        <f t="shared" si="100"/>
        <v>0.51188336097887432</v>
      </c>
      <c r="S132" s="155">
        <f t="shared" si="75"/>
        <v>-0.38961799769930461</v>
      </c>
      <c r="T132" s="127">
        <f t="shared" si="76"/>
        <v>-0.21439828045410877</v>
      </c>
      <c r="U132" s="108">
        <v>9311.2244897959172</v>
      </c>
      <c r="V132" s="108">
        <f t="shared" si="77"/>
        <v>3.9690067974360175</v>
      </c>
      <c r="W132" s="108">
        <v>4594.3867743175706</v>
      </c>
      <c r="X132" s="108">
        <f t="shared" si="78"/>
        <v>3.6622275530882837</v>
      </c>
      <c r="Y132" s="126">
        <v>520.5</v>
      </c>
      <c r="Z132" s="126">
        <f t="shared" si="79"/>
        <v>2.7172543127625497</v>
      </c>
      <c r="AA132" s="108">
        <v>84.1</v>
      </c>
      <c r="AB132" s="108">
        <f t="shared" si="101"/>
        <v>1.9247959957979122</v>
      </c>
      <c r="AC132" s="127">
        <v>26.2</v>
      </c>
      <c r="AD132" s="127">
        <f t="shared" si="102"/>
        <v>1.4183012913197455</v>
      </c>
      <c r="AE132" s="128">
        <v>49.329709120205997</v>
      </c>
      <c r="AF132" s="128">
        <f t="shared" si="103"/>
        <v>1.6931085545892062</v>
      </c>
      <c r="AG132" s="153">
        <v>0.15</v>
      </c>
      <c r="AH132" s="127">
        <f t="shared" si="80"/>
        <v>6.069784035361165E-2</v>
      </c>
      <c r="AI132" s="108">
        <v>29</v>
      </c>
      <c r="AJ132" s="108">
        <f t="shared" si="104"/>
        <v>1.4623979978989561</v>
      </c>
      <c r="AK132" s="108">
        <f t="shared" si="81"/>
        <v>0</v>
      </c>
      <c r="AL132" s="108">
        <f t="shared" si="82"/>
        <v>0</v>
      </c>
      <c r="AM132" s="108">
        <f t="shared" si="83"/>
        <v>0</v>
      </c>
      <c r="AN132" s="108">
        <f t="shared" si="84"/>
        <v>0</v>
      </c>
      <c r="AO132" s="108">
        <f t="shared" si="85"/>
        <v>0</v>
      </c>
      <c r="AP132" s="108">
        <f t="shared" si="86"/>
        <v>0</v>
      </c>
      <c r="AQ132" s="108">
        <f t="shared" si="87"/>
        <v>0</v>
      </c>
      <c r="AR132" s="108">
        <f t="shared" si="88"/>
        <v>0</v>
      </c>
      <c r="AS132" s="108">
        <f t="shared" si="89"/>
        <v>0</v>
      </c>
      <c r="AT132" s="108">
        <f t="shared" si="90"/>
        <v>0</v>
      </c>
      <c r="AU132" s="108">
        <f t="shared" si="91"/>
        <v>0</v>
      </c>
      <c r="AV132" s="108">
        <f t="shared" si="92"/>
        <v>0</v>
      </c>
      <c r="AW132" s="108">
        <f t="shared" si="93"/>
        <v>0</v>
      </c>
      <c r="AX132" s="108">
        <f t="shared" si="94"/>
        <v>0</v>
      </c>
      <c r="AY132" s="108">
        <f t="shared" si="95"/>
        <v>1</v>
      </c>
      <c r="AZ132" s="108">
        <f t="shared" si="96"/>
        <v>0</v>
      </c>
      <c r="BA132" s="109">
        <f t="shared" si="97"/>
        <v>0</v>
      </c>
    </row>
    <row r="133" spans="1:53" x14ac:dyDescent="0.35">
      <c r="A133" s="143">
        <v>39273</v>
      </c>
      <c r="B133" s="106" t="s">
        <v>447</v>
      </c>
      <c r="C133" s="106" t="s">
        <v>125</v>
      </c>
      <c r="D133" s="83">
        <f t="shared" si="70"/>
        <v>1</v>
      </c>
      <c r="E133" s="106" t="s">
        <v>190</v>
      </c>
      <c r="F133" s="83">
        <f t="shared" si="71"/>
        <v>2</v>
      </c>
      <c r="G133" s="106">
        <v>675000000</v>
      </c>
      <c r="H133" s="83">
        <f t="shared" si="72"/>
        <v>8.8293037728310253</v>
      </c>
      <c r="I133" s="143">
        <v>39948</v>
      </c>
      <c r="J133" s="106">
        <v>500000000</v>
      </c>
      <c r="K133" s="145">
        <f t="shared" si="73"/>
        <v>1.8493150684931507</v>
      </c>
      <c r="L133" s="148">
        <f t="shared" si="98"/>
        <v>0.26701090837455022</v>
      </c>
      <c r="M133" s="106">
        <v>1262.6099999999999</v>
      </c>
      <c r="N133" s="106">
        <f t="shared" si="74"/>
        <v>3.1016130541812235</v>
      </c>
      <c r="O133" s="106">
        <v>9</v>
      </c>
      <c r="P133" s="108">
        <f t="shared" si="99"/>
        <v>0.95424250943932487</v>
      </c>
      <c r="Q133" s="59">
        <v>2.4700000000000002</v>
      </c>
      <c r="R133" s="65">
        <f t="shared" si="100"/>
        <v>0.39269695325966575</v>
      </c>
      <c r="S133" s="154">
        <f t="shared" si="75"/>
        <v>-0.2592592592592593</v>
      </c>
      <c r="T133" s="119">
        <f t="shared" si="76"/>
        <v>-0.13033376849500614</v>
      </c>
      <c r="U133" s="106">
        <v>1248.0746999999999</v>
      </c>
      <c r="V133" s="106">
        <f t="shared" si="77"/>
        <v>3.0962405795987471</v>
      </c>
      <c r="W133" s="106">
        <v>2518.2170000000001</v>
      </c>
      <c r="X133" s="106">
        <f t="shared" si="78"/>
        <v>3.4010931514437841</v>
      </c>
      <c r="Y133" s="118">
        <v>956.5</v>
      </c>
      <c r="Z133" s="118">
        <f t="shared" si="79"/>
        <v>2.9811387826406603</v>
      </c>
      <c r="AA133" s="106">
        <v>78</v>
      </c>
      <c r="AB133" s="108">
        <f t="shared" si="101"/>
        <v>1.8920946026904804</v>
      </c>
      <c r="AC133" s="119">
        <v>36.36</v>
      </c>
      <c r="AD133" s="127">
        <f t="shared" si="102"/>
        <v>1.5606238745499299</v>
      </c>
      <c r="AE133" s="120">
        <v>39.0275969715222</v>
      </c>
      <c r="AF133" s="128">
        <f t="shared" si="103"/>
        <v>1.5913718114878503</v>
      </c>
      <c r="AG133" s="152">
        <v>0.65</v>
      </c>
      <c r="AH133" s="119">
        <f t="shared" si="80"/>
        <v>0.21748394421390627</v>
      </c>
      <c r="AI133" s="106">
        <v>26</v>
      </c>
      <c r="AJ133" s="108">
        <f t="shared" si="104"/>
        <v>1.414973347970818</v>
      </c>
      <c r="AK133" s="106">
        <f t="shared" si="81"/>
        <v>0</v>
      </c>
      <c r="AL133" s="106">
        <f t="shared" si="82"/>
        <v>0</v>
      </c>
      <c r="AM133" s="106">
        <f t="shared" si="83"/>
        <v>0</v>
      </c>
      <c r="AN133" s="106">
        <f t="shared" si="84"/>
        <v>0</v>
      </c>
      <c r="AO133" s="106">
        <f t="shared" si="85"/>
        <v>0</v>
      </c>
      <c r="AP133" s="106">
        <f t="shared" si="86"/>
        <v>0</v>
      </c>
      <c r="AQ133" s="106">
        <f t="shared" si="87"/>
        <v>0</v>
      </c>
      <c r="AR133" s="106">
        <f t="shared" si="88"/>
        <v>0</v>
      </c>
      <c r="AS133" s="106">
        <f t="shared" si="89"/>
        <v>0</v>
      </c>
      <c r="AT133" s="106">
        <f t="shared" si="90"/>
        <v>0</v>
      </c>
      <c r="AU133" s="106">
        <f t="shared" si="91"/>
        <v>0</v>
      </c>
      <c r="AV133" s="106">
        <f t="shared" si="92"/>
        <v>1</v>
      </c>
      <c r="AW133" s="106">
        <f t="shared" si="93"/>
        <v>0</v>
      </c>
      <c r="AX133" s="106">
        <f t="shared" si="94"/>
        <v>0</v>
      </c>
      <c r="AY133" s="106">
        <f t="shared" si="95"/>
        <v>0</v>
      </c>
      <c r="AZ133" s="106">
        <f t="shared" si="96"/>
        <v>0</v>
      </c>
      <c r="BA133" s="107">
        <f t="shared" si="97"/>
        <v>0</v>
      </c>
    </row>
    <row r="134" spans="1:53" x14ac:dyDescent="0.35">
      <c r="A134" s="146">
        <v>39294</v>
      </c>
      <c r="B134" s="108" t="s">
        <v>2</v>
      </c>
      <c r="C134" s="108" t="s">
        <v>64</v>
      </c>
      <c r="D134" s="84">
        <f t="shared" si="70"/>
        <v>1</v>
      </c>
      <c r="E134" s="108" t="s">
        <v>235</v>
      </c>
      <c r="F134" s="84">
        <f t="shared" si="71"/>
        <v>1</v>
      </c>
      <c r="G134" s="108">
        <v>1000000000</v>
      </c>
      <c r="H134" s="84">
        <f t="shared" si="72"/>
        <v>9</v>
      </c>
      <c r="I134" s="146">
        <v>40263</v>
      </c>
      <c r="J134" s="108">
        <v>919000000</v>
      </c>
      <c r="K134" s="148">
        <f t="shared" si="73"/>
        <v>2.6547945205479451</v>
      </c>
      <c r="L134" s="148">
        <f t="shared" si="98"/>
        <v>0.4240309125942906</v>
      </c>
      <c r="M134" s="108">
        <v>6815.73</v>
      </c>
      <c r="N134" s="108">
        <f t="shared" si="74"/>
        <v>3.8335760926148099</v>
      </c>
      <c r="O134" s="108">
        <v>29</v>
      </c>
      <c r="P134" s="108">
        <f t="shared" si="99"/>
        <v>1.4623979978989561</v>
      </c>
      <c r="Q134" s="65">
        <v>2.85</v>
      </c>
      <c r="R134" s="65">
        <f t="shared" si="100"/>
        <v>0.45484486000851021</v>
      </c>
      <c r="S134" s="155">
        <f t="shared" si="75"/>
        <v>-8.0999999999999961E-2</v>
      </c>
      <c r="T134" s="127">
        <f t="shared" si="76"/>
        <v>-3.6684488613888719E-2</v>
      </c>
      <c r="U134" s="108">
        <v>1618.5219999999999</v>
      </c>
      <c r="V134" s="108">
        <f t="shared" si="77"/>
        <v>3.20911860699078</v>
      </c>
      <c r="W134" s="108">
        <v>3845.9059999999999</v>
      </c>
      <c r="X134" s="108">
        <f t="shared" si="78"/>
        <v>3.5849986651910224</v>
      </c>
      <c r="Y134" s="126">
        <v>819</v>
      </c>
      <c r="Z134" s="126">
        <f t="shared" si="79"/>
        <v>2.9138138523837167</v>
      </c>
      <c r="AA134" s="108">
        <v>88.9</v>
      </c>
      <c r="AB134" s="108">
        <f t="shared" si="101"/>
        <v>1.9489017609702137</v>
      </c>
      <c r="AC134" s="127">
        <v>34.9</v>
      </c>
      <c r="AD134" s="127">
        <f t="shared" si="102"/>
        <v>1.5428254269591799</v>
      </c>
      <c r="AE134" s="128">
        <v>42.817370475444001</v>
      </c>
      <c r="AF134" s="128">
        <f t="shared" si="103"/>
        <v>1.6316199926391717</v>
      </c>
      <c r="AG134" s="153">
        <v>0.76</v>
      </c>
      <c r="AH134" s="127">
        <f t="shared" si="80"/>
        <v>0.24551266781414982</v>
      </c>
      <c r="AI134" s="108">
        <v>19</v>
      </c>
      <c r="AJ134" s="108">
        <f t="shared" si="104"/>
        <v>1.2787536009528289</v>
      </c>
      <c r="AK134" s="108">
        <f t="shared" si="81"/>
        <v>0</v>
      </c>
      <c r="AL134" s="108">
        <f t="shared" si="82"/>
        <v>0</v>
      </c>
      <c r="AM134" s="108">
        <f t="shared" si="83"/>
        <v>0</v>
      </c>
      <c r="AN134" s="108">
        <f t="shared" si="84"/>
        <v>0</v>
      </c>
      <c r="AO134" s="108">
        <f t="shared" si="85"/>
        <v>0</v>
      </c>
      <c r="AP134" s="108">
        <f t="shared" si="86"/>
        <v>0</v>
      </c>
      <c r="AQ134" s="108">
        <f t="shared" si="87"/>
        <v>0</v>
      </c>
      <c r="AR134" s="108">
        <f t="shared" si="88"/>
        <v>0</v>
      </c>
      <c r="AS134" s="108">
        <f t="shared" si="89"/>
        <v>0</v>
      </c>
      <c r="AT134" s="108">
        <f t="shared" si="90"/>
        <v>1</v>
      </c>
      <c r="AU134" s="108">
        <f t="shared" si="91"/>
        <v>0</v>
      </c>
      <c r="AV134" s="108">
        <f t="shared" si="92"/>
        <v>0</v>
      </c>
      <c r="AW134" s="108">
        <f t="shared" si="93"/>
        <v>0</v>
      </c>
      <c r="AX134" s="108">
        <f t="shared" si="94"/>
        <v>0</v>
      </c>
      <c r="AY134" s="108">
        <f t="shared" si="95"/>
        <v>0</v>
      </c>
      <c r="AZ134" s="108">
        <f t="shared" si="96"/>
        <v>0</v>
      </c>
      <c r="BA134" s="109">
        <f t="shared" si="97"/>
        <v>0</v>
      </c>
    </row>
    <row r="135" spans="1:53" x14ac:dyDescent="0.35">
      <c r="A135" s="143">
        <v>39295</v>
      </c>
      <c r="B135" s="106" t="s">
        <v>45</v>
      </c>
      <c r="C135" s="106" t="s">
        <v>47</v>
      </c>
      <c r="D135" s="83">
        <f t="shared" si="70"/>
        <v>0</v>
      </c>
      <c r="E135" s="106" t="s">
        <v>235</v>
      </c>
      <c r="F135" s="83">
        <f t="shared" si="71"/>
        <v>1</v>
      </c>
      <c r="G135" s="106">
        <v>1475000000</v>
      </c>
      <c r="H135" s="83">
        <f t="shared" si="72"/>
        <v>9.1687920203141822</v>
      </c>
      <c r="I135" s="143">
        <v>42034</v>
      </c>
      <c r="J135" s="106">
        <v>1400000000</v>
      </c>
      <c r="K135" s="145">
        <f t="shared" si="73"/>
        <v>7.5041095890410956</v>
      </c>
      <c r="L135" s="148">
        <f t="shared" si="98"/>
        <v>0.87529916779748662</v>
      </c>
      <c r="M135" s="106">
        <v>0</v>
      </c>
      <c r="N135" s="106">
        <f t="shared" si="74"/>
        <v>0</v>
      </c>
      <c r="O135" s="106">
        <v>109</v>
      </c>
      <c r="P135" s="108">
        <f t="shared" si="99"/>
        <v>2.0374264979406238</v>
      </c>
      <c r="Q135" s="59">
        <v>2.95</v>
      </c>
      <c r="R135" s="65">
        <f t="shared" si="100"/>
        <v>0.46982201597816303</v>
      </c>
      <c r="S135" s="154">
        <f t="shared" si="75"/>
        <v>-5.084745762711862E-2</v>
      </c>
      <c r="T135" s="119">
        <f t="shared" si="76"/>
        <v>-2.2663984635943761E-2</v>
      </c>
      <c r="U135" s="106">
        <v>1246.953</v>
      </c>
      <c r="V135" s="106">
        <f t="shared" si="77"/>
        <v>3.0958500844125241</v>
      </c>
      <c r="W135" s="106">
        <v>3219.7179999999998</v>
      </c>
      <c r="X135" s="106">
        <f t="shared" si="78"/>
        <v>3.5078178355445662</v>
      </c>
      <c r="Y135" s="106">
        <v>0</v>
      </c>
      <c r="Z135" s="118">
        <f t="shared" si="79"/>
        <v>0</v>
      </c>
      <c r="AA135" s="106">
        <v>91.4</v>
      </c>
      <c r="AB135" s="108">
        <f t="shared" si="101"/>
        <v>1.9609461957338314</v>
      </c>
      <c r="AC135" s="119">
        <v>26.7</v>
      </c>
      <c r="AD135" s="127">
        <f t="shared" si="102"/>
        <v>1.4265112613645752</v>
      </c>
      <c r="AE135" s="120">
        <v>37.425715444240403</v>
      </c>
      <c r="AF135" s="128">
        <f t="shared" si="103"/>
        <v>1.5731701112332821</v>
      </c>
      <c r="AG135" s="152">
        <v>0.11</v>
      </c>
      <c r="AH135" s="119">
        <f t="shared" si="80"/>
        <v>4.5322978786657475E-2</v>
      </c>
      <c r="AI135" s="106">
        <v>21</v>
      </c>
      <c r="AJ135" s="108">
        <f t="shared" si="104"/>
        <v>1.3222192947339193</v>
      </c>
      <c r="AK135" s="106">
        <f t="shared" si="81"/>
        <v>0</v>
      </c>
      <c r="AL135" s="106">
        <f t="shared" si="82"/>
        <v>1</v>
      </c>
      <c r="AM135" s="106">
        <f t="shared" si="83"/>
        <v>0</v>
      </c>
      <c r="AN135" s="106">
        <f t="shared" si="84"/>
        <v>0</v>
      </c>
      <c r="AO135" s="106">
        <f t="shared" si="85"/>
        <v>0</v>
      </c>
      <c r="AP135" s="106">
        <f t="shared" si="86"/>
        <v>0</v>
      </c>
      <c r="AQ135" s="106">
        <f t="shared" si="87"/>
        <v>0</v>
      </c>
      <c r="AR135" s="106">
        <f t="shared" si="88"/>
        <v>0</v>
      </c>
      <c r="AS135" s="106">
        <f t="shared" si="89"/>
        <v>0</v>
      </c>
      <c r="AT135" s="106">
        <f t="shared" si="90"/>
        <v>0</v>
      </c>
      <c r="AU135" s="106">
        <f t="shared" si="91"/>
        <v>0</v>
      </c>
      <c r="AV135" s="106">
        <f t="shared" si="92"/>
        <v>0</v>
      </c>
      <c r="AW135" s="106">
        <f t="shared" si="93"/>
        <v>0</v>
      </c>
      <c r="AX135" s="106">
        <f t="shared" si="94"/>
        <v>0</v>
      </c>
      <c r="AY135" s="106">
        <f t="shared" si="95"/>
        <v>0</v>
      </c>
      <c r="AZ135" s="106">
        <f t="shared" si="96"/>
        <v>0</v>
      </c>
      <c r="BA135" s="107">
        <f t="shared" si="97"/>
        <v>0</v>
      </c>
    </row>
    <row r="136" spans="1:53" x14ac:dyDescent="0.35">
      <c r="A136" s="146">
        <v>39301</v>
      </c>
      <c r="B136" s="108" t="s">
        <v>45</v>
      </c>
      <c r="C136" s="108" t="s">
        <v>47</v>
      </c>
      <c r="D136" s="84">
        <f t="shared" si="70"/>
        <v>0</v>
      </c>
      <c r="E136" s="108" t="s">
        <v>235</v>
      </c>
      <c r="F136" s="84">
        <f t="shared" si="71"/>
        <v>1</v>
      </c>
      <c r="G136" s="108">
        <v>5575000000</v>
      </c>
      <c r="H136" s="84">
        <f t="shared" si="72"/>
        <v>9.746244871720199</v>
      </c>
      <c r="I136" s="146">
        <v>41885</v>
      </c>
      <c r="J136" s="108">
        <v>4868400000</v>
      </c>
      <c r="K136" s="148">
        <f t="shared" si="73"/>
        <v>7.0794520547945208</v>
      </c>
      <c r="L136" s="148">
        <f t="shared" si="98"/>
        <v>0.84999964486657176</v>
      </c>
      <c r="M136" s="108">
        <v>0</v>
      </c>
      <c r="N136" s="108">
        <f t="shared" si="74"/>
        <v>0</v>
      </c>
      <c r="O136" s="108">
        <v>92</v>
      </c>
      <c r="P136" s="108">
        <f t="shared" si="99"/>
        <v>1.9637878273455553</v>
      </c>
      <c r="Q136" s="65">
        <v>2.95</v>
      </c>
      <c r="R136" s="65">
        <f t="shared" si="100"/>
        <v>0.46982201597816303</v>
      </c>
      <c r="S136" s="155">
        <f t="shared" si="75"/>
        <v>-0.12674439461883413</v>
      </c>
      <c r="T136" s="127">
        <f t="shared" si="76"/>
        <v>-5.8858617968247297E-2</v>
      </c>
      <c r="U136" s="108">
        <v>1246.953</v>
      </c>
      <c r="V136" s="108">
        <f t="shared" si="77"/>
        <v>3.0958500844125241</v>
      </c>
      <c r="W136" s="108">
        <v>3219.7179999999998</v>
      </c>
      <c r="X136" s="108">
        <f t="shared" si="78"/>
        <v>3.5078178355445662</v>
      </c>
      <c r="Y136" s="108">
        <v>0</v>
      </c>
      <c r="Z136" s="126">
        <f t="shared" si="79"/>
        <v>0</v>
      </c>
      <c r="AA136" s="108">
        <v>91.4</v>
      </c>
      <c r="AB136" s="108">
        <f t="shared" si="101"/>
        <v>1.9609461957338314</v>
      </c>
      <c r="AC136" s="127">
        <v>26.7</v>
      </c>
      <c r="AD136" s="127">
        <f t="shared" si="102"/>
        <v>1.4265112613645752</v>
      </c>
      <c r="AE136" s="128">
        <v>37.425715444240403</v>
      </c>
      <c r="AF136" s="128">
        <f t="shared" si="103"/>
        <v>1.5731701112332821</v>
      </c>
      <c r="AG136" s="153">
        <v>0.21</v>
      </c>
      <c r="AH136" s="127">
        <f t="shared" si="80"/>
        <v>8.2785370316450071E-2</v>
      </c>
      <c r="AI136" s="108">
        <v>29</v>
      </c>
      <c r="AJ136" s="108">
        <f t="shared" si="104"/>
        <v>1.4623979978989561</v>
      </c>
      <c r="AK136" s="108">
        <f t="shared" si="81"/>
        <v>0</v>
      </c>
      <c r="AL136" s="108">
        <f t="shared" si="82"/>
        <v>1</v>
      </c>
      <c r="AM136" s="108">
        <f t="shared" si="83"/>
        <v>0</v>
      </c>
      <c r="AN136" s="108">
        <f t="shared" si="84"/>
        <v>0</v>
      </c>
      <c r="AO136" s="108">
        <f t="shared" si="85"/>
        <v>0</v>
      </c>
      <c r="AP136" s="108">
        <f t="shared" si="86"/>
        <v>0</v>
      </c>
      <c r="AQ136" s="108">
        <f t="shared" si="87"/>
        <v>0</v>
      </c>
      <c r="AR136" s="108">
        <f t="shared" si="88"/>
        <v>0</v>
      </c>
      <c r="AS136" s="108">
        <f t="shared" si="89"/>
        <v>0</v>
      </c>
      <c r="AT136" s="108">
        <f t="shared" si="90"/>
        <v>0</v>
      </c>
      <c r="AU136" s="108">
        <f t="shared" si="91"/>
        <v>0</v>
      </c>
      <c r="AV136" s="108">
        <f t="shared" si="92"/>
        <v>0</v>
      </c>
      <c r="AW136" s="108">
        <f t="shared" si="93"/>
        <v>0</v>
      </c>
      <c r="AX136" s="108">
        <f t="shared" si="94"/>
        <v>0</v>
      </c>
      <c r="AY136" s="108">
        <f t="shared" si="95"/>
        <v>0</v>
      </c>
      <c r="AZ136" s="108">
        <f t="shared" si="96"/>
        <v>0</v>
      </c>
      <c r="BA136" s="109">
        <f t="shared" si="97"/>
        <v>0</v>
      </c>
    </row>
    <row r="137" spans="1:53" x14ac:dyDescent="0.35">
      <c r="A137" s="143">
        <v>39310</v>
      </c>
      <c r="B137" s="106" t="s">
        <v>59</v>
      </c>
      <c r="C137" s="106" t="s">
        <v>64</v>
      </c>
      <c r="D137" s="83">
        <f t="shared" si="70"/>
        <v>1</v>
      </c>
      <c r="E137" s="106" t="s">
        <v>248</v>
      </c>
      <c r="F137" s="83">
        <f t="shared" si="71"/>
        <v>5</v>
      </c>
      <c r="G137" s="106">
        <v>286700000</v>
      </c>
      <c r="H137" s="83">
        <f t="shared" si="72"/>
        <v>8.4574276929464851</v>
      </c>
      <c r="I137" s="143">
        <v>40664</v>
      </c>
      <c r="J137" s="106">
        <v>0</v>
      </c>
      <c r="K137" s="145">
        <f t="shared" si="73"/>
        <v>3.7095890410958905</v>
      </c>
      <c r="L137" s="148">
        <f t="shared" si="98"/>
        <v>0.56932579989265086</v>
      </c>
      <c r="M137" s="106">
        <v>5897.96</v>
      </c>
      <c r="N137" s="106">
        <f t="shared" si="74"/>
        <v>3.7707754512906644</v>
      </c>
      <c r="O137" s="106">
        <v>3</v>
      </c>
      <c r="P137" s="108">
        <f t="shared" si="99"/>
        <v>0.47712125471966244</v>
      </c>
      <c r="Q137" s="59">
        <v>2.3199999999999998</v>
      </c>
      <c r="R137" s="65">
        <f t="shared" si="100"/>
        <v>0.36548798489089962</v>
      </c>
      <c r="S137" s="154">
        <f t="shared" si="75"/>
        <v>-1</v>
      </c>
      <c r="T137" s="119">
        <f t="shared" si="76"/>
        <v>-1</v>
      </c>
      <c r="U137" s="106">
        <v>2121.1374095989472</v>
      </c>
      <c r="V137" s="106">
        <f t="shared" si="77"/>
        <v>3.3265688034989269</v>
      </c>
      <c r="W137" s="106">
        <v>4465.8119658119658</v>
      </c>
      <c r="X137" s="106">
        <f t="shared" si="78"/>
        <v>3.64990043303693</v>
      </c>
      <c r="Y137" s="118">
        <v>132</v>
      </c>
      <c r="Z137" s="118">
        <f t="shared" si="79"/>
        <v>2.1238516409670858</v>
      </c>
      <c r="AA137" s="106">
        <v>91.2</v>
      </c>
      <c r="AB137" s="108">
        <f t="shared" si="101"/>
        <v>1.9599948383284163</v>
      </c>
      <c r="AC137" s="119">
        <v>33</v>
      </c>
      <c r="AD137" s="127">
        <f t="shared" si="102"/>
        <v>1.5185139398778875</v>
      </c>
      <c r="AE137" s="120">
        <v>40.902544500539101</v>
      </c>
      <c r="AF137" s="128">
        <f t="shared" si="103"/>
        <v>1.6117503258110162</v>
      </c>
      <c r="AG137" s="152">
        <v>0.42</v>
      </c>
      <c r="AH137" s="119">
        <f t="shared" si="80"/>
        <v>0.15228834438305647</v>
      </c>
      <c r="AI137" s="106">
        <v>23</v>
      </c>
      <c r="AJ137" s="108">
        <f t="shared" si="104"/>
        <v>1.3617278360175928</v>
      </c>
      <c r="AK137" s="106">
        <f t="shared" si="81"/>
        <v>1</v>
      </c>
      <c r="AL137" s="106">
        <f t="shared" si="82"/>
        <v>0</v>
      </c>
      <c r="AM137" s="106">
        <f t="shared" si="83"/>
        <v>1</v>
      </c>
      <c r="AN137" s="106">
        <f t="shared" si="84"/>
        <v>0</v>
      </c>
      <c r="AO137" s="106">
        <f t="shared" si="85"/>
        <v>0</v>
      </c>
      <c r="AP137" s="106">
        <f t="shared" si="86"/>
        <v>0</v>
      </c>
      <c r="AQ137" s="106">
        <f t="shared" si="87"/>
        <v>0</v>
      </c>
      <c r="AR137" s="106">
        <f t="shared" si="88"/>
        <v>0</v>
      </c>
      <c r="AS137" s="106">
        <f t="shared" si="89"/>
        <v>0</v>
      </c>
      <c r="AT137" s="106">
        <f t="shared" si="90"/>
        <v>0</v>
      </c>
      <c r="AU137" s="106">
        <f t="shared" si="91"/>
        <v>0</v>
      </c>
      <c r="AV137" s="106">
        <f t="shared" si="92"/>
        <v>0</v>
      </c>
      <c r="AW137" s="106">
        <f t="shared" si="93"/>
        <v>0</v>
      </c>
      <c r="AX137" s="106">
        <f t="shared" si="94"/>
        <v>0</v>
      </c>
      <c r="AY137" s="106">
        <f t="shared" si="95"/>
        <v>0</v>
      </c>
      <c r="AZ137" s="106">
        <f t="shared" si="96"/>
        <v>0</v>
      </c>
      <c r="BA137" s="107">
        <f t="shared" si="97"/>
        <v>0</v>
      </c>
    </row>
    <row r="138" spans="1:53" x14ac:dyDescent="0.35">
      <c r="A138" s="146">
        <v>39316</v>
      </c>
      <c r="B138" s="108" t="s">
        <v>2</v>
      </c>
      <c r="C138" s="108" t="s">
        <v>125</v>
      </c>
      <c r="D138" s="84">
        <f t="shared" si="70"/>
        <v>1</v>
      </c>
      <c r="E138" s="108" t="s">
        <v>235</v>
      </c>
      <c r="F138" s="84">
        <f t="shared" si="71"/>
        <v>1</v>
      </c>
      <c r="G138" s="108">
        <v>204800000</v>
      </c>
      <c r="H138" s="84">
        <f t="shared" si="72"/>
        <v>8.3113299523037938</v>
      </c>
      <c r="I138" s="146">
        <v>40695</v>
      </c>
      <c r="J138" s="108">
        <v>256000000</v>
      </c>
      <c r="K138" s="148">
        <f t="shared" si="73"/>
        <v>3.7780821917808218</v>
      </c>
      <c r="L138" s="148">
        <f t="shared" si="98"/>
        <v>0.57727140171937508</v>
      </c>
      <c r="M138" s="108">
        <v>917.19</v>
      </c>
      <c r="N138" s="108">
        <f t="shared" si="74"/>
        <v>2.9629325585580042</v>
      </c>
      <c r="O138" s="108">
        <v>28</v>
      </c>
      <c r="P138" s="108">
        <f t="shared" si="99"/>
        <v>1.4471580313422192</v>
      </c>
      <c r="Q138" s="65">
        <v>2.62</v>
      </c>
      <c r="R138" s="65">
        <f t="shared" si="100"/>
        <v>0.41830129131974547</v>
      </c>
      <c r="S138" s="155">
        <f t="shared" si="75"/>
        <v>0.25</v>
      </c>
      <c r="T138" s="127">
        <f t="shared" si="76"/>
        <v>9.691001300805642E-2</v>
      </c>
      <c r="U138" s="108">
        <v>1932.09461208012</v>
      </c>
      <c r="V138" s="108">
        <f t="shared" si="77"/>
        <v>3.2860283894181141</v>
      </c>
      <c r="W138" s="108">
        <v>8126.3909735520938</v>
      </c>
      <c r="X138" s="108">
        <f t="shared" si="78"/>
        <v>3.9098977130890344</v>
      </c>
      <c r="Y138" s="126">
        <v>854.66666666666697</v>
      </c>
      <c r="Z138" s="126">
        <f t="shared" si="79"/>
        <v>2.9323046139517812</v>
      </c>
      <c r="AA138" s="108">
        <v>88.9</v>
      </c>
      <c r="AB138" s="108">
        <f t="shared" si="101"/>
        <v>1.9489017609702137</v>
      </c>
      <c r="AC138" s="127">
        <v>34.9</v>
      </c>
      <c r="AD138" s="127">
        <f t="shared" si="102"/>
        <v>1.5428254269591799</v>
      </c>
      <c r="AE138" s="128">
        <v>42.817370475444001</v>
      </c>
      <c r="AF138" s="128">
        <f t="shared" si="103"/>
        <v>1.6316199926391717</v>
      </c>
      <c r="AG138" s="153">
        <v>0.41</v>
      </c>
      <c r="AH138" s="127">
        <f t="shared" si="80"/>
        <v>0.14921911265537988</v>
      </c>
      <c r="AI138" s="108">
        <v>19</v>
      </c>
      <c r="AJ138" s="108">
        <f t="shared" si="104"/>
        <v>1.2787536009528289</v>
      </c>
      <c r="AK138" s="108">
        <f t="shared" si="81"/>
        <v>0</v>
      </c>
      <c r="AL138" s="108">
        <f t="shared" si="82"/>
        <v>0</v>
      </c>
      <c r="AM138" s="108">
        <f t="shared" si="83"/>
        <v>0</v>
      </c>
      <c r="AN138" s="108">
        <f t="shared" si="84"/>
        <v>0</v>
      </c>
      <c r="AO138" s="108">
        <f t="shared" si="85"/>
        <v>0</v>
      </c>
      <c r="AP138" s="108">
        <f t="shared" si="86"/>
        <v>0</v>
      </c>
      <c r="AQ138" s="108">
        <f t="shared" si="87"/>
        <v>0</v>
      </c>
      <c r="AR138" s="108">
        <f t="shared" si="88"/>
        <v>0</v>
      </c>
      <c r="AS138" s="108">
        <f t="shared" si="89"/>
        <v>0</v>
      </c>
      <c r="AT138" s="108">
        <f t="shared" si="90"/>
        <v>1</v>
      </c>
      <c r="AU138" s="108">
        <f t="shared" si="91"/>
        <v>0</v>
      </c>
      <c r="AV138" s="108">
        <f t="shared" si="92"/>
        <v>0</v>
      </c>
      <c r="AW138" s="108">
        <f t="shared" si="93"/>
        <v>0</v>
      </c>
      <c r="AX138" s="108">
        <f t="shared" si="94"/>
        <v>0</v>
      </c>
      <c r="AY138" s="108">
        <f t="shared" si="95"/>
        <v>0</v>
      </c>
      <c r="AZ138" s="108">
        <f t="shared" si="96"/>
        <v>0</v>
      </c>
      <c r="BA138" s="109">
        <f t="shared" si="97"/>
        <v>0</v>
      </c>
    </row>
    <row r="139" spans="1:53" x14ac:dyDescent="0.35">
      <c r="A139" s="143">
        <v>39318</v>
      </c>
      <c r="B139" s="106" t="s">
        <v>163</v>
      </c>
      <c r="C139" s="106" t="s">
        <v>64</v>
      </c>
      <c r="D139" s="83">
        <f t="shared" si="70"/>
        <v>1</v>
      </c>
      <c r="E139" s="106" t="s">
        <v>178</v>
      </c>
      <c r="F139" s="83">
        <f t="shared" si="71"/>
        <v>9</v>
      </c>
      <c r="G139" s="106">
        <v>7210000</v>
      </c>
      <c r="H139" s="83">
        <f t="shared" si="72"/>
        <v>6.8579352647194289</v>
      </c>
      <c r="I139" s="143">
        <v>39923</v>
      </c>
      <c r="J139" s="106">
        <v>58450000</v>
      </c>
      <c r="K139" s="145">
        <f t="shared" si="73"/>
        <v>1.6575342465753424</v>
      </c>
      <c r="L139" s="148">
        <f t="shared" si="98"/>
        <v>0.21946251019599416</v>
      </c>
      <c r="M139" s="106">
        <v>488.05</v>
      </c>
      <c r="N139" s="106">
        <f t="shared" si="74"/>
        <v>2.6893532632422525</v>
      </c>
      <c r="O139" s="106">
        <v>6</v>
      </c>
      <c r="P139" s="108">
        <f t="shared" si="99"/>
        <v>0.77815125038364363</v>
      </c>
      <c r="Q139" s="59">
        <v>3.03</v>
      </c>
      <c r="R139" s="65">
        <f t="shared" si="100"/>
        <v>0.48144262850230496</v>
      </c>
      <c r="S139" s="154">
        <f t="shared" si="75"/>
        <v>7.1067961165048548</v>
      </c>
      <c r="T139" s="119">
        <f t="shared" si="76"/>
        <v>0.90884925077842993</v>
      </c>
      <c r="U139" s="106">
        <v>1423.0371900826444</v>
      </c>
      <c r="V139" s="106">
        <f t="shared" si="77"/>
        <v>3.1532162502154288</v>
      </c>
      <c r="W139" s="106">
        <v>3292.8719008264461</v>
      </c>
      <c r="X139" s="106">
        <f t="shared" si="78"/>
        <v>3.5175748361336181</v>
      </c>
      <c r="Y139" s="118">
        <v>995</v>
      </c>
      <c r="Z139" s="118">
        <f t="shared" si="79"/>
        <v>2.9982593384236988</v>
      </c>
      <c r="AA139" s="106">
        <v>87.2</v>
      </c>
      <c r="AB139" s="108">
        <f t="shared" si="101"/>
        <v>1.9405164849325673</v>
      </c>
      <c r="AC139" s="119">
        <v>42.5</v>
      </c>
      <c r="AD139" s="127">
        <f t="shared" si="102"/>
        <v>1.6283889300503116</v>
      </c>
      <c r="AE139" s="120">
        <v>52.565521078007201</v>
      </c>
      <c r="AF139" s="128">
        <f t="shared" si="103"/>
        <v>1.7207009738992591</v>
      </c>
      <c r="AG139" s="152">
        <v>0.74</v>
      </c>
      <c r="AH139" s="119">
        <f t="shared" si="80"/>
        <v>0.24054924828259971</v>
      </c>
      <c r="AI139" s="106">
        <v>24</v>
      </c>
      <c r="AJ139" s="108">
        <f t="shared" si="104"/>
        <v>1.3802112417116059</v>
      </c>
      <c r="AK139" s="106">
        <f t="shared" si="81"/>
        <v>0</v>
      </c>
      <c r="AL139" s="106">
        <f t="shared" si="82"/>
        <v>0</v>
      </c>
      <c r="AM139" s="106">
        <f t="shared" si="83"/>
        <v>0</v>
      </c>
      <c r="AN139" s="106">
        <f t="shared" si="84"/>
        <v>0</v>
      </c>
      <c r="AO139" s="106">
        <f t="shared" si="85"/>
        <v>0</v>
      </c>
      <c r="AP139" s="106">
        <f t="shared" si="86"/>
        <v>0</v>
      </c>
      <c r="AQ139" s="106">
        <f t="shared" si="87"/>
        <v>0</v>
      </c>
      <c r="AR139" s="106">
        <f t="shared" si="88"/>
        <v>1</v>
      </c>
      <c r="AS139" s="106">
        <f t="shared" si="89"/>
        <v>0</v>
      </c>
      <c r="AT139" s="106">
        <f t="shared" si="90"/>
        <v>0</v>
      </c>
      <c r="AU139" s="106">
        <f t="shared" si="91"/>
        <v>0</v>
      </c>
      <c r="AV139" s="106">
        <f t="shared" si="92"/>
        <v>0</v>
      </c>
      <c r="AW139" s="106">
        <f t="shared" si="93"/>
        <v>0</v>
      </c>
      <c r="AX139" s="106">
        <f t="shared" si="94"/>
        <v>0</v>
      </c>
      <c r="AY139" s="106">
        <f t="shared" si="95"/>
        <v>0</v>
      </c>
      <c r="AZ139" s="106">
        <f t="shared" si="96"/>
        <v>0</v>
      </c>
      <c r="BA139" s="107">
        <f t="shared" si="97"/>
        <v>0</v>
      </c>
    </row>
    <row r="140" spans="1:53" x14ac:dyDescent="0.35">
      <c r="A140" s="146">
        <v>39325</v>
      </c>
      <c r="B140" s="108" t="s">
        <v>5</v>
      </c>
      <c r="C140" s="108" t="s">
        <v>125</v>
      </c>
      <c r="D140" s="84">
        <f t="shared" si="70"/>
        <v>1</v>
      </c>
      <c r="E140" s="108" t="s">
        <v>186</v>
      </c>
      <c r="F140" s="84">
        <f t="shared" si="71"/>
        <v>4</v>
      </c>
      <c r="G140" s="108">
        <v>669790000</v>
      </c>
      <c r="H140" s="84">
        <f t="shared" si="72"/>
        <v>8.8259386592127473</v>
      </c>
      <c r="I140" s="146">
        <v>39532</v>
      </c>
      <c r="J140" s="108">
        <v>1716000000</v>
      </c>
      <c r="K140" s="148">
        <f t="shared" si="73"/>
        <v>0.56712328767123288</v>
      </c>
      <c r="L140" s="148">
        <f t="shared" si="98"/>
        <v>-0.24632251899955696</v>
      </c>
      <c r="M140" s="108">
        <v>357.29</v>
      </c>
      <c r="N140" s="108">
        <f t="shared" si="74"/>
        <v>2.5542346870234227</v>
      </c>
      <c r="O140" s="108">
        <v>9</v>
      </c>
      <c r="P140" s="108">
        <f t="shared" si="99"/>
        <v>0.95424250943932487</v>
      </c>
      <c r="Q140" s="65">
        <v>3.16</v>
      </c>
      <c r="R140" s="65">
        <f t="shared" si="100"/>
        <v>0.49968708261840383</v>
      </c>
      <c r="S140" s="155">
        <f t="shared" si="75"/>
        <v>1.5619970438495647</v>
      </c>
      <c r="T140" s="127">
        <f t="shared" si="76"/>
        <v>0.40857862429993902</v>
      </c>
      <c r="U140" s="108">
        <v>1248.0746999999999</v>
      </c>
      <c r="V140" s="108">
        <f t="shared" si="77"/>
        <v>3.0962405795987471</v>
      </c>
      <c r="W140" s="108">
        <v>2518.2170000000001</v>
      </c>
      <c r="X140" s="108">
        <f t="shared" si="78"/>
        <v>3.4010931514437841</v>
      </c>
      <c r="Y140" s="126">
        <v>971</v>
      </c>
      <c r="Z140" s="126">
        <f t="shared" si="79"/>
        <v>2.9876662649262746</v>
      </c>
      <c r="AA140" s="108">
        <v>88.4</v>
      </c>
      <c r="AB140" s="108">
        <f t="shared" si="101"/>
        <v>1.9464522650130731</v>
      </c>
      <c r="AC140" s="127">
        <v>35.700000000000003</v>
      </c>
      <c r="AD140" s="127">
        <f t="shared" si="102"/>
        <v>1.5526682161121932</v>
      </c>
      <c r="AE140" s="128">
        <v>42.337645557762798</v>
      </c>
      <c r="AF140" s="128">
        <f t="shared" si="103"/>
        <v>1.6267267027692975</v>
      </c>
      <c r="AG140" s="153">
        <v>-0.05</v>
      </c>
      <c r="AH140" s="127">
        <f t="shared" si="80"/>
        <v>-2.2276394711152253E-2</v>
      </c>
      <c r="AI140" s="108">
        <v>20</v>
      </c>
      <c r="AJ140" s="108">
        <f t="shared" si="104"/>
        <v>1.3010299956639813</v>
      </c>
      <c r="AK140" s="108">
        <f t="shared" si="81"/>
        <v>0</v>
      </c>
      <c r="AL140" s="108">
        <f t="shared" si="82"/>
        <v>0</v>
      </c>
      <c r="AM140" s="108">
        <f t="shared" si="83"/>
        <v>0</v>
      </c>
      <c r="AN140" s="108">
        <f t="shared" si="84"/>
        <v>0</v>
      </c>
      <c r="AO140" s="108">
        <f t="shared" si="85"/>
        <v>0</v>
      </c>
      <c r="AP140" s="108">
        <f t="shared" si="86"/>
        <v>0</v>
      </c>
      <c r="AQ140" s="108">
        <f t="shared" si="87"/>
        <v>1</v>
      </c>
      <c r="AR140" s="108">
        <f t="shared" si="88"/>
        <v>0</v>
      </c>
      <c r="AS140" s="108">
        <f t="shared" si="89"/>
        <v>0</v>
      </c>
      <c r="AT140" s="108">
        <f t="shared" si="90"/>
        <v>0</v>
      </c>
      <c r="AU140" s="108">
        <f t="shared" si="91"/>
        <v>0</v>
      </c>
      <c r="AV140" s="108">
        <f t="shared" si="92"/>
        <v>0</v>
      </c>
      <c r="AW140" s="108">
        <f t="shared" si="93"/>
        <v>0</v>
      </c>
      <c r="AX140" s="108">
        <f t="shared" si="94"/>
        <v>0</v>
      </c>
      <c r="AY140" s="108">
        <f t="shared" si="95"/>
        <v>0</v>
      </c>
      <c r="AZ140" s="108">
        <f t="shared" si="96"/>
        <v>0</v>
      </c>
      <c r="BA140" s="109">
        <f t="shared" si="97"/>
        <v>0</v>
      </c>
    </row>
    <row r="141" spans="1:53" x14ac:dyDescent="0.35">
      <c r="A141" s="143">
        <v>39325</v>
      </c>
      <c r="B141" s="106" t="s">
        <v>59</v>
      </c>
      <c r="C141" s="106" t="s">
        <v>64</v>
      </c>
      <c r="D141" s="83">
        <f t="shared" si="70"/>
        <v>1</v>
      </c>
      <c r="E141" s="106" t="s">
        <v>248</v>
      </c>
      <c r="F141" s="83">
        <f t="shared" si="71"/>
        <v>5</v>
      </c>
      <c r="G141" s="106">
        <v>1300000000</v>
      </c>
      <c r="H141" s="83">
        <f t="shared" si="72"/>
        <v>9.1139433523068369</v>
      </c>
      <c r="I141" s="143">
        <v>42556</v>
      </c>
      <c r="J141" s="106">
        <v>2188600000</v>
      </c>
      <c r="K141" s="145">
        <f t="shared" si="73"/>
        <v>8.8520547945205479</v>
      </c>
      <c r="L141" s="148">
        <f t="shared" si="98"/>
        <v>0.94704409356116936</v>
      </c>
      <c r="M141" s="106">
        <v>5897.96</v>
      </c>
      <c r="N141" s="106">
        <f t="shared" si="74"/>
        <v>3.7707754512906644</v>
      </c>
      <c r="O141" s="106">
        <v>49</v>
      </c>
      <c r="P141" s="108">
        <f t="shared" si="99"/>
        <v>1.6901960800285136</v>
      </c>
      <c r="Q141" s="59">
        <v>2.3199999999999998</v>
      </c>
      <c r="R141" s="65">
        <f t="shared" si="100"/>
        <v>0.36548798489089962</v>
      </c>
      <c r="S141" s="154">
        <f t="shared" si="75"/>
        <v>0.68353846153846143</v>
      </c>
      <c r="T141" s="119">
        <f t="shared" si="76"/>
        <v>0.22622304257923964</v>
      </c>
      <c r="U141" s="106">
        <v>1618.5219999999999</v>
      </c>
      <c r="V141" s="106">
        <f t="shared" si="77"/>
        <v>3.20911860699078</v>
      </c>
      <c r="W141" s="106">
        <v>3845.9059999999999</v>
      </c>
      <c r="X141" s="106">
        <f t="shared" si="78"/>
        <v>3.5849986651910224</v>
      </c>
      <c r="Y141" s="118">
        <v>132</v>
      </c>
      <c r="Z141" s="118">
        <f t="shared" si="79"/>
        <v>2.1238516409670858</v>
      </c>
      <c r="AA141" s="106">
        <v>91.2</v>
      </c>
      <c r="AB141" s="108">
        <f t="shared" si="101"/>
        <v>1.9599948383284163</v>
      </c>
      <c r="AC141" s="119">
        <v>33</v>
      </c>
      <c r="AD141" s="127">
        <f t="shared" si="102"/>
        <v>1.5185139398778875</v>
      </c>
      <c r="AE141" s="120">
        <v>40.902544500539101</v>
      </c>
      <c r="AF141" s="128">
        <f t="shared" si="103"/>
        <v>1.6117503258110162</v>
      </c>
      <c r="AG141" s="152">
        <v>-0.1</v>
      </c>
      <c r="AH141" s="119">
        <f t="shared" si="80"/>
        <v>-4.5757490560675115E-2</v>
      </c>
      <c r="AI141" s="106">
        <v>1</v>
      </c>
      <c r="AJ141" s="108">
        <f t="shared" si="104"/>
        <v>0</v>
      </c>
      <c r="AK141" s="106">
        <f t="shared" si="81"/>
        <v>0</v>
      </c>
      <c r="AL141" s="106">
        <f t="shared" si="82"/>
        <v>0</v>
      </c>
      <c r="AM141" s="106">
        <f t="shared" si="83"/>
        <v>1</v>
      </c>
      <c r="AN141" s="106">
        <f t="shared" si="84"/>
        <v>0</v>
      </c>
      <c r="AO141" s="106">
        <f t="shared" si="85"/>
        <v>0</v>
      </c>
      <c r="AP141" s="106">
        <f t="shared" si="86"/>
        <v>0</v>
      </c>
      <c r="AQ141" s="106">
        <f t="shared" si="87"/>
        <v>0</v>
      </c>
      <c r="AR141" s="106">
        <f t="shared" si="88"/>
        <v>0</v>
      </c>
      <c r="AS141" s="106">
        <f t="shared" si="89"/>
        <v>0</v>
      </c>
      <c r="AT141" s="106">
        <f t="shared" si="90"/>
        <v>0</v>
      </c>
      <c r="AU141" s="106">
        <f t="shared" si="91"/>
        <v>0</v>
      </c>
      <c r="AV141" s="106">
        <f t="shared" si="92"/>
        <v>0</v>
      </c>
      <c r="AW141" s="106">
        <f t="shared" si="93"/>
        <v>0</v>
      </c>
      <c r="AX141" s="106">
        <f t="shared" si="94"/>
        <v>0</v>
      </c>
      <c r="AY141" s="106">
        <f t="shared" si="95"/>
        <v>0</v>
      </c>
      <c r="AZ141" s="106">
        <f t="shared" si="96"/>
        <v>0</v>
      </c>
      <c r="BA141" s="107">
        <f t="shared" si="97"/>
        <v>0</v>
      </c>
    </row>
    <row r="142" spans="1:53" x14ac:dyDescent="0.35">
      <c r="A142" s="146">
        <v>39328</v>
      </c>
      <c r="B142" s="84" t="s">
        <v>59</v>
      </c>
      <c r="C142" s="84" t="s">
        <v>64</v>
      </c>
      <c r="D142" s="84">
        <f t="shared" si="70"/>
        <v>1</v>
      </c>
      <c r="E142" s="84" t="s">
        <v>190</v>
      </c>
      <c r="F142" s="84">
        <f t="shared" si="71"/>
        <v>2</v>
      </c>
      <c r="G142" s="84">
        <v>12081450000</v>
      </c>
      <c r="H142" s="84">
        <f t="shared" si="72"/>
        <v>10.082119060875158</v>
      </c>
      <c r="I142" s="146">
        <v>42558</v>
      </c>
      <c r="J142" s="108">
        <v>14481100000</v>
      </c>
      <c r="K142" s="148">
        <f t="shared" si="73"/>
        <v>8.8493150684931514</v>
      </c>
      <c r="L142" s="148">
        <f t="shared" si="98"/>
        <v>0.94690965787462822</v>
      </c>
      <c r="M142" s="108">
        <v>5897.96</v>
      </c>
      <c r="N142" s="108">
        <f t="shared" si="74"/>
        <v>3.7707754512906644</v>
      </c>
      <c r="O142" s="84">
        <v>1</v>
      </c>
      <c r="P142" s="108">
        <f t="shared" si="99"/>
        <v>0</v>
      </c>
      <c r="Q142" s="182">
        <v>2.3199999999999998</v>
      </c>
      <c r="R142" s="65">
        <f t="shared" si="100"/>
        <v>0.36548798489089962</v>
      </c>
      <c r="S142" s="155">
        <f t="shared" si="75"/>
        <v>0.19862268188007226</v>
      </c>
      <c r="T142" s="127">
        <f t="shared" si="76"/>
        <v>7.8682491717007891E-2</v>
      </c>
      <c r="U142" s="108">
        <v>1171.498</v>
      </c>
      <c r="V142" s="108">
        <f t="shared" si="77"/>
        <v>3.0687415514991745</v>
      </c>
      <c r="W142" s="108">
        <v>3386.1060000000002</v>
      </c>
      <c r="X142" s="108">
        <f t="shared" si="78"/>
        <v>3.5297005493117593</v>
      </c>
      <c r="Y142" s="126">
        <v>132</v>
      </c>
      <c r="Z142" s="126">
        <f t="shared" si="79"/>
        <v>2.1238516409670858</v>
      </c>
      <c r="AA142" s="108">
        <v>91.2</v>
      </c>
      <c r="AB142" s="108">
        <f t="shared" si="101"/>
        <v>1.9599948383284163</v>
      </c>
      <c r="AC142" s="127">
        <v>33</v>
      </c>
      <c r="AD142" s="127">
        <f t="shared" si="102"/>
        <v>1.5185139398778875</v>
      </c>
      <c r="AE142" s="128">
        <v>40.902544500539101</v>
      </c>
      <c r="AF142" s="128">
        <f t="shared" si="103"/>
        <v>1.6117503258110162</v>
      </c>
      <c r="AG142" s="153">
        <v>0.18</v>
      </c>
      <c r="AH142" s="127">
        <f t="shared" si="80"/>
        <v>7.1882007306125359E-2</v>
      </c>
      <c r="AI142" s="108">
        <v>33</v>
      </c>
      <c r="AJ142" s="108">
        <f t="shared" si="104"/>
        <v>1.5185139398778875</v>
      </c>
      <c r="AK142" s="108">
        <f t="shared" si="81"/>
        <v>0</v>
      </c>
      <c r="AL142" s="108">
        <f t="shared" si="82"/>
        <v>0</v>
      </c>
      <c r="AM142" s="108">
        <f t="shared" si="83"/>
        <v>1</v>
      </c>
      <c r="AN142" s="108">
        <f t="shared" si="84"/>
        <v>0</v>
      </c>
      <c r="AO142" s="108">
        <f t="shared" si="85"/>
        <v>0</v>
      </c>
      <c r="AP142" s="108">
        <f t="shared" si="86"/>
        <v>0</v>
      </c>
      <c r="AQ142" s="108">
        <f t="shared" si="87"/>
        <v>0</v>
      </c>
      <c r="AR142" s="108">
        <f t="shared" si="88"/>
        <v>0</v>
      </c>
      <c r="AS142" s="108">
        <f t="shared" si="89"/>
        <v>0</v>
      </c>
      <c r="AT142" s="108">
        <f t="shared" si="90"/>
        <v>0</v>
      </c>
      <c r="AU142" s="108">
        <f t="shared" si="91"/>
        <v>0</v>
      </c>
      <c r="AV142" s="108">
        <f t="shared" si="92"/>
        <v>0</v>
      </c>
      <c r="AW142" s="108">
        <f t="shared" si="93"/>
        <v>0</v>
      </c>
      <c r="AX142" s="108">
        <f t="shared" si="94"/>
        <v>0</v>
      </c>
      <c r="AY142" s="108">
        <f t="shared" si="95"/>
        <v>0</v>
      </c>
      <c r="AZ142" s="108">
        <f t="shared" si="96"/>
        <v>0</v>
      </c>
      <c r="BA142" s="109">
        <f t="shared" si="97"/>
        <v>0</v>
      </c>
    </row>
    <row r="143" spans="1:53" x14ac:dyDescent="0.35">
      <c r="A143" s="143">
        <v>39329</v>
      </c>
      <c r="B143" s="106" t="s">
        <v>2</v>
      </c>
      <c r="C143" s="106" t="s">
        <v>47</v>
      </c>
      <c r="D143" s="83">
        <f t="shared" si="70"/>
        <v>0</v>
      </c>
      <c r="E143" s="106" t="s">
        <v>235</v>
      </c>
      <c r="F143" s="83">
        <f t="shared" si="71"/>
        <v>1</v>
      </c>
      <c r="G143" s="106">
        <v>1560000000</v>
      </c>
      <c r="H143" s="83">
        <f t="shared" si="72"/>
        <v>9.1931245983544621</v>
      </c>
      <c r="I143" s="143">
        <v>41583</v>
      </c>
      <c r="J143" s="106">
        <v>650000000</v>
      </c>
      <c r="K143" s="145">
        <f t="shared" si="73"/>
        <v>6.1753424657534248</v>
      </c>
      <c r="L143" s="148">
        <f t="shared" si="98"/>
        <v>0.79066104725361308</v>
      </c>
      <c r="M143" s="106">
        <v>0</v>
      </c>
      <c r="N143" s="106">
        <f t="shared" si="74"/>
        <v>0</v>
      </c>
      <c r="O143" s="106">
        <v>9</v>
      </c>
      <c r="P143" s="108">
        <f t="shared" si="99"/>
        <v>0.95424250943932487</v>
      </c>
      <c r="Q143" s="59">
        <v>3.5</v>
      </c>
      <c r="R143" s="65">
        <f t="shared" si="100"/>
        <v>0.54406804435027567</v>
      </c>
      <c r="S143" s="154">
        <f t="shared" si="75"/>
        <v>-0.58333333333333326</v>
      </c>
      <c r="T143" s="119">
        <f t="shared" si="76"/>
        <v>-0.38021124171160592</v>
      </c>
      <c r="U143" s="106">
        <v>9311.2244897959172</v>
      </c>
      <c r="V143" s="106">
        <f t="shared" si="77"/>
        <v>3.9690067974360175</v>
      </c>
      <c r="W143" s="106">
        <v>4594.3867743175706</v>
      </c>
      <c r="X143" s="106">
        <f t="shared" si="78"/>
        <v>3.6622275530882837</v>
      </c>
      <c r="Y143" s="118">
        <v>0</v>
      </c>
      <c r="Z143" s="118">
        <f t="shared" si="79"/>
        <v>0</v>
      </c>
      <c r="AA143" s="106">
        <v>88.9</v>
      </c>
      <c r="AB143" s="108">
        <f t="shared" si="101"/>
        <v>1.9489017609702137</v>
      </c>
      <c r="AC143" s="119">
        <v>34.9</v>
      </c>
      <c r="AD143" s="127">
        <f t="shared" si="102"/>
        <v>1.5428254269591799</v>
      </c>
      <c r="AE143" s="120">
        <v>42.817370475444001</v>
      </c>
      <c r="AF143" s="128">
        <f t="shared" si="103"/>
        <v>1.6316199926391717</v>
      </c>
      <c r="AG143" s="152">
        <v>0.19</v>
      </c>
      <c r="AH143" s="119">
        <f t="shared" si="80"/>
        <v>7.554696139253074E-2</v>
      </c>
      <c r="AI143" s="106">
        <v>18</v>
      </c>
      <c r="AJ143" s="108">
        <f t="shared" si="104"/>
        <v>1.255272505103306</v>
      </c>
      <c r="AK143" s="106">
        <f t="shared" si="81"/>
        <v>0</v>
      </c>
      <c r="AL143" s="106">
        <f t="shared" si="82"/>
        <v>0</v>
      </c>
      <c r="AM143" s="106">
        <f t="shared" si="83"/>
        <v>0</v>
      </c>
      <c r="AN143" s="106">
        <f t="shared" si="84"/>
        <v>0</v>
      </c>
      <c r="AO143" s="106">
        <f t="shared" si="85"/>
        <v>0</v>
      </c>
      <c r="AP143" s="106">
        <f t="shared" si="86"/>
        <v>0</v>
      </c>
      <c r="AQ143" s="106">
        <f t="shared" si="87"/>
        <v>0</v>
      </c>
      <c r="AR143" s="106">
        <f t="shared" si="88"/>
        <v>0</v>
      </c>
      <c r="AS143" s="106">
        <f t="shared" si="89"/>
        <v>0</v>
      </c>
      <c r="AT143" s="106">
        <f t="shared" si="90"/>
        <v>1</v>
      </c>
      <c r="AU143" s="106">
        <f t="shared" si="91"/>
        <v>0</v>
      </c>
      <c r="AV143" s="106">
        <f t="shared" si="92"/>
        <v>0</v>
      </c>
      <c r="AW143" s="106">
        <f t="shared" si="93"/>
        <v>0</v>
      </c>
      <c r="AX143" s="106">
        <f t="shared" si="94"/>
        <v>0</v>
      </c>
      <c r="AY143" s="106">
        <f t="shared" si="95"/>
        <v>0</v>
      </c>
      <c r="AZ143" s="106">
        <f t="shared" si="96"/>
        <v>0</v>
      </c>
      <c r="BA143" s="107">
        <f t="shared" si="97"/>
        <v>0</v>
      </c>
    </row>
    <row r="144" spans="1:53" x14ac:dyDescent="0.35">
      <c r="A144" s="146">
        <v>39332</v>
      </c>
      <c r="B144" s="108" t="s">
        <v>45</v>
      </c>
      <c r="C144" s="108" t="s">
        <v>102</v>
      </c>
      <c r="D144" s="84">
        <f t="shared" si="70"/>
        <v>0</v>
      </c>
      <c r="E144" s="108" t="s">
        <v>269</v>
      </c>
      <c r="F144" s="84">
        <f t="shared" si="71"/>
        <v>7</v>
      </c>
      <c r="G144" s="108">
        <v>7321030000</v>
      </c>
      <c r="H144" s="84">
        <f t="shared" si="72"/>
        <v>9.8645721865020803</v>
      </c>
      <c r="I144" s="146">
        <v>41035</v>
      </c>
      <c r="J144" s="108">
        <v>7541000000</v>
      </c>
      <c r="K144" s="148">
        <f t="shared" si="73"/>
        <v>4.6657534246575345</v>
      </c>
      <c r="L144" s="148">
        <f t="shared" si="98"/>
        <v>0.6689217835061263</v>
      </c>
      <c r="M144" s="108">
        <v>0</v>
      </c>
      <c r="N144" s="108">
        <f t="shared" si="74"/>
        <v>0</v>
      </c>
      <c r="O144" s="108">
        <v>68</v>
      </c>
      <c r="P144" s="108">
        <f t="shared" si="99"/>
        <v>1.8325089127062364</v>
      </c>
      <c r="Q144" s="65">
        <v>2.95</v>
      </c>
      <c r="R144" s="65">
        <f t="shared" si="100"/>
        <v>0.46982201597816303</v>
      </c>
      <c r="S144" s="155">
        <f t="shared" si="75"/>
        <v>3.0046318619101342E-2</v>
      </c>
      <c r="T144" s="127">
        <f t="shared" si="76"/>
        <v>1.285675428614004E-2</v>
      </c>
      <c r="U144" s="108">
        <v>1171.498</v>
      </c>
      <c r="V144" s="108">
        <f t="shared" si="77"/>
        <v>3.0687415514991745</v>
      </c>
      <c r="W144" s="108">
        <v>3386.1060000000002</v>
      </c>
      <c r="X144" s="108">
        <f t="shared" si="78"/>
        <v>3.5297005493117593</v>
      </c>
      <c r="Y144" s="126">
        <v>0</v>
      </c>
      <c r="Z144" s="126">
        <f t="shared" si="79"/>
        <v>0</v>
      </c>
      <c r="AA144" s="108">
        <v>91.4</v>
      </c>
      <c r="AB144" s="108">
        <f t="shared" si="101"/>
        <v>1.9609461957338314</v>
      </c>
      <c r="AC144" s="127">
        <v>26.7</v>
      </c>
      <c r="AD144" s="127">
        <f t="shared" si="102"/>
        <v>1.4265112613645752</v>
      </c>
      <c r="AE144" s="128">
        <v>37.425715444240403</v>
      </c>
      <c r="AF144" s="128">
        <f t="shared" si="103"/>
        <v>1.5731701112332821</v>
      </c>
      <c r="AG144" s="153">
        <v>0.46</v>
      </c>
      <c r="AH144" s="127">
        <f t="shared" si="80"/>
        <v>0.16435285578443709</v>
      </c>
      <c r="AI144" s="108">
        <v>9</v>
      </c>
      <c r="AJ144" s="108">
        <f t="shared" si="104"/>
        <v>0.95424250943932487</v>
      </c>
      <c r="AK144" s="108">
        <f t="shared" si="81"/>
        <v>0</v>
      </c>
      <c r="AL144" s="108">
        <f t="shared" si="82"/>
        <v>1</v>
      </c>
      <c r="AM144" s="108">
        <f t="shared" si="83"/>
        <v>0</v>
      </c>
      <c r="AN144" s="108">
        <f t="shared" si="84"/>
        <v>0</v>
      </c>
      <c r="AO144" s="108">
        <f t="shared" si="85"/>
        <v>0</v>
      </c>
      <c r="AP144" s="108">
        <f t="shared" si="86"/>
        <v>0</v>
      </c>
      <c r="AQ144" s="108">
        <f t="shared" si="87"/>
        <v>0</v>
      </c>
      <c r="AR144" s="108">
        <f t="shared" si="88"/>
        <v>0</v>
      </c>
      <c r="AS144" s="108">
        <f t="shared" si="89"/>
        <v>0</v>
      </c>
      <c r="AT144" s="108">
        <f t="shared" si="90"/>
        <v>0</v>
      </c>
      <c r="AU144" s="108">
        <f t="shared" si="91"/>
        <v>0</v>
      </c>
      <c r="AV144" s="108">
        <f t="shared" si="92"/>
        <v>0</v>
      </c>
      <c r="AW144" s="108">
        <f t="shared" si="93"/>
        <v>0</v>
      </c>
      <c r="AX144" s="108">
        <f t="shared" si="94"/>
        <v>0</v>
      </c>
      <c r="AY144" s="108">
        <f t="shared" si="95"/>
        <v>0</v>
      </c>
      <c r="AZ144" s="108">
        <f t="shared" si="96"/>
        <v>0</v>
      </c>
      <c r="BA144" s="109">
        <f t="shared" si="97"/>
        <v>0</v>
      </c>
    </row>
    <row r="145" spans="1:53" x14ac:dyDescent="0.35">
      <c r="A145" s="143">
        <v>39332</v>
      </c>
      <c r="B145" s="106" t="s">
        <v>59</v>
      </c>
      <c r="C145" s="106" t="s">
        <v>125</v>
      </c>
      <c r="D145" s="83">
        <f t="shared" si="70"/>
        <v>1</v>
      </c>
      <c r="E145" s="106" t="s">
        <v>245</v>
      </c>
      <c r="F145" s="83">
        <f t="shared" si="71"/>
        <v>6</v>
      </c>
      <c r="G145" s="106">
        <v>728676057</v>
      </c>
      <c r="H145" s="83">
        <f t="shared" si="72"/>
        <v>8.8625344996145241</v>
      </c>
      <c r="I145" s="143">
        <v>41499</v>
      </c>
      <c r="J145" s="106">
        <v>905298000</v>
      </c>
      <c r="K145" s="145">
        <f t="shared" si="73"/>
        <v>5.9369863013698634</v>
      </c>
      <c r="L145" s="148">
        <f t="shared" si="98"/>
        <v>0.77356604686334329</v>
      </c>
      <c r="M145" s="106">
        <v>5897.96</v>
      </c>
      <c r="N145" s="106">
        <f t="shared" si="74"/>
        <v>3.7707754512906644</v>
      </c>
      <c r="O145" s="106">
        <v>95</v>
      </c>
      <c r="P145" s="108">
        <f t="shared" si="99"/>
        <v>1.9777236052888478</v>
      </c>
      <c r="Q145" s="59">
        <v>2.3199999999999998</v>
      </c>
      <c r="R145" s="65">
        <f t="shared" si="100"/>
        <v>0.36548798489089962</v>
      </c>
      <c r="S145" s="154">
        <f t="shared" si="75"/>
        <v>0.24238746601221184</v>
      </c>
      <c r="T145" s="119">
        <f t="shared" si="76"/>
        <v>9.4257061306150067E-2</v>
      </c>
      <c r="U145" s="106">
        <v>1248.0746999999999</v>
      </c>
      <c r="V145" s="106">
        <f t="shared" si="77"/>
        <v>3.0962405795987471</v>
      </c>
      <c r="W145" s="106">
        <v>2518.2170000000001</v>
      </c>
      <c r="X145" s="106">
        <f t="shared" si="78"/>
        <v>3.4010931514437841</v>
      </c>
      <c r="Y145" s="118">
        <v>132</v>
      </c>
      <c r="Z145" s="118">
        <f t="shared" si="79"/>
        <v>2.1238516409670858</v>
      </c>
      <c r="AA145" s="106">
        <v>91.2</v>
      </c>
      <c r="AB145" s="108">
        <f t="shared" si="101"/>
        <v>1.9599948383284163</v>
      </c>
      <c r="AC145" s="119">
        <v>33</v>
      </c>
      <c r="AD145" s="127">
        <f t="shared" si="102"/>
        <v>1.5185139398778875</v>
      </c>
      <c r="AE145" s="120">
        <v>40.902544500539101</v>
      </c>
      <c r="AF145" s="128">
        <f t="shared" si="103"/>
        <v>1.6117503258110162</v>
      </c>
      <c r="AG145" s="152">
        <v>0.59</v>
      </c>
      <c r="AH145" s="119">
        <f t="shared" si="80"/>
        <v>0.20139712432045145</v>
      </c>
      <c r="AI145" s="106">
        <v>29</v>
      </c>
      <c r="AJ145" s="108">
        <f t="shared" si="104"/>
        <v>1.4623979978989561</v>
      </c>
      <c r="AK145" s="106">
        <f t="shared" si="81"/>
        <v>0</v>
      </c>
      <c r="AL145" s="106">
        <f t="shared" si="82"/>
        <v>0</v>
      </c>
      <c r="AM145" s="106">
        <f t="shared" si="83"/>
        <v>1</v>
      </c>
      <c r="AN145" s="106">
        <f t="shared" si="84"/>
        <v>0</v>
      </c>
      <c r="AO145" s="106">
        <f t="shared" si="85"/>
        <v>0</v>
      </c>
      <c r="AP145" s="106">
        <f t="shared" si="86"/>
        <v>0</v>
      </c>
      <c r="AQ145" s="106">
        <f t="shared" si="87"/>
        <v>0</v>
      </c>
      <c r="AR145" s="106">
        <f t="shared" si="88"/>
        <v>0</v>
      </c>
      <c r="AS145" s="106">
        <f t="shared" si="89"/>
        <v>0</v>
      </c>
      <c r="AT145" s="106">
        <f t="shared" si="90"/>
        <v>0</v>
      </c>
      <c r="AU145" s="106">
        <f t="shared" si="91"/>
        <v>0</v>
      </c>
      <c r="AV145" s="106">
        <f t="shared" si="92"/>
        <v>0</v>
      </c>
      <c r="AW145" s="106">
        <f t="shared" si="93"/>
        <v>0</v>
      </c>
      <c r="AX145" s="106">
        <f t="shared" si="94"/>
        <v>0</v>
      </c>
      <c r="AY145" s="106">
        <f t="shared" si="95"/>
        <v>0</v>
      </c>
      <c r="AZ145" s="106">
        <f t="shared" si="96"/>
        <v>0</v>
      </c>
      <c r="BA145" s="107">
        <f t="shared" si="97"/>
        <v>0</v>
      </c>
    </row>
    <row r="146" spans="1:53" x14ac:dyDescent="0.35">
      <c r="A146" s="146">
        <v>39335</v>
      </c>
      <c r="B146" s="108" t="s">
        <v>59</v>
      </c>
      <c r="C146" s="108" t="s">
        <v>47</v>
      </c>
      <c r="D146" s="84">
        <f t="shared" si="70"/>
        <v>0</v>
      </c>
      <c r="E146" s="108" t="s">
        <v>245</v>
      </c>
      <c r="F146" s="84">
        <f t="shared" si="71"/>
        <v>6</v>
      </c>
      <c r="G146" s="108">
        <v>6150000000</v>
      </c>
      <c r="H146" s="84">
        <f t="shared" si="72"/>
        <v>9.7888751157754168</v>
      </c>
      <c r="I146" s="146">
        <v>42482</v>
      </c>
      <c r="J146" s="108">
        <v>1479800000</v>
      </c>
      <c r="K146" s="148">
        <f t="shared" si="73"/>
        <v>8.6219178082191785</v>
      </c>
      <c r="L146" s="148">
        <f t="shared" si="98"/>
        <v>0.93560387845674564</v>
      </c>
      <c r="M146" s="108">
        <v>0</v>
      </c>
      <c r="N146" s="108">
        <f t="shared" si="74"/>
        <v>0</v>
      </c>
      <c r="O146" s="108">
        <v>48</v>
      </c>
      <c r="P146" s="108">
        <f t="shared" si="99"/>
        <v>1.6812412373755872</v>
      </c>
      <c r="Q146" s="65">
        <v>3.29</v>
      </c>
      <c r="R146" s="65">
        <f t="shared" si="100"/>
        <v>0.51719589794997434</v>
      </c>
      <c r="S146" s="155">
        <f t="shared" si="75"/>
        <v>-0.75938211382113818</v>
      </c>
      <c r="T146" s="127">
        <f t="shared" si="76"/>
        <v>-0.61867209278975244</v>
      </c>
      <c r="U146" s="108">
        <v>1861.76</v>
      </c>
      <c r="V146" s="108">
        <f t="shared" si="77"/>
        <v>3.2699236952309465</v>
      </c>
      <c r="W146" s="108">
        <v>4993.92</v>
      </c>
      <c r="X146" s="108">
        <f t="shared" si="78"/>
        <v>3.6984415808994222</v>
      </c>
      <c r="Y146" s="126">
        <v>0</v>
      </c>
      <c r="Z146" s="126">
        <f t="shared" si="79"/>
        <v>0</v>
      </c>
      <c r="AA146" s="108">
        <v>91.2</v>
      </c>
      <c r="AB146" s="108">
        <f t="shared" si="101"/>
        <v>1.9599948383284163</v>
      </c>
      <c r="AC146" s="127">
        <v>33</v>
      </c>
      <c r="AD146" s="127">
        <f t="shared" si="102"/>
        <v>1.5185139398778875</v>
      </c>
      <c r="AE146" s="128">
        <v>40.902544500539101</v>
      </c>
      <c r="AF146" s="128">
        <f t="shared" si="103"/>
        <v>1.6117503258110162</v>
      </c>
      <c r="AG146" s="153">
        <v>0.17</v>
      </c>
      <c r="AH146" s="127">
        <f t="shared" si="80"/>
        <v>6.8185861746161619E-2</v>
      </c>
      <c r="AI146" s="108">
        <v>23</v>
      </c>
      <c r="AJ146" s="108">
        <f t="shared" si="104"/>
        <v>1.3617278360175928</v>
      </c>
      <c r="AK146" s="108">
        <f t="shared" si="81"/>
        <v>0</v>
      </c>
      <c r="AL146" s="108">
        <f t="shared" si="82"/>
        <v>0</v>
      </c>
      <c r="AM146" s="108">
        <f t="shared" si="83"/>
        <v>1</v>
      </c>
      <c r="AN146" s="108">
        <f t="shared" si="84"/>
        <v>0</v>
      </c>
      <c r="AO146" s="108">
        <f t="shared" si="85"/>
        <v>0</v>
      </c>
      <c r="AP146" s="108">
        <f t="shared" si="86"/>
        <v>0</v>
      </c>
      <c r="AQ146" s="108">
        <f t="shared" si="87"/>
        <v>0</v>
      </c>
      <c r="AR146" s="108">
        <f t="shared" si="88"/>
        <v>0</v>
      </c>
      <c r="AS146" s="108">
        <f t="shared" si="89"/>
        <v>0</v>
      </c>
      <c r="AT146" s="108">
        <f t="shared" si="90"/>
        <v>0</v>
      </c>
      <c r="AU146" s="108">
        <f t="shared" si="91"/>
        <v>0</v>
      </c>
      <c r="AV146" s="108">
        <f t="shared" si="92"/>
        <v>0</v>
      </c>
      <c r="AW146" s="108">
        <f t="shared" si="93"/>
        <v>0</v>
      </c>
      <c r="AX146" s="108">
        <f t="shared" si="94"/>
        <v>0</v>
      </c>
      <c r="AY146" s="108">
        <f t="shared" si="95"/>
        <v>0</v>
      </c>
      <c r="AZ146" s="108">
        <f t="shared" si="96"/>
        <v>0</v>
      </c>
      <c r="BA146" s="109">
        <f t="shared" si="97"/>
        <v>0</v>
      </c>
    </row>
    <row r="147" spans="1:53" x14ac:dyDescent="0.35">
      <c r="A147" s="143">
        <v>39350</v>
      </c>
      <c r="B147" s="106" t="s">
        <v>59</v>
      </c>
      <c r="C147" s="106" t="s">
        <v>47</v>
      </c>
      <c r="D147" s="83">
        <f t="shared" si="70"/>
        <v>0</v>
      </c>
      <c r="E147" s="106" t="s">
        <v>190</v>
      </c>
      <c r="F147" s="83">
        <f t="shared" si="71"/>
        <v>2</v>
      </c>
      <c r="G147" s="106">
        <v>122500000</v>
      </c>
      <c r="H147" s="83">
        <f t="shared" si="72"/>
        <v>8.0881360887005513</v>
      </c>
      <c r="I147" s="143">
        <v>41364</v>
      </c>
      <c r="J147" s="106">
        <v>218910000</v>
      </c>
      <c r="K147" s="145">
        <f t="shared" si="73"/>
        <v>5.5178082191780824</v>
      </c>
      <c r="L147" s="148">
        <f t="shared" si="98"/>
        <v>0.74176660176112452</v>
      </c>
      <c r="M147" s="106">
        <v>0</v>
      </c>
      <c r="N147" s="106">
        <f t="shared" si="74"/>
        <v>0</v>
      </c>
      <c r="O147" s="106">
        <v>11</v>
      </c>
      <c r="P147" s="108">
        <f t="shared" si="99"/>
        <v>1.0413926851582251</v>
      </c>
      <c r="Q147" s="59">
        <v>3.29</v>
      </c>
      <c r="R147" s="65">
        <f t="shared" si="100"/>
        <v>0.51719589794997434</v>
      </c>
      <c r="S147" s="154">
        <f t="shared" si="75"/>
        <v>0.78702040816326524</v>
      </c>
      <c r="T147" s="119">
        <f t="shared" si="76"/>
        <v>0.2521295122717786</v>
      </c>
      <c r="U147" s="106">
        <v>3425.6694367497698</v>
      </c>
      <c r="V147" s="106">
        <f t="shared" si="77"/>
        <v>3.5347454529897258</v>
      </c>
      <c r="W147" s="106">
        <v>9322.8685749461365</v>
      </c>
      <c r="X147" s="106">
        <f t="shared" si="78"/>
        <v>3.9695495619878729</v>
      </c>
      <c r="Y147" s="118">
        <v>0</v>
      </c>
      <c r="Z147" s="118">
        <f t="shared" si="79"/>
        <v>0</v>
      </c>
      <c r="AA147" s="106">
        <v>91.2</v>
      </c>
      <c r="AB147" s="108">
        <f t="shared" si="101"/>
        <v>1.9599948383284163</v>
      </c>
      <c r="AC147" s="119">
        <v>33</v>
      </c>
      <c r="AD147" s="127">
        <f t="shared" si="102"/>
        <v>1.5185139398778875</v>
      </c>
      <c r="AE147" s="120">
        <v>40.902544500539101</v>
      </c>
      <c r="AF147" s="128">
        <f t="shared" si="103"/>
        <v>1.6117503258110162</v>
      </c>
      <c r="AG147" s="152">
        <v>0.77</v>
      </c>
      <c r="AH147" s="119">
        <f t="shared" si="80"/>
        <v>0.24797326636180664</v>
      </c>
      <c r="AI147" s="106">
        <v>2</v>
      </c>
      <c r="AJ147" s="108">
        <f t="shared" si="104"/>
        <v>0.3010299956639812</v>
      </c>
      <c r="AK147" s="106">
        <f t="shared" si="81"/>
        <v>0</v>
      </c>
      <c r="AL147" s="106">
        <f t="shared" si="82"/>
        <v>0</v>
      </c>
      <c r="AM147" s="106">
        <f t="shared" si="83"/>
        <v>1</v>
      </c>
      <c r="AN147" s="106">
        <f t="shared" si="84"/>
        <v>0</v>
      </c>
      <c r="AO147" s="106">
        <f t="shared" si="85"/>
        <v>0</v>
      </c>
      <c r="AP147" s="106">
        <f t="shared" si="86"/>
        <v>0</v>
      </c>
      <c r="AQ147" s="106">
        <f t="shared" si="87"/>
        <v>0</v>
      </c>
      <c r="AR147" s="106">
        <f t="shared" si="88"/>
        <v>0</v>
      </c>
      <c r="AS147" s="106">
        <f t="shared" si="89"/>
        <v>0</v>
      </c>
      <c r="AT147" s="106">
        <f t="shared" si="90"/>
        <v>0</v>
      </c>
      <c r="AU147" s="106">
        <f t="shared" si="91"/>
        <v>0</v>
      </c>
      <c r="AV147" s="106">
        <f t="shared" si="92"/>
        <v>0</v>
      </c>
      <c r="AW147" s="106">
        <f t="shared" si="93"/>
        <v>0</v>
      </c>
      <c r="AX147" s="106">
        <f t="shared" si="94"/>
        <v>0</v>
      </c>
      <c r="AY147" s="106">
        <f t="shared" si="95"/>
        <v>0</v>
      </c>
      <c r="AZ147" s="106">
        <f t="shared" si="96"/>
        <v>0</v>
      </c>
      <c r="BA147" s="107">
        <f t="shared" si="97"/>
        <v>0</v>
      </c>
    </row>
    <row r="148" spans="1:53" x14ac:dyDescent="0.35">
      <c r="A148" s="146">
        <v>39351</v>
      </c>
      <c r="B148" s="108" t="s">
        <v>45</v>
      </c>
      <c r="C148" s="108" t="s">
        <v>102</v>
      </c>
      <c r="D148" s="84">
        <f t="shared" si="70"/>
        <v>0</v>
      </c>
      <c r="E148" s="108" t="s">
        <v>190</v>
      </c>
      <c r="F148" s="84">
        <f t="shared" si="71"/>
        <v>2</v>
      </c>
      <c r="G148" s="108">
        <v>11426960000</v>
      </c>
      <c r="H148" s="84">
        <f t="shared" si="72"/>
        <v>10.057930707138228</v>
      </c>
      <c r="I148" s="146">
        <v>42179</v>
      </c>
      <c r="J148" s="108">
        <v>13350000000</v>
      </c>
      <c r="K148" s="148">
        <f t="shared" si="73"/>
        <v>7.7479452054794518</v>
      </c>
      <c r="L148" s="148">
        <f t="shared" si="98"/>
        <v>0.88918654066838709</v>
      </c>
      <c r="M148" s="108">
        <v>0</v>
      </c>
      <c r="N148" s="108">
        <f t="shared" si="74"/>
        <v>0</v>
      </c>
      <c r="O148" s="108">
        <v>30</v>
      </c>
      <c r="P148" s="108">
        <f t="shared" si="99"/>
        <v>1.4771212547196624</v>
      </c>
      <c r="Q148" s="65">
        <v>2.95</v>
      </c>
      <c r="R148" s="65">
        <f t="shared" si="100"/>
        <v>0.46982201597816303</v>
      </c>
      <c r="S148" s="155">
        <f t="shared" si="75"/>
        <v>0.16828972885176818</v>
      </c>
      <c r="T148" s="127">
        <f t="shared" si="76"/>
        <v>6.7550558562365803E-2</v>
      </c>
      <c r="U148" s="108">
        <v>1171.498</v>
      </c>
      <c r="V148" s="108">
        <f t="shared" si="77"/>
        <v>3.0687415514991745</v>
      </c>
      <c r="W148" s="108">
        <v>3386.1060000000002</v>
      </c>
      <c r="X148" s="108">
        <f t="shared" si="78"/>
        <v>3.5297005493117593</v>
      </c>
      <c r="Y148" s="126">
        <v>0</v>
      </c>
      <c r="Z148" s="126">
        <f t="shared" si="79"/>
        <v>0</v>
      </c>
      <c r="AA148" s="108">
        <v>91.4</v>
      </c>
      <c r="AB148" s="108">
        <f t="shared" si="101"/>
        <v>1.9609461957338314</v>
      </c>
      <c r="AC148" s="127">
        <v>26.7</v>
      </c>
      <c r="AD148" s="127">
        <f t="shared" si="102"/>
        <v>1.4265112613645752</v>
      </c>
      <c r="AE148" s="128">
        <v>37.425715444240403</v>
      </c>
      <c r="AF148" s="128">
        <f t="shared" si="103"/>
        <v>1.5731701112332821</v>
      </c>
      <c r="AG148" s="153">
        <v>0.38</v>
      </c>
      <c r="AH148" s="127">
        <f t="shared" si="80"/>
        <v>0.13987908640123647</v>
      </c>
      <c r="AI148" s="108">
        <v>1</v>
      </c>
      <c r="AJ148" s="108">
        <f t="shared" si="104"/>
        <v>0</v>
      </c>
      <c r="AK148" s="108">
        <f t="shared" si="81"/>
        <v>0</v>
      </c>
      <c r="AL148" s="108">
        <f t="shared" si="82"/>
        <v>1</v>
      </c>
      <c r="AM148" s="108">
        <f t="shared" si="83"/>
        <v>0</v>
      </c>
      <c r="AN148" s="108">
        <f t="shared" si="84"/>
        <v>0</v>
      </c>
      <c r="AO148" s="108">
        <f t="shared" si="85"/>
        <v>0</v>
      </c>
      <c r="AP148" s="108">
        <f t="shared" si="86"/>
        <v>0</v>
      </c>
      <c r="AQ148" s="108">
        <f t="shared" si="87"/>
        <v>0</v>
      </c>
      <c r="AR148" s="108">
        <f t="shared" si="88"/>
        <v>0</v>
      </c>
      <c r="AS148" s="108">
        <f t="shared" si="89"/>
        <v>0</v>
      </c>
      <c r="AT148" s="108">
        <f t="shared" si="90"/>
        <v>0</v>
      </c>
      <c r="AU148" s="108">
        <f t="shared" si="91"/>
        <v>0</v>
      </c>
      <c r="AV148" s="108">
        <f t="shared" si="92"/>
        <v>0</v>
      </c>
      <c r="AW148" s="108">
        <f t="shared" si="93"/>
        <v>0</v>
      </c>
      <c r="AX148" s="108">
        <f t="shared" si="94"/>
        <v>0</v>
      </c>
      <c r="AY148" s="108">
        <f t="shared" si="95"/>
        <v>0</v>
      </c>
      <c r="AZ148" s="108">
        <f t="shared" si="96"/>
        <v>0</v>
      </c>
      <c r="BA148" s="109">
        <f t="shared" si="97"/>
        <v>0</v>
      </c>
    </row>
    <row r="149" spans="1:53" x14ac:dyDescent="0.35">
      <c r="A149" s="143">
        <v>39351</v>
      </c>
      <c r="B149" s="106" t="s">
        <v>45</v>
      </c>
      <c r="C149" s="106" t="s">
        <v>47</v>
      </c>
      <c r="D149" s="83">
        <f t="shared" si="70"/>
        <v>0</v>
      </c>
      <c r="E149" s="106" t="s">
        <v>190</v>
      </c>
      <c r="F149" s="83">
        <f t="shared" si="71"/>
        <v>2</v>
      </c>
      <c r="G149" s="106">
        <v>11426960000</v>
      </c>
      <c r="H149" s="83">
        <f t="shared" si="72"/>
        <v>10.057930707138228</v>
      </c>
      <c r="I149" s="143">
        <v>42179</v>
      </c>
      <c r="J149" s="106">
        <v>13350000000</v>
      </c>
      <c r="K149" s="145">
        <f t="shared" si="73"/>
        <v>7.7479452054794518</v>
      </c>
      <c r="L149" s="148">
        <f t="shared" si="98"/>
        <v>0.88918654066838709</v>
      </c>
      <c r="M149" s="106">
        <v>0</v>
      </c>
      <c r="N149" s="106">
        <f t="shared" si="74"/>
        <v>0</v>
      </c>
      <c r="O149" s="106">
        <v>30</v>
      </c>
      <c r="P149" s="108">
        <f t="shared" si="99"/>
        <v>1.4771212547196624</v>
      </c>
      <c r="Q149" s="59">
        <v>2.95</v>
      </c>
      <c r="R149" s="65">
        <f t="shared" si="100"/>
        <v>0.46982201597816303</v>
      </c>
      <c r="S149" s="154">
        <f t="shared" si="75"/>
        <v>0.16828972885176818</v>
      </c>
      <c r="T149" s="119">
        <f t="shared" si="76"/>
        <v>6.7550558562365803E-2</v>
      </c>
      <c r="U149" s="106">
        <v>1455.046</v>
      </c>
      <c r="V149" s="106">
        <f t="shared" si="77"/>
        <v>3.1628767233771686</v>
      </c>
      <c r="W149" s="106">
        <v>4062.5129999999999</v>
      </c>
      <c r="X149" s="106">
        <f t="shared" si="78"/>
        <v>3.6087947637270492</v>
      </c>
      <c r="Y149" s="106">
        <v>0</v>
      </c>
      <c r="Z149" s="118">
        <f t="shared" si="79"/>
        <v>0</v>
      </c>
      <c r="AA149" s="106">
        <v>91.4</v>
      </c>
      <c r="AB149" s="108">
        <f t="shared" si="101"/>
        <v>1.9609461957338314</v>
      </c>
      <c r="AC149" s="119">
        <v>26.7</v>
      </c>
      <c r="AD149" s="127">
        <f t="shared" si="102"/>
        <v>1.4265112613645752</v>
      </c>
      <c r="AE149" s="120">
        <v>37.425715444240403</v>
      </c>
      <c r="AF149" s="128">
        <f t="shared" si="103"/>
        <v>1.5731701112332821</v>
      </c>
      <c r="AG149" s="152">
        <v>0.32</v>
      </c>
      <c r="AH149" s="119">
        <f t="shared" si="80"/>
        <v>0.12057393120584989</v>
      </c>
      <c r="AI149" s="106">
        <v>3</v>
      </c>
      <c r="AJ149" s="108">
        <f t="shared" si="104"/>
        <v>0.47712125471966244</v>
      </c>
      <c r="AK149" s="106">
        <f t="shared" si="81"/>
        <v>0</v>
      </c>
      <c r="AL149" s="106">
        <f t="shared" si="82"/>
        <v>1</v>
      </c>
      <c r="AM149" s="106">
        <f t="shared" si="83"/>
        <v>0</v>
      </c>
      <c r="AN149" s="106">
        <f t="shared" si="84"/>
        <v>0</v>
      </c>
      <c r="AO149" s="106">
        <f t="shared" si="85"/>
        <v>0</v>
      </c>
      <c r="AP149" s="106">
        <f t="shared" si="86"/>
        <v>0</v>
      </c>
      <c r="AQ149" s="106">
        <f t="shared" si="87"/>
        <v>0</v>
      </c>
      <c r="AR149" s="106">
        <f t="shared" si="88"/>
        <v>0</v>
      </c>
      <c r="AS149" s="106">
        <f t="shared" si="89"/>
        <v>0</v>
      </c>
      <c r="AT149" s="106">
        <f t="shared" si="90"/>
        <v>0</v>
      </c>
      <c r="AU149" s="106">
        <f t="shared" si="91"/>
        <v>0</v>
      </c>
      <c r="AV149" s="106">
        <f t="shared" si="92"/>
        <v>0</v>
      </c>
      <c r="AW149" s="106">
        <f t="shared" si="93"/>
        <v>0</v>
      </c>
      <c r="AX149" s="106">
        <f t="shared" si="94"/>
        <v>0</v>
      </c>
      <c r="AY149" s="106">
        <f t="shared" si="95"/>
        <v>0</v>
      </c>
      <c r="AZ149" s="106">
        <f t="shared" si="96"/>
        <v>0</v>
      </c>
      <c r="BA149" s="107">
        <f t="shared" si="97"/>
        <v>0</v>
      </c>
    </row>
    <row r="150" spans="1:53" x14ac:dyDescent="0.35">
      <c r="A150" s="146">
        <v>39351</v>
      </c>
      <c r="B150" s="108" t="s">
        <v>45</v>
      </c>
      <c r="C150" s="108" t="s">
        <v>47</v>
      </c>
      <c r="D150" s="84">
        <f t="shared" si="70"/>
        <v>0</v>
      </c>
      <c r="E150" s="108" t="s">
        <v>190</v>
      </c>
      <c r="F150" s="84">
        <f t="shared" si="71"/>
        <v>2</v>
      </c>
      <c r="G150" s="108">
        <v>11400000000</v>
      </c>
      <c r="H150" s="84">
        <f t="shared" si="72"/>
        <v>10.056904851336473</v>
      </c>
      <c r="I150" s="146">
        <v>42179</v>
      </c>
      <c r="J150" s="108">
        <v>13350000000</v>
      </c>
      <c r="K150" s="148">
        <f t="shared" si="73"/>
        <v>7.7479452054794518</v>
      </c>
      <c r="L150" s="148">
        <f t="shared" si="98"/>
        <v>0.88918654066838709</v>
      </c>
      <c r="M150" s="108">
        <v>0</v>
      </c>
      <c r="N150" s="108">
        <f t="shared" si="74"/>
        <v>0</v>
      </c>
      <c r="O150" s="108">
        <v>30</v>
      </c>
      <c r="P150" s="108">
        <f t="shared" si="99"/>
        <v>1.4771212547196624</v>
      </c>
      <c r="Q150" s="65">
        <v>2.95</v>
      </c>
      <c r="R150" s="65">
        <f t="shared" si="100"/>
        <v>0.46982201597816303</v>
      </c>
      <c r="S150" s="155">
        <f t="shared" si="75"/>
        <v>0.17105263157894735</v>
      </c>
      <c r="T150" s="127">
        <f t="shared" si="76"/>
        <v>6.857641436412143E-2</v>
      </c>
      <c r="U150" s="108">
        <v>2315.9650000000001</v>
      </c>
      <c r="V150" s="108">
        <f t="shared" si="77"/>
        <v>3.3647319918335836</v>
      </c>
      <c r="W150" s="108">
        <v>3703.9029999999998</v>
      </c>
      <c r="X150" s="108">
        <f t="shared" si="78"/>
        <v>3.568659604598353</v>
      </c>
      <c r="Y150" s="108">
        <v>0</v>
      </c>
      <c r="Z150" s="126">
        <f t="shared" si="79"/>
        <v>0</v>
      </c>
      <c r="AA150" s="108">
        <v>91.4</v>
      </c>
      <c r="AB150" s="108">
        <f t="shared" si="101"/>
        <v>1.9609461957338314</v>
      </c>
      <c r="AC150" s="127">
        <v>26.7</v>
      </c>
      <c r="AD150" s="127">
        <f t="shared" si="102"/>
        <v>1.4265112613645752</v>
      </c>
      <c r="AE150" s="128">
        <v>37.425715444240403</v>
      </c>
      <c r="AF150" s="128">
        <f t="shared" si="103"/>
        <v>1.5731701112332821</v>
      </c>
      <c r="AG150" s="153">
        <v>0.69</v>
      </c>
      <c r="AH150" s="127">
        <f t="shared" si="80"/>
        <v>0.22788670461367352</v>
      </c>
      <c r="AI150" s="108">
        <v>21</v>
      </c>
      <c r="AJ150" s="108">
        <f t="shared" si="104"/>
        <v>1.3222192947339193</v>
      </c>
      <c r="AK150" s="108">
        <f t="shared" si="81"/>
        <v>0</v>
      </c>
      <c r="AL150" s="108">
        <f t="shared" si="82"/>
        <v>1</v>
      </c>
      <c r="AM150" s="108">
        <f t="shared" si="83"/>
        <v>0</v>
      </c>
      <c r="AN150" s="108">
        <f t="shared" si="84"/>
        <v>0</v>
      </c>
      <c r="AO150" s="108">
        <f t="shared" si="85"/>
        <v>0</v>
      </c>
      <c r="AP150" s="108">
        <f t="shared" si="86"/>
        <v>0</v>
      </c>
      <c r="AQ150" s="108">
        <f t="shared" si="87"/>
        <v>0</v>
      </c>
      <c r="AR150" s="108">
        <f t="shared" si="88"/>
        <v>0</v>
      </c>
      <c r="AS150" s="108">
        <f t="shared" si="89"/>
        <v>0</v>
      </c>
      <c r="AT150" s="108">
        <f t="shared" si="90"/>
        <v>0</v>
      </c>
      <c r="AU150" s="108">
        <f t="shared" si="91"/>
        <v>0</v>
      </c>
      <c r="AV150" s="108">
        <f t="shared" si="92"/>
        <v>0</v>
      </c>
      <c r="AW150" s="108">
        <f t="shared" si="93"/>
        <v>0</v>
      </c>
      <c r="AX150" s="108">
        <f t="shared" si="94"/>
        <v>0</v>
      </c>
      <c r="AY150" s="108">
        <f t="shared" si="95"/>
        <v>0</v>
      </c>
      <c r="AZ150" s="108">
        <f t="shared" si="96"/>
        <v>0</v>
      </c>
      <c r="BA150" s="109">
        <f t="shared" si="97"/>
        <v>0</v>
      </c>
    </row>
    <row r="151" spans="1:53" x14ac:dyDescent="0.35">
      <c r="A151" s="143">
        <v>39360</v>
      </c>
      <c r="B151" s="106" t="s">
        <v>2</v>
      </c>
      <c r="C151" s="106" t="s">
        <v>64</v>
      </c>
      <c r="D151" s="83">
        <f t="shared" si="70"/>
        <v>1</v>
      </c>
      <c r="E151" s="106" t="s">
        <v>248</v>
      </c>
      <c r="F151" s="83">
        <f t="shared" si="71"/>
        <v>5</v>
      </c>
      <c r="G151" s="106">
        <v>1000000000</v>
      </c>
      <c r="H151" s="83">
        <f t="shared" si="72"/>
        <v>9</v>
      </c>
      <c r="I151" s="143">
        <v>40709</v>
      </c>
      <c r="J151" s="106">
        <v>400000000</v>
      </c>
      <c r="K151" s="145">
        <f t="shared" si="73"/>
        <v>3.6958904109589041</v>
      </c>
      <c r="L151" s="148">
        <f t="shared" si="98"/>
        <v>0.56771908521542958</v>
      </c>
      <c r="M151" s="106">
        <v>917.19</v>
      </c>
      <c r="N151" s="106">
        <f t="shared" si="74"/>
        <v>2.9629325585580042</v>
      </c>
      <c r="O151" s="106">
        <v>28</v>
      </c>
      <c r="P151" s="108">
        <f t="shared" si="99"/>
        <v>1.4471580313422192</v>
      </c>
      <c r="Q151" s="59">
        <v>2.62</v>
      </c>
      <c r="R151" s="65">
        <f t="shared" si="100"/>
        <v>0.41830129131974547</v>
      </c>
      <c r="S151" s="154">
        <f t="shared" si="75"/>
        <v>-0.6</v>
      </c>
      <c r="T151" s="119">
        <f t="shared" si="76"/>
        <v>-0.3979400086720376</v>
      </c>
      <c r="U151" s="106">
        <v>1669.0315179326171</v>
      </c>
      <c r="V151" s="106">
        <f t="shared" si="77"/>
        <v>3.22246453795844</v>
      </c>
      <c r="W151" s="106">
        <v>5094.7953145755328</v>
      </c>
      <c r="X151" s="106">
        <f t="shared" si="78"/>
        <v>3.7071267407396937</v>
      </c>
      <c r="Y151" s="118">
        <v>854.66666666666697</v>
      </c>
      <c r="Z151" s="118">
        <f t="shared" si="79"/>
        <v>2.9323046139517812</v>
      </c>
      <c r="AA151" s="106">
        <v>88.9</v>
      </c>
      <c r="AB151" s="108">
        <f t="shared" si="101"/>
        <v>1.9489017609702137</v>
      </c>
      <c r="AC151" s="119">
        <v>34.9</v>
      </c>
      <c r="AD151" s="127">
        <f t="shared" si="102"/>
        <v>1.5428254269591799</v>
      </c>
      <c r="AE151" s="120">
        <v>42.817370475444001</v>
      </c>
      <c r="AF151" s="128">
        <f t="shared" si="103"/>
        <v>1.6316199926391717</v>
      </c>
      <c r="AG151" s="152">
        <v>-0.03</v>
      </c>
      <c r="AH151" s="119">
        <f t="shared" si="80"/>
        <v>-1.322826573375516E-2</v>
      </c>
      <c r="AI151" s="106">
        <v>15</v>
      </c>
      <c r="AJ151" s="108">
        <f t="shared" si="104"/>
        <v>1.1760912590556813</v>
      </c>
      <c r="AK151" s="106">
        <f t="shared" si="81"/>
        <v>0</v>
      </c>
      <c r="AL151" s="106">
        <f t="shared" si="82"/>
        <v>0</v>
      </c>
      <c r="AM151" s="106">
        <f t="shared" si="83"/>
        <v>0</v>
      </c>
      <c r="AN151" s="106">
        <f t="shared" si="84"/>
        <v>0</v>
      </c>
      <c r="AO151" s="106">
        <f t="shared" si="85"/>
        <v>0</v>
      </c>
      <c r="AP151" s="106">
        <f t="shared" si="86"/>
        <v>0</v>
      </c>
      <c r="AQ151" s="106">
        <f t="shared" si="87"/>
        <v>0</v>
      </c>
      <c r="AR151" s="106">
        <f t="shared" si="88"/>
        <v>0</v>
      </c>
      <c r="AS151" s="106">
        <f t="shared" si="89"/>
        <v>0</v>
      </c>
      <c r="AT151" s="106">
        <f t="shared" si="90"/>
        <v>1</v>
      </c>
      <c r="AU151" s="106">
        <f t="shared" si="91"/>
        <v>0</v>
      </c>
      <c r="AV151" s="106">
        <f t="shared" si="92"/>
        <v>0</v>
      </c>
      <c r="AW151" s="106">
        <f t="shared" si="93"/>
        <v>0</v>
      </c>
      <c r="AX151" s="106">
        <f t="shared" si="94"/>
        <v>0</v>
      </c>
      <c r="AY151" s="106">
        <f t="shared" si="95"/>
        <v>0</v>
      </c>
      <c r="AZ151" s="106">
        <f t="shared" si="96"/>
        <v>0</v>
      </c>
      <c r="BA151" s="107">
        <f t="shared" si="97"/>
        <v>0</v>
      </c>
    </row>
    <row r="152" spans="1:53" x14ac:dyDescent="0.35">
      <c r="A152" s="146">
        <v>39363</v>
      </c>
      <c r="B152" s="108" t="s">
        <v>4</v>
      </c>
      <c r="C152" s="108" t="s">
        <v>125</v>
      </c>
      <c r="D152" s="84">
        <f t="shared" si="70"/>
        <v>1</v>
      </c>
      <c r="E152" s="108" t="s">
        <v>248</v>
      </c>
      <c r="F152" s="84">
        <f t="shared" si="71"/>
        <v>5</v>
      </c>
      <c r="G152" s="108">
        <v>360000000</v>
      </c>
      <c r="H152" s="84">
        <f t="shared" si="72"/>
        <v>8.5563025007672877</v>
      </c>
      <c r="I152" s="146">
        <v>41053</v>
      </c>
      <c r="J152" s="108">
        <v>1000000000</v>
      </c>
      <c r="K152" s="148">
        <f t="shared" si="73"/>
        <v>4.6301369863013697</v>
      </c>
      <c r="L152" s="148">
        <f t="shared" si="98"/>
        <v>0.6655938401571988</v>
      </c>
      <c r="M152" s="108">
        <v>1433.25</v>
      </c>
      <c r="N152" s="108">
        <f t="shared" si="74"/>
        <v>3.1566248585544785</v>
      </c>
      <c r="O152" s="108">
        <v>27</v>
      </c>
      <c r="P152" s="108">
        <f t="shared" si="99"/>
        <v>1.4313637641589874</v>
      </c>
      <c r="Q152" s="65">
        <v>3.03</v>
      </c>
      <c r="R152" s="65">
        <f t="shared" si="100"/>
        <v>0.48144262850230496</v>
      </c>
      <c r="S152" s="155">
        <f t="shared" si="75"/>
        <v>1.7777777777777777</v>
      </c>
      <c r="T152" s="127">
        <f t="shared" si="76"/>
        <v>0.44369749923271273</v>
      </c>
      <c r="U152" s="108">
        <v>2094.0408163265306</v>
      </c>
      <c r="V152" s="108">
        <f t="shared" si="77"/>
        <v>3.3209851425446502</v>
      </c>
      <c r="W152" s="108">
        <v>9886.3673469387759</v>
      </c>
      <c r="X152" s="108">
        <f t="shared" si="78"/>
        <v>3.9950367434689285</v>
      </c>
      <c r="Y152" s="126">
        <v>697</v>
      </c>
      <c r="Z152" s="126">
        <f t="shared" si="79"/>
        <v>2.8438554226231609</v>
      </c>
      <c r="AA152" s="108">
        <v>94.2</v>
      </c>
      <c r="AB152" s="108">
        <f t="shared" si="101"/>
        <v>1.9740509027928774</v>
      </c>
      <c r="AC152" s="127">
        <v>45</v>
      </c>
      <c r="AD152" s="127">
        <f t="shared" si="102"/>
        <v>1.6532125137753437</v>
      </c>
      <c r="AE152" s="128">
        <v>49.278563385512697</v>
      </c>
      <c r="AF152" s="128">
        <f t="shared" si="103"/>
        <v>1.6926580383844774</v>
      </c>
      <c r="AG152" s="153">
        <v>0.18</v>
      </c>
      <c r="AH152" s="127">
        <f t="shared" si="80"/>
        <v>7.1882007306125359E-2</v>
      </c>
      <c r="AI152" s="108">
        <v>13</v>
      </c>
      <c r="AJ152" s="108">
        <f t="shared" si="104"/>
        <v>1.1139433523068367</v>
      </c>
      <c r="AK152" s="108">
        <f t="shared" si="81"/>
        <v>0</v>
      </c>
      <c r="AL152" s="108">
        <f t="shared" si="82"/>
        <v>0</v>
      </c>
      <c r="AM152" s="108">
        <f t="shared" si="83"/>
        <v>0</v>
      </c>
      <c r="AN152" s="108">
        <f t="shared" si="84"/>
        <v>0</v>
      </c>
      <c r="AO152" s="108">
        <f t="shared" si="85"/>
        <v>0</v>
      </c>
      <c r="AP152" s="108">
        <f t="shared" si="86"/>
        <v>1</v>
      </c>
      <c r="AQ152" s="108">
        <f t="shared" si="87"/>
        <v>0</v>
      </c>
      <c r="AR152" s="108">
        <f t="shared" si="88"/>
        <v>0</v>
      </c>
      <c r="AS152" s="108">
        <f t="shared" si="89"/>
        <v>0</v>
      </c>
      <c r="AT152" s="108">
        <f t="shared" si="90"/>
        <v>0</v>
      </c>
      <c r="AU152" s="108">
        <f t="shared" si="91"/>
        <v>0</v>
      </c>
      <c r="AV152" s="108">
        <f t="shared" si="92"/>
        <v>0</v>
      </c>
      <c r="AW152" s="108">
        <f t="shared" si="93"/>
        <v>0</v>
      </c>
      <c r="AX152" s="108">
        <f t="shared" si="94"/>
        <v>0</v>
      </c>
      <c r="AY152" s="108">
        <f t="shared" si="95"/>
        <v>0</v>
      </c>
      <c r="AZ152" s="108">
        <f t="shared" si="96"/>
        <v>0</v>
      </c>
      <c r="BA152" s="109">
        <f t="shared" si="97"/>
        <v>0</v>
      </c>
    </row>
    <row r="153" spans="1:53" x14ac:dyDescent="0.35">
      <c r="A153" s="143">
        <v>39366</v>
      </c>
      <c r="B153" s="106" t="s">
        <v>45</v>
      </c>
      <c r="C153" s="106" t="s">
        <v>47</v>
      </c>
      <c r="D153" s="83">
        <f t="shared" si="70"/>
        <v>0</v>
      </c>
      <c r="E153" s="106" t="s">
        <v>279</v>
      </c>
      <c r="F153" s="83">
        <f t="shared" si="71"/>
        <v>10</v>
      </c>
      <c r="G153" s="106">
        <v>48405150000</v>
      </c>
      <c r="H153" s="83">
        <f t="shared" si="72"/>
        <v>10.684891570272443</v>
      </c>
      <c r="I153" s="143">
        <v>42967</v>
      </c>
      <c r="J153" s="106">
        <v>18800000000</v>
      </c>
      <c r="K153" s="145">
        <f t="shared" si="73"/>
        <v>9.8657534246575338</v>
      </c>
      <c r="L153" s="148">
        <f t="shared" si="98"/>
        <v>0.99413025691481061</v>
      </c>
      <c r="M153" s="106">
        <v>0</v>
      </c>
      <c r="N153" s="106">
        <f t="shared" si="74"/>
        <v>0</v>
      </c>
      <c r="O153" s="106">
        <v>95</v>
      </c>
      <c r="P153" s="108">
        <f t="shared" si="99"/>
        <v>1.9777236052888478</v>
      </c>
      <c r="Q153" s="59">
        <v>2.95</v>
      </c>
      <c r="R153" s="65">
        <f t="shared" si="100"/>
        <v>0.46982201597816303</v>
      </c>
      <c r="S153" s="154">
        <f t="shared" si="75"/>
        <v>-0.61161157438826241</v>
      </c>
      <c r="T153" s="119">
        <f t="shared" si="76"/>
        <v>-0.41073372100876349</v>
      </c>
      <c r="U153" s="106">
        <v>1455.046</v>
      </c>
      <c r="V153" s="106">
        <f t="shared" si="77"/>
        <v>3.1628767233771686</v>
      </c>
      <c r="W153" s="106">
        <v>4062.5129999999999</v>
      </c>
      <c r="X153" s="106">
        <f t="shared" si="78"/>
        <v>3.6087947637270492</v>
      </c>
      <c r="Y153" s="106">
        <v>0</v>
      </c>
      <c r="Z153" s="118">
        <f t="shared" si="79"/>
        <v>0</v>
      </c>
      <c r="AA153" s="106">
        <v>91.4</v>
      </c>
      <c r="AB153" s="108">
        <f t="shared" si="101"/>
        <v>1.9609461957338314</v>
      </c>
      <c r="AC153" s="119">
        <v>26.7</v>
      </c>
      <c r="AD153" s="127">
        <f t="shared" si="102"/>
        <v>1.4265112613645752</v>
      </c>
      <c r="AE153" s="120">
        <v>37.425715444240403</v>
      </c>
      <c r="AF153" s="128">
        <f t="shared" si="103"/>
        <v>1.5731701112332821</v>
      </c>
      <c r="AG153" s="152">
        <v>0.18</v>
      </c>
      <c r="AH153" s="119">
        <f t="shared" si="80"/>
        <v>7.1882007306125359E-2</v>
      </c>
      <c r="AI153" s="106">
        <v>12</v>
      </c>
      <c r="AJ153" s="108">
        <f t="shared" si="104"/>
        <v>1.0791812460476249</v>
      </c>
      <c r="AK153" s="106">
        <f t="shared" si="81"/>
        <v>0</v>
      </c>
      <c r="AL153" s="106">
        <f t="shared" si="82"/>
        <v>1</v>
      </c>
      <c r="AM153" s="106">
        <f t="shared" si="83"/>
        <v>0</v>
      </c>
      <c r="AN153" s="106">
        <f t="shared" si="84"/>
        <v>0</v>
      </c>
      <c r="AO153" s="106">
        <f t="shared" si="85"/>
        <v>0</v>
      </c>
      <c r="AP153" s="106">
        <f t="shared" si="86"/>
        <v>0</v>
      </c>
      <c r="AQ153" s="106">
        <f t="shared" si="87"/>
        <v>0</v>
      </c>
      <c r="AR153" s="106">
        <f t="shared" si="88"/>
        <v>0</v>
      </c>
      <c r="AS153" s="106">
        <f t="shared" si="89"/>
        <v>0</v>
      </c>
      <c r="AT153" s="106">
        <f t="shared" si="90"/>
        <v>0</v>
      </c>
      <c r="AU153" s="106">
        <f t="shared" si="91"/>
        <v>0</v>
      </c>
      <c r="AV153" s="106">
        <f t="shared" si="92"/>
        <v>0</v>
      </c>
      <c r="AW153" s="106">
        <f t="shared" si="93"/>
        <v>0</v>
      </c>
      <c r="AX153" s="106">
        <f t="shared" si="94"/>
        <v>0</v>
      </c>
      <c r="AY153" s="106">
        <f t="shared" si="95"/>
        <v>0</v>
      </c>
      <c r="AZ153" s="106">
        <f t="shared" si="96"/>
        <v>0</v>
      </c>
      <c r="BA153" s="107">
        <f t="shared" si="97"/>
        <v>0</v>
      </c>
    </row>
    <row r="154" spans="1:53" x14ac:dyDescent="0.35">
      <c r="A154" s="146">
        <v>39366</v>
      </c>
      <c r="B154" s="108" t="s">
        <v>45</v>
      </c>
      <c r="C154" s="108" t="s">
        <v>47</v>
      </c>
      <c r="D154" s="84">
        <f t="shared" si="70"/>
        <v>0</v>
      </c>
      <c r="E154" s="108" t="s">
        <v>178</v>
      </c>
      <c r="F154" s="84">
        <f t="shared" si="71"/>
        <v>9</v>
      </c>
      <c r="G154" s="108">
        <v>381500000</v>
      </c>
      <c r="H154" s="84">
        <f t="shared" si="72"/>
        <v>8.5814945422908995</v>
      </c>
      <c r="I154" s="146">
        <v>41144</v>
      </c>
      <c r="J154" s="108">
        <v>1415000000</v>
      </c>
      <c r="K154" s="148">
        <f t="shared" si="73"/>
        <v>4.8712328767123285</v>
      </c>
      <c r="L154" s="148">
        <f t="shared" si="98"/>
        <v>0.68763889217772012</v>
      </c>
      <c r="M154" s="108">
        <v>0</v>
      </c>
      <c r="N154" s="108">
        <f t="shared" si="74"/>
        <v>0</v>
      </c>
      <c r="O154" s="108">
        <v>28</v>
      </c>
      <c r="P154" s="108">
        <f t="shared" si="99"/>
        <v>1.4471580313422192</v>
      </c>
      <c r="Q154" s="65">
        <v>2.95</v>
      </c>
      <c r="R154" s="65">
        <f t="shared" si="100"/>
        <v>0.46982201597816303</v>
      </c>
      <c r="S154" s="155">
        <f t="shared" si="75"/>
        <v>2.709043250327654</v>
      </c>
      <c r="T154" s="127">
        <f t="shared" si="76"/>
        <v>0.56926189756940981</v>
      </c>
      <c r="U154" s="108">
        <v>6514.6683673469379</v>
      </c>
      <c r="V154" s="108">
        <f t="shared" si="77"/>
        <v>3.8138923126200468</v>
      </c>
      <c r="W154" s="108">
        <v>8828.125</v>
      </c>
      <c r="X154" s="108">
        <f t="shared" si="78"/>
        <v>3.9458684738355512</v>
      </c>
      <c r="Y154" s="108">
        <v>0</v>
      </c>
      <c r="Z154" s="126">
        <f t="shared" si="79"/>
        <v>0</v>
      </c>
      <c r="AA154" s="108">
        <v>91.4</v>
      </c>
      <c r="AB154" s="108">
        <f t="shared" si="101"/>
        <v>1.9609461957338314</v>
      </c>
      <c r="AC154" s="127">
        <v>26.7</v>
      </c>
      <c r="AD154" s="127">
        <f t="shared" si="102"/>
        <v>1.4265112613645752</v>
      </c>
      <c r="AE154" s="128">
        <v>37.425715444240403</v>
      </c>
      <c r="AF154" s="128">
        <f t="shared" si="103"/>
        <v>1.5731701112332821</v>
      </c>
      <c r="AG154" s="153">
        <v>0.32</v>
      </c>
      <c r="AH154" s="127">
        <f t="shared" si="80"/>
        <v>0.12057393120584989</v>
      </c>
      <c r="AI154" s="108">
        <v>35</v>
      </c>
      <c r="AJ154" s="108">
        <f t="shared" si="104"/>
        <v>1.5440680443502757</v>
      </c>
      <c r="AK154" s="108">
        <f t="shared" si="81"/>
        <v>0</v>
      </c>
      <c r="AL154" s="108">
        <f t="shared" si="82"/>
        <v>1</v>
      </c>
      <c r="AM154" s="108">
        <f t="shared" si="83"/>
        <v>0</v>
      </c>
      <c r="AN154" s="108">
        <f t="shared" si="84"/>
        <v>0</v>
      </c>
      <c r="AO154" s="108">
        <f t="shared" si="85"/>
        <v>0</v>
      </c>
      <c r="AP154" s="108">
        <f t="shared" si="86"/>
        <v>0</v>
      </c>
      <c r="AQ154" s="108">
        <f t="shared" si="87"/>
        <v>0</v>
      </c>
      <c r="AR154" s="108">
        <f t="shared" si="88"/>
        <v>0</v>
      </c>
      <c r="AS154" s="108">
        <f t="shared" si="89"/>
        <v>0</v>
      </c>
      <c r="AT154" s="108">
        <f t="shared" si="90"/>
        <v>0</v>
      </c>
      <c r="AU154" s="108">
        <f t="shared" si="91"/>
        <v>0</v>
      </c>
      <c r="AV154" s="108">
        <f t="shared" si="92"/>
        <v>0</v>
      </c>
      <c r="AW154" s="108">
        <f t="shared" si="93"/>
        <v>0</v>
      </c>
      <c r="AX154" s="108">
        <f t="shared" si="94"/>
        <v>0</v>
      </c>
      <c r="AY154" s="108">
        <f t="shared" si="95"/>
        <v>0</v>
      </c>
      <c r="AZ154" s="108">
        <f t="shared" si="96"/>
        <v>0</v>
      </c>
      <c r="BA154" s="109">
        <f t="shared" si="97"/>
        <v>0</v>
      </c>
    </row>
    <row r="155" spans="1:53" x14ac:dyDescent="0.35">
      <c r="A155" s="143">
        <v>39377</v>
      </c>
      <c r="B155" s="83" t="s">
        <v>45</v>
      </c>
      <c r="C155" s="83" t="s">
        <v>102</v>
      </c>
      <c r="D155" s="83">
        <f t="shared" si="70"/>
        <v>0</v>
      </c>
      <c r="E155" s="83" t="s">
        <v>248</v>
      </c>
      <c r="F155" s="83">
        <f t="shared" si="71"/>
        <v>5</v>
      </c>
      <c r="G155" s="83">
        <v>2607640000</v>
      </c>
      <c r="H155" s="83">
        <f t="shared" si="72"/>
        <v>9.4162476342971413</v>
      </c>
      <c r="I155" s="144">
        <v>41215</v>
      </c>
      <c r="J155" s="83">
        <v>3700000000</v>
      </c>
      <c r="K155" s="145">
        <f t="shared" si="73"/>
        <v>5.0356164383561648</v>
      </c>
      <c r="L155" s="148">
        <f t="shared" si="98"/>
        <v>0.70205264259361777</v>
      </c>
      <c r="M155" s="106">
        <v>0</v>
      </c>
      <c r="N155" s="106">
        <f t="shared" si="74"/>
        <v>0</v>
      </c>
      <c r="O155" s="106">
        <v>32</v>
      </c>
      <c r="P155" s="108">
        <f t="shared" si="99"/>
        <v>1.505149978319906</v>
      </c>
      <c r="Q155" s="59">
        <v>2.95</v>
      </c>
      <c r="R155" s="65">
        <f t="shared" si="100"/>
        <v>0.46982201597816303</v>
      </c>
      <c r="S155" s="154">
        <f t="shared" si="75"/>
        <v>0.4189075179089139</v>
      </c>
      <c r="T155" s="119">
        <f t="shared" si="76"/>
        <v>0.15195408976985428</v>
      </c>
      <c r="U155" s="106">
        <v>2108.7257617728528</v>
      </c>
      <c r="V155" s="106">
        <f t="shared" si="77"/>
        <v>3.3240201037352737</v>
      </c>
      <c r="W155" s="106">
        <v>5865.6509695290861</v>
      </c>
      <c r="X155" s="106">
        <f t="shared" si="78"/>
        <v>3.7683162170970865</v>
      </c>
      <c r="Y155" s="118">
        <v>0</v>
      </c>
      <c r="Z155" s="118">
        <f t="shared" si="79"/>
        <v>0</v>
      </c>
      <c r="AA155" s="106">
        <v>91.4</v>
      </c>
      <c r="AB155" s="108">
        <f t="shared" si="101"/>
        <v>1.9609461957338314</v>
      </c>
      <c r="AC155" s="119">
        <v>26.7</v>
      </c>
      <c r="AD155" s="127">
        <f t="shared" si="102"/>
        <v>1.4265112613645752</v>
      </c>
      <c r="AE155" s="120">
        <v>37.425715444240403</v>
      </c>
      <c r="AF155" s="128">
        <f t="shared" si="103"/>
        <v>1.5731701112332821</v>
      </c>
      <c r="AG155" s="152">
        <v>1.58</v>
      </c>
      <c r="AH155" s="119">
        <f t="shared" si="80"/>
        <v>0.41161970596323016</v>
      </c>
      <c r="AI155" s="106">
        <v>30</v>
      </c>
      <c r="AJ155" s="108">
        <f t="shared" si="104"/>
        <v>1.4771212547196624</v>
      </c>
      <c r="AK155" s="106">
        <f t="shared" si="81"/>
        <v>0</v>
      </c>
      <c r="AL155" s="106">
        <f t="shared" si="82"/>
        <v>1</v>
      </c>
      <c r="AM155" s="106">
        <f t="shared" si="83"/>
        <v>0</v>
      </c>
      <c r="AN155" s="106">
        <f t="shared" si="84"/>
        <v>0</v>
      </c>
      <c r="AO155" s="106">
        <f t="shared" si="85"/>
        <v>0</v>
      </c>
      <c r="AP155" s="106">
        <f t="shared" si="86"/>
        <v>0</v>
      </c>
      <c r="AQ155" s="106">
        <f t="shared" si="87"/>
        <v>0</v>
      </c>
      <c r="AR155" s="106">
        <f t="shared" si="88"/>
        <v>0</v>
      </c>
      <c r="AS155" s="106">
        <f t="shared" si="89"/>
        <v>0</v>
      </c>
      <c r="AT155" s="106">
        <f t="shared" si="90"/>
        <v>0</v>
      </c>
      <c r="AU155" s="106">
        <f t="shared" si="91"/>
        <v>0</v>
      </c>
      <c r="AV155" s="106">
        <f t="shared" si="92"/>
        <v>0</v>
      </c>
      <c r="AW155" s="106">
        <f t="shared" si="93"/>
        <v>0</v>
      </c>
      <c r="AX155" s="106">
        <f t="shared" si="94"/>
        <v>0</v>
      </c>
      <c r="AY155" s="106">
        <f t="shared" si="95"/>
        <v>0</v>
      </c>
      <c r="AZ155" s="106">
        <f t="shared" si="96"/>
        <v>0</v>
      </c>
      <c r="BA155" s="107">
        <f t="shared" si="97"/>
        <v>0</v>
      </c>
    </row>
    <row r="156" spans="1:53" x14ac:dyDescent="0.35">
      <c r="A156" s="146">
        <v>39377</v>
      </c>
      <c r="B156" s="84" t="s">
        <v>2</v>
      </c>
      <c r="C156" s="84" t="s">
        <v>125</v>
      </c>
      <c r="D156" s="84">
        <f t="shared" si="70"/>
        <v>1</v>
      </c>
      <c r="E156" s="84" t="s">
        <v>183</v>
      </c>
      <c r="F156" s="84">
        <f t="shared" si="71"/>
        <v>3</v>
      </c>
      <c r="G156" s="84">
        <v>1490900000</v>
      </c>
      <c r="H156" s="84">
        <f t="shared" si="72"/>
        <v>9.1734485147443152</v>
      </c>
      <c r="I156" s="147">
        <v>43245</v>
      </c>
      <c r="J156" s="84">
        <v>4600000000</v>
      </c>
      <c r="K156" s="148">
        <f t="shared" si="73"/>
        <v>10.597260273972603</v>
      </c>
      <c r="L156" s="148">
        <f t="shared" si="98"/>
        <v>1.0251936009544893</v>
      </c>
      <c r="M156" s="108">
        <v>917.19</v>
      </c>
      <c r="N156" s="108">
        <f t="shared" si="74"/>
        <v>2.9629325585580042</v>
      </c>
      <c r="O156" s="108">
        <v>55</v>
      </c>
      <c r="P156" s="108">
        <f t="shared" si="99"/>
        <v>1.7403626894942439</v>
      </c>
      <c r="Q156" s="65">
        <v>2.62</v>
      </c>
      <c r="R156" s="65">
        <f t="shared" si="100"/>
        <v>0.41830129131974547</v>
      </c>
      <c r="S156" s="155">
        <f t="shared" si="75"/>
        <v>2.0853846669796767</v>
      </c>
      <c r="T156" s="127">
        <f t="shared" si="76"/>
        <v>0.48930931693725965</v>
      </c>
      <c r="U156" s="108">
        <v>2028.1233098972416</v>
      </c>
      <c r="V156" s="108">
        <f t="shared" si="77"/>
        <v>3.3070943565685456</v>
      </c>
      <c r="W156" s="108">
        <v>3910.2217414818824</v>
      </c>
      <c r="X156" s="108">
        <f t="shared" si="78"/>
        <v>3.5922013861353577</v>
      </c>
      <c r="Y156" s="126">
        <v>854.66666666666697</v>
      </c>
      <c r="Z156" s="126">
        <f t="shared" si="79"/>
        <v>2.9323046139517812</v>
      </c>
      <c r="AA156" s="108">
        <v>88.9</v>
      </c>
      <c r="AB156" s="108">
        <f t="shared" si="101"/>
        <v>1.9489017609702137</v>
      </c>
      <c r="AC156" s="127">
        <v>34.9</v>
      </c>
      <c r="AD156" s="127">
        <f t="shared" si="102"/>
        <v>1.5428254269591799</v>
      </c>
      <c r="AE156" s="128">
        <v>42.817370475444001</v>
      </c>
      <c r="AF156" s="128">
        <f t="shared" si="103"/>
        <v>1.6316199926391717</v>
      </c>
      <c r="AG156" s="153">
        <v>0.77</v>
      </c>
      <c r="AH156" s="127">
        <f t="shared" si="80"/>
        <v>0.24797326636180664</v>
      </c>
      <c r="AI156" s="108">
        <v>24</v>
      </c>
      <c r="AJ156" s="108">
        <f t="shared" si="104"/>
        <v>1.3802112417116059</v>
      </c>
      <c r="AK156" s="108">
        <f t="shared" si="81"/>
        <v>0</v>
      </c>
      <c r="AL156" s="108">
        <f t="shared" si="82"/>
        <v>0</v>
      </c>
      <c r="AM156" s="108">
        <f t="shared" si="83"/>
        <v>0</v>
      </c>
      <c r="AN156" s="108">
        <f t="shared" si="84"/>
        <v>0</v>
      </c>
      <c r="AO156" s="108">
        <f t="shared" si="85"/>
        <v>0</v>
      </c>
      <c r="AP156" s="108">
        <f t="shared" si="86"/>
        <v>0</v>
      </c>
      <c r="AQ156" s="108">
        <f t="shared" si="87"/>
        <v>0</v>
      </c>
      <c r="AR156" s="108">
        <f t="shared" si="88"/>
        <v>0</v>
      </c>
      <c r="AS156" s="108">
        <f t="shared" si="89"/>
        <v>0</v>
      </c>
      <c r="AT156" s="108">
        <f t="shared" si="90"/>
        <v>1</v>
      </c>
      <c r="AU156" s="108">
        <f t="shared" si="91"/>
        <v>0</v>
      </c>
      <c r="AV156" s="108">
        <f t="shared" si="92"/>
        <v>0</v>
      </c>
      <c r="AW156" s="108">
        <f t="shared" si="93"/>
        <v>0</v>
      </c>
      <c r="AX156" s="108">
        <f t="shared" si="94"/>
        <v>0</v>
      </c>
      <c r="AY156" s="108">
        <f t="shared" si="95"/>
        <v>0</v>
      </c>
      <c r="AZ156" s="108">
        <f t="shared" si="96"/>
        <v>0</v>
      </c>
      <c r="BA156" s="109">
        <f t="shared" si="97"/>
        <v>0</v>
      </c>
    </row>
    <row r="157" spans="1:53" x14ac:dyDescent="0.35">
      <c r="A157" s="143">
        <v>39384</v>
      </c>
      <c r="B157" s="106" t="s">
        <v>59</v>
      </c>
      <c r="C157" s="106" t="s">
        <v>1203</v>
      </c>
      <c r="D157" s="83">
        <f t="shared" si="70"/>
        <v>1</v>
      </c>
      <c r="E157" s="106" t="s">
        <v>190</v>
      </c>
      <c r="F157" s="83">
        <f t="shared" si="71"/>
        <v>2</v>
      </c>
      <c r="G157" s="106">
        <v>40000000</v>
      </c>
      <c r="H157" s="83">
        <f t="shared" si="72"/>
        <v>7.6020599913279625</v>
      </c>
      <c r="I157" s="143">
        <v>41600</v>
      </c>
      <c r="J157" s="106">
        <v>74000000</v>
      </c>
      <c r="K157" s="145">
        <f t="shared" si="73"/>
        <v>6.0712328767123287</v>
      </c>
      <c r="L157" s="148">
        <f t="shared" si="98"/>
        <v>0.78327689159991742</v>
      </c>
      <c r="M157" s="106">
        <v>1153.8900000000001</v>
      </c>
      <c r="N157" s="106">
        <f t="shared" si="74"/>
        <v>3.0625406208792199</v>
      </c>
      <c r="O157" s="106">
        <v>5</v>
      </c>
      <c r="P157" s="108">
        <f t="shared" si="99"/>
        <v>0.69897000433601886</v>
      </c>
      <c r="Q157" s="59">
        <v>2.69</v>
      </c>
      <c r="R157" s="65">
        <f t="shared" si="100"/>
        <v>0.42975228000240795</v>
      </c>
      <c r="S157" s="154">
        <f t="shared" si="75"/>
        <v>0.85000000000000009</v>
      </c>
      <c r="T157" s="119">
        <f t="shared" si="76"/>
        <v>0.26717172840301384</v>
      </c>
      <c r="U157" s="106">
        <v>2515.7884814779904</v>
      </c>
      <c r="V157" s="106">
        <f t="shared" si="77"/>
        <v>3.4006741243771632</v>
      </c>
      <c r="W157" s="106">
        <v>6800.8294844000393</v>
      </c>
      <c r="X157" s="106">
        <f t="shared" si="78"/>
        <v>3.8325618860191688</v>
      </c>
      <c r="Y157" s="118">
        <v>854.67</v>
      </c>
      <c r="Z157" s="118">
        <f t="shared" si="79"/>
        <v>2.9323063057851897</v>
      </c>
      <c r="AA157" s="106">
        <v>91.2</v>
      </c>
      <c r="AB157" s="108">
        <f t="shared" si="101"/>
        <v>1.9599948383284163</v>
      </c>
      <c r="AC157" s="119">
        <v>33</v>
      </c>
      <c r="AD157" s="127">
        <f t="shared" si="102"/>
        <v>1.5185139398778875</v>
      </c>
      <c r="AE157" s="120">
        <v>40.902544500539101</v>
      </c>
      <c r="AF157" s="128">
        <f t="shared" si="103"/>
        <v>1.6117503258110162</v>
      </c>
      <c r="AG157" s="152">
        <v>0.22</v>
      </c>
      <c r="AH157" s="119">
        <f t="shared" si="80"/>
        <v>8.6359830674748214E-2</v>
      </c>
      <c r="AI157" s="106">
        <v>36</v>
      </c>
      <c r="AJ157" s="108">
        <f t="shared" si="104"/>
        <v>1.5563025007672873</v>
      </c>
      <c r="AK157" s="106">
        <f t="shared" si="81"/>
        <v>0</v>
      </c>
      <c r="AL157" s="106">
        <f t="shared" si="82"/>
        <v>0</v>
      </c>
      <c r="AM157" s="106">
        <f t="shared" si="83"/>
        <v>1</v>
      </c>
      <c r="AN157" s="106">
        <f t="shared" si="84"/>
        <v>0</v>
      </c>
      <c r="AO157" s="106">
        <f t="shared" si="85"/>
        <v>0</v>
      </c>
      <c r="AP157" s="106">
        <f t="shared" si="86"/>
        <v>0</v>
      </c>
      <c r="AQ157" s="106">
        <f t="shared" si="87"/>
        <v>0</v>
      </c>
      <c r="AR157" s="106">
        <f t="shared" si="88"/>
        <v>0</v>
      </c>
      <c r="AS157" s="106">
        <f t="shared" si="89"/>
        <v>0</v>
      </c>
      <c r="AT157" s="106">
        <f t="shared" si="90"/>
        <v>0</v>
      </c>
      <c r="AU157" s="106">
        <f t="shared" si="91"/>
        <v>0</v>
      </c>
      <c r="AV157" s="106">
        <f t="shared" si="92"/>
        <v>0</v>
      </c>
      <c r="AW157" s="106">
        <f t="shared" si="93"/>
        <v>0</v>
      </c>
      <c r="AX157" s="106">
        <f t="shared" si="94"/>
        <v>0</v>
      </c>
      <c r="AY157" s="106">
        <f t="shared" si="95"/>
        <v>0</v>
      </c>
      <c r="AZ157" s="106">
        <f t="shared" si="96"/>
        <v>0</v>
      </c>
      <c r="BA157" s="107">
        <f t="shared" si="97"/>
        <v>0</v>
      </c>
    </row>
    <row r="158" spans="1:53" x14ac:dyDescent="0.35">
      <c r="A158" s="146">
        <v>39384</v>
      </c>
      <c r="B158" s="108" t="s">
        <v>45</v>
      </c>
      <c r="C158" s="108" t="s">
        <v>47</v>
      </c>
      <c r="D158" s="84">
        <f t="shared" si="70"/>
        <v>0</v>
      </c>
      <c r="E158" s="108" t="s">
        <v>190</v>
      </c>
      <c r="F158" s="84">
        <f t="shared" si="71"/>
        <v>2</v>
      </c>
      <c r="G158" s="108">
        <v>3955300000</v>
      </c>
      <c r="H158" s="84">
        <f t="shared" si="72"/>
        <v>9.5971794292757728</v>
      </c>
      <c r="I158" s="146">
        <v>41492</v>
      </c>
      <c r="J158" s="108">
        <v>8700000000</v>
      </c>
      <c r="K158" s="148">
        <f t="shared" si="73"/>
        <v>5.7753424657534245</v>
      </c>
      <c r="L158" s="148">
        <f t="shared" si="98"/>
        <v>0.76157774208403428</v>
      </c>
      <c r="M158" s="108">
        <v>0</v>
      </c>
      <c r="N158" s="108">
        <f t="shared" si="74"/>
        <v>0</v>
      </c>
      <c r="O158" s="108">
        <v>154</v>
      </c>
      <c r="P158" s="108">
        <f t="shared" si="99"/>
        <v>2.1875207208364631</v>
      </c>
      <c r="Q158" s="65">
        <v>2.95</v>
      </c>
      <c r="R158" s="65">
        <f t="shared" si="100"/>
        <v>0.46982201597816303</v>
      </c>
      <c r="S158" s="155">
        <f t="shared" si="75"/>
        <v>1.1995803099638458</v>
      </c>
      <c r="T158" s="127">
        <f t="shared" si="76"/>
        <v>0.34233982334284546</v>
      </c>
      <c r="U158" s="108">
        <v>2443.0081229801726</v>
      </c>
      <c r="V158" s="108">
        <f t="shared" si="77"/>
        <v>3.3879249110011078</v>
      </c>
      <c r="W158" s="108">
        <v>8757.9701283954928</v>
      </c>
      <c r="X158" s="108">
        <f t="shared" si="78"/>
        <v>3.9424034595709814</v>
      </c>
      <c r="Y158" s="108">
        <v>0</v>
      </c>
      <c r="Z158" s="126">
        <f t="shared" si="79"/>
        <v>0</v>
      </c>
      <c r="AA158" s="108">
        <v>91.4</v>
      </c>
      <c r="AB158" s="108">
        <f t="shared" si="101"/>
        <v>1.9609461957338314</v>
      </c>
      <c r="AC158" s="127">
        <v>26.7</v>
      </c>
      <c r="AD158" s="127">
        <f t="shared" si="102"/>
        <v>1.4265112613645752</v>
      </c>
      <c r="AE158" s="128">
        <v>37.425715444240403</v>
      </c>
      <c r="AF158" s="128">
        <f t="shared" si="103"/>
        <v>1.5731701112332821</v>
      </c>
      <c r="AG158" s="153">
        <v>-0.26</v>
      </c>
      <c r="AH158" s="127">
        <f t="shared" si="80"/>
        <v>-0.13076828026902382</v>
      </c>
      <c r="AI158" s="108">
        <v>22</v>
      </c>
      <c r="AJ158" s="108">
        <f t="shared" si="104"/>
        <v>1.3424226808222062</v>
      </c>
      <c r="AK158" s="108">
        <f t="shared" si="81"/>
        <v>0</v>
      </c>
      <c r="AL158" s="108">
        <f t="shared" si="82"/>
        <v>1</v>
      </c>
      <c r="AM158" s="108">
        <f t="shared" si="83"/>
        <v>0</v>
      </c>
      <c r="AN158" s="108">
        <f t="shared" si="84"/>
        <v>0</v>
      </c>
      <c r="AO158" s="108">
        <f t="shared" si="85"/>
        <v>0</v>
      </c>
      <c r="AP158" s="108">
        <f t="shared" si="86"/>
        <v>0</v>
      </c>
      <c r="AQ158" s="108">
        <f t="shared" si="87"/>
        <v>0</v>
      </c>
      <c r="AR158" s="108">
        <f t="shared" si="88"/>
        <v>0</v>
      </c>
      <c r="AS158" s="108">
        <f t="shared" si="89"/>
        <v>0</v>
      </c>
      <c r="AT158" s="108">
        <f t="shared" si="90"/>
        <v>0</v>
      </c>
      <c r="AU158" s="108">
        <f t="shared" si="91"/>
        <v>0</v>
      </c>
      <c r="AV158" s="108">
        <f t="shared" si="92"/>
        <v>0</v>
      </c>
      <c r="AW158" s="108">
        <f t="shared" si="93"/>
        <v>0</v>
      </c>
      <c r="AX158" s="108">
        <f t="shared" si="94"/>
        <v>0</v>
      </c>
      <c r="AY158" s="108">
        <f t="shared" si="95"/>
        <v>0</v>
      </c>
      <c r="AZ158" s="108">
        <f t="shared" si="96"/>
        <v>0</v>
      </c>
      <c r="BA158" s="109">
        <f t="shared" si="97"/>
        <v>0</v>
      </c>
    </row>
    <row r="159" spans="1:53" x14ac:dyDescent="0.35">
      <c r="A159" s="143">
        <v>39386</v>
      </c>
      <c r="B159" s="106" t="s">
        <v>5</v>
      </c>
      <c r="C159" s="106" t="s">
        <v>125</v>
      </c>
      <c r="D159" s="83">
        <f t="shared" si="70"/>
        <v>1</v>
      </c>
      <c r="E159" s="106" t="s">
        <v>326</v>
      </c>
      <c r="F159" s="83">
        <f t="shared" si="71"/>
        <v>8</v>
      </c>
      <c r="G159" s="106">
        <v>10000000</v>
      </c>
      <c r="H159" s="83">
        <f t="shared" si="72"/>
        <v>7</v>
      </c>
      <c r="I159" s="143">
        <v>40843</v>
      </c>
      <c r="J159" s="106">
        <v>400000000</v>
      </c>
      <c r="K159" s="145">
        <f t="shared" si="73"/>
        <v>3.9917808219178084</v>
      </c>
      <c r="L159" s="148">
        <f t="shared" si="98"/>
        <v>0.60116668731351541</v>
      </c>
      <c r="M159" s="106">
        <v>357.29</v>
      </c>
      <c r="N159" s="106">
        <f t="shared" si="74"/>
        <v>2.5542346870234227</v>
      </c>
      <c r="O159" s="106">
        <v>0</v>
      </c>
      <c r="P159" s="108">
        <f t="shared" si="99"/>
        <v>0</v>
      </c>
      <c r="Q159" s="59">
        <v>3.16</v>
      </c>
      <c r="R159" s="65">
        <f t="shared" si="100"/>
        <v>0.49968708261840383</v>
      </c>
      <c r="S159" s="154">
        <f t="shared" si="75"/>
        <v>39</v>
      </c>
      <c r="T159" s="119">
        <f t="shared" si="76"/>
        <v>1.6020599913279623</v>
      </c>
      <c r="U159" s="106">
        <v>1932.09461208012</v>
      </c>
      <c r="V159" s="106">
        <f t="shared" si="77"/>
        <v>3.2860283894181141</v>
      </c>
      <c r="W159" s="106">
        <v>8126.3909735520938</v>
      </c>
      <c r="X159" s="106">
        <f t="shared" si="78"/>
        <v>3.9098977130890344</v>
      </c>
      <c r="Y159" s="118">
        <v>971</v>
      </c>
      <c r="Z159" s="118">
        <f t="shared" si="79"/>
        <v>2.9876662649262746</v>
      </c>
      <c r="AA159" s="106">
        <v>88.4</v>
      </c>
      <c r="AB159" s="108">
        <f t="shared" si="101"/>
        <v>1.9464522650130731</v>
      </c>
      <c r="AC159" s="119">
        <v>35.700000000000003</v>
      </c>
      <c r="AD159" s="127">
        <f t="shared" si="102"/>
        <v>1.5526682161121932</v>
      </c>
      <c r="AE159" s="120">
        <v>42.337645557762798</v>
      </c>
      <c r="AF159" s="128">
        <f t="shared" si="103"/>
        <v>1.6267267027692975</v>
      </c>
      <c r="AG159" s="152">
        <v>0.99</v>
      </c>
      <c r="AH159" s="119">
        <f t="shared" si="80"/>
        <v>0.29885307640970665</v>
      </c>
      <c r="AI159" s="106">
        <v>22</v>
      </c>
      <c r="AJ159" s="108">
        <f t="shared" si="104"/>
        <v>1.3424226808222062</v>
      </c>
      <c r="AK159" s="106">
        <f t="shared" si="81"/>
        <v>0</v>
      </c>
      <c r="AL159" s="106">
        <f t="shared" si="82"/>
        <v>0</v>
      </c>
      <c r="AM159" s="106">
        <f t="shared" si="83"/>
        <v>0</v>
      </c>
      <c r="AN159" s="106">
        <f t="shared" si="84"/>
        <v>0</v>
      </c>
      <c r="AO159" s="106">
        <f t="shared" si="85"/>
        <v>0</v>
      </c>
      <c r="AP159" s="106">
        <f t="shared" si="86"/>
        <v>0</v>
      </c>
      <c r="AQ159" s="106">
        <f t="shared" si="87"/>
        <v>1</v>
      </c>
      <c r="AR159" s="106">
        <f t="shared" si="88"/>
        <v>0</v>
      </c>
      <c r="AS159" s="106">
        <f t="shared" si="89"/>
        <v>0</v>
      </c>
      <c r="AT159" s="106">
        <f t="shared" si="90"/>
        <v>0</v>
      </c>
      <c r="AU159" s="106">
        <f t="shared" si="91"/>
        <v>0</v>
      </c>
      <c r="AV159" s="106">
        <f t="shared" si="92"/>
        <v>0</v>
      </c>
      <c r="AW159" s="106">
        <f t="shared" si="93"/>
        <v>0</v>
      </c>
      <c r="AX159" s="106">
        <f t="shared" si="94"/>
        <v>0</v>
      </c>
      <c r="AY159" s="106">
        <f t="shared" si="95"/>
        <v>0</v>
      </c>
      <c r="AZ159" s="106">
        <f t="shared" si="96"/>
        <v>0</v>
      </c>
      <c r="BA159" s="107">
        <f t="shared" si="97"/>
        <v>0</v>
      </c>
    </row>
    <row r="160" spans="1:53" x14ac:dyDescent="0.35">
      <c r="A160" s="146">
        <v>39386</v>
      </c>
      <c r="B160" s="108" t="s">
        <v>5</v>
      </c>
      <c r="C160" s="108" t="s">
        <v>64</v>
      </c>
      <c r="D160" s="84">
        <f t="shared" si="70"/>
        <v>1</v>
      </c>
      <c r="E160" s="108" t="s">
        <v>178</v>
      </c>
      <c r="F160" s="84">
        <f t="shared" si="71"/>
        <v>9</v>
      </c>
      <c r="G160" s="108">
        <v>992530499</v>
      </c>
      <c r="H160" s="84">
        <f t="shared" si="72"/>
        <v>8.996743860869806</v>
      </c>
      <c r="I160" s="146">
        <v>40749</v>
      </c>
      <c r="J160" s="108">
        <v>1319551618</v>
      </c>
      <c r="K160" s="148">
        <f t="shared" si="73"/>
        <v>3.7342465753424658</v>
      </c>
      <c r="L160" s="148">
        <f t="shared" si="98"/>
        <v>0.57220299137819886</v>
      </c>
      <c r="M160" s="108">
        <v>357.29</v>
      </c>
      <c r="N160" s="108">
        <f t="shared" si="74"/>
        <v>2.5542346870234227</v>
      </c>
      <c r="O160" s="108">
        <v>16</v>
      </c>
      <c r="P160" s="108">
        <f t="shared" si="99"/>
        <v>1.2041199826559248</v>
      </c>
      <c r="Q160" s="65">
        <v>3.16</v>
      </c>
      <c r="R160" s="65">
        <f t="shared" si="100"/>
        <v>0.49968708261840383</v>
      </c>
      <c r="S160" s="155">
        <f t="shared" si="75"/>
        <v>0.32948218652170613</v>
      </c>
      <c r="T160" s="127">
        <f t="shared" si="76"/>
        <v>0.12368252267762356</v>
      </c>
      <c r="U160" s="108">
        <v>1655.1111111111111</v>
      </c>
      <c r="V160" s="108">
        <f t="shared" si="77"/>
        <v>3.2188271541979425</v>
      </c>
      <c r="W160" s="108">
        <v>5715.5555555555547</v>
      </c>
      <c r="X160" s="108">
        <f t="shared" si="78"/>
        <v>3.7570584504768405</v>
      </c>
      <c r="Y160" s="126">
        <v>971</v>
      </c>
      <c r="Z160" s="126">
        <f t="shared" si="79"/>
        <v>2.9876662649262746</v>
      </c>
      <c r="AA160" s="108">
        <v>88.4</v>
      </c>
      <c r="AB160" s="108">
        <f t="shared" si="101"/>
        <v>1.9464522650130731</v>
      </c>
      <c r="AC160" s="127">
        <v>35.700000000000003</v>
      </c>
      <c r="AD160" s="127">
        <f t="shared" si="102"/>
        <v>1.5526682161121932</v>
      </c>
      <c r="AE160" s="128">
        <v>42.337645557762798</v>
      </c>
      <c r="AF160" s="128">
        <f t="shared" si="103"/>
        <v>1.6267267027692975</v>
      </c>
      <c r="AG160" s="153">
        <v>0.45</v>
      </c>
      <c r="AH160" s="127">
        <f t="shared" si="80"/>
        <v>0.16136800223497488</v>
      </c>
      <c r="AI160" s="108">
        <v>17</v>
      </c>
      <c r="AJ160" s="108">
        <f t="shared" si="104"/>
        <v>1.2304489213782739</v>
      </c>
      <c r="AK160" s="108">
        <f t="shared" si="81"/>
        <v>0</v>
      </c>
      <c r="AL160" s="108">
        <f t="shared" si="82"/>
        <v>0</v>
      </c>
      <c r="AM160" s="108">
        <f t="shared" si="83"/>
        <v>0</v>
      </c>
      <c r="AN160" s="108">
        <f t="shared" si="84"/>
        <v>0</v>
      </c>
      <c r="AO160" s="108">
        <f t="shared" si="85"/>
        <v>0</v>
      </c>
      <c r="AP160" s="108">
        <f t="shared" si="86"/>
        <v>0</v>
      </c>
      <c r="AQ160" s="108">
        <f t="shared" si="87"/>
        <v>1</v>
      </c>
      <c r="AR160" s="108">
        <f t="shared" si="88"/>
        <v>0</v>
      </c>
      <c r="AS160" s="108">
        <f t="shared" si="89"/>
        <v>0</v>
      </c>
      <c r="AT160" s="108">
        <f t="shared" si="90"/>
        <v>0</v>
      </c>
      <c r="AU160" s="108">
        <f t="shared" si="91"/>
        <v>0</v>
      </c>
      <c r="AV160" s="108">
        <f t="shared" si="92"/>
        <v>0</v>
      </c>
      <c r="AW160" s="108">
        <f t="shared" si="93"/>
        <v>0</v>
      </c>
      <c r="AX160" s="108">
        <f t="shared" si="94"/>
        <v>0</v>
      </c>
      <c r="AY160" s="108">
        <f t="shared" si="95"/>
        <v>0</v>
      </c>
      <c r="AZ160" s="108">
        <f t="shared" si="96"/>
        <v>0</v>
      </c>
      <c r="BA160" s="109">
        <f t="shared" si="97"/>
        <v>0</v>
      </c>
    </row>
    <row r="161" spans="1:53" x14ac:dyDescent="0.35">
      <c r="A161" s="143">
        <v>39396</v>
      </c>
      <c r="B161" s="106" t="s">
        <v>45</v>
      </c>
      <c r="C161" s="106" t="s">
        <v>102</v>
      </c>
      <c r="D161" s="83">
        <f t="shared" si="70"/>
        <v>0</v>
      </c>
      <c r="E161" s="106" t="s">
        <v>279</v>
      </c>
      <c r="F161" s="83">
        <f t="shared" si="71"/>
        <v>10</v>
      </c>
      <c r="G161" s="106">
        <v>48405150000</v>
      </c>
      <c r="H161" s="83">
        <f t="shared" si="72"/>
        <v>10.684891570272443</v>
      </c>
      <c r="I161" s="143">
        <v>42967</v>
      </c>
      <c r="J161" s="106">
        <v>18800000000</v>
      </c>
      <c r="K161" s="145">
        <f t="shared" si="73"/>
        <v>9.7835616438356166</v>
      </c>
      <c r="L161" s="148">
        <f t="shared" si="98"/>
        <v>0.99049698573630729</v>
      </c>
      <c r="M161" s="106">
        <v>0</v>
      </c>
      <c r="N161" s="106">
        <f t="shared" si="74"/>
        <v>0</v>
      </c>
      <c r="O161" s="106">
        <v>25</v>
      </c>
      <c r="P161" s="108">
        <f t="shared" si="99"/>
        <v>1.3979400086720377</v>
      </c>
      <c r="Q161" s="59">
        <v>2.95</v>
      </c>
      <c r="R161" s="65">
        <f t="shared" si="100"/>
        <v>0.46982201597816303</v>
      </c>
      <c r="S161" s="154">
        <f t="shared" si="75"/>
        <v>-0.61161157438826241</v>
      </c>
      <c r="T161" s="119">
        <f t="shared" si="76"/>
        <v>-0.41073372100876349</v>
      </c>
      <c r="U161" s="106">
        <v>1171.498</v>
      </c>
      <c r="V161" s="106">
        <f t="shared" si="77"/>
        <v>3.0687415514991745</v>
      </c>
      <c r="W161" s="106">
        <v>3386.1060000000002</v>
      </c>
      <c r="X161" s="106">
        <f t="shared" si="78"/>
        <v>3.5297005493117593</v>
      </c>
      <c r="Y161" s="118">
        <v>0</v>
      </c>
      <c r="Z161" s="118">
        <f t="shared" si="79"/>
        <v>0</v>
      </c>
      <c r="AA161" s="106">
        <v>91.4</v>
      </c>
      <c r="AB161" s="108">
        <f t="shared" si="101"/>
        <v>1.9609461957338314</v>
      </c>
      <c r="AC161" s="119">
        <v>26.7</v>
      </c>
      <c r="AD161" s="127">
        <f t="shared" si="102"/>
        <v>1.4265112613645752</v>
      </c>
      <c r="AE161" s="120">
        <v>37.425715444240403</v>
      </c>
      <c r="AF161" s="128">
        <f t="shared" si="103"/>
        <v>1.5731701112332821</v>
      </c>
      <c r="AG161" s="152">
        <v>0.21</v>
      </c>
      <c r="AH161" s="119">
        <f t="shared" si="80"/>
        <v>8.2785370316450071E-2</v>
      </c>
      <c r="AI161" s="106">
        <v>17</v>
      </c>
      <c r="AJ161" s="108">
        <f t="shared" si="104"/>
        <v>1.2304489213782739</v>
      </c>
      <c r="AK161" s="106">
        <f t="shared" si="81"/>
        <v>0</v>
      </c>
      <c r="AL161" s="106">
        <f t="shared" si="82"/>
        <v>1</v>
      </c>
      <c r="AM161" s="106">
        <f t="shared" si="83"/>
        <v>0</v>
      </c>
      <c r="AN161" s="106">
        <f t="shared" si="84"/>
        <v>0</v>
      </c>
      <c r="AO161" s="106">
        <f t="shared" si="85"/>
        <v>0</v>
      </c>
      <c r="AP161" s="106">
        <f t="shared" si="86"/>
        <v>0</v>
      </c>
      <c r="AQ161" s="106">
        <f t="shared" si="87"/>
        <v>0</v>
      </c>
      <c r="AR161" s="106">
        <f t="shared" si="88"/>
        <v>0</v>
      </c>
      <c r="AS161" s="106">
        <f t="shared" si="89"/>
        <v>0</v>
      </c>
      <c r="AT161" s="106">
        <f t="shared" si="90"/>
        <v>0</v>
      </c>
      <c r="AU161" s="106">
        <f t="shared" si="91"/>
        <v>0</v>
      </c>
      <c r="AV161" s="106">
        <f t="shared" si="92"/>
        <v>0</v>
      </c>
      <c r="AW161" s="106">
        <f t="shared" si="93"/>
        <v>0</v>
      </c>
      <c r="AX161" s="106">
        <f t="shared" si="94"/>
        <v>0</v>
      </c>
      <c r="AY161" s="106">
        <f t="shared" si="95"/>
        <v>0</v>
      </c>
      <c r="AZ161" s="106">
        <f t="shared" si="96"/>
        <v>0</v>
      </c>
      <c r="BA161" s="107">
        <f t="shared" si="97"/>
        <v>0</v>
      </c>
    </row>
    <row r="162" spans="1:53" x14ac:dyDescent="0.35">
      <c r="A162" s="146">
        <v>39405</v>
      </c>
      <c r="B162" s="108" t="s">
        <v>45</v>
      </c>
      <c r="C162" s="108" t="s">
        <v>47</v>
      </c>
      <c r="D162" s="84">
        <f t="shared" si="70"/>
        <v>0</v>
      </c>
      <c r="E162" s="108" t="s">
        <v>186</v>
      </c>
      <c r="F162" s="84">
        <f t="shared" si="71"/>
        <v>4</v>
      </c>
      <c r="G162" s="108">
        <v>27149000000</v>
      </c>
      <c r="H162" s="84">
        <f t="shared" si="72"/>
        <v>10.433753837516758</v>
      </c>
      <c r="I162" s="146">
        <v>39822</v>
      </c>
      <c r="J162" s="108">
        <v>28100000000</v>
      </c>
      <c r="K162" s="148">
        <f t="shared" si="73"/>
        <v>1.1424657534246576</v>
      </c>
      <c r="L162" s="148">
        <f t="shared" si="98"/>
        <v>5.7843190517282844E-2</v>
      </c>
      <c r="M162" s="108">
        <v>0</v>
      </c>
      <c r="N162" s="108">
        <f t="shared" si="74"/>
        <v>0</v>
      </c>
      <c r="O162" s="108">
        <v>47</v>
      </c>
      <c r="P162" s="108">
        <f t="shared" si="99"/>
        <v>1.6720978579357175</v>
      </c>
      <c r="Q162" s="65">
        <v>2.95</v>
      </c>
      <c r="R162" s="65">
        <f t="shared" si="100"/>
        <v>0.46982201597816303</v>
      </c>
      <c r="S162" s="155">
        <f t="shared" si="75"/>
        <v>3.5028914508821618E-2</v>
      </c>
      <c r="T162" s="127">
        <f t="shared" si="76"/>
        <v>1.4952482388323004E-2</v>
      </c>
      <c r="U162" s="108">
        <v>1455.046</v>
      </c>
      <c r="V162" s="108">
        <f t="shared" si="77"/>
        <v>3.1628767233771686</v>
      </c>
      <c r="W162" s="108">
        <v>4062.5129999999999</v>
      </c>
      <c r="X162" s="108">
        <f t="shared" si="78"/>
        <v>3.6087947637270492</v>
      </c>
      <c r="Y162" s="108">
        <v>0</v>
      </c>
      <c r="Z162" s="126">
        <f t="shared" si="79"/>
        <v>0</v>
      </c>
      <c r="AA162" s="108">
        <v>91.4</v>
      </c>
      <c r="AB162" s="108">
        <f t="shared" si="101"/>
        <v>1.9609461957338314</v>
      </c>
      <c r="AC162" s="127">
        <v>26.7</v>
      </c>
      <c r="AD162" s="127">
        <f t="shared" si="102"/>
        <v>1.4265112613645752</v>
      </c>
      <c r="AE162" s="128">
        <v>37.425715444240403</v>
      </c>
      <c r="AF162" s="128">
        <f t="shared" si="103"/>
        <v>1.5731701112332821</v>
      </c>
      <c r="AG162" s="153">
        <v>-0.13</v>
      </c>
      <c r="AH162" s="127">
        <f t="shared" si="80"/>
        <v>-6.0480747381381476E-2</v>
      </c>
      <c r="AI162" s="108">
        <v>16</v>
      </c>
      <c r="AJ162" s="108">
        <f t="shared" si="104"/>
        <v>1.2041199826559248</v>
      </c>
      <c r="AK162" s="108">
        <f t="shared" si="81"/>
        <v>0</v>
      </c>
      <c r="AL162" s="108">
        <f t="shared" si="82"/>
        <v>1</v>
      </c>
      <c r="AM162" s="108">
        <f t="shared" si="83"/>
        <v>0</v>
      </c>
      <c r="AN162" s="108">
        <f t="shared" si="84"/>
        <v>0</v>
      </c>
      <c r="AO162" s="108">
        <f t="shared" si="85"/>
        <v>0</v>
      </c>
      <c r="AP162" s="108">
        <f t="shared" si="86"/>
        <v>0</v>
      </c>
      <c r="AQ162" s="108">
        <f t="shared" si="87"/>
        <v>0</v>
      </c>
      <c r="AR162" s="108">
        <f t="shared" si="88"/>
        <v>0</v>
      </c>
      <c r="AS162" s="108">
        <f t="shared" si="89"/>
        <v>0</v>
      </c>
      <c r="AT162" s="108">
        <f t="shared" si="90"/>
        <v>0</v>
      </c>
      <c r="AU162" s="108">
        <f t="shared" si="91"/>
        <v>0</v>
      </c>
      <c r="AV162" s="108">
        <f t="shared" si="92"/>
        <v>0</v>
      </c>
      <c r="AW162" s="108">
        <f t="shared" si="93"/>
        <v>0</v>
      </c>
      <c r="AX162" s="108">
        <f t="shared" si="94"/>
        <v>0</v>
      </c>
      <c r="AY162" s="108">
        <f t="shared" si="95"/>
        <v>0</v>
      </c>
      <c r="AZ162" s="108">
        <f t="shared" si="96"/>
        <v>0</v>
      </c>
      <c r="BA162" s="109">
        <f t="shared" si="97"/>
        <v>0</v>
      </c>
    </row>
    <row r="163" spans="1:53" x14ac:dyDescent="0.35">
      <c r="A163" s="143">
        <v>39422</v>
      </c>
      <c r="B163" s="106" t="s">
        <v>45</v>
      </c>
      <c r="C163" s="106" t="s">
        <v>47</v>
      </c>
      <c r="D163" s="83">
        <f t="shared" si="70"/>
        <v>0</v>
      </c>
      <c r="E163" s="106" t="s">
        <v>190</v>
      </c>
      <c r="F163" s="83">
        <f t="shared" si="71"/>
        <v>2</v>
      </c>
      <c r="G163" s="106">
        <v>69000000</v>
      </c>
      <c r="H163" s="83">
        <f t="shared" si="72"/>
        <v>7.8388490907372557</v>
      </c>
      <c r="I163" s="143">
        <v>40814</v>
      </c>
      <c r="J163" s="106">
        <v>0</v>
      </c>
      <c r="K163" s="145">
        <f t="shared" si="73"/>
        <v>3.8136986301369862</v>
      </c>
      <c r="L163" s="148">
        <f t="shared" si="98"/>
        <v>0.58134637081806861</v>
      </c>
      <c r="M163" s="106">
        <v>0</v>
      </c>
      <c r="N163" s="106">
        <f t="shared" si="74"/>
        <v>0</v>
      </c>
      <c r="O163" s="106">
        <v>6</v>
      </c>
      <c r="P163" s="108">
        <f t="shared" si="99"/>
        <v>0.77815125038364363</v>
      </c>
      <c r="Q163" s="59">
        <v>2.95</v>
      </c>
      <c r="R163" s="65">
        <f t="shared" si="100"/>
        <v>0.46982201597816303</v>
      </c>
      <c r="S163" s="154">
        <f t="shared" si="75"/>
        <v>-1</v>
      </c>
      <c r="T163" s="119">
        <f t="shared" si="76"/>
        <v>-1</v>
      </c>
      <c r="U163" s="106">
        <v>2315.9649266087058</v>
      </c>
      <c r="V163" s="106">
        <f t="shared" si="77"/>
        <v>3.3647319780710983</v>
      </c>
      <c r="W163" s="106">
        <v>3703.9030655807082</v>
      </c>
      <c r="X163" s="106">
        <f t="shared" si="78"/>
        <v>3.5686596122879011</v>
      </c>
      <c r="Y163" s="106">
        <v>0</v>
      </c>
      <c r="Z163" s="118">
        <f t="shared" si="79"/>
        <v>0</v>
      </c>
      <c r="AA163" s="106">
        <v>91.4</v>
      </c>
      <c r="AB163" s="108">
        <f t="shared" si="101"/>
        <v>1.9609461957338314</v>
      </c>
      <c r="AC163" s="119">
        <v>26.7</v>
      </c>
      <c r="AD163" s="127">
        <f t="shared" si="102"/>
        <v>1.4265112613645752</v>
      </c>
      <c r="AE163" s="120">
        <v>37.425715444240403</v>
      </c>
      <c r="AF163" s="128">
        <f t="shared" si="103"/>
        <v>1.5731701112332821</v>
      </c>
      <c r="AG163" s="152">
        <v>0.36</v>
      </c>
      <c r="AH163" s="119">
        <f t="shared" si="80"/>
        <v>0.13353890837021748</v>
      </c>
      <c r="AI163" s="106">
        <v>27</v>
      </c>
      <c r="AJ163" s="108">
        <f t="shared" si="104"/>
        <v>1.4313637641589874</v>
      </c>
      <c r="AK163" s="106">
        <f t="shared" si="81"/>
        <v>1</v>
      </c>
      <c r="AL163" s="106">
        <f t="shared" si="82"/>
        <v>1</v>
      </c>
      <c r="AM163" s="106">
        <f t="shared" si="83"/>
        <v>0</v>
      </c>
      <c r="AN163" s="106">
        <f t="shared" si="84"/>
        <v>0</v>
      </c>
      <c r="AO163" s="106">
        <f t="shared" si="85"/>
        <v>0</v>
      </c>
      <c r="AP163" s="106">
        <f t="shared" si="86"/>
        <v>0</v>
      </c>
      <c r="AQ163" s="106">
        <f t="shared" si="87"/>
        <v>0</v>
      </c>
      <c r="AR163" s="106">
        <f t="shared" si="88"/>
        <v>0</v>
      </c>
      <c r="AS163" s="106">
        <f t="shared" si="89"/>
        <v>0</v>
      </c>
      <c r="AT163" s="106">
        <f t="shared" si="90"/>
        <v>0</v>
      </c>
      <c r="AU163" s="106">
        <f t="shared" si="91"/>
        <v>0</v>
      </c>
      <c r="AV163" s="106">
        <f t="shared" si="92"/>
        <v>0</v>
      </c>
      <c r="AW163" s="106">
        <f t="shared" si="93"/>
        <v>0</v>
      </c>
      <c r="AX163" s="106">
        <f t="shared" si="94"/>
        <v>0</v>
      </c>
      <c r="AY163" s="106">
        <f t="shared" si="95"/>
        <v>0</v>
      </c>
      <c r="AZ163" s="106">
        <f t="shared" si="96"/>
        <v>0</v>
      </c>
      <c r="BA163" s="107">
        <f t="shared" si="97"/>
        <v>0</v>
      </c>
    </row>
    <row r="164" spans="1:53" x14ac:dyDescent="0.35">
      <c r="A164" s="146">
        <v>39430</v>
      </c>
      <c r="B164" s="108" t="s">
        <v>59</v>
      </c>
      <c r="C164" s="108" t="s">
        <v>102</v>
      </c>
      <c r="D164" s="84">
        <f t="shared" si="70"/>
        <v>0</v>
      </c>
      <c r="E164" s="108" t="s">
        <v>248</v>
      </c>
      <c r="F164" s="84">
        <f t="shared" si="71"/>
        <v>5</v>
      </c>
      <c r="G164" s="108">
        <v>100000000</v>
      </c>
      <c r="H164" s="84">
        <f t="shared" si="72"/>
        <v>8</v>
      </c>
      <c r="I164" s="146">
        <v>42387</v>
      </c>
      <c r="J164" s="108">
        <v>100000000</v>
      </c>
      <c r="K164" s="148">
        <f t="shared" si="73"/>
        <v>8.1013698630136979</v>
      </c>
      <c r="L164" s="148">
        <f t="shared" si="98"/>
        <v>0.90855846006964291</v>
      </c>
      <c r="M164" s="108">
        <v>0</v>
      </c>
      <c r="N164" s="108">
        <f t="shared" si="74"/>
        <v>0</v>
      </c>
      <c r="O164" s="108">
        <v>1</v>
      </c>
      <c r="P164" s="108">
        <f t="shared" si="99"/>
        <v>0</v>
      </c>
      <c r="Q164" s="65">
        <v>3.29</v>
      </c>
      <c r="R164" s="65">
        <f t="shared" si="100"/>
        <v>0.51719589794997434</v>
      </c>
      <c r="S164" s="155">
        <f t="shared" si="75"/>
        <v>0</v>
      </c>
      <c r="T164" s="127">
        <f t="shared" si="76"/>
        <v>0</v>
      </c>
      <c r="U164" s="108">
        <v>1760.9882217753518</v>
      </c>
      <c r="V164" s="108">
        <f t="shared" si="77"/>
        <v>3.2457564512341266</v>
      </c>
      <c r="W164" s="108">
        <v>7282.3901177822454</v>
      </c>
      <c r="X164" s="108">
        <f t="shared" si="78"/>
        <v>3.8622739403850663</v>
      </c>
      <c r="Y164" s="126">
        <v>0</v>
      </c>
      <c r="Z164" s="126">
        <f t="shared" si="79"/>
        <v>0</v>
      </c>
      <c r="AA164" s="108">
        <v>91.2</v>
      </c>
      <c r="AB164" s="108">
        <f t="shared" si="101"/>
        <v>1.9599948383284163</v>
      </c>
      <c r="AC164" s="127">
        <v>33</v>
      </c>
      <c r="AD164" s="127">
        <f t="shared" si="102"/>
        <v>1.5185139398778875</v>
      </c>
      <c r="AE164" s="128">
        <v>40.902544500539101</v>
      </c>
      <c r="AF164" s="128">
        <f t="shared" si="103"/>
        <v>1.6117503258110162</v>
      </c>
      <c r="AG164" s="153">
        <v>0.76</v>
      </c>
      <c r="AH164" s="127">
        <f t="shared" si="80"/>
        <v>0.24551266781414982</v>
      </c>
      <c r="AI164" s="108">
        <v>12</v>
      </c>
      <c r="AJ164" s="108">
        <f t="shared" si="104"/>
        <v>1.0791812460476249</v>
      </c>
      <c r="AK164" s="108">
        <f t="shared" si="81"/>
        <v>0</v>
      </c>
      <c r="AL164" s="108">
        <f t="shared" si="82"/>
        <v>0</v>
      </c>
      <c r="AM164" s="108">
        <f t="shared" si="83"/>
        <v>1</v>
      </c>
      <c r="AN164" s="108">
        <f t="shared" si="84"/>
        <v>0</v>
      </c>
      <c r="AO164" s="108">
        <f t="shared" si="85"/>
        <v>0</v>
      </c>
      <c r="AP164" s="108">
        <f t="shared" si="86"/>
        <v>0</v>
      </c>
      <c r="AQ164" s="108">
        <f t="shared" si="87"/>
        <v>0</v>
      </c>
      <c r="AR164" s="108">
        <f t="shared" si="88"/>
        <v>0</v>
      </c>
      <c r="AS164" s="108">
        <f t="shared" si="89"/>
        <v>0</v>
      </c>
      <c r="AT164" s="108">
        <f t="shared" si="90"/>
        <v>0</v>
      </c>
      <c r="AU164" s="108">
        <f t="shared" si="91"/>
        <v>0</v>
      </c>
      <c r="AV164" s="108">
        <f t="shared" si="92"/>
        <v>0</v>
      </c>
      <c r="AW164" s="108">
        <f t="shared" si="93"/>
        <v>0</v>
      </c>
      <c r="AX164" s="108">
        <f t="shared" si="94"/>
        <v>0</v>
      </c>
      <c r="AY164" s="108">
        <f t="shared" si="95"/>
        <v>0</v>
      </c>
      <c r="AZ164" s="108">
        <f t="shared" si="96"/>
        <v>0</v>
      </c>
      <c r="BA164" s="109">
        <f t="shared" si="97"/>
        <v>0</v>
      </c>
    </row>
    <row r="165" spans="1:53" x14ac:dyDescent="0.35">
      <c r="A165" s="143">
        <v>39430</v>
      </c>
      <c r="B165" s="106" t="s">
        <v>4</v>
      </c>
      <c r="C165" s="106" t="s">
        <v>64</v>
      </c>
      <c r="D165" s="83">
        <f t="shared" si="70"/>
        <v>1</v>
      </c>
      <c r="E165" s="106" t="s">
        <v>235</v>
      </c>
      <c r="F165" s="83">
        <f t="shared" si="71"/>
        <v>1</v>
      </c>
      <c r="G165" s="106">
        <v>730000000</v>
      </c>
      <c r="H165" s="83">
        <f t="shared" si="72"/>
        <v>8.8633228601204568</v>
      </c>
      <c r="I165" s="143">
        <v>40247</v>
      </c>
      <c r="J165" s="106">
        <v>230600000</v>
      </c>
      <c r="K165" s="145">
        <f t="shared" si="73"/>
        <v>2.2383561643835614</v>
      </c>
      <c r="L165" s="148">
        <f t="shared" si="98"/>
        <v>0.34992919207594075</v>
      </c>
      <c r="M165" s="106">
        <v>1433.25</v>
      </c>
      <c r="N165" s="106">
        <f t="shared" si="74"/>
        <v>3.1566248585544785</v>
      </c>
      <c r="O165" s="106">
        <v>52</v>
      </c>
      <c r="P165" s="108">
        <f t="shared" si="99"/>
        <v>1.7160033436347992</v>
      </c>
      <c r="Q165" s="59">
        <v>3.03</v>
      </c>
      <c r="R165" s="65">
        <f t="shared" si="100"/>
        <v>0.48144262850230496</v>
      </c>
      <c r="S165" s="154">
        <f t="shared" si="75"/>
        <v>-0.68410958904109587</v>
      </c>
      <c r="T165" s="119">
        <f t="shared" si="76"/>
        <v>-0.50046355716177571</v>
      </c>
      <c r="U165" s="106">
        <v>1581.4506539833533</v>
      </c>
      <c r="V165" s="106">
        <f t="shared" si="77"/>
        <v>3.1990556451691736</v>
      </c>
      <c r="W165" s="106">
        <v>6004.75624256837</v>
      </c>
      <c r="X165" s="106">
        <f t="shared" si="78"/>
        <v>3.7784953823207492</v>
      </c>
      <c r="Y165" s="106">
        <v>697</v>
      </c>
      <c r="Z165" s="118">
        <f t="shared" si="79"/>
        <v>2.8438554226231609</v>
      </c>
      <c r="AA165" s="106">
        <v>94.2</v>
      </c>
      <c r="AB165" s="108">
        <f t="shared" si="101"/>
        <v>1.9740509027928774</v>
      </c>
      <c r="AC165" s="119">
        <v>45</v>
      </c>
      <c r="AD165" s="127">
        <f t="shared" si="102"/>
        <v>1.6532125137753437</v>
      </c>
      <c r="AE165" s="120">
        <v>49.278563385512697</v>
      </c>
      <c r="AF165" s="128">
        <f t="shared" si="103"/>
        <v>1.6926580383844774</v>
      </c>
      <c r="AG165" s="152">
        <v>0.01</v>
      </c>
      <c r="AH165" s="119">
        <f t="shared" si="80"/>
        <v>4.3213737826425782E-3</v>
      </c>
      <c r="AI165" s="106">
        <v>7</v>
      </c>
      <c r="AJ165" s="108">
        <f t="shared" si="104"/>
        <v>0.84509804001425681</v>
      </c>
      <c r="AK165" s="106">
        <f t="shared" si="81"/>
        <v>0</v>
      </c>
      <c r="AL165" s="106">
        <f t="shared" si="82"/>
        <v>0</v>
      </c>
      <c r="AM165" s="106">
        <f t="shared" si="83"/>
        <v>0</v>
      </c>
      <c r="AN165" s="106">
        <f t="shared" si="84"/>
        <v>0</v>
      </c>
      <c r="AO165" s="106">
        <f t="shared" si="85"/>
        <v>0</v>
      </c>
      <c r="AP165" s="106">
        <f t="shared" si="86"/>
        <v>1</v>
      </c>
      <c r="AQ165" s="106">
        <f t="shared" si="87"/>
        <v>0</v>
      </c>
      <c r="AR165" s="106">
        <f t="shared" si="88"/>
        <v>0</v>
      </c>
      <c r="AS165" s="106">
        <f t="shared" si="89"/>
        <v>0</v>
      </c>
      <c r="AT165" s="106">
        <f t="shared" si="90"/>
        <v>0</v>
      </c>
      <c r="AU165" s="106">
        <f t="shared" si="91"/>
        <v>0</v>
      </c>
      <c r="AV165" s="106">
        <f t="shared" si="92"/>
        <v>0</v>
      </c>
      <c r="AW165" s="106">
        <f t="shared" si="93"/>
        <v>0</v>
      </c>
      <c r="AX165" s="106">
        <f t="shared" si="94"/>
        <v>0</v>
      </c>
      <c r="AY165" s="106">
        <f t="shared" si="95"/>
        <v>0</v>
      </c>
      <c r="AZ165" s="106">
        <f t="shared" si="96"/>
        <v>0</v>
      </c>
      <c r="BA165" s="107">
        <f t="shared" si="97"/>
        <v>0</v>
      </c>
    </row>
    <row r="166" spans="1:53" x14ac:dyDescent="0.35">
      <c r="A166" s="146">
        <v>39435</v>
      </c>
      <c r="B166" s="108" t="s">
        <v>45</v>
      </c>
      <c r="C166" s="108" t="s">
        <v>47</v>
      </c>
      <c r="D166" s="84">
        <f t="shared" si="70"/>
        <v>0</v>
      </c>
      <c r="E166" s="108" t="s">
        <v>186</v>
      </c>
      <c r="F166" s="84">
        <f t="shared" si="71"/>
        <v>4</v>
      </c>
      <c r="G166" s="108">
        <v>200000000</v>
      </c>
      <c r="H166" s="84">
        <f t="shared" si="72"/>
        <v>8.3010299956639813</v>
      </c>
      <c r="I166" s="146">
        <v>42186</v>
      </c>
      <c r="J166" s="108">
        <v>200000000</v>
      </c>
      <c r="K166" s="148">
        <f t="shared" si="73"/>
        <v>7.536986301369863</v>
      </c>
      <c r="L166" s="148">
        <f t="shared" si="98"/>
        <v>0.87719772593320877</v>
      </c>
      <c r="M166" s="108">
        <v>0</v>
      </c>
      <c r="N166" s="108">
        <f t="shared" si="74"/>
        <v>0</v>
      </c>
      <c r="O166" s="108">
        <v>9</v>
      </c>
      <c r="P166" s="108">
        <f t="shared" si="99"/>
        <v>0.95424250943932487</v>
      </c>
      <c r="Q166" s="65">
        <v>2.95</v>
      </c>
      <c r="R166" s="65">
        <f t="shared" si="100"/>
        <v>0.46982201597816303</v>
      </c>
      <c r="S166" s="155">
        <f t="shared" si="75"/>
        <v>0</v>
      </c>
      <c r="T166" s="127">
        <f t="shared" si="76"/>
        <v>0</v>
      </c>
      <c r="U166" s="108">
        <v>3287.5739644970417</v>
      </c>
      <c r="V166" s="108">
        <f t="shared" si="77"/>
        <v>3.5168755324519045</v>
      </c>
      <c r="W166" s="108">
        <v>6440.2366863905318</v>
      </c>
      <c r="X166" s="108">
        <f t="shared" si="78"/>
        <v>3.8089018284940463</v>
      </c>
      <c r="Y166" s="108">
        <v>0</v>
      </c>
      <c r="Z166" s="126">
        <f t="shared" si="79"/>
        <v>0</v>
      </c>
      <c r="AA166" s="108">
        <v>91.4</v>
      </c>
      <c r="AB166" s="108">
        <f t="shared" si="101"/>
        <v>1.9609461957338314</v>
      </c>
      <c r="AC166" s="127">
        <v>26.7</v>
      </c>
      <c r="AD166" s="127">
        <f t="shared" si="102"/>
        <v>1.4265112613645752</v>
      </c>
      <c r="AE166" s="128">
        <v>37.425715444240403</v>
      </c>
      <c r="AF166" s="128">
        <f t="shared" si="103"/>
        <v>1.5731701112332821</v>
      </c>
      <c r="AG166" s="153">
        <v>0.02</v>
      </c>
      <c r="AH166" s="127">
        <f t="shared" si="80"/>
        <v>8.6001717619175692E-3</v>
      </c>
      <c r="AI166" s="108">
        <v>24</v>
      </c>
      <c r="AJ166" s="108">
        <f t="shared" si="104"/>
        <v>1.3802112417116059</v>
      </c>
      <c r="AK166" s="108">
        <f t="shared" si="81"/>
        <v>0</v>
      </c>
      <c r="AL166" s="108">
        <f t="shared" si="82"/>
        <v>1</v>
      </c>
      <c r="AM166" s="108">
        <f t="shared" si="83"/>
        <v>0</v>
      </c>
      <c r="AN166" s="108">
        <f t="shared" si="84"/>
        <v>0</v>
      </c>
      <c r="AO166" s="108">
        <f t="shared" si="85"/>
        <v>0</v>
      </c>
      <c r="AP166" s="108">
        <f t="shared" si="86"/>
        <v>0</v>
      </c>
      <c r="AQ166" s="108">
        <f t="shared" si="87"/>
        <v>0</v>
      </c>
      <c r="AR166" s="108">
        <f t="shared" si="88"/>
        <v>0</v>
      </c>
      <c r="AS166" s="108">
        <f t="shared" si="89"/>
        <v>0</v>
      </c>
      <c r="AT166" s="108">
        <f t="shared" si="90"/>
        <v>0</v>
      </c>
      <c r="AU166" s="108">
        <f t="shared" si="91"/>
        <v>0</v>
      </c>
      <c r="AV166" s="108">
        <f t="shared" si="92"/>
        <v>0</v>
      </c>
      <c r="AW166" s="108">
        <f t="shared" si="93"/>
        <v>0</v>
      </c>
      <c r="AX166" s="108">
        <f t="shared" si="94"/>
        <v>0</v>
      </c>
      <c r="AY166" s="108">
        <f t="shared" si="95"/>
        <v>0</v>
      </c>
      <c r="AZ166" s="108">
        <f t="shared" si="96"/>
        <v>0</v>
      </c>
      <c r="BA166" s="109">
        <f t="shared" si="97"/>
        <v>0</v>
      </c>
    </row>
    <row r="167" spans="1:53" x14ac:dyDescent="0.35">
      <c r="A167" s="143">
        <v>39447</v>
      </c>
      <c r="B167" s="106" t="s">
        <v>59</v>
      </c>
      <c r="C167" s="106" t="s">
        <v>47</v>
      </c>
      <c r="D167" s="83">
        <f t="shared" si="70"/>
        <v>0</v>
      </c>
      <c r="E167" s="106" t="s">
        <v>248</v>
      </c>
      <c r="F167" s="83">
        <f t="shared" si="71"/>
        <v>5</v>
      </c>
      <c r="G167" s="106">
        <v>18800000</v>
      </c>
      <c r="H167" s="83">
        <f t="shared" si="72"/>
        <v>7.2741578492636796</v>
      </c>
      <c r="I167" s="143">
        <v>41835</v>
      </c>
      <c r="J167" s="106">
        <v>75000000</v>
      </c>
      <c r="K167" s="145">
        <f t="shared" si="73"/>
        <v>6.5424657534246577</v>
      </c>
      <c r="L167" s="148">
        <f t="shared" si="98"/>
        <v>0.81574145800085673</v>
      </c>
      <c r="M167" s="106">
        <v>0</v>
      </c>
      <c r="N167" s="106">
        <f t="shared" si="74"/>
        <v>0</v>
      </c>
      <c r="O167" s="106">
        <v>0</v>
      </c>
      <c r="P167" s="108">
        <f t="shared" si="99"/>
        <v>0</v>
      </c>
      <c r="Q167" s="59">
        <v>3.29</v>
      </c>
      <c r="R167" s="65">
        <f t="shared" si="100"/>
        <v>0.51719589794997434</v>
      </c>
      <c r="S167" s="154">
        <f t="shared" si="75"/>
        <v>2.9893617021276597</v>
      </c>
      <c r="T167" s="119">
        <f t="shared" si="76"/>
        <v>0.60090341412802017</v>
      </c>
      <c r="U167" s="106">
        <v>1801.1079999999999</v>
      </c>
      <c r="V167" s="106">
        <f t="shared" si="77"/>
        <v>3.2555397552391718</v>
      </c>
      <c r="W167" s="106">
        <v>8416.6209999999992</v>
      </c>
      <c r="X167" s="106">
        <f t="shared" si="78"/>
        <v>3.9251377713585649</v>
      </c>
      <c r="Y167" s="118">
        <v>0</v>
      </c>
      <c r="Z167" s="118">
        <f t="shared" si="79"/>
        <v>0</v>
      </c>
      <c r="AA167" s="106">
        <v>91.2</v>
      </c>
      <c r="AB167" s="108">
        <f t="shared" si="101"/>
        <v>1.9599948383284163</v>
      </c>
      <c r="AC167" s="119">
        <v>33</v>
      </c>
      <c r="AD167" s="127">
        <f t="shared" si="102"/>
        <v>1.5185139398778875</v>
      </c>
      <c r="AE167" s="120">
        <v>40.902544500539101</v>
      </c>
      <c r="AF167" s="128">
        <f t="shared" si="103"/>
        <v>1.6117503258110162</v>
      </c>
      <c r="AG167" s="152">
        <v>0.83</v>
      </c>
      <c r="AH167" s="119">
        <f t="shared" si="80"/>
        <v>0.26245108973042947</v>
      </c>
      <c r="AI167" s="106">
        <v>23</v>
      </c>
      <c r="AJ167" s="108">
        <f t="shared" si="104"/>
        <v>1.3617278360175928</v>
      </c>
      <c r="AK167" s="106">
        <f t="shared" si="81"/>
        <v>0</v>
      </c>
      <c r="AL167" s="106">
        <f t="shared" si="82"/>
        <v>0</v>
      </c>
      <c r="AM167" s="106">
        <f t="shared" si="83"/>
        <v>1</v>
      </c>
      <c r="AN167" s="106">
        <f t="shared" si="84"/>
        <v>0</v>
      </c>
      <c r="AO167" s="106">
        <f t="shared" si="85"/>
        <v>0</v>
      </c>
      <c r="AP167" s="106">
        <f t="shared" si="86"/>
        <v>0</v>
      </c>
      <c r="AQ167" s="106">
        <f t="shared" si="87"/>
        <v>0</v>
      </c>
      <c r="AR167" s="106">
        <f t="shared" si="88"/>
        <v>0</v>
      </c>
      <c r="AS167" s="106">
        <f t="shared" si="89"/>
        <v>0</v>
      </c>
      <c r="AT167" s="106">
        <f t="shared" si="90"/>
        <v>0</v>
      </c>
      <c r="AU167" s="106">
        <f t="shared" si="91"/>
        <v>0</v>
      </c>
      <c r="AV167" s="106">
        <f t="shared" si="92"/>
        <v>0</v>
      </c>
      <c r="AW167" s="106">
        <f t="shared" si="93"/>
        <v>0</v>
      </c>
      <c r="AX167" s="106">
        <f t="shared" si="94"/>
        <v>0</v>
      </c>
      <c r="AY167" s="106">
        <f t="shared" si="95"/>
        <v>0</v>
      </c>
      <c r="AZ167" s="106">
        <f t="shared" si="96"/>
        <v>0</v>
      </c>
      <c r="BA167" s="107">
        <f t="shared" si="97"/>
        <v>0</v>
      </c>
    </row>
    <row r="168" spans="1:53" x14ac:dyDescent="0.35">
      <c r="A168" s="146">
        <v>39462</v>
      </c>
      <c r="B168" s="108" t="s">
        <v>45</v>
      </c>
      <c r="C168" s="108" t="s">
        <v>47</v>
      </c>
      <c r="D168" s="84">
        <f t="shared" si="70"/>
        <v>0</v>
      </c>
      <c r="E168" s="108" t="s">
        <v>190</v>
      </c>
      <c r="F168" s="84">
        <f t="shared" si="71"/>
        <v>2</v>
      </c>
      <c r="G168" s="108">
        <v>201960000</v>
      </c>
      <c r="H168" s="84">
        <f t="shared" si="72"/>
        <v>8.305265362023448</v>
      </c>
      <c r="I168" s="146">
        <v>40301</v>
      </c>
      <c r="J168" s="108">
        <v>44000000</v>
      </c>
      <c r="K168" s="148">
        <f t="shared" si="73"/>
        <v>2.2986301369863016</v>
      </c>
      <c r="L168" s="148">
        <f t="shared" si="98"/>
        <v>0.36146909637222563</v>
      </c>
      <c r="M168" s="108">
        <v>0</v>
      </c>
      <c r="N168" s="108">
        <f t="shared" si="74"/>
        <v>0</v>
      </c>
      <c r="O168" s="108">
        <v>43</v>
      </c>
      <c r="P168" s="108">
        <f t="shared" si="99"/>
        <v>1.6334684555795864</v>
      </c>
      <c r="Q168" s="65">
        <v>2.95</v>
      </c>
      <c r="R168" s="65">
        <f t="shared" si="100"/>
        <v>0.46982201597816303</v>
      </c>
      <c r="S168" s="155">
        <f t="shared" si="75"/>
        <v>-0.78213507625272327</v>
      </c>
      <c r="T168" s="127">
        <f t="shared" si="76"/>
        <v>-0.66181268553726114</v>
      </c>
      <c r="U168" s="108">
        <v>1421.558</v>
      </c>
      <c r="V168" s="108">
        <f t="shared" si="77"/>
        <v>3.1527645837352773</v>
      </c>
      <c r="W168" s="108">
        <v>3476.3409999999999</v>
      </c>
      <c r="X168" s="108">
        <f t="shared" si="78"/>
        <v>3.5411223705253856</v>
      </c>
      <c r="Y168" s="108">
        <v>0</v>
      </c>
      <c r="Z168" s="126">
        <f t="shared" si="79"/>
        <v>0</v>
      </c>
      <c r="AA168" s="108">
        <v>92.6</v>
      </c>
      <c r="AB168" s="108">
        <f t="shared" si="101"/>
        <v>1.9666109866819343</v>
      </c>
      <c r="AC168" s="127">
        <v>25.7</v>
      </c>
      <c r="AD168" s="127">
        <f t="shared" si="102"/>
        <v>1.4099331233312946</v>
      </c>
      <c r="AE168" s="128">
        <v>39.823361151429197</v>
      </c>
      <c r="AF168" s="128">
        <f t="shared" si="103"/>
        <v>1.6001379123442065</v>
      </c>
      <c r="AG168" s="153">
        <v>0.52</v>
      </c>
      <c r="AH168" s="127">
        <f t="shared" si="80"/>
        <v>0.18184358794477254</v>
      </c>
      <c r="AI168" s="108">
        <v>32</v>
      </c>
      <c r="AJ168" s="108">
        <f t="shared" si="104"/>
        <v>1.505149978319906</v>
      </c>
      <c r="AK168" s="108">
        <f t="shared" si="81"/>
        <v>0</v>
      </c>
      <c r="AL168" s="108">
        <f t="shared" si="82"/>
        <v>1</v>
      </c>
      <c r="AM168" s="108">
        <f t="shared" si="83"/>
        <v>0</v>
      </c>
      <c r="AN168" s="108">
        <f t="shared" si="84"/>
        <v>0</v>
      </c>
      <c r="AO168" s="108">
        <f t="shared" si="85"/>
        <v>0</v>
      </c>
      <c r="AP168" s="108">
        <f t="shared" si="86"/>
        <v>0</v>
      </c>
      <c r="AQ168" s="108">
        <f t="shared" si="87"/>
        <v>0</v>
      </c>
      <c r="AR168" s="108">
        <f t="shared" si="88"/>
        <v>0</v>
      </c>
      <c r="AS168" s="108">
        <f t="shared" si="89"/>
        <v>0</v>
      </c>
      <c r="AT168" s="108">
        <f t="shared" si="90"/>
        <v>0</v>
      </c>
      <c r="AU168" s="108">
        <f t="shared" si="91"/>
        <v>0</v>
      </c>
      <c r="AV168" s="108">
        <f t="shared" si="92"/>
        <v>0</v>
      </c>
      <c r="AW168" s="108">
        <f t="shared" si="93"/>
        <v>0</v>
      </c>
      <c r="AX168" s="108">
        <f t="shared" si="94"/>
        <v>0</v>
      </c>
      <c r="AY168" s="108">
        <f t="shared" si="95"/>
        <v>0</v>
      </c>
      <c r="AZ168" s="108">
        <f t="shared" si="96"/>
        <v>0</v>
      </c>
      <c r="BA168" s="109">
        <f t="shared" si="97"/>
        <v>0</v>
      </c>
    </row>
    <row r="169" spans="1:53" x14ac:dyDescent="0.35">
      <c r="A169" s="143">
        <v>39479</v>
      </c>
      <c r="B169" s="106" t="s">
        <v>45</v>
      </c>
      <c r="C169" s="106" t="s">
        <v>47</v>
      </c>
      <c r="D169" s="83">
        <f t="shared" si="70"/>
        <v>0</v>
      </c>
      <c r="E169" s="106" t="s">
        <v>248</v>
      </c>
      <c r="F169" s="83">
        <f t="shared" si="71"/>
        <v>5</v>
      </c>
      <c r="G169" s="106">
        <v>441790000</v>
      </c>
      <c r="H169" s="83">
        <f t="shared" si="72"/>
        <v>8.6452158813091362</v>
      </c>
      <c r="I169" s="143">
        <v>40025</v>
      </c>
      <c r="J169" s="106">
        <v>31000000</v>
      </c>
      <c r="K169" s="145">
        <f t="shared" si="73"/>
        <v>1.4958904109589042</v>
      </c>
      <c r="L169" s="148">
        <f t="shared" si="98"/>
        <v>0.17489977824826256</v>
      </c>
      <c r="M169" s="106">
        <v>0</v>
      </c>
      <c r="N169" s="106">
        <f t="shared" si="74"/>
        <v>0</v>
      </c>
      <c r="O169" s="106">
        <v>12</v>
      </c>
      <c r="P169" s="108">
        <f t="shared" si="99"/>
        <v>1.0791812460476249</v>
      </c>
      <c r="Q169" s="59">
        <v>2.95</v>
      </c>
      <c r="R169" s="65">
        <f t="shared" si="100"/>
        <v>0.46982201597816303</v>
      </c>
      <c r="S169" s="154">
        <f t="shared" si="75"/>
        <v>-0.92983091514067773</v>
      </c>
      <c r="T169" s="119">
        <f t="shared" si="76"/>
        <v>-1.153854187474864</v>
      </c>
      <c r="U169" s="106">
        <v>1455.046</v>
      </c>
      <c r="V169" s="106">
        <f t="shared" si="77"/>
        <v>3.1628767233771686</v>
      </c>
      <c r="W169" s="106">
        <v>4062.5129999999999</v>
      </c>
      <c r="X169" s="106">
        <f t="shared" si="78"/>
        <v>3.6087947637270492</v>
      </c>
      <c r="Y169" s="106">
        <v>0</v>
      </c>
      <c r="Z169" s="118">
        <f t="shared" si="79"/>
        <v>0</v>
      </c>
      <c r="AA169" s="106">
        <v>92.6</v>
      </c>
      <c r="AB169" s="108">
        <f t="shared" si="101"/>
        <v>1.9666109866819343</v>
      </c>
      <c r="AC169" s="119">
        <v>25.7</v>
      </c>
      <c r="AD169" s="127">
        <f t="shared" si="102"/>
        <v>1.4099331233312946</v>
      </c>
      <c r="AE169" s="120">
        <v>39.823361151429197</v>
      </c>
      <c r="AF169" s="128">
        <f t="shared" si="103"/>
        <v>1.6001379123442065</v>
      </c>
      <c r="AG169" s="152">
        <v>0.28999999999999998</v>
      </c>
      <c r="AH169" s="119">
        <f t="shared" si="80"/>
        <v>0.11058971029924898</v>
      </c>
      <c r="AI169" s="106">
        <v>22</v>
      </c>
      <c r="AJ169" s="108">
        <f t="shared" si="104"/>
        <v>1.3424226808222062</v>
      </c>
      <c r="AK169" s="106">
        <f t="shared" si="81"/>
        <v>0</v>
      </c>
      <c r="AL169" s="106">
        <f t="shared" si="82"/>
        <v>1</v>
      </c>
      <c r="AM169" s="106">
        <f t="shared" si="83"/>
        <v>0</v>
      </c>
      <c r="AN169" s="106">
        <f t="shared" si="84"/>
        <v>0</v>
      </c>
      <c r="AO169" s="106">
        <f t="shared" si="85"/>
        <v>0</v>
      </c>
      <c r="AP169" s="106">
        <f t="shared" si="86"/>
        <v>0</v>
      </c>
      <c r="AQ169" s="106">
        <f t="shared" si="87"/>
        <v>0</v>
      </c>
      <c r="AR169" s="106">
        <f t="shared" si="88"/>
        <v>0</v>
      </c>
      <c r="AS169" s="106">
        <f t="shared" si="89"/>
        <v>0</v>
      </c>
      <c r="AT169" s="106">
        <f t="shared" si="90"/>
        <v>0</v>
      </c>
      <c r="AU169" s="106">
        <f t="shared" si="91"/>
        <v>0</v>
      </c>
      <c r="AV169" s="106">
        <f t="shared" si="92"/>
        <v>0</v>
      </c>
      <c r="AW169" s="106">
        <f t="shared" si="93"/>
        <v>0</v>
      </c>
      <c r="AX169" s="106">
        <f t="shared" si="94"/>
        <v>0</v>
      </c>
      <c r="AY169" s="106">
        <f t="shared" si="95"/>
        <v>0</v>
      </c>
      <c r="AZ169" s="106">
        <f t="shared" si="96"/>
        <v>0</v>
      </c>
      <c r="BA169" s="107">
        <f t="shared" si="97"/>
        <v>0</v>
      </c>
    </row>
    <row r="170" spans="1:53" x14ac:dyDescent="0.35">
      <c r="A170" s="146">
        <v>39486</v>
      </c>
      <c r="B170" s="84" t="s">
        <v>59</v>
      </c>
      <c r="C170" s="84" t="s">
        <v>47</v>
      </c>
      <c r="D170" s="84">
        <f t="shared" si="70"/>
        <v>0</v>
      </c>
      <c r="E170" s="84" t="s">
        <v>235</v>
      </c>
      <c r="F170" s="84">
        <f t="shared" si="71"/>
        <v>1</v>
      </c>
      <c r="G170" s="84">
        <v>1570750000</v>
      </c>
      <c r="H170" s="84">
        <f t="shared" si="72"/>
        <v>9.1961070683879775</v>
      </c>
      <c r="I170" s="147">
        <v>41243</v>
      </c>
      <c r="J170" s="84">
        <v>0</v>
      </c>
      <c r="K170" s="148">
        <f t="shared" si="73"/>
        <v>4.8136986301369866</v>
      </c>
      <c r="L170" s="148">
        <f t="shared" si="98"/>
        <v>0.68247889703882025</v>
      </c>
      <c r="M170" s="108">
        <v>0</v>
      </c>
      <c r="N170" s="108">
        <f t="shared" si="74"/>
        <v>0</v>
      </c>
      <c r="O170" s="108">
        <v>96</v>
      </c>
      <c r="P170" s="108">
        <f t="shared" si="99"/>
        <v>1.9822712330395684</v>
      </c>
      <c r="Q170" s="65">
        <v>3.29</v>
      </c>
      <c r="R170" s="65">
        <f t="shared" si="100"/>
        <v>0.51719589794997434</v>
      </c>
      <c r="S170" s="155">
        <f t="shared" si="75"/>
        <v>-1</v>
      </c>
      <c r="T170" s="127">
        <f t="shared" si="76"/>
        <v>-1</v>
      </c>
      <c r="U170" s="108">
        <v>1564.6831074825357</v>
      </c>
      <c r="V170" s="108">
        <f t="shared" si="77"/>
        <v>3.1944263938906516</v>
      </c>
      <c r="W170" s="108">
        <v>8454.6755323625966</v>
      </c>
      <c r="X170" s="108">
        <f t="shared" si="78"/>
        <v>3.9270969452030209</v>
      </c>
      <c r="Y170" s="126">
        <v>0</v>
      </c>
      <c r="Z170" s="126">
        <f t="shared" si="79"/>
        <v>0</v>
      </c>
      <c r="AA170" s="108">
        <v>90.8</v>
      </c>
      <c r="AB170" s="108">
        <f t="shared" si="101"/>
        <v>1.958085848521085</v>
      </c>
      <c r="AC170" s="127">
        <v>32.299999999999997</v>
      </c>
      <c r="AD170" s="127">
        <f t="shared" si="102"/>
        <v>1.5092025223311027</v>
      </c>
      <c r="AE170" s="128">
        <v>44.4007960521485</v>
      </c>
      <c r="AF170" s="128">
        <f t="shared" si="103"/>
        <v>1.6473907565550749</v>
      </c>
      <c r="AG170" s="153">
        <v>0.54</v>
      </c>
      <c r="AH170" s="127">
        <f t="shared" si="80"/>
        <v>0.18752072083646307</v>
      </c>
      <c r="AI170" s="108">
        <v>5</v>
      </c>
      <c r="AJ170" s="108">
        <f t="shared" si="104"/>
        <v>0.69897000433601886</v>
      </c>
      <c r="AK170" s="108">
        <f t="shared" si="81"/>
        <v>1</v>
      </c>
      <c r="AL170" s="108">
        <f t="shared" si="82"/>
        <v>0</v>
      </c>
      <c r="AM170" s="108">
        <f t="shared" si="83"/>
        <v>1</v>
      </c>
      <c r="AN170" s="108">
        <f t="shared" si="84"/>
        <v>0</v>
      </c>
      <c r="AO170" s="108">
        <f t="shared" si="85"/>
        <v>0</v>
      </c>
      <c r="AP170" s="108">
        <f t="shared" si="86"/>
        <v>0</v>
      </c>
      <c r="AQ170" s="108">
        <f t="shared" si="87"/>
        <v>0</v>
      </c>
      <c r="AR170" s="108">
        <f t="shared" si="88"/>
        <v>0</v>
      </c>
      <c r="AS170" s="108">
        <f t="shared" si="89"/>
        <v>0</v>
      </c>
      <c r="AT170" s="108">
        <f t="shared" si="90"/>
        <v>0</v>
      </c>
      <c r="AU170" s="108">
        <f t="shared" si="91"/>
        <v>0</v>
      </c>
      <c r="AV170" s="108">
        <f t="shared" si="92"/>
        <v>0</v>
      </c>
      <c r="AW170" s="108">
        <f t="shared" si="93"/>
        <v>0</v>
      </c>
      <c r="AX170" s="108">
        <f t="shared" si="94"/>
        <v>0</v>
      </c>
      <c r="AY170" s="108">
        <f t="shared" si="95"/>
        <v>0</v>
      </c>
      <c r="AZ170" s="108">
        <f t="shared" si="96"/>
        <v>0</v>
      </c>
      <c r="BA170" s="109">
        <f t="shared" si="97"/>
        <v>0</v>
      </c>
    </row>
    <row r="171" spans="1:53" x14ac:dyDescent="0.35">
      <c r="A171" s="143">
        <v>39492</v>
      </c>
      <c r="B171" s="106" t="s">
        <v>45</v>
      </c>
      <c r="C171" s="106" t="s">
        <v>47</v>
      </c>
      <c r="D171" s="83">
        <f t="shared" si="70"/>
        <v>0</v>
      </c>
      <c r="E171" s="106" t="s">
        <v>190</v>
      </c>
      <c r="F171" s="83">
        <f t="shared" si="71"/>
        <v>2</v>
      </c>
      <c r="G171" s="106">
        <v>425000000</v>
      </c>
      <c r="H171" s="83">
        <f t="shared" si="72"/>
        <v>8.6283889300503116</v>
      </c>
      <c r="I171" s="143">
        <v>41051</v>
      </c>
      <c r="J171" s="106">
        <v>372000000</v>
      </c>
      <c r="K171" s="145">
        <f t="shared" si="73"/>
        <v>4.2712328767123289</v>
      </c>
      <c r="L171" s="148">
        <f t="shared" si="98"/>
        <v>0.63055325073236701</v>
      </c>
      <c r="M171" s="106">
        <v>0</v>
      </c>
      <c r="N171" s="106">
        <f t="shared" si="74"/>
        <v>0</v>
      </c>
      <c r="O171" s="106">
        <v>0</v>
      </c>
      <c r="P171" s="108">
        <f t="shared" si="99"/>
        <v>0</v>
      </c>
      <c r="Q171" s="59">
        <v>2.95</v>
      </c>
      <c r="R171" s="65">
        <f t="shared" si="100"/>
        <v>0.46982201597816303</v>
      </c>
      <c r="S171" s="154">
        <f t="shared" si="75"/>
        <v>-0.12470588235294122</v>
      </c>
      <c r="T171" s="119">
        <f t="shared" si="76"/>
        <v>-5.7845990168414053E-2</v>
      </c>
      <c r="U171" s="106">
        <v>2229.0809327846364</v>
      </c>
      <c r="V171" s="106">
        <f t="shared" si="77"/>
        <v>3.3481258369969185</v>
      </c>
      <c r="W171" s="106">
        <v>7475.9945130315509</v>
      </c>
      <c r="X171" s="106">
        <f t="shared" si="78"/>
        <v>3.8736689739586678</v>
      </c>
      <c r="Y171" s="118">
        <v>0</v>
      </c>
      <c r="Z171" s="118">
        <f t="shared" si="79"/>
        <v>0</v>
      </c>
      <c r="AA171" s="106">
        <v>92.6</v>
      </c>
      <c r="AB171" s="108">
        <f t="shared" si="101"/>
        <v>1.9666109866819343</v>
      </c>
      <c r="AC171" s="119">
        <v>25.7</v>
      </c>
      <c r="AD171" s="127">
        <f t="shared" si="102"/>
        <v>1.4099331233312946</v>
      </c>
      <c r="AE171" s="120">
        <v>39.823361151429197</v>
      </c>
      <c r="AF171" s="128">
        <f t="shared" si="103"/>
        <v>1.6001379123442065</v>
      </c>
      <c r="AG171" s="152">
        <v>0.05</v>
      </c>
      <c r="AH171" s="119">
        <f t="shared" si="80"/>
        <v>2.1189299069938092E-2</v>
      </c>
      <c r="AI171" s="106">
        <v>3</v>
      </c>
      <c r="AJ171" s="108">
        <f t="shared" si="104"/>
        <v>0.47712125471966244</v>
      </c>
      <c r="AK171" s="106">
        <f t="shared" si="81"/>
        <v>0</v>
      </c>
      <c r="AL171" s="106">
        <f t="shared" si="82"/>
        <v>1</v>
      </c>
      <c r="AM171" s="106">
        <f t="shared" si="83"/>
        <v>0</v>
      </c>
      <c r="AN171" s="106">
        <f t="shared" si="84"/>
        <v>0</v>
      </c>
      <c r="AO171" s="106">
        <f t="shared" si="85"/>
        <v>0</v>
      </c>
      <c r="AP171" s="106">
        <f t="shared" si="86"/>
        <v>0</v>
      </c>
      <c r="AQ171" s="106">
        <f t="shared" si="87"/>
        <v>0</v>
      </c>
      <c r="AR171" s="106">
        <f t="shared" si="88"/>
        <v>0</v>
      </c>
      <c r="AS171" s="106">
        <f t="shared" si="89"/>
        <v>0</v>
      </c>
      <c r="AT171" s="106">
        <f t="shared" si="90"/>
        <v>0</v>
      </c>
      <c r="AU171" s="106">
        <f t="shared" si="91"/>
        <v>0</v>
      </c>
      <c r="AV171" s="106">
        <f t="shared" si="92"/>
        <v>0</v>
      </c>
      <c r="AW171" s="106">
        <f t="shared" si="93"/>
        <v>0</v>
      </c>
      <c r="AX171" s="106">
        <f t="shared" si="94"/>
        <v>0</v>
      </c>
      <c r="AY171" s="106">
        <f t="shared" si="95"/>
        <v>0</v>
      </c>
      <c r="AZ171" s="106">
        <f t="shared" si="96"/>
        <v>0</v>
      </c>
      <c r="BA171" s="107">
        <f t="shared" si="97"/>
        <v>0</v>
      </c>
    </row>
    <row r="172" spans="1:53" x14ac:dyDescent="0.35">
      <c r="A172" s="146">
        <v>39504</v>
      </c>
      <c r="B172" s="108" t="s">
        <v>45</v>
      </c>
      <c r="C172" s="108" t="s">
        <v>47</v>
      </c>
      <c r="D172" s="84">
        <f t="shared" si="70"/>
        <v>0</v>
      </c>
      <c r="E172" s="108" t="s">
        <v>190</v>
      </c>
      <c r="F172" s="84">
        <f t="shared" si="71"/>
        <v>2</v>
      </c>
      <c r="G172" s="108">
        <v>983670000</v>
      </c>
      <c r="H172" s="84">
        <f t="shared" si="72"/>
        <v>8.9928494264636107</v>
      </c>
      <c r="I172" s="146">
        <v>41673</v>
      </c>
      <c r="J172" s="108">
        <v>2900000000</v>
      </c>
      <c r="K172" s="148">
        <f t="shared" si="73"/>
        <v>5.9424657534246572</v>
      </c>
      <c r="L172" s="148">
        <f t="shared" si="98"/>
        <v>0.77396668755771858</v>
      </c>
      <c r="M172" s="108">
        <v>0</v>
      </c>
      <c r="N172" s="108">
        <f t="shared" si="74"/>
        <v>0</v>
      </c>
      <c r="O172" s="108">
        <v>17</v>
      </c>
      <c r="P172" s="108">
        <f t="shared" si="99"/>
        <v>1.2304489213782739</v>
      </c>
      <c r="Q172" s="65">
        <v>2.95</v>
      </c>
      <c r="R172" s="65">
        <f t="shared" si="100"/>
        <v>0.46982201597816303</v>
      </c>
      <c r="S172" s="155">
        <f t="shared" si="75"/>
        <v>1.9481431780983458</v>
      </c>
      <c r="T172" s="127">
        <f t="shared" si="76"/>
        <v>0.46954857143534467</v>
      </c>
      <c r="U172" s="108">
        <v>1455.046</v>
      </c>
      <c r="V172" s="108">
        <f t="shared" si="77"/>
        <v>3.1628767233771686</v>
      </c>
      <c r="W172" s="108">
        <v>4062.5129999999999</v>
      </c>
      <c r="X172" s="108">
        <f t="shared" si="78"/>
        <v>3.6087947637270492</v>
      </c>
      <c r="Y172" s="108">
        <v>0</v>
      </c>
      <c r="Z172" s="126">
        <f t="shared" si="79"/>
        <v>0</v>
      </c>
      <c r="AA172" s="108">
        <v>92.6</v>
      </c>
      <c r="AB172" s="108">
        <f t="shared" si="101"/>
        <v>1.9666109866819343</v>
      </c>
      <c r="AC172" s="127">
        <v>25.7</v>
      </c>
      <c r="AD172" s="127">
        <f t="shared" si="102"/>
        <v>1.4099331233312946</v>
      </c>
      <c r="AE172" s="128">
        <v>39.823361151429197</v>
      </c>
      <c r="AF172" s="128">
        <f t="shared" si="103"/>
        <v>1.6001379123442065</v>
      </c>
      <c r="AG172" s="153">
        <v>0.1</v>
      </c>
      <c r="AH172" s="127">
        <f t="shared" si="80"/>
        <v>4.1392685158225077E-2</v>
      </c>
      <c r="AI172" s="108">
        <v>17</v>
      </c>
      <c r="AJ172" s="108">
        <f t="shared" si="104"/>
        <v>1.2304489213782739</v>
      </c>
      <c r="AK172" s="108">
        <f t="shared" si="81"/>
        <v>0</v>
      </c>
      <c r="AL172" s="108">
        <f t="shared" si="82"/>
        <v>1</v>
      </c>
      <c r="AM172" s="108">
        <f t="shared" si="83"/>
        <v>0</v>
      </c>
      <c r="AN172" s="108">
        <f t="shared" si="84"/>
        <v>0</v>
      </c>
      <c r="AO172" s="108">
        <f t="shared" si="85"/>
        <v>0</v>
      </c>
      <c r="AP172" s="108">
        <f t="shared" si="86"/>
        <v>0</v>
      </c>
      <c r="AQ172" s="108">
        <f t="shared" si="87"/>
        <v>0</v>
      </c>
      <c r="AR172" s="108">
        <f t="shared" si="88"/>
        <v>0</v>
      </c>
      <c r="AS172" s="108">
        <f t="shared" si="89"/>
        <v>0</v>
      </c>
      <c r="AT172" s="108">
        <f t="shared" si="90"/>
        <v>0</v>
      </c>
      <c r="AU172" s="108">
        <f t="shared" si="91"/>
        <v>0</v>
      </c>
      <c r="AV172" s="108">
        <f t="shared" si="92"/>
        <v>0</v>
      </c>
      <c r="AW172" s="108">
        <f t="shared" si="93"/>
        <v>0</v>
      </c>
      <c r="AX172" s="108">
        <f t="shared" si="94"/>
        <v>0</v>
      </c>
      <c r="AY172" s="108">
        <f t="shared" si="95"/>
        <v>0</v>
      </c>
      <c r="AZ172" s="108">
        <f t="shared" si="96"/>
        <v>0</v>
      </c>
      <c r="BA172" s="109">
        <f t="shared" si="97"/>
        <v>0</v>
      </c>
    </row>
    <row r="173" spans="1:53" x14ac:dyDescent="0.35">
      <c r="A173" s="143">
        <v>39532</v>
      </c>
      <c r="B173" s="106" t="s">
        <v>163</v>
      </c>
      <c r="C173" s="106" t="s">
        <v>64</v>
      </c>
      <c r="D173" s="83">
        <f t="shared" si="70"/>
        <v>1</v>
      </c>
      <c r="E173" s="106" t="s">
        <v>186</v>
      </c>
      <c r="F173" s="83">
        <f t="shared" si="71"/>
        <v>4</v>
      </c>
      <c r="G173" s="106">
        <v>1716000000</v>
      </c>
      <c r="H173" s="83">
        <f t="shared" si="72"/>
        <v>9.2345172835126874</v>
      </c>
      <c r="I173" s="143">
        <v>41844</v>
      </c>
      <c r="J173" s="106">
        <v>4308200000</v>
      </c>
      <c r="K173" s="145">
        <f t="shared" si="73"/>
        <v>6.3342465753424655</v>
      </c>
      <c r="L173" s="148">
        <f t="shared" si="98"/>
        <v>0.80169496529201667</v>
      </c>
      <c r="M173" s="106">
        <v>6164.6</v>
      </c>
      <c r="N173" s="106">
        <f t="shared" si="74"/>
        <v>3.7899753459779522</v>
      </c>
      <c r="O173" s="106">
        <v>1</v>
      </c>
      <c r="P173" s="108">
        <f t="shared" si="99"/>
        <v>0</v>
      </c>
      <c r="Q173" s="59">
        <v>3.18</v>
      </c>
      <c r="R173" s="65">
        <f t="shared" si="100"/>
        <v>0.50242711998443268</v>
      </c>
      <c r="S173" s="154">
        <f t="shared" si="75"/>
        <v>1.5106060606060607</v>
      </c>
      <c r="T173" s="119">
        <f t="shared" si="76"/>
        <v>0.3997785728774681</v>
      </c>
      <c r="U173" s="106">
        <v>1246.953</v>
      </c>
      <c r="V173" s="106">
        <f t="shared" si="77"/>
        <v>3.0958500844125241</v>
      </c>
      <c r="W173" s="106">
        <v>3219.7179999999998</v>
      </c>
      <c r="X173" s="106">
        <f t="shared" si="78"/>
        <v>3.5078178355445662</v>
      </c>
      <c r="Y173" s="118">
        <v>583.83333333333303</v>
      </c>
      <c r="Z173" s="118">
        <f t="shared" si="79"/>
        <v>2.7670321178317625</v>
      </c>
      <c r="AA173" s="106">
        <v>88</v>
      </c>
      <c r="AB173" s="108">
        <f t="shared" si="101"/>
        <v>1.9444826721501687</v>
      </c>
      <c r="AC173" s="119">
        <v>42.3</v>
      </c>
      <c r="AD173" s="127">
        <f t="shared" si="102"/>
        <v>1.6263403673750423</v>
      </c>
      <c r="AE173" s="120">
        <v>53.296308937050199</v>
      </c>
      <c r="AF173" s="128">
        <f t="shared" si="103"/>
        <v>1.7266971327830685</v>
      </c>
      <c r="AG173" s="152">
        <v>0.47</v>
      </c>
      <c r="AH173" s="119">
        <f t="shared" si="80"/>
        <v>0.16731733474817609</v>
      </c>
      <c r="AI173" s="106">
        <v>21</v>
      </c>
      <c r="AJ173" s="108">
        <f t="shared" si="104"/>
        <v>1.3222192947339193</v>
      </c>
      <c r="AK173" s="106">
        <f t="shared" si="81"/>
        <v>0</v>
      </c>
      <c r="AL173" s="106">
        <f t="shared" si="82"/>
        <v>0</v>
      </c>
      <c r="AM173" s="106">
        <f t="shared" si="83"/>
        <v>0</v>
      </c>
      <c r="AN173" s="106">
        <f t="shared" si="84"/>
        <v>0</v>
      </c>
      <c r="AO173" s="106">
        <f t="shared" si="85"/>
        <v>0</v>
      </c>
      <c r="AP173" s="106">
        <f t="shared" si="86"/>
        <v>0</v>
      </c>
      <c r="AQ173" s="106">
        <f t="shared" si="87"/>
        <v>0</v>
      </c>
      <c r="AR173" s="106">
        <f t="shared" si="88"/>
        <v>1</v>
      </c>
      <c r="AS173" s="106">
        <f t="shared" si="89"/>
        <v>0</v>
      </c>
      <c r="AT173" s="106">
        <f t="shared" si="90"/>
        <v>0</v>
      </c>
      <c r="AU173" s="106">
        <f t="shared" si="91"/>
        <v>0</v>
      </c>
      <c r="AV173" s="106">
        <f t="shared" si="92"/>
        <v>0</v>
      </c>
      <c r="AW173" s="106">
        <f t="shared" si="93"/>
        <v>0</v>
      </c>
      <c r="AX173" s="106">
        <f t="shared" si="94"/>
        <v>0</v>
      </c>
      <c r="AY173" s="106">
        <f t="shared" si="95"/>
        <v>0</v>
      </c>
      <c r="AZ173" s="106">
        <f t="shared" si="96"/>
        <v>0</v>
      </c>
      <c r="BA173" s="107">
        <f t="shared" si="97"/>
        <v>0</v>
      </c>
    </row>
    <row r="174" spans="1:53" x14ac:dyDescent="0.35">
      <c r="A174" s="146">
        <v>39534</v>
      </c>
      <c r="B174" s="108" t="s">
        <v>2</v>
      </c>
      <c r="C174" s="108" t="s">
        <v>64</v>
      </c>
      <c r="D174" s="84">
        <f t="shared" si="70"/>
        <v>1</v>
      </c>
      <c r="E174" s="108" t="s">
        <v>248</v>
      </c>
      <c r="F174" s="84">
        <f t="shared" si="71"/>
        <v>5</v>
      </c>
      <c r="G174" s="108">
        <v>600000000</v>
      </c>
      <c r="H174" s="84">
        <f t="shared" si="72"/>
        <v>8.7781512503836439</v>
      </c>
      <c r="I174" s="146">
        <v>40324</v>
      </c>
      <c r="J174" s="108">
        <v>577590000</v>
      </c>
      <c r="K174" s="148">
        <f t="shared" si="73"/>
        <v>2.1643835616438358</v>
      </c>
      <c r="L174" s="148">
        <f t="shared" si="98"/>
        <v>0.33533422683396674</v>
      </c>
      <c r="M174" s="108">
        <v>6815.73</v>
      </c>
      <c r="N174" s="108">
        <f t="shared" si="74"/>
        <v>3.8335760926148099</v>
      </c>
      <c r="O174" s="108">
        <v>8</v>
      </c>
      <c r="P174" s="108">
        <f t="shared" si="99"/>
        <v>0.90308998699194354</v>
      </c>
      <c r="Q174" s="65">
        <v>2.85</v>
      </c>
      <c r="R174" s="65">
        <f t="shared" si="100"/>
        <v>0.45484486000851021</v>
      </c>
      <c r="S174" s="155">
        <f t="shared" si="75"/>
        <v>-3.7349999999999994E-2</v>
      </c>
      <c r="T174" s="127">
        <f t="shared" si="76"/>
        <v>-1.6531584835935944E-2</v>
      </c>
      <c r="U174" s="108">
        <v>2387.5432525951551</v>
      </c>
      <c r="V174" s="108">
        <f t="shared" si="77"/>
        <v>3.3779512479807074</v>
      </c>
      <c r="W174" s="108">
        <v>5847.7508650519039</v>
      </c>
      <c r="X174" s="108">
        <f t="shared" si="78"/>
        <v>3.7669888618571257</v>
      </c>
      <c r="Y174" s="126">
        <v>819</v>
      </c>
      <c r="Z174" s="126">
        <f t="shared" si="79"/>
        <v>2.9138138523837167</v>
      </c>
      <c r="AA174" s="108">
        <v>89.9</v>
      </c>
      <c r="AB174" s="108">
        <f t="shared" si="101"/>
        <v>1.9537596917332287</v>
      </c>
      <c r="AC174" s="127">
        <v>35.4</v>
      </c>
      <c r="AD174" s="127">
        <f t="shared" si="102"/>
        <v>1.5490032620257879</v>
      </c>
      <c r="AE174" s="128">
        <v>43.572845019400901</v>
      </c>
      <c r="AF174" s="128">
        <f t="shared" si="103"/>
        <v>1.6392159174268797</v>
      </c>
      <c r="AG174" s="153">
        <v>0.32</v>
      </c>
      <c r="AH174" s="127">
        <f t="shared" si="80"/>
        <v>0.12057393120584989</v>
      </c>
      <c r="AI174" s="108">
        <v>14</v>
      </c>
      <c r="AJ174" s="108">
        <f t="shared" si="104"/>
        <v>1.146128035678238</v>
      </c>
      <c r="AK174" s="108">
        <f t="shared" si="81"/>
        <v>0</v>
      </c>
      <c r="AL174" s="108">
        <f t="shared" si="82"/>
        <v>0</v>
      </c>
      <c r="AM174" s="108">
        <f t="shared" si="83"/>
        <v>0</v>
      </c>
      <c r="AN174" s="108">
        <f t="shared" si="84"/>
        <v>0</v>
      </c>
      <c r="AO174" s="108">
        <f t="shared" si="85"/>
        <v>0</v>
      </c>
      <c r="AP174" s="108">
        <f t="shared" si="86"/>
        <v>0</v>
      </c>
      <c r="AQ174" s="108">
        <f t="shared" si="87"/>
        <v>0</v>
      </c>
      <c r="AR174" s="108">
        <f t="shared" si="88"/>
        <v>0</v>
      </c>
      <c r="AS174" s="108">
        <f t="shared" si="89"/>
        <v>0</v>
      </c>
      <c r="AT174" s="108">
        <f t="shared" si="90"/>
        <v>1</v>
      </c>
      <c r="AU174" s="108">
        <f t="shared" si="91"/>
        <v>0</v>
      </c>
      <c r="AV174" s="108">
        <f t="shared" si="92"/>
        <v>0</v>
      </c>
      <c r="AW174" s="108">
        <f t="shared" si="93"/>
        <v>0</v>
      </c>
      <c r="AX174" s="108">
        <f t="shared" si="94"/>
        <v>0</v>
      </c>
      <c r="AY174" s="108">
        <f t="shared" si="95"/>
        <v>0</v>
      </c>
      <c r="AZ174" s="108">
        <f t="shared" si="96"/>
        <v>0</v>
      </c>
      <c r="BA174" s="109">
        <f t="shared" si="97"/>
        <v>0</v>
      </c>
    </row>
    <row r="175" spans="1:53" x14ac:dyDescent="0.35">
      <c r="A175" s="143">
        <v>39539</v>
      </c>
      <c r="B175" s="106" t="s">
        <v>1</v>
      </c>
      <c r="C175" s="106" t="s">
        <v>64</v>
      </c>
      <c r="D175" s="83">
        <f t="shared" si="70"/>
        <v>1</v>
      </c>
      <c r="E175" s="106" t="s">
        <v>190</v>
      </c>
      <c r="F175" s="83">
        <f t="shared" si="71"/>
        <v>2</v>
      </c>
      <c r="G175" s="106">
        <v>395000000</v>
      </c>
      <c r="H175" s="83">
        <f t="shared" si="72"/>
        <v>8.5965970956264606</v>
      </c>
      <c r="I175" s="143">
        <v>41547</v>
      </c>
      <c r="J175" s="106">
        <v>700000000</v>
      </c>
      <c r="K175" s="145">
        <f t="shared" si="73"/>
        <v>5.5013698630136982</v>
      </c>
      <c r="L175" s="148">
        <f t="shared" si="98"/>
        <v>0.74047084401650698</v>
      </c>
      <c r="M175" s="106">
        <v>1153.8900000000001</v>
      </c>
      <c r="N175" s="106">
        <f t="shared" si="74"/>
        <v>3.0625406208792199</v>
      </c>
      <c r="O175" s="106">
        <v>62</v>
      </c>
      <c r="P175" s="108">
        <f t="shared" si="99"/>
        <v>1.7923916894982539</v>
      </c>
      <c r="Q175" s="59">
        <v>3.06</v>
      </c>
      <c r="R175" s="65">
        <f t="shared" si="100"/>
        <v>0.48572142648158001</v>
      </c>
      <c r="S175" s="154">
        <f t="shared" si="75"/>
        <v>0.77215189873417711</v>
      </c>
      <c r="T175" s="119">
        <f t="shared" si="76"/>
        <v>0.24850094438779657</v>
      </c>
      <c r="U175" s="106">
        <v>1581.4506539833533</v>
      </c>
      <c r="V175" s="106">
        <f t="shared" si="77"/>
        <v>3.1990556451691736</v>
      </c>
      <c r="W175" s="106">
        <v>6004.75624256837</v>
      </c>
      <c r="X175" s="106">
        <f t="shared" si="78"/>
        <v>3.7784953823207492</v>
      </c>
      <c r="Y175" s="106">
        <v>742.83333333333303</v>
      </c>
      <c r="Z175" s="118">
        <f t="shared" si="79"/>
        <v>2.8714756364568856</v>
      </c>
      <c r="AA175" s="106">
        <v>89.1</v>
      </c>
      <c r="AB175" s="108">
        <f t="shared" si="101"/>
        <v>1.9498777040368747</v>
      </c>
      <c r="AC175" s="119">
        <v>41.4</v>
      </c>
      <c r="AD175" s="127">
        <f t="shared" si="102"/>
        <v>1.6170003411208989</v>
      </c>
      <c r="AE175" s="120">
        <v>40.193544405546298</v>
      </c>
      <c r="AF175" s="128">
        <f t="shared" si="103"/>
        <v>1.6041563054679069</v>
      </c>
      <c r="AG175" s="152">
        <v>0.31</v>
      </c>
      <c r="AH175" s="119">
        <f t="shared" si="80"/>
        <v>0.11727129565576427</v>
      </c>
      <c r="AI175" s="106">
        <v>12</v>
      </c>
      <c r="AJ175" s="108">
        <f t="shared" si="104"/>
        <v>1.0791812460476249</v>
      </c>
      <c r="AK175" s="106">
        <f t="shared" si="81"/>
        <v>0</v>
      </c>
      <c r="AL175" s="106">
        <f t="shared" si="82"/>
        <v>0</v>
      </c>
      <c r="AM175" s="106">
        <f t="shared" si="83"/>
        <v>0</v>
      </c>
      <c r="AN175" s="106">
        <f t="shared" si="84"/>
        <v>1</v>
      </c>
      <c r="AO175" s="106">
        <f t="shared" si="85"/>
        <v>0</v>
      </c>
      <c r="AP175" s="106">
        <f t="shared" si="86"/>
        <v>0</v>
      </c>
      <c r="AQ175" s="106">
        <f t="shared" si="87"/>
        <v>0</v>
      </c>
      <c r="AR175" s="106">
        <f t="shared" si="88"/>
        <v>0</v>
      </c>
      <c r="AS175" s="106">
        <f t="shared" si="89"/>
        <v>0</v>
      </c>
      <c r="AT175" s="106">
        <f t="shared" si="90"/>
        <v>0</v>
      </c>
      <c r="AU175" s="106">
        <f t="shared" si="91"/>
        <v>0</v>
      </c>
      <c r="AV175" s="106">
        <f t="shared" si="92"/>
        <v>0</v>
      </c>
      <c r="AW175" s="106">
        <f t="shared" si="93"/>
        <v>0</v>
      </c>
      <c r="AX175" s="106">
        <f t="shared" si="94"/>
        <v>0</v>
      </c>
      <c r="AY175" s="106">
        <f t="shared" si="95"/>
        <v>0</v>
      </c>
      <c r="AZ175" s="106">
        <f t="shared" si="96"/>
        <v>0</v>
      </c>
      <c r="BA175" s="107">
        <f t="shared" si="97"/>
        <v>0</v>
      </c>
    </row>
    <row r="176" spans="1:53" x14ac:dyDescent="0.35">
      <c r="A176" s="146">
        <v>39553</v>
      </c>
      <c r="B176" s="108" t="s">
        <v>45</v>
      </c>
      <c r="C176" s="108" t="s">
        <v>47</v>
      </c>
      <c r="D176" s="84">
        <f t="shared" si="70"/>
        <v>0</v>
      </c>
      <c r="E176" s="108" t="s">
        <v>245</v>
      </c>
      <c r="F176" s="84">
        <f t="shared" si="71"/>
        <v>6</v>
      </c>
      <c r="G176" s="108">
        <v>7040000000</v>
      </c>
      <c r="H176" s="84">
        <f t="shared" si="72"/>
        <v>9.8475726591421129</v>
      </c>
      <c r="I176" s="146">
        <v>39717</v>
      </c>
      <c r="J176" s="108">
        <v>0</v>
      </c>
      <c r="K176" s="148">
        <f t="shared" si="73"/>
        <v>0.44931506849315067</v>
      </c>
      <c r="L176" s="148">
        <f t="shared" si="98"/>
        <v>-0.34744901640877685</v>
      </c>
      <c r="M176" s="108">
        <v>0</v>
      </c>
      <c r="N176" s="108">
        <f t="shared" si="74"/>
        <v>0</v>
      </c>
      <c r="O176" s="108">
        <v>119</v>
      </c>
      <c r="P176" s="108">
        <f t="shared" si="99"/>
        <v>2.0755469613925306</v>
      </c>
      <c r="Q176" s="65">
        <v>2.95</v>
      </c>
      <c r="R176" s="65">
        <f t="shared" si="100"/>
        <v>0.46982201597816303</v>
      </c>
      <c r="S176" s="155">
        <f t="shared" si="75"/>
        <v>-1</v>
      </c>
      <c r="T176" s="127">
        <f t="shared" si="76"/>
        <v>-1</v>
      </c>
      <c r="U176" s="108">
        <v>1455.046</v>
      </c>
      <c r="V176" s="108">
        <f t="shared" si="77"/>
        <v>3.1628767233771686</v>
      </c>
      <c r="W176" s="108">
        <v>4062.5129999999999</v>
      </c>
      <c r="X176" s="108">
        <f t="shared" si="78"/>
        <v>3.6087947637270492</v>
      </c>
      <c r="Y176" s="108">
        <v>0</v>
      </c>
      <c r="Z176" s="126">
        <f t="shared" si="79"/>
        <v>0</v>
      </c>
      <c r="AA176" s="108">
        <v>92.6</v>
      </c>
      <c r="AB176" s="108">
        <f t="shared" si="101"/>
        <v>1.9666109866819343</v>
      </c>
      <c r="AC176" s="127">
        <v>25.7</v>
      </c>
      <c r="AD176" s="127">
        <f t="shared" si="102"/>
        <v>1.4099331233312946</v>
      </c>
      <c r="AE176" s="128">
        <v>39.823361151429197</v>
      </c>
      <c r="AF176" s="128">
        <f t="shared" si="103"/>
        <v>1.6001379123442065</v>
      </c>
      <c r="AG176" s="153">
        <v>-0.15</v>
      </c>
      <c r="AH176" s="127">
        <f t="shared" si="80"/>
        <v>-7.0581074285707285E-2</v>
      </c>
      <c r="AI176" s="108">
        <v>6</v>
      </c>
      <c r="AJ176" s="108">
        <f t="shared" si="104"/>
        <v>0.77815125038364363</v>
      </c>
      <c r="AK176" s="108">
        <f t="shared" si="81"/>
        <v>1</v>
      </c>
      <c r="AL176" s="108">
        <f t="shared" si="82"/>
        <v>1</v>
      </c>
      <c r="AM176" s="108">
        <f t="shared" si="83"/>
        <v>0</v>
      </c>
      <c r="AN176" s="108">
        <f t="shared" si="84"/>
        <v>0</v>
      </c>
      <c r="AO176" s="108">
        <f t="shared" si="85"/>
        <v>0</v>
      </c>
      <c r="AP176" s="108">
        <f t="shared" si="86"/>
        <v>0</v>
      </c>
      <c r="AQ176" s="108">
        <f t="shared" si="87"/>
        <v>0</v>
      </c>
      <c r="AR176" s="108">
        <f t="shared" si="88"/>
        <v>0</v>
      </c>
      <c r="AS176" s="108">
        <f t="shared" si="89"/>
        <v>0</v>
      </c>
      <c r="AT176" s="108">
        <f t="shared" si="90"/>
        <v>0</v>
      </c>
      <c r="AU176" s="108">
        <f t="shared" si="91"/>
        <v>0</v>
      </c>
      <c r="AV176" s="108">
        <f t="shared" si="92"/>
        <v>0</v>
      </c>
      <c r="AW176" s="108">
        <f t="shared" si="93"/>
        <v>0</v>
      </c>
      <c r="AX176" s="108">
        <f t="shared" si="94"/>
        <v>0</v>
      </c>
      <c r="AY176" s="108">
        <f t="shared" si="95"/>
        <v>0</v>
      </c>
      <c r="AZ176" s="108">
        <f t="shared" si="96"/>
        <v>0</v>
      </c>
      <c r="BA176" s="109">
        <f t="shared" si="97"/>
        <v>0</v>
      </c>
    </row>
    <row r="177" spans="1:53" x14ac:dyDescent="0.35">
      <c r="A177" s="143">
        <v>39569</v>
      </c>
      <c r="B177" s="106" t="s">
        <v>6</v>
      </c>
      <c r="C177" s="106" t="s">
        <v>64</v>
      </c>
      <c r="D177" s="83">
        <f t="shared" si="70"/>
        <v>1</v>
      </c>
      <c r="E177" s="106" t="s">
        <v>235</v>
      </c>
      <c r="F177" s="83">
        <f t="shared" si="71"/>
        <v>1</v>
      </c>
      <c r="G177" s="106">
        <v>155000000</v>
      </c>
      <c r="H177" s="83">
        <f t="shared" si="72"/>
        <v>8.1903316981702918</v>
      </c>
      <c r="I177" s="143">
        <v>40940</v>
      </c>
      <c r="J177" s="106">
        <v>275000000</v>
      </c>
      <c r="K177" s="145">
        <f t="shared" si="73"/>
        <v>3.7561643835616438</v>
      </c>
      <c r="L177" s="148">
        <f t="shared" si="98"/>
        <v>0.57474459033303793</v>
      </c>
      <c r="M177" s="106">
        <v>6216.38</v>
      </c>
      <c r="N177" s="106">
        <f t="shared" si="74"/>
        <v>3.7936074118204202</v>
      </c>
      <c r="O177" s="106">
        <v>0</v>
      </c>
      <c r="P177" s="108">
        <f t="shared" si="99"/>
        <v>0</v>
      </c>
      <c r="Q177" s="59">
        <v>2.92</v>
      </c>
      <c r="R177" s="65">
        <f t="shared" si="100"/>
        <v>0.46538285144841829</v>
      </c>
      <c r="S177" s="154">
        <f t="shared" si="75"/>
        <v>0.77419354838709675</v>
      </c>
      <c r="T177" s="119">
        <f t="shared" si="76"/>
        <v>0.24900099565997116</v>
      </c>
      <c r="U177" s="106">
        <v>1490.3353057199211</v>
      </c>
      <c r="V177" s="106">
        <f t="shared" si="77"/>
        <v>3.17328398991646</v>
      </c>
      <c r="W177" s="106">
        <v>6649.5726495726503</v>
      </c>
      <c r="X177" s="106">
        <f t="shared" si="78"/>
        <v>3.8227937352435273</v>
      </c>
      <c r="Y177" s="118">
        <v>544.83333333333303</v>
      </c>
      <c r="Z177" s="118">
        <f t="shared" si="79"/>
        <v>2.7370600539441581</v>
      </c>
      <c r="AA177" s="106">
        <v>93.7</v>
      </c>
      <c r="AB177" s="108">
        <f t="shared" si="101"/>
        <v>1.9717395908877782</v>
      </c>
      <c r="AC177" s="119">
        <v>43.3</v>
      </c>
      <c r="AD177" s="127">
        <f t="shared" si="102"/>
        <v>1.6364878963533653</v>
      </c>
      <c r="AE177" s="120">
        <v>50.280752820308301</v>
      </c>
      <c r="AF177" s="128">
        <f t="shared" si="103"/>
        <v>1.7014017714653555</v>
      </c>
      <c r="AG177" s="152">
        <v>1.22</v>
      </c>
      <c r="AH177" s="119">
        <f t="shared" si="80"/>
        <v>0.34635297445063856</v>
      </c>
      <c r="AI177" s="106">
        <v>7</v>
      </c>
      <c r="AJ177" s="108">
        <f t="shared" si="104"/>
        <v>0.84509804001425681</v>
      </c>
      <c r="AK177" s="106">
        <f t="shared" si="81"/>
        <v>0</v>
      </c>
      <c r="AL177" s="106">
        <f t="shared" si="82"/>
        <v>0</v>
      </c>
      <c r="AM177" s="106">
        <f t="shared" si="83"/>
        <v>0</v>
      </c>
      <c r="AN177" s="106">
        <f t="shared" si="84"/>
        <v>0</v>
      </c>
      <c r="AO177" s="106">
        <f t="shared" si="85"/>
        <v>0</v>
      </c>
      <c r="AP177" s="106">
        <f t="shared" si="86"/>
        <v>0</v>
      </c>
      <c r="AQ177" s="106">
        <f t="shared" si="87"/>
        <v>0</v>
      </c>
      <c r="AR177" s="106">
        <f t="shared" si="88"/>
        <v>0</v>
      </c>
      <c r="AS177" s="106">
        <f t="shared" si="89"/>
        <v>1</v>
      </c>
      <c r="AT177" s="106">
        <f t="shared" si="90"/>
        <v>0</v>
      </c>
      <c r="AU177" s="106">
        <f t="shared" si="91"/>
        <v>0</v>
      </c>
      <c r="AV177" s="106">
        <f t="shared" si="92"/>
        <v>0</v>
      </c>
      <c r="AW177" s="106">
        <f t="shared" si="93"/>
        <v>0</v>
      </c>
      <c r="AX177" s="106">
        <f t="shared" si="94"/>
        <v>0</v>
      </c>
      <c r="AY177" s="106">
        <f t="shared" si="95"/>
        <v>0</v>
      </c>
      <c r="AZ177" s="106">
        <f t="shared" si="96"/>
        <v>0</v>
      </c>
      <c r="BA177" s="107">
        <f t="shared" si="97"/>
        <v>0</v>
      </c>
    </row>
    <row r="178" spans="1:53" x14ac:dyDescent="0.35">
      <c r="A178" s="146">
        <v>39617</v>
      </c>
      <c r="B178" s="108" t="s">
        <v>59</v>
      </c>
      <c r="C178" s="108" t="s">
        <v>64</v>
      </c>
      <c r="D178" s="84">
        <f t="shared" si="70"/>
        <v>1</v>
      </c>
      <c r="E178" s="108" t="s">
        <v>248</v>
      </c>
      <c r="F178" s="84">
        <f t="shared" si="71"/>
        <v>5</v>
      </c>
      <c r="G178" s="108">
        <v>565000000</v>
      </c>
      <c r="H178" s="84">
        <f t="shared" si="72"/>
        <v>8.7520484478194387</v>
      </c>
      <c r="I178" s="146">
        <v>42873</v>
      </c>
      <c r="J178" s="108">
        <v>780000000</v>
      </c>
      <c r="K178" s="148">
        <f t="shared" si="73"/>
        <v>8.9205479452054792</v>
      </c>
      <c r="L178" s="148">
        <f t="shared" si="98"/>
        <v>0.95039153176068891</v>
      </c>
      <c r="M178" s="108">
        <v>5897.96</v>
      </c>
      <c r="N178" s="108">
        <f t="shared" si="74"/>
        <v>3.7707754512906644</v>
      </c>
      <c r="O178" s="108">
        <v>10</v>
      </c>
      <c r="P178" s="108">
        <f t="shared" si="99"/>
        <v>1</v>
      </c>
      <c r="Q178" s="65">
        <v>2.3199999999999998</v>
      </c>
      <c r="R178" s="65">
        <f t="shared" si="100"/>
        <v>0.36548798489089962</v>
      </c>
      <c r="S178" s="155">
        <f t="shared" si="75"/>
        <v>0.38053097345132736</v>
      </c>
      <c r="T178" s="127">
        <f t="shared" si="76"/>
        <v>0.14004615487104186</v>
      </c>
      <c r="U178" s="108">
        <v>1421.558</v>
      </c>
      <c r="V178" s="108">
        <f t="shared" si="77"/>
        <v>3.1527645837352773</v>
      </c>
      <c r="W178" s="108">
        <v>3476.3409999999999</v>
      </c>
      <c r="X178" s="108">
        <f t="shared" si="78"/>
        <v>3.5411223705253856</v>
      </c>
      <c r="Y178" s="126">
        <v>132</v>
      </c>
      <c r="Z178" s="126">
        <f t="shared" si="79"/>
        <v>2.1238516409670858</v>
      </c>
      <c r="AA178" s="108">
        <v>90.8</v>
      </c>
      <c r="AB178" s="108">
        <f t="shared" si="101"/>
        <v>1.958085848521085</v>
      </c>
      <c r="AC178" s="127">
        <v>32.299999999999997</v>
      </c>
      <c r="AD178" s="127">
        <f t="shared" si="102"/>
        <v>1.5092025223311027</v>
      </c>
      <c r="AE178" s="128">
        <v>44.4007960521485</v>
      </c>
      <c r="AF178" s="128">
        <f t="shared" si="103"/>
        <v>1.6473907565550749</v>
      </c>
      <c r="AG178" s="153">
        <v>0.28999999999999998</v>
      </c>
      <c r="AH178" s="127">
        <f t="shared" si="80"/>
        <v>0.11058971029924898</v>
      </c>
      <c r="AI178" s="108">
        <v>43</v>
      </c>
      <c r="AJ178" s="108">
        <f t="shared" si="104"/>
        <v>1.6334684555795864</v>
      </c>
      <c r="AK178" s="108">
        <f t="shared" si="81"/>
        <v>0</v>
      </c>
      <c r="AL178" s="108">
        <f t="shared" si="82"/>
        <v>0</v>
      </c>
      <c r="AM178" s="108">
        <f t="shared" si="83"/>
        <v>1</v>
      </c>
      <c r="AN178" s="108">
        <f t="shared" si="84"/>
        <v>0</v>
      </c>
      <c r="AO178" s="108">
        <f t="shared" si="85"/>
        <v>0</v>
      </c>
      <c r="AP178" s="108">
        <f t="shared" si="86"/>
        <v>0</v>
      </c>
      <c r="AQ178" s="108">
        <f t="shared" si="87"/>
        <v>0</v>
      </c>
      <c r="AR178" s="108">
        <f t="shared" si="88"/>
        <v>0</v>
      </c>
      <c r="AS178" s="108">
        <f t="shared" si="89"/>
        <v>0</v>
      </c>
      <c r="AT178" s="108">
        <f t="shared" si="90"/>
        <v>0</v>
      </c>
      <c r="AU178" s="108">
        <f t="shared" si="91"/>
        <v>0</v>
      </c>
      <c r="AV178" s="108">
        <f t="shared" si="92"/>
        <v>0</v>
      </c>
      <c r="AW178" s="108">
        <f t="shared" si="93"/>
        <v>0</v>
      </c>
      <c r="AX178" s="108">
        <f t="shared" si="94"/>
        <v>0</v>
      </c>
      <c r="AY178" s="108">
        <f t="shared" si="95"/>
        <v>0</v>
      </c>
      <c r="AZ178" s="108">
        <f t="shared" si="96"/>
        <v>0</v>
      </c>
      <c r="BA178" s="109">
        <f t="shared" si="97"/>
        <v>0</v>
      </c>
    </row>
    <row r="179" spans="1:53" x14ac:dyDescent="0.35">
      <c r="A179" s="143">
        <v>39628</v>
      </c>
      <c r="B179" s="106" t="s">
        <v>59</v>
      </c>
      <c r="C179" s="106" t="s">
        <v>125</v>
      </c>
      <c r="D179" s="83">
        <f t="shared" si="70"/>
        <v>1</v>
      </c>
      <c r="E179" s="106" t="s">
        <v>178</v>
      </c>
      <c r="F179" s="83">
        <f t="shared" si="71"/>
        <v>9</v>
      </c>
      <c r="G179" s="106">
        <v>15000000</v>
      </c>
      <c r="H179" s="83">
        <f t="shared" si="72"/>
        <v>7.1760912590556813</v>
      </c>
      <c r="I179" s="143">
        <v>42249</v>
      </c>
      <c r="J179" s="106">
        <v>0</v>
      </c>
      <c r="K179" s="145">
        <f t="shared" si="73"/>
        <v>7.1808219178082195</v>
      </c>
      <c r="L179" s="148">
        <f t="shared" si="98"/>
        <v>0.85617415649012574</v>
      </c>
      <c r="M179" s="106">
        <v>1153.8900000000001</v>
      </c>
      <c r="N179" s="106">
        <f t="shared" si="74"/>
        <v>3.0625406208792199</v>
      </c>
      <c r="O179" s="106">
        <v>7</v>
      </c>
      <c r="P179" s="108">
        <f t="shared" si="99"/>
        <v>0.84509804001425681</v>
      </c>
      <c r="Q179" s="59">
        <v>3.27</v>
      </c>
      <c r="R179" s="65">
        <f t="shared" si="100"/>
        <v>0.51454775266028607</v>
      </c>
      <c r="S179" s="154">
        <f t="shared" si="75"/>
        <v>-1</v>
      </c>
      <c r="T179" s="119">
        <f t="shared" si="76"/>
        <v>-1</v>
      </c>
      <c r="U179" s="106">
        <v>1805.5555555555554</v>
      </c>
      <c r="V179" s="106">
        <f t="shared" si="77"/>
        <v>3.2566108558755684</v>
      </c>
      <c r="W179" s="106">
        <v>8472.2222222222208</v>
      </c>
      <c r="X179" s="106">
        <f t="shared" si="78"/>
        <v>3.9279973385794986</v>
      </c>
      <c r="Y179" s="118">
        <v>742.83333333333303</v>
      </c>
      <c r="Z179" s="118">
        <f t="shared" si="79"/>
        <v>2.8714756364568856</v>
      </c>
      <c r="AA179" s="106">
        <v>90.8</v>
      </c>
      <c r="AB179" s="108">
        <f t="shared" si="101"/>
        <v>1.958085848521085</v>
      </c>
      <c r="AC179" s="119">
        <v>32.299999999999997</v>
      </c>
      <c r="AD179" s="127">
        <f t="shared" si="102"/>
        <v>1.5092025223311027</v>
      </c>
      <c r="AE179" s="120">
        <v>44.4007960521485</v>
      </c>
      <c r="AF179" s="128">
        <f t="shared" si="103"/>
        <v>1.6473907565550749</v>
      </c>
      <c r="AG179" s="152">
        <v>0.74</v>
      </c>
      <c r="AH179" s="119">
        <f t="shared" si="80"/>
        <v>0.24054924828259971</v>
      </c>
      <c r="AI179" s="106">
        <v>23</v>
      </c>
      <c r="AJ179" s="108">
        <f t="shared" si="104"/>
        <v>1.3617278360175928</v>
      </c>
      <c r="AK179" s="106">
        <f t="shared" si="81"/>
        <v>1</v>
      </c>
      <c r="AL179" s="106">
        <f t="shared" si="82"/>
        <v>0</v>
      </c>
      <c r="AM179" s="106">
        <f t="shared" si="83"/>
        <v>1</v>
      </c>
      <c r="AN179" s="106">
        <f t="shared" si="84"/>
        <v>0</v>
      </c>
      <c r="AO179" s="106">
        <f t="shared" si="85"/>
        <v>0</v>
      </c>
      <c r="AP179" s="106">
        <f t="shared" si="86"/>
        <v>0</v>
      </c>
      <c r="AQ179" s="106">
        <f t="shared" si="87"/>
        <v>0</v>
      </c>
      <c r="AR179" s="106">
        <f t="shared" si="88"/>
        <v>0</v>
      </c>
      <c r="AS179" s="106">
        <f t="shared" si="89"/>
        <v>0</v>
      </c>
      <c r="AT179" s="106">
        <f t="shared" si="90"/>
        <v>0</v>
      </c>
      <c r="AU179" s="106">
        <f t="shared" si="91"/>
        <v>0</v>
      </c>
      <c r="AV179" s="106">
        <f t="shared" si="92"/>
        <v>0</v>
      </c>
      <c r="AW179" s="106">
        <f t="shared" si="93"/>
        <v>0</v>
      </c>
      <c r="AX179" s="106">
        <f t="shared" si="94"/>
        <v>0</v>
      </c>
      <c r="AY179" s="106">
        <f t="shared" si="95"/>
        <v>0</v>
      </c>
      <c r="AZ179" s="106">
        <f t="shared" si="96"/>
        <v>0</v>
      </c>
      <c r="BA179" s="107">
        <f t="shared" si="97"/>
        <v>0</v>
      </c>
    </row>
    <row r="180" spans="1:53" x14ac:dyDescent="0.35">
      <c r="A180" s="146">
        <v>39629</v>
      </c>
      <c r="B180" s="108" t="s">
        <v>2</v>
      </c>
      <c r="C180" s="108" t="s">
        <v>125</v>
      </c>
      <c r="D180" s="84">
        <f t="shared" si="70"/>
        <v>1</v>
      </c>
      <c r="E180" s="108" t="s">
        <v>279</v>
      </c>
      <c r="F180" s="84">
        <f t="shared" si="71"/>
        <v>10</v>
      </c>
      <c r="G180" s="108">
        <v>455879890</v>
      </c>
      <c r="H180" s="84">
        <f t="shared" si="72"/>
        <v>8.658850434810736</v>
      </c>
      <c r="I180" s="146">
        <v>42825</v>
      </c>
      <c r="J180" s="108">
        <v>850000000</v>
      </c>
      <c r="K180" s="148">
        <f t="shared" si="73"/>
        <v>8.7561643835616429</v>
      </c>
      <c r="L180" s="148">
        <f t="shared" si="98"/>
        <v>0.94231390618547906</v>
      </c>
      <c r="M180" s="108">
        <v>1314.22</v>
      </c>
      <c r="N180" s="108">
        <f t="shared" si="74"/>
        <v>3.1189984043805832</v>
      </c>
      <c r="O180" s="108">
        <v>3</v>
      </c>
      <c r="P180" s="108">
        <f t="shared" si="99"/>
        <v>0.47712125471966244</v>
      </c>
      <c r="Q180" s="65">
        <v>3.13</v>
      </c>
      <c r="R180" s="65">
        <f t="shared" si="100"/>
        <v>0.49554433754644844</v>
      </c>
      <c r="S180" s="155">
        <f t="shared" si="75"/>
        <v>0.86452620228543098</v>
      </c>
      <c r="T180" s="127">
        <f t="shared" si="76"/>
        <v>0.27056849090355672</v>
      </c>
      <c r="U180" s="108">
        <v>1450.8446376578247</v>
      </c>
      <c r="V180" s="108">
        <f t="shared" si="77"/>
        <v>3.1616209089088487</v>
      </c>
      <c r="W180" s="108">
        <v>6306.1358665754287</v>
      </c>
      <c r="X180" s="108">
        <f t="shared" si="78"/>
        <v>3.7997633234477775</v>
      </c>
      <c r="Y180" s="126">
        <v>1177</v>
      </c>
      <c r="Z180" s="126">
        <f t="shared" si="79"/>
        <v>3.0711452904510828</v>
      </c>
      <c r="AA180" s="108">
        <v>89.9</v>
      </c>
      <c r="AB180" s="108">
        <f t="shared" si="101"/>
        <v>1.9537596917332287</v>
      </c>
      <c r="AC180" s="127">
        <v>35.4</v>
      </c>
      <c r="AD180" s="127">
        <f t="shared" si="102"/>
        <v>1.5490032620257879</v>
      </c>
      <c r="AE180" s="128">
        <v>43.572845019400901</v>
      </c>
      <c r="AF180" s="128">
        <f t="shared" si="103"/>
        <v>1.6392159174268797</v>
      </c>
      <c r="AG180" s="153">
        <v>0.1</v>
      </c>
      <c r="AH180" s="127">
        <f t="shared" si="80"/>
        <v>4.1392685158225077E-2</v>
      </c>
      <c r="AI180" s="108">
        <v>15</v>
      </c>
      <c r="AJ180" s="108">
        <f t="shared" si="104"/>
        <v>1.1760912590556813</v>
      </c>
      <c r="AK180" s="108">
        <f t="shared" si="81"/>
        <v>0</v>
      </c>
      <c r="AL180" s="108">
        <f t="shared" si="82"/>
        <v>0</v>
      </c>
      <c r="AM180" s="108">
        <f t="shared" si="83"/>
        <v>0</v>
      </c>
      <c r="AN180" s="108">
        <f t="shared" si="84"/>
        <v>0</v>
      </c>
      <c r="AO180" s="108">
        <f t="shared" si="85"/>
        <v>0</v>
      </c>
      <c r="AP180" s="108">
        <f t="shared" si="86"/>
        <v>0</v>
      </c>
      <c r="AQ180" s="108">
        <f t="shared" si="87"/>
        <v>0</v>
      </c>
      <c r="AR180" s="108">
        <f t="shared" si="88"/>
        <v>0</v>
      </c>
      <c r="AS180" s="108">
        <f t="shared" si="89"/>
        <v>0</v>
      </c>
      <c r="AT180" s="108">
        <f t="shared" si="90"/>
        <v>1</v>
      </c>
      <c r="AU180" s="108">
        <f t="shared" si="91"/>
        <v>0</v>
      </c>
      <c r="AV180" s="108">
        <f t="shared" si="92"/>
        <v>0</v>
      </c>
      <c r="AW180" s="108">
        <f t="shared" si="93"/>
        <v>0</v>
      </c>
      <c r="AX180" s="108">
        <f t="shared" si="94"/>
        <v>0</v>
      </c>
      <c r="AY180" s="108">
        <f t="shared" si="95"/>
        <v>0</v>
      </c>
      <c r="AZ180" s="108">
        <f t="shared" si="96"/>
        <v>0</v>
      </c>
      <c r="BA180" s="109">
        <f t="shared" si="97"/>
        <v>0</v>
      </c>
    </row>
    <row r="181" spans="1:53" x14ac:dyDescent="0.35">
      <c r="A181" s="143">
        <v>39629</v>
      </c>
      <c r="B181" s="106" t="s">
        <v>5</v>
      </c>
      <c r="C181" s="106" t="s">
        <v>64</v>
      </c>
      <c r="D181" s="83">
        <f t="shared" si="70"/>
        <v>1</v>
      </c>
      <c r="E181" s="106" t="s">
        <v>269</v>
      </c>
      <c r="F181" s="83">
        <f t="shared" si="71"/>
        <v>7</v>
      </c>
      <c r="G181" s="106">
        <v>692000000</v>
      </c>
      <c r="H181" s="83">
        <f t="shared" si="72"/>
        <v>8.8401060944567575</v>
      </c>
      <c r="I181" s="143">
        <v>40871</v>
      </c>
      <c r="J181" s="106">
        <v>885330000</v>
      </c>
      <c r="K181" s="145">
        <f t="shared" si="73"/>
        <v>3.4027397260273973</v>
      </c>
      <c r="L181" s="148">
        <f t="shared" si="98"/>
        <v>0.53182873138408671</v>
      </c>
      <c r="M181" s="106">
        <v>357.29</v>
      </c>
      <c r="N181" s="106">
        <f t="shared" si="74"/>
        <v>2.5542346870234227</v>
      </c>
      <c r="O181" s="106">
        <v>27</v>
      </c>
      <c r="P181" s="108">
        <f t="shared" si="99"/>
        <v>1.4313637641589874</v>
      </c>
      <c r="Q181" s="59">
        <v>3.16</v>
      </c>
      <c r="R181" s="65">
        <f t="shared" si="100"/>
        <v>0.49968708261840383</v>
      </c>
      <c r="S181" s="154">
        <f t="shared" si="75"/>
        <v>0.27937861271676301</v>
      </c>
      <c r="T181" s="119">
        <f t="shared" si="76"/>
        <v>0.10699908637159473</v>
      </c>
      <c r="U181" s="106">
        <v>1669.0315179326171</v>
      </c>
      <c r="V181" s="106">
        <f t="shared" si="77"/>
        <v>3.22246453795844</v>
      </c>
      <c r="W181" s="106">
        <v>5094.7953145755328</v>
      </c>
      <c r="X181" s="106">
        <f t="shared" si="78"/>
        <v>3.7071267407396937</v>
      </c>
      <c r="Y181" s="118">
        <v>971</v>
      </c>
      <c r="Z181" s="118">
        <f t="shared" si="79"/>
        <v>2.9876662649262746</v>
      </c>
      <c r="AA181" s="106">
        <v>88</v>
      </c>
      <c r="AB181" s="108">
        <f t="shared" si="101"/>
        <v>1.9444826721501687</v>
      </c>
      <c r="AC181" s="119">
        <v>35.9</v>
      </c>
      <c r="AD181" s="127">
        <f t="shared" si="102"/>
        <v>1.5550944485783191</v>
      </c>
      <c r="AE181" s="120">
        <v>43.1081369225492</v>
      </c>
      <c r="AF181" s="128">
        <f t="shared" si="103"/>
        <v>1.634559253618429</v>
      </c>
      <c r="AG181" s="152">
        <v>0.67</v>
      </c>
      <c r="AH181" s="119">
        <f t="shared" si="80"/>
        <v>0.22271647114758325</v>
      </c>
      <c r="AI181" s="106">
        <v>12</v>
      </c>
      <c r="AJ181" s="108">
        <f t="shared" si="104"/>
        <v>1.0791812460476249</v>
      </c>
      <c r="AK181" s="106">
        <f t="shared" si="81"/>
        <v>0</v>
      </c>
      <c r="AL181" s="106">
        <f t="shared" si="82"/>
        <v>0</v>
      </c>
      <c r="AM181" s="106">
        <f t="shared" si="83"/>
        <v>0</v>
      </c>
      <c r="AN181" s="106">
        <f t="shared" si="84"/>
        <v>0</v>
      </c>
      <c r="AO181" s="106">
        <f t="shared" si="85"/>
        <v>0</v>
      </c>
      <c r="AP181" s="106">
        <f t="shared" si="86"/>
        <v>0</v>
      </c>
      <c r="AQ181" s="106">
        <f t="shared" si="87"/>
        <v>1</v>
      </c>
      <c r="AR181" s="106">
        <f t="shared" si="88"/>
        <v>0</v>
      </c>
      <c r="AS181" s="106">
        <f t="shared" si="89"/>
        <v>0</v>
      </c>
      <c r="AT181" s="106">
        <f t="shared" si="90"/>
        <v>0</v>
      </c>
      <c r="AU181" s="106">
        <f t="shared" si="91"/>
        <v>0</v>
      </c>
      <c r="AV181" s="106">
        <f t="shared" si="92"/>
        <v>0</v>
      </c>
      <c r="AW181" s="106">
        <f t="shared" si="93"/>
        <v>0</v>
      </c>
      <c r="AX181" s="106">
        <f t="shared" si="94"/>
        <v>0</v>
      </c>
      <c r="AY181" s="106">
        <f t="shared" si="95"/>
        <v>0</v>
      </c>
      <c r="AZ181" s="106">
        <f t="shared" si="96"/>
        <v>0</v>
      </c>
      <c r="BA181" s="107">
        <f t="shared" si="97"/>
        <v>0</v>
      </c>
    </row>
    <row r="182" spans="1:53" x14ac:dyDescent="0.35">
      <c r="A182" s="146">
        <v>39654</v>
      </c>
      <c r="B182" s="108" t="s">
        <v>45</v>
      </c>
      <c r="C182" s="84" t="s">
        <v>47</v>
      </c>
      <c r="D182" s="84">
        <f t="shared" si="70"/>
        <v>0</v>
      </c>
      <c r="E182" s="108" t="s">
        <v>269</v>
      </c>
      <c r="F182" s="84">
        <f t="shared" si="71"/>
        <v>7</v>
      </c>
      <c r="G182" s="108">
        <v>700000000</v>
      </c>
      <c r="H182" s="84">
        <f t="shared" si="72"/>
        <v>8.8450980400142569</v>
      </c>
      <c r="I182" s="146">
        <v>42185</v>
      </c>
      <c r="J182" s="108">
        <v>1680000000</v>
      </c>
      <c r="K182" s="148">
        <f t="shared" si="73"/>
        <v>6.934246575342466</v>
      </c>
      <c r="L182" s="148">
        <f t="shared" si="98"/>
        <v>0.84099928070177954</v>
      </c>
      <c r="M182" s="108">
        <v>0</v>
      </c>
      <c r="N182" s="108">
        <f t="shared" si="74"/>
        <v>0</v>
      </c>
      <c r="O182" s="108">
        <v>51</v>
      </c>
      <c r="P182" s="108">
        <f t="shared" si="99"/>
        <v>1.7075701760979363</v>
      </c>
      <c r="Q182" s="65">
        <v>2.95</v>
      </c>
      <c r="R182" s="65">
        <f t="shared" si="100"/>
        <v>0.46982201597816303</v>
      </c>
      <c r="S182" s="155">
        <f t="shared" si="75"/>
        <v>1.4</v>
      </c>
      <c r="T182" s="127">
        <f t="shared" si="76"/>
        <v>0.38021124171160603</v>
      </c>
      <c r="U182" s="108">
        <v>2315.9650000000001</v>
      </c>
      <c r="V182" s="108">
        <f t="shared" si="77"/>
        <v>3.3647319918335836</v>
      </c>
      <c r="W182" s="108">
        <v>3703.9029999999998</v>
      </c>
      <c r="X182" s="108">
        <f t="shared" si="78"/>
        <v>3.568659604598353</v>
      </c>
      <c r="Y182" s="126">
        <v>0</v>
      </c>
      <c r="Z182" s="126">
        <f t="shared" si="79"/>
        <v>0</v>
      </c>
      <c r="AA182" s="108">
        <v>92.6</v>
      </c>
      <c r="AB182" s="108">
        <f t="shared" si="101"/>
        <v>1.9666109866819343</v>
      </c>
      <c r="AC182" s="127">
        <v>25.7</v>
      </c>
      <c r="AD182" s="127">
        <f t="shared" si="102"/>
        <v>1.4099331233312946</v>
      </c>
      <c r="AE182" s="128">
        <v>39.823361151429197</v>
      </c>
      <c r="AF182" s="128">
        <f t="shared" si="103"/>
        <v>1.6001379123442065</v>
      </c>
      <c r="AG182" s="153">
        <v>0.24</v>
      </c>
      <c r="AH182" s="127">
        <f t="shared" si="80"/>
        <v>9.3421685162235063E-2</v>
      </c>
      <c r="AI182" s="108">
        <v>4</v>
      </c>
      <c r="AJ182" s="108">
        <f t="shared" si="104"/>
        <v>0.6020599913279624</v>
      </c>
      <c r="AK182" s="108">
        <f t="shared" si="81"/>
        <v>0</v>
      </c>
      <c r="AL182" s="108">
        <f t="shared" si="82"/>
        <v>1</v>
      </c>
      <c r="AM182" s="108">
        <f t="shared" si="83"/>
        <v>0</v>
      </c>
      <c r="AN182" s="108">
        <f t="shared" si="84"/>
        <v>0</v>
      </c>
      <c r="AO182" s="108">
        <f t="shared" si="85"/>
        <v>0</v>
      </c>
      <c r="AP182" s="108">
        <f t="shared" si="86"/>
        <v>0</v>
      </c>
      <c r="AQ182" s="108">
        <f t="shared" si="87"/>
        <v>0</v>
      </c>
      <c r="AR182" s="108">
        <f t="shared" si="88"/>
        <v>0</v>
      </c>
      <c r="AS182" s="108">
        <f t="shared" si="89"/>
        <v>0</v>
      </c>
      <c r="AT182" s="108">
        <f t="shared" si="90"/>
        <v>0</v>
      </c>
      <c r="AU182" s="108">
        <f t="shared" si="91"/>
        <v>0</v>
      </c>
      <c r="AV182" s="108">
        <f t="shared" si="92"/>
        <v>0</v>
      </c>
      <c r="AW182" s="108">
        <f t="shared" si="93"/>
        <v>0</v>
      </c>
      <c r="AX182" s="108">
        <f t="shared" si="94"/>
        <v>0</v>
      </c>
      <c r="AY182" s="108">
        <f t="shared" si="95"/>
        <v>0</v>
      </c>
      <c r="AZ182" s="108">
        <f t="shared" si="96"/>
        <v>0</v>
      </c>
      <c r="BA182" s="109">
        <f t="shared" si="97"/>
        <v>0</v>
      </c>
    </row>
    <row r="183" spans="1:53" x14ac:dyDescent="0.35">
      <c r="A183" s="143">
        <v>39654</v>
      </c>
      <c r="B183" s="106" t="s">
        <v>45</v>
      </c>
      <c r="C183" s="106" t="s">
        <v>47</v>
      </c>
      <c r="D183" s="83">
        <f t="shared" si="70"/>
        <v>0</v>
      </c>
      <c r="E183" s="106" t="s">
        <v>248</v>
      </c>
      <c r="F183" s="83">
        <f t="shared" si="71"/>
        <v>5</v>
      </c>
      <c r="G183" s="106">
        <v>700000000</v>
      </c>
      <c r="H183" s="83">
        <f t="shared" si="72"/>
        <v>8.8450980400142569</v>
      </c>
      <c r="I183" s="143">
        <v>42340</v>
      </c>
      <c r="J183" s="106">
        <v>1680000000</v>
      </c>
      <c r="K183" s="145">
        <f t="shared" si="73"/>
        <v>7.3589041095890408</v>
      </c>
      <c r="L183" s="148">
        <f t="shared" si="98"/>
        <v>0.86681314387622188</v>
      </c>
      <c r="M183" s="106">
        <v>0</v>
      </c>
      <c r="N183" s="106">
        <f t="shared" si="74"/>
        <v>0</v>
      </c>
      <c r="O183" s="106">
        <v>51</v>
      </c>
      <c r="P183" s="108">
        <f t="shared" si="99"/>
        <v>1.7075701760979363</v>
      </c>
      <c r="Q183" s="59">
        <v>2.95</v>
      </c>
      <c r="R183" s="65">
        <f t="shared" si="100"/>
        <v>0.46982201597816303</v>
      </c>
      <c r="S183" s="154">
        <f t="shared" si="75"/>
        <v>1.4</v>
      </c>
      <c r="T183" s="119">
        <f t="shared" si="76"/>
        <v>0.38021124171160603</v>
      </c>
      <c r="U183" s="106">
        <v>2315.9650000000001</v>
      </c>
      <c r="V183" s="106">
        <f t="shared" si="77"/>
        <v>3.3647319918335836</v>
      </c>
      <c r="W183" s="106">
        <v>3703.9029999999998</v>
      </c>
      <c r="X183" s="106">
        <f t="shared" si="78"/>
        <v>3.568659604598353</v>
      </c>
      <c r="Y183" s="106">
        <v>0</v>
      </c>
      <c r="Z183" s="118">
        <f t="shared" si="79"/>
        <v>0</v>
      </c>
      <c r="AA183" s="106">
        <v>92.6</v>
      </c>
      <c r="AB183" s="108">
        <f t="shared" si="101"/>
        <v>1.9666109866819343</v>
      </c>
      <c r="AC183" s="119">
        <v>25.7</v>
      </c>
      <c r="AD183" s="127">
        <f t="shared" si="102"/>
        <v>1.4099331233312946</v>
      </c>
      <c r="AE183" s="120">
        <v>39.823361151429197</v>
      </c>
      <c r="AF183" s="128">
        <f t="shared" si="103"/>
        <v>1.6001379123442065</v>
      </c>
      <c r="AG183" s="152">
        <v>-0.03</v>
      </c>
      <c r="AH183" s="119">
        <f t="shared" si="80"/>
        <v>-1.322826573375516E-2</v>
      </c>
      <c r="AI183" s="106">
        <v>70</v>
      </c>
      <c r="AJ183" s="108">
        <f t="shared" si="104"/>
        <v>1.8450980400142569</v>
      </c>
      <c r="AK183" s="106">
        <f t="shared" si="81"/>
        <v>0</v>
      </c>
      <c r="AL183" s="106">
        <f t="shared" si="82"/>
        <v>1</v>
      </c>
      <c r="AM183" s="106">
        <f t="shared" si="83"/>
        <v>0</v>
      </c>
      <c r="AN183" s="106">
        <f t="shared" si="84"/>
        <v>0</v>
      </c>
      <c r="AO183" s="106">
        <f t="shared" si="85"/>
        <v>0</v>
      </c>
      <c r="AP183" s="106">
        <f t="shared" si="86"/>
        <v>0</v>
      </c>
      <c r="AQ183" s="106">
        <f t="shared" si="87"/>
        <v>0</v>
      </c>
      <c r="AR183" s="106">
        <f t="shared" si="88"/>
        <v>0</v>
      </c>
      <c r="AS183" s="106">
        <f t="shared" si="89"/>
        <v>0</v>
      </c>
      <c r="AT183" s="106">
        <f t="shared" si="90"/>
        <v>0</v>
      </c>
      <c r="AU183" s="106">
        <f t="shared" si="91"/>
        <v>0</v>
      </c>
      <c r="AV183" s="106">
        <f t="shared" si="92"/>
        <v>0</v>
      </c>
      <c r="AW183" s="106">
        <f t="shared" si="93"/>
        <v>0</v>
      </c>
      <c r="AX183" s="106">
        <f t="shared" si="94"/>
        <v>0</v>
      </c>
      <c r="AY183" s="106">
        <f t="shared" si="95"/>
        <v>0</v>
      </c>
      <c r="AZ183" s="106">
        <f t="shared" si="96"/>
        <v>0</v>
      </c>
      <c r="BA183" s="107">
        <f t="shared" si="97"/>
        <v>0</v>
      </c>
    </row>
    <row r="184" spans="1:53" x14ac:dyDescent="0.35">
      <c r="A184" s="146">
        <v>39658</v>
      </c>
      <c r="B184" s="108" t="s">
        <v>2</v>
      </c>
      <c r="C184" s="108" t="s">
        <v>64</v>
      </c>
      <c r="D184" s="84">
        <f t="shared" si="70"/>
        <v>1</v>
      </c>
      <c r="E184" s="108" t="s">
        <v>178</v>
      </c>
      <c r="F184" s="84">
        <f t="shared" si="71"/>
        <v>9</v>
      </c>
      <c r="G184" s="108">
        <v>350000000</v>
      </c>
      <c r="H184" s="84">
        <f t="shared" si="72"/>
        <v>8.5440680443502757</v>
      </c>
      <c r="I184" s="146">
        <v>42389</v>
      </c>
      <c r="J184" s="108">
        <v>179340000</v>
      </c>
      <c r="K184" s="148">
        <f t="shared" si="73"/>
        <v>7.4821917808219176</v>
      </c>
      <c r="L184" s="148">
        <f t="shared" si="98"/>
        <v>0.87402883568325862</v>
      </c>
      <c r="M184" s="108">
        <v>6815.73</v>
      </c>
      <c r="N184" s="108">
        <f t="shared" si="74"/>
        <v>3.8335760926148099</v>
      </c>
      <c r="O184" s="108">
        <v>0</v>
      </c>
      <c r="P184" s="108">
        <f t="shared" si="99"/>
        <v>0</v>
      </c>
      <c r="Q184" s="65">
        <v>2.85</v>
      </c>
      <c r="R184" s="65">
        <f t="shared" si="100"/>
        <v>0.45484486000851021</v>
      </c>
      <c r="S184" s="155">
        <f t="shared" si="75"/>
        <v>-0.48760000000000003</v>
      </c>
      <c r="T184" s="127">
        <f t="shared" si="76"/>
        <v>-0.29039087892735133</v>
      </c>
      <c r="U184" s="108">
        <v>2672.4137931034488</v>
      </c>
      <c r="V184" s="108">
        <f t="shared" si="77"/>
        <v>3.4269037046073545</v>
      </c>
      <c r="W184" s="108">
        <v>7208.6801426872771</v>
      </c>
      <c r="X184" s="108">
        <f t="shared" si="78"/>
        <v>3.857855755812408</v>
      </c>
      <c r="Y184" s="126">
        <v>819</v>
      </c>
      <c r="Z184" s="126">
        <f t="shared" si="79"/>
        <v>2.9138138523837167</v>
      </c>
      <c r="AA184" s="108">
        <v>89.9</v>
      </c>
      <c r="AB184" s="108">
        <f t="shared" si="101"/>
        <v>1.9537596917332287</v>
      </c>
      <c r="AC184" s="127">
        <v>35.4</v>
      </c>
      <c r="AD184" s="127">
        <f t="shared" si="102"/>
        <v>1.5490032620257879</v>
      </c>
      <c r="AE184" s="128">
        <v>43.572845019400901</v>
      </c>
      <c r="AF184" s="128">
        <f t="shared" si="103"/>
        <v>1.6392159174268797</v>
      </c>
      <c r="AG184" s="153">
        <v>0.09</v>
      </c>
      <c r="AH184" s="127">
        <f t="shared" si="80"/>
        <v>3.7426497940623665E-2</v>
      </c>
      <c r="AI184" s="108">
        <v>68</v>
      </c>
      <c r="AJ184" s="108">
        <f t="shared" si="104"/>
        <v>1.8325089127062364</v>
      </c>
      <c r="AK184" s="108">
        <f t="shared" si="81"/>
        <v>0</v>
      </c>
      <c r="AL184" s="108">
        <f t="shared" si="82"/>
        <v>0</v>
      </c>
      <c r="AM184" s="108">
        <f t="shared" si="83"/>
        <v>0</v>
      </c>
      <c r="AN184" s="108">
        <f t="shared" si="84"/>
        <v>0</v>
      </c>
      <c r="AO184" s="108">
        <f t="shared" si="85"/>
        <v>0</v>
      </c>
      <c r="AP184" s="108">
        <f t="shared" si="86"/>
        <v>0</v>
      </c>
      <c r="AQ184" s="108">
        <f t="shared" si="87"/>
        <v>0</v>
      </c>
      <c r="AR184" s="108">
        <f t="shared" si="88"/>
        <v>0</v>
      </c>
      <c r="AS184" s="108">
        <f t="shared" si="89"/>
        <v>0</v>
      </c>
      <c r="AT184" s="108">
        <f t="shared" si="90"/>
        <v>1</v>
      </c>
      <c r="AU184" s="108">
        <f t="shared" si="91"/>
        <v>0</v>
      </c>
      <c r="AV184" s="108">
        <f t="shared" si="92"/>
        <v>0</v>
      </c>
      <c r="AW184" s="108">
        <f t="shared" si="93"/>
        <v>0</v>
      </c>
      <c r="AX184" s="108">
        <f t="shared" si="94"/>
        <v>0</v>
      </c>
      <c r="AY184" s="108">
        <f t="shared" si="95"/>
        <v>0</v>
      </c>
      <c r="AZ184" s="108">
        <f t="shared" si="96"/>
        <v>0</v>
      </c>
      <c r="BA184" s="109">
        <f t="shared" si="97"/>
        <v>0</v>
      </c>
    </row>
    <row r="185" spans="1:53" x14ac:dyDescent="0.35">
      <c r="A185" s="143">
        <v>39665</v>
      </c>
      <c r="B185" s="106" t="s">
        <v>59</v>
      </c>
      <c r="C185" s="106" t="s">
        <v>64</v>
      </c>
      <c r="D185" s="83">
        <f t="shared" si="70"/>
        <v>1</v>
      </c>
      <c r="E185" s="106" t="s">
        <v>178</v>
      </c>
      <c r="F185" s="83">
        <f t="shared" si="71"/>
        <v>9</v>
      </c>
      <c r="G185" s="106">
        <v>170000000</v>
      </c>
      <c r="H185" s="83">
        <f t="shared" si="72"/>
        <v>8.2304489213782741</v>
      </c>
      <c r="I185" s="143">
        <v>41253</v>
      </c>
      <c r="J185" s="106">
        <v>300000000</v>
      </c>
      <c r="K185" s="145">
        <f t="shared" si="73"/>
        <v>4.3506849315068497</v>
      </c>
      <c r="L185" s="148">
        <f t="shared" si="98"/>
        <v>0.63855763363460283</v>
      </c>
      <c r="M185" s="106">
        <v>5897.96</v>
      </c>
      <c r="N185" s="106">
        <f t="shared" si="74"/>
        <v>3.7707754512906644</v>
      </c>
      <c r="O185" s="106">
        <v>22</v>
      </c>
      <c r="P185" s="108">
        <f t="shared" si="99"/>
        <v>1.3424226808222062</v>
      </c>
      <c r="Q185" s="59">
        <v>2.3199999999999998</v>
      </c>
      <c r="R185" s="65">
        <f t="shared" si="100"/>
        <v>0.36548798489089962</v>
      </c>
      <c r="S185" s="154">
        <f t="shared" si="75"/>
        <v>0.76470588235294112</v>
      </c>
      <c r="T185" s="119">
        <f t="shared" si="76"/>
        <v>0.24667233334138849</v>
      </c>
      <c r="U185" s="106">
        <v>3400</v>
      </c>
      <c r="V185" s="106">
        <f t="shared" si="77"/>
        <v>3.5314789170422549</v>
      </c>
      <c r="W185" s="106">
        <v>8861.3406795224982</v>
      </c>
      <c r="X185" s="106">
        <f t="shared" si="78"/>
        <v>3.9474994335880176</v>
      </c>
      <c r="Y185" s="118">
        <v>132</v>
      </c>
      <c r="Z185" s="118">
        <f t="shared" si="79"/>
        <v>2.1238516409670858</v>
      </c>
      <c r="AA185" s="106">
        <v>90.8</v>
      </c>
      <c r="AB185" s="108">
        <f t="shared" si="101"/>
        <v>1.958085848521085</v>
      </c>
      <c r="AC185" s="119">
        <v>32.299999999999997</v>
      </c>
      <c r="AD185" s="127">
        <f t="shared" si="102"/>
        <v>1.5092025223311027</v>
      </c>
      <c r="AE185" s="120">
        <v>44.4007960521485</v>
      </c>
      <c r="AF185" s="128">
        <f t="shared" si="103"/>
        <v>1.6473907565550749</v>
      </c>
      <c r="AG185" s="152">
        <v>-0.19</v>
      </c>
      <c r="AH185" s="119">
        <f t="shared" si="80"/>
        <v>-9.1514981121350217E-2</v>
      </c>
      <c r="AI185" s="106">
        <v>77</v>
      </c>
      <c r="AJ185" s="108">
        <f t="shared" si="104"/>
        <v>1.8864907251724818</v>
      </c>
      <c r="AK185" s="106">
        <f t="shared" si="81"/>
        <v>0</v>
      </c>
      <c r="AL185" s="106">
        <f t="shared" si="82"/>
        <v>0</v>
      </c>
      <c r="AM185" s="106">
        <f t="shared" si="83"/>
        <v>1</v>
      </c>
      <c r="AN185" s="106">
        <f t="shared" si="84"/>
        <v>0</v>
      </c>
      <c r="AO185" s="106">
        <f t="shared" si="85"/>
        <v>0</v>
      </c>
      <c r="AP185" s="106">
        <f t="shared" si="86"/>
        <v>0</v>
      </c>
      <c r="AQ185" s="106">
        <f t="shared" si="87"/>
        <v>0</v>
      </c>
      <c r="AR185" s="106">
        <f t="shared" si="88"/>
        <v>0</v>
      </c>
      <c r="AS185" s="106">
        <f t="shared" si="89"/>
        <v>0</v>
      </c>
      <c r="AT185" s="106">
        <f t="shared" si="90"/>
        <v>0</v>
      </c>
      <c r="AU185" s="106">
        <f t="shared" si="91"/>
        <v>0</v>
      </c>
      <c r="AV185" s="106">
        <f t="shared" si="92"/>
        <v>0</v>
      </c>
      <c r="AW185" s="106">
        <f t="shared" si="93"/>
        <v>0</v>
      </c>
      <c r="AX185" s="106">
        <f t="shared" si="94"/>
        <v>0</v>
      </c>
      <c r="AY185" s="106">
        <f t="shared" si="95"/>
        <v>0</v>
      </c>
      <c r="AZ185" s="106">
        <f t="shared" si="96"/>
        <v>0</v>
      </c>
      <c r="BA185" s="107">
        <f t="shared" si="97"/>
        <v>0</v>
      </c>
    </row>
    <row r="186" spans="1:53" x14ac:dyDescent="0.35">
      <c r="A186" s="146">
        <v>39678</v>
      </c>
      <c r="B186" s="108" t="s">
        <v>4</v>
      </c>
      <c r="C186" s="108" t="s">
        <v>125</v>
      </c>
      <c r="D186" s="84">
        <f t="shared" si="70"/>
        <v>1</v>
      </c>
      <c r="E186" s="108" t="s">
        <v>235</v>
      </c>
      <c r="F186" s="84">
        <f t="shared" si="71"/>
        <v>1</v>
      </c>
      <c r="G186" s="108">
        <v>915710000</v>
      </c>
      <c r="H186" s="84">
        <f t="shared" si="72"/>
        <v>8.9617579569203265</v>
      </c>
      <c r="I186" s="146">
        <v>40718</v>
      </c>
      <c r="J186" s="108">
        <v>2365506000</v>
      </c>
      <c r="K186" s="148">
        <f t="shared" si="73"/>
        <v>2.8493150684931505</v>
      </c>
      <c r="L186" s="148">
        <f t="shared" si="98"/>
        <v>0.45474047484230562</v>
      </c>
      <c r="M186" s="108">
        <v>0</v>
      </c>
      <c r="N186" s="108">
        <f t="shared" si="74"/>
        <v>0</v>
      </c>
      <c r="O186" s="108">
        <v>20</v>
      </c>
      <c r="P186" s="108">
        <f t="shared" si="99"/>
        <v>1.3010299956639813</v>
      </c>
      <c r="Q186" s="65">
        <v>3.59</v>
      </c>
      <c r="R186" s="65">
        <f t="shared" si="100"/>
        <v>0.55509444857831913</v>
      </c>
      <c r="S186" s="155">
        <f t="shared" si="75"/>
        <v>1.5832479715193677</v>
      </c>
      <c r="T186" s="127">
        <f t="shared" si="76"/>
        <v>0.41216609703415352</v>
      </c>
      <c r="U186" s="108">
        <v>1450.8446376578247</v>
      </c>
      <c r="V186" s="108">
        <f t="shared" si="77"/>
        <v>3.1616209089088487</v>
      </c>
      <c r="W186" s="108">
        <v>6306.1358665754287</v>
      </c>
      <c r="X186" s="108">
        <f t="shared" si="78"/>
        <v>3.7997633234477775</v>
      </c>
      <c r="Y186" s="126">
        <v>0</v>
      </c>
      <c r="Z186" s="126">
        <f t="shared" si="79"/>
        <v>0</v>
      </c>
      <c r="AA186" s="108">
        <v>95.6</v>
      </c>
      <c r="AB186" s="108">
        <f t="shared" si="101"/>
        <v>1.9804578922761</v>
      </c>
      <c r="AC186" s="127">
        <v>44</v>
      </c>
      <c r="AD186" s="127">
        <f t="shared" si="102"/>
        <v>1.6434526764861874</v>
      </c>
      <c r="AE186" s="128">
        <v>50.007710041127098</v>
      </c>
      <c r="AF186" s="128">
        <f t="shared" si="103"/>
        <v>1.6990369677395805</v>
      </c>
      <c r="AG186" s="153">
        <v>-0.01</v>
      </c>
      <c r="AH186" s="127">
        <f t="shared" si="80"/>
        <v>-4.3648054024500883E-3</v>
      </c>
      <c r="AI186" s="108">
        <v>4</v>
      </c>
      <c r="AJ186" s="108">
        <f t="shared" si="104"/>
        <v>0.6020599913279624</v>
      </c>
      <c r="AK186" s="108">
        <f t="shared" si="81"/>
        <v>0</v>
      </c>
      <c r="AL186" s="108">
        <f t="shared" si="82"/>
        <v>0</v>
      </c>
      <c r="AM186" s="108">
        <f t="shared" si="83"/>
        <v>0</v>
      </c>
      <c r="AN186" s="108">
        <f t="shared" si="84"/>
        <v>0</v>
      </c>
      <c r="AO186" s="108">
        <f t="shared" si="85"/>
        <v>0</v>
      </c>
      <c r="AP186" s="108">
        <f t="shared" si="86"/>
        <v>1</v>
      </c>
      <c r="AQ186" s="108">
        <f t="shared" si="87"/>
        <v>0</v>
      </c>
      <c r="AR186" s="108">
        <f t="shared" si="88"/>
        <v>0</v>
      </c>
      <c r="AS186" s="108">
        <f t="shared" si="89"/>
        <v>0</v>
      </c>
      <c r="AT186" s="108">
        <f t="shared" si="90"/>
        <v>0</v>
      </c>
      <c r="AU186" s="108">
        <f t="shared" si="91"/>
        <v>0</v>
      </c>
      <c r="AV186" s="108">
        <f t="shared" si="92"/>
        <v>0</v>
      </c>
      <c r="AW186" s="108">
        <f t="shared" si="93"/>
        <v>0</v>
      </c>
      <c r="AX186" s="108">
        <f t="shared" si="94"/>
        <v>0</v>
      </c>
      <c r="AY186" s="108">
        <f t="shared" si="95"/>
        <v>0</v>
      </c>
      <c r="AZ186" s="108">
        <f t="shared" si="96"/>
        <v>0</v>
      </c>
      <c r="BA186" s="109">
        <f t="shared" si="97"/>
        <v>0</v>
      </c>
    </row>
    <row r="187" spans="1:53" x14ac:dyDescent="0.35">
      <c r="A187" s="143">
        <v>39692</v>
      </c>
      <c r="B187" s="106" t="s">
        <v>59</v>
      </c>
      <c r="C187" s="106" t="s">
        <v>64</v>
      </c>
      <c r="D187" s="83">
        <f t="shared" si="70"/>
        <v>1</v>
      </c>
      <c r="E187" s="106" t="s">
        <v>245</v>
      </c>
      <c r="F187" s="83">
        <f t="shared" si="71"/>
        <v>6</v>
      </c>
      <c r="G187" s="106">
        <v>360000000</v>
      </c>
      <c r="H187" s="83">
        <f t="shared" si="72"/>
        <v>8.5563025007672877</v>
      </c>
      <c r="I187" s="143">
        <v>41100</v>
      </c>
      <c r="J187" s="106">
        <v>650000000</v>
      </c>
      <c r="K187" s="145">
        <f t="shared" si="73"/>
        <v>3.8575342465753426</v>
      </c>
      <c r="L187" s="148">
        <f t="shared" si="98"/>
        <v>0.58630979034961872</v>
      </c>
      <c r="M187" s="106">
        <v>5897.96</v>
      </c>
      <c r="N187" s="106">
        <f t="shared" si="74"/>
        <v>3.7707754512906644</v>
      </c>
      <c r="O187" s="106">
        <v>0</v>
      </c>
      <c r="P187" s="108">
        <f t="shared" si="99"/>
        <v>0</v>
      </c>
      <c r="Q187" s="59">
        <v>2.3199999999999998</v>
      </c>
      <c r="R187" s="65">
        <f t="shared" si="100"/>
        <v>0.36548798489089962</v>
      </c>
      <c r="S187" s="154">
        <f t="shared" si="75"/>
        <v>0.80555555555555558</v>
      </c>
      <c r="T187" s="119">
        <f t="shared" si="76"/>
        <v>0.25661085587556831</v>
      </c>
      <c r="U187" s="106">
        <v>1246.953</v>
      </c>
      <c r="V187" s="106">
        <f t="shared" si="77"/>
        <v>3.0958500844125241</v>
      </c>
      <c r="W187" s="106">
        <v>3219.7179999999998</v>
      </c>
      <c r="X187" s="106">
        <f t="shared" si="78"/>
        <v>3.5078178355445662</v>
      </c>
      <c r="Y187" s="118">
        <v>132</v>
      </c>
      <c r="Z187" s="118">
        <f t="shared" si="79"/>
        <v>2.1238516409670858</v>
      </c>
      <c r="AA187" s="106">
        <v>90.8</v>
      </c>
      <c r="AB187" s="108">
        <f t="shared" si="101"/>
        <v>1.958085848521085</v>
      </c>
      <c r="AC187" s="119">
        <v>32.299999999999997</v>
      </c>
      <c r="AD187" s="127">
        <f t="shared" si="102"/>
        <v>1.5092025223311027</v>
      </c>
      <c r="AE187" s="120">
        <v>44.4007960521485</v>
      </c>
      <c r="AF187" s="128">
        <f t="shared" si="103"/>
        <v>1.6473907565550749</v>
      </c>
      <c r="AG187" s="152">
        <v>0.18</v>
      </c>
      <c r="AH187" s="119">
        <f t="shared" si="80"/>
        <v>7.1882007306125359E-2</v>
      </c>
      <c r="AI187" s="106">
        <v>152</v>
      </c>
      <c r="AJ187" s="108">
        <f t="shared" si="104"/>
        <v>2.1818435879447726</v>
      </c>
      <c r="AK187" s="106">
        <f t="shared" si="81"/>
        <v>0</v>
      </c>
      <c r="AL187" s="106">
        <f t="shared" si="82"/>
        <v>0</v>
      </c>
      <c r="AM187" s="106">
        <f t="shared" si="83"/>
        <v>1</v>
      </c>
      <c r="AN187" s="106">
        <f t="shared" si="84"/>
        <v>0</v>
      </c>
      <c r="AO187" s="106">
        <f t="shared" si="85"/>
        <v>0</v>
      </c>
      <c r="AP187" s="106">
        <f t="shared" si="86"/>
        <v>0</v>
      </c>
      <c r="AQ187" s="106">
        <f t="shared" si="87"/>
        <v>0</v>
      </c>
      <c r="AR187" s="106">
        <f t="shared" si="88"/>
        <v>0</v>
      </c>
      <c r="AS187" s="106">
        <f t="shared" si="89"/>
        <v>0</v>
      </c>
      <c r="AT187" s="106">
        <f t="shared" si="90"/>
        <v>0</v>
      </c>
      <c r="AU187" s="106">
        <f t="shared" si="91"/>
        <v>0</v>
      </c>
      <c r="AV187" s="106">
        <f t="shared" si="92"/>
        <v>0</v>
      </c>
      <c r="AW187" s="106">
        <f t="shared" si="93"/>
        <v>0</v>
      </c>
      <c r="AX187" s="106">
        <f t="shared" si="94"/>
        <v>0</v>
      </c>
      <c r="AY187" s="106">
        <f t="shared" si="95"/>
        <v>0</v>
      </c>
      <c r="AZ187" s="106">
        <f t="shared" si="96"/>
        <v>0</v>
      </c>
      <c r="BA187" s="107">
        <f t="shared" si="97"/>
        <v>0</v>
      </c>
    </row>
    <row r="188" spans="1:53" x14ac:dyDescent="0.35">
      <c r="A188" s="146">
        <v>39701</v>
      </c>
      <c r="B188" s="108" t="s">
        <v>5</v>
      </c>
      <c r="C188" s="108" t="s">
        <v>64</v>
      </c>
      <c r="D188" s="84">
        <f t="shared" si="70"/>
        <v>1</v>
      </c>
      <c r="E188" s="108" t="s">
        <v>269</v>
      </c>
      <c r="F188" s="84">
        <f t="shared" si="71"/>
        <v>7</v>
      </c>
      <c r="G188" s="108">
        <v>186740000</v>
      </c>
      <c r="H188" s="84">
        <f t="shared" si="72"/>
        <v>8.271237354470836</v>
      </c>
      <c r="I188" s="146">
        <v>42822</v>
      </c>
      <c r="J188" s="108">
        <v>257000000</v>
      </c>
      <c r="K188" s="148">
        <f t="shared" si="73"/>
        <v>8.5506849315068489</v>
      </c>
      <c r="L188" s="148">
        <f t="shared" si="98"/>
        <v>0.93200090420885795</v>
      </c>
      <c r="M188" s="108">
        <v>6188.89</v>
      </c>
      <c r="N188" s="108">
        <f t="shared" si="74"/>
        <v>3.7916829312790057</v>
      </c>
      <c r="O188" s="108">
        <v>78</v>
      </c>
      <c r="P188" s="108">
        <f t="shared" si="99"/>
        <v>1.8920946026904804</v>
      </c>
      <c r="Q188" s="65">
        <v>2.72</v>
      </c>
      <c r="R188" s="65">
        <f t="shared" si="100"/>
        <v>0.43456890403419873</v>
      </c>
      <c r="S188" s="155">
        <f t="shared" si="75"/>
        <v>0.37624504658884006</v>
      </c>
      <c r="T188" s="127">
        <f t="shared" si="76"/>
        <v>0.1386957688604587</v>
      </c>
      <c r="U188" s="108">
        <v>1455.046</v>
      </c>
      <c r="V188" s="108">
        <f t="shared" si="77"/>
        <v>3.1628767233771686</v>
      </c>
      <c r="W188" s="108">
        <v>4062.5129999999999</v>
      </c>
      <c r="X188" s="108">
        <f t="shared" si="78"/>
        <v>3.6087947637270492</v>
      </c>
      <c r="Y188" s="126">
        <v>1084.3333333333301</v>
      </c>
      <c r="Z188" s="126">
        <f t="shared" si="79"/>
        <v>3.0355631414974997</v>
      </c>
      <c r="AA188" s="108">
        <v>88</v>
      </c>
      <c r="AB188" s="108">
        <f t="shared" si="101"/>
        <v>1.9444826721501687</v>
      </c>
      <c r="AC188" s="127">
        <v>35.9</v>
      </c>
      <c r="AD188" s="127">
        <f t="shared" si="102"/>
        <v>1.5550944485783191</v>
      </c>
      <c r="AE188" s="128">
        <v>43.1081369225492</v>
      </c>
      <c r="AF188" s="128">
        <f t="shared" si="103"/>
        <v>1.634559253618429</v>
      </c>
      <c r="AG188" s="153">
        <v>-0.04</v>
      </c>
      <c r="AH188" s="127">
        <f t="shared" si="80"/>
        <v>-1.7728766960431602E-2</v>
      </c>
      <c r="AI188" s="108">
        <v>0</v>
      </c>
      <c r="AJ188" s="108" t="e">
        <f t="shared" si="104"/>
        <v>#NUM!</v>
      </c>
      <c r="AK188" s="108">
        <f t="shared" si="81"/>
        <v>0</v>
      </c>
      <c r="AL188" s="108">
        <f t="shared" si="82"/>
        <v>0</v>
      </c>
      <c r="AM188" s="108">
        <f t="shared" si="83"/>
        <v>0</v>
      </c>
      <c r="AN188" s="108">
        <f t="shared" si="84"/>
        <v>0</v>
      </c>
      <c r="AO188" s="108">
        <f t="shared" si="85"/>
        <v>0</v>
      </c>
      <c r="AP188" s="108">
        <f t="shared" si="86"/>
        <v>0</v>
      </c>
      <c r="AQ188" s="108">
        <f t="shared" si="87"/>
        <v>1</v>
      </c>
      <c r="AR188" s="108">
        <f t="shared" si="88"/>
        <v>0</v>
      </c>
      <c r="AS188" s="108">
        <f t="shared" si="89"/>
        <v>0</v>
      </c>
      <c r="AT188" s="108">
        <f t="shared" si="90"/>
        <v>0</v>
      </c>
      <c r="AU188" s="108">
        <f t="shared" si="91"/>
        <v>0</v>
      </c>
      <c r="AV188" s="108">
        <f t="shared" si="92"/>
        <v>0</v>
      </c>
      <c r="AW188" s="108">
        <f t="shared" si="93"/>
        <v>0</v>
      </c>
      <c r="AX188" s="108">
        <f t="shared" si="94"/>
        <v>0</v>
      </c>
      <c r="AY188" s="108">
        <f t="shared" si="95"/>
        <v>0</v>
      </c>
      <c r="AZ188" s="108">
        <f t="shared" si="96"/>
        <v>0</v>
      </c>
      <c r="BA188" s="109">
        <f t="shared" si="97"/>
        <v>0</v>
      </c>
    </row>
    <row r="189" spans="1:53" x14ac:dyDescent="0.35">
      <c r="A189" s="143">
        <v>39703</v>
      </c>
      <c r="B189" s="106" t="s">
        <v>45</v>
      </c>
      <c r="C189" s="106" t="s">
        <v>47</v>
      </c>
      <c r="D189" s="83">
        <f t="shared" si="70"/>
        <v>0</v>
      </c>
      <c r="E189" s="106" t="s">
        <v>186</v>
      </c>
      <c r="F189" s="83">
        <f t="shared" si="71"/>
        <v>4</v>
      </c>
      <c r="G189" s="106">
        <v>3500000000</v>
      </c>
      <c r="H189" s="83">
        <f t="shared" si="72"/>
        <v>9.5440680443502757</v>
      </c>
      <c r="I189" s="143">
        <v>43181</v>
      </c>
      <c r="J189" s="106">
        <v>300000000</v>
      </c>
      <c r="K189" s="145">
        <f t="shared" si="73"/>
        <v>9.5287671232876718</v>
      </c>
      <c r="L189" s="148">
        <f t="shared" si="98"/>
        <v>0.97903671321021901</v>
      </c>
      <c r="M189" s="106">
        <v>0</v>
      </c>
      <c r="N189" s="106">
        <f t="shared" si="74"/>
        <v>0</v>
      </c>
      <c r="O189" s="106">
        <v>26</v>
      </c>
      <c r="P189" s="108">
        <f t="shared" si="99"/>
        <v>1.414973347970818</v>
      </c>
      <c r="Q189" s="59">
        <v>2.95</v>
      </c>
      <c r="R189" s="65">
        <f t="shared" si="100"/>
        <v>0.46982201597816303</v>
      </c>
      <c r="S189" s="154">
        <f t="shared" si="75"/>
        <v>-0.91428571428571426</v>
      </c>
      <c r="T189" s="119">
        <f t="shared" si="76"/>
        <v>-1.0669467896306131</v>
      </c>
      <c r="U189" s="106">
        <v>2315.9650000000001</v>
      </c>
      <c r="V189" s="106">
        <f t="shared" si="77"/>
        <v>3.3647319918335836</v>
      </c>
      <c r="W189" s="106">
        <v>3703.9029999999998</v>
      </c>
      <c r="X189" s="106">
        <f t="shared" si="78"/>
        <v>3.568659604598353</v>
      </c>
      <c r="Y189" s="106">
        <v>0</v>
      </c>
      <c r="Z189" s="118">
        <f t="shared" si="79"/>
        <v>0</v>
      </c>
      <c r="AA189" s="106">
        <v>92.6</v>
      </c>
      <c r="AB189" s="108">
        <f t="shared" si="101"/>
        <v>1.9666109866819343</v>
      </c>
      <c r="AC189" s="119">
        <v>25.7</v>
      </c>
      <c r="AD189" s="127">
        <f t="shared" si="102"/>
        <v>1.4099331233312946</v>
      </c>
      <c r="AE189" s="120">
        <v>39.823361151429197</v>
      </c>
      <c r="AF189" s="128">
        <f t="shared" si="103"/>
        <v>1.6001379123442065</v>
      </c>
      <c r="AG189" s="152">
        <v>0.3</v>
      </c>
      <c r="AH189" s="119">
        <f t="shared" si="80"/>
        <v>0.11394335230683679</v>
      </c>
      <c r="AI189" s="106">
        <v>11</v>
      </c>
      <c r="AJ189" s="108">
        <f t="shared" si="104"/>
        <v>1.0413926851582251</v>
      </c>
      <c r="AK189" s="106">
        <f t="shared" si="81"/>
        <v>0</v>
      </c>
      <c r="AL189" s="106">
        <f t="shared" si="82"/>
        <v>1</v>
      </c>
      <c r="AM189" s="106">
        <f t="shared" si="83"/>
        <v>0</v>
      </c>
      <c r="AN189" s="106">
        <f t="shared" si="84"/>
        <v>0</v>
      </c>
      <c r="AO189" s="106">
        <f t="shared" si="85"/>
        <v>0</v>
      </c>
      <c r="AP189" s="106">
        <f t="shared" si="86"/>
        <v>0</v>
      </c>
      <c r="AQ189" s="106">
        <f t="shared" si="87"/>
        <v>0</v>
      </c>
      <c r="AR189" s="106">
        <f t="shared" si="88"/>
        <v>0</v>
      </c>
      <c r="AS189" s="106">
        <f t="shared" si="89"/>
        <v>0</v>
      </c>
      <c r="AT189" s="106">
        <f t="shared" si="90"/>
        <v>0</v>
      </c>
      <c r="AU189" s="106">
        <f t="shared" si="91"/>
        <v>0</v>
      </c>
      <c r="AV189" s="106">
        <f t="shared" si="92"/>
        <v>0</v>
      </c>
      <c r="AW189" s="106">
        <f t="shared" si="93"/>
        <v>0</v>
      </c>
      <c r="AX189" s="106">
        <f t="shared" si="94"/>
        <v>0</v>
      </c>
      <c r="AY189" s="106">
        <f t="shared" si="95"/>
        <v>0</v>
      </c>
      <c r="AZ189" s="106">
        <f t="shared" si="96"/>
        <v>0</v>
      </c>
      <c r="BA189" s="107">
        <f t="shared" si="97"/>
        <v>0</v>
      </c>
    </row>
    <row r="190" spans="1:53" x14ac:dyDescent="0.35">
      <c r="A190" s="146">
        <v>39706</v>
      </c>
      <c r="B190" s="108" t="s">
        <v>45</v>
      </c>
      <c r="C190" s="108" t="s">
        <v>47</v>
      </c>
      <c r="D190" s="84">
        <f t="shared" si="70"/>
        <v>0</v>
      </c>
      <c r="E190" s="108" t="s">
        <v>186</v>
      </c>
      <c r="F190" s="84">
        <f t="shared" si="71"/>
        <v>4</v>
      </c>
      <c r="G190" s="108">
        <v>480000000</v>
      </c>
      <c r="H190" s="84">
        <f t="shared" si="72"/>
        <v>8.6812412373755876</v>
      </c>
      <c r="I190" s="146">
        <v>42124</v>
      </c>
      <c r="J190" s="108">
        <v>600000000</v>
      </c>
      <c r="K190" s="148">
        <f t="shared" si="73"/>
        <v>6.624657534246575</v>
      </c>
      <c r="L190" s="148">
        <f t="shared" si="98"/>
        <v>0.82116343206827835</v>
      </c>
      <c r="M190" s="108">
        <v>0</v>
      </c>
      <c r="N190" s="108">
        <f t="shared" si="74"/>
        <v>0</v>
      </c>
      <c r="O190" s="108">
        <v>10</v>
      </c>
      <c r="P190" s="108">
        <f t="shared" si="99"/>
        <v>1</v>
      </c>
      <c r="Q190" s="65">
        <v>2.95</v>
      </c>
      <c r="R190" s="65">
        <f t="shared" si="100"/>
        <v>0.46982201597816303</v>
      </c>
      <c r="S190" s="155">
        <f t="shared" si="75"/>
        <v>0.25</v>
      </c>
      <c r="T190" s="127">
        <f t="shared" si="76"/>
        <v>9.691001300805642E-2</v>
      </c>
      <c r="U190" s="108">
        <v>1455.046</v>
      </c>
      <c r="V190" s="108">
        <f t="shared" si="77"/>
        <v>3.1628767233771686</v>
      </c>
      <c r="W190" s="108">
        <v>4062.5129999999999</v>
      </c>
      <c r="X190" s="108">
        <f t="shared" si="78"/>
        <v>3.6087947637270492</v>
      </c>
      <c r="Y190" s="108">
        <v>0</v>
      </c>
      <c r="Z190" s="126">
        <f t="shared" si="79"/>
        <v>0</v>
      </c>
      <c r="AA190" s="108">
        <v>92.6</v>
      </c>
      <c r="AB190" s="108">
        <f t="shared" si="101"/>
        <v>1.9666109866819343</v>
      </c>
      <c r="AC190" s="127">
        <v>25.7</v>
      </c>
      <c r="AD190" s="127">
        <f t="shared" si="102"/>
        <v>1.4099331233312946</v>
      </c>
      <c r="AE190" s="128">
        <v>39.823361151429197</v>
      </c>
      <c r="AF190" s="128">
        <f t="shared" si="103"/>
        <v>1.6001379123442065</v>
      </c>
      <c r="AG190" s="153">
        <v>0.38</v>
      </c>
      <c r="AH190" s="127">
        <f t="shared" si="80"/>
        <v>0.13987908640123647</v>
      </c>
      <c r="AI190" s="108">
        <v>19</v>
      </c>
      <c r="AJ190" s="108">
        <f t="shared" si="104"/>
        <v>1.2787536009528289</v>
      </c>
      <c r="AK190" s="108">
        <f t="shared" si="81"/>
        <v>0</v>
      </c>
      <c r="AL190" s="108">
        <f t="shared" si="82"/>
        <v>1</v>
      </c>
      <c r="AM190" s="108">
        <f t="shared" si="83"/>
        <v>0</v>
      </c>
      <c r="AN190" s="108">
        <f t="shared" si="84"/>
        <v>0</v>
      </c>
      <c r="AO190" s="108">
        <f t="shared" si="85"/>
        <v>0</v>
      </c>
      <c r="AP190" s="108">
        <f t="shared" si="86"/>
        <v>0</v>
      </c>
      <c r="AQ190" s="108">
        <f t="shared" si="87"/>
        <v>0</v>
      </c>
      <c r="AR190" s="108">
        <f t="shared" si="88"/>
        <v>0</v>
      </c>
      <c r="AS190" s="108">
        <f t="shared" si="89"/>
        <v>0</v>
      </c>
      <c r="AT190" s="108">
        <f t="shared" si="90"/>
        <v>0</v>
      </c>
      <c r="AU190" s="108">
        <f t="shared" si="91"/>
        <v>0</v>
      </c>
      <c r="AV190" s="108">
        <f t="shared" si="92"/>
        <v>0</v>
      </c>
      <c r="AW190" s="108">
        <f t="shared" si="93"/>
        <v>0</v>
      </c>
      <c r="AX190" s="108">
        <f t="shared" si="94"/>
        <v>0</v>
      </c>
      <c r="AY190" s="108">
        <f t="shared" si="95"/>
        <v>0</v>
      </c>
      <c r="AZ190" s="108">
        <f t="shared" si="96"/>
        <v>0</v>
      </c>
      <c r="BA190" s="109">
        <f t="shared" si="97"/>
        <v>0</v>
      </c>
    </row>
    <row r="191" spans="1:53" x14ac:dyDescent="0.35">
      <c r="A191" s="143">
        <v>39728</v>
      </c>
      <c r="B191" s="106" t="s">
        <v>45</v>
      </c>
      <c r="C191" s="106" t="s">
        <v>64</v>
      </c>
      <c r="D191" s="83">
        <f t="shared" si="70"/>
        <v>1</v>
      </c>
      <c r="E191" s="106" t="s">
        <v>178</v>
      </c>
      <c r="F191" s="83">
        <f t="shared" si="71"/>
        <v>9</v>
      </c>
      <c r="G191" s="106">
        <v>5519000</v>
      </c>
      <c r="H191" s="83">
        <f t="shared" si="72"/>
        <v>6.7418603940652639</v>
      </c>
      <c r="I191" s="143">
        <v>42571</v>
      </c>
      <c r="J191" s="106">
        <v>113603000</v>
      </c>
      <c r="K191" s="145">
        <f t="shared" si="73"/>
        <v>7.7890410958904113</v>
      </c>
      <c r="L191" s="148">
        <f t="shared" si="98"/>
        <v>0.89148399523396749</v>
      </c>
      <c r="M191" s="106">
        <v>5897.96</v>
      </c>
      <c r="N191" s="106">
        <f t="shared" si="74"/>
        <v>3.7707754512906644</v>
      </c>
      <c r="O191" s="106">
        <v>8</v>
      </c>
      <c r="P191" s="108">
        <f t="shared" si="99"/>
        <v>0.90308998699194354</v>
      </c>
      <c r="Q191" s="59">
        <v>2.3199999999999998</v>
      </c>
      <c r="R191" s="65">
        <f t="shared" si="100"/>
        <v>0.36548798489089962</v>
      </c>
      <c r="S191" s="154">
        <f t="shared" si="75"/>
        <v>19.583982605544481</v>
      </c>
      <c r="T191" s="119">
        <f t="shared" si="76"/>
        <v>1.3135294062027159</v>
      </c>
      <c r="U191" s="106">
        <v>4375.8573388203013</v>
      </c>
      <c r="V191" s="106">
        <f t="shared" si="77"/>
        <v>3.6410631547392063</v>
      </c>
      <c r="W191" s="106">
        <v>5027.4348422496569</v>
      </c>
      <c r="X191" s="106">
        <f t="shared" si="78"/>
        <v>3.7013464506591722</v>
      </c>
      <c r="Y191" s="118">
        <v>132</v>
      </c>
      <c r="Z191" s="118">
        <f t="shared" si="79"/>
        <v>2.1238516409670858</v>
      </c>
      <c r="AA191" s="106">
        <v>92.6</v>
      </c>
      <c r="AB191" s="108">
        <f t="shared" si="101"/>
        <v>1.9666109866819343</v>
      </c>
      <c r="AC191" s="119">
        <v>25.7</v>
      </c>
      <c r="AD191" s="127">
        <f t="shared" si="102"/>
        <v>1.4099331233312946</v>
      </c>
      <c r="AE191" s="120">
        <v>39.823361151429197</v>
      </c>
      <c r="AF191" s="128">
        <f t="shared" si="103"/>
        <v>1.6001379123442065</v>
      </c>
      <c r="AG191" s="152">
        <v>0.39</v>
      </c>
      <c r="AH191" s="119">
        <f t="shared" si="80"/>
        <v>0.14301480025409513</v>
      </c>
      <c r="AI191" s="106">
        <v>9</v>
      </c>
      <c r="AJ191" s="108">
        <f t="shared" si="104"/>
        <v>0.95424250943932487</v>
      </c>
      <c r="AK191" s="106">
        <f t="shared" si="81"/>
        <v>0</v>
      </c>
      <c r="AL191" s="106">
        <f t="shared" si="82"/>
        <v>1</v>
      </c>
      <c r="AM191" s="106">
        <f t="shared" si="83"/>
        <v>0</v>
      </c>
      <c r="AN191" s="106">
        <f t="shared" si="84"/>
        <v>0</v>
      </c>
      <c r="AO191" s="106">
        <f t="shared" si="85"/>
        <v>0</v>
      </c>
      <c r="AP191" s="106">
        <f t="shared" si="86"/>
        <v>0</v>
      </c>
      <c r="AQ191" s="106">
        <f t="shared" si="87"/>
        <v>0</v>
      </c>
      <c r="AR191" s="106">
        <f t="shared" si="88"/>
        <v>0</v>
      </c>
      <c r="AS191" s="106">
        <f t="shared" si="89"/>
        <v>0</v>
      </c>
      <c r="AT191" s="106">
        <f t="shared" si="90"/>
        <v>0</v>
      </c>
      <c r="AU191" s="106">
        <f t="shared" si="91"/>
        <v>0</v>
      </c>
      <c r="AV191" s="106">
        <f t="shared" si="92"/>
        <v>0</v>
      </c>
      <c r="AW191" s="106">
        <f t="shared" si="93"/>
        <v>0</v>
      </c>
      <c r="AX191" s="106">
        <f t="shared" si="94"/>
        <v>0</v>
      </c>
      <c r="AY191" s="106">
        <f t="shared" si="95"/>
        <v>0</v>
      </c>
      <c r="AZ191" s="106">
        <f t="shared" si="96"/>
        <v>0</v>
      </c>
      <c r="BA191" s="107">
        <f t="shared" si="97"/>
        <v>0</v>
      </c>
    </row>
    <row r="192" spans="1:53" x14ac:dyDescent="0.35">
      <c r="A192" s="146">
        <v>39738</v>
      </c>
      <c r="B192" s="108" t="s">
        <v>59</v>
      </c>
      <c r="C192" s="108" t="s">
        <v>64</v>
      </c>
      <c r="D192" s="84">
        <f t="shared" si="70"/>
        <v>1</v>
      </c>
      <c r="E192" s="108" t="s">
        <v>248</v>
      </c>
      <c r="F192" s="84">
        <f t="shared" si="71"/>
        <v>5</v>
      </c>
      <c r="G192" s="108">
        <v>417000000</v>
      </c>
      <c r="H192" s="84">
        <f t="shared" si="72"/>
        <v>8.6201360549737576</v>
      </c>
      <c r="I192" s="146">
        <v>42916</v>
      </c>
      <c r="J192" s="108">
        <v>749100000</v>
      </c>
      <c r="K192" s="148">
        <f t="shared" si="73"/>
        <v>8.706849315068494</v>
      </c>
      <c r="L192" s="148">
        <f t="shared" si="98"/>
        <v>0.93986102841488606</v>
      </c>
      <c r="M192" s="108">
        <v>5897.96</v>
      </c>
      <c r="N192" s="108">
        <f t="shared" si="74"/>
        <v>3.7707754512906644</v>
      </c>
      <c r="O192" s="108">
        <v>0</v>
      </c>
      <c r="P192" s="108">
        <f t="shared" si="99"/>
        <v>0</v>
      </c>
      <c r="Q192" s="65">
        <v>2.3199999999999998</v>
      </c>
      <c r="R192" s="65">
        <f t="shared" si="100"/>
        <v>0.36548798489089962</v>
      </c>
      <c r="S192" s="155">
        <f t="shared" si="75"/>
        <v>0.79640287769784179</v>
      </c>
      <c r="T192" s="127">
        <f t="shared" si="76"/>
        <v>0.25440374209725269</v>
      </c>
      <c r="U192" s="108">
        <v>2030.3304662743317</v>
      </c>
      <c r="V192" s="108">
        <f t="shared" si="77"/>
        <v>3.3075667315086759</v>
      </c>
      <c r="W192" s="108">
        <v>6774.5586238116803</v>
      </c>
      <c r="X192" s="108">
        <f t="shared" si="78"/>
        <v>3.8308810053047755</v>
      </c>
      <c r="Y192" s="126">
        <v>132</v>
      </c>
      <c r="Z192" s="126">
        <f t="shared" si="79"/>
        <v>2.1238516409670858</v>
      </c>
      <c r="AA192" s="108">
        <v>90.8</v>
      </c>
      <c r="AB192" s="108">
        <f t="shared" si="101"/>
        <v>1.958085848521085</v>
      </c>
      <c r="AC192" s="127">
        <v>32.299999999999997</v>
      </c>
      <c r="AD192" s="127">
        <f t="shared" si="102"/>
        <v>1.5092025223311027</v>
      </c>
      <c r="AE192" s="128">
        <v>44.4007960521485</v>
      </c>
      <c r="AF192" s="128">
        <f t="shared" si="103"/>
        <v>1.6473907565550749</v>
      </c>
      <c r="AG192" s="153">
        <v>0.68</v>
      </c>
      <c r="AH192" s="127">
        <f t="shared" si="80"/>
        <v>0.2253092817258629</v>
      </c>
      <c r="AI192" s="108">
        <v>17</v>
      </c>
      <c r="AJ192" s="108">
        <f t="shared" si="104"/>
        <v>1.2304489213782739</v>
      </c>
      <c r="AK192" s="108">
        <f t="shared" si="81"/>
        <v>0</v>
      </c>
      <c r="AL192" s="108">
        <f t="shared" si="82"/>
        <v>0</v>
      </c>
      <c r="AM192" s="108">
        <f t="shared" si="83"/>
        <v>1</v>
      </c>
      <c r="AN192" s="108">
        <f t="shared" si="84"/>
        <v>0</v>
      </c>
      <c r="AO192" s="108">
        <f t="shared" si="85"/>
        <v>0</v>
      </c>
      <c r="AP192" s="108">
        <f t="shared" si="86"/>
        <v>0</v>
      </c>
      <c r="AQ192" s="108">
        <f t="shared" si="87"/>
        <v>0</v>
      </c>
      <c r="AR192" s="108">
        <f t="shared" si="88"/>
        <v>0</v>
      </c>
      <c r="AS192" s="108">
        <f t="shared" si="89"/>
        <v>0</v>
      </c>
      <c r="AT192" s="108">
        <f t="shared" si="90"/>
        <v>0</v>
      </c>
      <c r="AU192" s="108">
        <f t="shared" si="91"/>
        <v>0</v>
      </c>
      <c r="AV192" s="108">
        <f t="shared" si="92"/>
        <v>0</v>
      </c>
      <c r="AW192" s="108">
        <f t="shared" si="93"/>
        <v>0</v>
      </c>
      <c r="AX192" s="108">
        <f t="shared" si="94"/>
        <v>0</v>
      </c>
      <c r="AY192" s="108">
        <f t="shared" si="95"/>
        <v>0</v>
      </c>
      <c r="AZ192" s="108">
        <f t="shared" si="96"/>
        <v>0</v>
      </c>
      <c r="BA192" s="109">
        <f t="shared" si="97"/>
        <v>0</v>
      </c>
    </row>
    <row r="193" spans="1:53" x14ac:dyDescent="0.35">
      <c r="A193" s="143">
        <v>39776</v>
      </c>
      <c r="B193" s="106" t="s">
        <v>434</v>
      </c>
      <c r="C193" s="106" t="s">
        <v>125</v>
      </c>
      <c r="D193" s="83">
        <f t="shared" si="70"/>
        <v>1</v>
      </c>
      <c r="E193" s="106" t="s">
        <v>248</v>
      </c>
      <c r="F193" s="83">
        <f t="shared" si="71"/>
        <v>5</v>
      </c>
      <c r="G193" s="106">
        <v>800000000</v>
      </c>
      <c r="H193" s="83">
        <f t="shared" si="72"/>
        <v>8.9030899869919438</v>
      </c>
      <c r="I193" s="143">
        <v>42451</v>
      </c>
      <c r="J193" s="106">
        <v>690000000</v>
      </c>
      <c r="K193" s="145">
        <f t="shared" si="73"/>
        <v>7.3287671232876717</v>
      </c>
      <c r="L193" s="148">
        <f t="shared" si="98"/>
        <v>0.86503092190077258</v>
      </c>
      <c r="M193" s="106">
        <v>1434.12</v>
      </c>
      <c r="N193" s="106">
        <f t="shared" si="74"/>
        <v>3.1568882168601933</v>
      </c>
      <c r="O193" s="106">
        <v>92</v>
      </c>
      <c r="P193" s="108">
        <f t="shared" si="99"/>
        <v>1.9637878273455553</v>
      </c>
      <c r="Q193" s="59">
        <v>2.5099999999999998</v>
      </c>
      <c r="R193" s="65">
        <f t="shared" si="100"/>
        <v>0.39967372148103808</v>
      </c>
      <c r="S193" s="154">
        <f t="shared" si="75"/>
        <v>-0.13749999999999996</v>
      </c>
      <c r="T193" s="119">
        <f t="shared" si="76"/>
        <v>-6.4240896254688248E-2</v>
      </c>
      <c r="U193" s="106">
        <v>1543.2098765432097</v>
      </c>
      <c r="V193" s="106">
        <f t="shared" si="77"/>
        <v>3.1884249941294067</v>
      </c>
      <c r="W193" s="106">
        <v>8692.1296296296296</v>
      </c>
      <c r="X193" s="106">
        <f t="shared" si="78"/>
        <v>3.9391261945252749</v>
      </c>
      <c r="Y193" s="118">
        <v>605.16666666666697</v>
      </c>
      <c r="Z193" s="118">
        <f t="shared" si="79"/>
        <v>2.7825920506710684</v>
      </c>
      <c r="AA193" s="106">
        <v>77</v>
      </c>
      <c r="AB193" s="108">
        <f t="shared" si="101"/>
        <v>1.8864907251724818</v>
      </c>
      <c r="AC193" s="119">
        <v>41.72</v>
      </c>
      <c r="AD193" s="127">
        <f t="shared" si="102"/>
        <v>1.6203442997544932</v>
      </c>
      <c r="AE193" s="120">
        <v>47.830384300274197</v>
      </c>
      <c r="AF193" s="128">
        <f t="shared" si="103"/>
        <v>1.6797038702890243</v>
      </c>
      <c r="AG193" s="152">
        <v>1.06</v>
      </c>
      <c r="AH193" s="119">
        <f t="shared" si="80"/>
        <v>0.31386722036915343</v>
      </c>
      <c r="AI193" s="106">
        <v>13</v>
      </c>
      <c r="AJ193" s="108">
        <f t="shared" si="104"/>
        <v>1.1139433523068367</v>
      </c>
      <c r="AK193" s="106">
        <f t="shared" si="81"/>
        <v>0</v>
      </c>
      <c r="AL193" s="106">
        <f t="shared" si="82"/>
        <v>0</v>
      </c>
      <c r="AM193" s="106">
        <f t="shared" si="83"/>
        <v>0</v>
      </c>
      <c r="AN193" s="106">
        <f t="shared" si="84"/>
        <v>0</v>
      </c>
      <c r="AO193" s="106">
        <f t="shared" si="85"/>
        <v>0</v>
      </c>
      <c r="AP193" s="106">
        <f t="shared" si="86"/>
        <v>0</v>
      </c>
      <c r="AQ193" s="106">
        <f t="shared" si="87"/>
        <v>0</v>
      </c>
      <c r="AR193" s="106">
        <f t="shared" si="88"/>
        <v>0</v>
      </c>
      <c r="AS193" s="106">
        <f t="shared" si="89"/>
        <v>0</v>
      </c>
      <c r="AT193" s="106">
        <f t="shared" si="90"/>
        <v>0</v>
      </c>
      <c r="AU193" s="106">
        <f t="shared" si="91"/>
        <v>1</v>
      </c>
      <c r="AV193" s="106">
        <f t="shared" si="92"/>
        <v>0</v>
      </c>
      <c r="AW193" s="106">
        <f t="shared" si="93"/>
        <v>0</v>
      </c>
      <c r="AX193" s="106">
        <f t="shared" si="94"/>
        <v>0</v>
      </c>
      <c r="AY193" s="106">
        <f t="shared" si="95"/>
        <v>0</v>
      </c>
      <c r="AZ193" s="106">
        <f t="shared" si="96"/>
        <v>0</v>
      </c>
      <c r="BA193" s="107">
        <f t="shared" si="97"/>
        <v>0</v>
      </c>
    </row>
    <row r="194" spans="1:53" x14ac:dyDescent="0.35">
      <c r="A194" s="146">
        <v>39783</v>
      </c>
      <c r="B194" s="108" t="s">
        <v>434</v>
      </c>
      <c r="C194" s="108" t="s">
        <v>64</v>
      </c>
      <c r="D194" s="84">
        <f t="shared" ref="D194:D212" si="105">IF(C194="domestic",0,1)</f>
        <v>1</v>
      </c>
      <c r="E194" s="108" t="s">
        <v>186</v>
      </c>
      <c r="F194" s="84">
        <f t="shared" ref="F194:F212" si="106">IF(E194="Consumer Discretionary",5,IF(E194="Industrials",1,IF(E194="Energy",3,IF(E194="Health Care",2,IF(E194="Communications",4,IF(E194="Financials",6,IF(E194="Consumer Staples",7,IF(E194="Materials",8,IF(E194="Technology",9,IF(E194="Utilities",10,""))))))))))</f>
        <v>4</v>
      </c>
      <c r="G194" s="108">
        <v>1100000000</v>
      </c>
      <c r="H194" s="84">
        <f t="shared" ref="H194:H212" si="107">LOG(G194)</f>
        <v>9.0413926851582254</v>
      </c>
      <c r="I194" s="146">
        <v>40648</v>
      </c>
      <c r="J194" s="108">
        <v>1605000000</v>
      </c>
      <c r="K194" s="148">
        <f t="shared" ref="K194:K212" si="108">YEARFRAC(A194,I194,3)</f>
        <v>2.3698630136986303</v>
      </c>
      <c r="L194" s="148">
        <f t="shared" si="98"/>
        <v>0.37472324300833953</v>
      </c>
      <c r="M194" s="108">
        <v>7216.98</v>
      </c>
      <c r="N194" s="108">
        <f t="shared" ref="N194:N212" si="109">LOG(1+M194)</f>
        <v>3.8584156743566731</v>
      </c>
      <c r="O194" s="108">
        <v>3</v>
      </c>
      <c r="P194" s="108">
        <f t="shared" si="99"/>
        <v>0.47712125471966244</v>
      </c>
      <c r="Q194" s="65">
        <v>2.66</v>
      </c>
      <c r="R194" s="65">
        <f t="shared" si="100"/>
        <v>0.42488163663106698</v>
      </c>
      <c r="S194" s="155">
        <f t="shared" ref="S194:S212" si="110">(J194/G194)-1</f>
        <v>0.45909090909090899</v>
      </c>
      <c r="T194" s="127">
        <f t="shared" ref="T194:T212" si="111">IF(S194=-1,LOG(0.1),LOG(1+S194))</f>
        <v>0.16408235158266582</v>
      </c>
      <c r="U194" s="108">
        <v>2446.450593263969</v>
      </c>
      <c r="V194" s="108">
        <f t="shared" ref="V194:V212" si="112">LOG(U194)</f>
        <v>3.3885364494891754</v>
      </c>
      <c r="W194" s="108">
        <v>6578.8244872547029</v>
      </c>
      <c r="X194" s="108">
        <f t="shared" ref="X194:X212" si="113">LOG(W194)</f>
        <v>3.818148300254375</v>
      </c>
      <c r="Y194" s="108">
        <v>649.83333333333303</v>
      </c>
      <c r="Z194" s="126">
        <f t="shared" ref="Z194:Z212" si="114">IF(Y194=0,0,LOG(1+Y194))</f>
        <v>2.8134697878296753</v>
      </c>
      <c r="AA194" s="108">
        <v>77</v>
      </c>
      <c r="AB194" s="108">
        <f t="shared" si="101"/>
        <v>1.8864907251724818</v>
      </c>
      <c r="AC194" s="127">
        <v>41.72</v>
      </c>
      <c r="AD194" s="127">
        <f t="shared" si="102"/>
        <v>1.6203442997544932</v>
      </c>
      <c r="AE194" s="128">
        <v>47.830384300274197</v>
      </c>
      <c r="AF194" s="128">
        <f t="shared" si="103"/>
        <v>1.6797038702890243</v>
      </c>
      <c r="AG194" s="153">
        <v>-0.04</v>
      </c>
      <c r="AH194" s="127">
        <f t="shared" ref="AH194:AH212" si="115">LOG(1+AG194)</f>
        <v>-1.7728766960431602E-2</v>
      </c>
      <c r="AI194" s="108">
        <v>8</v>
      </c>
      <c r="AJ194" s="108">
        <f t="shared" si="104"/>
        <v>0.90308998699194354</v>
      </c>
      <c r="AK194" s="108">
        <f t="shared" ref="AK194:AK212" si="116">IF(T194=-1,1,0)</f>
        <v>0</v>
      </c>
      <c r="AL194" s="108">
        <f t="shared" ref="AL194:AL212" si="117">IF($B194="US",1,0)</f>
        <v>0</v>
      </c>
      <c r="AM194" s="108">
        <f t="shared" ref="AM194:AM212" si="118">IF($B194="UK",1,0)</f>
        <v>0</v>
      </c>
      <c r="AN194" s="108">
        <f t="shared" ref="AN194:AN212" si="119">IF($B194="Norway",1,0)</f>
        <v>0</v>
      </c>
      <c r="AO194" s="108">
        <f t="shared" ref="AO194:AO212" si="120">IF($B194="Denmark",1,0)</f>
        <v>0</v>
      </c>
      <c r="AP194" s="108">
        <f t="shared" ref="AP194:AP212" si="121">IF($B194="Sweden",1,0)</f>
        <v>0</v>
      </c>
      <c r="AQ194" s="108">
        <f t="shared" ref="AQ194:AQ212" si="122">IF($B194="Netherlands",1,0)</f>
        <v>0</v>
      </c>
      <c r="AR194" s="108">
        <f t="shared" ref="AR194:AR212" si="123">IF($B194="France",1,0)</f>
        <v>0</v>
      </c>
      <c r="AS194" s="108">
        <f t="shared" ref="AS194:AS212" si="124">IF($B194="Belgium",1,0)</f>
        <v>0</v>
      </c>
      <c r="AT194" s="108">
        <f t="shared" ref="AT194:AT212" si="125">IF($B194="Germany",1,0)</f>
        <v>0</v>
      </c>
      <c r="AU194" s="108">
        <f t="shared" ref="AU194:AU212" si="126">IF($B194="Italy",1,0)</f>
        <v>1</v>
      </c>
      <c r="AV194" s="108">
        <f t="shared" ref="AV194:AV212" si="127">IF($B194="Spain",1,0)</f>
        <v>0</v>
      </c>
      <c r="AW194" s="108">
        <f t="shared" ref="AW194:AW212" si="128">IF($B194="Luxembourg",1,0)</f>
        <v>0</v>
      </c>
      <c r="AX194" s="108">
        <f t="shared" ref="AX194:AX212" si="129">IF($B194="Portugal",1,0)</f>
        <v>0</v>
      </c>
      <c r="AY194" s="108">
        <f t="shared" ref="AY194:AY212" si="130">IF($B194="Switzerland",1,0)</f>
        <v>0</v>
      </c>
      <c r="AZ194" s="108">
        <f t="shared" ref="AZ194:AZ212" si="131">IF($B194="Ireland",1,0)</f>
        <v>0</v>
      </c>
      <c r="BA194" s="109">
        <f t="shared" ref="BA194:BA212" si="132">IF($B194="Finland",1,0)</f>
        <v>0</v>
      </c>
    </row>
    <row r="195" spans="1:53" x14ac:dyDescent="0.35">
      <c r="A195" s="143">
        <v>39806</v>
      </c>
      <c r="B195" s="106" t="s">
        <v>434</v>
      </c>
      <c r="C195" s="106" t="s">
        <v>64</v>
      </c>
      <c r="D195" s="83">
        <f t="shared" si="105"/>
        <v>1</v>
      </c>
      <c r="E195" s="106" t="s">
        <v>186</v>
      </c>
      <c r="F195" s="83">
        <f t="shared" si="106"/>
        <v>4</v>
      </c>
      <c r="G195" s="106">
        <v>535000000</v>
      </c>
      <c r="H195" s="83">
        <f t="shared" si="107"/>
        <v>8.7283537820212285</v>
      </c>
      <c r="I195" s="143">
        <v>41333</v>
      </c>
      <c r="J195" s="106">
        <v>1039600000</v>
      </c>
      <c r="K195" s="145">
        <f t="shared" si="108"/>
        <v>4.183561643835616</v>
      </c>
      <c r="L195" s="148">
        <f t="shared" ref="L195:L212" si="133">LOG(K195)</f>
        <v>0.62154617259994649</v>
      </c>
      <c r="M195" s="106">
        <v>7216.98</v>
      </c>
      <c r="N195" s="106">
        <f t="shared" si="109"/>
        <v>3.8584156743566731</v>
      </c>
      <c r="O195" s="106">
        <v>34</v>
      </c>
      <c r="P195" s="108">
        <f t="shared" ref="P195:P212" si="134">IF(O195=0,0,LOG(O195))</f>
        <v>1.5314789170422551</v>
      </c>
      <c r="Q195" s="59">
        <v>2.66</v>
      </c>
      <c r="R195" s="65">
        <f t="shared" ref="R195:R212" si="135">LOG(Q195)</f>
        <v>0.42488163663106698</v>
      </c>
      <c r="S195" s="154">
        <f t="shared" si="110"/>
        <v>0.94317757009345793</v>
      </c>
      <c r="T195" s="119">
        <f t="shared" si="111"/>
        <v>0.28851248880774655</v>
      </c>
      <c r="U195" s="106">
        <v>1618.5219999999999</v>
      </c>
      <c r="V195" s="106">
        <f t="shared" si="112"/>
        <v>3.20911860699078</v>
      </c>
      <c r="W195" s="106">
        <v>3845.9059999999999</v>
      </c>
      <c r="X195" s="106">
        <f t="shared" si="113"/>
        <v>3.5849986651910224</v>
      </c>
      <c r="Y195" s="118">
        <v>649.83333333333303</v>
      </c>
      <c r="Z195" s="118">
        <f t="shared" si="114"/>
        <v>2.8134697878296753</v>
      </c>
      <c r="AA195" s="106">
        <v>77</v>
      </c>
      <c r="AB195" s="108">
        <f t="shared" ref="AB195:AB212" si="136">LOG(AA195)</f>
        <v>1.8864907251724818</v>
      </c>
      <c r="AC195" s="119">
        <v>41.72</v>
      </c>
      <c r="AD195" s="127">
        <f t="shared" ref="AD195:AD212" si="137">LOG(AC195)</f>
        <v>1.6203442997544932</v>
      </c>
      <c r="AE195" s="120">
        <v>47.830384300274197</v>
      </c>
      <c r="AF195" s="128">
        <f t="shared" ref="AF195:AF212" si="138">LOG(AE195)</f>
        <v>1.6797038702890243</v>
      </c>
      <c r="AG195" s="152">
        <v>0.26</v>
      </c>
      <c r="AH195" s="119">
        <f t="shared" si="115"/>
        <v>0.10037054511756291</v>
      </c>
      <c r="AI195" s="106">
        <v>6</v>
      </c>
      <c r="AJ195" s="108">
        <f t="shared" ref="AJ195:AJ212" si="139">LOG(AI195)</f>
        <v>0.77815125038364363</v>
      </c>
      <c r="AK195" s="106">
        <f t="shared" si="116"/>
        <v>0</v>
      </c>
      <c r="AL195" s="106">
        <f t="shared" si="117"/>
        <v>0</v>
      </c>
      <c r="AM195" s="106">
        <f t="shared" si="118"/>
        <v>0</v>
      </c>
      <c r="AN195" s="106">
        <f t="shared" si="119"/>
        <v>0</v>
      </c>
      <c r="AO195" s="106">
        <f t="shared" si="120"/>
        <v>0</v>
      </c>
      <c r="AP195" s="106">
        <f t="shared" si="121"/>
        <v>0</v>
      </c>
      <c r="AQ195" s="106">
        <f t="shared" si="122"/>
        <v>0</v>
      </c>
      <c r="AR195" s="106">
        <f t="shared" si="123"/>
        <v>0</v>
      </c>
      <c r="AS195" s="106">
        <f t="shared" si="124"/>
        <v>0</v>
      </c>
      <c r="AT195" s="106">
        <f t="shared" si="125"/>
        <v>0</v>
      </c>
      <c r="AU195" s="106">
        <f t="shared" si="126"/>
        <v>1</v>
      </c>
      <c r="AV195" s="106">
        <f t="shared" si="127"/>
        <v>0</v>
      </c>
      <c r="AW195" s="106">
        <f t="shared" si="128"/>
        <v>0</v>
      </c>
      <c r="AX195" s="106">
        <f t="shared" si="129"/>
        <v>0</v>
      </c>
      <c r="AY195" s="106">
        <f t="shared" si="130"/>
        <v>0</v>
      </c>
      <c r="AZ195" s="106">
        <f t="shared" si="131"/>
        <v>0</v>
      </c>
      <c r="BA195" s="107">
        <f t="shared" si="132"/>
        <v>0</v>
      </c>
    </row>
    <row r="196" spans="1:53" x14ac:dyDescent="0.35">
      <c r="A196" s="146">
        <v>39849</v>
      </c>
      <c r="B196" s="108" t="s">
        <v>59</v>
      </c>
      <c r="C196" s="108" t="s">
        <v>47</v>
      </c>
      <c r="D196" s="84">
        <f t="shared" si="105"/>
        <v>0</v>
      </c>
      <c r="E196" s="108" t="s">
        <v>178</v>
      </c>
      <c r="F196" s="84">
        <f t="shared" si="106"/>
        <v>9</v>
      </c>
      <c r="G196" s="108">
        <v>1026120000</v>
      </c>
      <c r="H196" s="84">
        <f t="shared" si="107"/>
        <v>9.0111981524818265</v>
      </c>
      <c r="I196" s="146">
        <v>41121</v>
      </c>
      <c r="J196" s="108">
        <v>5000000000</v>
      </c>
      <c r="K196" s="148">
        <f t="shared" si="108"/>
        <v>3.484931506849315</v>
      </c>
      <c r="L196" s="148">
        <f t="shared" si="133"/>
        <v>0.54219424685592033</v>
      </c>
      <c r="M196" s="108">
        <v>0</v>
      </c>
      <c r="N196" s="108">
        <f t="shared" si="109"/>
        <v>0</v>
      </c>
      <c r="O196" s="108">
        <v>21</v>
      </c>
      <c r="P196" s="108">
        <f t="shared" si="134"/>
        <v>1.3222192947339193</v>
      </c>
      <c r="Q196" s="65">
        <v>3.29</v>
      </c>
      <c r="R196" s="65">
        <f t="shared" si="135"/>
        <v>0.51719589794997434</v>
      </c>
      <c r="S196" s="155">
        <f t="shared" si="110"/>
        <v>3.8727244376875998</v>
      </c>
      <c r="T196" s="127">
        <f t="shared" si="111"/>
        <v>0.68777185185419265</v>
      </c>
      <c r="U196" s="108">
        <v>1861.76</v>
      </c>
      <c r="V196" s="108">
        <f t="shared" si="112"/>
        <v>3.2699236952309465</v>
      </c>
      <c r="W196" s="108">
        <v>4993.92</v>
      </c>
      <c r="X196" s="108">
        <f t="shared" si="113"/>
        <v>3.6984415808994222</v>
      </c>
      <c r="Y196" s="126">
        <v>0</v>
      </c>
      <c r="Z196" s="126">
        <f t="shared" si="114"/>
        <v>0</v>
      </c>
      <c r="AA196" s="108">
        <v>89.8</v>
      </c>
      <c r="AB196" s="108">
        <f t="shared" si="136"/>
        <v>1.9532763366673043</v>
      </c>
      <c r="AC196" s="127">
        <v>31.2</v>
      </c>
      <c r="AD196" s="127">
        <f t="shared" si="137"/>
        <v>1.4941545940184429</v>
      </c>
      <c r="AE196" s="128">
        <v>47.307367293927399</v>
      </c>
      <c r="AF196" s="128">
        <f t="shared" si="138"/>
        <v>1.6749287797641836</v>
      </c>
      <c r="AG196" s="153">
        <v>0.56999999999999995</v>
      </c>
      <c r="AH196" s="127">
        <f t="shared" si="115"/>
        <v>0.19589965240923368</v>
      </c>
      <c r="AI196" s="108">
        <v>4</v>
      </c>
      <c r="AJ196" s="108">
        <f t="shared" si="139"/>
        <v>0.6020599913279624</v>
      </c>
      <c r="AK196" s="108">
        <f t="shared" si="116"/>
        <v>0</v>
      </c>
      <c r="AL196" s="108">
        <f t="shared" si="117"/>
        <v>0</v>
      </c>
      <c r="AM196" s="108">
        <f t="shared" si="118"/>
        <v>1</v>
      </c>
      <c r="AN196" s="108">
        <f t="shared" si="119"/>
        <v>0</v>
      </c>
      <c r="AO196" s="108">
        <f t="shared" si="120"/>
        <v>0</v>
      </c>
      <c r="AP196" s="108">
        <f t="shared" si="121"/>
        <v>0</v>
      </c>
      <c r="AQ196" s="108">
        <f t="shared" si="122"/>
        <v>0</v>
      </c>
      <c r="AR196" s="108">
        <f t="shared" si="123"/>
        <v>0</v>
      </c>
      <c r="AS196" s="108">
        <f t="shared" si="124"/>
        <v>0</v>
      </c>
      <c r="AT196" s="108">
        <f t="shared" si="125"/>
        <v>0</v>
      </c>
      <c r="AU196" s="108">
        <f t="shared" si="126"/>
        <v>0</v>
      </c>
      <c r="AV196" s="108">
        <f t="shared" si="127"/>
        <v>0</v>
      </c>
      <c r="AW196" s="108">
        <f t="shared" si="128"/>
        <v>0</v>
      </c>
      <c r="AX196" s="108">
        <f t="shared" si="129"/>
        <v>0</v>
      </c>
      <c r="AY196" s="108">
        <f t="shared" si="130"/>
        <v>0</v>
      </c>
      <c r="AZ196" s="108">
        <f t="shared" si="131"/>
        <v>0</v>
      </c>
      <c r="BA196" s="109">
        <f t="shared" si="132"/>
        <v>0</v>
      </c>
    </row>
    <row r="197" spans="1:53" x14ac:dyDescent="0.35">
      <c r="A197" s="143">
        <v>39868</v>
      </c>
      <c r="B197" s="106" t="s">
        <v>59</v>
      </c>
      <c r="C197" s="106" t="s">
        <v>64</v>
      </c>
      <c r="D197" s="83">
        <f t="shared" si="105"/>
        <v>1</v>
      </c>
      <c r="E197" s="106" t="s">
        <v>190</v>
      </c>
      <c r="F197" s="83">
        <f t="shared" si="106"/>
        <v>2</v>
      </c>
      <c r="G197" s="106">
        <v>34770000</v>
      </c>
      <c r="H197" s="83">
        <f t="shared" si="107"/>
        <v>7.5412046906832586</v>
      </c>
      <c r="I197" s="143">
        <v>42055</v>
      </c>
      <c r="J197" s="106">
        <v>180000000</v>
      </c>
      <c r="K197" s="145">
        <f t="shared" si="108"/>
        <v>5.9917808219178079</v>
      </c>
      <c r="L197" s="148">
        <f t="shared" si="133"/>
        <v>0.77755591858116235</v>
      </c>
      <c r="M197" s="106">
        <v>5897.96</v>
      </c>
      <c r="N197" s="106">
        <f t="shared" si="109"/>
        <v>3.7707754512906644</v>
      </c>
      <c r="O197" s="106">
        <v>2</v>
      </c>
      <c r="P197" s="108">
        <f t="shared" si="134"/>
        <v>0.3010299956639812</v>
      </c>
      <c r="Q197" s="59">
        <v>2.3199999999999998</v>
      </c>
      <c r="R197" s="65">
        <f t="shared" si="135"/>
        <v>0.36548798489089962</v>
      </c>
      <c r="S197" s="154">
        <f t="shared" si="110"/>
        <v>4.1768766177739431</v>
      </c>
      <c r="T197" s="119">
        <f t="shared" si="111"/>
        <v>0.71406781442004763</v>
      </c>
      <c r="U197" s="106">
        <v>2315.9650000000001</v>
      </c>
      <c r="V197" s="106">
        <f t="shared" si="112"/>
        <v>3.3647319918335836</v>
      </c>
      <c r="W197" s="106">
        <v>3703.9029999999998</v>
      </c>
      <c r="X197" s="106">
        <f t="shared" si="113"/>
        <v>3.568659604598353</v>
      </c>
      <c r="Y197" s="118">
        <v>132</v>
      </c>
      <c r="Z197" s="118">
        <f t="shared" si="114"/>
        <v>2.1238516409670858</v>
      </c>
      <c r="AA197" s="106">
        <v>89.8</v>
      </c>
      <c r="AB197" s="108">
        <f t="shared" si="136"/>
        <v>1.9532763366673043</v>
      </c>
      <c r="AC197" s="119">
        <v>31.2</v>
      </c>
      <c r="AD197" s="127">
        <f t="shared" si="137"/>
        <v>1.4941545940184429</v>
      </c>
      <c r="AE197" s="120">
        <v>47.307367293927399</v>
      </c>
      <c r="AF197" s="128">
        <f t="shared" si="138"/>
        <v>1.6749287797641836</v>
      </c>
      <c r="AG197" s="152">
        <v>0.31</v>
      </c>
      <c r="AH197" s="119">
        <f t="shared" si="115"/>
        <v>0.11727129565576427</v>
      </c>
      <c r="AI197" s="106">
        <v>4</v>
      </c>
      <c r="AJ197" s="108">
        <f t="shared" si="139"/>
        <v>0.6020599913279624</v>
      </c>
      <c r="AK197" s="106">
        <f t="shared" si="116"/>
        <v>0</v>
      </c>
      <c r="AL197" s="106">
        <f t="shared" si="117"/>
        <v>0</v>
      </c>
      <c r="AM197" s="106">
        <f t="shared" si="118"/>
        <v>1</v>
      </c>
      <c r="AN197" s="106">
        <f t="shared" si="119"/>
        <v>0</v>
      </c>
      <c r="AO197" s="106">
        <f t="shared" si="120"/>
        <v>0</v>
      </c>
      <c r="AP197" s="106">
        <f t="shared" si="121"/>
        <v>0</v>
      </c>
      <c r="AQ197" s="106">
        <f t="shared" si="122"/>
        <v>0</v>
      </c>
      <c r="AR197" s="106">
        <f t="shared" si="123"/>
        <v>0</v>
      </c>
      <c r="AS197" s="106">
        <f t="shared" si="124"/>
        <v>0</v>
      </c>
      <c r="AT197" s="106">
        <f t="shared" si="125"/>
        <v>0</v>
      </c>
      <c r="AU197" s="106">
        <f t="shared" si="126"/>
        <v>0</v>
      </c>
      <c r="AV197" s="106">
        <f t="shared" si="127"/>
        <v>0</v>
      </c>
      <c r="AW197" s="106">
        <f t="shared" si="128"/>
        <v>0</v>
      </c>
      <c r="AX197" s="106">
        <f t="shared" si="129"/>
        <v>0</v>
      </c>
      <c r="AY197" s="106">
        <f t="shared" si="130"/>
        <v>0</v>
      </c>
      <c r="AZ197" s="106">
        <f t="shared" si="131"/>
        <v>0</v>
      </c>
      <c r="BA197" s="107">
        <f t="shared" si="132"/>
        <v>0</v>
      </c>
    </row>
    <row r="198" spans="1:53" x14ac:dyDescent="0.35">
      <c r="A198" s="146">
        <v>39870</v>
      </c>
      <c r="B198" s="108" t="s">
        <v>45</v>
      </c>
      <c r="C198" s="108" t="s">
        <v>1203</v>
      </c>
      <c r="D198" s="84">
        <f t="shared" si="105"/>
        <v>1</v>
      </c>
      <c r="E198" s="108" t="s">
        <v>178</v>
      </c>
      <c r="F198" s="84">
        <f t="shared" si="106"/>
        <v>9</v>
      </c>
      <c r="G198" s="108">
        <v>6000000</v>
      </c>
      <c r="H198" s="84">
        <f t="shared" si="107"/>
        <v>6.7781512503836439</v>
      </c>
      <c r="I198" s="146">
        <v>40682</v>
      </c>
      <c r="J198" s="108">
        <v>40000000</v>
      </c>
      <c r="K198" s="148">
        <f t="shared" si="108"/>
        <v>2.2246575342465755</v>
      </c>
      <c r="L198" s="148">
        <f t="shared" si="133"/>
        <v>0.34726316478470065</v>
      </c>
      <c r="M198" s="108">
        <v>6815.73</v>
      </c>
      <c r="N198" s="108">
        <f t="shared" si="109"/>
        <v>3.8335760926148099</v>
      </c>
      <c r="O198" s="108">
        <v>9</v>
      </c>
      <c r="P198" s="108">
        <f t="shared" si="134"/>
        <v>0.95424250943932487</v>
      </c>
      <c r="Q198" s="65">
        <v>2.85</v>
      </c>
      <c r="R198" s="65">
        <f t="shared" si="135"/>
        <v>0.45484486000851021</v>
      </c>
      <c r="S198" s="155">
        <f t="shared" si="110"/>
        <v>5.666666666666667</v>
      </c>
      <c r="T198" s="127">
        <f t="shared" si="111"/>
        <v>0.82390874094431876</v>
      </c>
      <c r="U198" s="108">
        <v>2515.7884814779904</v>
      </c>
      <c r="V198" s="108">
        <f t="shared" si="112"/>
        <v>3.4006741243771632</v>
      </c>
      <c r="W198" s="108">
        <v>6800.8294844000393</v>
      </c>
      <c r="X198" s="108">
        <f t="shared" si="113"/>
        <v>3.8325618860191688</v>
      </c>
      <c r="Y198" s="108">
        <v>819</v>
      </c>
      <c r="Z198" s="126">
        <f t="shared" si="114"/>
        <v>2.9138138523837167</v>
      </c>
      <c r="AA198" s="108">
        <v>91.9</v>
      </c>
      <c r="AB198" s="108">
        <f t="shared" si="136"/>
        <v>1.9633155113861114</v>
      </c>
      <c r="AC198" s="127">
        <v>23</v>
      </c>
      <c r="AD198" s="127">
        <f t="shared" si="137"/>
        <v>1.3617278360175928</v>
      </c>
      <c r="AE198" s="128">
        <v>43.262530407091703</v>
      </c>
      <c r="AF198" s="128">
        <f t="shared" si="138"/>
        <v>1.636111917546391</v>
      </c>
      <c r="AG198" s="153">
        <v>0.71</v>
      </c>
      <c r="AH198" s="127">
        <f t="shared" si="115"/>
        <v>0.23299611039215382</v>
      </c>
      <c r="AI198" s="108">
        <v>4</v>
      </c>
      <c r="AJ198" s="108">
        <f t="shared" si="139"/>
        <v>0.6020599913279624</v>
      </c>
      <c r="AK198" s="108">
        <f t="shared" si="116"/>
        <v>0</v>
      </c>
      <c r="AL198" s="108">
        <f t="shared" si="117"/>
        <v>1</v>
      </c>
      <c r="AM198" s="108">
        <f t="shared" si="118"/>
        <v>0</v>
      </c>
      <c r="AN198" s="108">
        <f t="shared" si="119"/>
        <v>0</v>
      </c>
      <c r="AO198" s="108">
        <f t="shared" si="120"/>
        <v>0</v>
      </c>
      <c r="AP198" s="108">
        <f t="shared" si="121"/>
        <v>0</v>
      </c>
      <c r="AQ198" s="108">
        <f t="shared" si="122"/>
        <v>0</v>
      </c>
      <c r="AR198" s="108">
        <f t="shared" si="123"/>
        <v>0</v>
      </c>
      <c r="AS198" s="108">
        <f t="shared" si="124"/>
        <v>0</v>
      </c>
      <c r="AT198" s="108">
        <f t="shared" si="125"/>
        <v>0</v>
      </c>
      <c r="AU198" s="108">
        <f t="shared" si="126"/>
        <v>0</v>
      </c>
      <c r="AV198" s="108">
        <f t="shared" si="127"/>
        <v>0</v>
      </c>
      <c r="AW198" s="108">
        <f t="shared" si="128"/>
        <v>0</v>
      </c>
      <c r="AX198" s="108">
        <f t="shared" si="129"/>
        <v>0</v>
      </c>
      <c r="AY198" s="108">
        <f t="shared" si="130"/>
        <v>0</v>
      </c>
      <c r="AZ198" s="108">
        <f t="shared" si="131"/>
        <v>0</v>
      </c>
      <c r="BA198" s="109">
        <f t="shared" si="132"/>
        <v>0</v>
      </c>
    </row>
    <row r="199" spans="1:53" x14ac:dyDescent="0.35">
      <c r="A199" s="143">
        <v>39882</v>
      </c>
      <c r="B199" s="106" t="s">
        <v>5</v>
      </c>
      <c r="C199" s="106" t="s">
        <v>47</v>
      </c>
      <c r="D199" s="83">
        <f t="shared" si="105"/>
        <v>0</v>
      </c>
      <c r="E199" s="106" t="s">
        <v>183</v>
      </c>
      <c r="F199" s="83">
        <f t="shared" si="106"/>
        <v>3</v>
      </c>
      <c r="G199" s="106">
        <v>36000000</v>
      </c>
      <c r="H199" s="83">
        <f t="shared" si="107"/>
        <v>7.5563025007672868</v>
      </c>
      <c r="I199" s="143">
        <v>42171</v>
      </c>
      <c r="J199" s="106">
        <v>15000000</v>
      </c>
      <c r="K199" s="145">
        <f t="shared" si="108"/>
        <v>6.2712328767123289</v>
      </c>
      <c r="L199" s="148">
        <f t="shared" si="133"/>
        <v>0.79735292821806825</v>
      </c>
      <c r="M199" s="106">
        <v>0</v>
      </c>
      <c r="N199" s="106">
        <f t="shared" si="109"/>
        <v>0</v>
      </c>
      <c r="O199" s="106">
        <v>3</v>
      </c>
      <c r="P199" s="108">
        <f t="shared" si="134"/>
        <v>0.47712125471966244</v>
      </c>
      <c r="Q199" s="59">
        <v>3.28</v>
      </c>
      <c r="R199" s="65">
        <f t="shared" si="135"/>
        <v>0.5158738437116791</v>
      </c>
      <c r="S199" s="154">
        <f t="shared" si="110"/>
        <v>-0.58333333333333326</v>
      </c>
      <c r="T199" s="119">
        <f t="shared" si="111"/>
        <v>-0.38021124171160592</v>
      </c>
      <c r="U199" s="106">
        <v>1851.8518518518517</v>
      </c>
      <c r="V199" s="106">
        <f t="shared" si="112"/>
        <v>3.2676062401770314</v>
      </c>
      <c r="W199" s="106">
        <v>9216.4064891337621</v>
      </c>
      <c r="X199" s="106">
        <f t="shared" si="113"/>
        <v>3.9645616210373218</v>
      </c>
      <c r="Y199" s="118">
        <v>0</v>
      </c>
      <c r="Z199" s="118">
        <f t="shared" si="114"/>
        <v>0</v>
      </c>
      <c r="AA199" s="106">
        <v>86.5</v>
      </c>
      <c r="AB199" s="108">
        <f t="shared" si="136"/>
        <v>1.9370161074648142</v>
      </c>
      <c r="AC199" s="119">
        <v>34.9</v>
      </c>
      <c r="AD199" s="127">
        <f t="shared" si="137"/>
        <v>1.5428254269591799</v>
      </c>
      <c r="AE199" s="120">
        <v>47.583389080759602</v>
      </c>
      <c r="AF199" s="128">
        <f t="shared" si="138"/>
        <v>1.6774553710063234</v>
      </c>
      <c r="AG199" s="152">
        <v>-0.02</v>
      </c>
      <c r="AH199" s="119">
        <f t="shared" si="115"/>
        <v>-8.7739243075051505E-3</v>
      </c>
      <c r="AI199" s="106">
        <v>3</v>
      </c>
      <c r="AJ199" s="108">
        <f t="shared" si="139"/>
        <v>0.47712125471966244</v>
      </c>
      <c r="AK199" s="106">
        <f t="shared" si="116"/>
        <v>0</v>
      </c>
      <c r="AL199" s="106">
        <f t="shared" si="117"/>
        <v>0</v>
      </c>
      <c r="AM199" s="106">
        <f t="shared" si="118"/>
        <v>0</v>
      </c>
      <c r="AN199" s="106">
        <f t="shared" si="119"/>
        <v>0</v>
      </c>
      <c r="AO199" s="106">
        <f t="shared" si="120"/>
        <v>0</v>
      </c>
      <c r="AP199" s="106">
        <f t="shared" si="121"/>
        <v>0</v>
      </c>
      <c r="AQ199" s="106">
        <f t="shared" si="122"/>
        <v>1</v>
      </c>
      <c r="AR199" s="106">
        <f t="shared" si="123"/>
        <v>0</v>
      </c>
      <c r="AS199" s="106">
        <f t="shared" si="124"/>
        <v>0</v>
      </c>
      <c r="AT199" s="106">
        <f t="shared" si="125"/>
        <v>0</v>
      </c>
      <c r="AU199" s="106">
        <f t="shared" si="126"/>
        <v>0</v>
      </c>
      <c r="AV199" s="106">
        <f t="shared" si="127"/>
        <v>0</v>
      </c>
      <c r="AW199" s="106">
        <f t="shared" si="128"/>
        <v>0</v>
      </c>
      <c r="AX199" s="106">
        <f t="shared" si="129"/>
        <v>0</v>
      </c>
      <c r="AY199" s="106">
        <f t="shared" si="130"/>
        <v>0</v>
      </c>
      <c r="AZ199" s="106">
        <f t="shared" si="131"/>
        <v>0</v>
      </c>
      <c r="BA199" s="107">
        <f t="shared" si="132"/>
        <v>0</v>
      </c>
    </row>
    <row r="200" spans="1:53" x14ac:dyDescent="0.35">
      <c r="A200" s="146">
        <v>39896</v>
      </c>
      <c r="B200" s="108" t="s">
        <v>59</v>
      </c>
      <c r="C200" s="108" t="s">
        <v>47</v>
      </c>
      <c r="D200" s="84">
        <f t="shared" si="105"/>
        <v>0</v>
      </c>
      <c r="E200" s="108" t="s">
        <v>186</v>
      </c>
      <c r="F200" s="84">
        <f t="shared" si="106"/>
        <v>4</v>
      </c>
      <c r="G200" s="108">
        <v>6500000</v>
      </c>
      <c r="H200" s="84">
        <f t="shared" si="107"/>
        <v>6.8129133566428557</v>
      </c>
      <c r="I200" s="146">
        <v>40574</v>
      </c>
      <c r="J200" s="108">
        <v>96700000</v>
      </c>
      <c r="K200" s="148">
        <f t="shared" si="108"/>
        <v>1.8575342465753424</v>
      </c>
      <c r="L200" s="148">
        <f t="shared" si="133"/>
        <v>0.26893682941058861</v>
      </c>
      <c r="M200" s="108">
        <v>0</v>
      </c>
      <c r="N200" s="108">
        <f t="shared" si="109"/>
        <v>0</v>
      </c>
      <c r="O200" s="108">
        <v>4</v>
      </c>
      <c r="P200" s="108">
        <f t="shared" si="134"/>
        <v>0.6020599913279624</v>
      </c>
      <c r="Q200" s="65">
        <v>3.29</v>
      </c>
      <c r="R200" s="65">
        <f t="shared" si="135"/>
        <v>0.51719589794997434</v>
      </c>
      <c r="S200" s="155">
        <f t="shared" si="110"/>
        <v>13.876923076923077</v>
      </c>
      <c r="T200" s="127">
        <f t="shared" si="111"/>
        <v>1.1725131174401462</v>
      </c>
      <c r="U200" s="108">
        <v>4375.8573388203013</v>
      </c>
      <c r="V200" s="108">
        <f t="shared" si="112"/>
        <v>3.6410631547392063</v>
      </c>
      <c r="W200" s="108">
        <v>5027.4348422496569</v>
      </c>
      <c r="X200" s="108">
        <f t="shared" si="113"/>
        <v>3.7013464506591722</v>
      </c>
      <c r="Y200" s="126">
        <v>0</v>
      </c>
      <c r="Z200" s="126">
        <f t="shared" si="114"/>
        <v>0</v>
      </c>
      <c r="AA200" s="108">
        <v>89.8</v>
      </c>
      <c r="AB200" s="108">
        <f t="shared" si="136"/>
        <v>1.9532763366673043</v>
      </c>
      <c r="AC200" s="127">
        <v>31.2</v>
      </c>
      <c r="AD200" s="127">
        <f t="shared" si="137"/>
        <v>1.4941545940184429</v>
      </c>
      <c r="AE200" s="128">
        <v>47.307367293927399</v>
      </c>
      <c r="AF200" s="128">
        <f t="shared" si="138"/>
        <v>1.6749287797641836</v>
      </c>
      <c r="AG200" s="153">
        <v>0.35</v>
      </c>
      <c r="AH200" s="127">
        <f t="shared" si="115"/>
        <v>0.13033376849500614</v>
      </c>
      <c r="AI200" s="108">
        <v>0</v>
      </c>
      <c r="AJ200" s="108">
        <v>0</v>
      </c>
      <c r="AK200" s="108">
        <f t="shared" si="116"/>
        <v>0</v>
      </c>
      <c r="AL200" s="108">
        <f t="shared" si="117"/>
        <v>0</v>
      </c>
      <c r="AM200" s="108">
        <f t="shared" si="118"/>
        <v>1</v>
      </c>
      <c r="AN200" s="108">
        <f t="shared" si="119"/>
        <v>0</v>
      </c>
      <c r="AO200" s="108">
        <f t="shared" si="120"/>
        <v>0</v>
      </c>
      <c r="AP200" s="108">
        <f t="shared" si="121"/>
        <v>0</v>
      </c>
      <c r="AQ200" s="108">
        <f t="shared" si="122"/>
        <v>0</v>
      </c>
      <c r="AR200" s="108">
        <f t="shared" si="123"/>
        <v>0</v>
      </c>
      <c r="AS200" s="108">
        <f t="shared" si="124"/>
        <v>0</v>
      </c>
      <c r="AT200" s="108">
        <f t="shared" si="125"/>
        <v>0</v>
      </c>
      <c r="AU200" s="108">
        <f t="shared" si="126"/>
        <v>0</v>
      </c>
      <c r="AV200" s="108">
        <f t="shared" si="127"/>
        <v>0</v>
      </c>
      <c r="AW200" s="108">
        <f t="shared" si="128"/>
        <v>0</v>
      </c>
      <c r="AX200" s="108">
        <f t="shared" si="129"/>
        <v>0</v>
      </c>
      <c r="AY200" s="108">
        <f t="shared" si="130"/>
        <v>0</v>
      </c>
      <c r="AZ200" s="108">
        <f t="shared" si="131"/>
        <v>0</v>
      </c>
      <c r="BA200" s="109">
        <f t="shared" si="132"/>
        <v>0</v>
      </c>
    </row>
    <row r="201" spans="1:53" x14ac:dyDescent="0.35">
      <c r="A201" s="143">
        <v>39934</v>
      </c>
      <c r="B201" s="106" t="s">
        <v>59</v>
      </c>
      <c r="C201" s="106" t="s">
        <v>125</v>
      </c>
      <c r="D201" s="83">
        <f t="shared" si="105"/>
        <v>1</v>
      </c>
      <c r="E201" s="106" t="s">
        <v>326</v>
      </c>
      <c r="F201" s="83">
        <f t="shared" si="106"/>
        <v>8</v>
      </c>
      <c r="G201" s="106">
        <v>342170000</v>
      </c>
      <c r="H201" s="83">
        <f t="shared" si="107"/>
        <v>8.53424192979422</v>
      </c>
      <c r="I201" s="143">
        <v>41458</v>
      </c>
      <c r="J201" s="106">
        <v>583785013</v>
      </c>
      <c r="K201" s="145">
        <f t="shared" si="108"/>
        <v>4.1753424657534248</v>
      </c>
      <c r="L201" s="148">
        <f t="shared" si="133"/>
        <v>0.62069210254710705</v>
      </c>
      <c r="M201" s="106">
        <v>5897.96</v>
      </c>
      <c r="N201" s="106">
        <f t="shared" si="109"/>
        <v>3.7707754512906644</v>
      </c>
      <c r="O201" s="106">
        <v>6</v>
      </c>
      <c r="P201" s="108">
        <f t="shared" si="134"/>
        <v>0.77815125038364363</v>
      </c>
      <c r="Q201" s="59">
        <v>2.3199999999999998</v>
      </c>
      <c r="R201" s="65">
        <f t="shared" si="135"/>
        <v>0.36548798489089962</v>
      </c>
      <c r="S201" s="154">
        <f t="shared" si="110"/>
        <v>0.70612564806967293</v>
      </c>
      <c r="T201" s="119">
        <f t="shared" si="111"/>
        <v>0.23201101174001795</v>
      </c>
      <c r="U201" s="106">
        <v>1437.0580903679715</v>
      </c>
      <c r="V201" s="106">
        <f t="shared" si="112"/>
        <v>3.1574743240259107</v>
      </c>
      <c r="W201" s="106">
        <v>5061.7945462381631</v>
      </c>
      <c r="X201" s="106">
        <f t="shared" si="113"/>
        <v>3.7043045135512243</v>
      </c>
      <c r="Y201" s="118">
        <v>132</v>
      </c>
      <c r="Z201" s="118">
        <f t="shared" si="114"/>
        <v>2.1238516409670858</v>
      </c>
      <c r="AA201" s="106">
        <v>89.8</v>
      </c>
      <c r="AB201" s="108">
        <f t="shared" si="136"/>
        <v>1.9532763366673043</v>
      </c>
      <c r="AC201" s="119">
        <v>31.2</v>
      </c>
      <c r="AD201" s="127">
        <f t="shared" si="137"/>
        <v>1.4941545940184429</v>
      </c>
      <c r="AE201" s="120">
        <v>47.307367293927399</v>
      </c>
      <c r="AF201" s="128">
        <f t="shared" si="138"/>
        <v>1.6749287797641836</v>
      </c>
      <c r="AG201" s="152">
        <v>0.18</v>
      </c>
      <c r="AH201" s="119">
        <f t="shared" si="115"/>
        <v>7.1882007306125359E-2</v>
      </c>
      <c r="AI201" s="106">
        <v>12</v>
      </c>
      <c r="AJ201" s="108">
        <f t="shared" si="139"/>
        <v>1.0791812460476249</v>
      </c>
      <c r="AK201" s="106">
        <f t="shared" si="116"/>
        <v>0</v>
      </c>
      <c r="AL201" s="106">
        <f t="shared" si="117"/>
        <v>0</v>
      </c>
      <c r="AM201" s="106">
        <f t="shared" si="118"/>
        <v>1</v>
      </c>
      <c r="AN201" s="106">
        <f t="shared" si="119"/>
        <v>0</v>
      </c>
      <c r="AO201" s="106">
        <f t="shared" si="120"/>
        <v>0</v>
      </c>
      <c r="AP201" s="106">
        <f t="shared" si="121"/>
        <v>0</v>
      </c>
      <c r="AQ201" s="106">
        <f t="shared" si="122"/>
        <v>0</v>
      </c>
      <c r="AR201" s="106">
        <f t="shared" si="123"/>
        <v>0</v>
      </c>
      <c r="AS201" s="106">
        <f t="shared" si="124"/>
        <v>0</v>
      </c>
      <c r="AT201" s="106">
        <f t="shared" si="125"/>
        <v>0</v>
      </c>
      <c r="AU201" s="106">
        <f t="shared" si="126"/>
        <v>0</v>
      </c>
      <c r="AV201" s="106">
        <f t="shared" si="127"/>
        <v>0</v>
      </c>
      <c r="AW201" s="106">
        <f t="shared" si="128"/>
        <v>0</v>
      </c>
      <c r="AX201" s="106">
        <f t="shared" si="129"/>
        <v>0</v>
      </c>
      <c r="AY201" s="106">
        <f t="shared" si="130"/>
        <v>0</v>
      </c>
      <c r="AZ201" s="106">
        <f t="shared" si="131"/>
        <v>0</v>
      </c>
      <c r="BA201" s="107">
        <f t="shared" si="132"/>
        <v>0</v>
      </c>
    </row>
    <row r="202" spans="1:53" x14ac:dyDescent="0.35">
      <c r="A202" s="146">
        <v>39952</v>
      </c>
      <c r="B202" s="108" t="s">
        <v>4</v>
      </c>
      <c r="C202" s="108" t="s">
        <v>102</v>
      </c>
      <c r="D202" s="84">
        <f t="shared" si="105"/>
        <v>0</v>
      </c>
      <c r="E202" s="108" t="s">
        <v>245</v>
      </c>
      <c r="F202" s="84">
        <f t="shared" si="106"/>
        <v>6</v>
      </c>
      <c r="G202" s="108">
        <v>46270000</v>
      </c>
      <c r="H202" s="84">
        <f t="shared" si="107"/>
        <v>7.6652994994998966</v>
      </c>
      <c r="I202" s="146">
        <v>41786</v>
      </c>
      <c r="J202" s="108">
        <v>150550000</v>
      </c>
      <c r="K202" s="148">
        <f t="shared" si="108"/>
        <v>5.0246575342465754</v>
      </c>
      <c r="L202" s="148">
        <f t="shared" si="133"/>
        <v>0.70110646687752753</v>
      </c>
      <c r="M202" s="108">
        <v>0</v>
      </c>
      <c r="N202" s="108">
        <f t="shared" si="109"/>
        <v>0</v>
      </c>
      <c r="O202" s="108">
        <v>120</v>
      </c>
      <c r="P202" s="108">
        <f t="shared" si="134"/>
        <v>2.0791812460476247</v>
      </c>
      <c r="Q202" s="65">
        <v>3.59</v>
      </c>
      <c r="R202" s="65">
        <f t="shared" si="135"/>
        <v>0.55509444857831913</v>
      </c>
      <c r="S202" s="155">
        <f t="shared" si="110"/>
        <v>2.2537281175707804</v>
      </c>
      <c r="T202" s="127">
        <f t="shared" si="111"/>
        <v>0.5123812603488811</v>
      </c>
      <c r="U202" s="108">
        <v>1543.2098765432097</v>
      </c>
      <c r="V202" s="108">
        <f t="shared" si="112"/>
        <v>3.1884249941294067</v>
      </c>
      <c r="W202" s="108">
        <v>8692.1296296296296</v>
      </c>
      <c r="X202" s="108">
        <f t="shared" si="113"/>
        <v>3.9391261945252749</v>
      </c>
      <c r="Y202" s="126">
        <v>0</v>
      </c>
      <c r="Z202" s="126">
        <f t="shared" si="114"/>
        <v>0</v>
      </c>
      <c r="AA202" s="108">
        <v>95.9</v>
      </c>
      <c r="AB202" s="108">
        <f t="shared" si="136"/>
        <v>1.9818186071706636</v>
      </c>
      <c r="AC202" s="127">
        <v>44.1</v>
      </c>
      <c r="AD202" s="127">
        <f t="shared" si="137"/>
        <v>1.6444385894678386</v>
      </c>
      <c r="AE202" s="128">
        <v>52.700584961948799</v>
      </c>
      <c r="AF202" s="128">
        <f t="shared" si="138"/>
        <v>1.721815435788193</v>
      </c>
      <c r="AG202" s="153">
        <v>-0.49</v>
      </c>
      <c r="AH202" s="127">
        <f t="shared" si="115"/>
        <v>-0.29242982390206362</v>
      </c>
      <c r="AI202" s="108">
        <v>10</v>
      </c>
      <c r="AJ202" s="108">
        <f t="shared" si="139"/>
        <v>1</v>
      </c>
      <c r="AK202" s="108">
        <f t="shared" si="116"/>
        <v>0</v>
      </c>
      <c r="AL202" s="108">
        <f t="shared" si="117"/>
        <v>0</v>
      </c>
      <c r="AM202" s="108">
        <f t="shared" si="118"/>
        <v>0</v>
      </c>
      <c r="AN202" s="108">
        <f t="shared" si="119"/>
        <v>0</v>
      </c>
      <c r="AO202" s="108">
        <f t="shared" si="120"/>
        <v>0</v>
      </c>
      <c r="AP202" s="108">
        <f t="shared" si="121"/>
        <v>1</v>
      </c>
      <c r="AQ202" s="108">
        <f t="shared" si="122"/>
        <v>0</v>
      </c>
      <c r="AR202" s="108">
        <f t="shared" si="123"/>
        <v>0</v>
      </c>
      <c r="AS202" s="108">
        <f t="shared" si="124"/>
        <v>0</v>
      </c>
      <c r="AT202" s="108">
        <f t="shared" si="125"/>
        <v>0</v>
      </c>
      <c r="AU202" s="108">
        <f t="shared" si="126"/>
        <v>0</v>
      </c>
      <c r="AV202" s="108">
        <f t="shared" si="127"/>
        <v>0</v>
      </c>
      <c r="AW202" s="108">
        <f t="shared" si="128"/>
        <v>0</v>
      </c>
      <c r="AX202" s="108">
        <f t="shared" si="129"/>
        <v>0</v>
      </c>
      <c r="AY202" s="108">
        <f t="shared" si="130"/>
        <v>0</v>
      </c>
      <c r="AZ202" s="108">
        <f t="shared" si="131"/>
        <v>0</v>
      </c>
      <c r="BA202" s="109">
        <f t="shared" si="132"/>
        <v>0</v>
      </c>
    </row>
    <row r="203" spans="1:53" x14ac:dyDescent="0.35">
      <c r="A203" s="143">
        <v>39975</v>
      </c>
      <c r="B203" s="106" t="s">
        <v>59</v>
      </c>
      <c r="C203" s="106" t="s">
        <v>47</v>
      </c>
      <c r="D203" s="83">
        <f t="shared" si="105"/>
        <v>0</v>
      </c>
      <c r="E203" s="106" t="s">
        <v>178</v>
      </c>
      <c r="F203" s="83">
        <f t="shared" si="106"/>
        <v>9</v>
      </c>
      <c r="G203" s="106">
        <v>17300000</v>
      </c>
      <c r="H203" s="83">
        <f t="shared" si="107"/>
        <v>7.238046103128795</v>
      </c>
      <c r="I203" s="143">
        <v>42094</v>
      </c>
      <c r="J203" s="106">
        <v>44000000</v>
      </c>
      <c r="K203" s="145">
        <f t="shared" si="108"/>
        <v>5.8054794520547945</v>
      </c>
      <c r="L203" s="148">
        <f t="shared" si="133"/>
        <v>0.76383809225431987</v>
      </c>
      <c r="M203" s="106">
        <v>0</v>
      </c>
      <c r="N203" s="106">
        <f t="shared" si="109"/>
        <v>0</v>
      </c>
      <c r="O203" s="106">
        <v>3</v>
      </c>
      <c r="P203" s="108">
        <f t="shared" si="134"/>
        <v>0.47712125471966244</v>
      </c>
      <c r="Q203" s="59">
        <v>3.29</v>
      </c>
      <c r="R203" s="65">
        <f t="shared" si="135"/>
        <v>0.51719589794997434</v>
      </c>
      <c r="S203" s="154">
        <f t="shared" si="110"/>
        <v>1.5433526011560694</v>
      </c>
      <c r="T203" s="119">
        <f t="shared" si="111"/>
        <v>0.40540657335739205</v>
      </c>
      <c r="U203" s="106">
        <v>2207.03125</v>
      </c>
      <c r="V203" s="106">
        <f t="shared" si="112"/>
        <v>3.3438084825075891</v>
      </c>
      <c r="W203" s="106">
        <v>7753.90625</v>
      </c>
      <c r="X203" s="106">
        <f t="shared" si="113"/>
        <v>3.8895205457872843</v>
      </c>
      <c r="Y203" s="118">
        <v>0</v>
      </c>
      <c r="Z203" s="118">
        <f t="shared" si="114"/>
        <v>0</v>
      </c>
      <c r="AA203" s="106">
        <v>89.8</v>
      </c>
      <c r="AB203" s="108">
        <f t="shared" si="136"/>
        <v>1.9532763366673043</v>
      </c>
      <c r="AC203" s="119">
        <v>31.2</v>
      </c>
      <c r="AD203" s="127">
        <f t="shared" si="137"/>
        <v>1.4941545940184429</v>
      </c>
      <c r="AE203" s="120">
        <v>47.307367293927399</v>
      </c>
      <c r="AF203" s="128">
        <f t="shared" si="138"/>
        <v>1.6749287797641836</v>
      </c>
      <c r="AG203" s="152">
        <v>0.78</v>
      </c>
      <c r="AH203" s="119">
        <f t="shared" si="115"/>
        <v>0.250420002308894</v>
      </c>
      <c r="AI203" s="106">
        <v>46</v>
      </c>
      <c r="AJ203" s="108">
        <f t="shared" si="139"/>
        <v>1.6627578316815741</v>
      </c>
      <c r="AK203" s="106">
        <f t="shared" si="116"/>
        <v>0</v>
      </c>
      <c r="AL203" s="106">
        <f t="shared" si="117"/>
        <v>0</v>
      </c>
      <c r="AM203" s="106">
        <f t="shared" si="118"/>
        <v>1</v>
      </c>
      <c r="AN203" s="106">
        <f t="shared" si="119"/>
        <v>0</v>
      </c>
      <c r="AO203" s="106">
        <f t="shared" si="120"/>
        <v>0</v>
      </c>
      <c r="AP203" s="106">
        <f t="shared" si="121"/>
        <v>0</v>
      </c>
      <c r="AQ203" s="106">
        <f t="shared" si="122"/>
        <v>0</v>
      </c>
      <c r="AR203" s="106">
        <f t="shared" si="123"/>
        <v>0</v>
      </c>
      <c r="AS203" s="106">
        <f t="shared" si="124"/>
        <v>0</v>
      </c>
      <c r="AT203" s="106">
        <f t="shared" si="125"/>
        <v>0</v>
      </c>
      <c r="AU203" s="106">
        <f t="shared" si="126"/>
        <v>0</v>
      </c>
      <c r="AV203" s="106">
        <f t="shared" si="127"/>
        <v>0</v>
      </c>
      <c r="AW203" s="106">
        <f t="shared" si="128"/>
        <v>0</v>
      </c>
      <c r="AX203" s="106">
        <f t="shared" si="129"/>
        <v>0</v>
      </c>
      <c r="AY203" s="106">
        <f t="shared" si="130"/>
        <v>0</v>
      </c>
      <c r="AZ203" s="106">
        <f t="shared" si="131"/>
        <v>0</v>
      </c>
      <c r="BA203" s="107">
        <f t="shared" si="132"/>
        <v>0</v>
      </c>
    </row>
    <row r="204" spans="1:53" x14ac:dyDescent="0.35">
      <c r="A204" s="146">
        <v>39987</v>
      </c>
      <c r="B204" s="108" t="s">
        <v>45</v>
      </c>
      <c r="C204" s="108" t="s">
        <v>64</v>
      </c>
      <c r="D204" s="84">
        <f t="shared" si="105"/>
        <v>1</v>
      </c>
      <c r="E204" s="108" t="s">
        <v>248</v>
      </c>
      <c r="F204" s="84">
        <f t="shared" si="106"/>
        <v>5</v>
      </c>
      <c r="G204" s="108">
        <v>350000000</v>
      </c>
      <c r="H204" s="84">
        <f t="shared" si="107"/>
        <v>8.5440680443502757</v>
      </c>
      <c r="I204" s="146">
        <v>41584</v>
      </c>
      <c r="J204" s="108">
        <v>302490000</v>
      </c>
      <c r="K204" s="148">
        <f t="shared" si="108"/>
        <v>4.375342465753425</v>
      </c>
      <c r="L204" s="148">
        <f t="shared" si="133"/>
        <v>0.64101205168200825</v>
      </c>
      <c r="M204" s="108">
        <v>5897.96</v>
      </c>
      <c r="N204" s="108">
        <f t="shared" si="109"/>
        <v>3.7707754512906644</v>
      </c>
      <c r="O204" s="108">
        <v>23</v>
      </c>
      <c r="P204" s="108">
        <f t="shared" si="134"/>
        <v>1.3617278360175928</v>
      </c>
      <c r="Q204" s="65">
        <v>2.3199999999999998</v>
      </c>
      <c r="R204" s="65">
        <f t="shared" si="135"/>
        <v>0.36548798489089962</v>
      </c>
      <c r="S204" s="155">
        <f t="shared" si="110"/>
        <v>-0.13574285714285717</v>
      </c>
      <c r="T204" s="127">
        <f t="shared" si="111"/>
        <v>-6.3357022441473329E-2</v>
      </c>
      <c r="U204" s="108">
        <v>1655.1111111111111</v>
      </c>
      <c r="V204" s="108">
        <f t="shared" si="112"/>
        <v>3.2188271541979425</v>
      </c>
      <c r="W204" s="108">
        <v>5715.5555555555547</v>
      </c>
      <c r="X204" s="108">
        <f t="shared" si="113"/>
        <v>3.7570584504768405</v>
      </c>
      <c r="Y204" s="126">
        <v>132</v>
      </c>
      <c r="Z204" s="126">
        <f t="shared" si="114"/>
        <v>2.1238516409670858</v>
      </c>
      <c r="AA204" s="108">
        <v>91.9</v>
      </c>
      <c r="AB204" s="108">
        <f t="shared" si="136"/>
        <v>1.9633155113861114</v>
      </c>
      <c r="AC204" s="127">
        <v>23</v>
      </c>
      <c r="AD204" s="127">
        <f t="shared" si="137"/>
        <v>1.3617278360175928</v>
      </c>
      <c r="AE204" s="128">
        <v>43.262530407091703</v>
      </c>
      <c r="AF204" s="128">
        <f t="shared" si="138"/>
        <v>1.636111917546391</v>
      </c>
      <c r="AG204" s="153">
        <v>-0.05</v>
      </c>
      <c r="AH204" s="127">
        <f t="shared" si="115"/>
        <v>-2.2276394711152253E-2</v>
      </c>
      <c r="AI204" s="108">
        <v>42</v>
      </c>
      <c r="AJ204" s="108">
        <f t="shared" si="139"/>
        <v>1.6232492903979006</v>
      </c>
      <c r="AK204" s="108">
        <f t="shared" si="116"/>
        <v>0</v>
      </c>
      <c r="AL204" s="108">
        <f t="shared" si="117"/>
        <v>1</v>
      </c>
      <c r="AM204" s="108">
        <f t="shared" si="118"/>
        <v>0</v>
      </c>
      <c r="AN204" s="108">
        <f t="shared" si="119"/>
        <v>0</v>
      </c>
      <c r="AO204" s="108">
        <f t="shared" si="120"/>
        <v>0</v>
      </c>
      <c r="AP204" s="108">
        <f t="shared" si="121"/>
        <v>0</v>
      </c>
      <c r="AQ204" s="108">
        <f t="shared" si="122"/>
        <v>0</v>
      </c>
      <c r="AR204" s="108">
        <f t="shared" si="123"/>
        <v>0</v>
      </c>
      <c r="AS204" s="108">
        <f t="shared" si="124"/>
        <v>0</v>
      </c>
      <c r="AT204" s="108">
        <f t="shared" si="125"/>
        <v>0</v>
      </c>
      <c r="AU204" s="108">
        <f t="shared" si="126"/>
        <v>0</v>
      </c>
      <c r="AV204" s="108">
        <f t="shared" si="127"/>
        <v>0</v>
      </c>
      <c r="AW204" s="108">
        <f t="shared" si="128"/>
        <v>0</v>
      </c>
      <c r="AX204" s="108">
        <f t="shared" si="129"/>
        <v>0</v>
      </c>
      <c r="AY204" s="108">
        <f t="shared" si="130"/>
        <v>0</v>
      </c>
      <c r="AZ204" s="108">
        <f t="shared" si="131"/>
        <v>0</v>
      </c>
      <c r="BA204" s="109">
        <f t="shared" si="132"/>
        <v>0</v>
      </c>
    </row>
    <row r="205" spans="1:53" x14ac:dyDescent="0.35">
      <c r="A205" s="143">
        <v>40021</v>
      </c>
      <c r="B205" s="106" t="s">
        <v>2</v>
      </c>
      <c r="C205" s="106" t="s">
        <v>64</v>
      </c>
      <c r="D205" s="83">
        <f t="shared" si="105"/>
        <v>1</v>
      </c>
      <c r="E205" s="106" t="s">
        <v>178</v>
      </c>
      <c r="F205" s="83">
        <f t="shared" si="106"/>
        <v>9</v>
      </c>
      <c r="G205" s="106">
        <v>38610000</v>
      </c>
      <c r="H205" s="83">
        <f t="shared" si="107"/>
        <v>7.5866998016240492</v>
      </c>
      <c r="I205" s="143">
        <v>42735</v>
      </c>
      <c r="J205" s="106">
        <v>54250000</v>
      </c>
      <c r="K205" s="145">
        <f t="shared" si="108"/>
        <v>7.4356164383561643</v>
      </c>
      <c r="L205" s="148">
        <f t="shared" si="133"/>
        <v>0.87131697886724357</v>
      </c>
      <c r="M205" s="106">
        <v>6815.73</v>
      </c>
      <c r="N205" s="106">
        <f t="shared" si="109"/>
        <v>3.8335760926148099</v>
      </c>
      <c r="O205" s="106">
        <v>50</v>
      </c>
      <c r="P205" s="108">
        <f t="shared" si="134"/>
        <v>1.6989700043360187</v>
      </c>
      <c r="Q205" s="59">
        <v>2.85</v>
      </c>
      <c r="R205" s="65">
        <f t="shared" si="135"/>
        <v>0.45484486000851021</v>
      </c>
      <c r="S205" s="154">
        <f t="shared" si="110"/>
        <v>0.40507640507640508</v>
      </c>
      <c r="T205" s="119">
        <f t="shared" si="111"/>
        <v>0.147699940896518</v>
      </c>
      <c r="U205" s="106">
        <v>1421.558</v>
      </c>
      <c r="V205" s="106">
        <f t="shared" si="112"/>
        <v>3.1527645837352773</v>
      </c>
      <c r="W205" s="106">
        <v>3476.3409999999999</v>
      </c>
      <c r="X205" s="106">
        <f t="shared" si="113"/>
        <v>3.5411223705253856</v>
      </c>
      <c r="Y205" s="118">
        <v>819</v>
      </c>
      <c r="Z205" s="118">
        <f t="shared" si="114"/>
        <v>2.9138138523837167</v>
      </c>
      <c r="AA205" s="106">
        <v>90.3</v>
      </c>
      <c r="AB205" s="108">
        <f t="shared" si="136"/>
        <v>1.9556877503135057</v>
      </c>
      <c r="AC205" s="119">
        <v>36.1</v>
      </c>
      <c r="AD205" s="127">
        <f t="shared" si="137"/>
        <v>1.5575072019056579</v>
      </c>
      <c r="AE205" s="120">
        <v>47.576210837790804</v>
      </c>
      <c r="AF205" s="128">
        <f t="shared" si="138"/>
        <v>1.6773898501062838</v>
      </c>
      <c r="AG205" s="152">
        <v>0.75</v>
      </c>
      <c r="AH205" s="119">
        <f t="shared" si="115"/>
        <v>0.24303804868629444</v>
      </c>
      <c r="AI205" s="106">
        <v>40</v>
      </c>
      <c r="AJ205" s="108">
        <f t="shared" si="139"/>
        <v>1.6020599913279623</v>
      </c>
      <c r="AK205" s="106">
        <f t="shared" si="116"/>
        <v>0</v>
      </c>
      <c r="AL205" s="106">
        <f t="shared" si="117"/>
        <v>0</v>
      </c>
      <c r="AM205" s="106">
        <f t="shared" si="118"/>
        <v>0</v>
      </c>
      <c r="AN205" s="106">
        <f t="shared" si="119"/>
        <v>0</v>
      </c>
      <c r="AO205" s="106">
        <f t="shared" si="120"/>
        <v>0</v>
      </c>
      <c r="AP205" s="106">
        <f t="shared" si="121"/>
        <v>0</v>
      </c>
      <c r="AQ205" s="106">
        <f t="shared" si="122"/>
        <v>0</v>
      </c>
      <c r="AR205" s="106">
        <f t="shared" si="123"/>
        <v>0</v>
      </c>
      <c r="AS205" s="106">
        <f t="shared" si="124"/>
        <v>0</v>
      </c>
      <c r="AT205" s="106">
        <f t="shared" si="125"/>
        <v>1</v>
      </c>
      <c r="AU205" s="106">
        <f t="shared" si="126"/>
        <v>0</v>
      </c>
      <c r="AV205" s="106">
        <f t="shared" si="127"/>
        <v>0</v>
      </c>
      <c r="AW205" s="106">
        <f t="shared" si="128"/>
        <v>0</v>
      </c>
      <c r="AX205" s="106">
        <f t="shared" si="129"/>
        <v>0</v>
      </c>
      <c r="AY205" s="106">
        <f t="shared" si="130"/>
        <v>0</v>
      </c>
      <c r="AZ205" s="106">
        <f t="shared" si="131"/>
        <v>0</v>
      </c>
      <c r="BA205" s="107">
        <f t="shared" si="132"/>
        <v>0</v>
      </c>
    </row>
    <row r="206" spans="1:53" x14ac:dyDescent="0.35">
      <c r="A206" s="146">
        <v>40036</v>
      </c>
      <c r="B206" s="108" t="s">
        <v>45</v>
      </c>
      <c r="C206" s="108" t="s">
        <v>47</v>
      </c>
      <c r="D206" s="84">
        <f t="shared" si="105"/>
        <v>0</v>
      </c>
      <c r="E206" s="108" t="s">
        <v>235</v>
      </c>
      <c r="F206" s="84">
        <f t="shared" si="106"/>
        <v>1</v>
      </c>
      <c r="G206" s="108">
        <v>1650000000</v>
      </c>
      <c r="H206" s="84">
        <f t="shared" si="107"/>
        <v>9.2174839442139067</v>
      </c>
      <c r="I206" s="146">
        <v>41940</v>
      </c>
      <c r="J206" s="108">
        <v>2907980000</v>
      </c>
      <c r="K206" s="148">
        <f t="shared" si="108"/>
        <v>5.2164383561643834</v>
      </c>
      <c r="L206" s="148">
        <f t="shared" si="133"/>
        <v>0.71737407959198085</v>
      </c>
      <c r="M206" s="108">
        <v>0</v>
      </c>
      <c r="N206" s="108">
        <f t="shared" si="109"/>
        <v>0</v>
      </c>
      <c r="O206" s="108">
        <v>43</v>
      </c>
      <c r="P206" s="108">
        <f t="shared" si="134"/>
        <v>1.6334684555795864</v>
      </c>
      <c r="Q206" s="65">
        <v>2.95</v>
      </c>
      <c r="R206" s="65">
        <f t="shared" si="135"/>
        <v>0.46982201597816303</v>
      </c>
      <c r="S206" s="155">
        <f t="shared" si="110"/>
        <v>0.76241212121212132</v>
      </c>
      <c r="T206" s="127">
        <f t="shared" si="111"/>
        <v>0.24610747106817404</v>
      </c>
      <c r="U206" s="108">
        <v>1171.498</v>
      </c>
      <c r="V206" s="108">
        <f t="shared" si="112"/>
        <v>3.0687415514991745</v>
      </c>
      <c r="W206" s="108">
        <v>3386.1060000000002</v>
      </c>
      <c r="X206" s="108">
        <f t="shared" si="113"/>
        <v>3.5297005493117593</v>
      </c>
      <c r="Y206" s="126">
        <v>0</v>
      </c>
      <c r="Z206" s="126">
        <f t="shared" si="114"/>
        <v>0</v>
      </c>
      <c r="AA206" s="108">
        <v>91.9</v>
      </c>
      <c r="AB206" s="108">
        <f t="shared" si="136"/>
        <v>1.9633155113861114</v>
      </c>
      <c r="AC206" s="127">
        <v>23</v>
      </c>
      <c r="AD206" s="127">
        <f t="shared" si="137"/>
        <v>1.3617278360175928</v>
      </c>
      <c r="AE206" s="128">
        <v>43.262530407091703</v>
      </c>
      <c r="AF206" s="128">
        <f t="shared" si="138"/>
        <v>1.636111917546391</v>
      </c>
      <c r="AG206" s="153">
        <v>0.69</v>
      </c>
      <c r="AH206" s="127">
        <f t="shared" si="115"/>
        <v>0.22788670461367352</v>
      </c>
      <c r="AI206" s="108">
        <v>30</v>
      </c>
      <c r="AJ206" s="108">
        <f t="shared" si="139"/>
        <v>1.4771212547196624</v>
      </c>
      <c r="AK206" s="108">
        <f t="shared" si="116"/>
        <v>0</v>
      </c>
      <c r="AL206" s="108">
        <f t="shared" si="117"/>
        <v>1</v>
      </c>
      <c r="AM206" s="108">
        <f t="shared" si="118"/>
        <v>0</v>
      </c>
      <c r="AN206" s="108">
        <f t="shared" si="119"/>
        <v>0</v>
      </c>
      <c r="AO206" s="108">
        <f t="shared" si="120"/>
        <v>0</v>
      </c>
      <c r="AP206" s="108">
        <f t="shared" si="121"/>
        <v>0</v>
      </c>
      <c r="AQ206" s="108">
        <f t="shared" si="122"/>
        <v>0</v>
      </c>
      <c r="AR206" s="108">
        <f t="shared" si="123"/>
        <v>0</v>
      </c>
      <c r="AS206" s="108">
        <f t="shared" si="124"/>
        <v>0</v>
      </c>
      <c r="AT206" s="108">
        <f t="shared" si="125"/>
        <v>0</v>
      </c>
      <c r="AU206" s="108">
        <f t="shared" si="126"/>
        <v>0</v>
      </c>
      <c r="AV206" s="108">
        <f t="shared" si="127"/>
        <v>0</v>
      </c>
      <c r="AW206" s="108">
        <f t="shared" si="128"/>
        <v>0</v>
      </c>
      <c r="AX206" s="108">
        <f t="shared" si="129"/>
        <v>0</v>
      </c>
      <c r="AY206" s="108">
        <f t="shared" si="130"/>
        <v>0</v>
      </c>
      <c r="AZ206" s="108">
        <f t="shared" si="131"/>
        <v>0</v>
      </c>
      <c r="BA206" s="109">
        <f t="shared" si="132"/>
        <v>0</v>
      </c>
    </row>
    <row r="207" spans="1:53" x14ac:dyDescent="0.35">
      <c r="A207" s="143">
        <v>40045</v>
      </c>
      <c r="B207" s="106" t="s">
        <v>2</v>
      </c>
      <c r="C207" s="106" t="s">
        <v>64</v>
      </c>
      <c r="D207" s="83">
        <f t="shared" si="105"/>
        <v>1</v>
      </c>
      <c r="E207" s="106" t="s">
        <v>235</v>
      </c>
      <c r="F207" s="83">
        <f t="shared" si="106"/>
        <v>1</v>
      </c>
      <c r="G207" s="106">
        <v>193114000</v>
      </c>
      <c r="H207" s="83">
        <f t="shared" si="107"/>
        <v>8.2858137595502335</v>
      </c>
      <c r="I207" s="143">
        <v>42551</v>
      </c>
      <c r="J207" s="106">
        <v>411551000</v>
      </c>
      <c r="K207" s="145">
        <f t="shared" si="108"/>
        <v>6.8657534246575347</v>
      </c>
      <c r="L207" s="148">
        <f t="shared" si="133"/>
        <v>0.83668820220165652</v>
      </c>
      <c r="M207" s="106">
        <v>917.19</v>
      </c>
      <c r="N207" s="106">
        <f t="shared" si="109"/>
        <v>2.9629325585580042</v>
      </c>
      <c r="O207" s="106">
        <v>146</v>
      </c>
      <c r="P207" s="108">
        <f t="shared" si="134"/>
        <v>2.1643528557844371</v>
      </c>
      <c r="Q207" s="59">
        <v>2.62</v>
      </c>
      <c r="R207" s="65">
        <f t="shared" si="135"/>
        <v>0.41830129131974547</v>
      </c>
      <c r="S207" s="154">
        <f t="shared" si="110"/>
        <v>1.1311297989788414</v>
      </c>
      <c r="T207" s="119">
        <f t="shared" si="111"/>
        <v>0.32860990173839816</v>
      </c>
      <c r="U207" s="106">
        <v>2417.5229853975125</v>
      </c>
      <c r="V207" s="106">
        <f t="shared" si="112"/>
        <v>3.3833706119727633</v>
      </c>
      <c r="W207" s="106">
        <v>9545.7003785830148</v>
      </c>
      <c r="X207" s="106">
        <f t="shared" si="113"/>
        <v>3.9798077985646683</v>
      </c>
      <c r="Y207" s="118">
        <v>854.66666666666697</v>
      </c>
      <c r="Z207" s="118">
        <f t="shared" si="114"/>
        <v>2.9323046139517812</v>
      </c>
      <c r="AA207" s="106">
        <v>90.3</v>
      </c>
      <c r="AB207" s="108">
        <f t="shared" si="136"/>
        <v>1.9556877503135057</v>
      </c>
      <c r="AC207" s="119">
        <v>36.1</v>
      </c>
      <c r="AD207" s="127">
        <f t="shared" si="137"/>
        <v>1.5575072019056579</v>
      </c>
      <c r="AE207" s="120">
        <v>47.576210837790804</v>
      </c>
      <c r="AF207" s="128">
        <f t="shared" si="138"/>
        <v>1.6773898501062838</v>
      </c>
      <c r="AG207" s="152">
        <v>-0.01</v>
      </c>
      <c r="AH207" s="119">
        <f t="shared" si="115"/>
        <v>-4.3648054024500883E-3</v>
      </c>
      <c r="AI207" s="106">
        <v>17</v>
      </c>
      <c r="AJ207" s="108">
        <f t="shared" si="139"/>
        <v>1.2304489213782739</v>
      </c>
      <c r="AK207" s="106">
        <f t="shared" si="116"/>
        <v>0</v>
      </c>
      <c r="AL207" s="106">
        <f t="shared" si="117"/>
        <v>0</v>
      </c>
      <c r="AM207" s="106">
        <f t="shared" si="118"/>
        <v>0</v>
      </c>
      <c r="AN207" s="106">
        <f t="shared" si="119"/>
        <v>0</v>
      </c>
      <c r="AO207" s="106">
        <f t="shared" si="120"/>
        <v>0</v>
      </c>
      <c r="AP207" s="106">
        <f t="shared" si="121"/>
        <v>0</v>
      </c>
      <c r="AQ207" s="106">
        <f t="shared" si="122"/>
        <v>0</v>
      </c>
      <c r="AR207" s="106">
        <f t="shared" si="123"/>
        <v>0</v>
      </c>
      <c r="AS207" s="106">
        <f t="shared" si="124"/>
        <v>0</v>
      </c>
      <c r="AT207" s="106">
        <f t="shared" si="125"/>
        <v>1</v>
      </c>
      <c r="AU207" s="106">
        <f t="shared" si="126"/>
        <v>0</v>
      </c>
      <c r="AV207" s="106">
        <f t="shared" si="127"/>
        <v>0</v>
      </c>
      <c r="AW207" s="106">
        <f t="shared" si="128"/>
        <v>0</v>
      </c>
      <c r="AX207" s="106">
        <f t="shared" si="129"/>
        <v>0</v>
      </c>
      <c r="AY207" s="106">
        <f t="shared" si="130"/>
        <v>0</v>
      </c>
      <c r="AZ207" s="106">
        <f t="shared" si="131"/>
        <v>0</v>
      </c>
      <c r="BA207" s="107">
        <f t="shared" si="132"/>
        <v>0</v>
      </c>
    </row>
    <row r="208" spans="1:53" x14ac:dyDescent="0.35">
      <c r="A208" s="146">
        <v>40071</v>
      </c>
      <c r="B208" s="108" t="s">
        <v>45</v>
      </c>
      <c r="C208" s="108" t="s">
        <v>47</v>
      </c>
      <c r="D208" s="84">
        <f t="shared" si="105"/>
        <v>0</v>
      </c>
      <c r="E208" s="108" t="s">
        <v>183</v>
      </c>
      <c r="F208" s="84">
        <f t="shared" si="106"/>
        <v>3</v>
      </c>
      <c r="G208" s="108">
        <v>468580000</v>
      </c>
      <c r="H208" s="84">
        <f t="shared" si="107"/>
        <v>8.6707837480360155</v>
      </c>
      <c r="I208" s="146">
        <v>40877</v>
      </c>
      <c r="J208" s="108">
        <v>771500000</v>
      </c>
      <c r="K208" s="148">
        <f t="shared" si="108"/>
        <v>2.2082191780821918</v>
      </c>
      <c r="L208" s="148">
        <f t="shared" si="133"/>
        <v>0.34404217734861592</v>
      </c>
      <c r="M208" s="108">
        <v>0</v>
      </c>
      <c r="N208" s="108">
        <f t="shared" si="109"/>
        <v>0</v>
      </c>
      <c r="O208" s="108">
        <v>30</v>
      </c>
      <c r="P208" s="108">
        <f t="shared" si="134"/>
        <v>1.4771212547196624</v>
      </c>
      <c r="Q208" s="65">
        <v>2.95</v>
      </c>
      <c r="R208" s="65">
        <f t="shared" si="135"/>
        <v>0.46982201597816303</v>
      </c>
      <c r="S208" s="155">
        <f t="shared" si="110"/>
        <v>0.64646378419906947</v>
      </c>
      <c r="T208" s="127">
        <f t="shared" si="111"/>
        <v>0.21655218236315188</v>
      </c>
      <c r="U208" s="108">
        <v>1518.5350000000001</v>
      </c>
      <c r="V208" s="108">
        <f t="shared" si="112"/>
        <v>3.1814248062191788</v>
      </c>
      <c r="W208" s="108">
        <v>5363.16</v>
      </c>
      <c r="X208" s="108">
        <f t="shared" si="113"/>
        <v>3.7294207535322617</v>
      </c>
      <c r="Y208" s="126">
        <v>0</v>
      </c>
      <c r="Z208" s="126">
        <f t="shared" si="114"/>
        <v>0</v>
      </c>
      <c r="AA208" s="108">
        <v>91.9</v>
      </c>
      <c r="AB208" s="108">
        <f t="shared" si="136"/>
        <v>1.9633155113861114</v>
      </c>
      <c r="AC208" s="127">
        <v>23</v>
      </c>
      <c r="AD208" s="127">
        <f t="shared" si="137"/>
        <v>1.3617278360175928</v>
      </c>
      <c r="AE208" s="128">
        <v>43.262530407091703</v>
      </c>
      <c r="AF208" s="128">
        <f t="shared" si="138"/>
        <v>1.636111917546391</v>
      </c>
      <c r="AG208" s="153">
        <v>-0.06</v>
      </c>
      <c r="AH208" s="127">
        <f t="shared" si="115"/>
        <v>-2.6872146400301365E-2</v>
      </c>
      <c r="AI208" s="108">
        <v>16</v>
      </c>
      <c r="AJ208" s="108">
        <f t="shared" si="139"/>
        <v>1.2041199826559248</v>
      </c>
      <c r="AK208" s="108">
        <f t="shared" si="116"/>
        <v>0</v>
      </c>
      <c r="AL208" s="108">
        <f t="shared" si="117"/>
        <v>1</v>
      </c>
      <c r="AM208" s="108">
        <f t="shared" si="118"/>
        <v>0</v>
      </c>
      <c r="AN208" s="108">
        <f t="shared" si="119"/>
        <v>0</v>
      </c>
      <c r="AO208" s="108">
        <f t="shared" si="120"/>
        <v>0</v>
      </c>
      <c r="AP208" s="108">
        <f t="shared" si="121"/>
        <v>0</v>
      </c>
      <c r="AQ208" s="108">
        <f t="shared" si="122"/>
        <v>0</v>
      </c>
      <c r="AR208" s="108">
        <f t="shared" si="123"/>
        <v>0</v>
      </c>
      <c r="AS208" s="108">
        <f t="shared" si="124"/>
        <v>0</v>
      </c>
      <c r="AT208" s="108">
        <f t="shared" si="125"/>
        <v>0</v>
      </c>
      <c r="AU208" s="108">
        <f t="shared" si="126"/>
        <v>0</v>
      </c>
      <c r="AV208" s="108">
        <f t="shared" si="127"/>
        <v>0</v>
      </c>
      <c r="AW208" s="108">
        <f t="shared" si="128"/>
        <v>0</v>
      </c>
      <c r="AX208" s="108">
        <f t="shared" si="129"/>
        <v>0</v>
      </c>
      <c r="AY208" s="108">
        <f t="shared" si="130"/>
        <v>0</v>
      </c>
      <c r="AZ208" s="108">
        <f t="shared" si="131"/>
        <v>0</v>
      </c>
      <c r="BA208" s="109">
        <f t="shared" si="132"/>
        <v>0</v>
      </c>
    </row>
    <row r="209" spans="1:53" x14ac:dyDescent="0.35">
      <c r="A209" s="143">
        <v>40076</v>
      </c>
      <c r="B209" s="83" t="s">
        <v>59</v>
      </c>
      <c r="C209" s="83" t="s">
        <v>102</v>
      </c>
      <c r="D209" s="83">
        <f t="shared" si="105"/>
        <v>0</v>
      </c>
      <c r="E209" s="83" t="s">
        <v>245</v>
      </c>
      <c r="F209" s="83">
        <f t="shared" si="106"/>
        <v>6</v>
      </c>
      <c r="G209" s="83">
        <v>222300000</v>
      </c>
      <c r="H209" s="83">
        <f t="shared" si="107"/>
        <v>8.346939462698991</v>
      </c>
      <c r="I209" s="144">
        <v>43238</v>
      </c>
      <c r="J209" s="83">
        <v>482708888</v>
      </c>
      <c r="K209" s="145">
        <f t="shared" si="108"/>
        <v>8.6630136986301363</v>
      </c>
      <c r="L209" s="148">
        <f t="shared" si="133"/>
        <v>0.93766900113971552</v>
      </c>
      <c r="M209" s="106">
        <v>0</v>
      </c>
      <c r="N209" s="106">
        <f t="shared" si="109"/>
        <v>0</v>
      </c>
      <c r="O209" s="106">
        <v>5</v>
      </c>
      <c r="P209" s="108">
        <f t="shared" si="134"/>
        <v>0.69897000433601886</v>
      </c>
      <c r="Q209" s="59">
        <v>3.29</v>
      </c>
      <c r="R209" s="65">
        <f t="shared" si="135"/>
        <v>0.51719589794997434</v>
      </c>
      <c r="S209" s="154">
        <f t="shared" si="110"/>
        <v>1.1714299955015743</v>
      </c>
      <c r="T209" s="119">
        <f t="shared" si="111"/>
        <v>0.33674583275077291</v>
      </c>
      <c r="U209" s="106">
        <v>1861.76</v>
      </c>
      <c r="V209" s="106">
        <f t="shared" si="112"/>
        <v>3.2699236952309465</v>
      </c>
      <c r="W209" s="106">
        <v>4993.92</v>
      </c>
      <c r="X209" s="106">
        <f t="shared" si="113"/>
        <v>3.6984415808994222</v>
      </c>
      <c r="Y209" s="118">
        <v>0</v>
      </c>
      <c r="Z209" s="118">
        <f t="shared" si="114"/>
        <v>0</v>
      </c>
      <c r="AA209" s="106">
        <v>89.8</v>
      </c>
      <c r="AB209" s="108">
        <f t="shared" si="136"/>
        <v>1.9532763366673043</v>
      </c>
      <c r="AC209" s="119">
        <v>31.2</v>
      </c>
      <c r="AD209" s="127">
        <f t="shared" si="137"/>
        <v>1.4941545940184429</v>
      </c>
      <c r="AE209" s="120">
        <v>47.307367293927399</v>
      </c>
      <c r="AF209" s="128">
        <f t="shared" si="138"/>
        <v>1.6749287797641836</v>
      </c>
      <c r="AG209" s="152">
        <v>0.08</v>
      </c>
      <c r="AH209" s="119">
        <f t="shared" si="115"/>
        <v>3.342375548694973E-2</v>
      </c>
      <c r="AI209" s="106">
        <v>18</v>
      </c>
      <c r="AJ209" s="108">
        <f t="shared" si="139"/>
        <v>1.255272505103306</v>
      </c>
      <c r="AK209" s="106">
        <f t="shared" si="116"/>
        <v>0</v>
      </c>
      <c r="AL209" s="106">
        <f t="shared" si="117"/>
        <v>0</v>
      </c>
      <c r="AM209" s="106">
        <f t="shared" si="118"/>
        <v>1</v>
      </c>
      <c r="AN209" s="106">
        <f t="shared" si="119"/>
        <v>0</v>
      </c>
      <c r="AO209" s="106">
        <f t="shared" si="120"/>
        <v>0</v>
      </c>
      <c r="AP209" s="106">
        <f t="shared" si="121"/>
        <v>0</v>
      </c>
      <c r="AQ209" s="106">
        <f t="shared" si="122"/>
        <v>0</v>
      </c>
      <c r="AR209" s="106">
        <f t="shared" si="123"/>
        <v>0</v>
      </c>
      <c r="AS209" s="106">
        <f t="shared" si="124"/>
        <v>0</v>
      </c>
      <c r="AT209" s="106">
        <f t="shared" si="125"/>
        <v>0</v>
      </c>
      <c r="AU209" s="106">
        <f t="shared" si="126"/>
        <v>0</v>
      </c>
      <c r="AV209" s="106">
        <f t="shared" si="127"/>
        <v>0</v>
      </c>
      <c r="AW209" s="106">
        <f t="shared" si="128"/>
        <v>0</v>
      </c>
      <c r="AX209" s="106">
        <f t="shared" si="129"/>
        <v>0</v>
      </c>
      <c r="AY209" s="106">
        <f t="shared" si="130"/>
        <v>0</v>
      </c>
      <c r="AZ209" s="106">
        <f t="shared" si="131"/>
        <v>0</v>
      </c>
      <c r="BA209" s="107">
        <f t="shared" si="132"/>
        <v>0</v>
      </c>
    </row>
    <row r="210" spans="1:53" x14ac:dyDescent="0.35">
      <c r="A210" s="146">
        <v>40079</v>
      </c>
      <c r="B210" s="108" t="s">
        <v>45</v>
      </c>
      <c r="C210" s="108" t="s">
        <v>102</v>
      </c>
      <c r="D210" s="84">
        <f t="shared" si="105"/>
        <v>0</v>
      </c>
      <c r="E210" s="108" t="s">
        <v>235</v>
      </c>
      <c r="F210" s="84">
        <f t="shared" si="106"/>
        <v>1</v>
      </c>
      <c r="G210" s="108">
        <v>400000000</v>
      </c>
      <c r="H210" s="84">
        <f t="shared" si="107"/>
        <v>8.6020599913279625</v>
      </c>
      <c r="I210" s="146">
        <v>40927</v>
      </c>
      <c r="J210" s="108">
        <v>0</v>
      </c>
      <c r="K210" s="148">
        <f t="shared" si="108"/>
        <v>2.3232876712328765</v>
      </c>
      <c r="L210" s="148">
        <f t="shared" si="133"/>
        <v>0.36610298780023909</v>
      </c>
      <c r="M210" s="108">
        <v>0</v>
      </c>
      <c r="N210" s="108">
        <f t="shared" si="109"/>
        <v>0</v>
      </c>
      <c r="O210" s="108">
        <v>121</v>
      </c>
      <c r="P210" s="108">
        <f t="shared" si="134"/>
        <v>2.0827853703164503</v>
      </c>
      <c r="Q210" s="65">
        <v>2.95</v>
      </c>
      <c r="R210" s="65">
        <f t="shared" si="135"/>
        <v>0.46982201597816303</v>
      </c>
      <c r="S210" s="155">
        <f t="shared" si="110"/>
        <v>-1</v>
      </c>
      <c r="T210" s="127">
        <f t="shared" si="111"/>
        <v>-1</v>
      </c>
      <c r="U210" s="108">
        <v>1171.498</v>
      </c>
      <c r="V210" s="108">
        <f t="shared" si="112"/>
        <v>3.0687415514991745</v>
      </c>
      <c r="W210" s="108">
        <v>3386.1060000000002</v>
      </c>
      <c r="X210" s="108">
        <f t="shared" si="113"/>
        <v>3.5297005493117593</v>
      </c>
      <c r="Y210" s="126">
        <v>0</v>
      </c>
      <c r="Z210" s="126">
        <f t="shared" si="114"/>
        <v>0</v>
      </c>
      <c r="AA210" s="108">
        <v>91.9</v>
      </c>
      <c r="AB210" s="108">
        <f t="shared" si="136"/>
        <v>1.9633155113861114</v>
      </c>
      <c r="AC210" s="127">
        <v>23</v>
      </c>
      <c r="AD210" s="127">
        <f t="shared" si="137"/>
        <v>1.3617278360175928</v>
      </c>
      <c r="AE210" s="128">
        <v>43.262530407091703</v>
      </c>
      <c r="AF210" s="128">
        <f t="shared" si="138"/>
        <v>1.636111917546391</v>
      </c>
      <c r="AG210" s="153">
        <v>-0.06</v>
      </c>
      <c r="AH210" s="127">
        <f t="shared" si="115"/>
        <v>-2.6872146400301365E-2</v>
      </c>
      <c r="AI210" s="108">
        <v>18</v>
      </c>
      <c r="AJ210" s="108">
        <f t="shared" si="139"/>
        <v>1.255272505103306</v>
      </c>
      <c r="AK210" s="108">
        <f t="shared" si="116"/>
        <v>1</v>
      </c>
      <c r="AL210" s="108">
        <f t="shared" si="117"/>
        <v>1</v>
      </c>
      <c r="AM210" s="108">
        <f t="shared" si="118"/>
        <v>0</v>
      </c>
      <c r="AN210" s="108">
        <f t="shared" si="119"/>
        <v>0</v>
      </c>
      <c r="AO210" s="108">
        <f t="shared" si="120"/>
        <v>0</v>
      </c>
      <c r="AP210" s="108">
        <f t="shared" si="121"/>
        <v>0</v>
      </c>
      <c r="AQ210" s="108">
        <f t="shared" si="122"/>
        <v>0</v>
      </c>
      <c r="AR210" s="108">
        <f t="shared" si="123"/>
        <v>0</v>
      </c>
      <c r="AS210" s="108">
        <f t="shared" si="124"/>
        <v>0</v>
      </c>
      <c r="AT210" s="108">
        <f t="shared" si="125"/>
        <v>0</v>
      </c>
      <c r="AU210" s="108">
        <f t="shared" si="126"/>
        <v>0</v>
      </c>
      <c r="AV210" s="108">
        <f t="shared" si="127"/>
        <v>0</v>
      </c>
      <c r="AW210" s="108">
        <f t="shared" si="128"/>
        <v>0</v>
      </c>
      <c r="AX210" s="108">
        <f t="shared" si="129"/>
        <v>0</v>
      </c>
      <c r="AY210" s="108">
        <f t="shared" si="130"/>
        <v>0</v>
      </c>
      <c r="AZ210" s="108">
        <f t="shared" si="131"/>
        <v>0</v>
      </c>
      <c r="BA210" s="109">
        <f t="shared" si="132"/>
        <v>0</v>
      </c>
    </row>
    <row r="211" spans="1:53" x14ac:dyDescent="0.35">
      <c r="A211" s="143">
        <v>40178</v>
      </c>
      <c r="B211" s="106" t="s">
        <v>2</v>
      </c>
      <c r="C211" s="106" t="s">
        <v>64</v>
      </c>
      <c r="D211" s="83">
        <f t="shared" si="105"/>
        <v>1</v>
      </c>
      <c r="E211" s="106" t="s">
        <v>190</v>
      </c>
      <c r="F211" s="83">
        <f t="shared" si="106"/>
        <v>2</v>
      </c>
      <c r="G211" s="106">
        <v>494351317</v>
      </c>
      <c r="H211" s="83">
        <f t="shared" si="107"/>
        <v>8.6940356954964511</v>
      </c>
      <c r="I211" s="143">
        <v>42278</v>
      </c>
      <c r="J211" s="106">
        <v>2011079652</v>
      </c>
      <c r="K211" s="145">
        <f t="shared" si="108"/>
        <v>5.7534246575342465</v>
      </c>
      <c r="L211" s="148">
        <f t="shared" si="133"/>
        <v>0.75992643027744455</v>
      </c>
      <c r="M211" s="106">
        <v>917.19</v>
      </c>
      <c r="N211" s="106">
        <f t="shared" si="109"/>
        <v>2.9629325585580042</v>
      </c>
      <c r="O211" s="106">
        <v>11</v>
      </c>
      <c r="P211" s="108">
        <f t="shared" si="134"/>
        <v>1.0413926851582251</v>
      </c>
      <c r="Q211" s="59">
        <v>2.62</v>
      </c>
      <c r="R211" s="65">
        <f t="shared" si="135"/>
        <v>0.41830129131974547</v>
      </c>
      <c r="S211" s="154">
        <f t="shared" si="110"/>
        <v>3.0681183256562461</v>
      </c>
      <c r="T211" s="119">
        <f t="shared" si="111"/>
        <v>0.60939357636285729</v>
      </c>
      <c r="U211" s="106">
        <v>1655.1111111111111</v>
      </c>
      <c r="V211" s="106">
        <f t="shared" si="112"/>
        <v>3.2188271541979425</v>
      </c>
      <c r="W211" s="106">
        <v>5715.5555555555547</v>
      </c>
      <c r="X211" s="106">
        <f t="shared" si="113"/>
        <v>3.7570584504768405</v>
      </c>
      <c r="Y211" s="118">
        <v>854.66666666666697</v>
      </c>
      <c r="Z211" s="118">
        <f t="shared" si="114"/>
        <v>2.9323046139517812</v>
      </c>
      <c r="AA211" s="106">
        <v>90.3</v>
      </c>
      <c r="AB211" s="108">
        <f t="shared" si="136"/>
        <v>1.9556877503135057</v>
      </c>
      <c r="AC211" s="119">
        <v>36.1</v>
      </c>
      <c r="AD211" s="127">
        <f t="shared" si="137"/>
        <v>1.5575072019056579</v>
      </c>
      <c r="AE211" s="120">
        <v>47.576210837790804</v>
      </c>
      <c r="AF211" s="128">
        <f t="shared" si="138"/>
        <v>1.6773898501062838</v>
      </c>
      <c r="AG211" s="152">
        <v>-0.15</v>
      </c>
      <c r="AH211" s="119">
        <f t="shared" si="115"/>
        <v>-7.0581074285707285E-2</v>
      </c>
      <c r="AI211" s="106">
        <v>14</v>
      </c>
      <c r="AJ211" s="108">
        <f t="shared" si="139"/>
        <v>1.146128035678238</v>
      </c>
      <c r="AK211" s="106">
        <f t="shared" si="116"/>
        <v>0</v>
      </c>
      <c r="AL211" s="106">
        <f t="shared" si="117"/>
        <v>0</v>
      </c>
      <c r="AM211" s="106">
        <f t="shared" si="118"/>
        <v>0</v>
      </c>
      <c r="AN211" s="106">
        <f t="shared" si="119"/>
        <v>0</v>
      </c>
      <c r="AO211" s="106">
        <f t="shared" si="120"/>
        <v>0</v>
      </c>
      <c r="AP211" s="106">
        <f t="shared" si="121"/>
        <v>0</v>
      </c>
      <c r="AQ211" s="106">
        <f t="shared" si="122"/>
        <v>0</v>
      </c>
      <c r="AR211" s="106">
        <f t="shared" si="123"/>
        <v>0</v>
      </c>
      <c r="AS211" s="106">
        <f t="shared" si="124"/>
        <v>0</v>
      </c>
      <c r="AT211" s="106">
        <f t="shared" si="125"/>
        <v>1</v>
      </c>
      <c r="AU211" s="106">
        <f t="shared" si="126"/>
        <v>0</v>
      </c>
      <c r="AV211" s="106">
        <f t="shared" si="127"/>
        <v>0</v>
      </c>
      <c r="AW211" s="106">
        <f t="shared" si="128"/>
        <v>0</v>
      </c>
      <c r="AX211" s="106">
        <f t="shared" si="129"/>
        <v>0</v>
      </c>
      <c r="AY211" s="106">
        <f t="shared" si="130"/>
        <v>0</v>
      </c>
      <c r="AZ211" s="106">
        <f t="shared" si="131"/>
        <v>0</v>
      </c>
      <c r="BA211" s="107">
        <f t="shared" si="132"/>
        <v>0</v>
      </c>
    </row>
    <row r="212" spans="1:53" x14ac:dyDescent="0.35">
      <c r="A212" s="146">
        <v>40178</v>
      </c>
      <c r="B212" s="108" t="s">
        <v>2</v>
      </c>
      <c r="C212" s="108" t="s">
        <v>64</v>
      </c>
      <c r="D212" s="84">
        <f t="shared" si="105"/>
        <v>1</v>
      </c>
      <c r="E212" s="108" t="s">
        <v>235</v>
      </c>
      <c r="F212" s="84">
        <f t="shared" si="106"/>
        <v>1</v>
      </c>
      <c r="G212" s="108">
        <v>145000000</v>
      </c>
      <c r="H212" s="84">
        <f t="shared" si="107"/>
        <v>8.1613680022349744</v>
      </c>
      <c r="I212" s="146">
        <v>41050</v>
      </c>
      <c r="J212" s="108">
        <v>250000000</v>
      </c>
      <c r="K212" s="148">
        <f t="shared" si="108"/>
        <v>2.3890410958904109</v>
      </c>
      <c r="L212" s="148">
        <f t="shared" si="133"/>
        <v>0.37822362047609248</v>
      </c>
      <c r="M212" s="108">
        <v>854.67</v>
      </c>
      <c r="N212" s="108">
        <f t="shared" si="109"/>
        <v>2.9323063057851897</v>
      </c>
      <c r="O212" s="108">
        <v>59</v>
      </c>
      <c r="P212" s="108">
        <f t="shared" si="134"/>
        <v>1.7708520116421442</v>
      </c>
      <c r="Q212" s="65">
        <v>3.5</v>
      </c>
      <c r="R212" s="65">
        <f t="shared" si="135"/>
        <v>0.54406804435027567</v>
      </c>
      <c r="S212" s="155">
        <f t="shared" si="110"/>
        <v>0.72413793103448265</v>
      </c>
      <c r="T212" s="127">
        <f t="shared" si="111"/>
        <v>0.23657200643706269</v>
      </c>
      <c r="U212" s="108">
        <v>2288.1257948895832</v>
      </c>
      <c r="V212" s="108">
        <f t="shared" si="112"/>
        <v>3.359479897098526</v>
      </c>
      <c r="W212" s="108">
        <v>8582.4950861371235</v>
      </c>
      <c r="X212" s="108">
        <f t="shared" si="113"/>
        <v>3.9336135634448146</v>
      </c>
      <c r="Y212" s="181">
        <v>854.66666666666663</v>
      </c>
      <c r="Z212" s="126">
        <f t="shared" si="114"/>
        <v>2.9323046139517808</v>
      </c>
      <c r="AA212" s="108">
        <v>90.3</v>
      </c>
      <c r="AB212" s="108">
        <f t="shared" si="136"/>
        <v>1.9556877503135057</v>
      </c>
      <c r="AC212" s="127">
        <v>36.1</v>
      </c>
      <c r="AD212" s="127">
        <f t="shared" si="137"/>
        <v>1.5575072019056579</v>
      </c>
      <c r="AE212" s="128">
        <v>47.576210837790804</v>
      </c>
      <c r="AF212" s="128">
        <f t="shared" si="138"/>
        <v>1.6773898501062838</v>
      </c>
      <c r="AG212" s="153">
        <v>-0.15</v>
      </c>
      <c r="AH212" s="127">
        <f t="shared" si="115"/>
        <v>-7.0581074285707285E-2</v>
      </c>
      <c r="AI212" s="108">
        <v>12</v>
      </c>
      <c r="AJ212" s="108">
        <f t="shared" si="139"/>
        <v>1.0791812460476249</v>
      </c>
      <c r="AK212" s="108">
        <f t="shared" si="116"/>
        <v>0</v>
      </c>
      <c r="AL212" s="108">
        <f t="shared" si="117"/>
        <v>0</v>
      </c>
      <c r="AM212" s="108">
        <f t="shared" si="118"/>
        <v>0</v>
      </c>
      <c r="AN212" s="108">
        <f t="shared" si="119"/>
        <v>0</v>
      </c>
      <c r="AO212" s="108">
        <f t="shared" si="120"/>
        <v>0</v>
      </c>
      <c r="AP212" s="108">
        <f t="shared" si="121"/>
        <v>0</v>
      </c>
      <c r="AQ212" s="108">
        <f t="shared" si="122"/>
        <v>0</v>
      </c>
      <c r="AR212" s="108">
        <f t="shared" si="123"/>
        <v>0</v>
      </c>
      <c r="AS212" s="108">
        <f t="shared" si="124"/>
        <v>0</v>
      </c>
      <c r="AT212" s="108">
        <f t="shared" si="125"/>
        <v>1</v>
      </c>
      <c r="AU212" s="108">
        <f t="shared" si="126"/>
        <v>0</v>
      </c>
      <c r="AV212" s="108">
        <f t="shared" si="127"/>
        <v>0</v>
      </c>
      <c r="AW212" s="108">
        <f t="shared" si="128"/>
        <v>0</v>
      </c>
      <c r="AX212" s="108">
        <f t="shared" si="129"/>
        <v>0</v>
      </c>
      <c r="AY212" s="108">
        <f t="shared" si="130"/>
        <v>0</v>
      </c>
      <c r="AZ212" s="108">
        <f t="shared" si="131"/>
        <v>0</v>
      </c>
      <c r="BA212" s="109">
        <f t="shared" si="132"/>
        <v>0</v>
      </c>
    </row>
  </sheetData>
  <conditionalFormatting sqref="A1">
    <cfRule type="duplicateValues" dxfId="6" priority="23"/>
  </conditionalFormatting>
  <conditionalFormatting sqref="A199:A205 A172:A189 A115 A104:A112 A12:A27">
    <cfRule type="duplicateValues" dxfId="5" priority="9"/>
  </conditionalFormatting>
  <conditionalFormatting sqref="A208">
    <cfRule type="duplicateValues" dxfId="4" priority="6"/>
  </conditionalFormatting>
  <conditionalFormatting sqref="A209">
    <cfRule type="duplicateValues" dxfId="3" priority="4"/>
  </conditionalFormatting>
  <conditionalFormatting sqref="A210">
    <cfRule type="duplicateValues" dxfId="2" priority="3"/>
  </conditionalFormatting>
  <conditionalFormatting sqref="A211">
    <cfRule type="duplicateValues" dxfId="1" priority="2"/>
  </conditionalFormatting>
  <conditionalFormatting sqref="A212">
    <cfRule type="duplicateValues" dxfId="0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showGridLines="0" topLeftCell="A4" workbookViewId="0">
      <selection activeCell="D13" sqref="D13"/>
    </sheetView>
  </sheetViews>
  <sheetFormatPr defaultRowHeight="14.5" x14ac:dyDescent="0.35"/>
  <cols>
    <col min="7" max="7" width="9.54296875" bestFit="1" customWidth="1"/>
  </cols>
  <sheetData>
    <row r="2" spans="2:10" x14ac:dyDescent="0.35">
      <c r="I2" s="188" t="s">
        <v>1349</v>
      </c>
      <c r="J2" s="188"/>
    </row>
    <row r="3" spans="2:10" x14ac:dyDescent="0.35">
      <c r="C3" s="6" t="s">
        <v>1348</v>
      </c>
      <c r="D3" s="6" t="s">
        <v>1339</v>
      </c>
      <c r="E3" s="6" t="s">
        <v>1345</v>
      </c>
      <c r="F3" s="6" t="s">
        <v>1338</v>
      </c>
      <c r="G3" s="6" t="s">
        <v>1340</v>
      </c>
      <c r="H3" s="6" t="s">
        <v>1344</v>
      </c>
      <c r="I3" s="6" t="s">
        <v>1346</v>
      </c>
      <c r="J3" s="6" t="s">
        <v>1342</v>
      </c>
    </row>
    <row r="5" spans="2:10" x14ac:dyDescent="0.35">
      <c r="B5" s="6"/>
      <c r="D5" s="24"/>
      <c r="E5" s="24"/>
      <c r="F5" s="24"/>
      <c r="G5" s="24"/>
      <c r="H5" s="80"/>
      <c r="I5" s="24"/>
      <c r="J5" s="24"/>
    </row>
    <row r="6" spans="2:10" x14ac:dyDescent="0.35">
      <c r="B6" s="6"/>
      <c r="D6" s="24"/>
      <c r="E6" s="24"/>
      <c r="F6" s="24"/>
      <c r="G6" s="24"/>
      <c r="H6" s="80"/>
      <c r="I6" s="24"/>
      <c r="J6" s="24"/>
    </row>
    <row r="7" spans="2:10" x14ac:dyDescent="0.35">
      <c r="B7" s="6"/>
      <c r="D7" s="24"/>
      <c r="E7" s="24"/>
      <c r="F7" s="24"/>
      <c r="G7" s="24"/>
      <c r="H7" s="80"/>
      <c r="I7" s="24"/>
      <c r="J7" s="24"/>
    </row>
    <row r="8" spans="2:10" x14ac:dyDescent="0.35">
      <c r="B8" s="6"/>
      <c r="D8" s="24"/>
      <c r="E8" s="24"/>
      <c r="F8" s="24"/>
      <c r="G8" s="24"/>
      <c r="H8" s="80"/>
      <c r="I8" s="24"/>
      <c r="J8" s="24"/>
    </row>
    <row r="9" spans="2:10" x14ac:dyDescent="0.35">
      <c r="B9" s="6"/>
      <c r="D9" s="24"/>
      <c r="E9" s="24"/>
      <c r="F9" s="24"/>
      <c r="G9" s="24"/>
      <c r="H9" s="80"/>
      <c r="I9" s="24"/>
      <c r="J9" s="24"/>
    </row>
    <row r="10" spans="2:10" x14ac:dyDescent="0.35">
      <c r="B10" s="6"/>
      <c r="D10" s="24"/>
      <c r="E10" s="24"/>
      <c r="F10" s="24"/>
      <c r="G10" s="24"/>
      <c r="H10" s="80"/>
      <c r="I10" s="24"/>
      <c r="J10" s="24"/>
    </row>
    <row r="16" spans="2:10" x14ac:dyDescent="0.35">
      <c r="I16" s="80"/>
    </row>
    <row r="17" spans="2:10" x14ac:dyDescent="0.35">
      <c r="I17" s="80"/>
    </row>
    <row r="18" spans="2:10" x14ac:dyDescent="0.35">
      <c r="I18" s="80" t="s">
        <v>1349</v>
      </c>
    </row>
    <row r="19" spans="2:10" x14ac:dyDescent="0.35">
      <c r="B19" s="6"/>
      <c r="C19" s="6" t="s">
        <v>1348</v>
      </c>
      <c r="D19" s="6" t="s">
        <v>1339</v>
      </c>
      <c r="E19" s="6" t="s">
        <v>1345</v>
      </c>
      <c r="F19" s="6" t="s">
        <v>1338</v>
      </c>
      <c r="G19" s="6" t="s">
        <v>1340</v>
      </c>
      <c r="H19" s="6" t="s">
        <v>1344</v>
      </c>
      <c r="I19" s="112" t="s">
        <v>1346</v>
      </c>
      <c r="J19" s="6" t="s">
        <v>1342</v>
      </c>
    </row>
    <row r="20" spans="2:10" x14ac:dyDescent="0.35">
      <c r="I20" s="80"/>
    </row>
    <row r="21" spans="2:10" x14ac:dyDescent="0.35">
      <c r="B21" s="6" t="s">
        <v>1347</v>
      </c>
      <c r="C21">
        <v>701</v>
      </c>
      <c r="D21" s="80">
        <v>-1</v>
      </c>
      <c r="E21" s="80">
        <v>1.6017377428549555</v>
      </c>
      <c r="F21" s="80">
        <v>0.67491654197749062</v>
      </c>
      <c r="G21" s="80">
        <v>39</v>
      </c>
      <c r="H21" s="80">
        <v>3.9089125031931449</v>
      </c>
      <c r="I21" s="80">
        <v>-6.3049720970388717E-2</v>
      </c>
      <c r="J21" s="80">
        <v>1.6356923921902131</v>
      </c>
    </row>
    <row r="22" spans="2:10" x14ac:dyDescent="0.35">
      <c r="B22" s="6" t="s">
        <v>1316</v>
      </c>
      <c r="C22">
        <v>701</v>
      </c>
      <c r="D22" s="80">
        <v>-0.49</v>
      </c>
      <c r="E22" s="80">
        <v>0.29625722543352617</v>
      </c>
      <c r="F22" s="80">
        <v>0.25</v>
      </c>
      <c r="G22" s="80">
        <v>3.56</v>
      </c>
      <c r="H22" s="80">
        <v>0.41489152808637947</v>
      </c>
      <c r="I22" s="80">
        <v>-0.01</v>
      </c>
      <c r="J22" s="80">
        <v>0.51</v>
      </c>
    </row>
    <row r="23" spans="2:10" x14ac:dyDescent="0.35">
      <c r="B23" s="6" t="s">
        <v>125</v>
      </c>
      <c r="C23">
        <v>351</v>
      </c>
      <c r="D23" s="80">
        <v>-1</v>
      </c>
      <c r="E23" s="80">
        <v>1.9643347290168551</v>
      </c>
      <c r="F23" s="80">
        <v>0.76842889054355912</v>
      </c>
      <c r="G23" s="80">
        <v>39</v>
      </c>
      <c r="H23" s="80">
        <v>4.2245074694149851</v>
      </c>
      <c r="I23" s="80">
        <v>0.17153108807692302</v>
      </c>
      <c r="J23" s="80">
        <v>1.8916666666666666</v>
      </c>
    </row>
    <row r="24" spans="2:10" x14ac:dyDescent="0.35">
      <c r="B24" s="6" t="s">
        <v>102</v>
      </c>
      <c r="C24">
        <v>350</v>
      </c>
      <c r="D24" s="80">
        <v>-1</v>
      </c>
      <c r="E24" s="80">
        <v>1.2391407566930643</v>
      </c>
      <c r="F24" s="80">
        <v>0.49268508819751999</v>
      </c>
      <c r="G24" s="80">
        <v>38.158169177288528</v>
      </c>
      <c r="H24" s="80">
        <v>3.5407041842191393</v>
      </c>
      <c r="I24" s="80">
        <v>-0.43002210345264524</v>
      </c>
      <c r="J24" s="80">
        <v>1.5438221692796765</v>
      </c>
    </row>
    <row r="25" spans="2:10" x14ac:dyDescent="0.35">
      <c r="B25" s="6" t="s">
        <v>45</v>
      </c>
      <c r="C25">
        <v>244</v>
      </c>
      <c r="D25" s="80">
        <v>-1</v>
      </c>
      <c r="E25" s="80">
        <v>1.2055512369688612</v>
      </c>
      <c r="F25" s="80">
        <v>0.35680323816928494</v>
      </c>
      <c r="G25" s="80">
        <v>38.158169177288528</v>
      </c>
      <c r="H25" s="80">
        <v>3.8004874371785435</v>
      </c>
      <c r="I25" s="80">
        <v>-0.48666666666666669</v>
      </c>
      <c r="J25" s="80">
        <v>1.3967741935483871</v>
      </c>
    </row>
    <row r="26" spans="2:10" x14ac:dyDescent="0.35">
      <c r="B26" s="6" t="s">
        <v>59</v>
      </c>
      <c r="C26">
        <v>171</v>
      </c>
      <c r="D26" s="80">
        <v>-1</v>
      </c>
      <c r="E26" s="80">
        <v>1.5311777879995838</v>
      </c>
      <c r="F26" s="80">
        <v>0.80555555555555558</v>
      </c>
      <c r="G26" s="80">
        <v>21.608695652173914</v>
      </c>
      <c r="H26" s="80">
        <v>2.9557573840264291</v>
      </c>
      <c r="I26" s="80">
        <v>0</v>
      </c>
      <c r="J26" s="80">
        <v>1.3967741935483871</v>
      </c>
    </row>
  </sheetData>
  <mergeCells count="1">
    <mergeCell ref="I2:J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702"/>
  <sheetViews>
    <sheetView workbookViewId="0">
      <pane ySplit="1" topLeftCell="A23" activePane="bottomLeft" state="frozen"/>
      <selection activeCell="P1" sqref="P1"/>
      <selection pane="bottomLeft" activeCell="AE55" sqref="AE55"/>
    </sheetView>
  </sheetViews>
  <sheetFormatPr defaultRowHeight="14.5" x14ac:dyDescent="0.35"/>
  <cols>
    <col min="4" max="4" width="9.1796875" style="137"/>
    <col min="7" max="7" width="9.1796875" style="9"/>
    <col min="8" max="8" width="9.1796875" style="140"/>
    <col min="12" max="12" width="9.1796875" style="137"/>
    <col min="13" max="13" width="13.26953125" customWidth="1"/>
    <col min="15" max="15" width="16.7265625" customWidth="1"/>
    <col min="16" max="16" width="19.26953125" customWidth="1"/>
    <col min="17" max="17" width="19.26953125" style="137" customWidth="1"/>
    <col min="19" max="19" width="9.1796875" style="137"/>
    <col min="21" max="21" width="9.1796875" style="137"/>
    <col min="24" max="24" width="15.81640625" customWidth="1"/>
    <col min="33" max="33" width="14.453125" customWidth="1"/>
  </cols>
  <sheetData>
    <row r="1" spans="1:53" x14ac:dyDescent="0.35">
      <c r="A1" s="6" t="s">
        <v>1330</v>
      </c>
      <c r="B1" s="6"/>
      <c r="C1" s="6" t="s">
        <v>23</v>
      </c>
      <c r="D1" s="6" t="s">
        <v>1381</v>
      </c>
      <c r="E1" s="6" t="s">
        <v>1332</v>
      </c>
      <c r="F1" s="6" t="s">
        <v>1313</v>
      </c>
      <c r="G1" s="46" t="s">
        <v>1314</v>
      </c>
      <c r="H1" s="46" t="s">
        <v>1380</v>
      </c>
      <c r="I1" s="6" t="s">
        <v>1315</v>
      </c>
      <c r="J1" s="6" t="s">
        <v>1316</v>
      </c>
      <c r="K1" s="6" t="s">
        <v>40</v>
      </c>
      <c r="L1" s="6" t="s">
        <v>1378</v>
      </c>
      <c r="M1" s="6" t="s">
        <v>1318</v>
      </c>
      <c r="N1" s="6" t="s">
        <v>41</v>
      </c>
      <c r="O1" s="6" t="s">
        <v>42</v>
      </c>
      <c r="P1" s="6" t="s">
        <v>35</v>
      </c>
      <c r="Q1" s="6" t="s">
        <v>1379</v>
      </c>
      <c r="R1" s="22" t="s">
        <v>36</v>
      </c>
      <c r="S1" s="22" t="s">
        <v>1377</v>
      </c>
      <c r="T1" s="6" t="s">
        <v>37</v>
      </c>
      <c r="U1" s="6" t="s">
        <v>1376</v>
      </c>
      <c r="V1" s="6" t="s">
        <v>31</v>
      </c>
      <c r="W1" s="6" t="s">
        <v>32</v>
      </c>
      <c r="X1" s="6" t="s">
        <v>33</v>
      </c>
      <c r="Y1" s="6" t="s">
        <v>1317</v>
      </c>
      <c r="Z1" s="6" t="s">
        <v>1319</v>
      </c>
      <c r="AA1" s="6" t="s">
        <v>1322</v>
      </c>
      <c r="AB1" s="6" t="s">
        <v>235</v>
      </c>
      <c r="AC1" s="6" t="s">
        <v>1320</v>
      </c>
      <c r="AD1" s="6" t="s">
        <v>183</v>
      </c>
      <c r="AE1" s="6" t="s">
        <v>1321</v>
      </c>
      <c r="AF1" s="6" t="s">
        <v>248</v>
      </c>
      <c r="AG1" s="6" t="s">
        <v>245</v>
      </c>
      <c r="AH1" s="6" t="s">
        <v>1324</v>
      </c>
      <c r="AI1" s="6" t="s">
        <v>326</v>
      </c>
      <c r="AJ1" s="6" t="s">
        <v>178</v>
      </c>
      <c r="AK1" s="6" t="s">
        <v>279</v>
      </c>
      <c r="AL1" s="6" t="s">
        <v>45</v>
      </c>
      <c r="AM1" s="6" t="s">
        <v>59</v>
      </c>
      <c r="AN1" s="6" t="s">
        <v>1</v>
      </c>
      <c r="AO1" s="6" t="s">
        <v>3</v>
      </c>
      <c r="AP1" s="6" t="s">
        <v>1335</v>
      </c>
      <c r="AQ1" s="6" t="s">
        <v>5</v>
      </c>
      <c r="AR1" t="s">
        <v>163</v>
      </c>
      <c r="AS1" t="s">
        <v>6</v>
      </c>
      <c r="AT1" t="s">
        <v>1336</v>
      </c>
      <c r="AU1" t="s">
        <v>434</v>
      </c>
      <c r="AV1" t="s">
        <v>447</v>
      </c>
      <c r="AW1" t="s">
        <v>7</v>
      </c>
      <c r="AX1" t="s">
        <v>954</v>
      </c>
      <c r="AY1" t="s">
        <v>489</v>
      </c>
      <c r="AZ1" t="s">
        <v>497</v>
      </c>
      <c r="BA1" t="s">
        <v>419</v>
      </c>
    </row>
    <row r="2" spans="1:53" x14ac:dyDescent="0.35">
      <c r="A2">
        <v>-0.69897000433601886</v>
      </c>
      <c r="C2">
        <v>2.2219178082191782</v>
      </c>
      <c r="D2" s="137">
        <f>LOG(C2)</f>
        <v>0.34672798975468133</v>
      </c>
      <c r="E2">
        <v>0</v>
      </c>
      <c r="F2">
        <v>2.0374264979406238</v>
      </c>
      <c r="G2" s="29">
        <v>2.95</v>
      </c>
      <c r="H2" s="29">
        <f>LOG(G2)</f>
        <v>0.46982201597816303</v>
      </c>
      <c r="I2" s="9">
        <v>0</v>
      </c>
      <c r="J2" s="34">
        <v>0.23044892137827391</v>
      </c>
      <c r="K2">
        <v>9</v>
      </c>
      <c r="L2" s="137">
        <f>IF(K2=0,0,LOG(K2))</f>
        <v>0.95424250943932487</v>
      </c>
      <c r="M2">
        <f t="shared" ref="M2:M65" si="0">IF(E2=0,0,1)</f>
        <v>0</v>
      </c>
      <c r="N2">
        <v>70</v>
      </c>
      <c r="O2">
        <v>70</v>
      </c>
      <c r="P2">
        <v>85</v>
      </c>
      <c r="Q2" s="137">
        <f>LOG(P2)</f>
        <v>1.9294189257142926</v>
      </c>
      <c r="R2" s="34">
        <v>26.2</v>
      </c>
      <c r="S2" s="34">
        <f>LOG(R2)</f>
        <v>1.4183012913197455</v>
      </c>
      <c r="T2" s="42">
        <v>37.8446121410093</v>
      </c>
      <c r="U2" s="42">
        <f>LOG(T2)</f>
        <v>1.5780040586317157</v>
      </c>
      <c r="V2">
        <v>3.3647319918335836</v>
      </c>
      <c r="W2" s="14">
        <v>4</v>
      </c>
      <c r="X2">
        <v>3.568659604598353</v>
      </c>
      <c r="Y2" s="2">
        <v>9.0413926851582254</v>
      </c>
      <c r="Z2" s="80" t="e">
        <v>#N/A</v>
      </c>
      <c r="AA2">
        <v>5</v>
      </c>
      <c r="AB2">
        <f>IF(AA2=1,1,0)</f>
        <v>0</v>
      </c>
      <c r="AC2">
        <f>IF(AA2=2,1,0)</f>
        <v>0</v>
      </c>
      <c r="AD2">
        <f>IF(AA2=3,1,0)</f>
        <v>0</v>
      </c>
      <c r="AE2">
        <f>IF(AA2=4,1,0)</f>
        <v>0</v>
      </c>
      <c r="AF2">
        <f>IF(AA2=5,1,0)</f>
        <v>1</v>
      </c>
      <c r="AG2">
        <f>IF(AA2=6,1,0)</f>
        <v>0</v>
      </c>
      <c r="AH2">
        <f>IF(AA2=7,1,0)</f>
        <v>0</v>
      </c>
      <c r="AI2">
        <f>IF(AA2=8,1,0)</f>
        <v>0</v>
      </c>
      <c r="AJ2">
        <f>IF(AA2=9,1,0)</f>
        <v>0</v>
      </c>
      <c r="AK2">
        <f>IF(AA2=10,1,0)</f>
        <v>0</v>
      </c>
      <c r="AL2">
        <v>1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</row>
    <row r="3" spans="1:53" x14ac:dyDescent="0.35">
      <c r="A3">
        <v>1.182622126214639</v>
      </c>
      <c r="C3">
        <v>6.2547945205479456</v>
      </c>
      <c r="D3" s="137">
        <f t="shared" ref="D3:D66" si="1">LOG(C3)</f>
        <v>0.79621304703376061</v>
      </c>
      <c r="E3">
        <v>0</v>
      </c>
      <c r="F3">
        <v>1.4771212547196624</v>
      </c>
      <c r="G3" s="45">
        <v>2.95</v>
      </c>
      <c r="H3" s="29">
        <f t="shared" ref="H3:H66" si="2">LOG(G3)</f>
        <v>0.46982201597816303</v>
      </c>
      <c r="I3" s="9">
        <v>0</v>
      </c>
      <c r="J3" s="34">
        <v>8.6359830674748214E-2</v>
      </c>
      <c r="K3">
        <v>0</v>
      </c>
      <c r="L3" s="137">
        <f t="shared" ref="L3:L66" si="3">IF(K3=0,0,LOG(K3))</f>
        <v>0</v>
      </c>
      <c r="M3">
        <f t="shared" si="0"/>
        <v>0</v>
      </c>
      <c r="N3">
        <v>70</v>
      </c>
      <c r="O3">
        <v>70</v>
      </c>
      <c r="P3">
        <v>85</v>
      </c>
      <c r="Q3" s="137">
        <f t="shared" ref="Q3:Q66" si="4">LOG(P3)</f>
        <v>1.9294189257142926</v>
      </c>
      <c r="R3" s="34">
        <v>27</v>
      </c>
      <c r="S3" s="34">
        <f t="shared" ref="S3:S66" si="5">LOG(R3)</f>
        <v>1.4313637641589874</v>
      </c>
      <c r="T3" s="42">
        <v>37.123527923893597</v>
      </c>
      <c r="U3" s="42">
        <f t="shared" ref="U3:U66" si="6">LOG(T3)</f>
        <v>1.5696492413904459</v>
      </c>
      <c r="V3">
        <v>3.3487219865577531</v>
      </c>
      <c r="W3" s="14">
        <v>2</v>
      </c>
      <c r="X3" s="14">
        <v>3.7520876635386311</v>
      </c>
      <c r="Y3" s="2">
        <v>7.7403626894942441</v>
      </c>
      <c r="Z3" s="80" t="e">
        <v>#N/A</v>
      </c>
      <c r="AA3" s="2">
        <v>8</v>
      </c>
      <c r="AB3">
        <f t="shared" ref="AB3:AB66" si="7">IF(AA3=1,1,0)</f>
        <v>0</v>
      </c>
      <c r="AC3">
        <f t="shared" ref="AC3:AC66" si="8">IF(AA3=2,1,0)</f>
        <v>0</v>
      </c>
      <c r="AD3">
        <f t="shared" ref="AD3:AD66" si="9">IF(AA3=3,1,0)</f>
        <v>0</v>
      </c>
      <c r="AE3">
        <f t="shared" ref="AE3:AE66" si="10">IF(AA3=4,1,0)</f>
        <v>0</v>
      </c>
      <c r="AF3">
        <f t="shared" ref="AF3:AF66" si="11">IF(AA3=5,1,0)</f>
        <v>0</v>
      </c>
      <c r="AG3">
        <f t="shared" ref="AG3:AG66" si="12">IF(AA3=6,1,0)</f>
        <v>0</v>
      </c>
      <c r="AH3">
        <f t="shared" ref="AH3:AH66" si="13">IF(AA3=7,1,0)</f>
        <v>0</v>
      </c>
      <c r="AI3">
        <f t="shared" ref="AI3:AI66" si="14">IF(AA3=8,1,0)</f>
        <v>1</v>
      </c>
      <c r="AJ3">
        <f t="shared" ref="AJ3:AJ66" si="15">IF(AA3=9,1,0)</f>
        <v>0</v>
      </c>
      <c r="AK3">
        <f t="shared" ref="AK3:AK66" si="16">IF(AA3=10,1,0)</f>
        <v>0</v>
      </c>
      <c r="AL3">
        <v>1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</row>
    <row r="4" spans="1:53" x14ac:dyDescent="0.35">
      <c r="A4">
        <v>0.42919770240247967</v>
      </c>
      <c r="C4">
        <v>0.34246575342465752</v>
      </c>
      <c r="D4" s="137">
        <f>LOG(C4)</f>
        <v>-0.46538285144841829</v>
      </c>
      <c r="E4">
        <v>0</v>
      </c>
      <c r="F4">
        <v>1.5563025007672873</v>
      </c>
      <c r="G4" s="45">
        <v>2.95</v>
      </c>
      <c r="H4" s="29">
        <f t="shared" si="2"/>
        <v>0.46982201597816303</v>
      </c>
      <c r="I4" s="9">
        <v>0</v>
      </c>
      <c r="J4" s="34">
        <v>-0.11918640771920865</v>
      </c>
      <c r="K4">
        <v>16</v>
      </c>
      <c r="L4" s="137">
        <f t="shared" si="3"/>
        <v>1.2041199826559248</v>
      </c>
      <c r="M4">
        <f t="shared" si="0"/>
        <v>0</v>
      </c>
      <c r="N4">
        <v>70</v>
      </c>
      <c r="O4">
        <v>70</v>
      </c>
      <c r="P4">
        <v>85</v>
      </c>
      <c r="Q4" s="137">
        <f t="shared" si="4"/>
        <v>1.9294189257142926</v>
      </c>
      <c r="R4" s="34">
        <v>24.9</v>
      </c>
      <c r="S4" s="34">
        <f t="shared" si="5"/>
        <v>1.3961993470957363</v>
      </c>
      <c r="T4" s="42">
        <v>36.710134890601303</v>
      </c>
      <c r="U4" s="42">
        <f t="shared" si="6"/>
        <v>1.564785980312654</v>
      </c>
      <c r="V4">
        <v>3.3704715474841587</v>
      </c>
      <c r="W4" s="14">
        <v>1</v>
      </c>
      <c r="X4">
        <v>3.6359758652606611</v>
      </c>
      <c r="Y4" s="2">
        <v>8.9229848157088831</v>
      </c>
      <c r="Z4" s="80">
        <v>-0.27000293257456276</v>
      </c>
      <c r="AA4" s="2">
        <v>8</v>
      </c>
      <c r="AB4">
        <f t="shared" si="7"/>
        <v>0</v>
      </c>
      <c r="AC4">
        <f t="shared" si="8"/>
        <v>0</v>
      </c>
      <c r="AD4">
        <f t="shared" si="9"/>
        <v>0</v>
      </c>
      <c r="AE4">
        <f t="shared" si="10"/>
        <v>0</v>
      </c>
      <c r="AF4">
        <f t="shared" si="11"/>
        <v>0</v>
      </c>
      <c r="AG4">
        <f t="shared" si="12"/>
        <v>0</v>
      </c>
      <c r="AH4">
        <f t="shared" si="13"/>
        <v>0</v>
      </c>
      <c r="AI4">
        <f t="shared" si="14"/>
        <v>1</v>
      </c>
      <c r="AJ4">
        <f t="shared" si="15"/>
        <v>0</v>
      </c>
      <c r="AK4">
        <f t="shared" si="16"/>
        <v>0</v>
      </c>
      <c r="AL4">
        <v>1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</row>
    <row r="5" spans="1:53" x14ac:dyDescent="0.35">
      <c r="A5">
        <v>-0.43880684783884277</v>
      </c>
      <c r="C5">
        <v>9.2657534246575342</v>
      </c>
      <c r="D5" s="137">
        <f t="shared" si="1"/>
        <v>0.96688073880524827</v>
      </c>
      <c r="E5">
        <v>0</v>
      </c>
      <c r="F5">
        <v>0</v>
      </c>
      <c r="G5" s="45">
        <v>3.29</v>
      </c>
      <c r="H5" s="29">
        <f t="shared" si="2"/>
        <v>0.51719589794997434</v>
      </c>
      <c r="I5" s="9">
        <v>0</v>
      </c>
      <c r="J5" s="34">
        <v>0.17897694729316943</v>
      </c>
      <c r="K5">
        <v>0</v>
      </c>
      <c r="L5" s="137">
        <f t="shared" si="3"/>
        <v>0</v>
      </c>
      <c r="M5">
        <f t="shared" si="0"/>
        <v>0</v>
      </c>
      <c r="N5">
        <v>70</v>
      </c>
      <c r="O5">
        <v>70</v>
      </c>
      <c r="P5">
        <v>85</v>
      </c>
      <c r="Q5" s="137">
        <f t="shared" si="4"/>
        <v>1.9294189257142926</v>
      </c>
      <c r="R5" s="34">
        <v>30</v>
      </c>
      <c r="S5" s="34">
        <f t="shared" si="5"/>
        <v>1.4771212547196624</v>
      </c>
      <c r="T5" s="42">
        <v>35.807885111275297</v>
      </c>
      <c r="U5" s="42">
        <f t="shared" si="6"/>
        <v>1.5539786714272548</v>
      </c>
      <c r="V5">
        <v>3.2860283894181141</v>
      </c>
      <c r="W5" s="14">
        <v>1</v>
      </c>
      <c r="X5">
        <v>3.9098977130890344</v>
      </c>
      <c r="Y5" s="2">
        <v>7.7160033436347994</v>
      </c>
      <c r="Z5" s="80" t="e">
        <v>#N/A</v>
      </c>
      <c r="AA5" s="2">
        <v>7</v>
      </c>
      <c r="AB5">
        <f t="shared" si="7"/>
        <v>0</v>
      </c>
      <c r="AC5">
        <f t="shared" si="8"/>
        <v>0</v>
      </c>
      <c r="AD5">
        <f t="shared" si="9"/>
        <v>0</v>
      </c>
      <c r="AE5">
        <f t="shared" si="10"/>
        <v>0</v>
      </c>
      <c r="AF5">
        <f t="shared" si="11"/>
        <v>0</v>
      </c>
      <c r="AG5">
        <f t="shared" si="12"/>
        <v>0</v>
      </c>
      <c r="AH5">
        <f t="shared" si="13"/>
        <v>1</v>
      </c>
      <c r="AI5">
        <f t="shared" si="14"/>
        <v>0</v>
      </c>
      <c r="AJ5">
        <f t="shared" si="15"/>
        <v>0</v>
      </c>
      <c r="AK5">
        <f t="shared" si="16"/>
        <v>0</v>
      </c>
      <c r="AL5">
        <v>0</v>
      </c>
      <c r="AM5">
        <v>1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</row>
    <row r="6" spans="1:53" x14ac:dyDescent="0.35">
      <c r="A6">
        <v>-3.3241325847105839E-2</v>
      </c>
      <c r="C6">
        <v>4.4027397260273968</v>
      </c>
      <c r="D6" s="137">
        <f t="shared" si="1"/>
        <v>0.64372301230686979</v>
      </c>
      <c r="E6">
        <v>3.1566248585544785</v>
      </c>
      <c r="F6">
        <v>1.8808135922807914</v>
      </c>
      <c r="G6" s="45">
        <v>3.03</v>
      </c>
      <c r="H6" s="29">
        <f t="shared" si="2"/>
        <v>0.48144262850230496</v>
      </c>
      <c r="I6" s="9">
        <v>2.8438554226231609</v>
      </c>
      <c r="J6" s="34">
        <v>-1.322826573375516E-2</v>
      </c>
      <c r="K6">
        <v>9</v>
      </c>
      <c r="L6" s="137">
        <f t="shared" si="3"/>
        <v>0.95424250943932487</v>
      </c>
      <c r="M6">
        <f t="shared" si="0"/>
        <v>1</v>
      </c>
      <c r="N6">
        <v>70</v>
      </c>
      <c r="O6">
        <v>70</v>
      </c>
      <c r="P6">
        <v>70</v>
      </c>
      <c r="Q6" s="137">
        <f t="shared" si="4"/>
        <v>1.8450980400142569</v>
      </c>
      <c r="R6" s="34">
        <v>48.4</v>
      </c>
      <c r="S6" s="34">
        <f t="shared" si="5"/>
        <v>1.6848453616444126</v>
      </c>
      <c r="T6" s="42">
        <v>56.929890049265502</v>
      </c>
      <c r="U6" s="42">
        <f t="shared" si="6"/>
        <v>1.7553403450438787</v>
      </c>
      <c r="V6">
        <v>3.277819633965128</v>
      </c>
      <c r="W6" s="14">
        <v>2</v>
      </c>
      <c r="X6" s="14">
        <v>3.9304083853612104</v>
      </c>
      <c r="Y6" s="2">
        <v>8.0992316150808819</v>
      </c>
      <c r="Z6" s="80">
        <v>-0.14699682302373385</v>
      </c>
      <c r="AA6" s="2">
        <v>6</v>
      </c>
      <c r="AB6">
        <f t="shared" si="7"/>
        <v>0</v>
      </c>
      <c r="AC6">
        <f t="shared" si="8"/>
        <v>0</v>
      </c>
      <c r="AD6">
        <f t="shared" si="9"/>
        <v>0</v>
      </c>
      <c r="AE6">
        <f t="shared" si="10"/>
        <v>0</v>
      </c>
      <c r="AF6">
        <f t="shared" si="11"/>
        <v>0</v>
      </c>
      <c r="AG6">
        <f t="shared" si="12"/>
        <v>1</v>
      </c>
      <c r="AH6">
        <f t="shared" si="13"/>
        <v>0</v>
      </c>
      <c r="AI6">
        <f t="shared" si="14"/>
        <v>0</v>
      </c>
      <c r="AJ6">
        <f t="shared" si="15"/>
        <v>0</v>
      </c>
      <c r="AK6">
        <f t="shared" si="16"/>
        <v>0</v>
      </c>
      <c r="AL6">
        <v>0</v>
      </c>
      <c r="AM6">
        <v>0</v>
      </c>
      <c r="AN6">
        <v>0</v>
      </c>
      <c r="AO6">
        <v>0</v>
      </c>
      <c r="AP6">
        <v>1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</row>
    <row r="7" spans="1:53" x14ac:dyDescent="0.35">
      <c r="A7">
        <v>-0.22590584449276507</v>
      </c>
      <c r="C7">
        <v>4.2876712328767121</v>
      </c>
      <c r="D7" s="137">
        <f t="shared" si="1"/>
        <v>0.63222147742599255</v>
      </c>
      <c r="E7">
        <v>0</v>
      </c>
      <c r="F7">
        <v>1.8195439355418688</v>
      </c>
      <c r="G7" s="45">
        <v>3.29</v>
      </c>
      <c r="H7" s="29">
        <f t="shared" si="2"/>
        <v>0.51719589794997434</v>
      </c>
      <c r="I7" s="9">
        <v>0</v>
      </c>
      <c r="J7" s="34">
        <v>-0.10790539730951958</v>
      </c>
      <c r="K7">
        <v>22</v>
      </c>
      <c r="L7" s="137">
        <f t="shared" si="3"/>
        <v>1.3424226808222062</v>
      </c>
      <c r="M7">
        <f t="shared" si="0"/>
        <v>0</v>
      </c>
      <c r="N7">
        <v>70</v>
      </c>
      <c r="O7">
        <v>70</v>
      </c>
      <c r="P7">
        <v>85</v>
      </c>
      <c r="Q7" s="137">
        <f t="shared" si="4"/>
        <v>1.9294189257142926</v>
      </c>
      <c r="R7" s="34">
        <v>32.200000000000003</v>
      </c>
      <c r="S7" s="34">
        <f t="shared" si="5"/>
        <v>1.507855871695831</v>
      </c>
      <c r="T7" s="42">
        <v>35.326012114535303</v>
      </c>
      <c r="U7" s="42">
        <f t="shared" si="6"/>
        <v>1.548094613534351</v>
      </c>
      <c r="V7">
        <v>3.1817251205543564</v>
      </c>
      <c r="W7" s="14">
        <v>2</v>
      </c>
      <c r="X7">
        <v>3.9234321312589846</v>
      </c>
      <c r="Y7" s="2">
        <v>8.9164539485499255</v>
      </c>
      <c r="Z7" s="80">
        <v>-0.28095365601755429</v>
      </c>
      <c r="AA7" s="2">
        <v>2</v>
      </c>
      <c r="AB7">
        <f t="shared" si="7"/>
        <v>0</v>
      </c>
      <c r="AC7">
        <f t="shared" si="8"/>
        <v>1</v>
      </c>
      <c r="AD7">
        <f t="shared" si="9"/>
        <v>0</v>
      </c>
      <c r="AE7">
        <f t="shared" si="10"/>
        <v>0</v>
      </c>
      <c r="AF7">
        <f t="shared" si="11"/>
        <v>0</v>
      </c>
      <c r="AG7">
        <f t="shared" si="12"/>
        <v>0</v>
      </c>
      <c r="AH7">
        <f t="shared" si="13"/>
        <v>0</v>
      </c>
      <c r="AI7">
        <f t="shared" si="14"/>
        <v>0</v>
      </c>
      <c r="AJ7">
        <f t="shared" si="15"/>
        <v>0</v>
      </c>
      <c r="AK7">
        <f t="shared" si="16"/>
        <v>0</v>
      </c>
      <c r="AL7">
        <v>0</v>
      </c>
      <c r="AM7">
        <v>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</row>
    <row r="8" spans="1:53" x14ac:dyDescent="0.35">
      <c r="A8">
        <v>1.0009790954705312E-2</v>
      </c>
      <c r="C8">
        <v>11.731506849315069</v>
      </c>
      <c r="D8" s="137">
        <f t="shared" si="1"/>
        <v>1.0693537985019448</v>
      </c>
      <c r="E8">
        <v>0</v>
      </c>
      <c r="F8">
        <v>1.3222192947339193</v>
      </c>
      <c r="G8" s="45">
        <v>2.95</v>
      </c>
      <c r="H8" s="29">
        <f t="shared" si="2"/>
        <v>0.46982201597816303</v>
      </c>
      <c r="I8" s="9">
        <v>0</v>
      </c>
      <c r="J8" s="34">
        <v>-8.7739243075051505E-3</v>
      </c>
      <c r="K8">
        <v>20</v>
      </c>
      <c r="L8" s="137">
        <f t="shared" si="3"/>
        <v>1.3010299956639813</v>
      </c>
      <c r="M8">
        <f t="shared" si="0"/>
        <v>0</v>
      </c>
      <c r="N8">
        <v>70</v>
      </c>
      <c r="O8">
        <v>70</v>
      </c>
      <c r="P8">
        <v>85</v>
      </c>
      <c r="Q8" s="137">
        <f t="shared" si="4"/>
        <v>1.9294189257142926</v>
      </c>
      <c r="R8" s="34">
        <v>27.8</v>
      </c>
      <c r="S8" s="34">
        <f t="shared" si="5"/>
        <v>1.4440447959180762</v>
      </c>
      <c r="T8" s="42">
        <v>34.656907836978597</v>
      </c>
      <c r="U8" s="42">
        <f t="shared" si="6"/>
        <v>1.5397898114291337</v>
      </c>
      <c r="V8">
        <v>3.3879249110011078</v>
      </c>
      <c r="W8" s="14">
        <v>1</v>
      </c>
      <c r="X8">
        <v>3.9424034595709814</v>
      </c>
      <c r="Y8" s="2">
        <v>8.8876173003357355</v>
      </c>
      <c r="Z8" s="80">
        <v>4.3413860725163733E-2</v>
      </c>
      <c r="AA8" s="2">
        <v>2</v>
      </c>
      <c r="AB8">
        <f t="shared" si="7"/>
        <v>0</v>
      </c>
      <c r="AC8">
        <f t="shared" si="8"/>
        <v>1</v>
      </c>
      <c r="AD8">
        <f t="shared" si="9"/>
        <v>0</v>
      </c>
      <c r="AE8">
        <f t="shared" si="10"/>
        <v>0</v>
      </c>
      <c r="AF8">
        <f t="shared" si="11"/>
        <v>0</v>
      </c>
      <c r="AG8">
        <f t="shared" si="12"/>
        <v>0</v>
      </c>
      <c r="AH8">
        <f t="shared" si="13"/>
        <v>0</v>
      </c>
      <c r="AI8">
        <f t="shared" si="14"/>
        <v>0</v>
      </c>
      <c r="AJ8">
        <f t="shared" si="15"/>
        <v>0</v>
      </c>
      <c r="AK8">
        <f t="shared" si="16"/>
        <v>0</v>
      </c>
      <c r="AL8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</row>
    <row r="9" spans="1:53" x14ac:dyDescent="0.35">
      <c r="A9">
        <v>-0.14804489260047846</v>
      </c>
      <c r="C9">
        <v>3.6164383561643834</v>
      </c>
      <c r="D9" s="137">
        <f t="shared" si="1"/>
        <v>0.55828106674937517</v>
      </c>
      <c r="E9">
        <v>0</v>
      </c>
      <c r="F9">
        <v>1.146128035678238</v>
      </c>
      <c r="G9" s="45">
        <v>3.29</v>
      </c>
      <c r="H9" s="29">
        <f t="shared" si="2"/>
        <v>0.51719589794997434</v>
      </c>
      <c r="I9" s="9">
        <v>0</v>
      </c>
      <c r="J9" s="34">
        <v>-7.0581074285707285E-2</v>
      </c>
      <c r="K9">
        <v>17</v>
      </c>
      <c r="L9" s="137">
        <f t="shared" si="3"/>
        <v>1.2304489213782739</v>
      </c>
      <c r="M9">
        <f t="shared" si="0"/>
        <v>0</v>
      </c>
      <c r="N9">
        <v>70</v>
      </c>
      <c r="O9">
        <v>70</v>
      </c>
      <c r="P9">
        <v>85</v>
      </c>
      <c r="Q9" s="137">
        <f t="shared" si="4"/>
        <v>1.9294189257142926</v>
      </c>
      <c r="R9" s="34">
        <v>32.9</v>
      </c>
      <c r="S9" s="34">
        <f t="shared" si="5"/>
        <v>1.5171958979499742</v>
      </c>
      <c r="T9" s="42">
        <v>35.433808146393098</v>
      </c>
      <c r="U9" s="42">
        <f t="shared" si="6"/>
        <v>1.5494178293890581</v>
      </c>
      <c r="V9">
        <v>3.3345874007848226</v>
      </c>
      <c r="W9" s="14">
        <v>5</v>
      </c>
      <c r="X9">
        <v>3.9771533739227865</v>
      </c>
      <c r="Y9" s="2">
        <v>7.2787536009528289</v>
      </c>
      <c r="Z9" s="80">
        <v>-0.26292434287237232</v>
      </c>
      <c r="AA9" s="2">
        <v>2</v>
      </c>
      <c r="AB9">
        <f t="shared" si="7"/>
        <v>0</v>
      </c>
      <c r="AC9">
        <f t="shared" si="8"/>
        <v>1</v>
      </c>
      <c r="AD9">
        <f t="shared" si="9"/>
        <v>0</v>
      </c>
      <c r="AE9">
        <f t="shared" si="10"/>
        <v>0</v>
      </c>
      <c r="AF9">
        <f t="shared" si="11"/>
        <v>0</v>
      </c>
      <c r="AG9">
        <f t="shared" si="12"/>
        <v>0</v>
      </c>
      <c r="AH9">
        <f t="shared" si="13"/>
        <v>0</v>
      </c>
      <c r="AI9">
        <f t="shared" si="14"/>
        <v>0</v>
      </c>
      <c r="AJ9">
        <f t="shared" si="15"/>
        <v>0</v>
      </c>
      <c r="AK9">
        <f t="shared" si="16"/>
        <v>0</v>
      </c>
      <c r="AL9">
        <v>0</v>
      </c>
      <c r="AM9">
        <v>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</row>
    <row r="10" spans="1:53" x14ac:dyDescent="0.35">
      <c r="A10">
        <v>0.63468209599159786</v>
      </c>
      <c r="C10">
        <v>3.4986301369863013</v>
      </c>
      <c r="D10" s="137">
        <f t="shared" si="1"/>
        <v>0.5438980328069406</v>
      </c>
      <c r="E10">
        <v>0</v>
      </c>
      <c r="F10">
        <v>0</v>
      </c>
      <c r="G10" s="45">
        <v>3.29</v>
      </c>
      <c r="H10" s="29">
        <f t="shared" si="2"/>
        <v>0.51719589794997434</v>
      </c>
      <c r="I10" s="9">
        <v>0</v>
      </c>
      <c r="J10" s="34">
        <v>-6.5501548756432285E-2</v>
      </c>
      <c r="K10">
        <v>75</v>
      </c>
      <c r="L10" s="137">
        <f t="shared" si="3"/>
        <v>1.8750612633917001</v>
      </c>
      <c r="M10">
        <f t="shared" si="0"/>
        <v>0</v>
      </c>
      <c r="N10">
        <v>70</v>
      </c>
      <c r="O10">
        <v>70</v>
      </c>
      <c r="P10">
        <v>85</v>
      </c>
      <c r="Q10" s="137">
        <f t="shared" si="4"/>
        <v>1.9294189257142926</v>
      </c>
      <c r="R10" s="34">
        <v>32.9</v>
      </c>
      <c r="S10" s="34">
        <f t="shared" si="5"/>
        <v>1.5171958979499742</v>
      </c>
      <c r="T10" s="42">
        <v>35.433808146393098</v>
      </c>
      <c r="U10" s="42">
        <f t="shared" si="6"/>
        <v>1.5494178293890581</v>
      </c>
      <c r="V10">
        <v>3.421015158567184</v>
      </c>
      <c r="W10" s="14">
        <v>2</v>
      </c>
      <c r="X10">
        <v>3.9777386330395683</v>
      </c>
      <c r="Y10" s="2">
        <v>7</v>
      </c>
      <c r="Z10" s="80">
        <v>-0.24794369234613034</v>
      </c>
      <c r="AA10" s="2">
        <v>5</v>
      </c>
      <c r="AB10">
        <f t="shared" si="7"/>
        <v>0</v>
      </c>
      <c r="AC10">
        <f t="shared" si="8"/>
        <v>0</v>
      </c>
      <c r="AD10">
        <f t="shared" si="9"/>
        <v>0</v>
      </c>
      <c r="AE10">
        <f t="shared" si="10"/>
        <v>0</v>
      </c>
      <c r="AF10">
        <f t="shared" si="11"/>
        <v>1</v>
      </c>
      <c r="AG10">
        <f t="shared" si="12"/>
        <v>0</v>
      </c>
      <c r="AH10">
        <f t="shared" si="13"/>
        <v>0</v>
      </c>
      <c r="AI10">
        <f t="shared" si="14"/>
        <v>0</v>
      </c>
      <c r="AJ10">
        <f t="shared" si="15"/>
        <v>0</v>
      </c>
      <c r="AK10">
        <f t="shared" si="16"/>
        <v>0</v>
      </c>
      <c r="AL10">
        <v>0</v>
      </c>
      <c r="AM10">
        <v>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</row>
    <row r="11" spans="1:53" x14ac:dyDescent="0.35">
      <c r="A11">
        <v>-5.8286466278308156E-2</v>
      </c>
      <c r="C11">
        <v>4.2164383561643834</v>
      </c>
      <c r="D11" s="137">
        <f t="shared" si="1"/>
        <v>0.62494575537500396</v>
      </c>
      <c r="E11">
        <v>2.9629325585580042</v>
      </c>
      <c r="F11">
        <v>1.6812412373755872</v>
      </c>
      <c r="G11" s="45">
        <v>2.62</v>
      </c>
      <c r="H11" s="29">
        <f t="shared" si="2"/>
        <v>0.41830129131974547</v>
      </c>
      <c r="I11" s="9">
        <v>2.9323046139517812</v>
      </c>
      <c r="J11" s="34">
        <v>-4.3648054024500883E-3</v>
      </c>
      <c r="K11">
        <v>16</v>
      </c>
      <c r="L11" s="137">
        <f t="shared" si="3"/>
        <v>1.2041199826559248</v>
      </c>
      <c r="M11">
        <f t="shared" si="0"/>
        <v>1</v>
      </c>
      <c r="N11">
        <v>70</v>
      </c>
      <c r="O11">
        <v>70</v>
      </c>
      <c r="P11">
        <v>70</v>
      </c>
      <c r="Q11" s="137">
        <f t="shared" si="4"/>
        <v>1.8450980400142569</v>
      </c>
      <c r="R11" s="34">
        <v>35</v>
      </c>
      <c r="S11" s="34">
        <f t="shared" si="5"/>
        <v>1.5440680443502757</v>
      </c>
      <c r="T11" s="42">
        <v>46.908044131476899</v>
      </c>
      <c r="U11" s="42">
        <f t="shared" si="6"/>
        <v>1.6712473250679141</v>
      </c>
      <c r="V11">
        <v>3.2699236952309465</v>
      </c>
      <c r="W11" s="14">
        <v>2</v>
      </c>
      <c r="X11">
        <v>3.6984415808994222</v>
      </c>
      <c r="Y11" s="2">
        <v>8.3813858660133764</v>
      </c>
      <c r="Z11" s="80">
        <v>-7.1408224660084896E-2</v>
      </c>
      <c r="AA11" s="2">
        <v>1</v>
      </c>
      <c r="AB11">
        <f t="shared" si="7"/>
        <v>1</v>
      </c>
      <c r="AC11">
        <f t="shared" si="8"/>
        <v>0</v>
      </c>
      <c r="AD11">
        <f t="shared" si="9"/>
        <v>0</v>
      </c>
      <c r="AE11">
        <f t="shared" si="10"/>
        <v>0</v>
      </c>
      <c r="AF11">
        <f t="shared" si="11"/>
        <v>0</v>
      </c>
      <c r="AG11">
        <f t="shared" si="12"/>
        <v>0</v>
      </c>
      <c r="AH11">
        <f t="shared" si="13"/>
        <v>0</v>
      </c>
      <c r="AI11">
        <f t="shared" si="14"/>
        <v>0</v>
      </c>
      <c r="AJ11">
        <f t="shared" si="15"/>
        <v>0</v>
      </c>
      <c r="AK11">
        <f t="shared" si="16"/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</row>
    <row r="12" spans="1:53" x14ac:dyDescent="0.35">
      <c r="A12">
        <v>0.10790099091053558</v>
      </c>
      <c r="C12">
        <v>2.1041095890410957</v>
      </c>
      <c r="D12" s="137">
        <f t="shared" si="1"/>
        <v>0.32306835557503727</v>
      </c>
      <c r="E12">
        <v>0</v>
      </c>
      <c r="F12">
        <v>2.0863598306747484</v>
      </c>
      <c r="G12" s="45">
        <v>2.95</v>
      </c>
      <c r="H12" s="29">
        <f t="shared" si="2"/>
        <v>0.46982201597816303</v>
      </c>
      <c r="I12" s="9">
        <v>0</v>
      </c>
      <c r="J12" s="34">
        <v>0.14921911265537988</v>
      </c>
      <c r="K12">
        <v>34</v>
      </c>
      <c r="L12" s="137">
        <f t="shared" si="3"/>
        <v>1.5314789170422551</v>
      </c>
      <c r="M12">
        <f t="shared" si="0"/>
        <v>0</v>
      </c>
      <c r="N12">
        <v>70</v>
      </c>
      <c r="O12">
        <v>70</v>
      </c>
      <c r="P12">
        <v>85</v>
      </c>
      <c r="Q12" s="137">
        <f t="shared" si="4"/>
        <v>1.9294189257142926</v>
      </c>
      <c r="R12" s="34">
        <v>24.9</v>
      </c>
      <c r="S12" s="34">
        <f t="shared" si="5"/>
        <v>1.3961993470957363</v>
      </c>
      <c r="T12" s="42">
        <v>36.710134890601303</v>
      </c>
      <c r="U12" s="42">
        <f t="shared" si="6"/>
        <v>1.564785980312654</v>
      </c>
      <c r="V12">
        <v>3.388536521693045</v>
      </c>
      <c r="W12" s="14">
        <v>2</v>
      </c>
      <c r="X12">
        <v>3.8181482680887449</v>
      </c>
      <c r="Y12" s="2">
        <v>8.5440680443502757</v>
      </c>
      <c r="Z12" s="80">
        <v>0.25396653294300475</v>
      </c>
      <c r="AA12" s="2">
        <v>5</v>
      </c>
      <c r="AB12">
        <f t="shared" si="7"/>
        <v>0</v>
      </c>
      <c r="AC12">
        <f t="shared" si="8"/>
        <v>0</v>
      </c>
      <c r="AD12">
        <f t="shared" si="9"/>
        <v>0</v>
      </c>
      <c r="AE12">
        <f t="shared" si="10"/>
        <v>0</v>
      </c>
      <c r="AF12">
        <f t="shared" si="11"/>
        <v>1</v>
      </c>
      <c r="AG12">
        <f t="shared" si="12"/>
        <v>0</v>
      </c>
      <c r="AH12">
        <f t="shared" si="13"/>
        <v>0</v>
      </c>
      <c r="AI12">
        <f t="shared" si="14"/>
        <v>0</v>
      </c>
      <c r="AJ12">
        <f t="shared" si="15"/>
        <v>0</v>
      </c>
      <c r="AK12">
        <f t="shared" si="16"/>
        <v>0</v>
      </c>
      <c r="AL12">
        <v>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</row>
    <row r="13" spans="1:53" x14ac:dyDescent="0.35">
      <c r="A13">
        <v>-0.20333242963631826</v>
      </c>
      <c r="C13">
        <v>1.547945205479452</v>
      </c>
      <c r="D13" s="137">
        <f t="shared" si="1"/>
        <v>0.1897555833629638</v>
      </c>
      <c r="E13">
        <v>0</v>
      </c>
      <c r="F13">
        <v>2.0334237554869499</v>
      </c>
      <c r="G13" s="45">
        <v>3.29</v>
      </c>
      <c r="H13" s="29">
        <f t="shared" si="2"/>
        <v>0.51719589794997434</v>
      </c>
      <c r="I13" s="9">
        <v>0</v>
      </c>
      <c r="J13" s="34">
        <v>6.8185861746161619E-2</v>
      </c>
      <c r="K13">
        <v>18</v>
      </c>
      <c r="L13" s="137">
        <f t="shared" si="3"/>
        <v>1.255272505103306</v>
      </c>
      <c r="M13">
        <f t="shared" si="0"/>
        <v>0</v>
      </c>
      <c r="N13">
        <v>70</v>
      </c>
      <c r="O13">
        <v>70</v>
      </c>
      <c r="P13">
        <v>85</v>
      </c>
      <c r="Q13" s="137">
        <f t="shared" si="4"/>
        <v>1.9294189257142926</v>
      </c>
      <c r="R13" s="34">
        <v>32.299999999999997</v>
      </c>
      <c r="S13" s="34">
        <f t="shared" si="5"/>
        <v>1.5092025223311027</v>
      </c>
      <c r="T13" s="42">
        <v>40.040400531970803</v>
      </c>
      <c r="U13" s="42">
        <f t="shared" si="6"/>
        <v>1.6024984131617945</v>
      </c>
      <c r="V13">
        <v>3.4636187843160156</v>
      </c>
      <c r="W13" s="14">
        <v>1</v>
      </c>
      <c r="X13">
        <v>3.9690067974360175</v>
      </c>
      <c r="Y13" s="2">
        <v>7.6901960800285138</v>
      </c>
      <c r="Z13" s="80">
        <v>0.3532899968880745</v>
      </c>
      <c r="AA13" s="2">
        <v>5</v>
      </c>
      <c r="AB13">
        <f t="shared" si="7"/>
        <v>0</v>
      </c>
      <c r="AC13">
        <f t="shared" si="8"/>
        <v>0</v>
      </c>
      <c r="AD13">
        <f t="shared" si="9"/>
        <v>0</v>
      </c>
      <c r="AE13">
        <f t="shared" si="10"/>
        <v>0</v>
      </c>
      <c r="AF13">
        <f t="shared" si="11"/>
        <v>1</v>
      </c>
      <c r="AG13">
        <f t="shared" si="12"/>
        <v>0</v>
      </c>
      <c r="AH13">
        <f t="shared" si="13"/>
        <v>0</v>
      </c>
      <c r="AI13">
        <f t="shared" si="14"/>
        <v>0</v>
      </c>
      <c r="AJ13">
        <f t="shared" si="15"/>
        <v>0</v>
      </c>
      <c r="AK13">
        <f t="shared" si="16"/>
        <v>0</v>
      </c>
      <c r="AL13">
        <v>0</v>
      </c>
      <c r="AM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</row>
    <row r="14" spans="1:53" x14ac:dyDescent="0.35">
      <c r="A14">
        <v>-0.12160259330391791</v>
      </c>
      <c r="C14">
        <v>1.3205479452054794</v>
      </c>
      <c r="D14" s="137">
        <f t="shared" si="1"/>
        <v>0.12075417378237484</v>
      </c>
      <c r="E14">
        <v>0</v>
      </c>
      <c r="F14">
        <v>1.7160033436347992</v>
      </c>
      <c r="G14" s="45">
        <v>3.59</v>
      </c>
      <c r="H14" s="29">
        <f t="shared" si="2"/>
        <v>0.55509444857831913</v>
      </c>
      <c r="I14" s="9">
        <v>0</v>
      </c>
      <c r="J14" s="34">
        <v>6.069784035361165E-2</v>
      </c>
      <c r="K14">
        <v>15</v>
      </c>
      <c r="L14" s="137">
        <f t="shared" si="3"/>
        <v>1.1760912590556813</v>
      </c>
      <c r="M14">
        <f t="shared" si="0"/>
        <v>0</v>
      </c>
      <c r="N14">
        <v>70</v>
      </c>
      <c r="O14">
        <v>70</v>
      </c>
      <c r="P14">
        <v>70</v>
      </c>
      <c r="Q14" s="137">
        <f t="shared" si="4"/>
        <v>1.8450980400142569</v>
      </c>
      <c r="R14" s="34">
        <v>45.7</v>
      </c>
      <c r="S14" s="34">
        <f t="shared" si="5"/>
        <v>1.6599162000698502</v>
      </c>
      <c r="T14" s="42">
        <v>52.379377176281302</v>
      </c>
      <c r="U14" s="42">
        <f t="shared" si="6"/>
        <v>1.7191603300855409</v>
      </c>
      <c r="V14">
        <v>3.212261842580872</v>
      </c>
      <c r="W14" s="14">
        <v>2</v>
      </c>
      <c r="X14">
        <v>3.9329492300777744</v>
      </c>
      <c r="Y14" s="2">
        <v>8.4392063352370226</v>
      </c>
      <c r="Z14" s="80">
        <v>0.29496641865734241</v>
      </c>
      <c r="AA14" s="2">
        <v>7</v>
      </c>
      <c r="AB14">
        <f t="shared" si="7"/>
        <v>0</v>
      </c>
      <c r="AC14">
        <f t="shared" si="8"/>
        <v>0</v>
      </c>
      <c r="AD14">
        <f t="shared" si="9"/>
        <v>0</v>
      </c>
      <c r="AE14">
        <f t="shared" si="10"/>
        <v>0</v>
      </c>
      <c r="AF14">
        <f t="shared" si="11"/>
        <v>0</v>
      </c>
      <c r="AG14">
        <f t="shared" si="12"/>
        <v>0</v>
      </c>
      <c r="AH14">
        <f t="shared" si="13"/>
        <v>1</v>
      </c>
      <c r="AI14">
        <f t="shared" si="14"/>
        <v>0</v>
      </c>
      <c r="AJ14">
        <f t="shared" si="15"/>
        <v>0</v>
      </c>
      <c r="AK14">
        <f t="shared" si="16"/>
        <v>0</v>
      </c>
      <c r="AL14">
        <v>0</v>
      </c>
      <c r="AM14">
        <v>0</v>
      </c>
      <c r="AN14">
        <v>0</v>
      </c>
      <c r="AO14">
        <v>0</v>
      </c>
      <c r="AP14">
        <v>1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</row>
    <row r="15" spans="1:53" x14ac:dyDescent="0.35">
      <c r="A15">
        <v>1.3528413607722642</v>
      </c>
      <c r="C15">
        <v>7.86027397260274</v>
      </c>
      <c r="D15" s="137">
        <f t="shared" si="1"/>
        <v>0.89543768378952371</v>
      </c>
      <c r="E15">
        <v>0</v>
      </c>
      <c r="F15">
        <v>2.2253092817258628</v>
      </c>
      <c r="G15" s="45">
        <v>3.42</v>
      </c>
      <c r="H15" s="29">
        <f t="shared" si="2"/>
        <v>0.53402610605613499</v>
      </c>
      <c r="I15" s="9">
        <v>0</v>
      </c>
      <c r="J15" s="34">
        <v>0.11727129565576427</v>
      </c>
      <c r="K15">
        <v>2</v>
      </c>
      <c r="L15" s="137">
        <f t="shared" si="3"/>
        <v>0.3010299956639812</v>
      </c>
      <c r="M15">
        <f t="shared" si="0"/>
        <v>0</v>
      </c>
      <c r="N15">
        <v>70</v>
      </c>
      <c r="O15">
        <v>50</v>
      </c>
      <c r="P15">
        <v>70</v>
      </c>
      <c r="Q15" s="137">
        <f t="shared" si="4"/>
        <v>1.8450980400142569</v>
      </c>
      <c r="R15" s="34">
        <v>42.6</v>
      </c>
      <c r="S15" s="34">
        <f t="shared" si="5"/>
        <v>1.6294095991027189</v>
      </c>
      <c r="T15" s="42">
        <v>42.063871143552703</v>
      </c>
      <c r="U15" s="42">
        <f t="shared" si="6"/>
        <v>1.6239092383674194</v>
      </c>
      <c r="V15">
        <v>3.3222069919483515</v>
      </c>
      <c r="W15" s="14">
        <v>2</v>
      </c>
      <c r="X15">
        <v>3.9577021302433337</v>
      </c>
      <c r="Y15" s="2">
        <v>7.6352826379982117</v>
      </c>
      <c r="Z15" s="80">
        <v>0.35500422915188445</v>
      </c>
      <c r="AA15" s="2">
        <v>5</v>
      </c>
      <c r="AB15">
        <f t="shared" si="7"/>
        <v>0</v>
      </c>
      <c r="AC15">
        <f t="shared" si="8"/>
        <v>0</v>
      </c>
      <c r="AD15">
        <f t="shared" si="9"/>
        <v>0</v>
      </c>
      <c r="AE15">
        <f t="shared" si="10"/>
        <v>0</v>
      </c>
      <c r="AF15">
        <f t="shared" si="11"/>
        <v>1</v>
      </c>
      <c r="AG15">
        <f t="shared" si="12"/>
        <v>0</v>
      </c>
      <c r="AH15">
        <f t="shared" si="13"/>
        <v>0</v>
      </c>
      <c r="AI15">
        <f t="shared" si="14"/>
        <v>0</v>
      </c>
      <c r="AJ15">
        <f t="shared" si="15"/>
        <v>0</v>
      </c>
      <c r="AK15">
        <f t="shared" si="16"/>
        <v>0</v>
      </c>
      <c r="AL15">
        <v>0</v>
      </c>
      <c r="AM15">
        <v>0</v>
      </c>
      <c r="AN15">
        <v>1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</row>
    <row r="16" spans="1:53" x14ac:dyDescent="0.35">
      <c r="A16">
        <v>-0.13136590451088112</v>
      </c>
      <c r="C16">
        <v>1.8410958904109589</v>
      </c>
      <c r="D16" s="137">
        <f t="shared" si="1"/>
        <v>0.26507640859735054</v>
      </c>
      <c r="E16">
        <v>0</v>
      </c>
      <c r="F16">
        <v>1.146128035678238</v>
      </c>
      <c r="G16" s="45">
        <v>2.95</v>
      </c>
      <c r="H16" s="29">
        <f t="shared" si="2"/>
        <v>0.46982201597816303</v>
      </c>
      <c r="I16" s="9">
        <v>0</v>
      </c>
      <c r="J16" s="34">
        <v>8.6359830674748214E-2</v>
      </c>
      <c r="K16">
        <v>21</v>
      </c>
      <c r="L16" s="137">
        <f t="shared" si="3"/>
        <v>1.3222192947339193</v>
      </c>
      <c r="M16">
        <f t="shared" si="0"/>
        <v>0</v>
      </c>
      <c r="N16">
        <v>70</v>
      </c>
      <c r="O16">
        <v>70</v>
      </c>
      <c r="P16">
        <v>85</v>
      </c>
      <c r="Q16" s="137">
        <f t="shared" si="4"/>
        <v>1.9294189257142926</v>
      </c>
      <c r="R16" s="34">
        <v>25.9</v>
      </c>
      <c r="S16" s="34">
        <f t="shared" si="5"/>
        <v>1.4132997640812519</v>
      </c>
      <c r="T16" s="42">
        <v>36.959146749272797</v>
      </c>
      <c r="U16" s="42">
        <f t="shared" si="6"/>
        <v>1.5677219364019672</v>
      </c>
      <c r="V16">
        <v>3.6224784109972026</v>
      </c>
      <c r="W16" s="14">
        <v>2</v>
      </c>
      <c r="X16">
        <v>3.7852505485064163</v>
      </c>
      <c r="Y16" s="2">
        <v>8.6201985388932822</v>
      </c>
      <c r="Z16" s="80">
        <v>0.26390667549863833</v>
      </c>
      <c r="AA16" s="2">
        <v>1</v>
      </c>
      <c r="AB16">
        <f t="shared" si="7"/>
        <v>1</v>
      </c>
      <c r="AC16">
        <f t="shared" si="8"/>
        <v>0</v>
      </c>
      <c r="AD16">
        <f t="shared" si="9"/>
        <v>0</v>
      </c>
      <c r="AE16">
        <f t="shared" si="10"/>
        <v>0</v>
      </c>
      <c r="AF16">
        <f t="shared" si="11"/>
        <v>0</v>
      </c>
      <c r="AG16">
        <f t="shared" si="12"/>
        <v>0</v>
      </c>
      <c r="AH16">
        <f t="shared" si="13"/>
        <v>0</v>
      </c>
      <c r="AI16">
        <f t="shared" si="14"/>
        <v>0</v>
      </c>
      <c r="AJ16">
        <f t="shared" si="15"/>
        <v>0</v>
      </c>
      <c r="AK16">
        <f t="shared" si="16"/>
        <v>0</v>
      </c>
      <c r="AL16">
        <v>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</row>
    <row r="17" spans="1:53" x14ac:dyDescent="0.35">
      <c r="A17">
        <v>-0.17571503351222853</v>
      </c>
      <c r="C17">
        <v>8.1095890410958908</v>
      </c>
      <c r="D17" s="137">
        <f t="shared" si="1"/>
        <v>0.90899884660246388</v>
      </c>
      <c r="E17">
        <v>0</v>
      </c>
      <c r="F17">
        <v>1.6020599913279623</v>
      </c>
      <c r="G17" s="45">
        <v>2.95</v>
      </c>
      <c r="H17" s="29">
        <f t="shared" si="2"/>
        <v>0.46982201597816303</v>
      </c>
      <c r="I17" s="9">
        <v>0</v>
      </c>
      <c r="J17" s="34">
        <v>0.18752072083646307</v>
      </c>
      <c r="K17">
        <v>16</v>
      </c>
      <c r="L17" s="137">
        <f t="shared" si="3"/>
        <v>1.2041199826559248</v>
      </c>
      <c r="M17">
        <f t="shared" si="0"/>
        <v>0</v>
      </c>
      <c r="N17">
        <v>70</v>
      </c>
      <c r="O17">
        <v>70</v>
      </c>
      <c r="P17">
        <v>93.2</v>
      </c>
      <c r="Q17" s="137">
        <f t="shared" si="4"/>
        <v>1.9694159123539814</v>
      </c>
      <c r="R17" s="34">
        <v>26.7</v>
      </c>
      <c r="S17" s="34">
        <f t="shared" si="5"/>
        <v>1.4265112613645752</v>
      </c>
      <c r="T17" s="42">
        <v>36.669158714517401</v>
      </c>
      <c r="U17" s="42">
        <f t="shared" si="6"/>
        <v>1.5643009462345601</v>
      </c>
      <c r="V17">
        <v>3.1814248062191788</v>
      </c>
      <c r="W17" s="14">
        <v>2</v>
      </c>
      <c r="X17">
        <v>3.7294207535322617</v>
      </c>
      <c r="Y17" s="2">
        <v>9.3521825181113627</v>
      </c>
      <c r="Z17" s="80">
        <v>0.23143444365696886</v>
      </c>
      <c r="AA17" s="2">
        <v>8</v>
      </c>
      <c r="AB17">
        <f t="shared" si="7"/>
        <v>0</v>
      </c>
      <c r="AC17">
        <f t="shared" si="8"/>
        <v>0</v>
      </c>
      <c r="AD17">
        <f t="shared" si="9"/>
        <v>0</v>
      </c>
      <c r="AE17">
        <f t="shared" si="10"/>
        <v>0</v>
      </c>
      <c r="AF17">
        <f t="shared" si="11"/>
        <v>0</v>
      </c>
      <c r="AG17">
        <f t="shared" si="12"/>
        <v>0</v>
      </c>
      <c r="AH17">
        <f t="shared" si="13"/>
        <v>0</v>
      </c>
      <c r="AI17">
        <f t="shared" si="14"/>
        <v>1</v>
      </c>
      <c r="AJ17">
        <f t="shared" si="15"/>
        <v>0</v>
      </c>
      <c r="AK17">
        <f t="shared" si="16"/>
        <v>0</v>
      </c>
      <c r="AL17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</row>
    <row r="18" spans="1:53" x14ac:dyDescent="0.35">
      <c r="A18">
        <v>-9.7812748955715761E-2</v>
      </c>
      <c r="C18">
        <v>6.2520547945205482</v>
      </c>
      <c r="D18" s="137">
        <f t="shared" si="1"/>
        <v>0.7960227756257211</v>
      </c>
      <c r="E18">
        <v>0</v>
      </c>
      <c r="F18">
        <v>1.1760912590556813</v>
      </c>
      <c r="G18" s="45">
        <v>2.95</v>
      </c>
      <c r="H18" s="29">
        <f t="shared" si="2"/>
        <v>0.46982201597816303</v>
      </c>
      <c r="I18" s="9">
        <v>0</v>
      </c>
      <c r="J18" s="34">
        <v>2.9383777685209667E-2</v>
      </c>
      <c r="K18">
        <v>19</v>
      </c>
      <c r="L18" s="137">
        <f t="shared" si="3"/>
        <v>1.2787536009528289</v>
      </c>
      <c r="M18">
        <f t="shared" si="0"/>
        <v>0</v>
      </c>
      <c r="N18">
        <v>70</v>
      </c>
      <c r="O18">
        <v>70</v>
      </c>
      <c r="P18">
        <v>93.2</v>
      </c>
      <c r="Q18" s="137">
        <f t="shared" si="4"/>
        <v>1.9694159123539814</v>
      </c>
      <c r="R18" s="34">
        <v>26.7</v>
      </c>
      <c r="S18" s="34">
        <f t="shared" si="5"/>
        <v>1.4265112613645752</v>
      </c>
      <c r="T18" s="42">
        <v>36.669158714517401</v>
      </c>
      <c r="U18" s="42">
        <f t="shared" si="6"/>
        <v>1.5643009462345601</v>
      </c>
      <c r="V18" s="34">
        <v>3.0958500844125241</v>
      </c>
      <c r="W18" s="14">
        <v>3</v>
      </c>
      <c r="X18">
        <v>3.5078178355445662</v>
      </c>
      <c r="Y18" s="2">
        <v>9.1042787912049477</v>
      </c>
      <c r="Z18" s="80">
        <v>1.627948206737595E-2</v>
      </c>
      <c r="AA18" s="2">
        <v>9</v>
      </c>
      <c r="AB18">
        <f t="shared" si="7"/>
        <v>0</v>
      </c>
      <c r="AC18">
        <f t="shared" si="8"/>
        <v>0</v>
      </c>
      <c r="AD18">
        <f t="shared" si="9"/>
        <v>0</v>
      </c>
      <c r="AE18">
        <f t="shared" si="10"/>
        <v>0</v>
      </c>
      <c r="AF18">
        <f t="shared" si="11"/>
        <v>0</v>
      </c>
      <c r="AG18">
        <f t="shared" si="12"/>
        <v>0</v>
      </c>
      <c r="AH18">
        <f t="shared" si="13"/>
        <v>0</v>
      </c>
      <c r="AI18">
        <f t="shared" si="14"/>
        <v>0</v>
      </c>
      <c r="AJ18">
        <f t="shared" si="15"/>
        <v>1</v>
      </c>
      <c r="AK18">
        <f t="shared" si="16"/>
        <v>0</v>
      </c>
      <c r="AL18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</row>
    <row r="19" spans="1:53" x14ac:dyDescent="0.35">
      <c r="A19">
        <v>4.0407472475622833E-2</v>
      </c>
      <c r="C19">
        <v>6.9452054794520546</v>
      </c>
      <c r="D19" s="137">
        <f t="shared" si="1"/>
        <v>0.84168509921288004</v>
      </c>
      <c r="E19">
        <v>0</v>
      </c>
      <c r="F19">
        <v>1.5797835966168101</v>
      </c>
      <c r="G19" s="45">
        <v>2.95</v>
      </c>
      <c r="H19" s="29">
        <f t="shared" si="2"/>
        <v>0.46982201597816303</v>
      </c>
      <c r="I19" s="9">
        <v>0</v>
      </c>
      <c r="J19" s="34">
        <v>8.2785370316450071E-2</v>
      </c>
      <c r="K19">
        <v>14</v>
      </c>
      <c r="L19" s="137">
        <f t="shared" si="3"/>
        <v>1.146128035678238</v>
      </c>
      <c r="M19">
        <f t="shared" si="0"/>
        <v>0</v>
      </c>
      <c r="N19">
        <v>70</v>
      </c>
      <c r="O19">
        <v>70</v>
      </c>
      <c r="P19">
        <v>93.2</v>
      </c>
      <c r="Q19" s="137">
        <f t="shared" si="4"/>
        <v>1.9694159123539814</v>
      </c>
      <c r="R19" s="34">
        <v>26.7</v>
      </c>
      <c r="S19" s="34">
        <f t="shared" si="5"/>
        <v>1.4265112613645752</v>
      </c>
      <c r="T19" s="42">
        <v>36.669158714517401</v>
      </c>
      <c r="U19" s="42">
        <f t="shared" si="6"/>
        <v>1.5643009462345601</v>
      </c>
      <c r="V19">
        <v>3.172065461283164</v>
      </c>
      <c r="W19" s="14">
        <v>2</v>
      </c>
      <c r="X19">
        <v>3.9004119035914964</v>
      </c>
      <c r="Y19" s="2">
        <v>9.2148650326276833</v>
      </c>
      <c r="Z19" s="80">
        <v>8.0990062129747908E-2</v>
      </c>
      <c r="AA19" s="2">
        <v>5</v>
      </c>
      <c r="AB19">
        <f t="shared" si="7"/>
        <v>0</v>
      </c>
      <c r="AC19">
        <f t="shared" si="8"/>
        <v>0</v>
      </c>
      <c r="AD19">
        <f t="shared" si="9"/>
        <v>0</v>
      </c>
      <c r="AE19">
        <f t="shared" si="10"/>
        <v>0</v>
      </c>
      <c r="AF19">
        <f t="shared" si="11"/>
        <v>1</v>
      </c>
      <c r="AG19">
        <f t="shared" si="12"/>
        <v>0</v>
      </c>
      <c r="AH19">
        <f t="shared" si="13"/>
        <v>0</v>
      </c>
      <c r="AI19">
        <f t="shared" si="14"/>
        <v>0</v>
      </c>
      <c r="AJ19">
        <f t="shared" si="15"/>
        <v>0</v>
      </c>
      <c r="AK19">
        <f t="shared" si="16"/>
        <v>0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</row>
    <row r="20" spans="1:53" x14ac:dyDescent="0.35">
      <c r="A20">
        <v>0.19431047720533817</v>
      </c>
      <c r="C20">
        <v>5.2986301369863016</v>
      </c>
      <c r="D20" s="137">
        <f t="shared" si="1"/>
        <v>0.72416360529050816</v>
      </c>
      <c r="E20">
        <v>0</v>
      </c>
      <c r="F20">
        <v>0.90308998699194354</v>
      </c>
      <c r="G20" s="45">
        <v>2.95</v>
      </c>
      <c r="H20" s="29">
        <f t="shared" si="2"/>
        <v>0.46982201597816303</v>
      </c>
      <c r="I20" s="9">
        <v>0</v>
      </c>
      <c r="J20" s="34">
        <v>-4.5757490560675115E-2</v>
      </c>
      <c r="K20">
        <v>18</v>
      </c>
      <c r="L20" s="137">
        <f t="shared" si="3"/>
        <v>1.255272505103306</v>
      </c>
      <c r="M20">
        <f t="shared" si="0"/>
        <v>0</v>
      </c>
      <c r="N20">
        <v>70</v>
      </c>
      <c r="O20">
        <v>70</v>
      </c>
      <c r="P20">
        <v>91.4</v>
      </c>
      <c r="Q20" s="137">
        <f t="shared" si="4"/>
        <v>1.9609461957338314</v>
      </c>
      <c r="R20" s="34">
        <v>26.7</v>
      </c>
      <c r="S20" s="34">
        <f t="shared" si="5"/>
        <v>1.4265112613645752</v>
      </c>
      <c r="T20" s="42">
        <v>37.425715444240403</v>
      </c>
      <c r="U20" s="42">
        <f t="shared" si="6"/>
        <v>1.5731701112332821</v>
      </c>
      <c r="V20">
        <v>3.4237087385413827</v>
      </c>
      <c r="W20" s="14">
        <v>5</v>
      </c>
      <c r="X20">
        <v>3.6955278601067114</v>
      </c>
      <c r="Y20" s="2">
        <v>8.151063253353751</v>
      </c>
      <c r="Z20" s="80">
        <v>-0.14204197022101206</v>
      </c>
      <c r="AA20" s="2">
        <v>4</v>
      </c>
      <c r="AB20">
        <f t="shared" si="7"/>
        <v>0</v>
      </c>
      <c r="AC20">
        <f t="shared" si="8"/>
        <v>0</v>
      </c>
      <c r="AD20">
        <f t="shared" si="9"/>
        <v>0</v>
      </c>
      <c r="AE20">
        <f t="shared" si="10"/>
        <v>1</v>
      </c>
      <c r="AF20">
        <f t="shared" si="11"/>
        <v>0</v>
      </c>
      <c r="AG20">
        <f t="shared" si="12"/>
        <v>0</v>
      </c>
      <c r="AH20">
        <f t="shared" si="13"/>
        <v>0</v>
      </c>
      <c r="AI20">
        <f t="shared" si="14"/>
        <v>0</v>
      </c>
      <c r="AJ20">
        <f t="shared" si="15"/>
        <v>0</v>
      </c>
      <c r="AK20">
        <f t="shared" si="16"/>
        <v>0</v>
      </c>
      <c r="AL20">
        <v>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</row>
    <row r="21" spans="1:53" x14ac:dyDescent="0.35">
      <c r="A21">
        <v>-2</v>
      </c>
      <c r="C21">
        <v>3.1232876712328768</v>
      </c>
      <c r="D21" s="137">
        <f t="shared" si="1"/>
        <v>0.49461198687999791</v>
      </c>
      <c r="E21">
        <v>0</v>
      </c>
      <c r="F21">
        <v>1.2787536009528289</v>
      </c>
      <c r="G21" s="45">
        <v>2.95</v>
      </c>
      <c r="H21" s="29">
        <f t="shared" si="2"/>
        <v>0.46982201597816303</v>
      </c>
      <c r="I21" s="9">
        <v>0</v>
      </c>
      <c r="J21" s="34">
        <v>-9.6910013008056392E-2</v>
      </c>
      <c r="K21">
        <v>46</v>
      </c>
      <c r="L21" s="137">
        <f t="shared" si="3"/>
        <v>1.6627578316815741</v>
      </c>
      <c r="M21">
        <f t="shared" si="0"/>
        <v>0</v>
      </c>
      <c r="N21">
        <v>70</v>
      </c>
      <c r="O21">
        <v>70</v>
      </c>
      <c r="P21">
        <v>91.4</v>
      </c>
      <c r="Q21" s="137">
        <f t="shared" si="4"/>
        <v>1.9609461957338314</v>
      </c>
      <c r="R21" s="34">
        <v>26.7</v>
      </c>
      <c r="S21" s="34">
        <f t="shared" si="5"/>
        <v>1.4265112613645752</v>
      </c>
      <c r="T21" s="42">
        <v>37.425715444240403</v>
      </c>
      <c r="U21" s="42">
        <f t="shared" si="6"/>
        <v>1.5731701112332821</v>
      </c>
      <c r="V21">
        <v>3.2209862534849001</v>
      </c>
      <c r="W21" s="14">
        <v>2</v>
      </c>
      <c r="X21" s="14">
        <v>3.979162163489756</v>
      </c>
      <c r="Y21" s="2">
        <v>8.6117233080073419</v>
      </c>
      <c r="Z21" s="80">
        <v>-0.16763594024525652</v>
      </c>
      <c r="AA21" s="2">
        <v>5</v>
      </c>
      <c r="AB21">
        <f t="shared" si="7"/>
        <v>0</v>
      </c>
      <c r="AC21">
        <f t="shared" si="8"/>
        <v>0</v>
      </c>
      <c r="AD21">
        <f t="shared" si="9"/>
        <v>0</v>
      </c>
      <c r="AE21">
        <f t="shared" si="10"/>
        <v>0</v>
      </c>
      <c r="AF21">
        <f t="shared" si="11"/>
        <v>1</v>
      </c>
      <c r="AG21">
        <f t="shared" si="12"/>
        <v>0</v>
      </c>
      <c r="AH21">
        <f t="shared" si="13"/>
        <v>0</v>
      </c>
      <c r="AI21">
        <f t="shared" si="14"/>
        <v>0</v>
      </c>
      <c r="AJ21">
        <f t="shared" si="15"/>
        <v>0</v>
      </c>
      <c r="AK21">
        <f t="shared" si="16"/>
        <v>0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</row>
    <row r="22" spans="1:53" x14ac:dyDescent="0.35">
      <c r="A22">
        <v>0.13917923677347679</v>
      </c>
      <c r="C22">
        <v>3.4684931506849317</v>
      </c>
      <c r="D22" s="137">
        <f t="shared" si="1"/>
        <v>0.54014084122486161</v>
      </c>
      <c r="E22">
        <v>0</v>
      </c>
      <c r="F22">
        <v>1.4313637641589874</v>
      </c>
      <c r="G22" s="45">
        <v>2.95</v>
      </c>
      <c r="H22" s="29">
        <f t="shared" si="2"/>
        <v>0.46982201597816303</v>
      </c>
      <c r="I22" s="9">
        <v>0</v>
      </c>
      <c r="J22" s="34">
        <v>-8.092190762392612E-2</v>
      </c>
      <c r="K22">
        <v>23</v>
      </c>
      <c r="L22" s="137">
        <f t="shared" si="3"/>
        <v>1.3617278360175928</v>
      </c>
      <c r="M22">
        <f t="shared" si="0"/>
        <v>0</v>
      </c>
      <c r="N22">
        <v>70</v>
      </c>
      <c r="O22">
        <v>70</v>
      </c>
      <c r="P22">
        <v>91.4</v>
      </c>
      <c r="Q22" s="137">
        <f t="shared" si="4"/>
        <v>1.9609461957338314</v>
      </c>
      <c r="R22" s="34">
        <v>26.7</v>
      </c>
      <c r="S22" s="34">
        <f t="shared" si="5"/>
        <v>1.4265112613645752</v>
      </c>
      <c r="T22" s="42">
        <v>37.425715444240403</v>
      </c>
      <c r="U22" s="42">
        <f t="shared" si="6"/>
        <v>1.5731701112332821</v>
      </c>
      <c r="V22">
        <v>3.4471580313422194</v>
      </c>
      <c r="W22" s="14">
        <v>1</v>
      </c>
      <c r="X22">
        <v>3.8325089127062362</v>
      </c>
      <c r="Y22" s="2">
        <v>7.9916690073799481</v>
      </c>
      <c r="Z22" s="80">
        <v>-0.10115384837611874</v>
      </c>
      <c r="AA22" s="2">
        <v>6</v>
      </c>
      <c r="AB22">
        <f t="shared" si="7"/>
        <v>0</v>
      </c>
      <c r="AC22">
        <f t="shared" si="8"/>
        <v>0</v>
      </c>
      <c r="AD22">
        <f t="shared" si="9"/>
        <v>0</v>
      </c>
      <c r="AE22">
        <f t="shared" si="10"/>
        <v>0</v>
      </c>
      <c r="AF22">
        <f t="shared" si="11"/>
        <v>0</v>
      </c>
      <c r="AG22">
        <f t="shared" si="12"/>
        <v>1</v>
      </c>
      <c r="AH22">
        <f t="shared" si="13"/>
        <v>0</v>
      </c>
      <c r="AI22">
        <f t="shared" si="14"/>
        <v>0</v>
      </c>
      <c r="AJ22">
        <f t="shared" si="15"/>
        <v>0</v>
      </c>
      <c r="AK22">
        <f t="shared" si="16"/>
        <v>0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</row>
    <row r="23" spans="1:53" x14ac:dyDescent="0.35">
      <c r="A23">
        <v>0.15195408976985428</v>
      </c>
      <c r="C23">
        <v>5.0356164383561648</v>
      </c>
      <c r="D23" s="137">
        <f t="shared" si="1"/>
        <v>0.70205264259361777</v>
      </c>
      <c r="E23">
        <v>0</v>
      </c>
      <c r="F23">
        <v>1.5185139398778875</v>
      </c>
      <c r="G23" s="45">
        <v>2.95</v>
      </c>
      <c r="H23" s="29">
        <f t="shared" si="2"/>
        <v>0.46982201597816303</v>
      </c>
      <c r="I23" s="9">
        <v>0</v>
      </c>
      <c r="J23" s="34">
        <v>-2.6872146400301365E-2</v>
      </c>
      <c r="K23">
        <v>23</v>
      </c>
      <c r="L23" s="137">
        <f t="shared" si="3"/>
        <v>1.3617278360175928</v>
      </c>
      <c r="M23">
        <f t="shared" si="0"/>
        <v>0</v>
      </c>
      <c r="N23">
        <v>70</v>
      </c>
      <c r="O23">
        <v>70</v>
      </c>
      <c r="P23">
        <v>91.4</v>
      </c>
      <c r="Q23" s="137">
        <f t="shared" si="4"/>
        <v>1.9609461957338314</v>
      </c>
      <c r="R23" s="34">
        <v>26.7</v>
      </c>
      <c r="S23" s="34">
        <f t="shared" si="5"/>
        <v>1.4265112613645752</v>
      </c>
      <c r="T23" s="42">
        <v>37.425715444240403</v>
      </c>
      <c r="U23" s="42">
        <f t="shared" si="6"/>
        <v>1.5731701112332821</v>
      </c>
      <c r="V23">
        <v>3.3240201037352737</v>
      </c>
      <c r="W23" s="14">
        <v>1</v>
      </c>
      <c r="X23">
        <v>3.7683162170970865</v>
      </c>
      <c r="Y23" s="2">
        <v>9.4162476342971413</v>
      </c>
      <c r="Z23" s="80">
        <v>-7.251912914316816E-2</v>
      </c>
      <c r="AA23" s="2">
        <v>5</v>
      </c>
      <c r="AB23">
        <f t="shared" si="7"/>
        <v>0</v>
      </c>
      <c r="AC23">
        <f t="shared" si="8"/>
        <v>0</v>
      </c>
      <c r="AD23">
        <f t="shared" si="9"/>
        <v>0</v>
      </c>
      <c r="AE23">
        <f t="shared" si="10"/>
        <v>0</v>
      </c>
      <c r="AF23">
        <f t="shared" si="11"/>
        <v>1</v>
      </c>
      <c r="AG23">
        <f t="shared" si="12"/>
        <v>0</v>
      </c>
      <c r="AH23">
        <f t="shared" si="13"/>
        <v>0</v>
      </c>
      <c r="AI23">
        <f t="shared" si="14"/>
        <v>0</v>
      </c>
      <c r="AJ23">
        <f t="shared" si="15"/>
        <v>0</v>
      </c>
      <c r="AK23">
        <f t="shared" si="16"/>
        <v>0</v>
      </c>
      <c r="AL2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</row>
    <row r="24" spans="1:53" x14ac:dyDescent="0.35">
      <c r="A24">
        <v>0.48930931693725965</v>
      </c>
      <c r="C24">
        <v>10.597260273972603</v>
      </c>
      <c r="D24" s="137">
        <f t="shared" si="1"/>
        <v>1.0251936009544893</v>
      </c>
      <c r="E24">
        <v>2.9629325585580042</v>
      </c>
      <c r="F24">
        <v>1.7481880270062005</v>
      </c>
      <c r="G24" s="45">
        <v>2.62</v>
      </c>
      <c r="H24" s="29">
        <f t="shared" si="2"/>
        <v>0.41830129131974547</v>
      </c>
      <c r="I24" s="9">
        <v>2.9323046139517812</v>
      </c>
      <c r="J24" s="34">
        <v>0.2576785748691845</v>
      </c>
      <c r="K24">
        <v>38</v>
      </c>
      <c r="L24" s="137">
        <f t="shared" si="3"/>
        <v>1.5797835966168101</v>
      </c>
      <c r="M24">
        <f t="shared" si="0"/>
        <v>1</v>
      </c>
      <c r="N24">
        <v>70</v>
      </c>
      <c r="O24">
        <v>70</v>
      </c>
      <c r="P24">
        <v>88.9</v>
      </c>
      <c r="Q24" s="137">
        <f t="shared" si="4"/>
        <v>1.9489017609702137</v>
      </c>
      <c r="R24" s="34">
        <v>34.9</v>
      </c>
      <c r="S24" s="34">
        <f t="shared" si="5"/>
        <v>1.5428254269591799</v>
      </c>
      <c r="T24" s="42">
        <v>42.817370475444001</v>
      </c>
      <c r="U24" s="42">
        <f t="shared" si="6"/>
        <v>1.6316199926391717</v>
      </c>
      <c r="V24">
        <v>3.3070943565685456</v>
      </c>
      <c r="W24" s="14">
        <v>2</v>
      </c>
      <c r="X24">
        <v>3.5922013861353577</v>
      </c>
      <c r="Y24" s="2">
        <v>9.1734485147443152</v>
      </c>
      <c r="Z24" s="80">
        <v>0.27534021686205112</v>
      </c>
      <c r="AA24" s="2">
        <v>3</v>
      </c>
      <c r="AB24">
        <f t="shared" si="7"/>
        <v>0</v>
      </c>
      <c r="AC24">
        <f t="shared" si="8"/>
        <v>0</v>
      </c>
      <c r="AD24">
        <f t="shared" si="9"/>
        <v>1</v>
      </c>
      <c r="AE24">
        <f t="shared" si="10"/>
        <v>0</v>
      </c>
      <c r="AF24">
        <f t="shared" si="11"/>
        <v>0</v>
      </c>
      <c r="AG24">
        <f t="shared" si="12"/>
        <v>0</v>
      </c>
      <c r="AH24">
        <f t="shared" si="13"/>
        <v>0</v>
      </c>
      <c r="AI24">
        <f t="shared" si="14"/>
        <v>0</v>
      </c>
      <c r="AJ24">
        <f t="shared" si="15"/>
        <v>0</v>
      </c>
      <c r="AK24">
        <f t="shared" si="16"/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</row>
    <row r="25" spans="1:53" x14ac:dyDescent="0.35">
      <c r="A25">
        <v>-2</v>
      </c>
      <c r="C25">
        <v>4.8136986301369866</v>
      </c>
      <c r="D25" s="137">
        <f t="shared" si="1"/>
        <v>0.68247889703882025</v>
      </c>
      <c r="E25">
        <v>0</v>
      </c>
      <c r="F25">
        <v>1.9867717342662448</v>
      </c>
      <c r="G25" s="45">
        <v>3.29</v>
      </c>
      <c r="H25" s="29">
        <f t="shared" si="2"/>
        <v>0.51719589794997434</v>
      </c>
      <c r="I25" s="9">
        <v>0</v>
      </c>
      <c r="J25" s="34">
        <v>2.5305865264770262E-2</v>
      </c>
      <c r="K25">
        <v>40</v>
      </c>
      <c r="L25" s="137">
        <f t="shared" si="3"/>
        <v>1.6020599913279623</v>
      </c>
      <c r="M25">
        <f t="shared" si="0"/>
        <v>0</v>
      </c>
      <c r="N25">
        <v>70</v>
      </c>
      <c r="O25">
        <v>70</v>
      </c>
      <c r="P25">
        <v>90.8</v>
      </c>
      <c r="Q25" s="137">
        <f t="shared" si="4"/>
        <v>1.958085848521085</v>
      </c>
      <c r="R25" s="34">
        <v>32.299999999999997</v>
      </c>
      <c r="S25" s="34">
        <f t="shared" si="5"/>
        <v>1.5092025223311027</v>
      </c>
      <c r="T25" s="42">
        <v>44.4007960521485</v>
      </c>
      <c r="U25" s="42">
        <f t="shared" si="6"/>
        <v>1.6473907565550749</v>
      </c>
      <c r="V25">
        <v>3.1944263938906516</v>
      </c>
      <c r="W25" s="14">
        <v>2</v>
      </c>
      <c r="X25">
        <v>3.9270969452030209</v>
      </c>
      <c r="Y25" s="2">
        <v>9.1961070683879775</v>
      </c>
      <c r="Z25" s="80">
        <v>3.7706205813039961E-2</v>
      </c>
      <c r="AA25" s="2">
        <v>1</v>
      </c>
      <c r="AB25">
        <f t="shared" si="7"/>
        <v>1</v>
      </c>
      <c r="AC25">
        <f t="shared" si="8"/>
        <v>0</v>
      </c>
      <c r="AD25">
        <f t="shared" si="9"/>
        <v>0</v>
      </c>
      <c r="AE25">
        <f t="shared" si="10"/>
        <v>0</v>
      </c>
      <c r="AF25">
        <f t="shared" si="11"/>
        <v>0</v>
      </c>
      <c r="AG25">
        <f t="shared" si="12"/>
        <v>0</v>
      </c>
      <c r="AH25">
        <f t="shared" si="13"/>
        <v>0</v>
      </c>
      <c r="AI25">
        <f t="shared" si="14"/>
        <v>0</v>
      </c>
      <c r="AJ25">
        <f t="shared" si="15"/>
        <v>0</v>
      </c>
      <c r="AK25">
        <f t="shared" si="16"/>
        <v>0</v>
      </c>
      <c r="AL25">
        <v>0</v>
      </c>
      <c r="AM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</row>
    <row r="26" spans="1:53" x14ac:dyDescent="0.35">
      <c r="A26">
        <v>0.33674583275077291</v>
      </c>
      <c r="C26">
        <v>8.6630136986301363</v>
      </c>
      <c r="D26" s="137">
        <f t="shared" si="1"/>
        <v>0.93766900113971552</v>
      </c>
      <c r="E26">
        <v>0</v>
      </c>
      <c r="F26">
        <v>0.77815125038364363</v>
      </c>
      <c r="G26" s="45">
        <v>3.29</v>
      </c>
      <c r="H26" s="29">
        <f t="shared" si="2"/>
        <v>0.51719589794997434</v>
      </c>
      <c r="I26" s="9">
        <v>0</v>
      </c>
      <c r="J26" s="34">
        <v>0.40483371661993806</v>
      </c>
      <c r="K26">
        <v>24</v>
      </c>
      <c r="L26" s="137">
        <f t="shared" si="3"/>
        <v>1.3802112417116059</v>
      </c>
      <c r="M26">
        <f t="shared" si="0"/>
        <v>0</v>
      </c>
      <c r="N26">
        <v>70</v>
      </c>
      <c r="O26">
        <v>70</v>
      </c>
      <c r="P26">
        <v>89.8</v>
      </c>
      <c r="Q26" s="137">
        <f t="shared" si="4"/>
        <v>1.9532763366673043</v>
      </c>
      <c r="R26" s="34">
        <v>31.2</v>
      </c>
      <c r="S26" s="34">
        <f t="shared" si="5"/>
        <v>1.4941545940184429</v>
      </c>
      <c r="T26" s="42">
        <v>47.307367293927399</v>
      </c>
      <c r="U26" s="42">
        <f t="shared" si="6"/>
        <v>1.6749287797641836</v>
      </c>
      <c r="V26">
        <v>3.2699236952309465</v>
      </c>
      <c r="W26" s="14">
        <v>2</v>
      </c>
      <c r="X26">
        <v>3.6984415808994222</v>
      </c>
      <c r="Y26" s="2">
        <v>8.346939462698991</v>
      </c>
      <c r="Z26" s="80">
        <v>0.59519565311928746</v>
      </c>
      <c r="AA26" s="2">
        <v>6</v>
      </c>
      <c r="AB26">
        <f t="shared" si="7"/>
        <v>0</v>
      </c>
      <c r="AC26">
        <f t="shared" si="8"/>
        <v>0</v>
      </c>
      <c r="AD26">
        <f t="shared" si="9"/>
        <v>0</v>
      </c>
      <c r="AE26">
        <f t="shared" si="10"/>
        <v>0</v>
      </c>
      <c r="AF26">
        <f t="shared" si="11"/>
        <v>0</v>
      </c>
      <c r="AG26">
        <f t="shared" si="12"/>
        <v>1</v>
      </c>
      <c r="AH26">
        <f t="shared" si="13"/>
        <v>0</v>
      </c>
      <c r="AI26">
        <f t="shared" si="14"/>
        <v>0</v>
      </c>
      <c r="AJ26">
        <f t="shared" si="15"/>
        <v>0</v>
      </c>
      <c r="AK26">
        <f t="shared" si="16"/>
        <v>0</v>
      </c>
      <c r="AL26">
        <v>0</v>
      </c>
      <c r="AM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</row>
    <row r="27" spans="1:53" x14ac:dyDescent="0.35">
      <c r="A27">
        <v>0.38247249775835224</v>
      </c>
      <c r="C27">
        <v>3.1095890410958904</v>
      </c>
      <c r="D27" s="137">
        <f t="shared" si="1"/>
        <v>0.49270299707266679</v>
      </c>
      <c r="E27">
        <v>0</v>
      </c>
      <c r="F27">
        <v>1.0413926851582251</v>
      </c>
      <c r="G27" s="45">
        <v>3.29</v>
      </c>
      <c r="H27" s="29">
        <f t="shared" si="2"/>
        <v>0.51719589794997434</v>
      </c>
      <c r="I27" s="9">
        <v>0</v>
      </c>
      <c r="J27" s="34">
        <v>0.15836249209524964</v>
      </c>
      <c r="K27">
        <v>11</v>
      </c>
      <c r="L27" s="137">
        <f t="shared" si="3"/>
        <v>1.0413926851582251</v>
      </c>
      <c r="M27">
        <f t="shared" si="0"/>
        <v>0</v>
      </c>
      <c r="N27">
        <v>70</v>
      </c>
      <c r="O27">
        <v>70</v>
      </c>
      <c r="P27">
        <v>94.9</v>
      </c>
      <c r="Q27" s="137">
        <f t="shared" si="4"/>
        <v>1.9772662124272926</v>
      </c>
      <c r="R27" s="34">
        <v>32.299999999999997</v>
      </c>
      <c r="S27" s="34">
        <f t="shared" si="5"/>
        <v>1.5092025223311027</v>
      </c>
      <c r="T27" s="42">
        <v>47.560703662314701</v>
      </c>
      <c r="U27" s="42">
        <f t="shared" si="6"/>
        <v>1.6772482713966061</v>
      </c>
      <c r="V27">
        <v>3.1872550351599198</v>
      </c>
      <c r="W27" s="14">
        <v>4</v>
      </c>
      <c r="X27" s="14">
        <v>3.8872244231830928</v>
      </c>
      <c r="Y27" s="2">
        <v>8.2671717284030137</v>
      </c>
      <c r="Z27" s="80">
        <v>0.27362128951069664</v>
      </c>
      <c r="AA27" s="2">
        <v>6</v>
      </c>
      <c r="AB27">
        <f t="shared" si="7"/>
        <v>0</v>
      </c>
      <c r="AC27">
        <f t="shared" si="8"/>
        <v>0</v>
      </c>
      <c r="AD27">
        <f t="shared" si="9"/>
        <v>0</v>
      </c>
      <c r="AE27">
        <f t="shared" si="10"/>
        <v>0</v>
      </c>
      <c r="AF27">
        <f t="shared" si="11"/>
        <v>0</v>
      </c>
      <c r="AG27">
        <f t="shared" si="12"/>
        <v>1</v>
      </c>
      <c r="AH27">
        <f t="shared" si="13"/>
        <v>0</v>
      </c>
      <c r="AI27">
        <f t="shared" si="14"/>
        <v>0</v>
      </c>
      <c r="AJ27">
        <f t="shared" si="15"/>
        <v>0</v>
      </c>
      <c r="AK27">
        <f t="shared" si="16"/>
        <v>0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</row>
    <row r="28" spans="1:53" x14ac:dyDescent="0.35">
      <c r="A28">
        <v>0.31114351417323516</v>
      </c>
      <c r="C28">
        <v>3.7041095890410958</v>
      </c>
      <c r="D28" s="137">
        <f t="shared" si="1"/>
        <v>0.56868382714914245</v>
      </c>
      <c r="E28">
        <v>0</v>
      </c>
      <c r="F28">
        <v>1.1139433523068367</v>
      </c>
      <c r="G28" s="45">
        <v>2.95</v>
      </c>
      <c r="H28" s="29">
        <f t="shared" si="2"/>
        <v>0.46982201597816303</v>
      </c>
      <c r="I28" s="9">
        <v>0</v>
      </c>
      <c r="J28" s="34">
        <v>0.2253092817258629</v>
      </c>
      <c r="K28">
        <v>26</v>
      </c>
      <c r="L28" s="137">
        <f t="shared" si="3"/>
        <v>1.414973347970818</v>
      </c>
      <c r="M28">
        <f t="shared" si="0"/>
        <v>0</v>
      </c>
      <c r="N28">
        <v>70</v>
      </c>
      <c r="O28">
        <v>70</v>
      </c>
      <c r="P28">
        <v>91.3</v>
      </c>
      <c r="Q28" s="137">
        <f t="shared" si="4"/>
        <v>1.9604707775342989</v>
      </c>
      <c r="R28" s="34">
        <v>23.5</v>
      </c>
      <c r="S28" s="34">
        <f t="shared" si="5"/>
        <v>1.3710678622717363</v>
      </c>
      <c r="T28" s="42">
        <v>43.1672842383418</v>
      </c>
      <c r="U28" s="42">
        <f t="shared" si="6"/>
        <v>1.6351547269652249</v>
      </c>
      <c r="V28">
        <v>3.3240201037352737</v>
      </c>
      <c r="W28" s="14">
        <v>1</v>
      </c>
      <c r="X28">
        <v>3.7683162170970865</v>
      </c>
      <c r="Y28" s="2">
        <v>8.7302491709849903</v>
      </c>
      <c r="Z28" s="80">
        <v>0.25699200323079374</v>
      </c>
      <c r="AA28" s="2">
        <v>9</v>
      </c>
      <c r="AB28">
        <f t="shared" si="7"/>
        <v>0</v>
      </c>
      <c r="AC28">
        <f t="shared" si="8"/>
        <v>0</v>
      </c>
      <c r="AD28">
        <f t="shared" si="9"/>
        <v>0</v>
      </c>
      <c r="AE28">
        <f t="shared" si="10"/>
        <v>0</v>
      </c>
      <c r="AF28">
        <f t="shared" si="11"/>
        <v>0</v>
      </c>
      <c r="AG28">
        <f t="shared" si="12"/>
        <v>0</v>
      </c>
      <c r="AH28">
        <f t="shared" si="13"/>
        <v>0</v>
      </c>
      <c r="AI28">
        <f t="shared" si="14"/>
        <v>0</v>
      </c>
      <c r="AJ28">
        <f t="shared" si="15"/>
        <v>1</v>
      </c>
      <c r="AK28">
        <f t="shared" si="16"/>
        <v>0</v>
      </c>
      <c r="AL28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</row>
    <row r="29" spans="1:53" x14ac:dyDescent="0.35">
      <c r="A29">
        <v>0.18912089168842117</v>
      </c>
      <c r="C29">
        <v>6.6109589041095891</v>
      </c>
      <c r="D29" s="137">
        <f t="shared" si="1"/>
        <v>0.82026445745231114</v>
      </c>
      <c r="E29">
        <v>0</v>
      </c>
      <c r="F29">
        <v>1.2041199826559248</v>
      </c>
      <c r="G29" s="45">
        <v>2.95</v>
      </c>
      <c r="H29" s="29">
        <f t="shared" si="2"/>
        <v>0.46982201597816303</v>
      </c>
      <c r="I29" s="9">
        <v>0</v>
      </c>
      <c r="J29" s="34">
        <v>0.31175386105575426</v>
      </c>
      <c r="K29">
        <v>18</v>
      </c>
      <c r="L29" s="137">
        <f t="shared" si="3"/>
        <v>1.255272505103306</v>
      </c>
      <c r="M29">
        <f t="shared" si="0"/>
        <v>0</v>
      </c>
      <c r="N29">
        <v>70</v>
      </c>
      <c r="O29">
        <v>70</v>
      </c>
      <c r="P29">
        <v>91.3</v>
      </c>
      <c r="Q29" s="137">
        <f t="shared" si="4"/>
        <v>1.9604707775342989</v>
      </c>
      <c r="R29" s="34">
        <v>23.5</v>
      </c>
      <c r="S29" s="34">
        <f t="shared" si="5"/>
        <v>1.3710678622717363</v>
      </c>
      <c r="T29" s="42">
        <v>43.1672842383418</v>
      </c>
      <c r="U29" s="42">
        <f t="shared" si="6"/>
        <v>1.6351547269652249</v>
      </c>
      <c r="V29">
        <v>3.3445660262306984</v>
      </c>
      <c r="W29" s="14">
        <v>2</v>
      </c>
      <c r="X29" s="14">
        <v>3.9793274106660923</v>
      </c>
      <c r="Y29" s="2">
        <v>8.713969095303522</v>
      </c>
      <c r="Z29" s="80">
        <v>0.36333364141559099</v>
      </c>
      <c r="AA29" s="2">
        <v>4</v>
      </c>
      <c r="AB29">
        <f t="shared" si="7"/>
        <v>0</v>
      </c>
      <c r="AC29">
        <f t="shared" si="8"/>
        <v>0</v>
      </c>
      <c r="AD29">
        <f t="shared" si="9"/>
        <v>0</v>
      </c>
      <c r="AE29">
        <f t="shared" si="10"/>
        <v>1</v>
      </c>
      <c r="AF29">
        <f t="shared" si="11"/>
        <v>0</v>
      </c>
      <c r="AG29">
        <f t="shared" si="12"/>
        <v>0</v>
      </c>
      <c r="AH29">
        <f t="shared" si="13"/>
        <v>0</v>
      </c>
      <c r="AI29">
        <f t="shared" si="14"/>
        <v>0</v>
      </c>
      <c r="AJ29">
        <f t="shared" si="15"/>
        <v>0</v>
      </c>
      <c r="AK29">
        <f t="shared" si="16"/>
        <v>0</v>
      </c>
      <c r="AL29">
        <v>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</row>
    <row r="30" spans="1:53" x14ac:dyDescent="0.35">
      <c r="A30">
        <v>0.40572718258820278</v>
      </c>
      <c r="C30">
        <v>3.463013698630137</v>
      </c>
      <c r="D30" s="137">
        <f t="shared" si="1"/>
        <v>0.53945420948989153</v>
      </c>
      <c r="E30">
        <v>0</v>
      </c>
      <c r="F30">
        <v>1.2041199826559248</v>
      </c>
      <c r="G30" s="45">
        <v>2.95</v>
      </c>
      <c r="H30" s="29">
        <f t="shared" si="2"/>
        <v>0.46982201597816303</v>
      </c>
      <c r="I30" s="9">
        <v>0</v>
      </c>
      <c r="J30" s="34">
        <v>0.2253092817258629</v>
      </c>
      <c r="K30">
        <v>21</v>
      </c>
      <c r="L30" s="137">
        <f t="shared" si="3"/>
        <v>1.3222192947339193</v>
      </c>
      <c r="M30">
        <f t="shared" si="0"/>
        <v>0</v>
      </c>
      <c r="N30">
        <v>70</v>
      </c>
      <c r="O30">
        <v>70</v>
      </c>
      <c r="P30">
        <v>91</v>
      </c>
      <c r="Q30" s="137">
        <f t="shared" si="4"/>
        <v>1.9590413923210936</v>
      </c>
      <c r="R30" s="34">
        <v>23.9</v>
      </c>
      <c r="S30" s="34">
        <f t="shared" si="5"/>
        <v>1.3783979009481377</v>
      </c>
      <c r="T30" s="42">
        <v>42.048698215007001</v>
      </c>
      <c r="U30" s="42">
        <f t="shared" si="6"/>
        <v>1.6237525550259535</v>
      </c>
      <c r="V30">
        <v>3.1438417908875378</v>
      </c>
      <c r="W30" s="14">
        <v>5</v>
      </c>
      <c r="X30" s="14">
        <v>3.5593338228462725</v>
      </c>
      <c r="Y30" s="2">
        <v>8.9744840591234034</v>
      </c>
      <c r="Z30" s="80">
        <v>0.32202607324775046</v>
      </c>
      <c r="AA30" s="2">
        <v>9</v>
      </c>
      <c r="AB30">
        <f t="shared" si="7"/>
        <v>0</v>
      </c>
      <c r="AC30">
        <f t="shared" si="8"/>
        <v>0</v>
      </c>
      <c r="AD30">
        <f t="shared" si="9"/>
        <v>0</v>
      </c>
      <c r="AE30">
        <f t="shared" si="10"/>
        <v>0</v>
      </c>
      <c r="AF30">
        <f t="shared" si="11"/>
        <v>0</v>
      </c>
      <c r="AG30">
        <f t="shared" si="12"/>
        <v>0</v>
      </c>
      <c r="AH30">
        <f t="shared" si="13"/>
        <v>0</v>
      </c>
      <c r="AI30">
        <f t="shared" si="14"/>
        <v>0</v>
      </c>
      <c r="AJ30">
        <f t="shared" si="15"/>
        <v>1</v>
      </c>
      <c r="AK30">
        <f t="shared" si="16"/>
        <v>0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</row>
    <row r="31" spans="1:53" x14ac:dyDescent="0.35">
      <c r="A31">
        <v>0.43495373531147641</v>
      </c>
      <c r="C31">
        <v>4.3397260273972602</v>
      </c>
      <c r="D31" s="137">
        <f t="shared" si="1"/>
        <v>0.63746231279699994</v>
      </c>
      <c r="E31">
        <v>0</v>
      </c>
      <c r="F31">
        <v>1.4771212547196624</v>
      </c>
      <c r="G31" s="45">
        <v>2.95</v>
      </c>
      <c r="H31" s="29">
        <f t="shared" si="2"/>
        <v>0.46982201597816303</v>
      </c>
      <c r="I31" s="9">
        <v>0</v>
      </c>
      <c r="J31" s="34">
        <v>0.20411998265592479</v>
      </c>
      <c r="K31">
        <v>4</v>
      </c>
      <c r="L31" s="137">
        <f t="shared" si="3"/>
        <v>0.6020599913279624</v>
      </c>
      <c r="M31">
        <f t="shared" si="0"/>
        <v>0</v>
      </c>
      <c r="N31">
        <v>70</v>
      </c>
      <c r="O31">
        <v>70</v>
      </c>
      <c r="P31">
        <v>91.1</v>
      </c>
      <c r="Q31" s="137">
        <f t="shared" si="4"/>
        <v>1.9595183769729982</v>
      </c>
      <c r="R31" s="34">
        <v>24.1</v>
      </c>
      <c r="S31" s="34">
        <f t="shared" si="5"/>
        <v>1.3820170425748683</v>
      </c>
      <c r="T31" s="42">
        <v>40.229046020662899</v>
      </c>
      <c r="U31" s="42">
        <f t="shared" si="6"/>
        <v>1.6045397339663818</v>
      </c>
      <c r="V31">
        <v>3.698064657996265</v>
      </c>
      <c r="W31" s="14">
        <v>1</v>
      </c>
      <c r="X31" s="14">
        <v>3.9549654300921482</v>
      </c>
      <c r="Y31" s="2">
        <v>9.0122042960307436</v>
      </c>
      <c r="Z31" s="80">
        <v>0.27623040346350569</v>
      </c>
      <c r="AA31" s="2">
        <v>9</v>
      </c>
      <c r="AB31">
        <f t="shared" si="7"/>
        <v>0</v>
      </c>
      <c r="AC31">
        <f t="shared" si="8"/>
        <v>0</v>
      </c>
      <c r="AD31">
        <f t="shared" si="9"/>
        <v>0</v>
      </c>
      <c r="AE31">
        <f t="shared" si="10"/>
        <v>0</v>
      </c>
      <c r="AF31">
        <f t="shared" si="11"/>
        <v>0</v>
      </c>
      <c r="AG31">
        <f t="shared" si="12"/>
        <v>0</v>
      </c>
      <c r="AH31">
        <f t="shared" si="13"/>
        <v>0</v>
      </c>
      <c r="AI31">
        <f t="shared" si="14"/>
        <v>0</v>
      </c>
      <c r="AJ31">
        <f t="shared" si="15"/>
        <v>1</v>
      </c>
      <c r="AK31">
        <f t="shared" si="16"/>
        <v>0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</row>
    <row r="32" spans="1:53" x14ac:dyDescent="0.35">
      <c r="A32">
        <v>0.25603820614089967</v>
      </c>
      <c r="C32">
        <v>3.5863013698630137</v>
      </c>
      <c r="D32" s="137">
        <f t="shared" si="1"/>
        <v>0.55464678209428109</v>
      </c>
      <c r="E32">
        <v>0</v>
      </c>
      <c r="F32">
        <v>1.4771212547196624</v>
      </c>
      <c r="G32" s="45">
        <v>2.95</v>
      </c>
      <c r="H32" s="29">
        <f t="shared" si="2"/>
        <v>0.46982201597816303</v>
      </c>
      <c r="I32" s="9">
        <v>0</v>
      </c>
      <c r="J32" s="34">
        <v>0.1553360374650618</v>
      </c>
      <c r="K32">
        <v>27</v>
      </c>
      <c r="L32" s="137">
        <f t="shared" si="3"/>
        <v>1.4313637641589874</v>
      </c>
      <c r="M32">
        <f t="shared" si="0"/>
        <v>0</v>
      </c>
      <c r="N32">
        <v>70</v>
      </c>
      <c r="O32">
        <v>70</v>
      </c>
      <c r="P32">
        <v>91.1</v>
      </c>
      <c r="Q32" s="137">
        <f t="shared" si="4"/>
        <v>1.9595183769729982</v>
      </c>
      <c r="R32" s="34">
        <v>24.1</v>
      </c>
      <c r="S32" s="34">
        <f t="shared" si="5"/>
        <v>1.3820170425748683</v>
      </c>
      <c r="T32" s="42">
        <v>40.229046020662899</v>
      </c>
      <c r="U32" s="42">
        <f t="shared" si="6"/>
        <v>1.6045397339663818</v>
      </c>
      <c r="V32">
        <v>3.2699236952309465</v>
      </c>
      <c r="W32" s="14">
        <v>2</v>
      </c>
      <c r="X32">
        <v>3.6984415808994222</v>
      </c>
      <c r="Y32" s="2">
        <v>9.1589351418299181</v>
      </c>
      <c r="Z32" s="80">
        <v>9.3347601730180862E-2</v>
      </c>
      <c r="AA32" s="2">
        <v>9</v>
      </c>
      <c r="AB32">
        <f t="shared" si="7"/>
        <v>0</v>
      </c>
      <c r="AC32">
        <f t="shared" si="8"/>
        <v>0</v>
      </c>
      <c r="AD32">
        <f t="shared" si="9"/>
        <v>0</v>
      </c>
      <c r="AE32">
        <f t="shared" si="10"/>
        <v>0</v>
      </c>
      <c r="AF32">
        <f t="shared" si="11"/>
        <v>0</v>
      </c>
      <c r="AG32">
        <f t="shared" si="12"/>
        <v>0</v>
      </c>
      <c r="AH32">
        <f t="shared" si="13"/>
        <v>0</v>
      </c>
      <c r="AI32">
        <f t="shared" si="14"/>
        <v>0</v>
      </c>
      <c r="AJ32">
        <f t="shared" si="15"/>
        <v>1</v>
      </c>
      <c r="AK32">
        <f t="shared" si="16"/>
        <v>0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</row>
    <row r="33" spans="1:53" x14ac:dyDescent="0.35">
      <c r="A33">
        <v>0.44451170243689808</v>
      </c>
      <c r="C33">
        <v>5.1342465753424653</v>
      </c>
      <c r="D33" s="137">
        <f t="shared" si="1"/>
        <v>0.71047672209528467</v>
      </c>
      <c r="E33">
        <v>0</v>
      </c>
      <c r="F33">
        <v>1.9084850188786497</v>
      </c>
      <c r="G33" s="45">
        <v>2.95</v>
      </c>
      <c r="H33" s="29">
        <f t="shared" si="2"/>
        <v>0.46982201597816303</v>
      </c>
      <c r="I33" s="9">
        <v>0</v>
      </c>
      <c r="J33" s="34">
        <v>0.29003461136251801</v>
      </c>
      <c r="K33">
        <v>25</v>
      </c>
      <c r="L33" s="137">
        <f t="shared" si="3"/>
        <v>1.3979400086720377</v>
      </c>
      <c r="M33">
        <f t="shared" si="0"/>
        <v>0</v>
      </c>
      <c r="N33">
        <v>70</v>
      </c>
      <c r="O33">
        <v>70</v>
      </c>
      <c r="P33">
        <v>91.1</v>
      </c>
      <c r="Q33" s="137">
        <f t="shared" si="4"/>
        <v>1.9595183769729982</v>
      </c>
      <c r="R33" s="34">
        <v>24.1</v>
      </c>
      <c r="S33" s="34">
        <f t="shared" si="5"/>
        <v>1.3820170425748683</v>
      </c>
      <c r="T33" s="42">
        <v>40.229046020662899</v>
      </c>
      <c r="U33" s="42">
        <f t="shared" si="6"/>
        <v>1.6045397339663818</v>
      </c>
      <c r="V33">
        <v>4</v>
      </c>
      <c r="W33" s="14">
        <v>2</v>
      </c>
      <c r="X33" s="14">
        <v>4</v>
      </c>
      <c r="Y33" s="2">
        <v>8.7985263462493961</v>
      </c>
      <c r="Z33" s="80">
        <v>0.28131989419627224</v>
      </c>
      <c r="AA33" s="2">
        <v>6</v>
      </c>
      <c r="AB33">
        <f t="shared" si="7"/>
        <v>0</v>
      </c>
      <c r="AC33">
        <f t="shared" si="8"/>
        <v>0</v>
      </c>
      <c r="AD33">
        <f t="shared" si="9"/>
        <v>0</v>
      </c>
      <c r="AE33">
        <f t="shared" si="10"/>
        <v>0</v>
      </c>
      <c r="AF33">
        <f t="shared" si="11"/>
        <v>0</v>
      </c>
      <c r="AG33">
        <f t="shared" si="12"/>
        <v>1</v>
      </c>
      <c r="AH33">
        <f t="shared" si="13"/>
        <v>0</v>
      </c>
      <c r="AI33">
        <f t="shared" si="14"/>
        <v>0</v>
      </c>
      <c r="AJ33">
        <f t="shared" si="15"/>
        <v>0</v>
      </c>
      <c r="AK33">
        <f t="shared" si="16"/>
        <v>0</v>
      </c>
      <c r="AL33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</row>
    <row r="34" spans="1:53" x14ac:dyDescent="0.35">
      <c r="A34">
        <v>0.48544945131148998</v>
      </c>
      <c r="C34">
        <v>2.419178082191781</v>
      </c>
      <c r="D34" s="137">
        <f t="shared" si="1"/>
        <v>0.38366783912109392</v>
      </c>
      <c r="E34">
        <v>0</v>
      </c>
      <c r="F34">
        <v>1.0413926851582251</v>
      </c>
      <c r="G34" s="45">
        <v>2.95</v>
      </c>
      <c r="H34" s="29">
        <f t="shared" si="2"/>
        <v>0.46982201597816303</v>
      </c>
      <c r="I34" s="9">
        <v>0</v>
      </c>
      <c r="J34" s="34">
        <v>0.11058971029924898</v>
      </c>
      <c r="K34">
        <v>16</v>
      </c>
      <c r="L34" s="137">
        <f t="shared" si="3"/>
        <v>1.2041199826559248</v>
      </c>
      <c r="M34">
        <f t="shared" si="0"/>
        <v>0</v>
      </c>
      <c r="N34">
        <v>70</v>
      </c>
      <c r="O34">
        <v>70</v>
      </c>
      <c r="P34">
        <v>84.7</v>
      </c>
      <c r="Q34" s="137">
        <f t="shared" si="4"/>
        <v>1.927883410330707</v>
      </c>
      <c r="R34" s="34">
        <v>25.9</v>
      </c>
      <c r="S34" s="34">
        <f t="shared" si="5"/>
        <v>1.4132997640812519</v>
      </c>
      <c r="T34" s="42">
        <v>38.207924771594499</v>
      </c>
      <c r="U34" s="42">
        <f t="shared" si="6"/>
        <v>1.5821534500223446</v>
      </c>
      <c r="V34">
        <v>3.8138923126200468</v>
      </c>
      <c r="W34" s="14">
        <v>2</v>
      </c>
      <c r="X34">
        <v>3.9458684738355512</v>
      </c>
      <c r="Y34" s="2">
        <v>9.1912441583133759</v>
      </c>
      <c r="Z34" s="80">
        <v>0.1366672697505924</v>
      </c>
      <c r="AA34" s="2">
        <v>4</v>
      </c>
      <c r="AB34">
        <f t="shared" si="7"/>
        <v>0</v>
      </c>
      <c r="AC34">
        <f t="shared" si="8"/>
        <v>0</v>
      </c>
      <c r="AD34">
        <f t="shared" si="9"/>
        <v>0</v>
      </c>
      <c r="AE34">
        <f t="shared" si="10"/>
        <v>1</v>
      </c>
      <c r="AF34">
        <f t="shared" si="11"/>
        <v>0</v>
      </c>
      <c r="AG34">
        <f t="shared" si="12"/>
        <v>0</v>
      </c>
      <c r="AH34">
        <f t="shared" si="13"/>
        <v>0</v>
      </c>
      <c r="AI34">
        <f t="shared" si="14"/>
        <v>0</v>
      </c>
      <c r="AJ34">
        <f t="shared" si="15"/>
        <v>0</v>
      </c>
      <c r="AK34">
        <f t="shared" si="16"/>
        <v>0</v>
      </c>
      <c r="AL34">
        <v>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</row>
    <row r="35" spans="1:53" x14ac:dyDescent="0.35">
      <c r="A35">
        <v>0.50696632713727663</v>
      </c>
      <c r="C35">
        <v>3.6356164383561644</v>
      </c>
      <c r="D35" s="137">
        <f t="shared" si="1"/>
        <v>0.56057805840796082</v>
      </c>
      <c r="E35">
        <v>2.9629325585580042</v>
      </c>
      <c r="F35">
        <v>1.6720978579357175</v>
      </c>
      <c r="G35" s="45">
        <v>2.62</v>
      </c>
      <c r="H35" s="29">
        <f t="shared" si="2"/>
        <v>0.41830129131974547</v>
      </c>
      <c r="I35" s="9">
        <v>2.9323046139517812</v>
      </c>
      <c r="J35" s="34">
        <v>0.16435285578443709</v>
      </c>
      <c r="K35">
        <v>22</v>
      </c>
      <c r="L35" s="137">
        <f t="shared" si="3"/>
        <v>1.3424226808222062</v>
      </c>
      <c r="M35">
        <f t="shared" si="0"/>
        <v>1</v>
      </c>
      <c r="N35">
        <v>70</v>
      </c>
      <c r="O35">
        <v>70</v>
      </c>
      <c r="P35">
        <v>70</v>
      </c>
      <c r="Q35" s="137">
        <f t="shared" si="4"/>
        <v>1.8450980400142569</v>
      </c>
      <c r="R35" s="34">
        <v>34.6</v>
      </c>
      <c r="S35" s="34">
        <f t="shared" si="5"/>
        <v>1.5390760987927767</v>
      </c>
      <c r="T35" s="42">
        <v>47.8156192569637</v>
      </c>
      <c r="U35" s="42">
        <f t="shared" si="6"/>
        <v>1.6795697846681461</v>
      </c>
      <c r="V35">
        <v>3.2224645332922388</v>
      </c>
      <c r="W35" s="14">
        <v>3</v>
      </c>
      <c r="X35">
        <v>3.707126713924402</v>
      </c>
      <c r="Y35">
        <v>8.9967698955170619</v>
      </c>
      <c r="Z35" s="80">
        <v>0.62505034232782952</v>
      </c>
      <c r="AA35" s="2">
        <v>1</v>
      </c>
      <c r="AB35">
        <f t="shared" si="7"/>
        <v>1</v>
      </c>
      <c r="AC35">
        <f t="shared" si="8"/>
        <v>0</v>
      </c>
      <c r="AD35">
        <f t="shared" si="9"/>
        <v>0</v>
      </c>
      <c r="AE35">
        <f t="shared" si="10"/>
        <v>0</v>
      </c>
      <c r="AF35">
        <f t="shared" si="11"/>
        <v>0</v>
      </c>
      <c r="AG35">
        <f t="shared" si="12"/>
        <v>0</v>
      </c>
      <c r="AH35">
        <f t="shared" si="13"/>
        <v>0</v>
      </c>
      <c r="AI35">
        <f t="shared" si="14"/>
        <v>0</v>
      </c>
      <c r="AJ35">
        <f t="shared" si="15"/>
        <v>0</v>
      </c>
      <c r="AK35">
        <f t="shared" si="16"/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</row>
    <row r="36" spans="1:53" x14ac:dyDescent="0.35">
      <c r="A36">
        <v>0.47037020438358634</v>
      </c>
      <c r="C36">
        <v>3.3917808219178083</v>
      </c>
      <c r="D36" s="137">
        <f t="shared" si="1"/>
        <v>0.53042778022762449</v>
      </c>
      <c r="E36">
        <v>2.9808892467722719</v>
      </c>
      <c r="F36">
        <v>2.0334237554869499</v>
      </c>
      <c r="G36" s="45">
        <v>3.13</v>
      </c>
      <c r="H36" s="29">
        <f t="shared" si="2"/>
        <v>0.49554433754644844</v>
      </c>
      <c r="I36" s="9">
        <v>2.7343997425205671</v>
      </c>
      <c r="J36" s="34">
        <v>0.18469143081759881</v>
      </c>
      <c r="K36">
        <v>22</v>
      </c>
      <c r="L36" s="137">
        <f t="shared" si="3"/>
        <v>1.3424226808222062</v>
      </c>
      <c r="M36">
        <f t="shared" si="0"/>
        <v>1</v>
      </c>
      <c r="N36">
        <v>85</v>
      </c>
      <c r="O36">
        <v>70</v>
      </c>
      <c r="P36">
        <v>100</v>
      </c>
      <c r="Q36" s="137">
        <f t="shared" si="4"/>
        <v>2</v>
      </c>
      <c r="R36" s="34">
        <v>45.6</v>
      </c>
      <c r="S36" s="34">
        <f t="shared" si="5"/>
        <v>1.658964842664435</v>
      </c>
      <c r="T36" s="42">
        <v>53.639357132864397</v>
      </c>
      <c r="U36" s="42">
        <f t="shared" si="6"/>
        <v>1.7294835641959176</v>
      </c>
      <c r="V36">
        <v>3.2224645332922388</v>
      </c>
      <c r="W36" s="14">
        <v>3</v>
      </c>
      <c r="X36">
        <v>3.707126713924402</v>
      </c>
      <c r="Y36">
        <v>8.9281704522987919</v>
      </c>
      <c r="Z36" s="80">
        <v>0.68511483481131275</v>
      </c>
      <c r="AA36">
        <v>1</v>
      </c>
      <c r="AB36">
        <f t="shared" si="7"/>
        <v>1</v>
      </c>
      <c r="AC36">
        <f t="shared" si="8"/>
        <v>0</v>
      </c>
      <c r="AD36">
        <f t="shared" si="9"/>
        <v>0</v>
      </c>
      <c r="AE36">
        <f t="shared" si="10"/>
        <v>0</v>
      </c>
      <c r="AF36">
        <f t="shared" si="11"/>
        <v>0</v>
      </c>
      <c r="AG36">
        <f t="shared" si="12"/>
        <v>0</v>
      </c>
      <c r="AH36">
        <f t="shared" si="13"/>
        <v>0</v>
      </c>
      <c r="AI36">
        <f t="shared" si="14"/>
        <v>0</v>
      </c>
      <c r="AJ36">
        <f t="shared" si="15"/>
        <v>0</v>
      </c>
      <c r="AK36">
        <f t="shared" si="16"/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</row>
    <row r="37" spans="1:53" x14ac:dyDescent="0.35">
      <c r="A37">
        <v>7.789513949433749E-2</v>
      </c>
      <c r="C37">
        <v>4.2767123287671236</v>
      </c>
      <c r="D37" s="137">
        <f t="shared" si="1"/>
        <v>0.63111003860594284</v>
      </c>
      <c r="E37">
        <v>2.6903467274930635</v>
      </c>
      <c r="F37">
        <v>1.6127838567197355</v>
      </c>
      <c r="G37" s="45">
        <v>2.59</v>
      </c>
      <c r="H37" s="29">
        <f t="shared" si="2"/>
        <v>0.4132997640812518</v>
      </c>
      <c r="I37" s="9">
        <v>2.7508939203821252</v>
      </c>
      <c r="J37" s="34">
        <v>0.20682587603184968</v>
      </c>
      <c r="K37">
        <v>32</v>
      </c>
      <c r="L37" s="137">
        <f t="shared" si="3"/>
        <v>1.505149978319906</v>
      </c>
      <c r="M37">
        <f t="shared" si="0"/>
        <v>1</v>
      </c>
      <c r="N37">
        <v>90</v>
      </c>
      <c r="O37">
        <v>70</v>
      </c>
      <c r="P37">
        <v>74.8</v>
      </c>
      <c r="Q37" s="137">
        <f t="shared" si="4"/>
        <v>1.8739015978644613</v>
      </c>
      <c r="R37" s="34">
        <v>38.299999999999997</v>
      </c>
      <c r="S37" s="34">
        <f t="shared" si="5"/>
        <v>1.5831987739686226</v>
      </c>
      <c r="T37" s="42">
        <v>43.321936809724697</v>
      </c>
      <c r="U37" s="42">
        <f t="shared" si="6"/>
        <v>1.6367078645500728</v>
      </c>
      <c r="V37">
        <v>3.2224645332922388</v>
      </c>
      <c r="W37" s="14">
        <v>3</v>
      </c>
      <c r="X37">
        <v>3.707126713924402</v>
      </c>
      <c r="Y37">
        <v>9.4913616938342731</v>
      </c>
      <c r="Z37" s="80">
        <v>0.23115921878930457</v>
      </c>
      <c r="AA37">
        <v>1</v>
      </c>
      <c r="AB37">
        <f t="shared" si="7"/>
        <v>1</v>
      </c>
      <c r="AC37">
        <f t="shared" si="8"/>
        <v>0</v>
      </c>
      <c r="AD37">
        <f t="shared" si="9"/>
        <v>0</v>
      </c>
      <c r="AE37">
        <f t="shared" si="10"/>
        <v>0</v>
      </c>
      <c r="AF37">
        <f t="shared" si="11"/>
        <v>0</v>
      </c>
      <c r="AG37">
        <f t="shared" si="12"/>
        <v>0</v>
      </c>
      <c r="AH37">
        <f t="shared" si="13"/>
        <v>0</v>
      </c>
      <c r="AI37">
        <f t="shared" si="14"/>
        <v>0</v>
      </c>
      <c r="AJ37">
        <f t="shared" si="15"/>
        <v>0</v>
      </c>
      <c r="AK37">
        <f t="shared" si="16"/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</row>
    <row r="38" spans="1:53" x14ac:dyDescent="0.35">
      <c r="A38">
        <v>0.25661085587556831</v>
      </c>
      <c r="C38">
        <v>12.758904109589041</v>
      </c>
      <c r="D38" s="137">
        <f t="shared" si="1"/>
        <v>1.1058133734762565</v>
      </c>
      <c r="E38">
        <v>0</v>
      </c>
      <c r="F38">
        <v>0.77815125038364363</v>
      </c>
      <c r="G38" s="45">
        <v>3.29</v>
      </c>
      <c r="H38" s="29">
        <f t="shared" si="2"/>
        <v>0.51719589794997434</v>
      </c>
      <c r="I38" s="9">
        <v>0</v>
      </c>
      <c r="J38" s="34">
        <v>0.27875360095282892</v>
      </c>
      <c r="K38">
        <v>20</v>
      </c>
      <c r="L38" s="137">
        <f t="shared" si="3"/>
        <v>1.3010299956639813</v>
      </c>
      <c r="M38">
        <f t="shared" si="0"/>
        <v>0</v>
      </c>
      <c r="N38">
        <v>70</v>
      </c>
      <c r="O38">
        <v>70</v>
      </c>
      <c r="P38">
        <v>85</v>
      </c>
      <c r="Q38" s="137">
        <f t="shared" si="4"/>
        <v>1.9294189257142926</v>
      </c>
      <c r="R38" s="34">
        <v>32.299999999999997</v>
      </c>
      <c r="S38" s="34">
        <f t="shared" si="5"/>
        <v>1.5092025223311027</v>
      </c>
      <c r="T38" s="42">
        <v>40.040400531970803</v>
      </c>
      <c r="U38" s="42">
        <f t="shared" si="6"/>
        <v>1.6024984131617945</v>
      </c>
      <c r="V38">
        <v>3.2555397552391718</v>
      </c>
      <c r="W38" s="14">
        <v>2</v>
      </c>
      <c r="X38">
        <v>3.9251377713585649</v>
      </c>
      <c r="Y38">
        <v>7.8573324964312681</v>
      </c>
      <c r="Z38" s="80">
        <v>0.73817481422909048</v>
      </c>
      <c r="AA38">
        <v>6</v>
      </c>
      <c r="AB38">
        <f t="shared" si="7"/>
        <v>0</v>
      </c>
      <c r="AC38">
        <f t="shared" si="8"/>
        <v>0</v>
      </c>
      <c r="AD38">
        <f t="shared" si="9"/>
        <v>0</v>
      </c>
      <c r="AE38">
        <f t="shared" si="10"/>
        <v>0</v>
      </c>
      <c r="AF38">
        <f t="shared" si="11"/>
        <v>0</v>
      </c>
      <c r="AG38">
        <f t="shared" si="12"/>
        <v>1</v>
      </c>
      <c r="AH38">
        <f t="shared" si="13"/>
        <v>0</v>
      </c>
      <c r="AI38">
        <f t="shared" si="14"/>
        <v>0</v>
      </c>
      <c r="AJ38">
        <f t="shared" si="15"/>
        <v>0</v>
      </c>
      <c r="AK38">
        <f t="shared" si="16"/>
        <v>0</v>
      </c>
      <c r="AL38">
        <v>0</v>
      </c>
      <c r="AM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</row>
    <row r="39" spans="1:53" x14ac:dyDescent="0.35">
      <c r="A39">
        <v>0.23615101977723243</v>
      </c>
      <c r="C39">
        <v>5.1424657534246574</v>
      </c>
      <c r="D39" s="137">
        <f t="shared" si="1"/>
        <v>0.71117140816487157</v>
      </c>
      <c r="E39">
        <v>2.5362300726332561</v>
      </c>
      <c r="F39">
        <v>1.5563025007672873</v>
      </c>
      <c r="G39" s="45">
        <v>2.3199999999999998</v>
      </c>
      <c r="H39" s="29">
        <f t="shared" si="2"/>
        <v>0.36548798489089962</v>
      </c>
      <c r="I39" s="9">
        <v>2.756001823801419</v>
      </c>
      <c r="J39" s="34">
        <v>-4.0958607678906384E-2</v>
      </c>
      <c r="K39">
        <v>23</v>
      </c>
      <c r="L39" s="137">
        <f t="shared" si="3"/>
        <v>1.3617278360175928</v>
      </c>
      <c r="M39">
        <f t="shared" si="0"/>
        <v>1</v>
      </c>
      <c r="N39">
        <v>85</v>
      </c>
      <c r="O39">
        <v>80</v>
      </c>
      <c r="P39">
        <v>87.2</v>
      </c>
      <c r="Q39" s="137">
        <f t="shared" si="4"/>
        <v>1.9405164849325673</v>
      </c>
      <c r="R39" s="34">
        <v>42.5</v>
      </c>
      <c r="S39" s="34">
        <f t="shared" si="5"/>
        <v>1.6283889300503116</v>
      </c>
      <c r="T39" s="42">
        <v>52.565521078007201</v>
      </c>
      <c r="U39" s="42">
        <f t="shared" si="6"/>
        <v>1.7207009738992591</v>
      </c>
      <c r="V39">
        <v>3.2555397552391718</v>
      </c>
      <c r="W39" s="14">
        <v>2</v>
      </c>
      <c r="X39">
        <v>3.9251377713585649</v>
      </c>
      <c r="Y39">
        <v>8.6669389672147119</v>
      </c>
      <c r="Z39" s="80">
        <v>-0.13215744049000044</v>
      </c>
      <c r="AA39">
        <v>7</v>
      </c>
      <c r="AB39">
        <f t="shared" si="7"/>
        <v>0</v>
      </c>
      <c r="AC39">
        <f t="shared" si="8"/>
        <v>0</v>
      </c>
      <c r="AD39">
        <f t="shared" si="9"/>
        <v>0</v>
      </c>
      <c r="AE39">
        <f t="shared" si="10"/>
        <v>0</v>
      </c>
      <c r="AF39">
        <f t="shared" si="11"/>
        <v>0</v>
      </c>
      <c r="AG39">
        <f t="shared" si="12"/>
        <v>0</v>
      </c>
      <c r="AH39">
        <f t="shared" si="13"/>
        <v>1</v>
      </c>
      <c r="AI39">
        <f t="shared" si="14"/>
        <v>0</v>
      </c>
      <c r="AJ39">
        <f t="shared" si="15"/>
        <v>0</v>
      </c>
      <c r="AK39">
        <f t="shared" si="16"/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</row>
    <row r="40" spans="1:53" x14ac:dyDescent="0.35">
      <c r="A40">
        <v>0.35654732351381263</v>
      </c>
      <c r="C40">
        <v>2.4575342465753423</v>
      </c>
      <c r="D40" s="137">
        <f t="shared" si="1"/>
        <v>0.39049957858761736</v>
      </c>
      <c r="E40">
        <v>2.5362300726332561</v>
      </c>
      <c r="F40">
        <v>1.5563025007672873</v>
      </c>
      <c r="G40" s="45">
        <v>2.3199999999999998</v>
      </c>
      <c r="H40" s="29">
        <f t="shared" si="2"/>
        <v>0.36548798489089962</v>
      </c>
      <c r="I40" s="9">
        <v>2.756001823801419</v>
      </c>
      <c r="J40" s="34">
        <v>9.691001300805642E-2</v>
      </c>
      <c r="K40">
        <v>19</v>
      </c>
      <c r="L40" s="137">
        <f t="shared" si="3"/>
        <v>1.2787536009528289</v>
      </c>
      <c r="M40">
        <f t="shared" si="0"/>
        <v>1</v>
      </c>
      <c r="N40">
        <v>85</v>
      </c>
      <c r="O40">
        <v>80</v>
      </c>
      <c r="P40">
        <v>70</v>
      </c>
      <c r="Q40" s="137">
        <f t="shared" si="4"/>
        <v>1.8450980400142569</v>
      </c>
      <c r="R40" s="34">
        <v>42.2</v>
      </c>
      <c r="S40" s="34">
        <f t="shared" si="5"/>
        <v>1.6253124509616739</v>
      </c>
      <c r="T40" s="42">
        <v>53.270504198897903</v>
      </c>
      <c r="U40" s="42">
        <f t="shared" si="6"/>
        <v>1.7264868073491786</v>
      </c>
      <c r="V40">
        <v>3.2555397552391718</v>
      </c>
      <c r="W40" s="14">
        <v>2</v>
      </c>
      <c r="X40">
        <v>3.9251377713585649</v>
      </c>
      <c r="Y40">
        <v>8.518513939877888</v>
      </c>
      <c r="Z40" s="80">
        <v>0.46459441878313945</v>
      </c>
      <c r="AA40">
        <v>7</v>
      </c>
      <c r="AB40">
        <f t="shared" si="7"/>
        <v>0</v>
      </c>
      <c r="AC40">
        <f t="shared" si="8"/>
        <v>0</v>
      </c>
      <c r="AD40">
        <f t="shared" si="9"/>
        <v>0</v>
      </c>
      <c r="AE40">
        <f t="shared" si="10"/>
        <v>0</v>
      </c>
      <c r="AF40">
        <f t="shared" si="11"/>
        <v>0</v>
      </c>
      <c r="AG40">
        <f t="shared" si="12"/>
        <v>0</v>
      </c>
      <c r="AH40">
        <f t="shared" si="13"/>
        <v>1</v>
      </c>
      <c r="AI40">
        <f t="shared" si="14"/>
        <v>0</v>
      </c>
      <c r="AJ40">
        <f t="shared" si="15"/>
        <v>0</v>
      </c>
      <c r="AK40">
        <f t="shared" si="16"/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</row>
    <row r="41" spans="1:53" x14ac:dyDescent="0.35">
      <c r="A41">
        <v>0.61827553556615344</v>
      </c>
      <c r="C41">
        <v>5.5260273972602736</v>
      </c>
      <c r="D41" s="137">
        <f t="shared" si="1"/>
        <v>0.74241303375629075</v>
      </c>
      <c r="E41">
        <v>0</v>
      </c>
      <c r="F41">
        <v>1.146128035678238</v>
      </c>
      <c r="G41" s="45">
        <v>3.29</v>
      </c>
      <c r="H41" s="29">
        <f t="shared" si="2"/>
        <v>0.51719589794997434</v>
      </c>
      <c r="I41" s="9">
        <v>0</v>
      </c>
      <c r="J41" s="34">
        <v>-4.3648054024500883E-3</v>
      </c>
      <c r="K41">
        <v>20</v>
      </c>
      <c r="L41" s="137">
        <f t="shared" si="3"/>
        <v>1.3010299956639813</v>
      </c>
      <c r="M41">
        <f t="shared" si="0"/>
        <v>0</v>
      </c>
      <c r="N41">
        <v>70</v>
      </c>
      <c r="O41">
        <v>70</v>
      </c>
      <c r="P41">
        <v>85</v>
      </c>
      <c r="Q41" s="137">
        <f t="shared" si="4"/>
        <v>1.9294189257142926</v>
      </c>
      <c r="R41" s="34">
        <v>32.299999999999997</v>
      </c>
      <c r="S41" s="34">
        <f t="shared" si="5"/>
        <v>1.5092025223311027</v>
      </c>
      <c r="T41" s="42">
        <v>40.040400531970803</v>
      </c>
      <c r="U41" s="42">
        <f t="shared" si="6"/>
        <v>1.6024984131617945</v>
      </c>
      <c r="V41">
        <v>3.2555397552391718</v>
      </c>
      <c r="W41" s="14">
        <v>2</v>
      </c>
      <c r="X41">
        <v>3.9251377713585649</v>
      </c>
      <c r="Y41">
        <v>8.3617278360175931</v>
      </c>
      <c r="Z41" s="80">
        <v>0.24096905493067777</v>
      </c>
      <c r="AA41">
        <v>5</v>
      </c>
      <c r="AB41">
        <f t="shared" si="7"/>
        <v>0</v>
      </c>
      <c r="AC41">
        <f t="shared" si="8"/>
        <v>0</v>
      </c>
      <c r="AD41">
        <f t="shared" si="9"/>
        <v>0</v>
      </c>
      <c r="AE41">
        <f t="shared" si="10"/>
        <v>0</v>
      </c>
      <c r="AF41">
        <f t="shared" si="11"/>
        <v>1</v>
      </c>
      <c r="AG41">
        <f t="shared" si="12"/>
        <v>0</v>
      </c>
      <c r="AH41">
        <f t="shared" si="13"/>
        <v>0</v>
      </c>
      <c r="AI41">
        <f t="shared" si="14"/>
        <v>0</v>
      </c>
      <c r="AJ41">
        <f t="shared" si="15"/>
        <v>0</v>
      </c>
      <c r="AK41">
        <f t="shared" si="16"/>
        <v>0</v>
      </c>
      <c r="AL41">
        <v>0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</row>
    <row r="42" spans="1:53" x14ac:dyDescent="0.35">
      <c r="A42">
        <v>0.35878060088391328</v>
      </c>
      <c r="C42">
        <v>2.8876712328767122</v>
      </c>
      <c r="D42" s="137">
        <f t="shared" si="1"/>
        <v>0.46054774642005308</v>
      </c>
      <c r="E42">
        <v>0</v>
      </c>
      <c r="F42">
        <v>1.6901960800285136</v>
      </c>
      <c r="G42" s="45">
        <v>3.29</v>
      </c>
      <c r="H42" s="29">
        <f t="shared" si="2"/>
        <v>0.51719589794997434</v>
      </c>
      <c r="I42" s="9">
        <v>0</v>
      </c>
      <c r="J42" s="34">
        <v>6.8185861746161619E-2</v>
      </c>
      <c r="K42">
        <v>21</v>
      </c>
      <c r="L42" s="137">
        <f t="shared" si="3"/>
        <v>1.3222192947339193</v>
      </c>
      <c r="M42">
        <f t="shared" si="0"/>
        <v>0</v>
      </c>
      <c r="N42">
        <v>70</v>
      </c>
      <c r="O42">
        <v>70</v>
      </c>
      <c r="P42">
        <v>85</v>
      </c>
      <c r="Q42" s="137">
        <f t="shared" si="4"/>
        <v>1.9294189257142926</v>
      </c>
      <c r="R42" s="34">
        <v>32.700000000000003</v>
      </c>
      <c r="S42" s="34">
        <f t="shared" si="5"/>
        <v>1.5145477526602862</v>
      </c>
      <c r="T42" s="42">
        <v>41.286751495766303</v>
      </c>
      <c r="U42" s="42">
        <f t="shared" si="6"/>
        <v>1.6158107132703448</v>
      </c>
      <c r="V42">
        <v>3.2555397552391718</v>
      </c>
      <c r="W42" s="14">
        <v>2</v>
      </c>
      <c r="X42">
        <v>3.9251377713585649</v>
      </c>
      <c r="Y42">
        <v>8.3521825181113627</v>
      </c>
      <c r="Z42" s="80">
        <v>0.25602334727122944</v>
      </c>
      <c r="AA42">
        <v>1</v>
      </c>
      <c r="AB42">
        <f t="shared" si="7"/>
        <v>1</v>
      </c>
      <c r="AC42">
        <f t="shared" si="8"/>
        <v>0</v>
      </c>
      <c r="AD42">
        <f t="shared" si="9"/>
        <v>0</v>
      </c>
      <c r="AE42">
        <f t="shared" si="10"/>
        <v>0</v>
      </c>
      <c r="AF42">
        <f t="shared" si="11"/>
        <v>0</v>
      </c>
      <c r="AG42">
        <f t="shared" si="12"/>
        <v>0</v>
      </c>
      <c r="AH42">
        <f t="shared" si="13"/>
        <v>0</v>
      </c>
      <c r="AI42">
        <f t="shared" si="14"/>
        <v>0</v>
      </c>
      <c r="AJ42">
        <f t="shared" si="15"/>
        <v>0</v>
      </c>
      <c r="AK42">
        <f t="shared" si="16"/>
        <v>0</v>
      </c>
      <c r="AL42">
        <v>0</v>
      </c>
      <c r="AM42">
        <v>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</row>
    <row r="43" spans="1:53" x14ac:dyDescent="0.35">
      <c r="A43">
        <v>0.24610747106817404</v>
      </c>
      <c r="C43">
        <v>5.2164383561643834</v>
      </c>
      <c r="D43" s="137">
        <f t="shared" si="1"/>
        <v>0.71737407959198085</v>
      </c>
      <c r="E43">
        <v>0</v>
      </c>
      <c r="F43">
        <v>1.6434526764861874</v>
      </c>
      <c r="G43" s="45">
        <v>2.95</v>
      </c>
      <c r="H43" s="29">
        <f t="shared" si="2"/>
        <v>0.46982201597816303</v>
      </c>
      <c r="I43" s="9">
        <v>0</v>
      </c>
      <c r="J43" s="34">
        <v>0.3010299956639812</v>
      </c>
      <c r="K43">
        <v>33</v>
      </c>
      <c r="L43" s="137">
        <f t="shared" si="3"/>
        <v>1.5185139398778875</v>
      </c>
      <c r="M43">
        <f t="shared" si="0"/>
        <v>0</v>
      </c>
      <c r="N43">
        <v>70</v>
      </c>
      <c r="O43">
        <v>70</v>
      </c>
      <c r="P43">
        <v>91.9</v>
      </c>
      <c r="Q43" s="137">
        <f t="shared" si="4"/>
        <v>1.9633155113861114</v>
      </c>
      <c r="R43" s="34">
        <v>23</v>
      </c>
      <c r="S43" s="34">
        <f t="shared" si="5"/>
        <v>1.3617278360175928</v>
      </c>
      <c r="T43" s="42">
        <v>43.262530407091703</v>
      </c>
      <c r="U43" s="42">
        <f t="shared" si="6"/>
        <v>1.636111917546391</v>
      </c>
      <c r="V43">
        <v>3.0687415514991745</v>
      </c>
      <c r="W43" s="14">
        <v>4</v>
      </c>
      <c r="X43">
        <v>3.5297005493117593</v>
      </c>
      <c r="Y43">
        <v>9.2174839442139067</v>
      </c>
      <c r="Z43" s="80">
        <v>0.42461837387753754</v>
      </c>
      <c r="AA43">
        <v>1</v>
      </c>
      <c r="AB43">
        <f t="shared" si="7"/>
        <v>1</v>
      </c>
      <c r="AC43">
        <f t="shared" si="8"/>
        <v>0</v>
      </c>
      <c r="AD43">
        <f t="shared" si="9"/>
        <v>0</v>
      </c>
      <c r="AE43">
        <f t="shared" si="10"/>
        <v>0</v>
      </c>
      <c r="AF43">
        <f t="shared" si="11"/>
        <v>0</v>
      </c>
      <c r="AG43">
        <f t="shared" si="12"/>
        <v>0</v>
      </c>
      <c r="AH43">
        <f t="shared" si="13"/>
        <v>0</v>
      </c>
      <c r="AI43">
        <f t="shared" si="14"/>
        <v>0</v>
      </c>
      <c r="AJ43">
        <f t="shared" si="15"/>
        <v>0</v>
      </c>
      <c r="AK43">
        <f t="shared" si="16"/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</row>
    <row r="44" spans="1:53" x14ac:dyDescent="0.35">
      <c r="A44">
        <v>-2</v>
      </c>
      <c r="C44">
        <v>12.517808219178082</v>
      </c>
      <c r="D44" s="137">
        <f t="shared" si="1"/>
        <v>1.0975282935992303</v>
      </c>
      <c r="E44">
        <v>0</v>
      </c>
      <c r="F44">
        <v>1.6901960800285136</v>
      </c>
      <c r="G44" s="45">
        <v>2.95</v>
      </c>
      <c r="H44" s="29">
        <f t="shared" si="2"/>
        <v>0.46982201597816303</v>
      </c>
      <c r="I44" s="9">
        <v>0</v>
      </c>
      <c r="J44" s="34">
        <v>0.32428245529769273</v>
      </c>
      <c r="K44">
        <v>29</v>
      </c>
      <c r="L44" s="137">
        <f t="shared" si="3"/>
        <v>1.4623979978989561</v>
      </c>
      <c r="M44">
        <f t="shared" si="0"/>
        <v>0</v>
      </c>
      <c r="N44">
        <v>70</v>
      </c>
      <c r="O44">
        <v>70</v>
      </c>
      <c r="P44">
        <v>85</v>
      </c>
      <c r="Q44" s="137">
        <f t="shared" si="4"/>
        <v>1.9294189257142926</v>
      </c>
      <c r="R44" s="34">
        <v>25.9</v>
      </c>
      <c r="S44" s="34">
        <f t="shared" si="5"/>
        <v>1.4132997640812519</v>
      </c>
      <c r="T44" s="42">
        <v>36.959146749272797</v>
      </c>
      <c r="U44" s="42">
        <f t="shared" si="6"/>
        <v>1.5677219364019672</v>
      </c>
      <c r="V44">
        <v>3.0687415514991745</v>
      </c>
      <c r="W44" s="14">
        <v>4</v>
      </c>
      <c r="X44">
        <v>3.5297005493117593</v>
      </c>
      <c r="Y44">
        <v>9.8776241307459784</v>
      </c>
      <c r="Z44" s="80">
        <v>0.60883182636002409</v>
      </c>
      <c r="AA44">
        <v>5</v>
      </c>
      <c r="AB44">
        <f t="shared" si="7"/>
        <v>0</v>
      </c>
      <c r="AC44">
        <f t="shared" si="8"/>
        <v>0</v>
      </c>
      <c r="AD44">
        <f t="shared" si="9"/>
        <v>0</v>
      </c>
      <c r="AE44">
        <f t="shared" si="10"/>
        <v>0</v>
      </c>
      <c r="AF44">
        <f t="shared" si="11"/>
        <v>1</v>
      </c>
      <c r="AG44">
        <f t="shared" si="12"/>
        <v>0</v>
      </c>
      <c r="AH44">
        <f t="shared" si="13"/>
        <v>0</v>
      </c>
      <c r="AI44">
        <f t="shared" si="14"/>
        <v>0</v>
      </c>
      <c r="AJ44">
        <f t="shared" si="15"/>
        <v>0</v>
      </c>
      <c r="AK44">
        <f t="shared" si="16"/>
        <v>0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</row>
    <row r="45" spans="1:53" x14ac:dyDescent="0.35">
      <c r="A45">
        <v>-6.5916898309755723E-2</v>
      </c>
      <c r="C45">
        <v>10.704109589041096</v>
      </c>
      <c r="D45" s="137">
        <f t="shared" si="1"/>
        <v>1.0295505467683097</v>
      </c>
      <c r="E45">
        <v>0</v>
      </c>
      <c r="F45">
        <v>1.5797835966168101</v>
      </c>
      <c r="G45" s="45">
        <v>2.95</v>
      </c>
      <c r="H45" s="29">
        <f t="shared" si="2"/>
        <v>0.46982201597816303</v>
      </c>
      <c r="I45" s="9">
        <v>0</v>
      </c>
      <c r="J45" s="34">
        <v>0.24551266781414982</v>
      </c>
      <c r="K45">
        <v>29</v>
      </c>
      <c r="L45" s="137">
        <f t="shared" si="3"/>
        <v>1.4623979978989561</v>
      </c>
      <c r="M45">
        <f t="shared" si="0"/>
        <v>0</v>
      </c>
      <c r="N45">
        <v>70</v>
      </c>
      <c r="O45">
        <v>70</v>
      </c>
      <c r="P45">
        <v>85</v>
      </c>
      <c r="Q45" s="137">
        <f t="shared" si="4"/>
        <v>1.9294189257142926</v>
      </c>
      <c r="R45" s="34">
        <v>25.9</v>
      </c>
      <c r="S45" s="34">
        <f t="shared" si="5"/>
        <v>1.4132997640812519</v>
      </c>
      <c r="T45" s="42">
        <v>36.959146749272797</v>
      </c>
      <c r="U45" s="42">
        <f t="shared" si="6"/>
        <v>1.5677219364019672</v>
      </c>
      <c r="V45">
        <v>3.0687415514991745</v>
      </c>
      <c r="W45" s="14">
        <v>4</v>
      </c>
      <c r="X45">
        <v>3.5297005493117593</v>
      </c>
      <c r="Y45">
        <v>10.024958290630849</v>
      </c>
      <c r="Z45" s="80">
        <v>0.36978880240738166</v>
      </c>
      <c r="AA45">
        <v>9</v>
      </c>
      <c r="AB45">
        <f t="shared" si="7"/>
        <v>0</v>
      </c>
      <c r="AC45">
        <f t="shared" si="8"/>
        <v>0</v>
      </c>
      <c r="AD45">
        <f t="shared" si="9"/>
        <v>0</v>
      </c>
      <c r="AE45">
        <f t="shared" si="10"/>
        <v>0</v>
      </c>
      <c r="AF45">
        <f t="shared" si="11"/>
        <v>0</v>
      </c>
      <c r="AG45">
        <f t="shared" si="12"/>
        <v>0</v>
      </c>
      <c r="AH45">
        <f t="shared" si="13"/>
        <v>0</v>
      </c>
      <c r="AI45">
        <f t="shared" si="14"/>
        <v>0</v>
      </c>
      <c r="AJ45">
        <f t="shared" si="15"/>
        <v>1</v>
      </c>
      <c r="AK45">
        <f t="shared" si="16"/>
        <v>0</v>
      </c>
      <c r="AL45">
        <v>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</row>
    <row r="46" spans="1:53" x14ac:dyDescent="0.35">
      <c r="A46">
        <v>0.13775272040897549</v>
      </c>
      <c r="C46">
        <v>9.8849315068493144</v>
      </c>
      <c r="D46" s="137">
        <f t="shared" si="1"/>
        <v>0.99497366441342938</v>
      </c>
      <c r="E46">
        <v>0</v>
      </c>
      <c r="F46">
        <v>1.146128035678238</v>
      </c>
      <c r="G46" s="45">
        <v>2.95</v>
      </c>
      <c r="H46" s="29">
        <f t="shared" si="2"/>
        <v>0.46982201597816303</v>
      </c>
      <c r="I46" s="9">
        <v>0</v>
      </c>
      <c r="J46" s="34">
        <v>0.22271647114758325</v>
      </c>
      <c r="K46">
        <v>29</v>
      </c>
      <c r="L46" s="137">
        <f t="shared" si="3"/>
        <v>1.4623979978989561</v>
      </c>
      <c r="M46">
        <f t="shared" si="0"/>
        <v>0</v>
      </c>
      <c r="N46">
        <v>70</v>
      </c>
      <c r="O46">
        <v>70</v>
      </c>
      <c r="P46">
        <v>85</v>
      </c>
      <c r="Q46" s="137">
        <f t="shared" si="4"/>
        <v>1.9294189257142926</v>
      </c>
      <c r="R46" s="34">
        <v>25.9</v>
      </c>
      <c r="S46" s="34">
        <f t="shared" si="5"/>
        <v>1.4132997640812519</v>
      </c>
      <c r="T46" s="42">
        <v>36.959146749272797</v>
      </c>
      <c r="U46" s="42">
        <f t="shared" si="6"/>
        <v>1.5677219364019672</v>
      </c>
      <c r="V46">
        <v>3.0687415514991745</v>
      </c>
      <c r="W46" s="14">
        <v>4</v>
      </c>
      <c r="X46">
        <v>3.5297005493117593</v>
      </c>
      <c r="Y46">
        <v>9.1038037209559572</v>
      </c>
      <c r="Z46" s="80">
        <v>0.26009115339254563</v>
      </c>
      <c r="AA46">
        <v>7</v>
      </c>
      <c r="AB46">
        <f t="shared" si="7"/>
        <v>0</v>
      </c>
      <c r="AC46">
        <f t="shared" si="8"/>
        <v>0</v>
      </c>
      <c r="AD46">
        <f t="shared" si="9"/>
        <v>0</v>
      </c>
      <c r="AE46">
        <f t="shared" si="10"/>
        <v>0</v>
      </c>
      <c r="AF46">
        <f t="shared" si="11"/>
        <v>0</v>
      </c>
      <c r="AG46">
        <f t="shared" si="12"/>
        <v>0</v>
      </c>
      <c r="AH46">
        <f t="shared" si="13"/>
        <v>1</v>
      </c>
      <c r="AI46">
        <f t="shared" si="14"/>
        <v>0</v>
      </c>
      <c r="AJ46">
        <f t="shared" si="15"/>
        <v>0</v>
      </c>
      <c r="AK46">
        <f t="shared" si="16"/>
        <v>0</v>
      </c>
      <c r="AL46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</row>
    <row r="47" spans="1:53" x14ac:dyDescent="0.35">
      <c r="A47">
        <v>0.25886007824226553</v>
      </c>
      <c r="C47">
        <v>13.038356164383561</v>
      </c>
      <c r="D47" s="137">
        <f t="shared" si="1"/>
        <v>1.1152228403422828</v>
      </c>
      <c r="E47">
        <v>0</v>
      </c>
      <c r="F47">
        <v>0.77815125038364363</v>
      </c>
      <c r="G47" s="45">
        <v>2.95</v>
      </c>
      <c r="H47" s="29">
        <f t="shared" si="2"/>
        <v>0.46982201597816303</v>
      </c>
      <c r="I47" s="9">
        <v>0</v>
      </c>
      <c r="J47" s="34">
        <v>0.2576785748691845</v>
      </c>
      <c r="K47">
        <v>12</v>
      </c>
      <c r="L47" s="137">
        <f t="shared" si="3"/>
        <v>1.0791812460476249</v>
      </c>
      <c r="M47">
        <f t="shared" si="0"/>
        <v>0</v>
      </c>
      <c r="N47">
        <v>70</v>
      </c>
      <c r="O47">
        <v>70</v>
      </c>
      <c r="P47">
        <v>85</v>
      </c>
      <c r="Q47" s="137">
        <f t="shared" si="4"/>
        <v>1.9294189257142926</v>
      </c>
      <c r="R47" s="34">
        <v>24.9</v>
      </c>
      <c r="S47" s="34">
        <f t="shared" si="5"/>
        <v>1.3961993470957363</v>
      </c>
      <c r="T47" s="42">
        <v>36.710134890601303</v>
      </c>
      <c r="U47" s="42">
        <f t="shared" si="6"/>
        <v>1.564785980312654</v>
      </c>
      <c r="V47">
        <v>3.1814248062191788</v>
      </c>
      <c r="W47" s="14">
        <v>2</v>
      </c>
      <c r="X47">
        <v>3.7294207535322617</v>
      </c>
      <c r="Y47">
        <v>8.8714736902527402</v>
      </c>
      <c r="Z47" s="80">
        <v>0.47813264493111829</v>
      </c>
      <c r="AA47">
        <v>5</v>
      </c>
      <c r="AB47">
        <f t="shared" si="7"/>
        <v>0</v>
      </c>
      <c r="AC47">
        <f t="shared" si="8"/>
        <v>0</v>
      </c>
      <c r="AD47">
        <f t="shared" si="9"/>
        <v>0</v>
      </c>
      <c r="AE47">
        <f t="shared" si="10"/>
        <v>0</v>
      </c>
      <c r="AF47">
        <f t="shared" si="11"/>
        <v>1</v>
      </c>
      <c r="AG47">
        <f t="shared" si="12"/>
        <v>0</v>
      </c>
      <c r="AH47">
        <f t="shared" si="13"/>
        <v>0</v>
      </c>
      <c r="AI47">
        <f t="shared" si="14"/>
        <v>0</v>
      </c>
      <c r="AJ47">
        <f t="shared" si="15"/>
        <v>0</v>
      </c>
      <c r="AK47">
        <f t="shared" si="16"/>
        <v>0</v>
      </c>
      <c r="AL47">
        <v>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</row>
    <row r="48" spans="1:53" x14ac:dyDescent="0.35">
      <c r="A48">
        <v>0.21655218236315188</v>
      </c>
      <c r="C48">
        <v>2.2082191780821918</v>
      </c>
      <c r="D48" s="137">
        <f t="shared" si="1"/>
        <v>0.34404217734861592</v>
      </c>
      <c r="E48">
        <v>0</v>
      </c>
      <c r="F48">
        <v>1.4913616938342726</v>
      </c>
      <c r="G48" s="45">
        <v>2.95</v>
      </c>
      <c r="H48" s="29">
        <f t="shared" si="2"/>
        <v>0.46982201597816303</v>
      </c>
      <c r="I48" s="9">
        <v>0</v>
      </c>
      <c r="J48" s="34">
        <v>7.1882007306125359E-2</v>
      </c>
      <c r="K48">
        <v>19</v>
      </c>
      <c r="L48" s="137">
        <f t="shared" si="3"/>
        <v>1.2787536009528289</v>
      </c>
      <c r="M48">
        <f t="shared" si="0"/>
        <v>0</v>
      </c>
      <c r="N48">
        <v>70</v>
      </c>
      <c r="O48">
        <v>70</v>
      </c>
      <c r="P48">
        <v>91.9</v>
      </c>
      <c r="Q48" s="137">
        <f t="shared" si="4"/>
        <v>1.9633155113861114</v>
      </c>
      <c r="R48" s="34">
        <v>23</v>
      </c>
      <c r="S48" s="34">
        <f t="shared" si="5"/>
        <v>1.3617278360175928</v>
      </c>
      <c r="T48" s="42">
        <v>43.262530407091703</v>
      </c>
      <c r="U48" s="42">
        <f t="shared" si="6"/>
        <v>1.636111917546391</v>
      </c>
      <c r="V48">
        <v>3.1814248062191788</v>
      </c>
      <c r="W48" s="14">
        <v>2</v>
      </c>
      <c r="X48">
        <v>3.7294207535322617</v>
      </c>
      <c r="Y48">
        <v>8.6707837480360155</v>
      </c>
      <c r="Z48" s="80">
        <v>9.6133585581094971E-2</v>
      </c>
      <c r="AA48">
        <v>3</v>
      </c>
      <c r="AB48">
        <f t="shared" si="7"/>
        <v>0</v>
      </c>
      <c r="AC48">
        <f t="shared" si="8"/>
        <v>0</v>
      </c>
      <c r="AD48">
        <f t="shared" si="9"/>
        <v>1</v>
      </c>
      <c r="AE48">
        <f t="shared" si="10"/>
        <v>0</v>
      </c>
      <c r="AF48">
        <f t="shared" si="11"/>
        <v>0</v>
      </c>
      <c r="AG48">
        <f t="shared" si="12"/>
        <v>0</v>
      </c>
      <c r="AH48">
        <f t="shared" si="13"/>
        <v>0</v>
      </c>
      <c r="AI48">
        <f t="shared" si="14"/>
        <v>0</v>
      </c>
      <c r="AJ48">
        <f t="shared" si="15"/>
        <v>0</v>
      </c>
      <c r="AK48">
        <f t="shared" si="16"/>
        <v>0</v>
      </c>
      <c r="AL48">
        <v>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</row>
    <row r="49" spans="1:53" x14ac:dyDescent="0.35">
      <c r="A49">
        <v>7.7479477617732218E-2</v>
      </c>
      <c r="C49">
        <v>5.7260273972602738</v>
      </c>
      <c r="D49" s="137">
        <f t="shared" si="1"/>
        <v>0.75785342165457925</v>
      </c>
      <c r="E49">
        <v>0</v>
      </c>
      <c r="F49">
        <v>2.1367205671564067</v>
      </c>
      <c r="G49" s="45">
        <v>2.95</v>
      </c>
      <c r="H49" s="29">
        <f t="shared" si="2"/>
        <v>0.46982201597816303</v>
      </c>
      <c r="I49" s="9">
        <v>0</v>
      </c>
      <c r="J49" s="34">
        <v>-2.2276394711152253E-2</v>
      </c>
      <c r="K49">
        <v>17</v>
      </c>
      <c r="L49" s="137">
        <f t="shared" si="3"/>
        <v>1.2304489213782739</v>
      </c>
      <c r="M49">
        <f t="shared" si="0"/>
        <v>0</v>
      </c>
      <c r="N49">
        <v>70</v>
      </c>
      <c r="O49">
        <v>70</v>
      </c>
      <c r="P49">
        <v>91.4</v>
      </c>
      <c r="Q49" s="137">
        <f t="shared" si="4"/>
        <v>1.9609461957338314</v>
      </c>
      <c r="R49" s="34">
        <v>26.7</v>
      </c>
      <c r="S49" s="34">
        <f t="shared" si="5"/>
        <v>1.4265112613645752</v>
      </c>
      <c r="T49" s="42">
        <v>37.425715444240403</v>
      </c>
      <c r="U49" s="42">
        <f t="shared" si="6"/>
        <v>1.5731701112332821</v>
      </c>
      <c r="V49">
        <v>3.1814248062191788</v>
      </c>
      <c r="W49" s="14">
        <v>2</v>
      </c>
      <c r="X49">
        <v>3.7294207535322617</v>
      </c>
      <c r="Y49">
        <v>8.9115251380808047</v>
      </c>
      <c r="Z49" s="80">
        <v>-8.8025968564058088E-2</v>
      </c>
      <c r="AA49">
        <v>5</v>
      </c>
      <c r="AB49">
        <f t="shared" si="7"/>
        <v>0</v>
      </c>
      <c r="AC49">
        <f t="shared" si="8"/>
        <v>0</v>
      </c>
      <c r="AD49">
        <f t="shared" si="9"/>
        <v>0</v>
      </c>
      <c r="AE49">
        <f t="shared" si="10"/>
        <v>0</v>
      </c>
      <c r="AF49">
        <f t="shared" si="11"/>
        <v>1</v>
      </c>
      <c r="AG49">
        <f t="shared" si="12"/>
        <v>0</v>
      </c>
      <c r="AH49">
        <f t="shared" si="13"/>
        <v>0</v>
      </c>
      <c r="AI49">
        <f t="shared" si="14"/>
        <v>0</v>
      </c>
      <c r="AJ49">
        <f t="shared" si="15"/>
        <v>0</v>
      </c>
      <c r="AK49">
        <f t="shared" si="16"/>
        <v>0</v>
      </c>
      <c r="AL49">
        <v>1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</row>
    <row r="50" spans="1:53" x14ac:dyDescent="0.35">
      <c r="A50">
        <v>1.1455353366441925</v>
      </c>
      <c r="C50">
        <v>3.9643835616438357</v>
      </c>
      <c r="D50" s="137">
        <f t="shared" si="1"/>
        <v>0.59817566666256272</v>
      </c>
      <c r="E50">
        <v>0</v>
      </c>
      <c r="F50">
        <v>1.6434526764861874</v>
      </c>
      <c r="G50" s="45">
        <v>2.95</v>
      </c>
      <c r="H50" s="29">
        <f t="shared" si="2"/>
        <v>0.46982201597816303</v>
      </c>
      <c r="I50" s="9">
        <v>0</v>
      </c>
      <c r="J50" s="34">
        <v>7.1882007306125359E-2</v>
      </c>
      <c r="K50">
        <v>7</v>
      </c>
      <c r="L50" s="137">
        <f t="shared" si="3"/>
        <v>0.84509804001425681</v>
      </c>
      <c r="M50">
        <f t="shared" si="0"/>
        <v>0</v>
      </c>
      <c r="N50">
        <v>70</v>
      </c>
      <c r="O50">
        <v>70</v>
      </c>
      <c r="P50">
        <v>85</v>
      </c>
      <c r="Q50" s="137">
        <f t="shared" si="4"/>
        <v>1.9294189257142926</v>
      </c>
      <c r="R50" s="34">
        <v>27.4</v>
      </c>
      <c r="S50" s="34">
        <f t="shared" si="5"/>
        <v>1.4377505628203879</v>
      </c>
      <c r="T50" s="42">
        <v>35.968444143503902</v>
      </c>
      <c r="U50" s="42">
        <f t="shared" si="6"/>
        <v>1.5559216523165715</v>
      </c>
      <c r="V50">
        <v>3.1814248062191788</v>
      </c>
      <c r="W50" s="14">
        <v>2</v>
      </c>
      <c r="X50">
        <v>3.7294207535322617</v>
      </c>
      <c r="Y50">
        <v>8.2825994573845971</v>
      </c>
      <c r="Z50" s="80">
        <v>8.9987561662844939E-2</v>
      </c>
      <c r="AA50">
        <v>4</v>
      </c>
      <c r="AB50">
        <f t="shared" si="7"/>
        <v>0</v>
      </c>
      <c r="AC50">
        <f t="shared" si="8"/>
        <v>0</v>
      </c>
      <c r="AD50">
        <f t="shared" si="9"/>
        <v>0</v>
      </c>
      <c r="AE50">
        <f t="shared" si="10"/>
        <v>1</v>
      </c>
      <c r="AF50">
        <f t="shared" si="11"/>
        <v>0</v>
      </c>
      <c r="AG50">
        <f t="shared" si="12"/>
        <v>0</v>
      </c>
      <c r="AH50">
        <f t="shared" si="13"/>
        <v>0</v>
      </c>
      <c r="AI50">
        <f t="shared" si="14"/>
        <v>0</v>
      </c>
      <c r="AJ50">
        <f t="shared" si="15"/>
        <v>0</v>
      </c>
      <c r="AK50">
        <f t="shared" si="16"/>
        <v>0</v>
      </c>
      <c r="AL50">
        <v>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</row>
    <row r="51" spans="1:53" x14ac:dyDescent="0.35">
      <c r="A51">
        <v>7.8682491717007891E-2</v>
      </c>
      <c r="C51">
        <v>8.8493150684931514</v>
      </c>
      <c r="D51" s="137">
        <f t="shared" si="1"/>
        <v>0.94690965787462822</v>
      </c>
      <c r="E51">
        <v>3.7707754512906644</v>
      </c>
      <c r="F51" s="4">
        <v>0.3010299956639812</v>
      </c>
      <c r="G51" s="47">
        <v>2.3199999999999998</v>
      </c>
      <c r="H51" s="29">
        <f t="shared" si="2"/>
        <v>0.36548798489089962</v>
      </c>
      <c r="I51" s="9">
        <v>2.1238516409670858</v>
      </c>
      <c r="J51" s="34">
        <v>0.15228834438305647</v>
      </c>
      <c r="K51">
        <v>31</v>
      </c>
      <c r="L51" s="137">
        <f t="shared" si="3"/>
        <v>1.4913616938342726</v>
      </c>
      <c r="M51">
        <f t="shared" si="0"/>
        <v>1</v>
      </c>
      <c r="N51">
        <v>70</v>
      </c>
      <c r="O51">
        <v>70</v>
      </c>
      <c r="P51">
        <v>91.2</v>
      </c>
      <c r="Q51" s="137">
        <f t="shared" si="4"/>
        <v>1.9599948383284163</v>
      </c>
      <c r="R51" s="34">
        <v>33</v>
      </c>
      <c r="S51" s="34">
        <f t="shared" si="5"/>
        <v>1.5185139398778875</v>
      </c>
      <c r="T51" s="42">
        <v>40.902544500539101</v>
      </c>
      <c r="U51" s="42">
        <f t="shared" si="6"/>
        <v>1.6117503258110162</v>
      </c>
      <c r="V51">
        <v>3.0687415514991745</v>
      </c>
      <c r="W51" s="14">
        <v>4</v>
      </c>
      <c r="X51">
        <v>3.5297005493117593</v>
      </c>
      <c r="Y51" s="4">
        <v>10.082119060875158</v>
      </c>
      <c r="Z51" s="80">
        <v>7.5684269858227626E-2</v>
      </c>
      <c r="AA51">
        <v>2</v>
      </c>
      <c r="AB51">
        <f t="shared" si="7"/>
        <v>0</v>
      </c>
      <c r="AC51">
        <f t="shared" si="8"/>
        <v>1</v>
      </c>
      <c r="AD51">
        <f t="shared" si="9"/>
        <v>0</v>
      </c>
      <c r="AE51">
        <f t="shared" si="10"/>
        <v>0</v>
      </c>
      <c r="AF51">
        <f t="shared" si="11"/>
        <v>0</v>
      </c>
      <c r="AG51">
        <f t="shared" si="12"/>
        <v>0</v>
      </c>
      <c r="AH51">
        <f t="shared" si="13"/>
        <v>0</v>
      </c>
      <c r="AI51">
        <f t="shared" si="14"/>
        <v>0</v>
      </c>
      <c r="AJ51">
        <f t="shared" si="15"/>
        <v>0</v>
      </c>
      <c r="AK51">
        <f t="shared" si="16"/>
        <v>0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</row>
    <row r="52" spans="1:53" x14ac:dyDescent="0.35">
      <c r="A52">
        <v>0.40926303876942843</v>
      </c>
      <c r="C52">
        <v>5.86027397260274</v>
      </c>
      <c r="D52" s="137">
        <f t="shared" si="1"/>
        <v>0.76791792011505333</v>
      </c>
      <c r="E52">
        <v>0</v>
      </c>
      <c r="F52">
        <v>2.143014800254095</v>
      </c>
      <c r="G52" s="45">
        <v>3.29</v>
      </c>
      <c r="H52" s="29">
        <f t="shared" si="2"/>
        <v>0.51719589794997434</v>
      </c>
      <c r="I52" s="9">
        <v>0</v>
      </c>
      <c r="J52" s="34">
        <v>-8.7739243075051505E-3</v>
      </c>
      <c r="K52">
        <v>18</v>
      </c>
      <c r="L52" s="137">
        <f t="shared" si="3"/>
        <v>1.255272505103306</v>
      </c>
      <c r="M52">
        <f t="shared" si="0"/>
        <v>0</v>
      </c>
      <c r="N52">
        <v>70</v>
      </c>
      <c r="O52">
        <v>70</v>
      </c>
      <c r="P52">
        <v>85</v>
      </c>
      <c r="Q52" s="137">
        <f t="shared" si="4"/>
        <v>1.9294189257142926</v>
      </c>
      <c r="R52" s="34">
        <v>32.299999999999997</v>
      </c>
      <c r="S52" s="34">
        <f t="shared" si="5"/>
        <v>1.5092025223311027</v>
      </c>
      <c r="T52" s="42">
        <v>40.040400531970803</v>
      </c>
      <c r="U52" s="42">
        <f t="shared" si="6"/>
        <v>1.6024984131617945</v>
      </c>
      <c r="V52">
        <v>3.2188268626467691</v>
      </c>
      <c r="W52" s="14">
        <v>2</v>
      </c>
      <c r="X52">
        <v>3.7570580283396975</v>
      </c>
      <c r="Y52">
        <v>8.8211858826088463</v>
      </c>
      <c r="Z52" s="80">
        <v>0.22836365892352273</v>
      </c>
      <c r="AA52" s="4">
        <v>1</v>
      </c>
      <c r="AB52">
        <f t="shared" si="7"/>
        <v>1</v>
      </c>
      <c r="AC52">
        <f t="shared" si="8"/>
        <v>0</v>
      </c>
      <c r="AD52">
        <f t="shared" si="9"/>
        <v>0</v>
      </c>
      <c r="AE52">
        <f t="shared" si="10"/>
        <v>0</v>
      </c>
      <c r="AF52">
        <f t="shared" si="11"/>
        <v>0</v>
      </c>
      <c r="AG52">
        <f t="shared" si="12"/>
        <v>0</v>
      </c>
      <c r="AH52">
        <f t="shared" si="13"/>
        <v>0</v>
      </c>
      <c r="AI52">
        <f t="shared" si="14"/>
        <v>0</v>
      </c>
      <c r="AJ52">
        <f t="shared" si="15"/>
        <v>0</v>
      </c>
      <c r="AK52">
        <f t="shared" si="16"/>
        <v>0</v>
      </c>
      <c r="AL52">
        <v>0</v>
      </c>
      <c r="AM52">
        <v>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</row>
    <row r="53" spans="1:53" x14ac:dyDescent="0.35">
      <c r="A53">
        <v>0.15209098265191479</v>
      </c>
      <c r="C53">
        <v>3.4493150684931506</v>
      </c>
      <c r="D53" s="137">
        <f t="shared" si="1"/>
        <v>0.53773286565138789</v>
      </c>
      <c r="E53">
        <v>3.7707754512906644</v>
      </c>
      <c r="F53">
        <v>1.4913616938342726</v>
      </c>
      <c r="G53" s="45">
        <v>2.3199999999999998</v>
      </c>
      <c r="H53" s="29">
        <f t="shared" si="2"/>
        <v>0.36548798489089962</v>
      </c>
      <c r="I53" s="9">
        <v>2.1238516409670858</v>
      </c>
      <c r="J53" s="34">
        <v>0.2253092817258629</v>
      </c>
      <c r="K53">
        <v>24</v>
      </c>
      <c r="L53" s="137">
        <f t="shared" si="3"/>
        <v>1.3802112417116059</v>
      </c>
      <c r="M53">
        <f t="shared" si="0"/>
        <v>1</v>
      </c>
      <c r="N53">
        <v>70</v>
      </c>
      <c r="O53">
        <v>70</v>
      </c>
      <c r="P53">
        <v>91.3</v>
      </c>
      <c r="Q53" s="137">
        <f t="shared" si="4"/>
        <v>1.9604707775342989</v>
      </c>
      <c r="R53" s="34">
        <v>23.5</v>
      </c>
      <c r="S53" s="34">
        <f t="shared" si="5"/>
        <v>1.3710678622717363</v>
      </c>
      <c r="T53" s="42">
        <v>43.1672842383418</v>
      </c>
      <c r="U53" s="42">
        <f t="shared" si="6"/>
        <v>1.6351547269652249</v>
      </c>
      <c r="V53" s="41">
        <v>3.5168755371419098</v>
      </c>
      <c r="W53" s="14">
        <v>5</v>
      </c>
      <c r="X53" s="14">
        <v>3.8089017822076054</v>
      </c>
      <c r="Y53">
        <v>9.4913616938342731</v>
      </c>
      <c r="Z53" s="80">
        <v>0.28946094524316912</v>
      </c>
      <c r="AA53">
        <v>7</v>
      </c>
      <c r="AB53">
        <f t="shared" si="7"/>
        <v>0</v>
      </c>
      <c r="AC53">
        <f t="shared" si="8"/>
        <v>0</v>
      </c>
      <c r="AD53">
        <f t="shared" si="9"/>
        <v>0</v>
      </c>
      <c r="AE53">
        <f t="shared" si="10"/>
        <v>0</v>
      </c>
      <c r="AF53">
        <f t="shared" si="11"/>
        <v>0</v>
      </c>
      <c r="AG53">
        <f t="shared" si="12"/>
        <v>0</v>
      </c>
      <c r="AH53">
        <f t="shared" si="13"/>
        <v>1</v>
      </c>
      <c r="AI53">
        <f t="shared" si="14"/>
        <v>0</v>
      </c>
      <c r="AJ53">
        <f t="shared" si="15"/>
        <v>0</v>
      </c>
      <c r="AK53">
        <f t="shared" si="16"/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</row>
    <row r="54" spans="1:53" x14ac:dyDescent="0.35">
      <c r="A54">
        <v>0.7861201800549189</v>
      </c>
      <c r="C54">
        <v>4.3890410958904109</v>
      </c>
      <c r="D54" s="137">
        <f t="shared" si="1"/>
        <v>0.64236964729174417</v>
      </c>
      <c r="E54">
        <v>3.8335760926148099</v>
      </c>
      <c r="F54">
        <v>1.6127838567197355</v>
      </c>
      <c r="G54" s="45">
        <v>2.85</v>
      </c>
      <c r="H54" s="29">
        <f t="shared" si="2"/>
        <v>0.45484486000851021</v>
      </c>
      <c r="I54" s="9">
        <v>2.9138138523837167</v>
      </c>
      <c r="J54" s="34">
        <v>0.21218760440395779</v>
      </c>
      <c r="K54">
        <v>26</v>
      </c>
      <c r="L54" s="137">
        <f t="shared" si="3"/>
        <v>1.414973347970818</v>
      </c>
      <c r="M54">
        <f t="shared" si="0"/>
        <v>1</v>
      </c>
      <c r="N54">
        <v>70</v>
      </c>
      <c r="O54">
        <v>70</v>
      </c>
      <c r="P54">
        <v>92.1</v>
      </c>
      <c r="Q54" s="137">
        <f t="shared" si="4"/>
        <v>1.9642596301968489</v>
      </c>
      <c r="R54" s="34">
        <v>36.799999999999997</v>
      </c>
      <c r="S54" s="34">
        <f t="shared" si="5"/>
        <v>1.5658478186735176</v>
      </c>
      <c r="T54" s="42">
        <v>44.688349184782602</v>
      </c>
      <c r="U54" s="42">
        <f t="shared" si="6"/>
        <v>1.6501943118503011</v>
      </c>
      <c r="V54" s="34">
        <v>3.0958500844125241</v>
      </c>
      <c r="W54" s="14">
        <v>3</v>
      </c>
      <c r="X54">
        <v>3.5078178355445662</v>
      </c>
      <c r="Y54">
        <v>8.2552725051033065</v>
      </c>
      <c r="Z54" s="80">
        <v>0.21706809932986348</v>
      </c>
      <c r="AA54" s="4">
        <v>7</v>
      </c>
      <c r="AB54">
        <f t="shared" si="7"/>
        <v>0</v>
      </c>
      <c r="AC54">
        <f t="shared" si="8"/>
        <v>0</v>
      </c>
      <c r="AD54">
        <f t="shared" si="9"/>
        <v>0</v>
      </c>
      <c r="AE54">
        <f t="shared" si="10"/>
        <v>0</v>
      </c>
      <c r="AF54">
        <f t="shared" si="11"/>
        <v>0</v>
      </c>
      <c r="AG54">
        <f t="shared" si="12"/>
        <v>0</v>
      </c>
      <c r="AH54">
        <f t="shared" si="13"/>
        <v>1</v>
      </c>
      <c r="AI54">
        <f t="shared" si="14"/>
        <v>0</v>
      </c>
      <c r="AJ54">
        <f t="shared" si="15"/>
        <v>0</v>
      </c>
      <c r="AK54">
        <f t="shared" si="16"/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</row>
    <row r="55" spans="1:53" x14ac:dyDescent="0.35">
      <c r="A55">
        <v>0.34541095739585298</v>
      </c>
      <c r="C55">
        <v>6.5123287671232877</v>
      </c>
      <c r="D55" s="137">
        <f t="shared" si="1"/>
        <v>0.81373631727170559</v>
      </c>
      <c r="E55">
        <v>0</v>
      </c>
      <c r="F55">
        <v>1.8976270912904414</v>
      </c>
      <c r="G55" s="45">
        <v>2.95</v>
      </c>
      <c r="H55" s="29">
        <f t="shared" si="2"/>
        <v>0.46982201597816303</v>
      </c>
      <c r="I55" s="9">
        <v>0</v>
      </c>
      <c r="J55" s="34">
        <v>6.8185861746161619E-2</v>
      </c>
      <c r="K55">
        <v>20</v>
      </c>
      <c r="L55" s="137">
        <f t="shared" si="3"/>
        <v>1.3010299956639813</v>
      </c>
      <c r="M55">
        <f t="shared" si="0"/>
        <v>0</v>
      </c>
      <c r="N55">
        <v>70</v>
      </c>
      <c r="O55">
        <v>70</v>
      </c>
      <c r="P55">
        <v>91.4</v>
      </c>
      <c r="Q55" s="137">
        <f t="shared" si="4"/>
        <v>1.9609461957338314</v>
      </c>
      <c r="R55" s="34">
        <v>26.7</v>
      </c>
      <c r="S55" s="34">
        <f t="shared" si="5"/>
        <v>1.4265112613645752</v>
      </c>
      <c r="T55" s="42">
        <v>37.425715444240403</v>
      </c>
      <c r="U55" s="42">
        <f t="shared" si="6"/>
        <v>1.5731701112332821</v>
      </c>
      <c r="V55">
        <v>3.0958500844125241</v>
      </c>
      <c r="W55" s="14">
        <v>3</v>
      </c>
      <c r="X55">
        <v>3.5078178355445662</v>
      </c>
      <c r="Y55">
        <v>8.8007170782823856</v>
      </c>
      <c r="Z55" s="80">
        <v>5.0204327504961954E-2</v>
      </c>
      <c r="AA55" s="4">
        <v>4</v>
      </c>
      <c r="AB55">
        <f t="shared" si="7"/>
        <v>0</v>
      </c>
      <c r="AC55">
        <f t="shared" si="8"/>
        <v>0</v>
      </c>
      <c r="AD55">
        <f t="shared" si="9"/>
        <v>0</v>
      </c>
      <c r="AE55">
        <f t="shared" si="10"/>
        <v>1</v>
      </c>
      <c r="AF55">
        <f t="shared" si="11"/>
        <v>0</v>
      </c>
      <c r="AG55">
        <f t="shared" si="12"/>
        <v>0</v>
      </c>
      <c r="AH55">
        <f t="shared" si="13"/>
        <v>0</v>
      </c>
      <c r="AI55">
        <f t="shared" si="14"/>
        <v>0</v>
      </c>
      <c r="AJ55">
        <f t="shared" si="15"/>
        <v>0</v>
      </c>
      <c r="AK55">
        <f t="shared" si="16"/>
        <v>0</v>
      </c>
      <c r="AL55">
        <v>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</row>
    <row r="56" spans="1:53" x14ac:dyDescent="0.35">
      <c r="A56">
        <v>-0.94200805302231305</v>
      </c>
      <c r="C56">
        <v>2.8438356164383563</v>
      </c>
      <c r="D56" s="137">
        <f t="shared" si="1"/>
        <v>0.45390448905596437</v>
      </c>
      <c r="E56">
        <v>0</v>
      </c>
      <c r="F56">
        <v>2.167317334748176</v>
      </c>
      <c r="G56" s="45">
        <v>2.95</v>
      </c>
      <c r="H56" s="29">
        <f t="shared" si="2"/>
        <v>0.46982201597816303</v>
      </c>
      <c r="I56" s="9">
        <v>0</v>
      </c>
      <c r="J56" s="34">
        <v>0.17026171539495738</v>
      </c>
      <c r="K56">
        <v>25</v>
      </c>
      <c r="L56" s="137">
        <f t="shared" si="3"/>
        <v>1.3979400086720377</v>
      </c>
      <c r="M56">
        <f t="shared" si="0"/>
        <v>0</v>
      </c>
      <c r="N56">
        <v>70</v>
      </c>
      <c r="O56">
        <v>70</v>
      </c>
      <c r="P56">
        <v>91.1</v>
      </c>
      <c r="Q56" s="137">
        <f t="shared" si="4"/>
        <v>1.9595183769729982</v>
      </c>
      <c r="R56" s="34">
        <v>24.1</v>
      </c>
      <c r="S56" s="34">
        <f t="shared" si="5"/>
        <v>1.3820170425748683</v>
      </c>
      <c r="T56" s="42">
        <v>40.229046020662899</v>
      </c>
      <c r="U56" s="42">
        <f t="shared" si="6"/>
        <v>1.6045397339663818</v>
      </c>
      <c r="V56">
        <v>3.0958500844125241</v>
      </c>
      <c r="W56" s="14">
        <v>3</v>
      </c>
      <c r="X56">
        <v>3.5078178355445662</v>
      </c>
      <c r="Y56">
        <v>9.6901960800285138</v>
      </c>
      <c r="Z56" s="80">
        <v>0.20441436115024558</v>
      </c>
      <c r="AA56" s="4">
        <v>8</v>
      </c>
      <c r="AB56">
        <f t="shared" si="7"/>
        <v>0</v>
      </c>
      <c r="AC56">
        <f t="shared" si="8"/>
        <v>0</v>
      </c>
      <c r="AD56">
        <f t="shared" si="9"/>
        <v>0</v>
      </c>
      <c r="AE56">
        <f t="shared" si="10"/>
        <v>0</v>
      </c>
      <c r="AF56">
        <f t="shared" si="11"/>
        <v>0</v>
      </c>
      <c r="AG56">
        <f t="shared" si="12"/>
        <v>0</v>
      </c>
      <c r="AH56">
        <f t="shared" si="13"/>
        <v>0</v>
      </c>
      <c r="AI56">
        <f t="shared" si="14"/>
        <v>1</v>
      </c>
      <c r="AJ56">
        <f t="shared" si="15"/>
        <v>0</v>
      </c>
      <c r="AK56">
        <f t="shared" si="16"/>
        <v>0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</row>
    <row r="57" spans="1:53" x14ac:dyDescent="0.35">
      <c r="A57">
        <v>0.63202321470540557</v>
      </c>
      <c r="C57">
        <v>3.5616438356164384</v>
      </c>
      <c r="D57" s="137">
        <f t="shared" si="1"/>
        <v>0.55165048785036208</v>
      </c>
      <c r="E57">
        <v>3.7916829312790057</v>
      </c>
      <c r="F57">
        <v>1.5185139398778875</v>
      </c>
      <c r="G57" s="45">
        <v>2.72</v>
      </c>
      <c r="H57" s="29">
        <f t="shared" si="2"/>
        <v>0.43456890403419873</v>
      </c>
      <c r="I57" s="9">
        <v>3.0355631414974997</v>
      </c>
      <c r="J57" s="34">
        <v>0.14301480025409513</v>
      </c>
      <c r="K57">
        <v>15</v>
      </c>
      <c r="L57" s="137">
        <f t="shared" si="3"/>
        <v>1.1760912590556813</v>
      </c>
      <c r="M57">
        <f t="shared" si="0"/>
        <v>1</v>
      </c>
      <c r="N57">
        <v>95</v>
      </c>
      <c r="O57">
        <v>80</v>
      </c>
      <c r="P57">
        <v>70</v>
      </c>
      <c r="Q57" s="137">
        <f t="shared" si="4"/>
        <v>1.8450980400142569</v>
      </c>
      <c r="R57" s="34">
        <v>35</v>
      </c>
      <c r="S57" s="34">
        <f t="shared" si="5"/>
        <v>1.5440680443502757</v>
      </c>
      <c r="T57" s="42">
        <v>43.580897040130701</v>
      </c>
      <c r="U57" s="42">
        <f t="shared" si="6"/>
        <v>1.6392961652303231</v>
      </c>
      <c r="V57">
        <v>3.0958500844125241</v>
      </c>
      <c r="W57" s="14">
        <v>3</v>
      </c>
      <c r="X57">
        <v>3.5078178355445662</v>
      </c>
      <c r="Y57">
        <v>8.8228216453031045</v>
      </c>
      <c r="Z57" s="80">
        <v>0.48912607457131396</v>
      </c>
      <c r="AA57" s="4">
        <v>4</v>
      </c>
      <c r="AB57">
        <f t="shared" si="7"/>
        <v>0</v>
      </c>
      <c r="AC57">
        <f t="shared" si="8"/>
        <v>0</v>
      </c>
      <c r="AD57">
        <f t="shared" si="9"/>
        <v>0</v>
      </c>
      <c r="AE57">
        <f t="shared" si="10"/>
        <v>1</v>
      </c>
      <c r="AF57">
        <f t="shared" si="11"/>
        <v>0</v>
      </c>
      <c r="AG57">
        <f t="shared" si="12"/>
        <v>0</v>
      </c>
      <c r="AH57">
        <f t="shared" si="13"/>
        <v>0</v>
      </c>
      <c r="AI57">
        <f t="shared" si="14"/>
        <v>0</v>
      </c>
      <c r="AJ57">
        <f t="shared" si="15"/>
        <v>0</v>
      </c>
      <c r="AK57">
        <f t="shared" si="16"/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</row>
    <row r="58" spans="1:53" x14ac:dyDescent="0.35">
      <c r="A58">
        <v>-4.1392685158225057E-2</v>
      </c>
      <c r="C58">
        <v>5.6520547945205477</v>
      </c>
      <c r="D58" s="137">
        <f t="shared" si="1"/>
        <v>0.7522063635166768</v>
      </c>
      <c r="E58">
        <v>0</v>
      </c>
      <c r="F58">
        <v>1.255272505103306</v>
      </c>
      <c r="G58" s="45">
        <v>2.95</v>
      </c>
      <c r="H58" s="29">
        <f t="shared" si="2"/>
        <v>0.46982201597816303</v>
      </c>
      <c r="I58" s="9">
        <v>0</v>
      </c>
      <c r="J58" s="34">
        <v>0.26951294421791627</v>
      </c>
      <c r="K58">
        <v>25</v>
      </c>
      <c r="L58" s="137">
        <f t="shared" si="3"/>
        <v>1.3979400086720377</v>
      </c>
      <c r="M58">
        <f t="shared" si="0"/>
        <v>0</v>
      </c>
      <c r="N58">
        <v>70</v>
      </c>
      <c r="O58">
        <v>70</v>
      </c>
      <c r="P58">
        <v>91.1</v>
      </c>
      <c r="Q58" s="137">
        <f t="shared" si="4"/>
        <v>1.9595183769729982</v>
      </c>
      <c r="R58" s="34">
        <v>24.1</v>
      </c>
      <c r="S58" s="34">
        <f t="shared" si="5"/>
        <v>1.3820170425748683</v>
      </c>
      <c r="T58" s="42">
        <v>40.229046020662899</v>
      </c>
      <c r="U58" s="42">
        <f t="shared" si="6"/>
        <v>1.6045397339663818</v>
      </c>
      <c r="V58">
        <v>3.0958500844125241</v>
      </c>
      <c r="W58" s="14">
        <v>3</v>
      </c>
      <c r="X58">
        <v>3.5078178355445662</v>
      </c>
      <c r="Y58">
        <v>9.518513939877888</v>
      </c>
      <c r="Z58" s="80">
        <v>0.29369436627869416</v>
      </c>
      <c r="AA58" s="4">
        <v>4</v>
      </c>
      <c r="AB58">
        <f t="shared" si="7"/>
        <v>0</v>
      </c>
      <c r="AC58">
        <f t="shared" si="8"/>
        <v>0</v>
      </c>
      <c r="AD58">
        <f t="shared" si="9"/>
        <v>0</v>
      </c>
      <c r="AE58">
        <f t="shared" si="10"/>
        <v>1</v>
      </c>
      <c r="AF58">
        <f t="shared" si="11"/>
        <v>0</v>
      </c>
      <c r="AG58">
        <f t="shared" si="12"/>
        <v>0</v>
      </c>
      <c r="AH58">
        <f t="shared" si="13"/>
        <v>0</v>
      </c>
      <c r="AI58">
        <f t="shared" si="14"/>
        <v>0</v>
      </c>
      <c r="AJ58">
        <f t="shared" si="15"/>
        <v>0</v>
      </c>
      <c r="AK58">
        <f t="shared" si="16"/>
        <v>0</v>
      </c>
      <c r="AL58">
        <v>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</row>
    <row r="59" spans="1:53" x14ac:dyDescent="0.35">
      <c r="A59">
        <v>0.21188535268817776</v>
      </c>
      <c r="C59">
        <v>5.3780821917808215</v>
      </c>
      <c r="D59" s="137">
        <f t="shared" si="1"/>
        <v>0.73062743514353146</v>
      </c>
      <c r="E59">
        <v>3.7899753459779522</v>
      </c>
      <c r="F59">
        <v>1.3222192947339193</v>
      </c>
      <c r="G59" s="45">
        <v>3.18</v>
      </c>
      <c r="H59" s="29">
        <f t="shared" si="2"/>
        <v>0.50242711998443268</v>
      </c>
      <c r="I59" s="9">
        <v>2.7670321178317625</v>
      </c>
      <c r="J59" s="34">
        <v>0.26717172840301384</v>
      </c>
      <c r="K59">
        <v>23</v>
      </c>
      <c r="L59" s="137">
        <f t="shared" si="3"/>
        <v>1.3617278360175928</v>
      </c>
      <c r="M59">
        <f t="shared" si="0"/>
        <v>1</v>
      </c>
      <c r="N59">
        <v>85</v>
      </c>
      <c r="O59">
        <v>80</v>
      </c>
      <c r="P59">
        <v>86.3</v>
      </c>
      <c r="Q59" s="137">
        <f t="shared" si="4"/>
        <v>1.9360107957152095</v>
      </c>
      <c r="R59" s="34">
        <v>42.1</v>
      </c>
      <c r="S59" s="34">
        <f t="shared" si="5"/>
        <v>1.6242820958356683</v>
      </c>
      <c r="T59" s="42">
        <v>56.8818351627258</v>
      </c>
      <c r="U59" s="42">
        <f t="shared" si="6"/>
        <v>1.7549735994690439</v>
      </c>
      <c r="V59">
        <v>3.0958500844125241</v>
      </c>
      <c r="W59" s="14">
        <v>3</v>
      </c>
      <c r="X59">
        <v>3.5078178355445662</v>
      </c>
      <c r="Y59">
        <v>8.685741738602264</v>
      </c>
      <c r="Z59" s="80">
        <v>0.21608988301068455</v>
      </c>
      <c r="AA59" s="4">
        <v>5</v>
      </c>
      <c r="AB59">
        <f t="shared" si="7"/>
        <v>0</v>
      </c>
      <c r="AC59">
        <f t="shared" si="8"/>
        <v>0</v>
      </c>
      <c r="AD59">
        <f t="shared" si="9"/>
        <v>0</v>
      </c>
      <c r="AE59">
        <f t="shared" si="10"/>
        <v>0</v>
      </c>
      <c r="AF59">
        <f t="shared" si="11"/>
        <v>1</v>
      </c>
      <c r="AG59">
        <f t="shared" si="12"/>
        <v>0</v>
      </c>
      <c r="AH59">
        <f t="shared" si="13"/>
        <v>0</v>
      </c>
      <c r="AI59">
        <f t="shared" si="14"/>
        <v>0</v>
      </c>
      <c r="AJ59">
        <f t="shared" si="15"/>
        <v>0</v>
      </c>
      <c r="AK59">
        <f t="shared" si="16"/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</row>
    <row r="60" spans="1:53" x14ac:dyDescent="0.35">
      <c r="A60">
        <v>0.37337794474981029</v>
      </c>
      <c r="C60">
        <v>2.6547945205479451</v>
      </c>
      <c r="D60" s="137">
        <f t="shared" si="1"/>
        <v>0.4240309125942906</v>
      </c>
      <c r="E60">
        <v>3.8335760926148099</v>
      </c>
      <c r="F60">
        <v>0.3010299956639812</v>
      </c>
      <c r="G60" s="45">
        <v>2.85</v>
      </c>
      <c r="H60" s="29">
        <f t="shared" si="2"/>
        <v>0.45484486000851021</v>
      </c>
      <c r="I60" s="9">
        <v>2.9138138523837167</v>
      </c>
      <c r="J60" s="34">
        <v>7.9181246047624818E-2</v>
      </c>
      <c r="K60">
        <v>17</v>
      </c>
      <c r="L60" s="137">
        <f t="shared" si="3"/>
        <v>1.2304489213782739</v>
      </c>
      <c r="M60">
        <f t="shared" si="0"/>
        <v>1</v>
      </c>
      <c r="N60">
        <v>70</v>
      </c>
      <c r="O60">
        <v>70</v>
      </c>
      <c r="P60">
        <v>70</v>
      </c>
      <c r="Q60" s="137">
        <f t="shared" si="4"/>
        <v>1.8450980400142569</v>
      </c>
      <c r="R60" s="34">
        <v>33.9</v>
      </c>
      <c r="S60" s="34">
        <f t="shared" si="5"/>
        <v>1.5301996982030821</v>
      </c>
      <c r="T60" s="42">
        <v>46.312020505412598</v>
      </c>
      <c r="U60" s="42">
        <f t="shared" si="6"/>
        <v>1.6656937288498501</v>
      </c>
      <c r="V60">
        <v>3.0958500844125241</v>
      </c>
      <c r="W60" s="14">
        <v>3</v>
      </c>
      <c r="X60">
        <v>3.5078178355445662</v>
      </c>
      <c r="Y60">
        <v>8.4771212547196626</v>
      </c>
      <c r="Z60" s="80">
        <v>0.31891694685477612</v>
      </c>
      <c r="AA60" s="4">
        <v>8</v>
      </c>
      <c r="AB60">
        <f t="shared" si="7"/>
        <v>0</v>
      </c>
      <c r="AC60">
        <f t="shared" si="8"/>
        <v>0</v>
      </c>
      <c r="AD60">
        <f t="shared" si="9"/>
        <v>0</v>
      </c>
      <c r="AE60">
        <f t="shared" si="10"/>
        <v>0</v>
      </c>
      <c r="AF60">
        <f t="shared" si="11"/>
        <v>0</v>
      </c>
      <c r="AG60">
        <f t="shared" si="12"/>
        <v>0</v>
      </c>
      <c r="AH60">
        <f t="shared" si="13"/>
        <v>0</v>
      </c>
      <c r="AI60">
        <f t="shared" si="14"/>
        <v>1</v>
      </c>
      <c r="AJ60">
        <f t="shared" si="15"/>
        <v>0</v>
      </c>
      <c r="AK60">
        <f t="shared" si="16"/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</row>
    <row r="61" spans="1:53" x14ac:dyDescent="0.35">
      <c r="A61">
        <v>0.46982201597816303</v>
      </c>
      <c r="C61">
        <v>11.03013698630137</v>
      </c>
      <c r="D61" s="137">
        <f t="shared" si="1"/>
        <v>1.0425809060961611</v>
      </c>
      <c r="E61">
        <v>0</v>
      </c>
      <c r="F61">
        <v>0</v>
      </c>
      <c r="G61" s="45">
        <v>2.95</v>
      </c>
      <c r="H61" s="29">
        <f t="shared" si="2"/>
        <v>0.46982201597816303</v>
      </c>
      <c r="I61" s="9">
        <v>0</v>
      </c>
      <c r="J61" s="34">
        <v>0.2355284469075489</v>
      </c>
      <c r="K61">
        <v>17</v>
      </c>
      <c r="L61" s="137">
        <f t="shared" si="3"/>
        <v>1.2304489213782739</v>
      </c>
      <c r="M61">
        <f t="shared" si="0"/>
        <v>0</v>
      </c>
      <c r="N61">
        <v>70</v>
      </c>
      <c r="O61">
        <v>70</v>
      </c>
      <c r="P61">
        <v>85</v>
      </c>
      <c r="Q61" s="137">
        <f t="shared" si="4"/>
        <v>1.9294189257142926</v>
      </c>
      <c r="R61" s="34">
        <v>24.6</v>
      </c>
      <c r="S61" s="34">
        <f t="shared" si="5"/>
        <v>1.3909351071033791</v>
      </c>
      <c r="T61" s="42">
        <v>36.876470987978301</v>
      </c>
      <c r="U61" s="42">
        <f t="shared" si="6"/>
        <v>1.5667493531684615</v>
      </c>
      <c r="V61">
        <v>3.0958500844125241</v>
      </c>
      <c r="W61" s="14">
        <v>3</v>
      </c>
      <c r="X61">
        <v>3.5078178355445662</v>
      </c>
      <c r="Y61">
        <v>8.8450980400142569</v>
      </c>
      <c r="Z61" s="80">
        <v>0.46421676351219254</v>
      </c>
      <c r="AA61" s="4">
        <v>1</v>
      </c>
      <c r="AB61">
        <f t="shared" si="7"/>
        <v>1</v>
      </c>
      <c r="AC61">
        <f t="shared" si="8"/>
        <v>0</v>
      </c>
      <c r="AD61">
        <f t="shared" si="9"/>
        <v>0</v>
      </c>
      <c r="AE61">
        <f t="shared" si="10"/>
        <v>0</v>
      </c>
      <c r="AF61">
        <f t="shared" si="11"/>
        <v>0</v>
      </c>
      <c r="AG61">
        <f t="shared" si="12"/>
        <v>0</v>
      </c>
      <c r="AH61">
        <f t="shared" si="13"/>
        <v>0</v>
      </c>
      <c r="AI61">
        <f t="shared" si="14"/>
        <v>0</v>
      </c>
      <c r="AJ61">
        <f t="shared" si="15"/>
        <v>0</v>
      </c>
      <c r="AK61">
        <f t="shared" si="16"/>
        <v>0</v>
      </c>
      <c r="AL61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</row>
    <row r="62" spans="1:53" x14ac:dyDescent="0.35">
      <c r="A62">
        <v>0.49136169383427269</v>
      </c>
      <c r="C62">
        <v>4.5452054794520551</v>
      </c>
      <c r="D62" s="137">
        <f t="shared" si="1"/>
        <v>0.65755352156788605</v>
      </c>
      <c r="E62">
        <v>0</v>
      </c>
      <c r="F62">
        <v>1.4313637641589874</v>
      </c>
      <c r="G62" s="45">
        <v>2.95</v>
      </c>
      <c r="H62" s="29">
        <f t="shared" si="2"/>
        <v>0.46982201597816303</v>
      </c>
      <c r="I62" s="9">
        <v>0</v>
      </c>
      <c r="J62" s="34">
        <v>-7.0581074285707285E-2</v>
      </c>
      <c r="K62">
        <v>19</v>
      </c>
      <c r="L62" s="137">
        <f t="shared" si="3"/>
        <v>1.2787536009528289</v>
      </c>
      <c r="M62">
        <f t="shared" si="0"/>
        <v>0</v>
      </c>
      <c r="N62">
        <v>70</v>
      </c>
      <c r="O62">
        <v>70</v>
      </c>
      <c r="P62">
        <v>93.2</v>
      </c>
      <c r="Q62" s="137">
        <f t="shared" si="4"/>
        <v>1.9694159123539814</v>
      </c>
      <c r="R62" s="34">
        <v>26.7</v>
      </c>
      <c r="S62" s="34">
        <f t="shared" si="5"/>
        <v>1.4265112613645752</v>
      </c>
      <c r="T62" s="42">
        <v>36.669158714517401</v>
      </c>
      <c r="U62" s="42">
        <f t="shared" si="6"/>
        <v>1.5643009462345601</v>
      </c>
      <c r="V62">
        <v>3.0958500844125241</v>
      </c>
      <c r="W62" s="14">
        <v>3</v>
      </c>
      <c r="X62">
        <v>3.5078178355445662</v>
      </c>
      <c r="Y62">
        <v>9</v>
      </c>
      <c r="Z62" s="80">
        <v>-5.943397781404014E-2</v>
      </c>
      <c r="AA62" s="4">
        <v>7</v>
      </c>
      <c r="AB62">
        <f t="shared" si="7"/>
        <v>0</v>
      </c>
      <c r="AC62">
        <f t="shared" si="8"/>
        <v>0</v>
      </c>
      <c r="AD62">
        <f t="shared" si="9"/>
        <v>0</v>
      </c>
      <c r="AE62">
        <f t="shared" si="10"/>
        <v>0</v>
      </c>
      <c r="AF62">
        <f t="shared" si="11"/>
        <v>0</v>
      </c>
      <c r="AG62">
        <f t="shared" si="12"/>
        <v>0</v>
      </c>
      <c r="AH62">
        <f t="shared" si="13"/>
        <v>1</v>
      </c>
      <c r="AI62">
        <f t="shared" si="14"/>
        <v>0</v>
      </c>
      <c r="AJ62">
        <f t="shared" si="15"/>
        <v>0</v>
      </c>
      <c r="AK62">
        <f t="shared" si="16"/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</row>
    <row r="63" spans="1:53" x14ac:dyDescent="0.35">
      <c r="A63">
        <v>-0.67669360962486658</v>
      </c>
      <c r="C63">
        <v>5.8191780821917805</v>
      </c>
      <c r="D63" s="137">
        <f t="shared" si="1"/>
        <v>0.76486164795295675</v>
      </c>
      <c r="E63">
        <v>0</v>
      </c>
      <c r="F63">
        <v>1.0791812460476249</v>
      </c>
      <c r="G63" s="45">
        <v>2.95</v>
      </c>
      <c r="H63" s="29">
        <f t="shared" si="2"/>
        <v>0.46982201597816303</v>
      </c>
      <c r="I63" s="9">
        <v>0</v>
      </c>
      <c r="J63" s="34">
        <v>-8.7739243075051505E-3</v>
      </c>
      <c r="K63">
        <v>20</v>
      </c>
      <c r="L63" s="137">
        <f t="shared" si="3"/>
        <v>1.3010299956639813</v>
      </c>
      <c r="M63">
        <f t="shared" si="0"/>
        <v>0</v>
      </c>
      <c r="N63">
        <v>70</v>
      </c>
      <c r="O63">
        <v>70</v>
      </c>
      <c r="P63">
        <v>91.4</v>
      </c>
      <c r="Q63" s="137">
        <f t="shared" si="4"/>
        <v>1.9609461957338314</v>
      </c>
      <c r="R63" s="34">
        <v>26.7</v>
      </c>
      <c r="S63" s="34">
        <f t="shared" si="5"/>
        <v>1.4265112613645752</v>
      </c>
      <c r="T63" s="42">
        <v>37.425715444240403</v>
      </c>
      <c r="U63" s="42">
        <f t="shared" si="6"/>
        <v>1.5731701112332821</v>
      </c>
      <c r="V63">
        <v>3.0958500844125241</v>
      </c>
      <c r="W63" s="14">
        <v>3</v>
      </c>
      <c r="X63">
        <v>3.5078178355445662</v>
      </c>
      <c r="Y63">
        <v>8.6766936096248664</v>
      </c>
      <c r="Z63" s="80">
        <v>-5.26252851571124E-2</v>
      </c>
      <c r="AA63" s="4">
        <v>7</v>
      </c>
      <c r="AB63">
        <f t="shared" si="7"/>
        <v>0</v>
      </c>
      <c r="AC63">
        <f t="shared" si="8"/>
        <v>0</v>
      </c>
      <c r="AD63">
        <f t="shared" si="9"/>
        <v>0</v>
      </c>
      <c r="AE63">
        <f t="shared" si="10"/>
        <v>0</v>
      </c>
      <c r="AF63">
        <f t="shared" si="11"/>
        <v>0</v>
      </c>
      <c r="AG63">
        <f t="shared" si="12"/>
        <v>0</v>
      </c>
      <c r="AH63">
        <f t="shared" si="13"/>
        <v>1</v>
      </c>
      <c r="AI63">
        <f t="shared" si="14"/>
        <v>0</v>
      </c>
      <c r="AJ63">
        <f t="shared" si="15"/>
        <v>0</v>
      </c>
      <c r="AK63">
        <f t="shared" si="16"/>
        <v>0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</row>
    <row r="64" spans="1:53" x14ac:dyDescent="0.35">
      <c r="A64">
        <v>0.35331240742242576</v>
      </c>
      <c r="C64">
        <v>1.9150684931506849</v>
      </c>
      <c r="D64" s="137">
        <f t="shared" si="1"/>
        <v>0.28218431128920668</v>
      </c>
      <c r="E64">
        <v>3.7899753459779522</v>
      </c>
      <c r="F64">
        <v>0.6020599913279624</v>
      </c>
      <c r="G64" s="45">
        <v>3.18</v>
      </c>
      <c r="H64" s="29">
        <f t="shared" si="2"/>
        <v>0.50242711998443268</v>
      </c>
      <c r="I64" s="9">
        <v>2.7670321178317625</v>
      </c>
      <c r="J64" s="34">
        <v>0.1553360374650618</v>
      </c>
      <c r="K64">
        <v>16</v>
      </c>
      <c r="L64" s="137">
        <f t="shared" si="3"/>
        <v>1.2041199826559248</v>
      </c>
      <c r="M64">
        <f t="shared" si="0"/>
        <v>1</v>
      </c>
      <c r="N64">
        <v>85</v>
      </c>
      <c r="O64">
        <v>80</v>
      </c>
      <c r="P64">
        <v>70</v>
      </c>
      <c r="Q64" s="137">
        <f t="shared" si="4"/>
        <v>1.8450980400142569</v>
      </c>
      <c r="R64" s="34">
        <v>42.2</v>
      </c>
      <c r="S64" s="34">
        <f t="shared" si="5"/>
        <v>1.6253124509616739</v>
      </c>
      <c r="T64" s="42">
        <v>53.270504198897903</v>
      </c>
      <c r="U64" s="42">
        <f t="shared" si="6"/>
        <v>1.7264868073491786</v>
      </c>
      <c r="V64">
        <v>3.0958500844125241</v>
      </c>
      <c r="W64" s="14">
        <v>3</v>
      </c>
      <c r="X64">
        <v>3.5078178355445662</v>
      </c>
      <c r="Y64">
        <v>8.5811860438211411</v>
      </c>
      <c r="Z64" s="80">
        <v>0.39851478148736774</v>
      </c>
      <c r="AA64" s="4">
        <v>1</v>
      </c>
      <c r="AB64">
        <f t="shared" si="7"/>
        <v>1</v>
      </c>
      <c r="AC64">
        <f t="shared" si="8"/>
        <v>0</v>
      </c>
      <c r="AD64">
        <f t="shared" si="9"/>
        <v>0</v>
      </c>
      <c r="AE64">
        <f t="shared" si="10"/>
        <v>0</v>
      </c>
      <c r="AF64">
        <f t="shared" si="11"/>
        <v>0</v>
      </c>
      <c r="AG64">
        <f t="shared" si="12"/>
        <v>0</v>
      </c>
      <c r="AH64">
        <f t="shared" si="13"/>
        <v>0</v>
      </c>
      <c r="AI64">
        <f t="shared" si="14"/>
        <v>0</v>
      </c>
      <c r="AJ64">
        <f t="shared" si="15"/>
        <v>0</v>
      </c>
      <c r="AK64">
        <f t="shared" si="16"/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</row>
    <row r="65" spans="1:53" x14ac:dyDescent="0.35">
      <c r="A65">
        <v>0.38021124171160603</v>
      </c>
      <c r="C65">
        <v>6.934246575342466</v>
      </c>
      <c r="D65" s="137">
        <f t="shared" si="1"/>
        <v>0.84099928070177954</v>
      </c>
      <c r="E65">
        <v>0</v>
      </c>
      <c r="F65">
        <v>1.7160033436347992</v>
      </c>
      <c r="G65" s="45">
        <v>2.95</v>
      </c>
      <c r="H65" s="29">
        <f t="shared" si="2"/>
        <v>0.46982201597816303</v>
      </c>
      <c r="I65" s="9">
        <v>0</v>
      </c>
      <c r="J65" s="34">
        <v>0.21484384804769791</v>
      </c>
      <c r="K65">
        <v>23</v>
      </c>
      <c r="L65" s="137">
        <f t="shared" si="3"/>
        <v>1.3617278360175928</v>
      </c>
      <c r="M65">
        <f t="shared" si="0"/>
        <v>0</v>
      </c>
      <c r="N65">
        <v>70</v>
      </c>
      <c r="O65">
        <v>70</v>
      </c>
      <c r="P65">
        <v>92.6</v>
      </c>
      <c r="Q65" s="137">
        <f t="shared" si="4"/>
        <v>1.9666109866819343</v>
      </c>
      <c r="R65" s="34">
        <v>25.7</v>
      </c>
      <c r="S65" s="34">
        <f t="shared" si="5"/>
        <v>1.4099331233312946</v>
      </c>
      <c r="T65" s="42">
        <v>39.823361151429197</v>
      </c>
      <c r="U65" s="42">
        <f t="shared" si="6"/>
        <v>1.6001379123442065</v>
      </c>
      <c r="V65">
        <v>3.3647319918335836</v>
      </c>
      <c r="W65" s="14">
        <v>4</v>
      </c>
      <c r="X65">
        <v>3.568659604598353</v>
      </c>
      <c r="Y65">
        <v>8.8450980400142569</v>
      </c>
      <c r="Z65" s="80">
        <v>0.30273467673527144</v>
      </c>
      <c r="AA65" s="4">
        <v>7</v>
      </c>
      <c r="AB65">
        <f t="shared" si="7"/>
        <v>0</v>
      </c>
      <c r="AC65">
        <f t="shared" si="8"/>
        <v>0</v>
      </c>
      <c r="AD65">
        <f t="shared" si="9"/>
        <v>0</v>
      </c>
      <c r="AE65">
        <f t="shared" si="10"/>
        <v>0</v>
      </c>
      <c r="AF65">
        <f t="shared" si="11"/>
        <v>0</v>
      </c>
      <c r="AG65">
        <f t="shared" si="12"/>
        <v>0</v>
      </c>
      <c r="AH65">
        <f t="shared" si="13"/>
        <v>1</v>
      </c>
      <c r="AI65">
        <f t="shared" si="14"/>
        <v>0</v>
      </c>
      <c r="AJ65">
        <f t="shared" si="15"/>
        <v>0</v>
      </c>
      <c r="AK65">
        <f t="shared" si="16"/>
        <v>0</v>
      </c>
      <c r="AL65">
        <v>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</row>
    <row r="66" spans="1:53" x14ac:dyDescent="0.35">
      <c r="A66">
        <v>0.40977416807183031</v>
      </c>
      <c r="C66">
        <v>2.956164383561644</v>
      </c>
      <c r="D66" s="137">
        <f t="shared" si="1"/>
        <v>0.47072858022643599</v>
      </c>
      <c r="E66">
        <v>0</v>
      </c>
      <c r="F66">
        <v>1</v>
      </c>
      <c r="G66" s="45">
        <v>2.95</v>
      </c>
      <c r="H66" s="29">
        <f t="shared" si="2"/>
        <v>0.46982201597816303</v>
      </c>
      <c r="I66" s="9">
        <v>0</v>
      </c>
      <c r="J66" s="34">
        <v>0.12057393120584989</v>
      </c>
      <c r="K66">
        <v>19</v>
      </c>
      <c r="L66" s="137">
        <f t="shared" si="3"/>
        <v>1.2787536009528289</v>
      </c>
      <c r="M66">
        <f t="shared" ref="M66:M129" si="17">IF(E66=0,0,1)</f>
        <v>0</v>
      </c>
      <c r="N66">
        <v>70</v>
      </c>
      <c r="O66">
        <v>70</v>
      </c>
      <c r="P66">
        <v>85</v>
      </c>
      <c r="Q66" s="137">
        <f t="shared" si="4"/>
        <v>1.9294189257142926</v>
      </c>
      <c r="R66" s="34">
        <v>24.6</v>
      </c>
      <c r="S66" s="34">
        <f t="shared" si="5"/>
        <v>1.3909351071033791</v>
      </c>
      <c r="T66" s="42">
        <v>36.876470987978301</v>
      </c>
      <c r="U66" s="42">
        <f t="shared" si="6"/>
        <v>1.5667493531684615</v>
      </c>
      <c r="V66">
        <v>3.3647319918335836</v>
      </c>
      <c r="W66" s="14">
        <v>4</v>
      </c>
      <c r="X66">
        <v>3.568659604598353</v>
      </c>
      <c r="Y66">
        <v>9.493315818920113</v>
      </c>
      <c r="Z66" s="80">
        <v>0.49026466383651779</v>
      </c>
      <c r="AA66" s="4">
        <v>5</v>
      </c>
      <c r="AB66">
        <f t="shared" si="7"/>
        <v>0</v>
      </c>
      <c r="AC66">
        <f t="shared" si="8"/>
        <v>0</v>
      </c>
      <c r="AD66">
        <f t="shared" si="9"/>
        <v>0</v>
      </c>
      <c r="AE66">
        <f t="shared" si="10"/>
        <v>0</v>
      </c>
      <c r="AF66">
        <f t="shared" si="11"/>
        <v>1</v>
      </c>
      <c r="AG66">
        <f t="shared" si="12"/>
        <v>0</v>
      </c>
      <c r="AH66">
        <f t="shared" si="13"/>
        <v>0</v>
      </c>
      <c r="AI66">
        <f t="shared" si="14"/>
        <v>0</v>
      </c>
      <c r="AJ66">
        <f t="shared" si="15"/>
        <v>0</v>
      </c>
      <c r="AK66">
        <f t="shared" si="16"/>
        <v>0</v>
      </c>
      <c r="AL66">
        <v>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</row>
    <row r="67" spans="1:53" x14ac:dyDescent="0.35">
      <c r="A67">
        <v>0.29589035601157015</v>
      </c>
      <c r="C67">
        <v>4.3890410958904109</v>
      </c>
      <c r="D67" s="137">
        <f t="shared" ref="D67:D130" si="18">LOG(C67)</f>
        <v>0.64236964729174417</v>
      </c>
      <c r="E67">
        <v>0</v>
      </c>
      <c r="F67">
        <v>1.9242792860618816</v>
      </c>
      <c r="G67" s="45">
        <v>2.95</v>
      </c>
      <c r="H67" s="29">
        <f t="shared" ref="H67:H130" si="19">LOG(G67)</f>
        <v>0.46982201597816303</v>
      </c>
      <c r="I67" s="9">
        <v>0</v>
      </c>
      <c r="J67" s="34">
        <v>0.17897694729316943</v>
      </c>
      <c r="K67">
        <v>17</v>
      </c>
      <c r="L67" s="137">
        <f t="shared" ref="L67:L130" si="20">IF(K67=0,0,LOG(K67))</f>
        <v>1.2304489213782739</v>
      </c>
      <c r="M67">
        <f t="shared" si="17"/>
        <v>0</v>
      </c>
      <c r="N67">
        <v>70</v>
      </c>
      <c r="O67">
        <v>70</v>
      </c>
      <c r="P67">
        <v>85</v>
      </c>
      <c r="Q67" s="137">
        <f t="shared" ref="Q67:Q130" si="21">LOG(P67)</f>
        <v>1.9294189257142926</v>
      </c>
      <c r="R67" s="34">
        <v>24.9</v>
      </c>
      <c r="S67" s="34">
        <f t="shared" ref="S67:S130" si="22">LOG(R67)</f>
        <v>1.3961993470957363</v>
      </c>
      <c r="T67" s="42">
        <v>36.710134890601303</v>
      </c>
      <c r="U67" s="42">
        <f t="shared" ref="U67:U130" si="23">LOG(T67)</f>
        <v>1.564785980312654</v>
      </c>
      <c r="V67">
        <v>3.3647319918335836</v>
      </c>
      <c r="W67" s="14">
        <v>4</v>
      </c>
      <c r="X67">
        <v>3.568659604598353</v>
      </c>
      <c r="Y67">
        <v>9.2304489213782741</v>
      </c>
      <c r="Z67" s="80">
        <v>0.51570357132672373</v>
      </c>
      <c r="AA67" s="4">
        <v>4</v>
      </c>
      <c r="AB67">
        <f t="shared" ref="AB67:AB130" si="24">IF(AA67=1,1,0)</f>
        <v>0</v>
      </c>
      <c r="AC67">
        <f t="shared" ref="AC67:AC130" si="25">IF(AA67=2,1,0)</f>
        <v>0</v>
      </c>
      <c r="AD67">
        <f t="shared" ref="AD67:AD130" si="26">IF(AA67=3,1,0)</f>
        <v>0</v>
      </c>
      <c r="AE67">
        <f t="shared" ref="AE67:AE130" si="27">IF(AA67=4,1,0)</f>
        <v>1</v>
      </c>
      <c r="AF67">
        <f t="shared" ref="AF67:AF130" si="28">IF(AA67=5,1,0)</f>
        <v>0</v>
      </c>
      <c r="AG67">
        <f t="shared" ref="AG67:AG130" si="29">IF(AA67=6,1,0)</f>
        <v>0</v>
      </c>
      <c r="AH67">
        <f t="shared" ref="AH67:AH130" si="30">IF(AA67=7,1,0)</f>
        <v>0</v>
      </c>
      <c r="AI67">
        <f t="shared" ref="AI67:AI130" si="31">IF(AA67=8,1,0)</f>
        <v>0</v>
      </c>
      <c r="AJ67">
        <f t="shared" ref="AJ67:AJ130" si="32">IF(AA67=9,1,0)</f>
        <v>0</v>
      </c>
      <c r="AK67">
        <f t="shared" ref="AK67:AK130" si="33">IF(AA67=10,1,0)</f>
        <v>0</v>
      </c>
      <c r="AL67">
        <v>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</row>
    <row r="68" spans="1:53" x14ac:dyDescent="0.35">
      <c r="A68">
        <v>-0.74978649618430626</v>
      </c>
      <c r="C68">
        <v>5.3835616438356162</v>
      </c>
      <c r="D68" s="137">
        <f t="shared" si="18"/>
        <v>0.73106969025497082</v>
      </c>
      <c r="E68">
        <v>3.8335760926148099</v>
      </c>
      <c r="F68">
        <v>1.6334684555795864</v>
      </c>
      <c r="G68" s="45">
        <v>2.85</v>
      </c>
      <c r="H68" s="29">
        <f t="shared" si="19"/>
        <v>0.45484486000851021</v>
      </c>
      <c r="I68" s="9">
        <v>2.9138138523837167</v>
      </c>
      <c r="J68" s="34">
        <v>-4.3648054024500883E-3</v>
      </c>
      <c r="K68">
        <v>22</v>
      </c>
      <c r="L68" s="137">
        <f t="shared" si="20"/>
        <v>1.3424226808222062</v>
      </c>
      <c r="M68">
        <f t="shared" si="17"/>
        <v>1</v>
      </c>
      <c r="N68">
        <v>70</v>
      </c>
      <c r="O68">
        <v>70</v>
      </c>
      <c r="P68">
        <v>88.9</v>
      </c>
      <c r="Q68" s="137">
        <f t="shared" si="21"/>
        <v>1.9489017609702137</v>
      </c>
      <c r="R68" s="34">
        <v>34.9</v>
      </c>
      <c r="S68" s="34">
        <f t="shared" si="22"/>
        <v>1.5428254269591799</v>
      </c>
      <c r="T68" s="42">
        <v>42.817370475444001</v>
      </c>
      <c r="U68" s="42">
        <f t="shared" si="23"/>
        <v>1.6316199926391717</v>
      </c>
      <c r="V68">
        <v>3.3647319918335836</v>
      </c>
      <c r="W68" s="14">
        <v>4</v>
      </c>
      <c r="X68">
        <v>3.568659604598353</v>
      </c>
      <c r="Y68">
        <v>9.1139433523068369</v>
      </c>
      <c r="Z68" s="80">
        <v>-5.8045340271740353E-2</v>
      </c>
      <c r="AA68" s="4">
        <v>1</v>
      </c>
      <c r="AB68">
        <f t="shared" si="24"/>
        <v>1</v>
      </c>
      <c r="AC68">
        <f t="shared" si="25"/>
        <v>0</v>
      </c>
      <c r="AD68">
        <f t="shared" si="26"/>
        <v>0</v>
      </c>
      <c r="AE68">
        <f t="shared" si="27"/>
        <v>0</v>
      </c>
      <c r="AF68">
        <f t="shared" si="28"/>
        <v>0</v>
      </c>
      <c r="AG68">
        <f t="shared" si="29"/>
        <v>0</v>
      </c>
      <c r="AH68">
        <f t="shared" si="30"/>
        <v>0</v>
      </c>
      <c r="AI68">
        <f t="shared" si="31"/>
        <v>0</v>
      </c>
      <c r="AJ68">
        <f t="shared" si="32"/>
        <v>0</v>
      </c>
      <c r="AK68">
        <f t="shared" si="33"/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</row>
    <row r="69" spans="1:53" x14ac:dyDescent="0.35">
      <c r="A69">
        <v>0.46239799789895608</v>
      </c>
      <c r="C69">
        <v>3.7095890410958905</v>
      </c>
      <c r="D69" s="137">
        <f t="shared" si="18"/>
        <v>0.56932579989265086</v>
      </c>
      <c r="E69">
        <v>3.8335760926148099</v>
      </c>
      <c r="F69">
        <v>2.0492180226701815</v>
      </c>
      <c r="G69" s="45">
        <v>2.85</v>
      </c>
      <c r="H69" s="29">
        <f t="shared" si="19"/>
        <v>0.45484486000851021</v>
      </c>
      <c r="I69" s="9">
        <v>2.9138138523837167</v>
      </c>
      <c r="J69" s="34">
        <v>0.17897694729316943</v>
      </c>
      <c r="K69">
        <v>18</v>
      </c>
      <c r="L69" s="137">
        <f t="shared" si="20"/>
        <v>1.255272505103306</v>
      </c>
      <c r="M69">
        <f t="shared" si="17"/>
        <v>1</v>
      </c>
      <c r="N69">
        <v>70</v>
      </c>
      <c r="O69">
        <v>70</v>
      </c>
      <c r="P69">
        <v>70</v>
      </c>
      <c r="Q69" s="137">
        <f t="shared" si="21"/>
        <v>1.8450980400142569</v>
      </c>
      <c r="R69" s="34">
        <v>34.6</v>
      </c>
      <c r="S69" s="34">
        <f t="shared" si="22"/>
        <v>1.5390760987927767</v>
      </c>
      <c r="T69" s="42">
        <v>47.8156192569637</v>
      </c>
      <c r="U69" s="42">
        <f t="shared" si="23"/>
        <v>1.6795697846681461</v>
      </c>
      <c r="V69">
        <v>3.3647319918335836</v>
      </c>
      <c r="W69" s="14">
        <v>4</v>
      </c>
      <c r="X69">
        <v>3.568659604598353</v>
      </c>
      <c r="Y69">
        <v>8.6989700043360187</v>
      </c>
      <c r="Z69" s="80">
        <v>0.616410231982089</v>
      </c>
      <c r="AA69" s="4">
        <v>1</v>
      </c>
      <c r="AB69">
        <f t="shared" si="24"/>
        <v>1</v>
      </c>
      <c r="AC69">
        <f t="shared" si="25"/>
        <v>0</v>
      </c>
      <c r="AD69">
        <f t="shared" si="26"/>
        <v>0</v>
      </c>
      <c r="AE69">
        <f t="shared" si="27"/>
        <v>0</v>
      </c>
      <c r="AF69">
        <f t="shared" si="28"/>
        <v>0</v>
      </c>
      <c r="AG69">
        <f t="shared" si="29"/>
        <v>0</v>
      </c>
      <c r="AH69">
        <f t="shared" si="30"/>
        <v>0</v>
      </c>
      <c r="AI69">
        <f t="shared" si="31"/>
        <v>0</v>
      </c>
      <c r="AJ69">
        <f t="shared" si="32"/>
        <v>0</v>
      </c>
      <c r="AK69">
        <f t="shared" si="33"/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</row>
    <row r="70" spans="1:53" x14ac:dyDescent="0.35">
      <c r="A70">
        <v>0.21695206338669118</v>
      </c>
      <c r="C70">
        <v>7.3808219178082188</v>
      </c>
      <c r="D70" s="137">
        <f t="shared" si="18"/>
        <v>0.86810472693049212</v>
      </c>
      <c r="E70">
        <v>3.7707754512906644</v>
      </c>
      <c r="F70">
        <v>1.7708520116421442</v>
      </c>
      <c r="G70" s="45">
        <v>2.3199999999999998</v>
      </c>
      <c r="H70" s="29">
        <f t="shared" si="19"/>
        <v>0.36548798489089962</v>
      </c>
      <c r="I70" s="9">
        <v>2.1238516409670858</v>
      </c>
      <c r="J70" s="34">
        <v>0.13033376849500614</v>
      </c>
      <c r="K70">
        <v>21</v>
      </c>
      <c r="L70" s="137">
        <f t="shared" si="20"/>
        <v>1.3222192947339193</v>
      </c>
      <c r="M70">
        <f t="shared" si="17"/>
        <v>1</v>
      </c>
      <c r="N70">
        <v>70</v>
      </c>
      <c r="O70">
        <v>70</v>
      </c>
      <c r="P70">
        <v>91.5</v>
      </c>
      <c r="Q70" s="137">
        <f t="shared" si="21"/>
        <v>1.9614210940664483</v>
      </c>
      <c r="R70" s="34">
        <v>32.9</v>
      </c>
      <c r="S70" s="34">
        <f t="shared" si="22"/>
        <v>1.5171958979499742</v>
      </c>
      <c r="T70" s="42">
        <v>40.767390998852598</v>
      </c>
      <c r="U70" s="42">
        <f t="shared" si="23"/>
        <v>1.6103129186864549</v>
      </c>
      <c r="V70">
        <v>3.3647319918335836</v>
      </c>
      <c r="W70" s="14">
        <v>4</v>
      </c>
      <c r="X70">
        <v>3.568659604598353</v>
      </c>
      <c r="Y70">
        <v>9.2706322605125209</v>
      </c>
      <c r="Z70" s="80">
        <v>0.13233718781694526</v>
      </c>
      <c r="AA70" s="4">
        <v>7</v>
      </c>
      <c r="AB70">
        <f t="shared" si="24"/>
        <v>0</v>
      </c>
      <c r="AC70">
        <f t="shared" si="25"/>
        <v>0</v>
      </c>
      <c r="AD70">
        <f t="shared" si="26"/>
        <v>0</v>
      </c>
      <c r="AE70">
        <f t="shared" si="27"/>
        <v>0</v>
      </c>
      <c r="AF70">
        <f t="shared" si="28"/>
        <v>0</v>
      </c>
      <c r="AG70">
        <f t="shared" si="29"/>
        <v>0</v>
      </c>
      <c r="AH70">
        <f t="shared" si="30"/>
        <v>1</v>
      </c>
      <c r="AI70">
        <f t="shared" si="31"/>
        <v>0</v>
      </c>
      <c r="AJ70">
        <f t="shared" si="32"/>
        <v>0</v>
      </c>
      <c r="AK70">
        <f t="shared" si="33"/>
        <v>0</v>
      </c>
      <c r="AL70">
        <v>0</v>
      </c>
      <c r="AM70">
        <v>1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</row>
    <row r="71" spans="1:53" x14ac:dyDescent="0.35">
      <c r="A71">
        <v>0.37291200297010657</v>
      </c>
      <c r="C71">
        <v>4.7589041095890412</v>
      </c>
      <c r="D71" s="137">
        <f t="shared" si="18"/>
        <v>0.67750695399062388</v>
      </c>
      <c r="E71">
        <v>2.5075455505094206</v>
      </c>
      <c r="F71">
        <v>1.8864907251724818</v>
      </c>
      <c r="G71" s="45">
        <v>2.91</v>
      </c>
      <c r="H71" s="29">
        <f t="shared" si="19"/>
        <v>0.46389298898590731</v>
      </c>
      <c r="I71" s="9">
        <v>2.6517624473801109</v>
      </c>
      <c r="J71" s="34">
        <v>0.13987908640123647</v>
      </c>
      <c r="K71">
        <v>21</v>
      </c>
      <c r="L71" s="137">
        <f t="shared" si="20"/>
        <v>1.3222192947339193</v>
      </c>
      <c r="M71">
        <f t="shared" si="17"/>
        <v>1</v>
      </c>
      <c r="N71">
        <v>90</v>
      </c>
      <c r="O71">
        <v>70</v>
      </c>
      <c r="P71">
        <v>70</v>
      </c>
      <c r="Q71" s="137">
        <f t="shared" si="21"/>
        <v>1.8450980400142569</v>
      </c>
      <c r="R71" s="34">
        <v>43.6</v>
      </c>
      <c r="S71" s="34">
        <f t="shared" si="22"/>
        <v>1.6394864892685861</v>
      </c>
      <c r="T71" s="42">
        <v>49.506498643412101</v>
      </c>
      <c r="U71" s="42">
        <f t="shared" si="23"/>
        <v>1.6946622118572952</v>
      </c>
      <c r="V71">
        <v>3.2224645332922388</v>
      </c>
      <c r="W71" s="14">
        <v>3</v>
      </c>
      <c r="X71">
        <v>3.707126713924402</v>
      </c>
      <c r="Y71">
        <v>8.3979400086720375</v>
      </c>
      <c r="Z71" s="80">
        <v>0.31247030179269175</v>
      </c>
      <c r="AA71" s="4">
        <v>1</v>
      </c>
      <c r="AB71">
        <f t="shared" si="24"/>
        <v>1</v>
      </c>
      <c r="AC71">
        <f t="shared" si="25"/>
        <v>0</v>
      </c>
      <c r="AD71">
        <f t="shared" si="26"/>
        <v>0</v>
      </c>
      <c r="AE71">
        <f t="shared" si="27"/>
        <v>0</v>
      </c>
      <c r="AF71">
        <f t="shared" si="28"/>
        <v>0</v>
      </c>
      <c r="AG71">
        <f t="shared" si="29"/>
        <v>0</v>
      </c>
      <c r="AH71">
        <f t="shared" si="30"/>
        <v>0</v>
      </c>
      <c r="AI71">
        <f t="shared" si="31"/>
        <v>0</v>
      </c>
      <c r="AJ71">
        <f t="shared" si="32"/>
        <v>0</v>
      </c>
      <c r="AK71">
        <f t="shared" si="33"/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</row>
    <row r="72" spans="1:53" x14ac:dyDescent="0.35">
      <c r="A72">
        <v>0.40991495239420256</v>
      </c>
      <c r="C72">
        <v>3.9205479452054797</v>
      </c>
      <c r="D72" s="137">
        <f t="shared" si="18"/>
        <v>0.59334676930330166</v>
      </c>
      <c r="E72">
        <v>2.6903467274930635</v>
      </c>
      <c r="F72">
        <v>1.4913616938342726</v>
      </c>
      <c r="G72" s="45">
        <v>2.59</v>
      </c>
      <c r="H72" s="29">
        <f t="shared" si="19"/>
        <v>0.4132997640812518</v>
      </c>
      <c r="I72" s="9">
        <v>2.7508939203821252</v>
      </c>
      <c r="J72" s="34">
        <v>0.19589965240923368</v>
      </c>
      <c r="K72">
        <v>22</v>
      </c>
      <c r="L72" s="137">
        <f t="shared" si="20"/>
        <v>1.3424226808222062</v>
      </c>
      <c r="M72">
        <f t="shared" si="17"/>
        <v>1</v>
      </c>
      <c r="N72">
        <v>90</v>
      </c>
      <c r="O72">
        <v>70</v>
      </c>
      <c r="P72">
        <v>85</v>
      </c>
      <c r="Q72" s="137">
        <f t="shared" si="21"/>
        <v>1.9294189257142926</v>
      </c>
      <c r="R72" s="34">
        <v>37.5</v>
      </c>
      <c r="S72" s="34">
        <f t="shared" si="22"/>
        <v>1.5740312677277188</v>
      </c>
      <c r="T72" s="42">
        <v>43.5008834269711</v>
      </c>
      <c r="U72" s="42">
        <f t="shared" si="23"/>
        <v>1.6384980768066575</v>
      </c>
      <c r="V72">
        <v>3.2224645332922388</v>
      </c>
      <c r="W72" s="14">
        <v>3</v>
      </c>
      <c r="X72">
        <v>3.707126713924402</v>
      </c>
      <c r="Y72" s="13">
        <v>8.9684829485539357</v>
      </c>
      <c r="Z72" s="80">
        <v>0.73684733913752565</v>
      </c>
      <c r="AA72">
        <v>1</v>
      </c>
      <c r="AB72">
        <f t="shared" si="24"/>
        <v>1</v>
      </c>
      <c r="AC72">
        <f t="shared" si="25"/>
        <v>0</v>
      </c>
      <c r="AD72">
        <f t="shared" si="26"/>
        <v>0</v>
      </c>
      <c r="AE72">
        <f t="shared" si="27"/>
        <v>0</v>
      </c>
      <c r="AF72">
        <f t="shared" si="28"/>
        <v>0</v>
      </c>
      <c r="AG72">
        <f t="shared" si="29"/>
        <v>0</v>
      </c>
      <c r="AH72">
        <f t="shared" si="30"/>
        <v>0</v>
      </c>
      <c r="AI72">
        <f t="shared" si="31"/>
        <v>0</v>
      </c>
      <c r="AJ72">
        <f t="shared" si="32"/>
        <v>0</v>
      </c>
      <c r="AK72">
        <f t="shared" si="33"/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</v>
      </c>
      <c r="AX72">
        <v>0</v>
      </c>
      <c r="AY72">
        <v>0</v>
      </c>
      <c r="AZ72">
        <v>0</v>
      </c>
      <c r="BA72">
        <v>0</v>
      </c>
    </row>
    <row r="73" spans="1:53" x14ac:dyDescent="0.35">
      <c r="A73">
        <v>-0.34678748622465638</v>
      </c>
      <c r="C73">
        <v>4.7452054794520544</v>
      </c>
      <c r="D73" s="137">
        <f t="shared" si="18"/>
        <v>0.67625502322485309</v>
      </c>
      <c r="E73">
        <v>2.5542346870234227</v>
      </c>
      <c r="F73">
        <v>1.6720978579357175</v>
      </c>
      <c r="G73" s="45">
        <v>3.16</v>
      </c>
      <c r="H73" s="29">
        <f t="shared" si="19"/>
        <v>0.49968708261840383</v>
      </c>
      <c r="I73" s="9">
        <v>2.9876662649262746</v>
      </c>
      <c r="J73" s="34">
        <v>0.24054924828259971</v>
      </c>
      <c r="K73">
        <v>30</v>
      </c>
      <c r="L73" s="137">
        <f t="shared" si="20"/>
        <v>1.4771212547196624</v>
      </c>
      <c r="M73">
        <f t="shared" si="17"/>
        <v>1</v>
      </c>
      <c r="N73">
        <v>70</v>
      </c>
      <c r="O73">
        <v>90</v>
      </c>
      <c r="P73">
        <v>81.900000000000006</v>
      </c>
      <c r="Q73" s="137">
        <f t="shared" si="21"/>
        <v>1.9132839017604184</v>
      </c>
      <c r="R73" s="34">
        <v>35.4</v>
      </c>
      <c r="S73" s="34">
        <f t="shared" si="22"/>
        <v>1.5490032620257879</v>
      </c>
      <c r="T73" s="42">
        <v>46.7926176158091</v>
      </c>
      <c r="U73" s="42">
        <f t="shared" si="23"/>
        <v>1.6701773406464193</v>
      </c>
      <c r="V73">
        <v>3.2224645332922388</v>
      </c>
      <c r="W73" s="14">
        <v>3</v>
      </c>
      <c r="X73">
        <v>3.707126713924402</v>
      </c>
      <c r="Y73">
        <v>8.6020599913279625</v>
      </c>
      <c r="Z73" s="80">
        <v>0.26212412946901487</v>
      </c>
      <c r="AA73" s="13">
        <v>9</v>
      </c>
      <c r="AB73">
        <f t="shared" si="24"/>
        <v>0</v>
      </c>
      <c r="AC73">
        <f t="shared" si="25"/>
        <v>0</v>
      </c>
      <c r="AD73">
        <f t="shared" si="26"/>
        <v>0</v>
      </c>
      <c r="AE73">
        <f t="shared" si="27"/>
        <v>0</v>
      </c>
      <c r="AF73">
        <f t="shared" si="28"/>
        <v>0</v>
      </c>
      <c r="AG73">
        <f t="shared" si="29"/>
        <v>0</v>
      </c>
      <c r="AH73">
        <f t="shared" si="30"/>
        <v>0</v>
      </c>
      <c r="AI73">
        <f t="shared" si="31"/>
        <v>0</v>
      </c>
      <c r="AJ73">
        <f t="shared" si="32"/>
        <v>1</v>
      </c>
      <c r="AK73">
        <f t="shared" si="33"/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</row>
    <row r="74" spans="1:53" x14ac:dyDescent="0.35">
      <c r="A74">
        <v>0.12493873660829993</v>
      </c>
      <c r="C74">
        <v>3.8767123287671232</v>
      </c>
      <c r="D74" s="137">
        <f t="shared" si="18"/>
        <v>0.58846357540383432</v>
      </c>
      <c r="E74">
        <v>2.5362300726332561</v>
      </c>
      <c r="F74">
        <v>1.8061799739838871</v>
      </c>
      <c r="G74" s="45">
        <v>2.3199999999999998</v>
      </c>
      <c r="H74" s="29">
        <f t="shared" si="19"/>
        <v>0.36548798489089962</v>
      </c>
      <c r="I74" s="9">
        <v>2.756001823801419</v>
      </c>
      <c r="J74" s="34">
        <v>4.5322978786657475E-2</v>
      </c>
      <c r="K74">
        <v>21</v>
      </c>
      <c r="L74" s="137">
        <f t="shared" si="20"/>
        <v>1.3222192947339193</v>
      </c>
      <c r="M74">
        <f t="shared" si="17"/>
        <v>1</v>
      </c>
      <c r="N74">
        <v>85</v>
      </c>
      <c r="O74">
        <v>80</v>
      </c>
      <c r="P74">
        <v>70</v>
      </c>
      <c r="Q74" s="137">
        <f t="shared" si="21"/>
        <v>1.8450980400142569</v>
      </c>
      <c r="R74" s="34">
        <v>42.4</v>
      </c>
      <c r="S74" s="34">
        <f t="shared" si="22"/>
        <v>1.6273658565927327</v>
      </c>
      <c r="T74" s="42">
        <v>52.795294707427601</v>
      </c>
      <c r="U74" s="42">
        <f t="shared" si="23"/>
        <v>1.7225952184872551</v>
      </c>
      <c r="V74">
        <v>3.2224645332922388</v>
      </c>
      <c r="W74" s="14">
        <v>3</v>
      </c>
      <c r="X74">
        <v>3.707126713924402</v>
      </c>
      <c r="Y74">
        <v>8.4771212547196626</v>
      </c>
      <c r="Z74" s="80">
        <v>0.13350679230861284</v>
      </c>
      <c r="AA74">
        <v>2</v>
      </c>
      <c r="AB74">
        <f t="shared" si="24"/>
        <v>0</v>
      </c>
      <c r="AC74">
        <f t="shared" si="25"/>
        <v>1</v>
      </c>
      <c r="AD74">
        <f t="shared" si="26"/>
        <v>0</v>
      </c>
      <c r="AE74">
        <f t="shared" si="27"/>
        <v>0</v>
      </c>
      <c r="AF74">
        <f t="shared" si="28"/>
        <v>0</v>
      </c>
      <c r="AG74">
        <f t="shared" si="29"/>
        <v>0</v>
      </c>
      <c r="AH74">
        <f t="shared" si="30"/>
        <v>0</v>
      </c>
      <c r="AI74">
        <f t="shared" si="31"/>
        <v>0</v>
      </c>
      <c r="AJ74">
        <f t="shared" si="32"/>
        <v>0</v>
      </c>
      <c r="AK74">
        <f t="shared" si="33"/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</row>
    <row r="75" spans="1:53" x14ac:dyDescent="0.35">
      <c r="A75">
        <v>2.8298992127170717E-2</v>
      </c>
      <c r="C75">
        <v>3.1424657534246574</v>
      </c>
      <c r="D75" s="137">
        <f t="shared" si="18"/>
        <v>0.49727055344479293</v>
      </c>
      <c r="E75">
        <v>0</v>
      </c>
      <c r="F75">
        <v>0.69897000433601886</v>
      </c>
      <c r="G75" s="45">
        <v>3.29</v>
      </c>
      <c r="H75" s="29">
        <f t="shared" si="19"/>
        <v>0.51719589794997434</v>
      </c>
      <c r="I75" s="9">
        <v>0</v>
      </c>
      <c r="J75" s="34">
        <v>0.21218760440395779</v>
      </c>
      <c r="K75">
        <v>22</v>
      </c>
      <c r="L75" s="137">
        <f t="shared" si="20"/>
        <v>1.3424226808222062</v>
      </c>
      <c r="M75">
        <f t="shared" si="17"/>
        <v>0</v>
      </c>
      <c r="N75">
        <v>70</v>
      </c>
      <c r="O75">
        <v>70</v>
      </c>
      <c r="P75">
        <v>85</v>
      </c>
      <c r="Q75" s="137">
        <f t="shared" si="21"/>
        <v>1.9294189257142926</v>
      </c>
      <c r="R75" s="34">
        <v>31.3</v>
      </c>
      <c r="S75" s="34">
        <f t="shared" si="22"/>
        <v>1.4955443375464486</v>
      </c>
      <c r="T75" s="42">
        <v>38.7850112673514</v>
      </c>
      <c r="U75" s="42">
        <f t="shared" si="23"/>
        <v>1.5886639219461918</v>
      </c>
      <c r="V75">
        <v>3.2224645332922388</v>
      </c>
      <c r="W75" s="14">
        <v>3</v>
      </c>
      <c r="X75">
        <v>3.707126713924402</v>
      </c>
      <c r="Y75">
        <v>9.3996737214810384</v>
      </c>
      <c r="Z75" s="80">
        <v>0.83430106136649473</v>
      </c>
      <c r="AA75">
        <v>6</v>
      </c>
      <c r="AB75">
        <f t="shared" si="24"/>
        <v>0</v>
      </c>
      <c r="AC75">
        <f t="shared" si="25"/>
        <v>0</v>
      </c>
      <c r="AD75">
        <f t="shared" si="26"/>
        <v>0</v>
      </c>
      <c r="AE75">
        <f t="shared" si="27"/>
        <v>0</v>
      </c>
      <c r="AF75">
        <f t="shared" si="28"/>
        <v>0</v>
      </c>
      <c r="AG75">
        <f t="shared" si="29"/>
        <v>1</v>
      </c>
      <c r="AH75">
        <f t="shared" si="30"/>
        <v>0</v>
      </c>
      <c r="AI75">
        <f t="shared" si="31"/>
        <v>0</v>
      </c>
      <c r="AJ75">
        <f t="shared" si="32"/>
        <v>0</v>
      </c>
      <c r="AK75">
        <f t="shared" si="33"/>
        <v>0</v>
      </c>
      <c r="AL75">
        <v>0</v>
      </c>
      <c r="AM75">
        <v>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</row>
    <row r="76" spans="1:53" x14ac:dyDescent="0.35">
      <c r="A76">
        <v>0.38064575348562374</v>
      </c>
      <c r="C76">
        <v>2.7150684931506848</v>
      </c>
      <c r="D76" s="137">
        <f t="shared" si="18"/>
        <v>0.4337807900288006</v>
      </c>
      <c r="E76">
        <v>0</v>
      </c>
      <c r="F76">
        <v>1.505149978319906</v>
      </c>
      <c r="G76" s="45">
        <v>3.29</v>
      </c>
      <c r="H76" s="29">
        <f t="shared" si="19"/>
        <v>0.51719589794997434</v>
      </c>
      <c r="I76" s="9">
        <v>0</v>
      </c>
      <c r="J76" s="34">
        <v>0.11394335230683679</v>
      </c>
      <c r="K76">
        <v>21</v>
      </c>
      <c r="L76" s="137">
        <f t="shared" si="20"/>
        <v>1.3222192947339193</v>
      </c>
      <c r="M76">
        <f t="shared" si="17"/>
        <v>0</v>
      </c>
      <c r="N76">
        <v>70</v>
      </c>
      <c r="O76">
        <v>70</v>
      </c>
      <c r="P76">
        <v>85</v>
      </c>
      <c r="Q76" s="137">
        <f t="shared" si="21"/>
        <v>1.9294189257142926</v>
      </c>
      <c r="R76" s="34">
        <v>31.5</v>
      </c>
      <c r="S76" s="34">
        <f t="shared" si="22"/>
        <v>1.4983105537896004</v>
      </c>
      <c r="T76" s="42">
        <v>37.589394702761602</v>
      </c>
      <c r="U76" s="42">
        <f t="shared" si="23"/>
        <v>1.575065332381355</v>
      </c>
      <c r="V76">
        <v>3.2224645332922388</v>
      </c>
      <c r="W76" s="14">
        <v>3</v>
      </c>
      <c r="X76">
        <v>3.707126713924402</v>
      </c>
      <c r="Y76">
        <v>8.5224442335063202</v>
      </c>
      <c r="Z76" s="80">
        <v>0.31644026046874618</v>
      </c>
      <c r="AA76">
        <v>5</v>
      </c>
      <c r="AB76">
        <f t="shared" si="24"/>
        <v>0</v>
      </c>
      <c r="AC76">
        <f t="shared" si="25"/>
        <v>0</v>
      </c>
      <c r="AD76">
        <f t="shared" si="26"/>
        <v>0</v>
      </c>
      <c r="AE76">
        <f t="shared" si="27"/>
        <v>0</v>
      </c>
      <c r="AF76">
        <f t="shared" si="28"/>
        <v>1</v>
      </c>
      <c r="AG76">
        <f t="shared" si="29"/>
        <v>0</v>
      </c>
      <c r="AH76">
        <f t="shared" si="30"/>
        <v>0</v>
      </c>
      <c r="AI76">
        <f t="shared" si="31"/>
        <v>0</v>
      </c>
      <c r="AJ76">
        <f t="shared" si="32"/>
        <v>0</v>
      </c>
      <c r="AK76">
        <f t="shared" si="33"/>
        <v>0</v>
      </c>
      <c r="AL76">
        <v>0</v>
      </c>
      <c r="AM76">
        <v>1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</row>
    <row r="77" spans="1:53" x14ac:dyDescent="0.35">
      <c r="A77">
        <v>-0.78233669104106385</v>
      </c>
      <c r="C77">
        <v>6.5616438356164384</v>
      </c>
      <c r="D77" s="137">
        <f t="shared" si="18"/>
        <v>0.81701265329410733</v>
      </c>
      <c r="E77">
        <v>3.7707754512906644</v>
      </c>
      <c r="F77">
        <v>1.9344984512435677</v>
      </c>
      <c r="G77" s="45">
        <v>2.3199999999999998</v>
      </c>
      <c r="H77" s="29">
        <f t="shared" si="19"/>
        <v>0.36548798489089962</v>
      </c>
      <c r="I77" s="9">
        <v>2.1238516409670858</v>
      </c>
      <c r="J77" s="34">
        <v>2.5305865264770262E-2</v>
      </c>
      <c r="K77">
        <v>17</v>
      </c>
      <c r="L77" s="137">
        <f t="shared" si="20"/>
        <v>1.2304489213782739</v>
      </c>
      <c r="M77">
        <f t="shared" si="17"/>
        <v>1</v>
      </c>
      <c r="N77">
        <v>70</v>
      </c>
      <c r="O77">
        <v>70</v>
      </c>
      <c r="P77">
        <v>85</v>
      </c>
      <c r="Q77" s="137">
        <f t="shared" si="21"/>
        <v>1.9294189257142926</v>
      </c>
      <c r="R77" s="34">
        <v>27.8</v>
      </c>
      <c r="S77" s="34">
        <f t="shared" si="22"/>
        <v>1.4440447959180762</v>
      </c>
      <c r="T77" s="42">
        <v>35.119429201759203</v>
      </c>
      <c r="U77" s="42">
        <f t="shared" si="23"/>
        <v>1.5455474486765259</v>
      </c>
      <c r="V77">
        <v>3.2224645332922388</v>
      </c>
      <c r="W77" s="14">
        <v>3</v>
      </c>
      <c r="X77">
        <v>3.707126713924402</v>
      </c>
      <c r="Y77">
        <v>9.0253747397273578</v>
      </c>
      <c r="Z77" s="80">
        <v>-0.15145427361254338</v>
      </c>
      <c r="AA77">
        <v>5</v>
      </c>
      <c r="AB77">
        <f t="shared" si="24"/>
        <v>0</v>
      </c>
      <c r="AC77">
        <f t="shared" si="25"/>
        <v>0</v>
      </c>
      <c r="AD77">
        <f t="shared" si="26"/>
        <v>0</v>
      </c>
      <c r="AE77">
        <f t="shared" si="27"/>
        <v>0</v>
      </c>
      <c r="AF77">
        <f t="shared" si="28"/>
        <v>1</v>
      </c>
      <c r="AG77">
        <f t="shared" si="29"/>
        <v>0</v>
      </c>
      <c r="AH77">
        <f t="shared" si="30"/>
        <v>0</v>
      </c>
      <c r="AI77">
        <f t="shared" si="31"/>
        <v>0</v>
      </c>
      <c r="AJ77">
        <f t="shared" si="32"/>
        <v>0</v>
      </c>
      <c r="AK77">
        <f t="shared" si="33"/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</row>
    <row r="78" spans="1:53" x14ac:dyDescent="0.35">
      <c r="A78">
        <v>0.22606403032051303</v>
      </c>
      <c r="C78">
        <v>5.8794520547945206</v>
      </c>
      <c r="D78" s="137">
        <f t="shared" si="18"/>
        <v>0.76933685317345757</v>
      </c>
      <c r="E78">
        <v>2.6208956659919629</v>
      </c>
      <c r="F78">
        <v>1.0791812460476249</v>
      </c>
      <c r="G78" s="45">
        <v>3.65</v>
      </c>
      <c r="H78" s="29">
        <f t="shared" si="19"/>
        <v>0.56229286445647475</v>
      </c>
      <c r="I78" s="9">
        <v>2.3401134757058348</v>
      </c>
      <c r="J78" s="34">
        <v>0.2944662261615929</v>
      </c>
      <c r="K78">
        <v>18</v>
      </c>
      <c r="L78" s="137">
        <f t="shared" si="20"/>
        <v>1.255272505103306</v>
      </c>
      <c r="M78">
        <f t="shared" si="17"/>
        <v>1</v>
      </c>
      <c r="N78">
        <v>70</v>
      </c>
      <c r="O78">
        <v>50</v>
      </c>
      <c r="P78">
        <v>88.4</v>
      </c>
      <c r="Q78" s="137">
        <f t="shared" si="21"/>
        <v>1.9464522650130731</v>
      </c>
      <c r="R78" s="34">
        <v>41.5</v>
      </c>
      <c r="S78" s="34">
        <f t="shared" si="22"/>
        <v>1.6180480967120927</v>
      </c>
      <c r="T78" s="42">
        <v>42.888893081396603</v>
      </c>
      <c r="U78" s="42">
        <f t="shared" si="23"/>
        <v>1.6323448376859169</v>
      </c>
      <c r="V78">
        <v>3.1616209089088487</v>
      </c>
      <c r="W78" s="14">
        <v>2</v>
      </c>
      <c r="X78">
        <v>3.7997633234477775</v>
      </c>
      <c r="Y78">
        <v>8.4173886461656746</v>
      </c>
      <c r="Z78" s="80">
        <v>0.3878819575732273</v>
      </c>
      <c r="AA78">
        <v>4</v>
      </c>
      <c r="AB78">
        <f t="shared" si="24"/>
        <v>0</v>
      </c>
      <c r="AC78">
        <f t="shared" si="25"/>
        <v>0</v>
      </c>
      <c r="AD78">
        <f t="shared" si="26"/>
        <v>0</v>
      </c>
      <c r="AE78">
        <f t="shared" si="27"/>
        <v>1</v>
      </c>
      <c r="AF78">
        <f t="shared" si="28"/>
        <v>0</v>
      </c>
      <c r="AG78">
        <f t="shared" si="29"/>
        <v>0</v>
      </c>
      <c r="AH78">
        <f t="shared" si="30"/>
        <v>0</v>
      </c>
      <c r="AI78">
        <f t="shared" si="31"/>
        <v>0</v>
      </c>
      <c r="AJ78">
        <f t="shared" si="32"/>
        <v>0</v>
      </c>
      <c r="AK78">
        <f t="shared" si="33"/>
        <v>0</v>
      </c>
      <c r="AL78">
        <v>0</v>
      </c>
      <c r="AM78">
        <v>0</v>
      </c>
      <c r="AN78">
        <v>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</row>
    <row r="79" spans="1:53" x14ac:dyDescent="0.35">
      <c r="A79">
        <v>0.41216609703415352</v>
      </c>
      <c r="C79">
        <v>2.8493150684931505</v>
      </c>
      <c r="D79" s="137">
        <f t="shared" si="18"/>
        <v>0.45474047484230562</v>
      </c>
      <c r="E79">
        <v>0</v>
      </c>
      <c r="F79">
        <v>1.3222192947339193</v>
      </c>
      <c r="G79" s="45">
        <v>3.59</v>
      </c>
      <c r="H79" s="29">
        <f t="shared" si="19"/>
        <v>0.55509444857831913</v>
      </c>
      <c r="I79" s="9">
        <v>0</v>
      </c>
      <c r="J79" s="34">
        <v>-4.3648054024500883E-3</v>
      </c>
      <c r="K79">
        <v>14</v>
      </c>
      <c r="L79" s="137">
        <f t="shared" si="20"/>
        <v>1.146128035678238</v>
      </c>
      <c r="M79">
        <f t="shared" si="17"/>
        <v>0</v>
      </c>
      <c r="N79">
        <v>70</v>
      </c>
      <c r="O79">
        <v>70</v>
      </c>
      <c r="P79">
        <v>95.6</v>
      </c>
      <c r="Q79" s="137">
        <f t="shared" si="21"/>
        <v>1.9804578922761</v>
      </c>
      <c r="R79" s="34">
        <v>44</v>
      </c>
      <c r="S79" s="34">
        <f t="shared" si="22"/>
        <v>1.6434526764861874</v>
      </c>
      <c r="T79" s="42">
        <v>50.007710041127098</v>
      </c>
      <c r="U79" s="42">
        <f t="shared" si="23"/>
        <v>1.6990369677395805</v>
      </c>
      <c r="V79">
        <v>3.1616209089088487</v>
      </c>
      <c r="W79" s="14">
        <v>2</v>
      </c>
      <c r="X79">
        <v>3.7997633234477775</v>
      </c>
      <c r="Y79">
        <v>8.9617579569203265</v>
      </c>
      <c r="Z79" s="80">
        <v>6.9346177697598321E-2</v>
      </c>
      <c r="AA79">
        <v>1</v>
      </c>
      <c r="AB79">
        <f t="shared" si="24"/>
        <v>1</v>
      </c>
      <c r="AC79">
        <f t="shared" si="25"/>
        <v>0</v>
      </c>
      <c r="AD79">
        <f t="shared" si="26"/>
        <v>0</v>
      </c>
      <c r="AE79">
        <f t="shared" si="27"/>
        <v>0</v>
      </c>
      <c r="AF79">
        <f t="shared" si="28"/>
        <v>0</v>
      </c>
      <c r="AG79">
        <f t="shared" si="29"/>
        <v>0</v>
      </c>
      <c r="AH79">
        <f t="shared" si="30"/>
        <v>0</v>
      </c>
      <c r="AI79">
        <f t="shared" si="31"/>
        <v>0</v>
      </c>
      <c r="AJ79">
        <f t="shared" si="32"/>
        <v>0</v>
      </c>
      <c r="AK79">
        <f t="shared" si="33"/>
        <v>0</v>
      </c>
      <c r="AL79">
        <v>0</v>
      </c>
      <c r="AM79">
        <v>0</v>
      </c>
      <c r="AN79">
        <v>0</v>
      </c>
      <c r="AO79">
        <v>0</v>
      </c>
      <c r="AP79">
        <v>1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</row>
    <row r="80" spans="1:53" x14ac:dyDescent="0.35">
      <c r="A80">
        <v>-1.8149438169419448E-2</v>
      </c>
      <c r="C80">
        <v>6.8931506849315065</v>
      </c>
      <c r="D80" s="137">
        <f t="shared" si="18"/>
        <v>0.83841777231675663</v>
      </c>
      <c r="E80">
        <v>0</v>
      </c>
      <c r="F80">
        <v>1.6334684555795864</v>
      </c>
      <c r="G80" s="45">
        <v>3.59</v>
      </c>
      <c r="H80" s="29">
        <f t="shared" si="19"/>
        <v>0.55509444857831913</v>
      </c>
      <c r="I80" s="9">
        <v>0</v>
      </c>
      <c r="J80" s="34">
        <v>0.12057393120584989</v>
      </c>
      <c r="K80">
        <v>12</v>
      </c>
      <c r="L80" s="137">
        <f t="shared" si="20"/>
        <v>1.0791812460476249</v>
      </c>
      <c r="M80">
        <f t="shared" si="17"/>
        <v>0</v>
      </c>
      <c r="N80">
        <v>70</v>
      </c>
      <c r="O80">
        <v>70</v>
      </c>
      <c r="P80">
        <v>96.1</v>
      </c>
      <c r="Q80" s="137">
        <f t="shared" si="21"/>
        <v>1.9827233876685453</v>
      </c>
      <c r="R80" s="34">
        <v>46</v>
      </c>
      <c r="S80" s="34">
        <f t="shared" si="22"/>
        <v>1.6627578316815741</v>
      </c>
      <c r="T80" s="42">
        <v>50.974560675820896</v>
      </c>
      <c r="U80" s="42">
        <f t="shared" si="23"/>
        <v>1.7073534914999287</v>
      </c>
      <c r="V80">
        <v>3.1616209089088487</v>
      </c>
      <c r="W80" s="14">
        <v>2</v>
      </c>
      <c r="X80">
        <v>3.7997633234477775</v>
      </c>
      <c r="Y80">
        <v>9.622354964412688</v>
      </c>
      <c r="Z80" s="80">
        <v>0.15542732277441451</v>
      </c>
      <c r="AA80">
        <v>2</v>
      </c>
      <c r="AB80">
        <f t="shared" si="24"/>
        <v>0</v>
      </c>
      <c r="AC80">
        <f t="shared" si="25"/>
        <v>1</v>
      </c>
      <c r="AD80">
        <f t="shared" si="26"/>
        <v>0</v>
      </c>
      <c r="AE80">
        <f t="shared" si="27"/>
        <v>0</v>
      </c>
      <c r="AF80">
        <f t="shared" si="28"/>
        <v>0</v>
      </c>
      <c r="AG80">
        <f t="shared" si="29"/>
        <v>0</v>
      </c>
      <c r="AH80">
        <f t="shared" si="30"/>
        <v>0</v>
      </c>
      <c r="AI80">
        <f t="shared" si="31"/>
        <v>0</v>
      </c>
      <c r="AJ80">
        <f t="shared" si="32"/>
        <v>0</v>
      </c>
      <c r="AK80">
        <f t="shared" si="33"/>
        <v>0</v>
      </c>
      <c r="AL80">
        <v>0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</row>
    <row r="81" spans="1:53" x14ac:dyDescent="0.35">
      <c r="A81">
        <v>0.66076339551899865</v>
      </c>
      <c r="C81">
        <v>2.7315068493150685</v>
      </c>
      <c r="D81" s="137">
        <f t="shared" si="18"/>
        <v>0.43640229385518103</v>
      </c>
      <c r="E81">
        <v>0</v>
      </c>
      <c r="F81">
        <v>1.3222192947339193</v>
      </c>
      <c r="G81" s="45">
        <v>3.59</v>
      </c>
      <c r="H81" s="29">
        <f t="shared" si="19"/>
        <v>0.55509444857831913</v>
      </c>
      <c r="I81" s="9">
        <v>0</v>
      </c>
      <c r="J81" s="34">
        <v>0.13672056715640679</v>
      </c>
      <c r="K81">
        <v>9</v>
      </c>
      <c r="L81" s="137">
        <f t="shared" si="20"/>
        <v>0.95424250943932487</v>
      </c>
      <c r="M81">
        <f t="shared" si="17"/>
        <v>0</v>
      </c>
      <c r="N81">
        <v>70</v>
      </c>
      <c r="O81">
        <v>70</v>
      </c>
      <c r="P81">
        <v>70</v>
      </c>
      <c r="Q81" s="137">
        <f t="shared" si="21"/>
        <v>1.8450980400142569</v>
      </c>
      <c r="R81" s="34">
        <v>45.5</v>
      </c>
      <c r="S81" s="34">
        <f t="shared" si="22"/>
        <v>1.6580113966571124</v>
      </c>
      <c r="T81" s="42">
        <v>53.974932698910798</v>
      </c>
      <c r="U81" s="42">
        <f t="shared" si="23"/>
        <v>1.7321921094868633</v>
      </c>
      <c r="V81">
        <v>3.1616209089088487</v>
      </c>
      <c r="W81" s="14">
        <v>2</v>
      </c>
      <c r="X81">
        <v>3.7997633234477775</v>
      </c>
      <c r="Y81">
        <v>8.3722443640434001</v>
      </c>
      <c r="Z81" s="80">
        <v>0.51292896279919242</v>
      </c>
      <c r="AA81">
        <v>4</v>
      </c>
      <c r="AB81">
        <f t="shared" si="24"/>
        <v>0</v>
      </c>
      <c r="AC81">
        <f t="shared" si="25"/>
        <v>0</v>
      </c>
      <c r="AD81">
        <f t="shared" si="26"/>
        <v>0</v>
      </c>
      <c r="AE81">
        <f t="shared" si="27"/>
        <v>1</v>
      </c>
      <c r="AF81">
        <f t="shared" si="28"/>
        <v>0</v>
      </c>
      <c r="AG81">
        <f t="shared" si="29"/>
        <v>0</v>
      </c>
      <c r="AH81">
        <f t="shared" si="30"/>
        <v>0</v>
      </c>
      <c r="AI81">
        <f t="shared" si="31"/>
        <v>0</v>
      </c>
      <c r="AJ81">
        <f t="shared" si="32"/>
        <v>0</v>
      </c>
      <c r="AK81">
        <f t="shared" si="33"/>
        <v>0</v>
      </c>
      <c r="AL81">
        <v>0</v>
      </c>
      <c r="AM81">
        <v>0</v>
      </c>
      <c r="AN81">
        <v>0</v>
      </c>
      <c r="AO81">
        <v>0</v>
      </c>
      <c r="AP81">
        <v>1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</row>
    <row r="82" spans="1:53" x14ac:dyDescent="0.35">
      <c r="A82">
        <v>0.40690165901075054</v>
      </c>
      <c r="C82">
        <v>4.0821917808219181</v>
      </c>
      <c r="D82" s="137">
        <f t="shared" si="18"/>
        <v>0.61089340395579939</v>
      </c>
      <c r="E82">
        <v>0</v>
      </c>
      <c r="F82">
        <v>1.919078092376074</v>
      </c>
      <c r="G82" s="45">
        <v>3.59</v>
      </c>
      <c r="H82" s="29">
        <f t="shared" si="19"/>
        <v>0.55509444857831913</v>
      </c>
      <c r="I82" s="9">
        <v>0</v>
      </c>
      <c r="J82" s="34">
        <v>-3.1517051446064911E-2</v>
      </c>
      <c r="K82">
        <v>7</v>
      </c>
      <c r="L82" s="137">
        <f t="shared" si="20"/>
        <v>0.84509804001425681</v>
      </c>
      <c r="M82">
        <f t="shared" si="17"/>
        <v>0</v>
      </c>
      <c r="N82">
        <v>70</v>
      </c>
      <c r="O82">
        <v>70</v>
      </c>
      <c r="P82">
        <v>70</v>
      </c>
      <c r="Q82" s="137">
        <f t="shared" si="21"/>
        <v>1.8450980400142569</v>
      </c>
      <c r="R82" s="34">
        <v>46.8</v>
      </c>
      <c r="S82" s="34">
        <f t="shared" si="22"/>
        <v>1.670245853074124</v>
      </c>
      <c r="T82" s="42">
        <v>52.695054949482603</v>
      </c>
      <c r="U82" s="42">
        <f t="shared" si="23"/>
        <v>1.7217698617226407</v>
      </c>
      <c r="V82">
        <v>3.1616209089088487</v>
      </c>
      <c r="W82" s="14">
        <v>2</v>
      </c>
      <c r="X82">
        <v>3.7997633234477775</v>
      </c>
      <c r="Y82">
        <v>8.6367686426690309</v>
      </c>
      <c r="Z82" s="80">
        <v>-0.15558349199609922</v>
      </c>
      <c r="AA82">
        <v>5</v>
      </c>
      <c r="AB82">
        <f t="shared" si="24"/>
        <v>0</v>
      </c>
      <c r="AC82">
        <f t="shared" si="25"/>
        <v>0</v>
      </c>
      <c r="AD82">
        <f t="shared" si="26"/>
        <v>0</v>
      </c>
      <c r="AE82">
        <f t="shared" si="27"/>
        <v>0</v>
      </c>
      <c r="AF82">
        <f t="shared" si="28"/>
        <v>1</v>
      </c>
      <c r="AG82">
        <f t="shared" si="29"/>
        <v>0</v>
      </c>
      <c r="AH82">
        <f t="shared" si="30"/>
        <v>0</v>
      </c>
      <c r="AI82">
        <f t="shared" si="31"/>
        <v>0</v>
      </c>
      <c r="AJ82">
        <f t="shared" si="32"/>
        <v>0</v>
      </c>
      <c r="AK82">
        <f t="shared" si="33"/>
        <v>0</v>
      </c>
      <c r="AL82">
        <v>0</v>
      </c>
      <c r="AM82">
        <v>0</v>
      </c>
      <c r="AN82">
        <v>0</v>
      </c>
      <c r="AO82">
        <v>0</v>
      </c>
      <c r="AP82">
        <v>1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</row>
    <row r="83" spans="1:53" x14ac:dyDescent="0.35">
      <c r="A83">
        <v>-3.7788560889399803E-2</v>
      </c>
      <c r="C83">
        <v>7.397260273972603</v>
      </c>
      <c r="D83" s="137">
        <f t="shared" si="18"/>
        <v>0.86907089970251261</v>
      </c>
      <c r="E83">
        <v>0</v>
      </c>
      <c r="F83">
        <v>1.9867717342662448</v>
      </c>
      <c r="G83" s="45">
        <v>3.59</v>
      </c>
      <c r="H83" s="29">
        <f t="shared" si="19"/>
        <v>0.55509444857831913</v>
      </c>
      <c r="I83" s="9">
        <v>0</v>
      </c>
      <c r="J83" s="34">
        <v>4.5322978786657475E-2</v>
      </c>
      <c r="K83">
        <v>5</v>
      </c>
      <c r="L83" s="137">
        <f t="shared" si="20"/>
        <v>0.69897000433601886</v>
      </c>
      <c r="M83">
        <f t="shared" si="17"/>
        <v>0</v>
      </c>
      <c r="N83">
        <v>70</v>
      </c>
      <c r="O83">
        <v>70</v>
      </c>
      <c r="P83">
        <v>70</v>
      </c>
      <c r="Q83" s="137">
        <f t="shared" si="21"/>
        <v>1.8450980400142569</v>
      </c>
      <c r="R83" s="34">
        <v>48.8</v>
      </c>
      <c r="S83" s="34">
        <f t="shared" si="22"/>
        <v>1.6884198220027107</v>
      </c>
      <c r="T83" s="42">
        <v>56.244853437044902</v>
      </c>
      <c r="U83" s="42">
        <f t="shared" si="23"/>
        <v>1.750082789429638</v>
      </c>
      <c r="V83">
        <v>3.1616209089088487</v>
      </c>
      <c r="W83" s="14">
        <v>2</v>
      </c>
      <c r="X83">
        <v>3.7997633234477775</v>
      </c>
      <c r="Y83">
        <v>8.7781512503836439</v>
      </c>
      <c r="Z83" s="80">
        <v>0.13207234799884104</v>
      </c>
      <c r="AA83">
        <v>7</v>
      </c>
      <c r="AB83">
        <f t="shared" si="24"/>
        <v>0</v>
      </c>
      <c r="AC83">
        <f t="shared" si="25"/>
        <v>0</v>
      </c>
      <c r="AD83">
        <f t="shared" si="26"/>
        <v>0</v>
      </c>
      <c r="AE83">
        <f t="shared" si="27"/>
        <v>0</v>
      </c>
      <c r="AF83">
        <f t="shared" si="28"/>
        <v>0</v>
      </c>
      <c r="AG83">
        <f t="shared" si="29"/>
        <v>0</v>
      </c>
      <c r="AH83">
        <f t="shared" si="30"/>
        <v>1</v>
      </c>
      <c r="AI83">
        <f t="shared" si="31"/>
        <v>0</v>
      </c>
      <c r="AJ83">
        <f t="shared" si="32"/>
        <v>0</v>
      </c>
      <c r="AK83">
        <f t="shared" si="33"/>
        <v>0</v>
      </c>
      <c r="AL83">
        <v>0</v>
      </c>
      <c r="AM83">
        <v>0</v>
      </c>
      <c r="AN83">
        <v>0</v>
      </c>
      <c r="AO83">
        <v>0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</row>
    <row r="84" spans="1:53" x14ac:dyDescent="0.35">
      <c r="A84">
        <v>0.33137510772884793</v>
      </c>
      <c r="C84">
        <v>5.6356164383561644</v>
      </c>
      <c r="D84" s="137">
        <f t="shared" si="18"/>
        <v>0.7509414272382493</v>
      </c>
      <c r="E84">
        <v>0</v>
      </c>
      <c r="F84">
        <v>1.7634279935629373</v>
      </c>
      <c r="G84" s="45">
        <v>3.59</v>
      </c>
      <c r="H84" s="29">
        <f t="shared" si="19"/>
        <v>0.55509444857831913</v>
      </c>
      <c r="I84" s="9">
        <v>0</v>
      </c>
      <c r="J84" s="34">
        <v>-4.5757490560675115E-2</v>
      </c>
      <c r="K84">
        <v>5</v>
      </c>
      <c r="L84" s="137">
        <f t="shared" si="20"/>
        <v>0.69897000433601886</v>
      </c>
      <c r="M84">
        <f t="shared" si="17"/>
        <v>0</v>
      </c>
      <c r="N84">
        <v>70</v>
      </c>
      <c r="O84">
        <v>70</v>
      </c>
      <c r="P84">
        <v>70</v>
      </c>
      <c r="Q84" s="137">
        <f t="shared" si="21"/>
        <v>1.8450980400142569</v>
      </c>
      <c r="R84" s="34">
        <v>48.8</v>
      </c>
      <c r="S84" s="34">
        <f t="shared" si="22"/>
        <v>1.6884198220027107</v>
      </c>
      <c r="T84" s="42">
        <v>56.244853437044902</v>
      </c>
      <c r="U84" s="42">
        <f t="shared" si="23"/>
        <v>1.750082789429638</v>
      </c>
      <c r="V84">
        <v>3.1616209089088487</v>
      </c>
      <c r="W84" s="14">
        <v>2</v>
      </c>
      <c r="X84">
        <v>3.7997633234477775</v>
      </c>
      <c r="Y84">
        <v>8.3360778451611068</v>
      </c>
      <c r="Z84" s="80">
        <v>-0.22827251931598225</v>
      </c>
      <c r="AA84">
        <v>5</v>
      </c>
      <c r="AB84">
        <f t="shared" si="24"/>
        <v>0</v>
      </c>
      <c r="AC84">
        <f t="shared" si="25"/>
        <v>0</v>
      </c>
      <c r="AD84">
        <f t="shared" si="26"/>
        <v>0</v>
      </c>
      <c r="AE84">
        <f t="shared" si="27"/>
        <v>0</v>
      </c>
      <c r="AF84">
        <f t="shared" si="28"/>
        <v>1</v>
      </c>
      <c r="AG84">
        <f t="shared" si="29"/>
        <v>0</v>
      </c>
      <c r="AH84">
        <f t="shared" si="30"/>
        <v>0</v>
      </c>
      <c r="AI84">
        <f t="shared" si="31"/>
        <v>0</v>
      </c>
      <c r="AJ84">
        <f t="shared" si="32"/>
        <v>0</v>
      </c>
      <c r="AK84">
        <f t="shared" si="33"/>
        <v>0</v>
      </c>
      <c r="AL84">
        <v>0</v>
      </c>
      <c r="AM84">
        <v>0</v>
      </c>
      <c r="AN84">
        <v>0</v>
      </c>
      <c r="AO84">
        <v>0</v>
      </c>
      <c r="AP84">
        <v>1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</row>
    <row r="85" spans="1:53" x14ac:dyDescent="0.35">
      <c r="A85">
        <v>0.96589849818814433</v>
      </c>
      <c r="C85">
        <v>5.4164383561643836</v>
      </c>
      <c r="D85" s="137">
        <f t="shared" si="18"/>
        <v>0.73371380485719762</v>
      </c>
      <c r="E85">
        <v>0</v>
      </c>
      <c r="F85">
        <v>1.8692317197309762</v>
      </c>
      <c r="G85" s="45">
        <v>3.59</v>
      </c>
      <c r="H85" s="29">
        <f t="shared" si="19"/>
        <v>0.55509444857831913</v>
      </c>
      <c r="I85" s="9">
        <v>0</v>
      </c>
      <c r="J85" s="34">
        <v>-4.0958607678906384E-2</v>
      </c>
      <c r="K85">
        <v>4</v>
      </c>
      <c r="L85" s="137">
        <f t="shared" si="20"/>
        <v>0.6020599913279624</v>
      </c>
      <c r="M85">
        <f t="shared" si="17"/>
        <v>0</v>
      </c>
      <c r="N85">
        <v>70</v>
      </c>
      <c r="O85">
        <v>70</v>
      </c>
      <c r="P85">
        <v>70</v>
      </c>
      <c r="Q85" s="137">
        <f t="shared" si="21"/>
        <v>1.8450980400142569</v>
      </c>
      <c r="R85" s="34">
        <v>48.4</v>
      </c>
      <c r="S85" s="34">
        <f t="shared" si="22"/>
        <v>1.6848453616444126</v>
      </c>
      <c r="T85" s="42">
        <v>56.929890049265502</v>
      </c>
      <c r="U85" s="42">
        <f t="shared" si="23"/>
        <v>1.7553403450438787</v>
      </c>
      <c r="V85">
        <v>3.1616209089088487</v>
      </c>
      <c r="W85" s="14">
        <v>2</v>
      </c>
      <c r="X85">
        <v>3.7997633234477775</v>
      </c>
      <c r="Y85">
        <v>7.6594139527735292</v>
      </c>
      <c r="Z85" s="80">
        <v>-0.26357768670086146</v>
      </c>
      <c r="AA85">
        <v>9</v>
      </c>
      <c r="AB85">
        <f t="shared" si="24"/>
        <v>0</v>
      </c>
      <c r="AC85">
        <f t="shared" si="25"/>
        <v>0</v>
      </c>
      <c r="AD85">
        <f t="shared" si="26"/>
        <v>0</v>
      </c>
      <c r="AE85">
        <f t="shared" si="27"/>
        <v>0</v>
      </c>
      <c r="AF85">
        <f t="shared" si="28"/>
        <v>0</v>
      </c>
      <c r="AG85">
        <f t="shared" si="29"/>
        <v>0</v>
      </c>
      <c r="AH85">
        <f t="shared" si="30"/>
        <v>0</v>
      </c>
      <c r="AI85">
        <f t="shared" si="31"/>
        <v>0</v>
      </c>
      <c r="AJ85">
        <f t="shared" si="32"/>
        <v>1</v>
      </c>
      <c r="AK85">
        <f t="shared" si="33"/>
        <v>0</v>
      </c>
      <c r="AL85">
        <v>0</v>
      </c>
      <c r="AM85">
        <v>0</v>
      </c>
      <c r="AN85">
        <v>0</v>
      </c>
      <c r="AO85">
        <v>0</v>
      </c>
      <c r="AP85">
        <v>1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</row>
    <row r="86" spans="1:53" x14ac:dyDescent="0.35">
      <c r="A86">
        <v>0.18247805771708187</v>
      </c>
      <c r="C86">
        <v>4.3260273972602743</v>
      </c>
      <c r="D86" s="137">
        <f t="shared" si="18"/>
        <v>0.63608926555181955</v>
      </c>
      <c r="E86">
        <v>3.1189984043805832</v>
      </c>
      <c r="F86">
        <v>1.0791812460476249</v>
      </c>
      <c r="G86" s="45">
        <v>3.13</v>
      </c>
      <c r="H86" s="29">
        <f t="shared" si="19"/>
        <v>0.49554433754644844</v>
      </c>
      <c r="I86" s="9">
        <v>3.0711452904510828</v>
      </c>
      <c r="J86" s="34">
        <v>0.22271647114758325</v>
      </c>
      <c r="K86">
        <v>18</v>
      </c>
      <c r="L86" s="137">
        <f t="shared" si="20"/>
        <v>1.255272505103306</v>
      </c>
      <c r="M86">
        <f t="shared" si="17"/>
        <v>1</v>
      </c>
      <c r="N86">
        <v>70</v>
      </c>
      <c r="O86">
        <v>70</v>
      </c>
      <c r="P86">
        <v>90.5</v>
      </c>
      <c r="Q86" s="137">
        <f t="shared" si="21"/>
        <v>1.9566485792052033</v>
      </c>
      <c r="R86" s="34">
        <v>36.4</v>
      </c>
      <c r="S86" s="34">
        <f t="shared" si="22"/>
        <v>1.5611013836490559</v>
      </c>
      <c r="T86" s="42">
        <v>44.295389122127702</v>
      </c>
      <c r="U86" s="42">
        <f t="shared" si="23"/>
        <v>1.6463585211883986</v>
      </c>
      <c r="V86">
        <v>3.1616209089088487</v>
      </c>
      <c r="W86" s="14">
        <v>2</v>
      </c>
      <c r="X86">
        <v>3.7997633234477775</v>
      </c>
      <c r="Y86">
        <v>9.2552725051033065</v>
      </c>
      <c r="Z86" s="80">
        <v>0.29490812385537235</v>
      </c>
      <c r="AA86">
        <v>2</v>
      </c>
      <c r="AB86">
        <f t="shared" si="24"/>
        <v>0</v>
      </c>
      <c r="AC86">
        <f t="shared" si="25"/>
        <v>1</v>
      </c>
      <c r="AD86">
        <f t="shared" si="26"/>
        <v>0</v>
      </c>
      <c r="AE86">
        <f t="shared" si="27"/>
        <v>0</v>
      </c>
      <c r="AF86">
        <f t="shared" si="28"/>
        <v>0</v>
      </c>
      <c r="AG86">
        <f t="shared" si="29"/>
        <v>0</v>
      </c>
      <c r="AH86">
        <f t="shared" si="30"/>
        <v>0</v>
      </c>
      <c r="AI86">
        <f t="shared" si="31"/>
        <v>0</v>
      </c>
      <c r="AJ86">
        <f t="shared" si="32"/>
        <v>0</v>
      </c>
      <c r="AK86">
        <f t="shared" si="33"/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</row>
    <row r="87" spans="1:53" x14ac:dyDescent="0.35">
      <c r="A87">
        <v>0.16071639748872701</v>
      </c>
      <c r="C87">
        <v>3.5342465753424657</v>
      </c>
      <c r="D87" s="137">
        <f t="shared" si="18"/>
        <v>0.54829684584277427</v>
      </c>
      <c r="E87">
        <v>3.1189984043805832</v>
      </c>
      <c r="F87">
        <v>2.2278867046136734</v>
      </c>
      <c r="G87" s="45">
        <v>3.13</v>
      </c>
      <c r="H87" s="29">
        <f t="shared" si="19"/>
        <v>0.49554433754644844</v>
      </c>
      <c r="I87" s="9">
        <v>3.0711452904510828</v>
      </c>
      <c r="J87" s="34">
        <v>0.17897694729316943</v>
      </c>
      <c r="K87">
        <v>16</v>
      </c>
      <c r="L87" s="137">
        <f t="shared" si="20"/>
        <v>1.2041199826559248</v>
      </c>
      <c r="M87">
        <f t="shared" si="17"/>
        <v>1</v>
      </c>
      <c r="N87">
        <v>70</v>
      </c>
      <c r="O87">
        <v>70</v>
      </c>
      <c r="P87">
        <v>89.6</v>
      </c>
      <c r="Q87" s="137">
        <f t="shared" si="21"/>
        <v>1.9523080096621253</v>
      </c>
      <c r="R87" s="34">
        <v>35</v>
      </c>
      <c r="S87" s="34">
        <f t="shared" si="22"/>
        <v>1.5440680443502757</v>
      </c>
      <c r="T87" s="42">
        <v>47.255451423610303</v>
      </c>
      <c r="U87" s="42">
        <f t="shared" si="23"/>
        <v>1.6744519162659719</v>
      </c>
      <c r="V87">
        <v>3.1616209089088487</v>
      </c>
      <c r="W87" s="14">
        <v>2</v>
      </c>
      <c r="X87">
        <v>3.7997633234477775</v>
      </c>
      <c r="Y87">
        <v>9.3617278360175931</v>
      </c>
      <c r="Z87" s="80">
        <v>0.26631026443029571</v>
      </c>
      <c r="AA87">
        <v>4</v>
      </c>
      <c r="AB87">
        <f t="shared" si="24"/>
        <v>0</v>
      </c>
      <c r="AC87">
        <f t="shared" si="25"/>
        <v>0</v>
      </c>
      <c r="AD87">
        <f t="shared" si="26"/>
        <v>0</v>
      </c>
      <c r="AE87">
        <f t="shared" si="27"/>
        <v>1</v>
      </c>
      <c r="AF87">
        <f t="shared" si="28"/>
        <v>0</v>
      </c>
      <c r="AG87">
        <f t="shared" si="29"/>
        <v>0</v>
      </c>
      <c r="AH87">
        <f t="shared" si="30"/>
        <v>0</v>
      </c>
      <c r="AI87">
        <f t="shared" si="31"/>
        <v>0</v>
      </c>
      <c r="AJ87">
        <f t="shared" si="32"/>
        <v>0</v>
      </c>
      <c r="AK87">
        <f t="shared" si="33"/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</row>
    <row r="88" spans="1:53" x14ac:dyDescent="0.35">
      <c r="A88">
        <v>0.27056849090355672</v>
      </c>
      <c r="C88">
        <v>8.7561643835616429</v>
      </c>
      <c r="D88" s="137">
        <f t="shared" si="18"/>
        <v>0.94231390618547906</v>
      </c>
      <c r="E88">
        <v>3.1189984043805832</v>
      </c>
      <c r="F88">
        <v>0.6020599913279624</v>
      </c>
      <c r="G88" s="45">
        <v>3.13</v>
      </c>
      <c r="H88" s="29">
        <f t="shared" si="19"/>
        <v>0.49554433754644844</v>
      </c>
      <c r="I88" s="9">
        <v>3.0711452904510828</v>
      </c>
      <c r="J88" s="34">
        <v>0.26717172840301384</v>
      </c>
      <c r="K88">
        <v>14</v>
      </c>
      <c r="L88" s="137">
        <f t="shared" si="20"/>
        <v>1.146128035678238</v>
      </c>
      <c r="M88">
        <f t="shared" si="17"/>
        <v>1</v>
      </c>
      <c r="N88">
        <v>70</v>
      </c>
      <c r="O88">
        <v>70</v>
      </c>
      <c r="P88">
        <v>89.9</v>
      </c>
      <c r="Q88" s="137">
        <f t="shared" si="21"/>
        <v>1.9537596917332287</v>
      </c>
      <c r="R88" s="34">
        <v>35.4</v>
      </c>
      <c r="S88" s="34">
        <f t="shared" si="22"/>
        <v>1.5490032620257879</v>
      </c>
      <c r="T88" s="42">
        <v>43.572845019400901</v>
      </c>
      <c r="U88" s="42">
        <f t="shared" si="23"/>
        <v>1.6392159174268797</v>
      </c>
      <c r="V88">
        <v>3.1616209089088487</v>
      </c>
      <c r="W88" s="14">
        <v>2</v>
      </c>
      <c r="X88">
        <v>3.7997633234477775</v>
      </c>
      <c r="Y88">
        <v>8.658850434810736</v>
      </c>
      <c r="Z88" s="80">
        <v>0.38639272678653391</v>
      </c>
      <c r="AA88">
        <v>10</v>
      </c>
      <c r="AB88">
        <f t="shared" si="24"/>
        <v>0</v>
      </c>
      <c r="AC88">
        <f t="shared" si="25"/>
        <v>0</v>
      </c>
      <c r="AD88">
        <f t="shared" si="26"/>
        <v>0</v>
      </c>
      <c r="AE88">
        <f t="shared" si="27"/>
        <v>0</v>
      </c>
      <c r="AF88">
        <f t="shared" si="28"/>
        <v>0</v>
      </c>
      <c r="AG88">
        <f t="shared" si="29"/>
        <v>0</v>
      </c>
      <c r="AH88">
        <f t="shared" si="30"/>
        <v>0</v>
      </c>
      <c r="AI88">
        <f t="shared" si="31"/>
        <v>0</v>
      </c>
      <c r="AJ88">
        <f t="shared" si="32"/>
        <v>0</v>
      </c>
      <c r="AK88">
        <f t="shared" si="33"/>
        <v>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</row>
    <row r="89" spans="1:53" x14ac:dyDescent="0.35">
      <c r="A89">
        <v>0.385743730311567</v>
      </c>
      <c r="C89">
        <v>4.904109589041096</v>
      </c>
      <c r="D89" s="137">
        <f t="shared" si="18"/>
        <v>0.69056016652341845</v>
      </c>
      <c r="E89">
        <v>3.1189984043805832</v>
      </c>
      <c r="F89">
        <v>0.77815125038364363</v>
      </c>
      <c r="G89" s="45">
        <v>3.13</v>
      </c>
      <c r="H89" s="29">
        <f t="shared" si="19"/>
        <v>0.49554433754644844</v>
      </c>
      <c r="I89" s="9">
        <v>3.0711452904510828</v>
      </c>
      <c r="J89" s="34">
        <v>-4.3648054024500883E-3</v>
      </c>
      <c r="K89">
        <v>12</v>
      </c>
      <c r="L89" s="137">
        <f t="shared" si="20"/>
        <v>1.0791812460476249</v>
      </c>
      <c r="M89">
        <f t="shared" si="17"/>
        <v>1</v>
      </c>
      <c r="N89">
        <v>70</v>
      </c>
      <c r="O89">
        <v>70</v>
      </c>
      <c r="P89">
        <v>89.1</v>
      </c>
      <c r="Q89" s="137">
        <f t="shared" si="21"/>
        <v>1.9498777040368747</v>
      </c>
      <c r="R89" s="34">
        <v>34.5</v>
      </c>
      <c r="S89" s="34">
        <f t="shared" si="22"/>
        <v>1.5378190950732742</v>
      </c>
      <c r="T89" s="42">
        <v>44.696333437793797</v>
      </c>
      <c r="U89" s="42">
        <f t="shared" si="23"/>
        <v>1.6502718982315996</v>
      </c>
      <c r="V89">
        <v>3.1616209089088487</v>
      </c>
      <c r="W89" s="14">
        <v>2</v>
      </c>
      <c r="X89">
        <v>3.7997633234477775</v>
      </c>
      <c r="Y89">
        <v>9.1139433523068369</v>
      </c>
      <c r="Z89" s="80">
        <v>-2.9286602728828215E-2</v>
      </c>
      <c r="AA89">
        <v>4</v>
      </c>
      <c r="AB89">
        <f t="shared" si="24"/>
        <v>0</v>
      </c>
      <c r="AC89">
        <f t="shared" si="25"/>
        <v>0</v>
      </c>
      <c r="AD89">
        <f t="shared" si="26"/>
        <v>0</v>
      </c>
      <c r="AE89">
        <f t="shared" si="27"/>
        <v>1</v>
      </c>
      <c r="AF89">
        <f t="shared" si="28"/>
        <v>0</v>
      </c>
      <c r="AG89">
        <f t="shared" si="29"/>
        <v>0</v>
      </c>
      <c r="AH89">
        <f t="shared" si="30"/>
        <v>0</v>
      </c>
      <c r="AI89">
        <f t="shared" si="31"/>
        <v>0</v>
      </c>
      <c r="AJ89">
        <f t="shared" si="32"/>
        <v>0</v>
      </c>
      <c r="AK89">
        <f t="shared" si="33"/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</row>
    <row r="90" spans="1:53" x14ac:dyDescent="0.35">
      <c r="A90">
        <v>0.28243350717232268</v>
      </c>
      <c r="C90">
        <v>10.736986301369862</v>
      </c>
      <c r="D90" s="137">
        <f t="shared" si="18"/>
        <v>1.0308823990216278</v>
      </c>
      <c r="E90">
        <v>3.1189984043805832</v>
      </c>
      <c r="F90">
        <v>1.2787536009528289</v>
      </c>
      <c r="G90" s="45">
        <v>3.13</v>
      </c>
      <c r="H90" s="29">
        <f t="shared" si="19"/>
        <v>0.49554433754644844</v>
      </c>
      <c r="I90" s="9">
        <v>3.0711452904510828</v>
      </c>
      <c r="J90" s="34">
        <v>-0.23657200643706267</v>
      </c>
      <c r="K90">
        <v>21</v>
      </c>
      <c r="L90" s="137">
        <f t="shared" si="20"/>
        <v>1.3222192947339193</v>
      </c>
      <c r="M90">
        <f t="shared" si="17"/>
        <v>1</v>
      </c>
      <c r="N90">
        <v>70</v>
      </c>
      <c r="O90">
        <v>70</v>
      </c>
      <c r="P90">
        <v>88.2</v>
      </c>
      <c r="Q90" s="137">
        <f t="shared" si="21"/>
        <v>1.9454685851318196</v>
      </c>
      <c r="R90" s="34">
        <v>37</v>
      </c>
      <c r="S90" s="34">
        <f t="shared" si="22"/>
        <v>1.568201724066995</v>
      </c>
      <c r="T90" s="42">
        <v>43.709255262622698</v>
      </c>
      <c r="U90" s="42">
        <f t="shared" si="23"/>
        <v>1.6405734068536693</v>
      </c>
      <c r="V90">
        <v>3.1616209089088487</v>
      </c>
      <c r="W90" s="14">
        <v>2</v>
      </c>
      <c r="X90">
        <v>3.7997633234477775</v>
      </c>
      <c r="Y90">
        <v>8.6206564798196208</v>
      </c>
      <c r="Z90" s="80">
        <v>-0.28554185721011316</v>
      </c>
      <c r="AA90">
        <v>2</v>
      </c>
      <c r="AB90">
        <f t="shared" si="24"/>
        <v>0</v>
      </c>
      <c r="AC90">
        <f t="shared" si="25"/>
        <v>1</v>
      </c>
      <c r="AD90">
        <f t="shared" si="26"/>
        <v>0</v>
      </c>
      <c r="AE90">
        <f t="shared" si="27"/>
        <v>0</v>
      </c>
      <c r="AF90">
        <f t="shared" si="28"/>
        <v>0</v>
      </c>
      <c r="AG90">
        <f t="shared" si="29"/>
        <v>0</v>
      </c>
      <c r="AH90">
        <f t="shared" si="30"/>
        <v>0</v>
      </c>
      <c r="AI90">
        <f t="shared" si="31"/>
        <v>0</v>
      </c>
      <c r="AJ90">
        <f t="shared" si="32"/>
        <v>0</v>
      </c>
      <c r="AK90">
        <f t="shared" si="33"/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</row>
    <row r="91" spans="1:53" x14ac:dyDescent="0.35">
      <c r="A91">
        <v>0.24667233334138849</v>
      </c>
      <c r="C91">
        <v>3.1945205479452055</v>
      </c>
      <c r="D91" s="137">
        <f t="shared" si="18"/>
        <v>0.50440568596652058</v>
      </c>
      <c r="E91">
        <v>3.1566248585544785</v>
      </c>
      <c r="F91">
        <v>0.90308998699194354</v>
      </c>
      <c r="G91" s="45">
        <v>3.43</v>
      </c>
      <c r="H91" s="29">
        <f t="shared" si="19"/>
        <v>0.53529412004277055</v>
      </c>
      <c r="I91" s="9">
        <v>2.8438554226231609</v>
      </c>
      <c r="J91" s="34">
        <v>0.13033376849500614</v>
      </c>
      <c r="K91">
        <v>21</v>
      </c>
      <c r="L91" s="137">
        <f t="shared" si="20"/>
        <v>1.3222192947339193</v>
      </c>
      <c r="M91">
        <f t="shared" si="17"/>
        <v>1</v>
      </c>
      <c r="N91">
        <v>70</v>
      </c>
      <c r="O91">
        <v>70</v>
      </c>
      <c r="P91">
        <v>91.1</v>
      </c>
      <c r="Q91" s="137">
        <f t="shared" si="21"/>
        <v>1.9595183769729982</v>
      </c>
      <c r="R91" s="34">
        <v>32.200000000000003</v>
      </c>
      <c r="S91" s="34">
        <f t="shared" si="22"/>
        <v>1.507855871695831</v>
      </c>
      <c r="T91" s="42">
        <v>42.1993112284324</v>
      </c>
      <c r="U91" s="42">
        <f t="shared" si="23"/>
        <v>1.6253053625225207</v>
      </c>
      <c r="V91">
        <v>3.1616209089088487</v>
      </c>
      <c r="W91" s="14">
        <v>2</v>
      </c>
      <c r="X91">
        <v>3.7997633234477775</v>
      </c>
      <c r="Y91">
        <v>8.9294189257142929</v>
      </c>
      <c r="Z91" s="80">
        <v>0.14267333254738945</v>
      </c>
      <c r="AA91">
        <v>3</v>
      </c>
      <c r="AB91">
        <f t="shared" si="24"/>
        <v>0</v>
      </c>
      <c r="AC91">
        <f t="shared" si="25"/>
        <v>0</v>
      </c>
      <c r="AD91">
        <f t="shared" si="26"/>
        <v>1</v>
      </c>
      <c r="AE91">
        <f t="shared" si="27"/>
        <v>0</v>
      </c>
      <c r="AF91">
        <f t="shared" si="28"/>
        <v>0</v>
      </c>
      <c r="AG91">
        <f t="shared" si="29"/>
        <v>0</v>
      </c>
      <c r="AH91">
        <f t="shared" si="30"/>
        <v>0</v>
      </c>
      <c r="AI91">
        <f t="shared" si="31"/>
        <v>0</v>
      </c>
      <c r="AJ91">
        <f t="shared" si="32"/>
        <v>0</v>
      </c>
      <c r="AK91">
        <f t="shared" si="33"/>
        <v>0</v>
      </c>
      <c r="AL91">
        <v>0</v>
      </c>
      <c r="AM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</row>
    <row r="92" spans="1:53" x14ac:dyDescent="0.35">
      <c r="A92">
        <v>-0.13768510304979162</v>
      </c>
      <c r="C92">
        <v>2.4821917808219176</v>
      </c>
      <c r="D92" s="137">
        <f t="shared" si="18"/>
        <v>0.39483533322033831</v>
      </c>
      <c r="E92">
        <v>2.2426159575692655</v>
      </c>
      <c r="F92">
        <v>1.146128035678238</v>
      </c>
      <c r="G92" s="45">
        <v>3.18</v>
      </c>
      <c r="H92" s="29">
        <f t="shared" si="19"/>
        <v>0.50242711998443268</v>
      </c>
      <c r="I92" s="9">
        <v>2.4705574852172743</v>
      </c>
      <c r="J92" s="34">
        <v>9.3421685162235063E-2</v>
      </c>
      <c r="K92">
        <v>16</v>
      </c>
      <c r="L92" s="137">
        <f t="shared" si="20"/>
        <v>1.2041199826559248</v>
      </c>
      <c r="M92">
        <f t="shared" si="17"/>
        <v>1</v>
      </c>
      <c r="N92">
        <v>70</v>
      </c>
      <c r="O92">
        <v>70</v>
      </c>
      <c r="P92">
        <v>70</v>
      </c>
      <c r="Q92" s="137">
        <f t="shared" si="21"/>
        <v>1.8450980400142569</v>
      </c>
      <c r="R92" s="34">
        <v>44.1</v>
      </c>
      <c r="S92" s="34">
        <f t="shared" si="22"/>
        <v>1.6444385894678386</v>
      </c>
      <c r="T92" s="42">
        <v>50.560579232511799</v>
      </c>
      <c r="U92" s="42">
        <f t="shared" si="23"/>
        <v>1.703812040670742</v>
      </c>
      <c r="V92">
        <v>3.3740570806117947</v>
      </c>
      <c r="W92" s="14">
        <v>2</v>
      </c>
      <c r="X92" s="14">
        <v>3.9700736609473402</v>
      </c>
      <c r="Y92">
        <v>8.1139433523068369</v>
      </c>
      <c r="Z92" s="80">
        <v>7.5129901375345032E-2</v>
      </c>
      <c r="AA92">
        <v>7</v>
      </c>
      <c r="AB92">
        <f t="shared" si="24"/>
        <v>0</v>
      </c>
      <c r="AC92">
        <f t="shared" si="25"/>
        <v>0</v>
      </c>
      <c r="AD92">
        <f t="shared" si="26"/>
        <v>0</v>
      </c>
      <c r="AE92">
        <f t="shared" si="27"/>
        <v>0</v>
      </c>
      <c r="AF92">
        <f t="shared" si="28"/>
        <v>0</v>
      </c>
      <c r="AG92">
        <f t="shared" si="29"/>
        <v>0</v>
      </c>
      <c r="AH92">
        <f t="shared" si="30"/>
        <v>1</v>
      </c>
      <c r="AI92">
        <f t="shared" si="31"/>
        <v>0</v>
      </c>
      <c r="AJ92">
        <f t="shared" si="32"/>
        <v>0</v>
      </c>
      <c r="AK92">
        <f t="shared" si="33"/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</row>
    <row r="93" spans="1:53" x14ac:dyDescent="0.35">
      <c r="A93">
        <v>0.37473423390735744</v>
      </c>
      <c r="C93">
        <v>13.484931506849316</v>
      </c>
      <c r="D93" s="137">
        <f t="shared" si="18"/>
        <v>1.129848744910309</v>
      </c>
      <c r="E93">
        <v>0</v>
      </c>
      <c r="F93">
        <v>1.6232492903979006</v>
      </c>
      <c r="G93" s="45">
        <v>3.28</v>
      </c>
      <c r="H93" s="29">
        <f t="shared" si="19"/>
        <v>0.5158738437116791</v>
      </c>
      <c r="I93" s="9">
        <v>0</v>
      </c>
      <c r="J93" s="34">
        <v>0.30319605742048883</v>
      </c>
      <c r="K93">
        <v>19</v>
      </c>
      <c r="L93" s="137">
        <f t="shared" si="20"/>
        <v>1.2787536009528289</v>
      </c>
      <c r="M93">
        <f t="shared" si="17"/>
        <v>0</v>
      </c>
      <c r="N93">
        <v>95</v>
      </c>
      <c r="O93">
        <v>80</v>
      </c>
      <c r="P93">
        <v>70</v>
      </c>
      <c r="Q93" s="137">
        <f t="shared" si="21"/>
        <v>1.8450980400142569</v>
      </c>
      <c r="R93" s="34">
        <v>35.6</v>
      </c>
      <c r="S93" s="34">
        <f t="shared" si="22"/>
        <v>1.5514499979728751</v>
      </c>
      <c r="T93" s="42">
        <v>42.882578893959298</v>
      </c>
      <c r="U93" s="42">
        <f t="shared" si="23"/>
        <v>1.6322808952886716</v>
      </c>
      <c r="V93">
        <v>3.3740570806117947</v>
      </c>
      <c r="W93" s="14">
        <v>2</v>
      </c>
      <c r="X93" s="14">
        <v>3.9700736609473402</v>
      </c>
      <c r="Y93">
        <v>7.6120375003588876</v>
      </c>
      <c r="Z93" s="80">
        <v>0.64551898109295691</v>
      </c>
      <c r="AA93">
        <v>7</v>
      </c>
      <c r="AB93">
        <f t="shared" si="24"/>
        <v>0</v>
      </c>
      <c r="AC93">
        <f t="shared" si="25"/>
        <v>0</v>
      </c>
      <c r="AD93">
        <f t="shared" si="26"/>
        <v>0</v>
      </c>
      <c r="AE93">
        <f t="shared" si="27"/>
        <v>0</v>
      </c>
      <c r="AF93">
        <f t="shared" si="28"/>
        <v>0</v>
      </c>
      <c r="AG93">
        <f t="shared" si="29"/>
        <v>0</v>
      </c>
      <c r="AH93">
        <f t="shared" si="30"/>
        <v>1</v>
      </c>
      <c r="AI93">
        <f t="shared" si="31"/>
        <v>0</v>
      </c>
      <c r="AJ93">
        <f t="shared" si="32"/>
        <v>0</v>
      </c>
      <c r="AK93">
        <f t="shared" si="33"/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</row>
    <row r="94" spans="1:53" x14ac:dyDescent="0.35">
      <c r="A94">
        <v>-1.6922705116064297E-2</v>
      </c>
      <c r="C94">
        <v>1.010958904109589</v>
      </c>
      <c r="D94" s="137">
        <f t="shared" si="18"/>
        <v>4.7335017025856435E-3</v>
      </c>
      <c r="E94">
        <v>0</v>
      </c>
      <c r="F94">
        <v>1.919078092376074</v>
      </c>
      <c r="G94" s="45">
        <v>3.28</v>
      </c>
      <c r="H94" s="29">
        <f t="shared" si="19"/>
        <v>0.5158738437116791</v>
      </c>
      <c r="I94" s="9">
        <v>0</v>
      </c>
      <c r="J94" s="34">
        <v>-7.0581074285707285E-2</v>
      </c>
      <c r="K94">
        <v>18</v>
      </c>
      <c r="L94" s="137">
        <f t="shared" si="20"/>
        <v>1.255272505103306</v>
      </c>
      <c r="M94">
        <f t="shared" si="17"/>
        <v>0</v>
      </c>
      <c r="N94">
        <v>95</v>
      </c>
      <c r="O94">
        <v>80</v>
      </c>
      <c r="P94">
        <v>70</v>
      </c>
      <c r="Q94" s="137">
        <f t="shared" si="21"/>
        <v>1.8450980400142569</v>
      </c>
      <c r="R94" s="34">
        <v>36.9</v>
      </c>
      <c r="S94" s="34">
        <f t="shared" si="22"/>
        <v>1.5670263661590604</v>
      </c>
      <c r="T94" s="42">
        <v>42.177001683602199</v>
      </c>
      <c r="U94" s="42">
        <f t="shared" si="23"/>
        <v>1.6250757029864513</v>
      </c>
      <c r="V94">
        <v>3.3740570806117947</v>
      </c>
      <c r="W94" s="14">
        <v>2</v>
      </c>
      <c r="X94" s="14">
        <v>3.9700736609473402</v>
      </c>
      <c r="Y94">
        <v>8.1958996524092331</v>
      </c>
      <c r="Z94" s="80">
        <v>-8.7935747243091167E-2</v>
      </c>
      <c r="AA94">
        <v>1</v>
      </c>
      <c r="AB94">
        <f t="shared" si="24"/>
        <v>1</v>
      </c>
      <c r="AC94">
        <f t="shared" si="25"/>
        <v>0</v>
      </c>
      <c r="AD94">
        <f t="shared" si="26"/>
        <v>0</v>
      </c>
      <c r="AE94">
        <f t="shared" si="27"/>
        <v>0</v>
      </c>
      <c r="AF94">
        <f t="shared" si="28"/>
        <v>0</v>
      </c>
      <c r="AG94">
        <f t="shared" si="29"/>
        <v>0</v>
      </c>
      <c r="AH94">
        <f t="shared" si="30"/>
        <v>0</v>
      </c>
      <c r="AI94">
        <f t="shared" si="31"/>
        <v>0</v>
      </c>
      <c r="AJ94">
        <f t="shared" si="32"/>
        <v>0</v>
      </c>
      <c r="AK94">
        <f t="shared" si="33"/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</row>
    <row r="95" spans="1:53" x14ac:dyDescent="0.35">
      <c r="A95">
        <v>0.63106976869808307</v>
      </c>
      <c r="C95">
        <v>2.2136986301369861</v>
      </c>
      <c r="D95" s="137">
        <f t="shared" si="18"/>
        <v>0.34511849631811142</v>
      </c>
      <c r="E95">
        <v>0</v>
      </c>
      <c r="F95">
        <v>1.9444826721501687</v>
      </c>
      <c r="G95" s="45">
        <v>3.28</v>
      </c>
      <c r="H95" s="29">
        <f t="shared" si="19"/>
        <v>0.5158738437116791</v>
      </c>
      <c r="I95" s="9">
        <v>0</v>
      </c>
      <c r="J95" s="34">
        <v>0.10720996964786837</v>
      </c>
      <c r="K95">
        <v>23</v>
      </c>
      <c r="L95" s="137">
        <f t="shared" si="20"/>
        <v>1.3617278360175928</v>
      </c>
      <c r="M95">
        <f t="shared" si="17"/>
        <v>0</v>
      </c>
      <c r="N95">
        <v>95</v>
      </c>
      <c r="O95">
        <v>80</v>
      </c>
      <c r="P95">
        <v>70</v>
      </c>
      <c r="Q95" s="137">
        <f t="shared" si="21"/>
        <v>1.8450980400142569</v>
      </c>
      <c r="R95" s="34">
        <v>35</v>
      </c>
      <c r="S95" s="34">
        <f t="shared" si="22"/>
        <v>1.5440680443502757</v>
      </c>
      <c r="T95" s="42">
        <v>42.243452783984999</v>
      </c>
      <c r="U95" s="42">
        <f t="shared" si="23"/>
        <v>1.625759408194035</v>
      </c>
      <c r="V95">
        <v>3.3740570806117947</v>
      </c>
      <c r="W95" s="14">
        <v>2</v>
      </c>
      <c r="X95" s="14">
        <v>3.9700736609473402</v>
      </c>
      <c r="Y95">
        <v>8.1818435879447726</v>
      </c>
      <c r="Z95" s="80">
        <v>0.36628668866539305</v>
      </c>
      <c r="AA95">
        <v>1</v>
      </c>
      <c r="AB95">
        <f t="shared" si="24"/>
        <v>1</v>
      </c>
      <c r="AC95">
        <f t="shared" si="25"/>
        <v>0</v>
      </c>
      <c r="AD95">
        <f t="shared" si="26"/>
        <v>0</v>
      </c>
      <c r="AE95">
        <f t="shared" si="27"/>
        <v>0</v>
      </c>
      <c r="AF95">
        <f t="shared" si="28"/>
        <v>0</v>
      </c>
      <c r="AG95">
        <f t="shared" si="29"/>
        <v>0</v>
      </c>
      <c r="AH95">
        <f t="shared" si="30"/>
        <v>0</v>
      </c>
      <c r="AI95">
        <f t="shared" si="31"/>
        <v>0</v>
      </c>
      <c r="AJ95">
        <f t="shared" si="32"/>
        <v>0</v>
      </c>
      <c r="AK95">
        <f t="shared" si="33"/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</row>
    <row r="96" spans="1:53" x14ac:dyDescent="0.35">
      <c r="A96">
        <v>1.1704873815376828</v>
      </c>
      <c r="C96">
        <v>6.0027397260273974</v>
      </c>
      <c r="D96" s="137">
        <f t="shared" si="18"/>
        <v>0.77834951310423062</v>
      </c>
      <c r="E96">
        <v>0</v>
      </c>
      <c r="F96">
        <v>0</v>
      </c>
      <c r="G96" s="45">
        <v>2.95</v>
      </c>
      <c r="H96" s="29">
        <f t="shared" si="19"/>
        <v>0.46982201597816303</v>
      </c>
      <c r="I96" s="9">
        <v>0</v>
      </c>
      <c r="J96" s="34">
        <v>1.703333929878037E-2</v>
      </c>
      <c r="K96">
        <v>16</v>
      </c>
      <c r="L96" s="137">
        <f t="shared" si="20"/>
        <v>1.2041199826559248</v>
      </c>
      <c r="M96">
        <f t="shared" si="17"/>
        <v>0</v>
      </c>
      <c r="N96">
        <v>70</v>
      </c>
      <c r="O96">
        <v>70</v>
      </c>
      <c r="P96">
        <v>85</v>
      </c>
      <c r="Q96" s="137">
        <f t="shared" si="21"/>
        <v>1.9294189257142926</v>
      </c>
      <c r="R96" s="34">
        <v>24.6</v>
      </c>
      <c r="S96" s="34">
        <f t="shared" si="22"/>
        <v>1.3909351071033791</v>
      </c>
      <c r="T96" s="42">
        <v>36.876470987978301</v>
      </c>
      <c r="U96" s="42">
        <f t="shared" si="23"/>
        <v>1.5667493531684615</v>
      </c>
      <c r="V96">
        <v>3.9186507422978978</v>
      </c>
      <c r="W96" s="14">
        <v>2</v>
      </c>
      <c r="X96">
        <v>3.9937960064170404</v>
      </c>
      <c r="Y96">
        <v>8.1139433523068369</v>
      </c>
      <c r="Z96" s="80">
        <v>0.27509117952688533</v>
      </c>
      <c r="AA96">
        <v>3</v>
      </c>
      <c r="AB96">
        <f t="shared" si="24"/>
        <v>0</v>
      </c>
      <c r="AC96">
        <f t="shared" si="25"/>
        <v>0</v>
      </c>
      <c r="AD96">
        <f t="shared" si="26"/>
        <v>1</v>
      </c>
      <c r="AE96">
        <f t="shared" si="27"/>
        <v>0</v>
      </c>
      <c r="AF96">
        <f t="shared" si="28"/>
        <v>0</v>
      </c>
      <c r="AG96">
        <f t="shared" si="29"/>
        <v>0</v>
      </c>
      <c r="AH96">
        <f t="shared" si="30"/>
        <v>0</v>
      </c>
      <c r="AI96">
        <f t="shared" si="31"/>
        <v>0</v>
      </c>
      <c r="AJ96">
        <f t="shared" si="32"/>
        <v>0</v>
      </c>
      <c r="AK96">
        <f t="shared" si="33"/>
        <v>0</v>
      </c>
      <c r="AL96">
        <v>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</row>
    <row r="97" spans="1:53" x14ac:dyDescent="0.35">
      <c r="A97">
        <v>0.84198480459011393</v>
      </c>
      <c r="C97">
        <v>1.7205479452054795</v>
      </c>
      <c r="D97" s="137">
        <f t="shared" si="18"/>
        <v>0.23566677928072144</v>
      </c>
      <c r="E97">
        <v>0</v>
      </c>
      <c r="F97">
        <v>2.1335389083702174</v>
      </c>
      <c r="G97" s="45">
        <v>2.95</v>
      </c>
      <c r="H97" s="29">
        <f t="shared" si="19"/>
        <v>0.46982201597816303</v>
      </c>
      <c r="I97" s="9">
        <v>0</v>
      </c>
      <c r="J97" s="34">
        <v>5.6904851336472641E-2</v>
      </c>
      <c r="K97">
        <v>15</v>
      </c>
      <c r="L97" s="137">
        <f t="shared" si="20"/>
        <v>1.1760912590556813</v>
      </c>
      <c r="M97">
        <f t="shared" si="17"/>
        <v>0</v>
      </c>
      <c r="N97">
        <v>70</v>
      </c>
      <c r="O97">
        <v>70</v>
      </c>
      <c r="P97">
        <v>85</v>
      </c>
      <c r="Q97" s="137">
        <f t="shared" si="21"/>
        <v>1.9294189257142926</v>
      </c>
      <c r="R97" s="34">
        <v>24.4</v>
      </c>
      <c r="S97" s="34">
        <f t="shared" si="22"/>
        <v>1.3873898263387294</v>
      </c>
      <c r="T97" s="42">
        <v>37.256914365427299</v>
      </c>
      <c r="U97" s="42">
        <f t="shared" si="23"/>
        <v>1.5712068835833228</v>
      </c>
      <c r="V97">
        <v>3.9186507422978978</v>
      </c>
      <c r="W97" s="14">
        <v>1</v>
      </c>
      <c r="X97">
        <v>3.9937960064170404</v>
      </c>
      <c r="Y97">
        <v>8.0791812460476251</v>
      </c>
      <c r="Z97" s="80">
        <v>0.2371185409778338</v>
      </c>
      <c r="AA97">
        <v>3</v>
      </c>
      <c r="AB97">
        <f t="shared" si="24"/>
        <v>0</v>
      </c>
      <c r="AC97">
        <f t="shared" si="25"/>
        <v>0</v>
      </c>
      <c r="AD97">
        <f t="shared" si="26"/>
        <v>1</v>
      </c>
      <c r="AE97">
        <f t="shared" si="27"/>
        <v>0</v>
      </c>
      <c r="AF97">
        <f t="shared" si="28"/>
        <v>0</v>
      </c>
      <c r="AG97">
        <f t="shared" si="29"/>
        <v>0</v>
      </c>
      <c r="AH97">
        <f t="shared" si="30"/>
        <v>0</v>
      </c>
      <c r="AI97">
        <f t="shared" si="31"/>
        <v>0</v>
      </c>
      <c r="AJ97">
        <f t="shared" si="32"/>
        <v>0</v>
      </c>
      <c r="AK97">
        <f t="shared" si="33"/>
        <v>0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</row>
    <row r="98" spans="1:53" x14ac:dyDescent="0.35">
      <c r="A98">
        <v>4.5322978786657475E-2</v>
      </c>
      <c r="C98">
        <v>2.6273972602739728</v>
      </c>
      <c r="D98" s="137">
        <f t="shared" si="18"/>
        <v>0.41952574271418891</v>
      </c>
      <c r="E98">
        <v>0</v>
      </c>
      <c r="F98">
        <v>0.6020599913279624</v>
      </c>
      <c r="G98" s="45">
        <v>2.95</v>
      </c>
      <c r="H98" s="29">
        <f t="shared" si="19"/>
        <v>0.46982201597816303</v>
      </c>
      <c r="I98" s="9">
        <v>0</v>
      </c>
      <c r="J98" s="34">
        <v>4.3213737826425782E-3</v>
      </c>
      <c r="K98">
        <v>13</v>
      </c>
      <c r="L98" s="137">
        <f t="shared" si="20"/>
        <v>1.1139433523068367</v>
      </c>
      <c r="M98">
        <f t="shared" si="17"/>
        <v>0</v>
      </c>
      <c r="N98">
        <v>70</v>
      </c>
      <c r="O98">
        <v>70</v>
      </c>
      <c r="P98">
        <v>85</v>
      </c>
      <c r="Q98" s="137">
        <f t="shared" si="21"/>
        <v>1.9294189257142926</v>
      </c>
      <c r="R98" s="34">
        <v>27.2</v>
      </c>
      <c r="S98" s="34">
        <f t="shared" si="22"/>
        <v>1.4345689040341987</v>
      </c>
      <c r="T98" s="42">
        <v>35.608384832026097</v>
      </c>
      <c r="U98" s="42">
        <f t="shared" si="23"/>
        <v>1.5515522748692276</v>
      </c>
      <c r="V98">
        <v>3.9186507422978978</v>
      </c>
      <c r="W98" s="14">
        <v>1</v>
      </c>
      <c r="X98">
        <v>3.9937960064170404</v>
      </c>
      <c r="Y98">
        <v>8.0413926851582254</v>
      </c>
      <c r="Z98" s="80">
        <v>-0.11328818153685849</v>
      </c>
      <c r="AA98">
        <v>3</v>
      </c>
      <c r="AB98">
        <f t="shared" si="24"/>
        <v>0</v>
      </c>
      <c r="AC98">
        <f t="shared" si="25"/>
        <v>0</v>
      </c>
      <c r="AD98">
        <f t="shared" si="26"/>
        <v>1</v>
      </c>
      <c r="AE98">
        <f t="shared" si="27"/>
        <v>0</v>
      </c>
      <c r="AF98">
        <f t="shared" si="28"/>
        <v>0</v>
      </c>
      <c r="AG98">
        <f t="shared" si="29"/>
        <v>0</v>
      </c>
      <c r="AH98">
        <f t="shared" si="30"/>
        <v>0</v>
      </c>
      <c r="AI98">
        <f t="shared" si="31"/>
        <v>0</v>
      </c>
      <c r="AJ98">
        <f t="shared" si="32"/>
        <v>0</v>
      </c>
      <c r="AK98">
        <f t="shared" si="33"/>
        <v>0</v>
      </c>
      <c r="AL98">
        <v>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</row>
    <row r="99" spans="1:53" x14ac:dyDescent="0.35">
      <c r="A99">
        <v>1.3756670641516049</v>
      </c>
      <c r="C99">
        <v>17.416438356164385</v>
      </c>
      <c r="D99" s="137">
        <f t="shared" si="18"/>
        <v>1.2409593469739824</v>
      </c>
      <c r="E99">
        <v>0</v>
      </c>
      <c r="F99">
        <v>1.7075701760979363</v>
      </c>
      <c r="G99" s="45">
        <v>2.95</v>
      </c>
      <c r="H99" s="29">
        <f t="shared" si="19"/>
        <v>0.46982201597816303</v>
      </c>
      <c r="I99" s="9">
        <v>0</v>
      </c>
      <c r="J99" s="45">
        <v>0.52608069180202999</v>
      </c>
      <c r="K99">
        <v>5</v>
      </c>
      <c r="L99" s="137">
        <f t="shared" si="20"/>
        <v>0.69897000433601886</v>
      </c>
      <c r="M99">
        <f t="shared" si="17"/>
        <v>0</v>
      </c>
      <c r="N99">
        <v>70</v>
      </c>
      <c r="O99">
        <v>70</v>
      </c>
      <c r="P99">
        <v>85</v>
      </c>
      <c r="Q99" s="137">
        <f t="shared" si="21"/>
        <v>1.9294189257142926</v>
      </c>
      <c r="R99" s="34">
        <v>25.9</v>
      </c>
      <c r="S99" s="34">
        <f t="shared" si="22"/>
        <v>1.4132997640812519</v>
      </c>
      <c r="T99" s="42">
        <v>40.815825693332798</v>
      </c>
      <c r="U99" s="42">
        <f t="shared" si="23"/>
        <v>1.6108285865865359</v>
      </c>
      <c r="V99">
        <v>3.0687415514991745</v>
      </c>
      <c r="W99" s="14">
        <v>4</v>
      </c>
      <c r="X99">
        <v>3.5297005493117593</v>
      </c>
      <c r="Y99">
        <v>8.7242758696007883</v>
      </c>
      <c r="Z99" s="80" t="e">
        <v>#N/A</v>
      </c>
      <c r="AA99">
        <v>7</v>
      </c>
      <c r="AB99">
        <f t="shared" si="24"/>
        <v>0</v>
      </c>
      <c r="AC99">
        <f t="shared" si="25"/>
        <v>0</v>
      </c>
      <c r="AD99">
        <f t="shared" si="26"/>
        <v>0</v>
      </c>
      <c r="AE99">
        <f t="shared" si="27"/>
        <v>0</v>
      </c>
      <c r="AF99">
        <f t="shared" si="28"/>
        <v>0</v>
      </c>
      <c r="AG99">
        <f t="shared" si="29"/>
        <v>0</v>
      </c>
      <c r="AH99">
        <f t="shared" si="30"/>
        <v>1</v>
      </c>
      <c r="AI99">
        <f t="shared" si="31"/>
        <v>0</v>
      </c>
      <c r="AJ99">
        <f t="shared" si="32"/>
        <v>0</v>
      </c>
      <c r="AK99">
        <f t="shared" si="33"/>
        <v>0</v>
      </c>
      <c r="AL99">
        <v>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</row>
    <row r="100" spans="1:53" x14ac:dyDescent="0.35">
      <c r="A100">
        <v>1.2964977164367635E-2</v>
      </c>
      <c r="C100">
        <v>11.863013698630137</v>
      </c>
      <c r="D100" s="137">
        <f t="shared" si="18"/>
        <v>1.0741950318968907</v>
      </c>
      <c r="E100">
        <v>0</v>
      </c>
      <c r="F100">
        <v>1.7781512503836436</v>
      </c>
      <c r="G100" s="45">
        <v>2.95</v>
      </c>
      <c r="H100" s="29">
        <f t="shared" si="19"/>
        <v>0.46982201597816303</v>
      </c>
      <c r="I100" s="9">
        <v>0</v>
      </c>
      <c r="J100" s="45">
        <v>0.36642295722597273</v>
      </c>
      <c r="K100">
        <v>5</v>
      </c>
      <c r="L100" s="137">
        <f t="shared" si="20"/>
        <v>0.69897000433601886</v>
      </c>
      <c r="M100">
        <f t="shared" si="17"/>
        <v>0</v>
      </c>
      <c r="N100">
        <v>70</v>
      </c>
      <c r="O100">
        <v>70</v>
      </c>
      <c r="P100">
        <v>85</v>
      </c>
      <c r="Q100" s="137">
        <f t="shared" si="21"/>
        <v>1.9294189257142926</v>
      </c>
      <c r="R100" s="34">
        <v>25.9</v>
      </c>
      <c r="S100" s="34">
        <f t="shared" si="22"/>
        <v>1.4132997640812519</v>
      </c>
      <c r="T100" s="42">
        <v>40.815825693332798</v>
      </c>
      <c r="U100" s="42">
        <f t="shared" si="23"/>
        <v>1.6108285865865359</v>
      </c>
      <c r="V100">
        <v>3.0687415514991745</v>
      </c>
      <c r="W100" s="14">
        <v>4</v>
      </c>
      <c r="X100">
        <v>3.5297005493117593</v>
      </c>
      <c r="Y100">
        <v>8.518513939877888</v>
      </c>
      <c r="Z100" s="80" t="e">
        <v>#N/A</v>
      </c>
      <c r="AA100">
        <v>1</v>
      </c>
      <c r="AB100">
        <f t="shared" si="24"/>
        <v>1</v>
      </c>
      <c r="AC100">
        <f t="shared" si="25"/>
        <v>0</v>
      </c>
      <c r="AD100">
        <f t="shared" si="26"/>
        <v>0</v>
      </c>
      <c r="AE100">
        <f t="shared" si="27"/>
        <v>0</v>
      </c>
      <c r="AF100">
        <f t="shared" si="28"/>
        <v>0</v>
      </c>
      <c r="AG100">
        <f t="shared" si="29"/>
        <v>0</v>
      </c>
      <c r="AH100">
        <f t="shared" si="30"/>
        <v>0</v>
      </c>
      <c r="AI100">
        <f t="shared" si="31"/>
        <v>0</v>
      </c>
      <c r="AJ100">
        <f t="shared" si="32"/>
        <v>0</v>
      </c>
      <c r="AK100">
        <f t="shared" si="33"/>
        <v>0</v>
      </c>
      <c r="AL100">
        <v>1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</row>
    <row r="101" spans="1:53" x14ac:dyDescent="0.35">
      <c r="A101">
        <v>0.31840409173340389</v>
      </c>
      <c r="C101">
        <v>2.5534246575342467</v>
      </c>
      <c r="D101" s="137">
        <f t="shared" si="18"/>
        <v>0.4071230478975067</v>
      </c>
      <c r="E101">
        <v>0</v>
      </c>
      <c r="F101">
        <v>1.8061799739838871</v>
      </c>
      <c r="G101" s="45">
        <v>2.95</v>
      </c>
      <c r="H101" s="29">
        <f t="shared" si="19"/>
        <v>0.46982201597816303</v>
      </c>
      <c r="I101" s="9">
        <v>0</v>
      </c>
      <c r="J101" s="45">
        <v>0.20112389720737955</v>
      </c>
      <c r="K101">
        <v>6</v>
      </c>
      <c r="L101" s="137">
        <f t="shared" si="20"/>
        <v>0.77815125038364363</v>
      </c>
      <c r="M101">
        <f t="shared" si="17"/>
        <v>0</v>
      </c>
      <c r="N101">
        <v>70</v>
      </c>
      <c r="O101">
        <v>70</v>
      </c>
      <c r="P101">
        <v>85</v>
      </c>
      <c r="Q101" s="137">
        <f t="shared" si="21"/>
        <v>1.9294189257142926</v>
      </c>
      <c r="R101" s="34">
        <v>26</v>
      </c>
      <c r="S101" s="34">
        <f t="shared" si="22"/>
        <v>1.414973347970818</v>
      </c>
      <c r="T101" s="42">
        <v>40.815825693332798</v>
      </c>
      <c r="U101" s="42">
        <f t="shared" si="23"/>
        <v>1.6108285865865359</v>
      </c>
      <c r="V101">
        <v>3.0687415514991745</v>
      </c>
      <c r="W101" s="14">
        <v>4</v>
      </c>
      <c r="X101">
        <v>3.5297005493117593</v>
      </c>
      <c r="Y101">
        <v>8.3891660843645326</v>
      </c>
      <c r="Z101" s="80" t="e">
        <v>#N/A</v>
      </c>
      <c r="AA101">
        <v>4</v>
      </c>
      <c r="AB101">
        <f t="shared" si="24"/>
        <v>0</v>
      </c>
      <c r="AC101">
        <f t="shared" si="25"/>
        <v>0</v>
      </c>
      <c r="AD101">
        <f t="shared" si="26"/>
        <v>0</v>
      </c>
      <c r="AE101">
        <f t="shared" si="27"/>
        <v>1</v>
      </c>
      <c r="AF101">
        <f t="shared" si="28"/>
        <v>0</v>
      </c>
      <c r="AG101">
        <f t="shared" si="29"/>
        <v>0</v>
      </c>
      <c r="AH101">
        <f t="shared" si="30"/>
        <v>0</v>
      </c>
      <c r="AI101">
        <f t="shared" si="31"/>
        <v>0</v>
      </c>
      <c r="AJ101">
        <f t="shared" si="32"/>
        <v>0</v>
      </c>
      <c r="AK101">
        <f t="shared" si="33"/>
        <v>0</v>
      </c>
      <c r="AL101">
        <v>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</row>
    <row r="102" spans="1:53" x14ac:dyDescent="0.35">
      <c r="A102">
        <v>0.17764508712430291</v>
      </c>
      <c r="C102">
        <v>2.1232876712328768</v>
      </c>
      <c r="D102" s="137">
        <f t="shared" si="18"/>
        <v>0.3270088380498356</v>
      </c>
      <c r="E102">
        <v>0</v>
      </c>
      <c r="F102">
        <v>2.2504200023088941</v>
      </c>
      <c r="G102" s="45">
        <v>2.95</v>
      </c>
      <c r="H102" s="29">
        <f t="shared" si="19"/>
        <v>0.46982201597816303</v>
      </c>
      <c r="I102" s="9">
        <v>0</v>
      </c>
      <c r="J102" s="45">
        <v>0.15075643986030904</v>
      </c>
      <c r="K102">
        <v>8</v>
      </c>
      <c r="L102" s="137">
        <f t="shared" si="20"/>
        <v>0.90308998699194354</v>
      </c>
      <c r="M102">
        <f t="shared" si="17"/>
        <v>0</v>
      </c>
      <c r="N102">
        <v>70</v>
      </c>
      <c r="O102">
        <v>70</v>
      </c>
      <c r="P102">
        <v>85</v>
      </c>
      <c r="Q102" s="137">
        <f t="shared" si="21"/>
        <v>1.9294189257142926</v>
      </c>
      <c r="R102" s="34">
        <v>24.1</v>
      </c>
      <c r="S102" s="34">
        <f t="shared" si="22"/>
        <v>1.3820170425748683</v>
      </c>
      <c r="T102" s="42">
        <v>36.728532427451597</v>
      </c>
      <c r="U102" s="42">
        <f t="shared" si="23"/>
        <v>1.5650035754622837</v>
      </c>
      <c r="V102">
        <v>3.0687415514991745</v>
      </c>
      <c r="W102" s="14">
        <v>4</v>
      </c>
      <c r="X102">
        <v>3.5297005493117593</v>
      </c>
      <c r="Y102">
        <v>8.6674529528899544</v>
      </c>
      <c r="Z102" s="80" t="e">
        <v>#N/A</v>
      </c>
      <c r="AA102">
        <v>5</v>
      </c>
      <c r="AB102">
        <f t="shared" si="24"/>
        <v>0</v>
      </c>
      <c r="AC102">
        <f t="shared" si="25"/>
        <v>0</v>
      </c>
      <c r="AD102">
        <f t="shared" si="26"/>
        <v>0</v>
      </c>
      <c r="AE102">
        <f t="shared" si="27"/>
        <v>0</v>
      </c>
      <c r="AF102">
        <f t="shared" si="28"/>
        <v>1</v>
      </c>
      <c r="AG102">
        <f t="shared" si="29"/>
        <v>0</v>
      </c>
      <c r="AH102">
        <f t="shared" si="30"/>
        <v>0</v>
      </c>
      <c r="AI102">
        <f t="shared" si="31"/>
        <v>0</v>
      </c>
      <c r="AJ102">
        <f t="shared" si="32"/>
        <v>0</v>
      </c>
      <c r="AK102">
        <f t="shared" si="33"/>
        <v>0</v>
      </c>
      <c r="AL102">
        <v>1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</row>
    <row r="103" spans="1:53" x14ac:dyDescent="0.35">
      <c r="A103">
        <v>-3.9038779764747678E-2</v>
      </c>
      <c r="C103">
        <v>1.8821917808219177</v>
      </c>
      <c r="D103" s="137">
        <f t="shared" si="18"/>
        <v>0.27466387260307573</v>
      </c>
      <c r="E103">
        <v>0</v>
      </c>
      <c r="F103">
        <v>1.7781512503836436</v>
      </c>
      <c r="G103" s="45">
        <v>2.95</v>
      </c>
      <c r="H103" s="29">
        <f t="shared" si="19"/>
        <v>0.46982201597816303</v>
      </c>
      <c r="I103" s="9">
        <v>0</v>
      </c>
      <c r="J103" s="45">
        <v>0.15075643986030904</v>
      </c>
      <c r="K103">
        <v>8</v>
      </c>
      <c r="L103" s="137">
        <f t="shared" si="20"/>
        <v>0.90308998699194354</v>
      </c>
      <c r="M103">
        <f t="shared" si="17"/>
        <v>0</v>
      </c>
      <c r="N103">
        <v>70</v>
      </c>
      <c r="O103">
        <v>70</v>
      </c>
      <c r="P103">
        <v>85</v>
      </c>
      <c r="Q103" s="137">
        <f t="shared" si="21"/>
        <v>1.9294189257142926</v>
      </c>
      <c r="R103" s="34">
        <v>24.1</v>
      </c>
      <c r="S103" s="34">
        <f t="shared" si="22"/>
        <v>1.3820170425748683</v>
      </c>
      <c r="T103" s="42">
        <v>36.728532427451597</v>
      </c>
      <c r="U103" s="42">
        <f t="shared" si="23"/>
        <v>1.5650035754622837</v>
      </c>
      <c r="V103">
        <v>3.0687415514991745</v>
      </c>
      <c r="W103" s="14">
        <v>4</v>
      </c>
      <c r="X103">
        <v>3.5297005493117593</v>
      </c>
      <c r="Y103">
        <v>9.0051805125037809</v>
      </c>
      <c r="Z103" s="80" t="e">
        <v>#N/A</v>
      </c>
      <c r="AA103">
        <v>5</v>
      </c>
      <c r="AB103">
        <f t="shared" si="24"/>
        <v>0</v>
      </c>
      <c r="AC103">
        <f t="shared" si="25"/>
        <v>0</v>
      </c>
      <c r="AD103">
        <f t="shared" si="26"/>
        <v>0</v>
      </c>
      <c r="AE103">
        <f t="shared" si="27"/>
        <v>0</v>
      </c>
      <c r="AF103">
        <f t="shared" si="28"/>
        <v>1</v>
      </c>
      <c r="AG103">
        <f t="shared" si="29"/>
        <v>0</v>
      </c>
      <c r="AH103">
        <f t="shared" si="30"/>
        <v>0</v>
      </c>
      <c r="AI103">
        <f t="shared" si="31"/>
        <v>0</v>
      </c>
      <c r="AJ103">
        <f t="shared" si="32"/>
        <v>0</v>
      </c>
      <c r="AK103">
        <f t="shared" si="33"/>
        <v>0</v>
      </c>
      <c r="AL103">
        <v>1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</row>
    <row r="104" spans="1:53" x14ac:dyDescent="0.35">
      <c r="A104">
        <v>1.4723256820706378E-2</v>
      </c>
      <c r="C104">
        <v>3.1698630136986301</v>
      </c>
      <c r="D104" s="137">
        <f t="shared" si="18"/>
        <v>0.50104049449527488</v>
      </c>
      <c r="E104">
        <v>0</v>
      </c>
      <c r="F104">
        <v>1.8920946026904804</v>
      </c>
      <c r="G104" s="45">
        <v>2.95</v>
      </c>
      <c r="H104" s="29">
        <f t="shared" si="19"/>
        <v>0.46982201597816303</v>
      </c>
      <c r="I104" s="9">
        <v>0</v>
      </c>
      <c r="J104" s="45">
        <v>0.18808437371493819</v>
      </c>
      <c r="K104">
        <v>8</v>
      </c>
      <c r="L104" s="137">
        <f t="shared" si="20"/>
        <v>0.90308998699194354</v>
      </c>
      <c r="M104">
        <f t="shared" si="17"/>
        <v>0</v>
      </c>
      <c r="N104">
        <v>70</v>
      </c>
      <c r="O104">
        <v>70</v>
      </c>
      <c r="P104">
        <v>85</v>
      </c>
      <c r="Q104" s="137">
        <f t="shared" si="21"/>
        <v>1.9294189257142926</v>
      </c>
      <c r="R104" s="34">
        <v>24.1</v>
      </c>
      <c r="S104" s="34">
        <f t="shared" si="22"/>
        <v>1.3820170425748683</v>
      </c>
      <c r="T104" s="42">
        <v>36.728532427451597</v>
      </c>
      <c r="U104" s="42">
        <f t="shared" si="23"/>
        <v>1.5650035754622837</v>
      </c>
      <c r="V104">
        <v>3.0687415514991745</v>
      </c>
      <c r="W104" s="14">
        <v>4</v>
      </c>
      <c r="X104">
        <v>3.5297005493117593</v>
      </c>
      <c r="Y104">
        <v>8.7634279935629369</v>
      </c>
      <c r="Z104" s="80" t="e">
        <v>#N/A</v>
      </c>
      <c r="AA104">
        <v>7</v>
      </c>
      <c r="AB104">
        <f t="shared" si="24"/>
        <v>0</v>
      </c>
      <c r="AC104">
        <f t="shared" si="25"/>
        <v>0</v>
      </c>
      <c r="AD104">
        <f t="shared" si="26"/>
        <v>0</v>
      </c>
      <c r="AE104">
        <f t="shared" si="27"/>
        <v>0</v>
      </c>
      <c r="AF104">
        <f t="shared" si="28"/>
        <v>0</v>
      </c>
      <c r="AG104">
        <f t="shared" si="29"/>
        <v>0</v>
      </c>
      <c r="AH104">
        <f t="shared" si="30"/>
        <v>1</v>
      </c>
      <c r="AI104">
        <f t="shared" si="31"/>
        <v>0</v>
      </c>
      <c r="AJ104">
        <f t="shared" si="32"/>
        <v>0</v>
      </c>
      <c r="AK104">
        <f t="shared" si="33"/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</row>
    <row r="105" spans="1:53" x14ac:dyDescent="0.35">
      <c r="A105">
        <v>-0.34468749021747885</v>
      </c>
      <c r="C105">
        <v>8.3698630136986303</v>
      </c>
      <c r="D105" s="137">
        <f t="shared" si="18"/>
        <v>0.92271835012209835</v>
      </c>
      <c r="E105">
        <v>0</v>
      </c>
      <c r="F105">
        <v>0.77815125038364363</v>
      </c>
      <c r="G105" s="45">
        <v>2.95</v>
      </c>
      <c r="H105" s="29">
        <f t="shared" si="19"/>
        <v>0.46982201597816303</v>
      </c>
      <c r="I105" s="9">
        <v>0</v>
      </c>
      <c r="J105" s="45">
        <v>0.32469391386177465</v>
      </c>
      <c r="K105">
        <v>8</v>
      </c>
      <c r="L105" s="137">
        <f t="shared" si="20"/>
        <v>0.90308998699194354</v>
      </c>
      <c r="M105">
        <f t="shared" si="17"/>
        <v>0</v>
      </c>
      <c r="N105">
        <v>70</v>
      </c>
      <c r="O105">
        <v>70</v>
      </c>
      <c r="P105">
        <v>85</v>
      </c>
      <c r="Q105" s="137">
        <f t="shared" si="21"/>
        <v>1.9294189257142926</v>
      </c>
      <c r="R105" s="34">
        <v>24.1</v>
      </c>
      <c r="S105" s="34">
        <f t="shared" si="22"/>
        <v>1.3820170425748683</v>
      </c>
      <c r="T105" s="42">
        <v>36.728532427451597</v>
      </c>
      <c r="U105" s="42">
        <f t="shared" si="23"/>
        <v>1.5650035754622837</v>
      </c>
      <c r="V105">
        <v>3.0687415514991745</v>
      </c>
      <c r="W105" s="14">
        <v>4</v>
      </c>
      <c r="X105">
        <v>3.5297005493117593</v>
      </c>
      <c r="Y105">
        <v>8.7752462597402356</v>
      </c>
      <c r="Z105" s="80" t="e">
        <v>#N/A</v>
      </c>
      <c r="AA105">
        <v>5</v>
      </c>
      <c r="AB105">
        <f t="shared" si="24"/>
        <v>0</v>
      </c>
      <c r="AC105">
        <f t="shared" si="25"/>
        <v>0</v>
      </c>
      <c r="AD105">
        <f t="shared" si="26"/>
        <v>0</v>
      </c>
      <c r="AE105">
        <f t="shared" si="27"/>
        <v>0</v>
      </c>
      <c r="AF105">
        <f t="shared" si="28"/>
        <v>1</v>
      </c>
      <c r="AG105">
        <f t="shared" si="29"/>
        <v>0</v>
      </c>
      <c r="AH105">
        <f t="shared" si="30"/>
        <v>0</v>
      </c>
      <c r="AI105">
        <f t="shared" si="31"/>
        <v>0</v>
      </c>
      <c r="AJ105">
        <f t="shared" si="32"/>
        <v>0</v>
      </c>
      <c r="AK105">
        <f t="shared" si="33"/>
        <v>0</v>
      </c>
      <c r="AL105">
        <v>1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</row>
    <row r="106" spans="1:53" x14ac:dyDescent="0.35">
      <c r="A106">
        <v>-0.83366857823347484</v>
      </c>
      <c r="C106">
        <v>5.0027397260273974</v>
      </c>
      <c r="D106" s="137">
        <f t="shared" si="18"/>
        <v>0.6992079087418055</v>
      </c>
      <c r="E106">
        <v>0</v>
      </c>
      <c r="F106">
        <v>1.7634279935629373</v>
      </c>
      <c r="G106" s="45">
        <v>2.95</v>
      </c>
      <c r="H106" s="29">
        <f t="shared" si="19"/>
        <v>0.46982201597816303</v>
      </c>
      <c r="I106" s="9">
        <v>0</v>
      </c>
      <c r="J106" s="45">
        <v>0.29797924415936239</v>
      </c>
      <c r="K106">
        <v>10</v>
      </c>
      <c r="L106" s="137">
        <f t="shared" si="20"/>
        <v>1</v>
      </c>
      <c r="M106">
        <f t="shared" si="17"/>
        <v>0</v>
      </c>
      <c r="N106">
        <v>70</v>
      </c>
      <c r="O106">
        <v>70</v>
      </c>
      <c r="P106">
        <v>85</v>
      </c>
      <c r="Q106" s="137">
        <f t="shared" si="21"/>
        <v>1.9294189257142926</v>
      </c>
      <c r="R106" s="34">
        <v>24.6</v>
      </c>
      <c r="S106" s="34">
        <f t="shared" si="22"/>
        <v>1.3909351071033791</v>
      </c>
      <c r="T106" s="42">
        <v>37.767307016657</v>
      </c>
      <c r="U106" s="42">
        <f t="shared" si="23"/>
        <v>1.5771160187300453</v>
      </c>
      <c r="V106">
        <v>3.0687415514991745</v>
      </c>
      <c r="W106" s="14">
        <v>4</v>
      </c>
      <c r="X106">
        <v>3.5297005493117593</v>
      </c>
      <c r="Y106">
        <v>9.5563025007672877</v>
      </c>
      <c r="Z106" s="80" t="e">
        <v>#N/A</v>
      </c>
      <c r="AA106">
        <v>8</v>
      </c>
      <c r="AB106">
        <f t="shared" si="24"/>
        <v>0</v>
      </c>
      <c r="AC106">
        <f t="shared" si="25"/>
        <v>0</v>
      </c>
      <c r="AD106">
        <f t="shared" si="26"/>
        <v>0</v>
      </c>
      <c r="AE106">
        <f t="shared" si="27"/>
        <v>0</v>
      </c>
      <c r="AF106">
        <f t="shared" si="28"/>
        <v>0</v>
      </c>
      <c r="AG106">
        <f t="shared" si="29"/>
        <v>0</v>
      </c>
      <c r="AH106">
        <f t="shared" si="30"/>
        <v>0</v>
      </c>
      <c r="AI106">
        <f t="shared" si="31"/>
        <v>1</v>
      </c>
      <c r="AJ106">
        <f t="shared" si="32"/>
        <v>0</v>
      </c>
      <c r="AK106">
        <f t="shared" si="33"/>
        <v>0</v>
      </c>
      <c r="AL106">
        <v>1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</row>
    <row r="107" spans="1:53" x14ac:dyDescent="0.35">
      <c r="A107">
        <v>1.5928223783612254</v>
      </c>
      <c r="C107">
        <v>6.7068493150684931</v>
      </c>
      <c r="D107" s="137">
        <f t="shared" si="18"/>
        <v>0.82651854901704891</v>
      </c>
      <c r="E107">
        <v>0</v>
      </c>
      <c r="F107">
        <v>2.2041199826559246</v>
      </c>
      <c r="G107" s="45">
        <v>2.95</v>
      </c>
      <c r="H107" s="29">
        <f t="shared" si="19"/>
        <v>0.46982201597816303</v>
      </c>
      <c r="I107" s="9">
        <v>0</v>
      </c>
      <c r="J107" s="34">
        <v>0.49136169383427269</v>
      </c>
      <c r="K107">
        <v>17</v>
      </c>
      <c r="L107" s="137">
        <f t="shared" si="20"/>
        <v>1.2304489213782739</v>
      </c>
      <c r="M107">
        <f t="shared" si="17"/>
        <v>0</v>
      </c>
      <c r="N107">
        <v>70</v>
      </c>
      <c r="O107">
        <v>70</v>
      </c>
      <c r="P107">
        <v>85</v>
      </c>
      <c r="Q107" s="137">
        <f t="shared" si="21"/>
        <v>1.9294189257142926</v>
      </c>
      <c r="R107" s="34">
        <v>25.9</v>
      </c>
      <c r="S107" s="34">
        <f t="shared" si="22"/>
        <v>1.4132997640812519</v>
      </c>
      <c r="T107" s="42">
        <v>38.808513566771097</v>
      </c>
      <c r="U107" s="42">
        <f t="shared" si="23"/>
        <v>1.5889270088283503</v>
      </c>
      <c r="V107">
        <v>3.0687415514991745</v>
      </c>
      <c r="W107" s="14">
        <v>4</v>
      </c>
      <c r="X107">
        <v>3.5297005493117593</v>
      </c>
      <c r="Y107">
        <v>7.8391007827071535</v>
      </c>
      <c r="Z107" s="80" t="e">
        <v>#N/A</v>
      </c>
      <c r="AA107">
        <v>5</v>
      </c>
      <c r="AB107">
        <f t="shared" si="24"/>
        <v>0</v>
      </c>
      <c r="AC107">
        <f t="shared" si="25"/>
        <v>0</v>
      </c>
      <c r="AD107">
        <f t="shared" si="26"/>
        <v>0</v>
      </c>
      <c r="AE107">
        <f t="shared" si="27"/>
        <v>0</v>
      </c>
      <c r="AF107">
        <f t="shared" si="28"/>
        <v>1</v>
      </c>
      <c r="AG107">
        <f t="shared" si="29"/>
        <v>0</v>
      </c>
      <c r="AH107">
        <f t="shared" si="30"/>
        <v>0</v>
      </c>
      <c r="AI107">
        <f t="shared" si="31"/>
        <v>0</v>
      </c>
      <c r="AJ107">
        <f t="shared" si="32"/>
        <v>0</v>
      </c>
      <c r="AK107">
        <f t="shared" si="33"/>
        <v>0</v>
      </c>
      <c r="AL107">
        <v>1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</row>
    <row r="108" spans="1:53" x14ac:dyDescent="0.35">
      <c r="A108">
        <v>0.20801431373935986</v>
      </c>
      <c r="C108">
        <v>3.2301369863013698</v>
      </c>
      <c r="D108" s="137">
        <f t="shared" si="18"/>
        <v>0.50922094063861445</v>
      </c>
      <c r="E108">
        <v>0</v>
      </c>
      <c r="F108">
        <v>1.0413926851582251</v>
      </c>
      <c r="G108" s="45">
        <v>2.95</v>
      </c>
      <c r="H108" s="29">
        <f t="shared" si="19"/>
        <v>0.46982201597816303</v>
      </c>
      <c r="I108" s="9">
        <v>0</v>
      </c>
      <c r="J108" s="34">
        <v>0.31175386105575426</v>
      </c>
      <c r="K108">
        <v>19</v>
      </c>
      <c r="L108" s="137">
        <f t="shared" si="20"/>
        <v>1.2787536009528289</v>
      </c>
      <c r="M108">
        <f t="shared" si="17"/>
        <v>0</v>
      </c>
      <c r="N108">
        <v>70</v>
      </c>
      <c r="O108">
        <v>70</v>
      </c>
      <c r="P108">
        <v>85</v>
      </c>
      <c r="Q108" s="137">
        <f t="shared" si="21"/>
        <v>1.9294189257142926</v>
      </c>
      <c r="R108" s="34">
        <v>26.5</v>
      </c>
      <c r="S108" s="34">
        <f t="shared" si="22"/>
        <v>1.4232458739368079</v>
      </c>
      <c r="T108" s="42">
        <v>37.808596853116498</v>
      </c>
      <c r="U108" s="42">
        <f t="shared" si="23"/>
        <v>1.577590560190987</v>
      </c>
      <c r="V108">
        <v>3.0687415514991745</v>
      </c>
      <c r="W108" s="14">
        <v>4</v>
      </c>
      <c r="X108">
        <v>3.5297005493117593</v>
      </c>
      <c r="Y108">
        <v>8.5314789170422554</v>
      </c>
      <c r="Z108" s="80" t="e">
        <v>#N/A</v>
      </c>
      <c r="AA108">
        <v>5</v>
      </c>
      <c r="AB108">
        <f t="shared" si="24"/>
        <v>0</v>
      </c>
      <c r="AC108">
        <f t="shared" si="25"/>
        <v>0</v>
      </c>
      <c r="AD108">
        <f t="shared" si="26"/>
        <v>0</v>
      </c>
      <c r="AE108">
        <f t="shared" si="27"/>
        <v>0</v>
      </c>
      <c r="AF108">
        <f t="shared" si="28"/>
        <v>1</v>
      </c>
      <c r="AG108">
        <f t="shared" si="29"/>
        <v>0</v>
      </c>
      <c r="AH108">
        <f t="shared" si="30"/>
        <v>0</v>
      </c>
      <c r="AI108">
        <f t="shared" si="31"/>
        <v>0</v>
      </c>
      <c r="AJ108">
        <f t="shared" si="32"/>
        <v>0</v>
      </c>
      <c r="AK108">
        <f t="shared" si="33"/>
        <v>0</v>
      </c>
      <c r="AL108">
        <v>1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</row>
    <row r="109" spans="1:53" x14ac:dyDescent="0.35">
      <c r="A109">
        <v>0.5979434085885782</v>
      </c>
      <c r="C109">
        <v>3.3397260273972602</v>
      </c>
      <c r="D109" s="137">
        <f t="shared" si="18"/>
        <v>0.52371084116190725</v>
      </c>
      <c r="E109">
        <v>0</v>
      </c>
      <c r="F109">
        <v>0.95424250943932487</v>
      </c>
      <c r="G109" s="45">
        <v>2.95</v>
      </c>
      <c r="H109" s="29">
        <f t="shared" si="19"/>
        <v>0.46982201597816303</v>
      </c>
      <c r="I109" s="9">
        <v>0</v>
      </c>
      <c r="J109" s="34">
        <v>0.33645973384852951</v>
      </c>
      <c r="K109">
        <v>19</v>
      </c>
      <c r="L109" s="137">
        <f t="shared" si="20"/>
        <v>1.2787536009528289</v>
      </c>
      <c r="M109">
        <f t="shared" si="17"/>
        <v>0</v>
      </c>
      <c r="N109">
        <v>70</v>
      </c>
      <c r="O109">
        <v>70</v>
      </c>
      <c r="P109">
        <v>85</v>
      </c>
      <c r="Q109" s="137">
        <f t="shared" si="21"/>
        <v>1.9294189257142926</v>
      </c>
      <c r="R109" s="34">
        <v>26.5</v>
      </c>
      <c r="S109" s="34">
        <f t="shared" si="22"/>
        <v>1.4232458739368079</v>
      </c>
      <c r="T109" s="42">
        <v>37.808596853116498</v>
      </c>
      <c r="U109" s="42">
        <f t="shared" si="23"/>
        <v>1.577590560190987</v>
      </c>
      <c r="V109">
        <v>3.0687415514991745</v>
      </c>
      <c r="W109" s="14">
        <v>4</v>
      </c>
      <c r="X109">
        <v>3.5297005493117593</v>
      </c>
      <c r="Y109">
        <v>8.6989700043360187</v>
      </c>
      <c r="Z109" s="80" t="e">
        <v>#N/A</v>
      </c>
      <c r="AA109">
        <v>9</v>
      </c>
      <c r="AB109">
        <f t="shared" si="24"/>
        <v>0</v>
      </c>
      <c r="AC109">
        <f t="shared" si="25"/>
        <v>0</v>
      </c>
      <c r="AD109">
        <f t="shared" si="26"/>
        <v>0</v>
      </c>
      <c r="AE109">
        <f t="shared" si="27"/>
        <v>0</v>
      </c>
      <c r="AF109">
        <f t="shared" si="28"/>
        <v>0</v>
      </c>
      <c r="AG109">
        <f t="shared" si="29"/>
        <v>0</v>
      </c>
      <c r="AH109">
        <f t="shared" si="30"/>
        <v>0</v>
      </c>
      <c r="AI109">
        <f t="shared" si="31"/>
        <v>0</v>
      </c>
      <c r="AJ109">
        <f t="shared" si="32"/>
        <v>1</v>
      </c>
      <c r="AK109">
        <f t="shared" si="33"/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</row>
    <row r="110" spans="1:53" x14ac:dyDescent="0.35">
      <c r="A110">
        <v>-0.24305045692280344</v>
      </c>
      <c r="C110">
        <v>9.7452054794520553</v>
      </c>
      <c r="D110" s="137">
        <f t="shared" si="18"/>
        <v>0.9887910007293057</v>
      </c>
      <c r="E110">
        <v>0</v>
      </c>
      <c r="F110">
        <v>2.143014800254095</v>
      </c>
      <c r="G110" s="45">
        <v>2.95</v>
      </c>
      <c r="H110" s="29">
        <f t="shared" si="19"/>
        <v>0.46982201597816303</v>
      </c>
      <c r="I110" s="9">
        <v>0</v>
      </c>
      <c r="J110" s="34">
        <v>0.38021124171160603</v>
      </c>
      <c r="K110">
        <v>19</v>
      </c>
      <c r="L110" s="137">
        <f t="shared" si="20"/>
        <v>1.2787536009528289</v>
      </c>
      <c r="M110">
        <f t="shared" si="17"/>
        <v>0</v>
      </c>
      <c r="N110">
        <v>70</v>
      </c>
      <c r="O110">
        <v>70</v>
      </c>
      <c r="P110">
        <v>85</v>
      </c>
      <c r="Q110" s="137">
        <f t="shared" si="21"/>
        <v>1.9294189257142926</v>
      </c>
      <c r="R110" s="34">
        <v>26.5</v>
      </c>
      <c r="S110" s="34">
        <f t="shared" si="22"/>
        <v>1.4232458739368079</v>
      </c>
      <c r="T110" s="42">
        <v>37.808596853116498</v>
      </c>
      <c r="U110" s="42">
        <f t="shared" si="23"/>
        <v>1.577590560190987</v>
      </c>
      <c r="V110">
        <v>3.0687415514991745</v>
      </c>
      <c r="W110" s="14">
        <v>4</v>
      </c>
      <c r="X110">
        <v>3.5297005493117593</v>
      </c>
      <c r="Y110">
        <v>9.3222317029704289</v>
      </c>
      <c r="Z110" s="80" t="e">
        <v>#N/A</v>
      </c>
      <c r="AA110">
        <v>7</v>
      </c>
      <c r="AB110">
        <f t="shared" si="24"/>
        <v>0</v>
      </c>
      <c r="AC110">
        <f t="shared" si="25"/>
        <v>0</v>
      </c>
      <c r="AD110">
        <f t="shared" si="26"/>
        <v>0</v>
      </c>
      <c r="AE110">
        <f t="shared" si="27"/>
        <v>0</v>
      </c>
      <c r="AF110">
        <f t="shared" si="28"/>
        <v>0</v>
      </c>
      <c r="AG110">
        <f t="shared" si="29"/>
        <v>0</v>
      </c>
      <c r="AH110">
        <f t="shared" si="30"/>
        <v>1</v>
      </c>
      <c r="AI110">
        <f t="shared" si="31"/>
        <v>0</v>
      </c>
      <c r="AJ110">
        <f t="shared" si="32"/>
        <v>0</v>
      </c>
      <c r="AK110">
        <f t="shared" si="33"/>
        <v>0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</row>
    <row r="111" spans="1:53" x14ac:dyDescent="0.35">
      <c r="A111">
        <v>-2</v>
      </c>
      <c r="C111">
        <v>2.463013698630137</v>
      </c>
      <c r="D111" s="137">
        <f t="shared" si="18"/>
        <v>0.39146682727675408</v>
      </c>
      <c r="E111">
        <v>0</v>
      </c>
      <c r="F111">
        <v>1.8061799739838871</v>
      </c>
      <c r="G111" s="45">
        <v>2.95</v>
      </c>
      <c r="H111" s="29">
        <f t="shared" si="19"/>
        <v>0.46982201597816303</v>
      </c>
      <c r="I111" s="9">
        <v>0</v>
      </c>
      <c r="J111" s="34">
        <v>0.2528530309798932</v>
      </c>
      <c r="K111">
        <v>19</v>
      </c>
      <c r="L111" s="137">
        <f t="shared" si="20"/>
        <v>1.2787536009528289</v>
      </c>
      <c r="M111">
        <f t="shared" si="17"/>
        <v>0</v>
      </c>
      <c r="N111">
        <v>70</v>
      </c>
      <c r="O111">
        <v>70</v>
      </c>
      <c r="P111">
        <v>85</v>
      </c>
      <c r="Q111" s="137">
        <f t="shared" si="21"/>
        <v>1.9294189257142926</v>
      </c>
      <c r="R111" s="34">
        <v>26.5</v>
      </c>
      <c r="S111" s="34">
        <f t="shared" si="22"/>
        <v>1.4232458739368079</v>
      </c>
      <c r="T111" s="42">
        <v>37.808596853116498</v>
      </c>
      <c r="U111" s="42">
        <f t="shared" si="23"/>
        <v>1.577590560190987</v>
      </c>
      <c r="V111">
        <v>3.0687415514991745</v>
      </c>
      <c r="W111" s="14">
        <v>4</v>
      </c>
      <c r="X111">
        <v>3.5297005493117593</v>
      </c>
      <c r="Y111">
        <v>9.0606978403536118</v>
      </c>
      <c r="Z111" s="80" t="e">
        <v>#N/A</v>
      </c>
      <c r="AA111">
        <v>7</v>
      </c>
      <c r="AB111">
        <f t="shared" si="24"/>
        <v>0</v>
      </c>
      <c r="AC111">
        <f t="shared" si="25"/>
        <v>0</v>
      </c>
      <c r="AD111">
        <f t="shared" si="26"/>
        <v>0</v>
      </c>
      <c r="AE111">
        <f t="shared" si="27"/>
        <v>0</v>
      </c>
      <c r="AF111">
        <f t="shared" si="28"/>
        <v>0</v>
      </c>
      <c r="AG111">
        <f t="shared" si="29"/>
        <v>0</v>
      </c>
      <c r="AH111">
        <f t="shared" si="30"/>
        <v>1</v>
      </c>
      <c r="AI111">
        <f t="shared" si="31"/>
        <v>0</v>
      </c>
      <c r="AJ111">
        <f t="shared" si="32"/>
        <v>0</v>
      </c>
      <c r="AK111">
        <f t="shared" si="33"/>
        <v>0</v>
      </c>
      <c r="AL111">
        <v>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</row>
    <row r="112" spans="1:53" x14ac:dyDescent="0.35">
      <c r="A112">
        <v>0.69179141970889546</v>
      </c>
      <c r="C112">
        <v>1.4602739726027398</v>
      </c>
      <c r="D112" s="137">
        <f t="shared" si="18"/>
        <v>0.16443434457009759</v>
      </c>
      <c r="E112">
        <v>3.7707754512906644</v>
      </c>
      <c r="F112">
        <v>0.3010299956639812</v>
      </c>
      <c r="G112" s="45">
        <v>2.3199999999999998</v>
      </c>
      <c r="H112" s="29">
        <f t="shared" si="19"/>
        <v>0.36548798489089962</v>
      </c>
      <c r="I112" s="9">
        <v>2.1238516409670858</v>
      </c>
      <c r="J112" s="34">
        <v>0.16435285578443709</v>
      </c>
      <c r="K112">
        <v>20</v>
      </c>
      <c r="L112" s="137">
        <f t="shared" si="20"/>
        <v>1.3010299956639813</v>
      </c>
      <c r="M112">
        <f t="shared" si="17"/>
        <v>1</v>
      </c>
      <c r="N112">
        <v>70</v>
      </c>
      <c r="O112">
        <v>90</v>
      </c>
      <c r="P112">
        <v>85</v>
      </c>
      <c r="Q112" s="137">
        <f t="shared" si="21"/>
        <v>1.9294189257142926</v>
      </c>
      <c r="R112" s="34">
        <v>29.3</v>
      </c>
      <c r="S112" s="34">
        <f t="shared" si="22"/>
        <v>1.4668676203541096</v>
      </c>
      <c r="T112" s="42">
        <v>36.913126831903199</v>
      </c>
      <c r="U112" s="42">
        <f t="shared" si="23"/>
        <v>1.5671808349091383</v>
      </c>
      <c r="V112">
        <v>3.0687415514991745</v>
      </c>
      <c r="W112" s="14">
        <v>4</v>
      </c>
      <c r="X112">
        <v>3.5297005493117593</v>
      </c>
      <c r="Y112">
        <v>8.4842998393467859</v>
      </c>
      <c r="Z112" s="80" t="e">
        <v>#N/A</v>
      </c>
      <c r="AA112">
        <v>4</v>
      </c>
      <c r="AB112">
        <f t="shared" si="24"/>
        <v>0</v>
      </c>
      <c r="AC112">
        <f t="shared" si="25"/>
        <v>0</v>
      </c>
      <c r="AD112">
        <f t="shared" si="26"/>
        <v>0</v>
      </c>
      <c r="AE112">
        <f t="shared" si="27"/>
        <v>1</v>
      </c>
      <c r="AF112">
        <f t="shared" si="28"/>
        <v>0</v>
      </c>
      <c r="AG112">
        <f t="shared" si="29"/>
        <v>0</v>
      </c>
      <c r="AH112">
        <f t="shared" si="30"/>
        <v>0</v>
      </c>
      <c r="AI112">
        <f t="shared" si="31"/>
        <v>0</v>
      </c>
      <c r="AJ112">
        <f t="shared" si="32"/>
        <v>0</v>
      </c>
      <c r="AK112">
        <f t="shared" si="33"/>
        <v>0</v>
      </c>
      <c r="AL112">
        <v>0</v>
      </c>
      <c r="AM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</row>
    <row r="113" spans="1:53" x14ac:dyDescent="0.35">
      <c r="A113">
        <v>0.14085386038334191</v>
      </c>
      <c r="C113">
        <v>7.3123287671232875</v>
      </c>
      <c r="D113" s="137">
        <f t="shared" si="18"/>
        <v>0.86405570933103293</v>
      </c>
      <c r="E113">
        <v>0</v>
      </c>
      <c r="F113">
        <v>1.8195439355418688</v>
      </c>
      <c r="G113" s="45">
        <v>2.95</v>
      </c>
      <c r="H113" s="29">
        <f t="shared" si="19"/>
        <v>0.46982201597816303</v>
      </c>
      <c r="I113" s="9">
        <v>0</v>
      </c>
      <c r="J113" s="34">
        <v>0.12385164096708581</v>
      </c>
      <c r="K113">
        <v>21</v>
      </c>
      <c r="L113" s="137">
        <f t="shared" si="20"/>
        <v>1.3222192947339193</v>
      </c>
      <c r="M113">
        <f t="shared" si="17"/>
        <v>0</v>
      </c>
      <c r="N113">
        <v>70</v>
      </c>
      <c r="O113">
        <v>70</v>
      </c>
      <c r="P113">
        <v>85</v>
      </c>
      <c r="Q113" s="137">
        <f t="shared" si="21"/>
        <v>1.9294189257142926</v>
      </c>
      <c r="R113" s="34">
        <v>27.4</v>
      </c>
      <c r="S113" s="34">
        <f t="shared" si="22"/>
        <v>1.4377505628203879</v>
      </c>
      <c r="T113" s="42">
        <v>35.968444143503902</v>
      </c>
      <c r="U113" s="42">
        <f t="shared" si="23"/>
        <v>1.5559216523165715</v>
      </c>
      <c r="V113">
        <v>3.0687415514991745</v>
      </c>
      <c r="W113" s="14">
        <v>4</v>
      </c>
      <c r="X113">
        <v>3.5297005493117593</v>
      </c>
      <c r="Y113">
        <v>9.079803289113908</v>
      </c>
      <c r="Z113" s="80">
        <v>-8.5246188890835795E-2</v>
      </c>
      <c r="AA113">
        <v>1</v>
      </c>
      <c r="AB113">
        <f t="shared" si="24"/>
        <v>1</v>
      </c>
      <c r="AC113">
        <f t="shared" si="25"/>
        <v>0</v>
      </c>
      <c r="AD113">
        <f t="shared" si="26"/>
        <v>0</v>
      </c>
      <c r="AE113">
        <f t="shared" si="27"/>
        <v>0</v>
      </c>
      <c r="AF113">
        <f t="shared" si="28"/>
        <v>0</v>
      </c>
      <c r="AG113">
        <f t="shared" si="29"/>
        <v>0</v>
      </c>
      <c r="AH113">
        <f t="shared" si="30"/>
        <v>0</v>
      </c>
      <c r="AI113">
        <f t="shared" si="31"/>
        <v>0</v>
      </c>
      <c r="AJ113">
        <f t="shared" si="32"/>
        <v>0</v>
      </c>
      <c r="AK113">
        <f t="shared" si="33"/>
        <v>0</v>
      </c>
      <c r="AL113">
        <v>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</row>
    <row r="114" spans="1:53" x14ac:dyDescent="0.35">
      <c r="A114">
        <v>-2</v>
      </c>
      <c r="C114">
        <v>7.7315068493150685</v>
      </c>
      <c r="D114" s="137">
        <f t="shared" si="18"/>
        <v>0.88826414496185435</v>
      </c>
      <c r="E114">
        <v>0</v>
      </c>
      <c r="F114">
        <v>1.0791812460476249</v>
      </c>
      <c r="G114" s="45">
        <v>2.95</v>
      </c>
      <c r="H114" s="29">
        <f t="shared" si="19"/>
        <v>0.46982201597816303</v>
      </c>
      <c r="I114" s="9">
        <v>0</v>
      </c>
      <c r="J114" s="34">
        <v>0.15228834438305647</v>
      </c>
      <c r="K114">
        <v>21</v>
      </c>
      <c r="L114" s="137">
        <f t="shared" si="20"/>
        <v>1.3222192947339193</v>
      </c>
      <c r="M114">
        <f t="shared" si="17"/>
        <v>0</v>
      </c>
      <c r="N114">
        <v>70</v>
      </c>
      <c r="O114">
        <v>70</v>
      </c>
      <c r="P114">
        <v>85</v>
      </c>
      <c r="Q114" s="137">
        <f t="shared" si="21"/>
        <v>1.9294189257142926</v>
      </c>
      <c r="R114" s="34">
        <v>27.4</v>
      </c>
      <c r="S114" s="34">
        <f t="shared" si="22"/>
        <v>1.4377505628203879</v>
      </c>
      <c r="T114" s="42">
        <v>35.968444143503902</v>
      </c>
      <c r="U114" s="42">
        <f t="shared" si="23"/>
        <v>1.5559216523165715</v>
      </c>
      <c r="V114">
        <v>3.0687415514991745</v>
      </c>
      <c r="W114" s="14">
        <v>4</v>
      </c>
      <c r="X114">
        <v>3.5297005493117593</v>
      </c>
      <c r="Y114">
        <v>8.8195439355418692</v>
      </c>
      <c r="Z114" s="80">
        <v>-9.2788760214723709E-4</v>
      </c>
      <c r="AA114">
        <v>5</v>
      </c>
      <c r="AB114">
        <f t="shared" si="24"/>
        <v>0</v>
      </c>
      <c r="AC114">
        <f t="shared" si="25"/>
        <v>0</v>
      </c>
      <c r="AD114">
        <f t="shared" si="26"/>
        <v>0</v>
      </c>
      <c r="AE114">
        <f t="shared" si="27"/>
        <v>0</v>
      </c>
      <c r="AF114">
        <f t="shared" si="28"/>
        <v>1</v>
      </c>
      <c r="AG114">
        <f t="shared" si="29"/>
        <v>0</v>
      </c>
      <c r="AH114">
        <f t="shared" si="30"/>
        <v>0</v>
      </c>
      <c r="AI114">
        <f t="shared" si="31"/>
        <v>0</v>
      </c>
      <c r="AJ114">
        <f t="shared" si="32"/>
        <v>0</v>
      </c>
      <c r="AK114">
        <f t="shared" si="33"/>
        <v>0</v>
      </c>
      <c r="AL114">
        <v>1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</row>
    <row r="115" spans="1:53" x14ac:dyDescent="0.35">
      <c r="A115">
        <v>-2</v>
      </c>
      <c r="C115">
        <v>5.1589041095890407</v>
      </c>
      <c r="D115" s="137">
        <f t="shared" si="18"/>
        <v>0.71255745556019012</v>
      </c>
      <c r="E115">
        <v>0</v>
      </c>
      <c r="F115">
        <v>0.90308998699194354</v>
      </c>
      <c r="G115" s="45">
        <v>2.95</v>
      </c>
      <c r="H115" s="29">
        <f t="shared" si="19"/>
        <v>0.46982201597816303</v>
      </c>
      <c r="I115" s="9">
        <v>0</v>
      </c>
      <c r="J115" s="34">
        <v>-6.5501548756432285E-2</v>
      </c>
      <c r="K115">
        <v>22</v>
      </c>
      <c r="L115" s="137">
        <f t="shared" si="20"/>
        <v>1.3424226808222062</v>
      </c>
      <c r="M115">
        <f t="shared" si="17"/>
        <v>0</v>
      </c>
      <c r="N115">
        <v>70</v>
      </c>
      <c r="O115">
        <v>70</v>
      </c>
      <c r="P115">
        <v>85</v>
      </c>
      <c r="Q115" s="137">
        <f t="shared" si="21"/>
        <v>1.9294189257142926</v>
      </c>
      <c r="R115" s="34">
        <v>27.8</v>
      </c>
      <c r="S115" s="34">
        <f t="shared" si="22"/>
        <v>1.4440447959180762</v>
      </c>
      <c r="T115" s="42">
        <v>35.119429201759203</v>
      </c>
      <c r="U115" s="42">
        <f t="shared" si="23"/>
        <v>1.5455474486765259</v>
      </c>
      <c r="V115">
        <v>3.0687415514991745</v>
      </c>
      <c r="W115" s="14">
        <v>4</v>
      </c>
      <c r="X115">
        <v>3.5297005493117593</v>
      </c>
      <c r="Y115">
        <v>8.7730546933642621</v>
      </c>
      <c r="Z115" s="80">
        <v>-0.28095783512141381</v>
      </c>
      <c r="AA115">
        <v>5</v>
      </c>
      <c r="AB115">
        <f t="shared" si="24"/>
        <v>0</v>
      </c>
      <c r="AC115">
        <f t="shared" si="25"/>
        <v>0</v>
      </c>
      <c r="AD115">
        <f t="shared" si="26"/>
        <v>0</v>
      </c>
      <c r="AE115">
        <f t="shared" si="27"/>
        <v>0</v>
      </c>
      <c r="AF115">
        <f t="shared" si="28"/>
        <v>1</v>
      </c>
      <c r="AG115">
        <f t="shared" si="29"/>
        <v>0</v>
      </c>
      <c r="AH115">
        <f t="shared" si="30"/>
        <v>0</v>
      </c>
      <c r="AI115">
        <f t="shared" si="31"/>
        <v>0</v>
      </c>
      <c r="AJ115">
        <f t="shared" si="32"/>
        <v>0</v>
      </c>
      <c r="AK115">
        <f t="shared" si="33"/>
        <v>0</v>
      </c>
      <c r="AL115">
        <v>1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</row>
    <row r="116" spans="1:53" x14ac:dyDescent="0.35">
      <c r="A116">
        <v>-0.40958099049118918</v>
      </c>
      <c r="C116">
        <v>8.1808219178082187</v>
      </c>
      <c r="D116" s="137">
        <f t="shared" si="18"/>
        <v>0.91279693893253189</v>
      </c>
      <c r="E116">
        <v>0</v>
      </c>
      <c r="F116">
        <v>1.2304489213782739</v>
      </c>
      <c r="G116" s="45">
        <v>2.95</v>
      </c>
      <c r="H116" s="29">
        <f t="shared" si="19"/>
        <v>0.46982201597816303</v>
      </c>
      <c r="I116" s="9">
        <v>0</v>
      </c>
      <c r="J116" s="34">
        <v>6.8185861746161619E-2</v>
      </c>
      <c r="K116">
        <v>23</v>
      </c>
      <c r="L116" s="137">
        <f t="shared" si="20"/>
        <v>1.3617278360175928</v>
      </c>
      <c r="M116">
        <f t="shared" si="17"/>
        <v>0</v>
      </c>
      <c r="N116">
        <v>70</v>
      </c>
      <c r="O116">
        <v>70</v>
      </c>
      <c r="P116">
        <v>85</v>
      </c>
      <c r="Q116" s="137">
        <f t="shared" si="21"/>
        <v>1.9294189257142926</v>
      </c>
      <c r="R116" s="34">
        <v>27.8</v>
      </c>
      <c r="S116" s="34">
        <f t="shared" si="22"/>
        <v>1.4440447959180762</v>
      </c>
      <c r="T116" s="42">
        <v>34.656907836978597</v>
      </c>
      <c r="U116" s="42">
        <f t="shared" si="23"/>
        <v>1.5397898114291337</v>
      </c>
      <c r="V116">
        <v>3.0687415514991745</v>
      </c>
      <c r="W116" s="14">
        <v>4</v>
      </c>
      <c r="X116">
        <v>3.5297005493117593</v>
      </c>
      <c r="Y116">
        <v>8.9253224071605537</v>
      </c>
      <c r="Z116" s="80">
        <v>0.22774519875581412</v>
      </c>
      <c r="AA116">
        <v>2</v>
      </c>
      <c r="AB116">
        <f t="shared" si="24"/>
        <v>0</v>
      </c>
      <c r="AC116">
        <f t="shared" si="25"/>
        <v>1</v>
      </c>
      <c r="AD116">
        <f t="shared" si="26"/>
        <v>0</v>
      </c>
      <c r="AE116">
        <f t="shared" si="27"/>
        <v>0</v>
      </c>
      <c r="AF116">
        <f t="shared" si="28"/>
        <v>0</v>
      </c>
      <c r="AG116">
        <f t="shared" si="29"/>
        <v>0</v>
      </c>
      <c r="AH116">
        <f t="shared" si="30"/>
        <v>0</v>
      </c>
      <c r="AI116">
        <f t="shared" si="31"/>
        <v>0</v>
      </c>
      <c r="AJ116">
        <f t="shared" si="32"/>
        <v>0</v>
      </c>
      <c r="AK116">
        <f t="shared" si="33"/>
        <v>0</v>
      </c>
      <c r="AL116">
        <v>1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</row>
    <row r="117" spans="1:53" x14ac:dyDescent="0.35">
      <c r="A117">
        <v>-2</v>
      </c>
      <c r="C117">
        <v>4.8712328767123285</v>
      </c>
      <c r="D117" s="137">
        <f t="shared" si="18"/>
        <v>0.68763889217772012</v>
      </c>
      <c r="E117">
        <v>0</v>
      </c>
      <c r="F117">
        <v>1.146128035678238</v>
      </c>
      <c r="G117" s="45">
        <v>2.95</v>
      </c>
      <c r="H117" s="29">
        <f t="shared" si="19"/>
        <v>0.46982201597816303</v>
      </c>
      <c r="I117" s="9">
        <v>0</v>
      </c>
      <c r="J117" s="34">
        <v>-4.5757490560675115E-2</v>
      </c>
      <c r="K117">
        <v>24</v>
      </c>
      <c r="L117" s="137">
        <f t="shared" si="20"/>
        <v>1.3802112417116059</v>
      </c>
      <c r="M117">
        <f t="shared" si="17"/>
        <v>0</v>
      </c>
      <c r="N117">
        <v>70</v>
      </c>
      <c r="O117">
        <v>70</v>
      </c>
      <c r="P117">
        <v>85</v>
      </c>
      <c r="Q117" s="137">
        <f t="shared" si="21"/>
        <v>1.9294189257142926</v>
      </c>
      <c r="R117" s="34">
        <v>28.2</v>
      </c>
      <c r="S117" s="34">
        <f t="shared" si="22"/>
        <v>1.4502491083193612</v>
      </c>
      <c r="T117" s="42">
        <v>34.298950279384798</v>
      </c>
      <c r="U117" s="42">
        <f t="shared" si="23"/>
        <v>1.5352808286478177</v>
      </c>
      <c r="V117">
        <v>3.0687415514991745</v>
      </c>
      <c r="W117" s="14">
        <v>4</v>
      </c>
      <c r="X117">
        <v>3.5297005493117593</v>
      </c>
      <c r="Y117">
        <v>8.3010299956639813</v>
      </c>
      <c r="Z117" s="80">
        <v>-0.18289913560021842</v>
      </c>
      <c r="AA117">
        <v>4</v>
      </c>
      <c r="AB117">
        <f t="shared" si="24"/>
        <v>0</v>
      </c>
      <c r="AC117">
        <f t="shared" si="25"/>
        <v>0</v>
      </c>
      <c r="AD117">
        <f t="shared" si="26"/>
        <v>0</v>
      </c>
      <c r="AE117">
        <f t="shared" si="27"/>
        <v>1</v>
      </c>
      <c r="AF117">
        <f t="shared" si="28"/>
        <v>0</v>
      </c>
      <c r="AG117">
        <f t="shared" si="29"/>
        <v>0</v>
      </c>
      <c r="AH117">
        <f t="shared" si="30"/>
        <v>0</v>
      </c>
      <c r="AI117">
        <f t="shared" si="31"/>
        <v>0</v>
      </c>
      <c r="AJ117">
        <f t="shared" si="32"/>
        <v>0</v>
      </c>
      <c r="AK117">
        <f t="shared" si="33"/>
        <v>0</v>
      </c>
      <c r="AL117">
        <v>1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</row>
    <row r="118" spans="1:53" x14ac:dyDescent="0.35">
      <c r="A118">
        <v>-2</v>
      </c>
      <c r="C118">
        <v>1.3095890410958904</v>
      </c>
      <c r="D118" s="137">
        <f t="shared" si="18"/>
        <v>0.11713503215564416</v>
      </c>
      <c r="E118">
        <v>0</v>
      </c>
      <c r="F118">
        <v>0.6020599913279624</v>
      </c>
      <c r="G118" s="45">
        <v>2.95</v>
      </c>
      <c r="H118" s="29">
        <f t="shared" si="19"/>
        <v>0.46982201597816303</v>
      </c>
      <c r="I118" s="9">
        <v>0</v>
      </c>
      <c r="J118" s="34">
        <v>-0.12493873660829995</v>
      </c>
      <c r="K118">
        <v>24</v>
      </c>
      <c r="L118" s="137">
        <f t="shared" si="20"/>
        <v>1.3802112417116059</v>
      </c>
      <c r="M118">
        <f t="shared" si="17"/>
        <v>0</v>
      </c>
      <c r="N118">
        <v>70</v>
      </c>
      <c r="O118">
        <v>70</v>
      </c>
      <c r="P118">
        <v>85</v>
      </c>
      <c r="Q118" s="137">
        <f t="shared" si="21"/>
        <v>1.9294189257142926</v>
      </c>
      <c r="R118" s="34">
        <v>28.2</v>
      </c>
      <c r="S118" s="34">
        <f t="shared" si="22"/>
        <v>1.4502491083193612</v>
      </c>
      <c r="T118" s="42">
        <v>34.298950279384798</v>
      </c>
      <c r="U118" s="42">
        <f t="shared" si="23"/>
        <v>1.5352808286478177</v>
      </c>
      <c r="V118">
        <v>3.0687415514991745</v>
      </c>
      <c r="W118" s="14">
        <v>4</v>
      </c>
      <c r="X118">
        <v>3.5297005493117593</v>
      </c>
      <c r="Y118">
        <v>7.7708520116421438</v>
      </c>
      <c r="Z118" s="80">
        <v>-0.19473024635543068</v>
      </c>
      <c r="AA118">
        <v>4</v>
      </c>
      <c r="AB118">
        <f t="shared" si="24"/>
        <v>0</v>
      </c>
      <c r="AC118">
        <f t="shared" si="25"/>
        <v>0</v>
      </c>
      <c r="AD118">
        <f t="shared" si="26"/>
        <v>0</v>
      </c>
      <c r="AE118">
        <f t="shared" si="27"/>
        <v>1</v>
      </c>
      <c r="AF118">
        <f t="shared" si="28"/>
        <v>0</v>
      </c>
      <c r="AG118">
        <f t="shared" si="29"/>
        <v>0</v>
      </c>
      <c r="AH118">
        <f t="shared" si="30"/>
        <v>0</v>
      </c>
      <c r="AI118">
        <f t="shared" si="31"/>
        <v>0</v>
      </c>
      <c r="AJ118">
        <f t="shared" si="32"/>
        <v>0</v>
      </c>
      <c r="AK118">
        <f t="shared" si="33"/>
        <v>0</v>
      </c>
      <c r="AL118">
        <v>1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</row>
    <row r="119" spans="1:53" x14ac:dyDescent="0.35">
      <c r="A119">
        <v>0.22322747701074128</v>
      </c>
      <c r="C119">
        <v>11.717808219178082</v>
      </c>
      <c r="D119" s="137">
        <f t="shared" si="18"/>
        <v>1.0688463858003363</v>
      </c>
      <c r="E119">
        <v>0</v>
      </c>
      <c r="F119">
        <v>1.954242509439325</v>
      </c>
      <c r="G119" s="45">
        <v>2.95</v>
      </c>
      <c r="H119" s="29">
        <f t="shared" si="19"/>
        <v>0.46982201597816303</v>
      </c>
      <c r="I119" s="9">
        <v>0</v>
      </c>
      <c r="J119" s="34">
        <v>-6.5501548756432285E-2</v>
      </c>
      <c r="K119">
        <v>24</v>
      </c>
      <c r="L119" s="137">
        <f t="shared" si="20"/>
        <v>1.3802112417116059</v>
      </c>
      <c r="M119">
        <f t="shared" si="17"/>
        <v>0</v>
      </c>
      <c r="N119">
        <v>70</v>
      </c>
      <c r="O119">
        <v>70</v>
      </c>
      <c r="P119">
        <v>85</v>
      </c>
      <c r="Q119" s="137">
        <f t="shared" si="21"/>
        <v>1.9294189257142926</v>
      </c>
      <c r="R119" s="34">
        <v>28.2</v>
      </c>
      <c r="S119" s="34">
        <f t="shared" si="22"/>
        <v>1.4502491083193612</v>
      </c>
      <c r="T119" s="42">
        <v>34.298950279384798</v>
      </c>
      <c r="U119" s="42">
        <f t="shared" si="23"/>
        <v>1.5352808286478177</v>
      </c>
      <c r="V119">
        <v>3.0687415514991745</v>
      </c>
      <c r="W119" s="14">
        <v>4</v>
      </c>
      <c r="X119">
        <v>3.5297005493117593</v>
      </c>
      <c r="Y119">
        <v>8.7421042670361224</v>
      </c>
      <c r="Z119" s="80">
        <v>-0.1136260737138387</v>
      </c>
      <c r="AA119">
        <v>10</v>
      </c>
      <c r="AB119">
        <f t="shared" si="24"/>
        <v>0</v>
      </c>
      <c r="AC119">
        <f t="shared" si="25"/>
        <v>0</v>
      </c>
      <c r="AD119">
        <f t="shared" si="26"/>
        <v>0</v>
      </c>
      <c r="AE119">
        <f t="shared" si="27"/>
        <v>0</v>
      </c>
      <c r="AF119">
        <f t="shared" si="28"/>
        <v>0</v>
      </c>
      <c r="AG119">
        <f t="shared" si="29"/>
        <v>0</v>
      </c>
      <c r="AH119">
        <f t="shared" si="30"/>
        <v>0</v>
      </c>
      <c r="AI119">
        <f t="shared" si="31"/>
        <v>0</v>
      </c>
      <c r="AJ119">
        <f t="shared" si="32"/>
        <v>0</v>
      </c>
      <c r="AK119">
        <f t="shared" si="33"/>
        <v>1</v>
      </c>
      <c r="AL119">
        <v>1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</row>
    <row r="120" spans="1:53" x14ac:dyDescent="0.35">
      <c r="A120">
        <v>-0.41073372100876349</v>
      </c>
      <c r="C120">
        <v>9.7835616438356166</v>
      </c>
      <c r="D120" s="137">
        <f t="shared" si="18"/>
        <v>0.99049698573630729</v>
      </c>
      <c r="E120">
        <v>0</v>
      </c>
      <c r="F120">
        <v>1.414973347970818</v>
      </c>
      <c r="G120" s="45">
        <v>2.95</v>
      </c>
      <c r="H120" s="29">
        <f t="shared" si="19"/>
        <v>0.46982201597816303</v>
      </c>
      <c r="I120" s="9">
        <v>0</v>
      </c>
      <c r="J120" s="34">
        <v>0.22271647114758325</v>
      </c>
      <c r="K120">
        <v>31</v>
      </c>
      <c r="L120" s="137">
        <f t="shared" si="20"/>
        <v>1.4913616938342726</v>
      </c>
      <c r="M120">
        <f t="shared" si="17"/>
        <v>0</v>
      </c>
      <c r="N120">
        <v>70</v>
      </c>
      <c r="O120">
        <v>70</v>
      </c>
      <c r="P120">
        <v>91.4</v>
      </c>
      <c r="Q120" s="137">
        <f t="shared" si="21"/>
        <v>1.9609461957338314</v>
      </c>
      <c r="R120" s="34">
        <v>26.7</v>
      </c>
      <c r="S120" s="34">
        <f t="shared" si="22"/>
        <v>1.4265112613645752</v>
      </c>
      <c r="T120" s="42">
        <v>37.425715444240403</v>
      </c>
      <c r="U120" s="42">
        <f t="shared" si="23"/>
        <v>1.5731701112332821</v>
      </c>
      <c r="V120">
        <v>3.0687415514991745</v>
      </c>
      <c r="W120" s="14">
        <v>4</v>
      </c>
      <c r="X120">
        <v>3.5297005493117593</v>
      </c>
      <c r="Y120">
        <v>10.684891570272443</v>
      </c>
      <c r="Z120" s="80">
        <v>0.23424863745400604</v>
      </c>
      <c r="AA120">
        <v>10</v>
      </c>
      <c r="AB120">
        <f t="shared" si="24"/>
        <v>0</v>
      </c>
      <c r="AC120">
        <f t="shared" si="25"/>
        <v>0</v>
      </c>
      <c r="AD120">
        <f t="shared" si="26"/>
        <v>0</v>
      </c>
      <c r="AE120">
        <f t="shared" si="27"/>
        <v>0</v>
      </c>
      <c r="AF120">
        <f t="shared" si="28"/>
        <v>0</v>
      </c>
      <c r="AG120">
        <f t="shared" si="29"/>
        <v>0</v>
      </c>
      <c r="AH120">
        <f t="shared" si="30"/>
        <v>0</v>
      </c>
      <c r="AI120">
        <f t="shared" si="31"/>
        <v>0</v>
      </c>
      <c r="AJ120">
        <f t="shared" si="32"/>
        <v>0</v>
      </c>
      <c r="AK120">
        <f t="shared" si="33"/>
        <v>1</v>
      </c>
      <c r="AL120">
        <v>1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</row>
    <row r="121" spans="1:53" x14ac:dyDescent="0.35">
      <c r="A121">
        <v>1.285675428614004E-2</v>
      </c>
      <c r="C121">
        <v>4.6657534246575345</v>
      </c>
      <c r="D121" s="137">
        <f t="shared" si="18"/>
        <v>0.6689217835061263</v>
      </c>
      <c r="E121">
        <v>0</v>
      </c>
      <c r="F121">
        <v>1.8388490907372552</v>
      </c>
      <c r="G121" s="45">
        <v>2.95</v>
      </c>
      <c r="H121" s="29">
        <f t="shared" si="19"/>
        <v>0.46982201597816303</v>
      </c>
      <c r="I121" s="9">
        <v>0</v>
      </c>
      <c r="J121" s="34">
        <v>-2.6872146400301365E-2</v>
      </c>
      <c r="K121">
        <v>31</v>
      </c>
      <c r="L121" s="137">
        <f t="shared" si="20"/>
        <v>1.4913616938342726</v>
      </c>
      <c r="M121">
        <f t="shared" si="17"/>
        <v>0</v>
      </c>
      <c r="N121">
        <v>70</v>
      </c>
      <c r="O121">
        <v>70</v>
      </c>
      <c r="P121">
        <v>91.4</v>
      </c>
      <c r="Q121" s="137">
        <f t="shared" si="21"/>
        <v>1.9609461957338314</v>
      </c>
      <c r="R121" s="34">
        <v>26.7</v>
      </c>
      <c r="S121" s="34">
        <f t="shared" si="22"/>
        <v>1.4265112613645752</v>
      </c>
      <c r="T121" s="42">
        <v>37.425715444240403</v>
      </c>
      <c r="U121" s="42">
        <f t="shared" si="23"/>
        <v>1.5731701112332821</v>
      </c>
      <c r="V121">
        <v>3.0687415514991745</v>
      </c>
      <c r="W121" s="14">
        <v>4</v>
      </c>
      <c r="X121">
        <v>3.5297005493117593</v>
      </c>
      <c r="Y121">
        <v>9.8645721865020803</v>
      </c>
      <c r="Z121" s="80">
        <v>-9.5375695917997549E-2</v>
      </c>
      <c r="AA121">
        <v>7</v>
      </c>
      <c r="AB121">
        <f t="shared" si="24"/>
        <v>0</v>
      </c>
      <c r="AC121">
        <f t="shared" si="25"/>
        <v>0</v>
      </c>
      <c r="AD121">
        <f t="shared" si="26"/>
        <v>0</v>
      </c>
      <c r="AE121">
        <f t="shared" si="27"/>
        <v>0</v>
      </c>
      <c r="AF121">
        <f t="shared" si="28"/>
        <v>0</v>
      </c>
      <c r="AG121">
        <f t="shared" si="29"/>
        <v>0</v>
      </c>
      <c r="AH121">
        <f t="shared" si="30"/>
        <v>1</v>
      </c>
      <c r="AI121">
        <f t="shared" si="31"/>
        <v>0</v>
      </c>
      <c r="AJ121">
        <f t="shared" si="32"/>
        <v>0</v>
      </c>
      <c r="AK121">
        <f t="shared" si="33"/>
        <v>0</v>
      </c>
      <c r="AL121">
        <v>1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</row>
    <row r="122" spans="1:53" x14ac:dyDescent="0.35">
      <c r="A122">
        <v>6.7550558562365803E-2</v>
      </c>
      <c r="C122">
        <v>7.7479452054794518</v>
      </c>
      <c r="D122" s="137">
        <f t="shared" si="18"/>
        <v>0.88918654066838709</v>
      </c>
      <c r="E122">
        <v>0</v>
      </c>
      <c r="F122">
        <v>1.4913616938342726</v>
      </c>
      <c r="G122" s="45">
        <v>2.95</v>
      </c>
      <c r="H122" s="29">
        <f t="shared" si="19"/>
        <v>0.46982201597816303</v>
      </c>
      <c r="I122" s="9">
        <v>0</v>
      </c>
      <c r="J122" s="34">
        <v>0.13987908640123647</v>
      </c>
      <c r="K122">
        <v>31</v>
      </c>
      <c r="L122" s="137">
        <f t="shared" si="20"/>
        <v>1.4913616938342726</v>
      </c>
      <c r="M122">
        <f t="shared" si="17"/>
        <v>0</v>
      </c>
      <c r="N122">
        <v>70</v>
      </c>
      <c r="O122">
        <v>70</v>
      </c>
      <c r="P122">
        <v>91.4</v>
      </c>
      <c r="Q122" s="137">
        <f t="shared" si="21"/>
        <v>1.9609461957338314</v>
      </c>
      <c r="R122" s="34">
        <v>26.7</v>
      </c>
      <c r="S122" s="34">
        <f t="shared" si="22"/>
        <v>1.4265112613645752</v>
      </c>
      <c r="T122" s="42">
        <v>37.425715444240403</v>
      </c>
      <c r="U122" s="42">
        <f t="shared" si="23"/>
        <v>1.5731701112332821</v>
      </c>
      <c r="V122">
        <v>3.0687415514991745</v>
      </c>
      <c r="W122" s="14">
        <v>4</v>
      </c>
      <c r="X122">
        <v>3.5297005493117593</v>
      </c>
      <c r="Y122">
        <v>10.057930707138228</v>
      </c>
      <c r="Z122" s="80">
        <v>0.12925406117546778</v>
      </c>
      <c r="AA122">
        <v>2</v>
      </c>
      <c r="AB122">
        <f t="shared" si="24"/>
        <v>0</v>
      </c>
      <c r="AC122">
        <f t="shared" si="25"/>
        <v>1</v>
      </c>
      <c r="AD122">
        <f t="shared" si="26"/>
        <v>0</v>
      </c>
      <c r="AE122">
        <f t="shared" si="27"/>
        <v>0</v>
      </c>
      <c r="AF122">
        <f t="shared" si="28"/>
        <v>0</v>
      </c>
      <c r="AG122">
        <f t="shared" si="29"/>
        <v>0</v>
      </c>
      <c r="AH122">
        <f t="shared" si="30"/>
        <v>0</v>
      </c>
      <c r="AI122">
        <f t="shared" si="31"/>
        <v>0</v>
      </c>
      <c r="AJ122">
        <f t="shared" si="32"/>
        <v>0</v>
      </c>
      <c r="AK122">
        <f t="shared" si="33"/>
        <v>0</v>
      </c>
      <c r="AL122">
        <v>1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</row>
    <row r="123" spans="1:53" x14ac:dyDescent="0.35">
      <c r="A123">
        <v>-2</v>
      </c>
      <c r="C123">
        <v>2.3232876712328765</v>
      </c>
      <c r="D123" s="137">
        <f t="shared" si="18"/>
        <v>0.36610298780023909</v>
      </c>
      <c r="E123">
        <v>0</v>
      </c>
      <c r="F123">
        <v>2.0863598306747484</v>
      </c>
      <c r="G123" s="45">
        <v>2.95</v>
      </c>
      <c r="H123" s="29">
        <f t="shared" si="19"/>
        <v>0.46982201597816303</v>
      </c>
      <c r="I123" s="9">
        <v>0</v>
      </c>
      <c r="J123" s="34">
        <v>9.3421685162235063E-2</v>
      </c>
      <c r="K123">
        <v>33</v>
      </c>
      <c r="L123" s="137">
        <f t="shared" si="20"/>
        <v>1.5185139398778875</v>
      </c>
      <c r="M123">
        <f t="shared" si="17"/>
        <v>0</v>
      </c>
      <c r="N123">
        <v>70</v>
      </c>
      <c r="O123">
        <v>70</v>
      </c>
      <c r="P123">
        <v>91.9</v>
      </c>
      <c r="Q123" s="137">
        <f t="shared" si="21"/>
        <v>1.9633155113861114</v>
      </c>
      <c r="R123" s="34">
        <v>23</v>
      </c>
      <c r="S123" s="34">
        <f t="shared" si="22"/>
        <v>1.3617278360175928</v>
      </c>
      <c r="T123" s="42">
        <v>43.262530407091703</v>
      </c>
      <c r="U123" s="42">
        <f t="shared" si="23"/>
        <v>1.636111917546391</v>
      </c>
      <c r="V123">
        <v>3.0687415514991745</v>
      </c>
      <c r="W123" s="14">
        <v>4</v>
      </c>
      <c r="X123">
        <v>3.5297005493117593</v>
      </c>
      <c r="Y123">
        <v>8.6020599913279625</v>
      </c>
      <c r="Z123" s="80">
        <v>0.1240722873682647</v>
      </c>
      <c r="AA123">
        <v>1</v>
      </c>
      <c r="AB123">
        <f t="shared" si="24"/>
        <v>1</v>
      </c>
      <c r="AC123">
        <f t="shared" si="25"/>
        <v>0</v>
      </c>
      <c r="AD123">
        <f t="shared" si="26"/>
        <v>0</v>
      </c>
      <c r="AE123">
        <f t="shared" si="27"/>
        <v>0</v>
      </c>
      <c r="AF123">
        <f t="shared" si="28"/>
        <v>0</v>
      </c>
      <c r="AG123">
        <f t="shared" si="29"/>
        <v>0</v>
      </c>
      <c r="AH123">
        <f t="shared" si="30"/>
        <v>0</v>
      </c>
      <c r="AI123">
        <f t="shared" si="31"/>
        <v>0</v>
      </c>
      <c r="AJ123">
        <f t="shared" si="32"/>
        <v>0</v>
      </c>
      <c r="AK123">
        <f t="shared" si="33"/>
        <v>0</v>
      </c>
      <c r="AL123">
        <v>1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</row>
    <row r="124" spans="1:53" x14ac:dyDescent="0.35">
      <c r="A124">
        <v>0.38021124171160603</v>
      </c>
      <c r="C124">
        <v>1.3479452054794521</v>
      </c>
      <c r="D124" s="137">
        <f t="shared" si="18"/>
        <v>0.12967223831088562</v>
      </c>
      <c r="E124">
        <v>0</v>
      </c>
      <c r="F124">
        <v>0</v>
      </c>
      <c r="G124" s="45">
        <v>2.95</v>
      </c>
      <c r="H124" s="29">
        <f t="shared" si="19"/>
        <v>0.46982201597816303</v>
      </c>
      <c r="I124" s="9">
        <v>0</v>
      </c>
      <c r="J124" s="34">
        <v>3.7426497940623665E-2</v>
      </c>
      <c r="K124">
        <v>34</v>
      </c>
      <c r="L124" s="137">
        <f t="shared" si="20"/>
        <v>1.5314789170422551</v>
      </c>
      <c r="M124">
        <f t="shared" si="17"/>
        <v>0</v>
      </c>
      <c r="N124">
        <v>70</v>
      </c>
      <c r="O124">
        <v>70</v>
      </c>
      <c r="P124">
        <v>91.3</v>
      </c>
      <c r="Q124" s="137">
        <f t="shared" si="21"/>
        <v>1.9604707775342989</v>
      </c>
      <c r="R124" s="34">
        <v>23.5</v>
      </c>
      <c r="S124" s="34">
        <f t="shared" si="22"/>
        <v>1.3710678622717363</v>
      </c>
      <c r="T124" s="42">
        <v>43.1672842383418</v>
      </c>
      <c r="U124" s="42">
        <f t="shared" si="23"/>
        <v>1.6351547269652249</v>
      </c>
      <c r="V124">
        <v>3.0687415514991745</v>
      </c>
      <c r="W124" s="14">
        <v>4</v>
      </c>
      <c r="X124">
        <v>3.5297005493117593</v>
      </c>
      <c r="Y124">
        <v>8.0969100130080562</v>
      </c>
      <c r="Z124" s="80">
        <v>-5.8520106998699251E-2</v>
      </c>
      <c r="AA124">
        <v>1</v>
      </c>
      <c r="AB124">
        <f t="shared" si="24"/>
        <v>1</v>
      </c>
      <c r="AC124">
        <f t="shared" si="25"/>
        <v>0</v>
      </c>
      <c r="AD124">
        <f t="shared" si="26"/>
        <v>0</v>
      </c>
      <c r="AE124">
        <f t="shared" si="27"/>
        <v>0</v>
      </c>
      <c r="AF124">
        <f t="shared" si="28"/>
        <v>0</v>
      </c>
      <c r="AG124">
        <f t="shared" si="29"/>
        <v>0</v>
      </c>
      <c r="AH124">
        <f t="shared" si="30"/>
        <v>0</v>
      </c>
      <c r="AI124">
        <f t="shared" si="31"/>
        <v>0</v>
      </c>
      <c r="AJ124">
        <f t="shared" si="32"/>
        <v>0</v>
      </c>
      <c r="AK124">
        <f t="shared" si="33"/>
        <v>0</v>
      </c>
      <c r="AL124">
        <v>1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</row>
    <row r="125" spans="1:53" x14ac:dyDescent="0.35">
      <c r="A125">
        <v>5.1640134968381025E-2</v>
      </c>
      <c r="C125">
        <v>3.5534246575342467</v>
      </c>
      <c r="D125" s="137">
        <f t="shared" si="18"/>
        <v>0.55064711162760538</v>
      </c>
      <c r="E125">
        <v>0</v>
      </c>
      <c r="F125">
        <v>2.0606978403536118</v>
      </c>
      <c r="G125" s="45">
        <v>2.95</v>
      </c>
      <c r="H125" s="29">
        <f t="shared" si="19"/>
        <v>0.46982201597816303</v>
      </c>
      <c r="I125" s="9">
        <v>0</v>
      </c>
      <c r="J125" s="34">
        <v>0.2528530309798932</v>
      </c>
      <c r="K125">
        <v>35</v>
      </c>
      <c r="L125" s="137">
        <f t="shared" si="20"/>
        <v>1.5440680443502757</v>
      </c>
      <c r="M125">
        <f t="shared" si="17"/>
        <v>0</v>
      </c>
      <c r="N125">
        <v>70</v>
      </c>
      <c r="O125">
        <v>70</v>
      </c>
      <c r="P125">
        <v>91</v>
      </c>
      <c r="Q125" s="137">
        <f t="shared" si="21"/>
        <v>1.9590413923210936</v>
      </c>
      <c r="R125" s="34">
        <v>23.9</v>
      </c>
      <c r="S125" s="34">
        <f t="shared" si="22"/>
        <v>1.3783979009481377</v>
      </c>
      <c r="T125" s="42">
        <v>42.048698215007001</v>
      </c>
      <c r="U125" s="42">
        <f t="shared" si="23"/>
        <v>1.6237525550259535</v>
      </c>
      <c r="V125">
        <v>3.0687415514991745</v>
      </c>
      <c r="W125" s="14">
        <v>4</v>
      </c>
      <c r="X125">
        <v>3.5297005493117593</v>
      </c>
      <c r="Y125">
        <v>9.7074517934293993</v>
      </c>
      <c r="Z125" s="80">
        <v>0.37670379295923162</v>
      </c>
      <c r="AA125">
        <v>7</v>
      </c>
      <c r="AB125">
        <f t="shared" si="24"/>
        <v>0</v>
      </c>
      <c r="AC125">
        <f t="shared" si="25"/>
        <v>0</v>
      </c>
      <c r="AD125">
        <f t="shared" si="26"/>
        <v>0</v>
      </c>
      <c r="AE125">
        <f t="shared" si="27"/>
        <v>0</v>
      </c>
      <c r="AF125">
        <f t="shared" si="28"/>
        <v>0</v>
      </c>
      <c r="AG125">
        <f t="shared" si="29"/>
        <v>0</v>
      </c>
      <c r="AH125">
        <f t="shared" si="30"/>
        <v>1</v>
      </c>
      <c r="AI125">
        <f t="shared" si="31"/>
        <v>0</v>
      </c>
      <c r="AJ125">
        <f t="shared" si="32"/>
        <v>0</v>
      </c>
      <c r="AK125">
        <f t="shared" si="33"/>
        <v>0</v>
      </c>
      <c r="AL125">
        <v>1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</row>
    <row r="126" spans="1:53" x14ac:dyDescent="0.35">
      <c r="A126">
        <v>0.36469907553335851</v>
      </c>
      <c r="C126">
        <v>6.4164383561643836</v>
      </c>
      <c r="D126" s="137">
        <f t="shared" si="18"/>
        <v>0.80729402627986957</v>
      </c>
      <c r="E126">
        <v>3.8052737966880943</v>
      </c>
      <c r="F126">
        <v>1.9084850188786497</v>
      </c>
      <c r="G126" s="45">
        <v>2.99</v>
      </c>
      <c r="H126" s="29">
        <f t="shared" si="19"/>
        <v>0.47567118832442967</v>
      </c>
      <c r="I126" s="9">
        <v>2.8414637553591628</v>
      </c>
      <c r="J126" s="34">
        <v>0.28103336724772759</v>
      </c>
      <c r="K126">
        <v>35</v>
      </c>
      <c r="L126" s="137">
        <f t="shared" si="20"/>
        <v>1.5440680443502757</v>
      </c>
      <c r="M126">
        <f t="shared" si="17"/>
        <v>1</v>
      </c>
      <c r="N126">
        <v>90</v>
      </c>
      <c r="O126">
        <v>70</v>
      </c>
      <c r="P126">
        <v>76.400000000000006</v>
      </c>
      <c r="Q126" s="137">
        <f t="shared" si="21"/>
        <v>1.8830933585756899</v>
      </c>
      <c r="R126" s="34">
        <v>37</v>
      </c>
      <c r="S126" s="34">
        <f t="shared" si="22"/>
        <v>1.568201724066995</v>
      </c>
      <c r="T126" s="42">
        <v>42.366037242608201</v>
      </c>
      <c r="U126" s="42">
        <f t="shared" si="23"/>
        <v>1.6270178436527734</v>
      </c>
      <c r="V126">
        <v>3.0687415514991745</v>
      </c>
      <c r="W126" s="14">
        <v>4</v>
      </c>
      <c r="X126">
        <v>3.5297005493117593</v>
      </c>
      <c r="Y126">
        <v>9.3756636139608851</v>
      </c>
      <c r="Z126" s="80">
        <v>0.30646929209831097</v>
      </c>
      <c r="AA126">
        <v>2</v>
      </c>
      <c r="AB126">
        <f t="shared" si="24"/>
        <v>0</v>
      </c>
      <c r="AC126">
        <f t="shared" si="25"/>
        <v>1</v>
      </c>
      <c r="AD126">
        <f t="shared" si="26"/>
        <v>0</v>
      </c>
      <c r="AE126">
        <f t="shared" si="27"/>
        <v>0</v>
      </c>
      <c r="AF126">
        <f t="shared" si="28"/>
        <v>0</v>
      </c>
      <c r="AG126">
        <f t="shared" si="29"/>
        <v>0</v>
      </c>
      <c r="AH126">
        <f t="shared" si="30"/>
        <v>0</v>
      </c>
      <c r="AI126">
        <f t="shared" si="31"/>
        <v>0</v>
      </c>
      <c r="AJ126">
        <f t="shared" si="32"/>
        <v>0</v>
      </c>
      <c r="AK126">
        <f t="shared" si="33"/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0</v>
      </c>
      <c r="AZ126">
        <v>0</v>
      </c>
      <c r="BA126">
        <v>0</v>
      </c>
    </row>
    <row r="127" spans="1:53" x14ac:dyDescent="0.35">
      <c r="A127">
        <v>0.59613873729166744</v>
      </c>
      <c r="C127">
        <v>3.2082191780821918</v>
      </c>
      <c r="D127" s="137">
        <f t="shared" si="18"/>
        <v>0.50626403061588843</v>
      </c>
      <c r="E127">
        <v>3.8335760926148099</v>
      </c>
      <c r="F127">
        <v>0.84509804001425681</v>
      </c>
      <c r="G127" s="45">
        <v>2.85</v>
      </c>
      <c r="H127" s="29">
        <f t="shared" si="19"/>
        <v>0.45484486000851021</v>
      </c>
      <c r="I127" s="9">
        <v>2.9138138523837167</v>
      </c>
      <c r="J127" s="34">
        <v>0.22788670461367352</v>
      </c>
      <c r="K127">
        <v>35</v>
      </c>
      <c r="L127" s="137">
        <f t="shared" si="20"/>
        <v>1.5440680443502757</v>
      </c>
      <c r="M127">
        <f t="shared" si="17"/>
        <v>1</v>
      </c>
      <c r="N127">
        <v>70</v>
      </c>
      <c r="O127">
        <v>70</v>
      </c>
      <c r="P127">
        <v>89.6</v>
      </c>
      <c r="Q127" s="137">
        <f t="shared" si="21"/>
        <v>1.9523080096621253</v>
      </c>
      <c r="R127" s="34">
        <v>35.700000000000003</v>
      </c>
      <c r="S127" s="34">
        <f t="shared" si="22"/>
        <v>1.5526682161121932</v>
      </c>
      <c r="T127" s="42">
        <v>44.7100017757258</v>
      </c>
      <c r="U127" s="42">
        <f t="shared" si="23"/>
        <v>1.6504046871166989</v>
      </c>
      <c r="V127">
        <v>3.0687415514991745</v>
      </c>
      <c r="W127" s="14">
        <v>4</v>
      </c>
      <c r="X127">
        <v>3.5297005493117593</v>
      </c>
      <c r="Y127">
        <v>8.3802112417116064</v>
      </c>
      <c r="Z127" s="80">
        <v>0.26214773379211698</v>
      </c>
      <c r="AA127">
        <v>4</v>
      </c>
      <c r="AB127">
        <f t="shared" si="24"/>
        <v>0</v>
      </c>
      <c r="AC127">
        <f t="shared" si="25"/>
        <v>0</v>
      </c>
      <c r="AD127">
        <f t="shared" si="26"/>
        <v>0</v>
      </c>
      <c r="AE127">
        <f t="shared" si="27"/>
        <v>1</v>
      </c>
      <c r="AF127">
        <f t="shared" si="28"/>
        <v>0</v>
      </c>
      <c r="AG127">
        <f t="shared" si="29"/>
        <v>0</v>
      </c>
      <c r="AH127">
        <f t="shared" si="30"/>
        <v>0</v>
      </c>
      <c r="AI127">
        <f t="shared" si="31"/>
        <v>0</v>
      </c>
      <c r="AJ127">
        <f t="shared" si="32"/>
        <v>0</v>
      </c>
      <c r="AK127">
        <f t="shared" si="33"/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1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</row>
    <row r="128" spans="1:53" x14ac:dyDescent="0.35">
      <c r="A128">
        <v>0.348721986001856</v>
      </c>
      <c r="C128">
        <v>3.1315068493150684</v>
      </c>
      <c r="D128" s="137">
        <f t="shared" si="18"/>
        <v>0.49575336593880703</v>
      </c>
      <c r="E128">
        <v>0</v>
      </c>
      <c r="F128">
        <v>1.1760912590556813</v>
      </c>
      <c r="G128" s="45">
        <v>2.95</v>
      </c>
      <c r="H128" s="29">
        <f t="shared" si="19"/>
        <v>0.46982201597816303</v>
      </c>
      <c r="I128" s="9">
        <v>0</v>
      </c>
      <c r="J128" s="34">
        <v>0.19589965240923368</v>
      </c>
      <c r="K128">
        <v>36</v>
      </c>
      <c r="L128" s="137">
        <f t="shared" si="20"/>
        <v>1.5563025007672873</v>
      </c>
      <c r="M128">
        <f t="shared" si="17"/>
        <v>0</v>
      </c>
      <c r="N128">
        <v>70</v>
      </c>
      <c r="O128">
        <v>70</v>
      </c>
      <c r="P128">
        <v>91.1</v>
      </c>
      <c r="Q128" s="137">
        <f t="shared" si="21"/>
        <v>1.9595183769729982</v>
      </c>
      <c r="R128" s="34">
        <v>24.1</v>
      </c>
      <c r="S128" s="34">
        <f t="shared" si="22"/>
        <v>1.3820170425748683</v>
      </c>
      <c r="T128" s="42">
        <v>40.229046020662899</v>
      </c>
      <c r="U128" s="42">
        <f t="shared" si="23"/>
        <v>1.6045397339663818</v>
      </c>
      <c r="V128">
        <v>3.0687415514991745</v>
      </c>
      <c r="W128" s="14">
        <v>4</v>
      </c>
      <c r="X128">
        <v>3.5297005493117593</v>
      </c>
      <c r="Y128">
        <v>9.0492180226701819</v>
      </c>
      <c r="Z128" s="80">
        <v>0.24889413333333343</v>
      </c>
      <c r="AA128">
        <v>9</v>
      </c>
      <c r="AB128">
        <f t="shared" si="24"/>
        <v>0</v>
      </c>
      <c r="AC128">
        <f t="shared" si="25"/>
        <v>0</v>
      </c>
      <c r="AD128">
        <f t="shared" si="26"/>
        <v>0</v>
      </c>
      <c r="AE128">
        <f t="shared" si="27"/>
        <v>0</v>
      </c>
      <c r="AF128">
        <f t="shared" si="28"/>
        <v>0</v>
      </c>
      <c r="AG128">
        <f t="shared" si="29"/>
        <v>0</v>
      </c>
      <c r="AH128">
        <f t="shared" si="30"/>
        <v>0</v>
      </c>
      <c r="AI128">
        <f t="shared" si="31"/>
        <v>0</v>
      </c>
      <c r="AJ128">
        <f t="shared" si="32"/>
        <v>1</v>
      </c>
      <c r="AK128">
        <f t="shared" si="33"/>
        <v>0</v>
      </c>
      <c r="AL128">
        <v>1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</row>
    <row r="129" spans="1:53" x14ac:dyDescent="0.35">
      <c r="A129">
        <v>0.4259687322722811</v>
      </c>
      <c r="C129">
        <v>2.6027397260273974</v>
      </c>
      <c r="D129" s="137">
        <f t="shared" si="18"/>
        <v>0.41543074083237308</v>
      </c>
      <c r="E129">
        <v>0</v>
      </c>
      <c r="F129">
        <v>0.95424250943932487</v>
      </c>
      <c r="G129" s="45">
        <v>2.95</v>
      </c>
      <c r="H129" s="29">
        <f t="shared" si="19"/>
        <v>0.46982201597816303</v>
      </c>
      <c r="I129" s="9">
        <v>0</v>
      </c>
      <c r="J129" s="34">
        <v>0.17609125905568124</v>
      </c>
      <c r="K129">
        <v>36</v>
      </c>
      <c r="L129" s="137">
        <f t="shared" si="20"/>
        <v>1.5563025007672873</v>
      </c>
      <c r="M129">
        <f t="shared" si="17"/>
        <v>0</v>
      </c>
      <c r="N129">
        <v>70</v>
      </c>
      <c r="O129">
        <v>70</v>
      </c>
      <c r="P129">
        <v>91.1</v>
      </c>
      <c r="Q129" s="137">
        <f t="shared" si="21"/>
        <v>1.9595183769729982</v>
      </c>
      <c r="R129" s="34">
        <v>24.1</v>
      </c>
      <c r="S129" s="34">
        <f t="shared" si="22"/>
        <v>1.3820170425748683</v>
      </c>
      <c r="T129" s="42">
        <v>40.229046020662899</v>
      </c>
      <c r="U129" s="42">
        <f t="shared" si="23"/>
        <v>1.6045397339663818</v>
      </c>
      <c r="V129">
        <v>3.0687415514991745</v>
      </c>
      <c r="W129" s="14">
        <v>4</v>
      </c>
      <c r="X129">
        <v>3.5297005493117593</v>
      </c>
      <c r="Y129">
        <v>8.1760912590556813</v>
      </c>
      <c r="Z129" s="80">
        <v>0.27404728554531932</v>
      </c>
      <c r="AA129">
        <v>4</v>
      </c>
      <c r="AB129">
        <f t="shared" si="24"/>
        <v>0</v>
      </c>
      <c r="AC129">
        <f t="shared" si="25"/>
        <v>0</v>
      </c>
      <c r="AD129">
        <f t="shared" si="26"/>
        <v>0</v>
      </c>
      <c r="AE129">
        <f t="shared" si="27"/>
        <v>1</v>
      </c>
      <c r="AF129">
        <f t="shared" si="28"/>
        <v>0</v>
      </c>
      <c r="AG129">
        <f t="shared" si="29"/>
        <v>0</v>
      </c>
      <c r="AH129">
        <f t="shared" si="30"/>
        <v>0</v>
      </c>
      <c r="AI129">
        <f t="shared" si="31"/>
        <v>0</v>
      </c>
      <c r="AJ129">
        <f t="shared" si="32"/>
        <v>0</v>
      </c>
      <c r="AK129">
        <f t="shared" si="33"/>
        <v>0</v>
      </c>
      <c r="AL129">
        <v>1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</row>
    <row r="130" spans="1:53" x14ac:dyDescent="0.35">
      <c r="A130">
        <v>0.14680170202996193</v>
      </c>
      <c r="C130">
        <v>4.484931506849315</v>
      </c>
      <c r="D130" s="137">
        <f t="shared" si="18"/>
        <v>0.65175581495546675</v>
      </c>
      <c r="E130">
        <v>3.8335760926148099</v>
      </c>
      <c r="F130">
        <v>2.2041199826559246</v>
      </c>
      <c r="G130" s="45">
        <v>2.85</v>
      </c>
      <c r="H130" s="29">
        <f t="shared" si="19"/>
        <v>0.45484486000851021</v>
      </c>
      <c r="I130" s="9">
        <v>2.9138138523837167</v>
      </c>
      <c r="J130" s="34">
        <v>0.22271647114758325</v>
      </c>
      <c r="K130">
        <v>36</v>
      </c>
      <c r="L130" s="137">
        <f t="shared" si="20"/>
        <v>1.5563025007672873</v>
      </c>
      <c r="M130">
        <f t="shared" ref="M130:M193" si="34">IF(E130=0,0,1)</f>
        <v>1</v>
      </c>
      <c r="N130">
        <v>70</v>
      </c>
      <c r="O130">
        <v>70</v>
      </c>
      <c r="P130">
        <v>90.5</v>
      </c>
      <c r="Q130" s="137">
        <f t="shared" si="21"/>
        <v>1.9566485792052033</v>
      </c>
      <c r="R130" s="34">
        <v>36.4</v>
      </c>
      <c r="S130" s="34">
        <f t="shared" si="22"/>
        <v>1.5611013836490559</v>
      </c>
      <c r="T130" s="42">
        <v>44.295389122127702</v>
      </c>
      <c r="U130" s="42">
        <f t="shared" si="23"/>
        <v>1.6463585211883986</v>
      </c>
      <c r="V130">
        <v>3.0687415514991745</v>
      </c>
      <c r="W130" s="14">
        <v>4</v>
      </c>
      <c r="X130">
        <v>3.5297005493117593</v>
      </c>
      <c r="Y130">
        <v>9.0799652852302781</v>
      </c>
      <c r="Z130" s="80">
        <v>0.29574162091105549</v>
      </c>
      <c r="AA130">
        <v>5</v>
      </c>
      <c r="AB130">
        <f t="shared" si="24"/>
        <v>0</v>
      </c>
      <c r="AC130">
        <f t="shared" si="25"/>
        <v>0</v>
      </c>
      <c r="AD130">
        <f t="shared" si="26"/>
        <v>0</v>
      </c>
      <c r="AE130">
        <f t="shared" si="27"/>
        <v>0</v>
      </c>
      <c r="AF130">
        <f t="shared" si="28"/>
        <v>1</v>
      </c>
      <c r="AG130">
        <f t="shared" si="29"/>
        <v>0</v>
      </c>
      <c r="AH130">
        <f t="shared" si="30"/>
        <v>0</v>
      </c>
      <c r="AI130">
        <f t="shared" si="31"/>
        <v>0</v>
      </c>
      <c r="AJ130">
        <f t="shared" si="32"/>
        <v>0</v>
      </c>
      <c r="AK130">
        <f t="shared" si="33"/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</row>
    <row r="131" spans="1:53" x14ac:dyDescent="0.35">
      <c r="A131">
        <v>9.4106426575392227E-2</v>
      </c>
      <c r="C131">
        <v>4.6410958904109592</v>
      </c>
      <c r="D131" s="137">
        <f t="shared" ref="D131:D194" si="35">LOG(C131)</f>
        <v>0.66662054153821337</v>
      </c>
      <c r="E131">
        <v>3.8335760926148099</v>
      </c>
      <c r="F131">
        <v>0</v>
      </c>
      <c r="G131" s="45">
        <v>2.85</v>
      </c>
      <c r="H131" s="29">
        <f t="shared" ref="H131:H194" si="36">LOG(G131)</f>
        <v>0.45484486000851021</v>
      </c>
      <c r="I131" s="9">
        <v>2.9138138523837167</v>
      </c>
      <c r="J131" s="34">
        <v>-9.6910013008056392E-2</v>
      </c>
      <c r="K131">
        <v>24</v>
      </c>
      <c r="L131" s="137">
        <f t="shared" ref="L131:L194" si="37">IF(K131=0,0,LOG(K131))</f>
        <v>1.3802112417116059</v>
      </c>
      <c r="M131">
        <f t="shared" si="34"/>
        <v>1</v>
      </c>
      <c r="N131">
        <v>70</v>
      </c>
      <c r="O131">
        <v>70</v>
      </c>
      <c r="P131">
        <v>70</v>
      </c>
      <c r="Q131" s="137">
        <f t="shared" ref="Q131:Q194" si="38">LOG(P131)</f>
        <v>1.8450980400142569</v>
      </c>
      <c r="R131" s="34">
        <v>36.200000000000003</v>
      </c>
      <c r="S131" s="34">
        <f t="shared" ref="S131:S194" si="39">LOG(R131)</f>
        <v>1.5587085705331658</v>
      </c>
      <c r="T131" s="42">
        <v>44.748733746598099</v>
      </c>
      <c r="U131" s="42">
        <f t="shared" ref="U131:U194" si="40">LOG(T131)</f>
        <v>1.6507807506095689</v>
      </c>
      <c r="V131">
        <v>3.0687415514991745</v>
      </c>
      <c r="W131" s="14">
        <v>4</v>
      </c>
      <c r="X131">
        <v>3.5297005493117593</v>
      </c>
      <c r="Y131">
        <v>8.7086672987165841</v>
      </c>
      <c r="Z131" s="80">
        <v>-0.22396899818199212</v>
      </c>
      <c r="AA131">
        <v>4</v>
      </c>
      <c r="AB131">
        <f t="shared" ref="AB131:AB194" si="41">IF(AA131=1,1,0)</f>
        <v>0</v>
      </c>
      <c r="AC131">
        <f t="shared" ref="AC131:AC194" si="42">IF(AA131=2,1,0)</f>
        <v>0</v>
      </c>
      <c r="AD131">
        <f t="shared" ref="AD131:AD194" si="43">IF(AA131=3,1,0)</f>
        <v>0</v>
      </c>
      <c r="AE131">
        <f t="shared" ref="AE131:AE194" si="44">IF(AA131=4,1,0)</f>
        <v>1</v>
      </c>
      <c r="AF131">
        <f t="shared" ref="AF131:AF194" si="45">IF(AA131=5,1,0)</f>
        <v>0</v>
      </c>
      <c r="AG131">
        <f t="shared" ref="AG131:AG194" si="46">IF(AA131=6,1,0)</f>
        <v>0</v>
      </c>
      <c r="AH131">
        <f t="shared" ref="AH131:AH194" si="47">IF(AA131=7,1,0)</f>
        <v>0</v>
      </c>
      <c r="AI131">
        <f t="shared" ref="AI131:AI194" si="48">IF(AA131=8,1,0)</f>
        <v>0</v>
      </c>
      <c r="AJ131">
        <f t="shared" ref="AJ131:AJ194" si="49">IF(AA131=9,1,0)</f>
        <v>0</v>
      </c>
      <c r="AK131">
        <f t="shared" ref="AK131:AK194" si="50">IF(AA131=10,1,0)</f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1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</row>
    <row r="132" spans="1:53" x14ac:dyDescent="0.35">
      <c r="A132">
        <v>-9.2529421534301021E-2</v>
      </c>
      <c r="C132">
        <v>1.1808219178082191</v>
      </c>
      <c r="D132" s="137">
        <f t="shared" si="35"/>
        <v>7.2184405704256868E-2</v>
      </c>
      <c r="E132">
        <v>3.8335760926148099</v>
      </c>
      <c r="F132">
        <v>1.8450980400142569</v>
      </c>
      <c r="G132" s="45">
        <v>2.85</v>
      </c>
      <c r="H132" s="29">
        <f t="shared" si="36"/>
        <v>0.45484486000851021</v>
      </c>
      <c r="I132" s="9">
        <v>2.9138138523837167</v>
      </c>
      <c r="J132" s="34">
        <v>4.1392685158225077E-2</v>
      </c>
      <c r="K132">
        <v>27</v>
      </c>
      <c r="L132" s="137">
        <f t="shared" si="37"/>
        <v>1.4313637641589874</v>
      </c>
      <c r="M132">
        <f t="shared" si="34"/>
        <v>1</v>
      </c>
      <c r="N132">
        <v>70</v>
      </c>
      <c r="O132">
        <v>70</v>
      </c>
      <c r="P132">
        <v>70</v>
      </c>
      <c r="Q132" s="137">
        <f t="shared" si="38"/>
        <v>1.8450980400142569</v>
      </c>
      <c r="R132" s="34">
        <v>34.6</v>
      </c>
      <c r="S132" s="34">
        <f t="shared" si="39"/>
        <v>1.5390760987927767</v>
      </c>
      <c r="T132" s="42">
        <v>47.8156192569637</v>
      </c>
      <c r="U132" s="42">
        <f t="shared" si="40"/>
        <v>1.6795697846681461</v>
      </c>
      <c r="V132">
        <v>3.0687415514991745</v>
      </c>
      <c r="W132" s="14">
        <v>4</v>
      </c>
      <c r="X132">
        <v>3.5297005493117593</v>
      </c>
      <c r="Y132">
        <v>9.248190168290872</v>
      </c>
      <c r="Z132" s="80">
        <v>0.14085903867364014</v>
      </c>
      <c r="AA132">
        <v>1</v>
      </c>
      <c r="AB132">
        <f t="shared" si="41"/>
        <v>1</v>
      </c>
      <c r="AC132">
        <f t="shared" si="42"/>
        <v>0</v>
      </c>
      <c r="AD132">
        <f t="shared" si="43"/>
        <v>0</v>
      </c>
      <c r="AE132">
        <f t="shared" si="44"/>
        <v>0</v>
      </c>
      <c r="AF132">
        <f t="shared" si="45"/>
        <v>0</v>
      </c>
      <c r="AG132">
        <f t="shared" si="46"/>
        <v>0</v>
      </c>
      <c r="AH132">
        <f t="shared" si="47"/>
        <v>0</v>
      </c>
      <c r="AI132">
        <f t="shared" si="48"/>
        <v>0</v>
      </c>
      <c r="AJ132">
        <f t="shared" si="49"/>
        <v>0</v>
      </c>
      <c r="AK132">
        <f t="shared" si="50"/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</row>
    <row r="133" spans="1:53" x14ac:dyDescent="0.35">
      <c r="A133">
        <v>-0.16633142176652502</v>
      </c>
      <c r="C133">
        <v>10.846575342465753</v>
      </c>
      <c r="D133" s="137">
        <f t="shared" si="35"/>
        <v>1.0352926372957298</v>
      </c>
      <c r="E133">
        <v>0</v>
      </c>
      <c r="F133">
        <v>2.0334237554869499</v>
      </c>
      <c r="G133" s="45">
        <v>2.95</v>
      </c>
      <c r="H133" s="29">
        <f t="shared" si="36"/>
        <v>0.46982201597816303</v>
      </c>
      <c r="I133" s="9">
        <v>0</v>
      </c>
      <c r="J133" s="34">
        <v>0.26007138798507473</v>
      </c>
      <c r="K133">
        <v>28</v>
      </c>
      <c r="L133" s="137">
        <f t="shared" si="37"/>
        <v>1.4471580313422192</v>
      </c>
      <c r="M133">
        <f t="shared" si="34"/>
        <v>0</v>
      </c>
      <c r="N133">
        <v>70</v>
      </c>
      <c r="O133">
        <v>70</v>
      </c>
      <c r="P133">
        <v>85</v>
      </c>
      <c r="Q133" s="137">
        <f t="shared" si="38"/>
        <v>1.9294189257142926</v>
      </c>
      <c r="R133" s="34">
        <v>24.6</v>
      </c>
      <c r="S133" s="34">
        <f t="shared" si="39"/>
        <v>1.3909351071033791</v>
      </c>
      <c r="T133" s="42">
        <v>36.876470987978301</v>
      </c>
      <c r="U133" s="42">
        <f t="shared" si="40"/>
        <v>1.5667493531684615</v>
      </c>
      <c r="V133">
        <v>3.0687415514991745</v>
      </c>
      <c r="W133" s="14">
        <v>4</v>
      </c>
      <c r="X133">
        <v>3.5297005493117593</v>
      </c>
      <c r="Y133">
        <v>9.3424226808222066</v>
      </c>
      <c r="Z133" s="80">
        <v>0.63480131985609867</v>
      </c>
      <c r="AA133">
        <v>5</v>
      </c>
      <c r="AB133">
        <f t="shared" si="41"/>
        <v>0</v>
      </c>
      <c r="AC133">
        <f t="shared" si="42"/>
        <v>0</v>
      </c>
      <c r="AD133">
        <f t="shared" si="43"/>
        <v>0</v>
      </c>
      <c r="AE133">
        <f t="shared" si="44"/>
        <v>0</v>
      </c>
      <c r="AF133">
        <f t="shared" si="45"/>
        <v>1</v>
      </c>
      <c r="AG133">
        <f t="shared" si="46"/>
        <v>0</v>
      </c>
      <c r="AH133">
        <f t="shared" si="47"/>
        <v>0</v>
      </c>
      <c r="AI133">
        <f t="shared" si="48"/>
        <v>0</v>
      </c>
      <c r="AJ133">
        <f t="shared" si="49"/>
        <v>0</v>
      </c>
      <c r="AK133">
        <f t="shared" si="50"/>
        <v>0</v>
      </c>
      <c r="AL133">
        <v>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</row>
    <row r="134" spans="1:53" x14ac:dyDescent="0.35">
      <c r="A134">
        <v>-2</v>
      </c>
      <c r="C134">
        <v>3.5945205479452054</v>
      </c>
      <c r="D134" s="137">
        <f t="shared" si="35"/>
        <v>0.55564097058316675</v>
      </c>
      <c r="E134">
        <v>0</v>
      </c>
      <c r="F134">
        <v>0.95424250943932487</v>
      </c>
      <c r="G134" s="45">
        <v>2.95</v>
      </c>
      <c r="H134" s="29">
        <f t="shared" si="36"/>
        <v>0.46982201597816303</v>
      </c>
      <c r="I134" s="9">
        <v>0</v>
      </c>
      <c r="J134" s="34">
        <v>-8.092190762392612E-2</v>
      </c>
      <c r="K134">
        <v>30</v>
      </c>
      <c r="L134" s="137">
        <f t="shared" si="37"/>
        <v>1.4771212547196624</v>
      </c>
      <c r="M134">
        <f t="shared" si="34"/>
        <v>0</v>
      </c>
      <c r="N134">
        <v>70</v>
      </c>
      <c r="O134">
        <v>70</v>
      </c>
      <c r="P134">
        <v>93.2</v>
      </c>
      <c r="Q134" s="137">
        <f t="shared" si="38"/>
        <v>1.9694159123539814</v>
      </c>
      <c r="R134" s="34">
        <v>26.7</v>
      </c>
      <c r="S134" s="34">
        <f t="shared" si="39"/>
        <v>1.4265112613645752</v>
      </c>
      <c r="T134" s="42">
        <v>36.669158714517401</v>
      </c>
      <c r="U134" s="42">
        <f t="shared" si="40"/>
        <v>1.5643009462345601</v>
      </c>
      <c r="V134">
        <v>3.0687415514991745</v>
      </c>
      <c r="W134" s="14">
        <v>4</v>
      </c>
      <c r="X134">
        <v>3.5297005493117593</v>
      </c>
      <c r="Y134">
        <v>9.9444826721501691</v>
      </c>
      <c r="Z134" s="80">
        <v>-0.12618721505231134</v>
      </c>
      <c r="AA134">
        <v>5</v>
      </c>
      <c r="AB134">
        <f t="shared" si="41"/>
        <v>0</v>
      </c>
      <c r="AC134">
        <f t="shared" si="42"/>
        <v>0</v>
      </c>
      <c r="AD134">
        <f t="shared" si="43"/>
        <v>0</v>
      </c>
      <c r="AE134">
        <f t="shared" si="44"/>
        <v>0</v>
      </c>
      <c r="AF134">
        <f t="shared" si="45"/>
        <v>1</v>
      </c>
      <c r="AG134">
        <f t="shared" si="46"/>
        <v>0</v>
      </c>
      <c r="AH134">
        <f t="shared" si="47"/>
        <v>0</v>
      </c>
      <c r="AI134">
        <f t="shared" si="48"/>
        <v>0</v>
      </c>
      <c r="AJ134">
        <f t="shared" si="49"/>
        <v>0</v>
      </c>
      <c r="AK134">
        <f t="shared" si="50"/>
        <v>0</v>
      </c>
      <c r="AL134">
        <v>1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</row>
    <row r="135" spans="1:53" x14ac:dyDescent="0.35">
      <c r="A135">
        <v>0.19832643952855722</v>
      </c>
      <c r="C135">
        <v>1.167123287671233</v>
      </c>
      <c r="D135" s="137">
        <f t="shared" si="35"/>
        <v>6.711673464624425E-2</v>
      </c>
      <c r="E135">
        <v>3.7936074118204202</v>
      </c>
      <c r="F135">
        <v>1</v>
      </c>
      <c r="G135" s="45">
        <v>2.92</v>
      </c>
      <c r="H135" s="29">
        <f t="shared" si="36"/>
        <v>0.46538285144841829</v>
      </c>
      <c r="I135" s="9">
        <v>2.7370600539441581</v>
      </c>
      <c r="J135" s="34">
        <v>5.6904851336472641E-2</v>
      </c>
      <c r="K135">
        <v>22</v>
      </c>
      <c r="L135" s="137">
        <f t="shared" si="37"/>
        <v>1.3424226808222062</v>
      </c>
      <c r="M135">
        <f t="shared" si="34"/>
        <v>1</v>
      </c>
      <c r="N135">
        <v>80</v>
      </c>
      <c r="O135">
        <v>70</v>
      </c>
      <c r="P135">
        <v>92.3</v>
      </c>
      <c r="Q135" s="137">
        <f t="shared" si="38"/>
        <v>1.965201701025912</v>
      </c>
      <c r="R135" s="34">
        <v>44.2</v>
      </c>
      <c r="S135" s="34">
        <f t="shared" si="39"/>
        <v>1.6454222693490919</v>
      </c>
      <c r="T135" s="42">
        <v>55.865585583074697</v>
      </c>
      <c r="U135" s="42">
        <f t="shared" si="40"/>
        <v>1.7471443554007058</v>
      </c>
      <c r="V135">
        <v>3.1814248062191788</v>
      </c>
      <c r="W135" s="14">
        <v>2</v>
      </c>
      <c r="X135">
        <v>3.7294207535322617</v>
      </c>
      <c r="Y135">
        <v>9.0413926851582254</v>
      </c>
      <c r="Z135" s="80">
        <v>7.967812674973862E-2</v>
      </c>
      <c r="AA135">
        <v>8</v>
      </c>
      <c r="AB135">
        <f t="shared" si="41"/>
        <v>0</v>
      </c>
      <c r="AC135">
        <f t="shared" si="42"/>
        <v>0</v>
      </c>
      <c r="AD135">
        <f t="shared" si="43"/>
        <v>0</v>
      </c>
      <c r="AE135">
        <f t="shared" si="44"/>
        <v>0</v>
      </c>
      <c r="AF135">
        <f t="shared" si="45"/>
        <v>0</v>
      </c>
      <c r="AG135">
        <f t="shared" si="46"/>
        <v>0</v>
      </c>
      <c r="AH135">
        <f t="shared" si="47"/>
        <v>0</v>
      </c>
      <c r="AI135">
        <f t="shared" si="48"/>
        <v>1</v>
      </c>
      <c r="AJ135">
        <f t="shared" si="49"/>
        <v>0</v>
      </c>
      <c r="AK135">
        <f t="shared" si="50"/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</row>
    <row r="136" spans="1:53" x14ac:dyDescent="0.35">
      <c r="A136">
        <v>0.18799048235538898</v>
      </c>
      <c r="C136">
        <v>1.0876712328767124</v>
      </c>
      <c r="D136" s="137">
        <f t="shared" si="35"/>
        <v>3.649764230664039E-2</v>
      </c>
      <c r="E136">
        <v>3.7899753459779522</v>
      </c>
      <c r="F136">
        <v>0.77815125038364363</v>
      </c>
      <c r="G136" s="45">
        <v>3.18</v>
      </c>
      <c r="H136" s="29">
        <f t="shared" si="36"/>
        <v>0.50242711998443268</v>
      </c>
      <c r="I136" s="9">
        <v>2.7670321178317625</v>
      </c>
      <c r="J136" s="34">
        <v>4.9218022670181653E-2</v>
      </c>
      <c r="K136">
        <v>14</v>
      </c>
      <c r="L136" s="137">
        <f t="shared" si="37"/>
        <v>1.146128035678238</v>
      </c>
      <c r="M136">
        <f t="shared" si="34"/>
        <v>1</v>
      </c>
      <c r="N136">
        <v>85</v>
      </c>
      <c r="O136">
        <v>80</v>
      </c>
      <c r="P136">
        <v>70</v>
      </c>
      <c r="Q136" s="137">
        <f t="shared" si="38"/>
        <v>1.8450980400142569</v>
      </c>
      <c r="R136" s="34">
        <v>42.4</v>
      </c>
      <c r="S136" s="34">
        <f t="shared" si="39"/>
        <v>1.6273658565927327</v>
      </c>
      <c r="T136" s="42">
        <v>52.984855215816303</v>
      </c>
      <c r="U136" s="42">
        <f t="shared" si="40"/>
        <v>1.7241517519382803</v>
      </c>
      <c r="V136">
        <v>3.1814248062191788</v>
      </c>
      <c r="W136" s="14">
        <v>2</v>
      </c>
      <c r="X136">
        <v>3.7294207535322617</v>
      </c>
      <c r="Y136">
        <v>7.0791812460476251</v>
      </c>
      <c r="Z136" s="80">
        <v>0.25352865745628539</v>
      </c>
      <c r="AA136">
        <v>4</v>
      </c>
      <c r="AB136">
        <f t="shared" si="41"/>
        <v>0</v>
      </c>
      <c r="AC136">
        <f t="shared" si="42"/>
        <v>0</v>
      </c>
      <c r="AD136">
        <f t="shared" si="43"/>
        <v>0</v>
      </c>
      <c r="AE136">
        <f t="shared" si="44"/>
        <v>1</v>
      </c>
      <c r="AF136">
        <f t="shared" si="45"/>
        <v>0</v>
      </c>
      <c r="AG136">
        <f t="shared" si="46"/>
        <v>0</v>
      </c>
      <c r="AH136">
        <f t="shared" si="47"/>
        <v>0</v>
      </c>
      <c r="AI136">
        <f t="shared" si="48"/>
        <v>0</v>
      </c>
      <c r="AJ136">
        <f t="shared" si="49"/>
        <v>0</v>
      </c>
      <c r="AK136">
        <f t="shared" si="50"/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1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</row>
    <row r="137" spans="1:53" x14ac:dyDescent="0.35">
      <c r="A137">
        <v>0.68459514823913259</v>
      </c>
      <c r="C137">
        <v>8.2109589041095887</v>
      </c>
      <c r="D137" s="137">
        <f t="shared" si="35"/>
        <v>0.91439387848916998</v>
      </c>
      <c r="E137">
        <v>0</v>
      </c>
      <c r="F137">
        <v>0.84509804001425681</v>
      </c>
      <c r="G137" s="45">
        <v>2.95</v>
      </c>
      <c r="H137" s="29">
        <f t="shared" si="36"/>
        <v>0.46982201597816303</v>
      </c>
      <c r="I137" s="9">
        <v>0</v>
      </c>
      <c r="J137" s="34">
        <v>0.38738982633872943</v>
      </c>
      <c r="K137">
        <v>20</v>
      </c>
      <c r="L137" s="137">
        <f t="shared" si="37"/>
        <v>1.3010299956639813</v>
      </c>
      <c r="M137">
        <f t="shared" si="34"/>
        <v>0</v>
      </c>
      <c r="N137">
        <v>70</v>
      </c>
      <c r="O137">
        <v>70</v>
      </c>
      <c r="P137">
        <v>91.3</v>
      </c>
      <c r="Q137" s="137">
        <f t="shared" si="38"/>
        <v>1.9604707775342989</v>
      </c>
      <c r="R137" s="34">
        <v>23.5</v>
      </c>
      <c r="S137" s="34">
        <f t="shared" si="39"/>
        <v>1.3710678622717363</v>
      </c>
      <c r="T137" s="42">
        <v>43.1672842383418</v>
      </c>
      <c r="U137" s="42">
        <f t="shared" si="40"/>
        <v>1.6351547269652249</v>
      </c>
      <c r="V137">
        <v>3.1814248062191788</v>
      </c>
      <c r="W137" s="14">
        <v>2</v>
      </c>
      <c r="X137">
        <v>3.7294207535322617</v>
      </c>
      <c r="Y137">
        <v>8.6610531891945843</v>
      </c>
      <c r="Z137" s="80">
        <v>0.49484193945477939</v>
      </c>
      <c r="AA137">
        <v>8</v>
      </c>
      <c r="AB137">
        <f t="shared" si="41"/>
        <v>0</v>
      </c>
      <c r="AC137">
        <f t="shared" si="42"/>
        <v>0</v>
      </c>
      <c r="AD137">
        <f t="shared" si="43"/>
        <v>0</v>
      </c>
      <c r="AE137">
        <f t="shared" si="44"/>
        <v>0</v>
      </c>
      <c r="AF137">
        <f t="shared" si="45"/>
        <v>0</v>
      </c>
      <c r="AG137">
        <f t="shared" si="46"/>
        <v>0</v>
      </c>
      <c r="AH137">
        <f t="shared" si="47"/>
        <v>0</v>
      </c>
      <c r="AI137">
        <f t="shared" si="48"/>
        <v>1</v>
      </c>
      <c r="AJ137">
        <f t="shared" si="49"/>
        <v>0</v>
      </c>
      <c r="AK137">
        <f t="shared" si="50"/>
        <v>0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</row>
    <row r="138" spans="1:53" x14ac:dyDescent="0.35">
      <c r="A138">
        <v>0.55842619439714281</v>
      </c>
      <c r="C138">
        <v>7.5698630136986305</v>
      </c>
      <c r="D138" s="137">
        <f t="shared" si="35"/>
        <v>0.87908802046003665</v>
      </c>
      <c r="E138">
        <v>0</v>
      </c>
      <c r="F138">
        <v>0</v>
      </c>
      <c r="G138" s="45">
        <v>2.95</v>
      </c>
      <c r="H138" s="29">
        <f t="shared" si="36"/>
        <v>0.46982201597816303</v>
      </c>
      <c r="I138" s="9">
        <v>0</v>
      </c>
      <c r="J138" s="34">
        <v>0.13672056715640679</v>
      </c>
      <c r="K138">
        <v>17</v>
      </c>
      <c r="L138" s="137">
        <f t="shared" si="37"/>
        <v>1.2304489213782739</v>
      </c>
      <c r="M138">
        <f t="shared" si="34"/>
        <v>0</v>
      </c>
      <c r="N138">
        <v>70</v>
      </c>
      <c r="O138">
        <v>70</v>
      </c>
      <c r="P138">
        <v>91.4</v>
      </c>
      <c r="Q138" s="137">
        <f t="shared" si="38"/>
        <v>1.9609461957338314</v>
      </c>
      <c r="R138" s="34">
        <v>26.7</v>
      </c>
      <c r="S138" s="34">
        <f t="shared" si="39"/>
        <v>1.4265112613645752</v>
      </c>
      <c r="T138" s="42">
        <v>37.425715444240403</v>
      </c>
      <c r="U138" s="42">
        <f t="shared" si="40"/>
        <v>1.5731701112332821</v>
      </c>
      <c r="V138">
        <v>3.1814248062191788</v>
      </c>
      <c r="W138" s="14">
        <v>2</v>
      </c>
      <c r="X138">
        <v>3.7294207535322617</v>
      </c>
      <c r="Y138">
        <v>8.9294189257142929</v>
      </c>
      <c r="Z138" s="80">
        <v>7.2135095413649708E-2</v>
      </c>
      <c r="AA138">
        <v>5</v>
      </c>
      <c r="AB138">
        <f t="shared" si="41"/>
        <v>0</v>
      </c>
      <c r="AC138">
        <f t="shared" si="42"/>
        <v>0</v>
      </c>
      <c r="AD138">
        <f t="shared" si="43"/>
        <v>0</v>
      </c>
      <c r="AE138">
        <f t="shared" si="44"/>
        <v>0</v>
      </c>
      <c r="AF138">
        <f t="shared" si="45"/>
        <v>1</v>
      </c>
      <c r="AG138">
        <f t="shared" si="46"/>
        <v>0</v>
      </c>
      <c r="AH138">
        <f t="shared" si="47"/>
        <v>0</v>
      </c>
      <c r="AI138">
        <f t="shared" si="48"/>
        <v>0</v>
      </c>
      <c r="AJ138">
        <f t="shared" si="49"/>
        <v>0</v>
      </c>
      <c r="AK138">
        <f t="shared" si="50"/>
        <v>0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</row>
    <row r="139" spans="1:53" x14ac:dyDescent="0.35">
      <c r="A139">
        <v>0.3816510038809775</v>
      </c>
      <c r="C139">
        <v>7.6794520547945204</v>
      </c>
      <c r="D139" s="137">
        <f t="shared" si="35"/>
        <v>0.88533023330381144</v>
      </c>
      <c r="E139">
        <v>0</v>
      </c>
      <c r="F139">
        <v>1.9294189257142926</v>
      </c>
      <c r="G139" s="45">
        <v>2.95</v>
      </c>
      <c r="H139" s="29">
        <f t="shared" si="36"/>
        <v>0.46982201597816303</v>
      </c>
      <c r="I139" s="9">
        <v>0</v>
      </c>
      <c r="J139" s="34">
        <v>6.445798922691845E-2</v>
      </c>
      <c r="K139">
        <v>14</v>
      </c>
      <c r="L139" s="137">
        <f t="shared" si="37"/>
        <v>1.146128035678238</v>
      </c>
      <c r="M139">
        <f t="shared" si="34"/>
        <v>0</v>
      </c>
      <c r="N139">
        <v>70</v>
      </c>
      <c r="O139">
        <v>70</v>
      </c>
      <c r="P139">
        <v>85</v>
      </c>
      <c r="Q139" s="137">
        <f t="shared" si="38"/>
        <v>1.9294189257142926</v>
      </c>
      <c r="R139" s="34">
        <v>24.6</v>
      </c>
      <c r="S139" s="34">
        <f t="shared" si="39"/>
        <v>1.3909351071033791</v>
      </c>
      <c r="T139" s="42">
        <v>36.876470987978301</v>
      </c>
      <c r="U139" s="42">
        <f t="shared" si="40"/>
        <v>1.5667493531684615</v>
      </c>
      <c r="V139">
        <v>3.1814248062191788</v>
      </c>
      <c r="W139" s="14">
        <v>2</v>
      </c>
      <c r="X139">
        <v>3.7294207535322617</v>
      </c>
      <c r="Y139">
        <v>9.0570305499678359</v>
      </c>
      <c r="Z139" s="80">
        <v>0.23781623198562518</v>
      </c>
      <c r="AA139">
        <v>5</v>
      </c>
      <c r="AB139">
        <f t="shared" si="41"/>
        <v>0</v>
      </c>
      <c r="AC139">
        <f t="shared" si="42"/>
        <v>0</v>
      </c>
      <c r="AD139">
        <f t="shared" si="43"/>
        <v>0</v>
      </c>
      <c r="AE139">
        <f t="shared" si="44"/>
        <v>0</v>
      </c>
      <c r="AF139">
        <f t="shared" si="45"/>
        <v>1</v>
      </c>
      <c r="AG139">
        <f t="shared" si="46"/>
        <v>0</v>
      </c>
      <c r="AH139">
        <f t="shared" si="47"/>
        <v>0</v>
      </c>
      <c r="AI139">
        <f t="shared" si="48"/>
        <v>0</v>
      </c>
      <c r="AJ139">
        <f t="shared" si="49"/>
        <v>0</v>
      </c>
      <c r="AK139">
        <f t="shared" si="50"/>
        <v>0</v>
      </c>
      <c r="AL139">
        <v>1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</row>
    <row r="140" spans="1:53" x14ac:dyDescent="0.35">
      <c r="A140">
        <v>-0.5920757704213615</v>
      </c>
      <c r="C140">
        <v>3.8465753424657536</v>
      </c>
      <c r="D140" s="137">
        <f t="shared" si="35"/>
        <v>0.58507424333731184</v>
      </c>
      <c r="E140">
        <v>0</v>
      </c>
      <c r="F140">
        <v>1.8388490907372552</v>
      </c>
      <c r="G140" s="45">
        <v>2.95</v>
      </c>
      <c r="H140" s="29">
        <f t="shared" si="36"/>
        <v>0.46982201597816303</v>
      </c>
      <c r="I140" s="9">
        <v>0</v>
      </c>
      <c r="J140" s="34">
        <v>0.16731733474817609</v>
      </c>
      <c r="K140">
        <v>13</v>
      </c>
      <c r="L140" s="137">
        <f t="shared" si="37"/>
        <v>1.1139433523068367</v>
      </c>
      <c r="M140">
        <f t="shared" si="34"/>
        <v>0</v>
      </c>
      <c r="N140">
        <v>70</v>
      </c>
      <c r="O140">
        <v>70</v>
      </c>
      <c r="P140">
        <v>85</v>
      </c>
      <c r="Q140" s="137">
        <f t="shared" si="38"/>
        <v>1.9294189257142926</v>
      </c>
      <c r="R140" s="34">
        <v>24.4</v>
      </c>
      <c r="S140" s="34">
        <f t="shared" si="39"/>
        <v>1.3873898263387294</v>
      </c>
      <c r="T140" s="42">
        <v>37.256914365427299</v>
      </c>
      <c r="U140" s="42">
        <f t="shared" si="40"/>
        <v>1.5712068835833228</v>
      </c>
      <c r="V140">
        <v>3.1814248062191788</v>
      </c>
      <c r="W140" s="14">
        <v>2</v>
      </c>
      <c r="X140">
        <v>3.7294207535322617</v>
      </c>
      <c r="Y140">
        <v>8.8095597146352684</v>
      </c>
      <c r="Z140" s="80">
        <v>0.64183427600375387</v>
      </c>
      <c r="AA140">
        <v>5</v>
      </c>
      <c r="AB140">
        <f t="shared" si="41"/>
        <v>0</v>
      </c>
      <c r="AC140">
        <f t="shared" si="42"/>
        <v>0</v>
      </c>
      <c r="AD140">
        <f t="shared" si="43"/>
        <v>0</v>
      </c>
      <c r="AE140">
        <f t="shared" si="44"/>
        <v>0</v>
      </c>
      <c r="AF140">
        <f t="shared" si="45"/>
        <v>1</v>
      </c>
      <c r="AG140">
        <f t="shared" si="46"/>
        <v>0</v>
      </c>
      <c r="AH140">
        <f t="shared" si="47"/>
        <v>0</v>
      </c>
      <c r="AI140">
        <f t="shared" si="48"/>
        <v>0</v>
      </c>
      <c r="AJ140">
        <f t="shared" si="49"/>
        <v>0</v>
      </c>
      <c r="AK140">
        <f t="shared" si="50"/>
        <v>0</v>
      </c>
      <c r="AL140">
        <v>1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</row>
    <row r="141" spans="1:53" x14ac:dyDescent="0.35">
      <c r="A141">
        <v>0.17865726050515801</v>
      </c>
      <c r="C141">
        <v>9.2739726027397253</v>
      </c>
      <c r="D141" s="137">
        <f t="shared" si="35"/>
        <v>0.96726580856468836</v>
      </c>
      <c r="E141">
        <v>0</v>
      </c>
      <c r="F141">
        <v>0.47712125471966244</v>
      </c>
      <c r="G141" s="45">
        <v>2.95</v>
      </c>
      <c r="H141" s="29">
        <f t="shared" si="36"/>
        <v>0.46982201597816303</v>
      </c>
      <c r="I141" s="9">
        <v>0</v>
      </c>
      <c r="J141" s="34">
        <v>-0.11350927482751812</v>
      </c>
      <c r="K141">
        <v>9</v>
      </c>
      <c r="L141" s="137">
        <f t="shared" si="37"/>
        <v>0.95424250943932487</v>
      </c>
      <c r="M141">
        <f t="shared" si="34"/>
        <v>0</v>
      </c>
      <c r="N141">
        <v>70</v>
      </c>
      <c r="O141">
        <v>70</v>
      </c>
      <c r="P141">
        <v>85</v>
      </c>
      <c r="Q141" s="137">
        <f t="shared" si="38"/>
        <v>1.9294189257142926</v>
      </c>
      <c r="R141" s="34">
        <v>27.8</v>
      </c>
      <c r="S141" s="34">
        <f t="shared" si="39"/>
        <v>1.4440447959180762</v>
      </c>
      <c r="T141" s="42">
        <v>34.656907836978597</v>
      </c>
      <c r="U141" s="42">
        <f t="shared" si="40"/>
        <v>1.5397898114291337</v>
      </c>
      <c r="V141">
        <v>3.1814248062191788</v>
      </c>
      <c r="W141" s="14">
        <v>2</v>
      </c>
      <c r="X141">
        <v>3.7294207535322617</v>
      </c>
      <c r="Y141">
        <v>8.653212513775344</v>
      </c>
      <c r="Z141" s="80">
        <v>-0.23279666531372212</v>
      </c>
      <c r="AA141">
        <v>1</v>
      </c>
      <c r="AB141">
        <f t="shared" si="41"/>
        <v>1</v>
      </c>
      <c r="AC141">
        <f t="shared" si="42"/>
        <v>0</v>
      </c>
      <c r="AD141">
        <f t="shared" si="43"/>
        <v>0</v>
      </c>
      <c r="AE141">
        <f t="shared" si="44"/>
        <v>0</v>
      </c>
      <c r="AF141">
        <f t="shared" si="45"/>
        <v>0</v>
      </c>
      <c r="AG141">
        <f t="shared" si="46"/>
        <v>0</v>
      </c>
      <c r="AH141">
        <f t="shared" si="47"/>
        <v>0</v>
      </c>
      <c r="AI141">
        <f t="shared" si="48"/>
        <v>0</v>
      </c>
      <c r="AJ141">
        <f t="shared" si="49"/>
        <v>0</v>
      </c>
      <c r="AK141">
        <f t="shared" si="50"/>
        <v>0</v>
      </c>
      <c r="AL141">
        <v>1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</row>
    <row r="142" spans="1:53" x14ac:dyDescent="0.35">
      <c r="A142">
        <v>0.51369238553641938</v>
      </c>
      <c r="C142">
        <v>1.1342465753424658</v>
      </c>
      <c r="D142" s="137">
        <f t="shared" si="35"/>
        <v>5.4707476664424243E-2</v>
      </c>
      <c r="E142">
        <v>0</v>
      </c>
      <c r="F142">
        <v>1.1760912590556813</v>
      </c>
      <c r="G142" s="45">
        <v>2.95</v>
      </c>
      <c r="H142" s="29">
        <f t="shared" si="36"/>
        <v>0.46982201597816303</v>
      </c>
      <c r="I142" s="9">
        <v>0</v>
      </c>
      <c r="J142" s="34">
        <v>0.12710479836480765</v>
      </c>
      <c r="K142">
        <v>7</v>
      </c>
      <c r="L142" s="137">
        <f t="shared" si="37"/>
        <v>0.84509804001425681</v>
      </c>
      <c r="M142">
        <f t="shared" si="34"/>
        <v>0</v>
      </c>
      <c r="N142">
        <v>70</v>
      </c>
      <c r="O142">
        <v>70</v>
      </c>
      <c r="P142">
        <v>85</v>
      </c>
      <c r="Q142" s="137">
        <f t="shared" si="38"/>
        <v>1.9294189257142926</v>
      </c>
      <c r="R142" s="34">
        <v>27.4</v>
      </c>
      <c r="S142" s="34">
        <f t="shared" si="39"/>
        <v>1.4377505628203879</v>
      </c>
      <c r="T142" s="42">
        <v>35.968444143503902</v>
      </c>
      <c r="U142" s="42">
        <f t="shared" si="40"/>
        <v>1.5559216523165715</v>
      </c>
      <c r="V142">
        <v>3.1814248062191788</v>
      </c>
      <c r="W142" s="14">
        <v>2</v>
      </c>
      <c r="X142">
        <v>3.7294207535322617</v>
      </c>
      <c r="Y142">
        <v>8.4116197059632309</v>
      </c>
      <c r="Z142" s="80">
        <v>0.16158544164809019</v>
      </c>
      <c r="AA142">
        <v>2</v>
      </c>
      <c r="AB142">
        <f t="shared" si="41"/>
        <v>0</v>
      </c>
      <c r="AC142">
        <f t="shared" si="42"/>
        <v>1</v>
      </c>
      <c r="AD142">
        <f t="shared" si="43"/>
        <v>0</v>
      </c>
      <c r="AE142">
        <f t="shared" si="44"/>
        <v>0</v>
      </c>
      <c r="AF142">
        <f t="shared" si="45"/>
        <v>0</v>
      </c>
      <c r="AG142">
        <f t="shared" si="46"/>
        <v>0</v>
      </c>
      <c r="AH142">
        <f t="shared" si="47"/>
        <v>0</v>
      </c>
      <c r="AI142">
        <f t="shared" si="48"/>
        <v>0</v>
      </c>
      <c r="AJ142">
        <f t="shared" si="49"/>
        <v>0</v>
      </c>
      <c r="AK142">
        <f t="shared" si="50"/>
        <v>0</v>
      </c>
      <c r="AL142">
        <v>1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</row>
    <row r="143" spans="1:53" x14ac:dyDescent="0.35">
      <c r="A143">
        <v>0.84683175282325729</v>
      </c>
      <c r="C143">
        <v>4.3589041095890408</v>
      </c>
      <c r="D143" s="137">
        <f t="shared" si="35"/>
        <v>0.63937731519010677</v>
      </c>
      <c r="E143">
        <v>0</v>
      </c>
      <c r="F143">
        <v>0</v>
      </c>
      <c r="G143" s="45">
        <v>2.95</v>
      </c>
      <c r="H143" s="29">
        <f t="shared" si="36"/>
        <v>0.46982201597816303</v>
      </c>
      <c r="I143" s="9">
        <v>0</v>
      </c>
      <c r="J143" s="34">
        <v>6.069784035361165E-2</v>
      </c>
      <c r="K143">
        <v>7</v>
      </c>
      <c r="L143" s="137">
        <f t="shared" si="37"/>
        <v>0.84509804001425681</v>
      </c>
      <c r="M143">
        <f t="shared" si="34"/>
        <v>0</v>
      </c>
      <c r="N143">
        <v>70</v>
      </c>
      <c r="O143">
        <v>70</v>
      </c>
      <c r="P143">
        <v>85</v>
      </c>
      <c r="Q143" s="137">
        <f t="shared" si="38"/>
        <v>1.9294189257142926</v>
      </c>
      <c r="R143" s="34">
        <v>27.4</v>
      </c>
      <c r="S143" s="34">
        <f t="shared" si="39"/>
        <v>1.4377505628203879</v>
      </c>
      <c r="T143" s="42">
        <v>35.968444143503902</v>
      </c>
      <c r="U143" s="42">
        <f t="shared" si="40"/>
        <v>1.5559216523165715</v>
      </c>
      <c r="V143">
        <v>3.1814248062191788</v>
      </c>
      <c r="W143" s="14">
        <v>2</v>
      </c>
      <c r="X143">
        <v>3.7294207535322617</v>
      </c>
      <c r="Y143">
        <v>7.8750612633917001</v>
      </c>
      <c r="Z143" s="80">
        <v>4.9191128322761291E-2</v>
      </c>
      <c r="AA143">
        <v>6</v>
      </c>
      <c r="AB143">
        <f t="shared" si="41"/>
        <v>0</v>
      </c>
      <c r="AC143">
        <f t="shared" si="42"/>
        <v>0</v>
      </c>
      <c r="AD143">
        <f t="shared" si="43"/>
        <v>0</v>
      </c>
      <c r="AE143">
        <f t="shared" si="44"/>
        <v>0</v>
      </c>
      <c r="AF143">
        <f t="shared" si="45"/>
        <v>0</v>
      </c>
      <c r="AG143">
        <f t="shared" si="46"/>
        <v>1</v>
      </c>
      <c r="AH143">
        <f t="shared" si="47"/>
        <v>0</v>
      </c>
      <c r="AI143">
        <f t="shared" si="48"/>
        <v>0</v>
      </c>
      <c r="AJ143">
        <f t="shared" si="49"/>
        <v>0</v>
      </c>
      <c r="AK143">
        <f t="shared" si="50"/>
        <v>0</v>
      </c>
      <c r="AL143">
        <v>1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</row>
    <row r="144" spans="1:53" x14ac:dyDescent="0.35">
      <c r="A144">
        <v>-0.69897000433601886</v>
      </c>
      <c r="C144">
        <v>3.0657534246575344</v>
      </c>
      <c r="D144" s="137">
        <f t="shared" si="35"/>
        <v>0.48653722207187539</v>
      </c>
      <c r="E144">
        <v>3.7916829312790057</v>
      </c>
      <c r="F144">
        <v>1.7160033436347992</v>
      </c>
      <c r="G144" s="45">
        <v>2.72</v>
      </c>
      <c r="H144" s="29">
        <f t="shared" si="36"/>
        <v>0.43456890403419873</v>
      </c>
      <c r="I144" s="9">
        <v>3.0355631414974997</v>
      </c>
      <c r="J144" s="34">
        <v>0.11727129565576427</v>
      </c>
      <c r="K144">
        <v>31</v>
      </c>
      <c r="L144" s="137">
        <f t="shared" si="37"/>
        <v>1.4913616938342726</v>
      </c>
      <c r="M144">
        <f t="shared" si="34"/>
        <v>1</v>
      </c>
      <c r="N144">
        <v>70</v>
      </c>
      <c r="O144">
        <v>90</v>
      </c>
      <c r="P144">
        <v>84.3</v>
      </c>
      <c r="Q144" s="137">
        <f t="shared" si="38"/>
        <v>1.9258275746247424</v>
      </c>
      <c r="R144" s="34">
        <v>37</v>
      </c>
      <c r="S144" s="34">
        <f t="shared" si="39"/>
        <v>1.568201724066995</v>
      </c>
      <c r="T144" s="42">
        <v>44.611946528156203</v>
      </c>
      <c r="U144" s="42">
        <f t="shared" si="40"/>
        <v>1.6494511729836956</v>
      </c>
      <c r="V144">
        <v>3.0962405795987471</v>
      </c>
      <c r="W144" s="14">
        <v>1</v>
      </c>
      <c r="X144">
        <v>3.4010931514437841</v>
      </c>
      <c r="Y144">
        <v>8.6989700043360187</v>
      </c>
      <c r="Z144" s="80">
        <v>0.12916135568565301</v>
      </c>
      <c r="AA144">
        <v>1</v>
      </c>
      <c r="AB144">
        <f t="shared" si="41"/>
        <v>1</v>
      </c>
      <c r="AC144">
        <f t="shared" si="42"/>
        <v>0</v>
      </c>
      <c r="AD144">
        <f t="shared" si="43"/>
        <v>0</v>
      </c>
      <c r="AE144">
        <f t="shared" si="44"/>
        <v>0</v>
      </c>
      <c r="AF144">
        <f t="shared" si="45"/>
        <v>0</v>
      </c>
      <c r="AG144">
        <f t="shared" si="46"/>
        <v>0</v>
      </c>
      <c r="AH144">
        <f t="shared" si="47"/>
        <v>0</v>
      </c>
      <c r="AI144">
        <f t="shared" si="48"/>
        <v>0</v>
      </c>
      <c r="AJ144">
        <f t="shared" si="49"/>
        <v>0</v>
      </c>
      <c r="AK144">
        <f t="shared" si="50"/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</row>
    <row r="145" spans="1:53" x14ac:dyDescent="0.35">
      <c r="A145">
        <v>9.4257061306150067E-2</v>
      </c>
      <c r="C145">
        <v>5.9369863013698634</v>
      </c>
      <c r="D145" s="137">
        <f t="shared" si="35"/>
        <v>0.77356604686334329</v>
      </c>
      <c r="E145">
        <v>3.7707754512906644</v>
      </c>
      <c r="F145">
        <v>1.9822712330395684</v>
      </c>
      <c r="G145" s="45">
        <v>2.3199999999999998</v>
      </c>
      <c r="H145" s="29">
        <f t="shared" si="36"/>
        <v>0.36548798489089962</v>
      </c>
      <c r="I145" s="9">
        <v>2.1238516409670858</v>
      </c>
      <c r="J145" s="34">
        <v>6.8185861746161619E-2</v>
      </c>
      <c r="K145">
        <v>23</v>
      </c>
      <c r="L145" s="137">
        <f t="shared" si="37"/>
        <v>1.3617278360175928</v>
      </c>
      <c r="M145">
        <f t="shared" si="34"/>
        <v>1</v>
      </c>
      <c r="N145">
        <v>70</v>
      </c>
      <c r="O145">
        <v>70</v>
      </c>
      <c r="P145">
        <v>91.2</v>
      </c>
      <c r="Q145" s="137">
        <f t="shared" si="38"/>
        <v>1.9599948383284163</v>
      </c>
      <c r="R145" s="34">
        <v>33</v>
      </c>
      <c r="S145" s="34">
        <f t="shared" si="39"/>
        <v>1.5185139398778875</v>
      </c>
      <c r="T145" s="42">
        <v>40.902544500539101</v>
      </c>
      <c r="U145" s="42">
        <f t="shared" si="40"/>
        <v>1.6117503258110162</v>
      </c>
      <c r="V145">
        <v>3.0962405795987471</v>
      </c>
      <c r="W145" s="14">
        <v>1</v>
      </c>
      <c r="X145">
        <v>3.4010931514437841</v>
      </c>
      <c r="Y145">
        <v>8.8625344996145241</v>
      </c>
      <c r="Z145" s="80">
        <v>9.995721194906193E-2</v>
      </c>
      <c r="AA145">
        <v>6</v>
      </c>
      <c r="AB145">
        <f t="shared" si="41"/>
        <v>0</v>
      </c>
      <c r="AC145">
        <f t="shared" si="42"/>
        <v>0</v>
      </c>
      <c r="AD145">
        <f t="shared" si="43"/>
        <v>0</v>
      </c>
      <c r="AE145">
        <f t="shared" si="44"/>
        <v>0</v>
      </c>
      <c r="AF145">
        <f t="shared" si="45"/>
        <v>0</v>
      </c>
      <c r="AG145">
        <f t="shared" si="46"/>
        <v>1</v>
      </c>
      <c r="AH145">
        <f t="shared" si="47"/>
        <v>0</v>
      </c>
      <c r="AI145">
        <f t="shared" si="48"/>
        <v>0</v>
      </c>
      <c r="AJ145">
        <f t="shared" si="49"/>
        <v>0</v>
      </c>
      <c r="AK145">
        <f t="shared" si="50"/>
        <v>0</v>
      </c>
      <c r="AL145">
        <v>0</v>
      </c>
      <c r="AM145">
        <v>1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</row>
    <row r="146" spans="1:53" x14ac:dyDescent="0.35">
      <c r="A146">
        <v>0.27152736859654975</v>
      </c>
      <c r="C146">
        <v>2.6273972602739728</v>
      </c>
      <c r="D146" s="137">
        <f t="shared" si="35"/>
        <v>0.41952574271418891</v>
      </c>
      <c r="E146">
        <v>3.8335760926148099</v>
      </c>
      <c r="F146">
        <v>2.012837224705172</v>
      </c>
      <c r="G146" s="45">
        <v>2.85</v>
      </c>
      <c r="H146" s="29">
        <f t="shared" si="36"/>
        <v>0.45484486000851021</v>
      </c>
      <c r="I146" s="9">
        <v>2.9138138523837167</v>
      </c>
      <c r="J146" s="34">
        <v>0.16731733474817609</v>
      </c>
      <c r="K146">
        <v>28</v>
      </c>
      <c r="L146" s="137">
        <f t="shared" si="37"/>
        <v>1.4471580313422192</v>
      </c>
      <c r="M146">
        <f t="shared" si="34"/>
        <v>1</v>
      </c>
      <c r="N146">
        <v>70</v>
      </c>
      <c r="O146">
        <v>70</v>
      </c>
      <c r="P146">
        <v>90.5</v>
      </c>
      <c r="Q146" s="137">
        <f t="shared" si="38"/>
        <v>1.9566485792052033</v>
      </c>
      <c r="R146" s="34">
        <v>36.4</v>
      </c>
      <c r="S146" s="34">
        <f t="shared" si="39"/>
        <v>1.5611013836490559</v>
      </c>
      <c r="T146" s="42">
        <v>44.295389122127702</v>
      </c>
      <c r="U146" s="42">
        <f t="shared" si="40"/>
        <v>1.6463585211883986</v>
      </c>
      <c r="V146">
        <v>3.0962405795987471</v>
      </c>
      <c r="W146" s="14">
        <v>1</v>
      </c>
      <c r="X146">
        <v>3.4010931514437841</v>
      </c>
      <c r="Y146">
        <v>9.1756306627456699</v>
      </c>
      <c r="Z146" s="80">
        <v>0.24335551274763723</v>
      </c>
      <c r="AA146">
        <v>5</v>
      </c>
      <c r="AB146">
        <f t="shared" si="41"/>
        <v>0</v>
      </c>
      <c r="AC146">
        <f t="shared" si="42"/>
        <v>0</v>
      </c>
      <c r="AD146">
        <f t="shared" si="43"/>
        <v>0</v>
      </c>
      <c r="AE146">
        <f t="shared" si="44"/>
        <v>0</v>
      </c>
      <c r="AF146">
        <f t="shared" si="45"/>
        <v>1</v>
      </c>
      <c r="AG146">
        <f t="shared" si="46"/>
        <v>0</v>
      </c>
      <c r="AH146">
        <f t="shared" si="47"/>
        <v>0</v>
      </c>
      <c r="AI146">
        <f t="shared" si="48"/>
        <v>0</v>
      </c>
      <c r="AJ146">
        <f t="shared" si="49"/>
        <v>0</v>
      </c>
      <c r="AK146">
        <f t="shared" si="50"/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1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</row>
    <row r="147" spans="1:53" x14ac:dyDescent="0.35">
      <c r="A147">
        <v>0.386410680043898</v>
      </c>
      <c r="C147">
        <v>1.904109589041096</v>
      </c>
      <c r="D147" s="137">
        <f t="shared" si="35"/>
        <v>0.27969194013363918</v>
      </c>
      <c r="E147">
        <v>3.7707754512906644</v>
      </c>
      <c r="F147">
        <v>1.255272505103306</v>
      </c>
      <c r="G147" s="45">
        <v>2.3199999999999998</v>
      </c>
      <c r="H147" s="29">
        <f t="shared" si="36"/>
        <v>0.36548798489089962</v>
      </c>
      <c r="I147" s="9">
        <v>2.1238516409670858</v>
      </c>
      <c r="J147" s="34">
        <v>9.3421685162235063E-2</v>
      </c>
      <c r="K147">
        <v>21</v>
      </c>
      <c r="L147" s="137">
        <f t="shared" si="37"/>
        <v>1.3222192947339193</v>
      </c>
      <c r="M147">
        <f t="shared" si="34"/>
        <v>1</v>
      </c>
      <c r="N147">
        <v>70</v>
      </c>
      <c r="O147">
        <v>70</v>
      </c>
      <c r="P147">
        <v>85</v>
      </c>
      <c r="Q147" s="137">
        <f t="shared" si="38"/>
        <v>1.9294189257142926</v>
      </c>
      <c r="R147" s="34">
        <v>32.700000000000003</v>
      </c>
      <c r="S147" s="34">
        <f t="shared" si="39"/>
        <v>1.5145477526602862</v>
      </c>
      <c r="T147" s="42">
        <v>41.286751495766303</v>
      </c>
      <c r="U147" s="42">
        <f t="shared" si="40"/>
        <v>1.6158107132703448</v>
      </c>
      <c r="V147">
        <v>3.0962405795987471</v>
      </c>
      <c r="W147" s="14">
        <v>1</v>
      </c>
      <c r="X147">
        <v>3.4010931514437841</v>
      </c>
      <c r="Y147">
        <v>8.1698918207233895</v>
      </c>
      <c r="Z147" s="80">
        <v>0.36411848667804181</v>
      </c>
      <c r="AA147">
        <v>5</v>
      </c>
      <c r="AB147">
        <f t="shared" si="41"/>
        <v>0</v>
      </c>
      <c r="AC147">
        <f t="shared" si="42"/>
        <v>0</v>
      </c>
      <c r="AD147">
        <f t="shared" si="43"/>
        <v>0</v>
      </c>
      <c r="AE147">
        <f t="shared" si="44"/>
        <v>0</v>
      </c>
      <c r="AF147">
        <f t="shared" si="45"/>
        <v>1</v>
      </c>
      <c r="AG147">
        <f t="shared" si="46"/>
        <v>0</v>
      </c>
      <c r="AH147">
        <f t="shared" si="47"/>
        <v>0</v>
      </c>
      <c r="AI147">
        <f t="shared" si="48"/>
        <v>0</v>
      </c>
      <c r="AJ147">
        <f t="shared" si="49"/>
        <v>0</v>
      </c>
      <c r="AK147">
        <f t="shared" si="50"/>
        <v>0</v>
      </c>
      <c r="AL147">
        <v>0</v>
      </c>
      <c r="AM147">
        <v>1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</row>
    <row r="148" spans="1:53" x14ac:dyDescent="0.35">
      <c r="A148">
        <v>0.72966311961767405</v>
      </c>
      <c r="C148">
        <v>3.1835616438356165</v>
      </c>
      <c r="D148" s="137">
        <f t="shared" si="35"/>
        <v>0.50291326359783728</v>
      </c>
      <c r="E148">
        <v>3.7707754512906644</v>
      </c>
      <c r="F148">
        <v>1.3424226808222062</v>
      </c>
      <c r="G148" s="45">
        <v>2.3199999999999998</v>
      </c>
      <c r="H148" s="29">
        <f t="shared" si="36"/>
        <v>0.36548798489089962</v>
      </c>
      <c r="I148" s="9">
        <v>2.1238516409670858</v>
      </c>
      <c r="J148" s="34">
        <v>0.11058971029924898</v>
      </c>
      <c r="K148">
        <v>19</v>
      </c>
      <c r="L148" s="137">
        <f t="shared" si="37"/>
        <v>1.2787536009528289</v>
      </c>
      <c r="M148">
        <f t="shared" si="34"/>
        <v>1</v>
      </c>
      <c r="N148">
        <v>70</v>
      </c>
      <c r="O148">
        <v>70</v>
      </c>
      <c r="P148">
        <v>85</v>
      </c>
      <c r="Q148" s="137">
        <f t="shared" si="38"/>
        <v>1.9294189257142926</v>
      </c>
      <c r="R148" s="34">
        <v>31.3</v>
      </c>
      <c r="S148" s="34">
        <f t="shared" si="39"/>
        <v>1.4955443375464486</v>
      </c>
      <c r="T148" s="42">
        <v>38.7850112673514</v>
      </c>
      <c r="U148" s="42">
        <f t="shared" si="40"/>
        <v>1.5886639219461918</v>
      </c>
      <c r="V148">
        <v>3.0962405795987471</v>
      </c>
      <c r="W148" s="14">
        <v>1</v>
      </c>
      <c r="X148">
        <v>3.4010931514437841</v>
      </c>
      <c r="Y148">
        <v>7.4149733479708182</v>
      </c>
      <c r="Z148" s="80">
        <v>0.4907113439554931</v>
      </c>
      <c r="AA148">
        <v>4</v>
      </c>
      <c r="AB148">
        <f t="shared" si="41"/>
        <v>0</v>
      </c>
      <c r="AC148">
        <f t="shared" si="42"/>
        <v>0</v>
      </c>
      <c r="AD148">
        <f t="shared" si="43"/>
        <v>0</v>
      </c>
      <c r="AE148">
        <f t="shared" si="44"/>
        <v>1</v>
      </c>
      <c r="AF148">
        <f t="shared" si="45"/>
        <v>0</v>
      </c>
      <c r="AG148">
        <f t="shared" si="46"/>
        <v>0</v>
      </c>
      <c r="AH148">
        <f t="shared" si="47"/>
        <v>0</v>
      </c>
      <c r="AI148">
        <f t="shared" si="48"/>
        <v>0</v>
      </c>
      <c r="AJ148">
        <f t="shared" si="49"/>
        <v>0</v>
      </c>
      <c r="AK148">
        <f t="shared" si="50"/>
        <v>0</v>
      </c>
      <c r="AL148">
        <v>0</v>
      </c>
      <c r="AM148">
        <v>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</row>
    <row r="149" spans="1:53" x14ac:dyDescent="0.35">
      <c r="A149">
        <v>0.19531422369159093</v>
      </c>
      <c r="C149">
        <v>3.2136986301369861</v>
      </c>
      <c r="D149" s="137">
        <f t="shared" si="35"/>
        <v>0.50700514765905447</v>
      </c>
      <c r="E149">
        <v>3.8335760926148099</v>
      </c>
      <c r="F149">
        <v>1.3617278360175928</v>
      </c>
      <c r="G149" s="45">
        <v>2.85</v>
      </c>
      <c r="H149" s="29">
        <f t="shared" si="36"/>
        <v>0.45484486000851021</v>
      </c>
      <c r="I149" s="9">
        <v>2.9138138523837167</v>
      </c>
      <c r="J149" s="34">
        <v>4.5322978786657475E-2</v>
      </c>
      <c r="K149">
        <v>18</v>
      </c>
      <c r="L149" s="137">
        <f t="shared" si="37"/>
        <v>1.255272505103306</v>
      </c>
      <c r="M149">
        <f t="shared" si="34"/>
        <v>1</v>
      </c>
      <c r="N149">
        <v>70</v>
      </c>
      <c r="O149">
        <v>70</v>
      </c>
      <c r="P149">
        <v>70</v>
      </c>
      <c r="Q149" s="137">
        <f t="shared" si="38"/>
        <v>1.8450980400142569</v>
      </c>
      <c r="R149" s="34">
        <v>34.4</v>
      </c>
      <c r="S149" s="34">
        <f t="shared" si="39"/>
        <v>1.5365584425715302</v>
      </c>
      <c r="T149" s="42">
        <v>47.264053157349203</v>
      </c>
      <c r="U149" s="42">
        <f t="shared" si="40"/>
        <v>1.6745309620782511</v>
      </c>
      <c r="V149">
        <v>3.0962405795987471</v>
      </c>
      <c r="W149" s="14">
        <v>1</v>
      </c>
      <c r="X149">
        <v>3.4010931514437841</v>
      </c>
      <c r="Y149">
        <v>8.5740312677277188</v>
      </c>
      <c r="Z149" s="80">
        <v>5.9739602592297159E-2</v>
      </c>
      <c r="AA149">
        <v>7</v>
      </c>
      <c r="AB149">
        <f t="shared" si="41"/>
        <v>0</v>
      </c>
      <c r="AC149">
        <f t="shared" si="42"/>
        <v>0</v>
      </c>
      <c r="AD149">
        <f t="shared" si="43"/>
        <v>0</v>
      </c>
      <c r="AE149">
        <f t="shared" si="44"/>
        <v>0</v>
      </c>
      <c r="AF149">
        <f t="shared" si="45"/>
        <v>0</v>
      </c>
      <c r="AG149">
        <f t="shared" si="46"/>
        <v>0</v>
      </c>
      <c r="AH149">
        <f t="shared" si="47"/>
        <v>1</v>
      </c>
      <c r="AI149">
        <f t="shared" si="48"/>
        <v>0</v>
      </c>
      <c r="AJ149">
        <f t="shared" si="49"/>
        <v>0</v>
      </c>
      <c r="AK149">
        <f t="shared" si="50"/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1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</row>
    <row r="150" spans="1:53" x14ac:dyDescent="0.35">
      <c r="A150">
        <v>1.3513916382751612</v>
      </c>
      <c r="C150">
        <v>1.5506849315068494</v>
      </c>
      <c r="D150" s="137">
        <f t="shared" si="35"/>
        <v>0.19052356673179674</v>
      </c>
      <c r="E150">
        <v>3.8335760926148099</v>
      </c>
      <c r="F150">
        <v>2.4393326938302629</v>
      </c>
      <c r="G150" s="45">
        <v>2.85</v>
      </c>
      <c r="H150" s="29">
        <f t="shared" si="36"/>
        <v>0.45484486000851021</v>
      </c>
      <c r="I150" s="9">
        <v>2.9138138523837167</v>
      </c>
      <c r="J150" s="34">
        <v>4.5322978786657475E-2</v>
      </c>
      <c r="K150">
        <v>20</v>
      </c>
      <c r="L150" s="137">
        <f t="shared" si="37"/>
        <v>1.3010299956639813</v>
      </c>
      <c r="M150">
        <f t="shared" si="34"/>
        <v>1</v>
      </c>
      <c r="N150">
        <v>70</v>
      </c>
      <c r="O150">
        <v>70</v>
      </c>
      <c r="P150">
        <v>70</v>
      </c>
      <c r="Q150" s="137">
        <f t="shared" si="38"/>
        <v>1.8450980400142569</v>
      </c>
      <c r="R150" s="34">
        <v>33.9</v>
      </c>
      <c r="S150" s="34">
        <f t="shared" si="39"/>
        <v>1.5301996982030821</v>
      </c>
      <c r="T150" s="42">
        <v>46.312020505412598</v>
      </c>
      <c r="U150" s="42">
        <f t="shared" si="40"/>
        <v>1.6656937288498501</v>
      </c>
      <c r="V150">
        <v>3.0962405795987471</v>
      </c>
      <c r="W150" s="14">
        <v>1</v>
      </c>
      <c r="X150">
        <v>3.4010931514437841</v>
      </c>
      <c r="Y150">
        <v>7.6900010468830642</v>
      </c>
      <c r="Z150" s="80">
        <v>0.17206176508250515</v>
      </c>
      <c r="AA150">
        <v>1</v>
      </c>
      <c r="AB150">
        <f t="shared" si="41"/>
        <v>1</v>
      </c>
      <c r="AC150">
        <f t="shared" si="42"/>
        <v>0</v>
      </c>
      <c r="AD150">
        <f t="shared" si="43"/>
        <v>0</v>
      </c>
      <c r="AE150">
        <f t="shared" si="44"/>
        <v>0</v>
      </c>
      <c r="AF150">
        <f t="shared" si="45"/>
        <v>0</v>
      </c>
      <c r="AG150">
        <f t="shared" si="46"/>
        <v>0</v>
      </c>
      <c r="AH150">
        <f t="shared" si="47"/>
        <v>0</v>
      </c>
      <c r="AI150">
        <f t="shared" si="48"/>
        <v>0</v>
      </c>
      <c r="AJ150">
        <f t="shared" si="49"/>
        <v>0</v>
      </c>
      <c r="AK150">
        <f t="shared" si="50"/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1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</row>
    <row r="151" spans="1:53" x14ac:dyDescent="0.35">
      <c r="A151">
        <v>0.29130505953668856</v>
      </c>
      <c r="C151">
        <v>2.6739726027397261</v>
      </c>
      <c r="D151" s="137">
        <f t="shared" si="35"/>
        <v>0.42715695321021713</v>
      </c>
      <c r="E151">
        <v>3.7899753459779522</v>
      </c>
      <c r="F151">
        <v>0.6020599913279624</v>
      </c>
      <c r="G151" s="45">
        <v>3.18</v>
      </c>
      <c r="H151" s="29">
        <f t="shared" si="36"/>
        <v>0.50242711998443268</v>
      </c>
      <c r="I151" s="9">
        <v>2.7670321178317625</v>
      </c>
      <c r="J151" s="34">
        <v>0.10037054511756291</v>
      </c>
      <c r="K151">
        <v>20</v>
      </c>
      <c r="L151" s="137">
        <f t="shared" si="37"/>
        <v>1.3010299956639813</v>
      </c>
      <c r="M151">
        <f t="shared" si="34"/>
        <v>1</v>
      </c>
      <c r="N151">
        <v>85</v>
      </c>
      <c r="O151">
        <v>80</v>
      </c>
      <c r="P151">
        <v>70</v>
      </c>
      <c r="Q151" s="137">
        <f t="shared" si="38"/>
        <v>1.8450980400142569</v>
      </c>
      <c r="R151" s="34">
        <v>42.4</v>
      </c>
      <c r="S151" s="34">
        <f t="shared" si="39"/>
        <v>1.6273658565927327</v>
      </c>
      <c r="T151" s="42">
        <v>52.984855215816303</v>
      </c>
      <c r="U151" s="42">
        <f t="shared" si="40"/>
        <v>1.7241517519382803</v>
      </c>
      <c r="V151">
        <v>3.0962405795987471</v>
      </c>
      <c r="W151" s="14">
        <v>1</v>
      </c>
      <c r="X151">
        <v>3.4010931514437841</v>
      </c>
      <c r="Y151">
        <v>8.6457110479281258</v>
      </c>
      <c r="Z151" s="80">
        <v>0.44514804572517686</v>
      </c>
      <c r="AA151">
        <v>4</v>
      </c>
      <c r="AB151">
        <f t="shared" si="41"/>
        <v>0</v>
      </c>
      <c r="AC151">
        <f t="shared" si="42"/>
        <v>0</v>
      </c>
      <c r="AD151">
        <f t="shared" si="43"/>
        <v>0</v>
      </c>
      <c r="AE151">
        <f t="shared" si="44"/>
        <v>1</v>
      </c>
      <c r="AF151">
        <f t="shared" si="45"/>
        <v>0</v>
      </c>
      <c r="AG151">
        <f t="shared" si="46"/>
        <v>0</v>
      </c>
      <c r="AH151">
        <f t="shared" si="47"/>
        <v>0</v>
      </c>
      <c r="AI151">
        <f t="shared" si="48"/>
        <v>0</v>
      </c>
      <c r="AJ151">
        <f t="shared" si="49"/>
        <v>0</v>
      </c>
      <c r="AK151">
        <f t="shared" si="50"/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1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</row>
    <row r="152" spans="1:53" x14ac:dyDescent="0.35">
      <c r="A152">
        <v>0.18375870000821695</v>
      </c>
      <c r="C152">
        <v>5.0684931506849313</v>
      </c>
      <c r="D152" s="137">
        <f t="shared" si="35"/>
        <v>0.70487886394653909</v>
      </c>
      <c r="E152">
        <v>3.7899753459779522</v>
      </c>
      <c r="F152">
        <v>1.6627578316815741</v>
      </c>
      <c r="G152" s="45">
        <v>3.18</v>
      </c>
      <c r="H152" s="29">
        <f t="shared" si="36"/>
        <v>0.50242711998443268</v>
      </c>
      <c r="I152" s="9">
        <v>2.7670321178317625</v>
      </c>
      <c r="J152" s="34">
        <v>-1.7728766960431602E-2</v>
      </c>
      <c r="K152">
        <v>23</v>
      </c>
      <c r="L152" s="137">
        <f t="shared" si="37"/>
        <v>1.3617278360175928</v>
      </c>
      <c r="M152">
        <f t="shared" si="34"/>
        <v>1</v>
      </c>
      <c r="N152">
        <v>85</v>
      </c>
      <c r="O152">
        <v>80</v>
      </c>
      <c r="P152">
        <v>87.2</v>
      </c>
      <c r="Q152" s="137">
        <f t="shared" si="38"/>
        <v>1.9405164849325673</v>
      </c>
      <c r="R152" s="34">
        <v>42.5</v>
      </c>
      <c r="S152" s="34">
        <f t="shared" si="39"/>
        <v>1.6283889300503116</v>
      </c>
      <c r="T152" s="42">
        <v>52.565521078007201</v>
      </c>
      <c r="U152" s="42">
        <f t="shared" si="40"/>
        <v>1.7207009738992591</v>
      </c>
      <c r="V152">
        <v>3.0962405795987471</v>
      </c>
      <c r="W152" s="14">
        <v>1</v>
      </c>
      <c r="X152">
        <v>3.4010931514437841</v>
      </c>
      <c r="Y152">
        <v>8.1172712956557636</v>
      </c>
      <c r="Z152" s="80">
        <v>-9.7577489998204259E-2</v>
      </c>
      <c r="AA152">
        <v>5</v>
      </c>
      <c r="AB152">
        <f t="shared" si="41"/>
        <v>0</v>
      </c>
      <c r="AC152">
        <f t="shared" si="42"/>
        <v>0</v>
      </c>
      <c r="AD152">
        <f t="shared" si="43"/>
        <v>0</v>
      </c>
      <c r="AE152">
        <f t="shared" si="44"/>
        <v>0</v>
      </c>
      <c r="AF152">
        <f t="shared" si="45"/>
        <v>1</v>
      </c>
      <c r="AG152">
        <f t="shared" si="46"/>
        <v>0</v>
      </c>
      <c r="AH152">
        <f t="shared" si="47"/>
        <v>0</v>
      </c>
      <c r="AI152">
        <f t="shared" si="48"/>
        <v>0</v>
      </c>
      <c r="AJ152">
        <f t="shared" si="49"/>
        <v>0</v>
      </c>
      <c r="AK152">
        <f t="shared" si="50"/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1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</row>
    <row r="153" spans="1:53" x14ac:dyDescent="0.35">
      <c r="A153">
        <v>0.26556229421670802</v>
      </c>
      <c r="C153">
        <v>3.4602739726027396</v>
      </c>
      <c r="D153" s="137">
        <f t="shared" si="35"/>
        <v>0.53911048609885603</v>
      </c>
      <c r="E153">
        <v>2.6208956659919629</v>
      </c>
      <c r="F153">
        <v>1.2041199826559248</v>
      </c>
      <c r="G153" s="45">
        <v>3.65</v>
      </c>
      <c r="H153" s="29">
        <f t="shared" si="36"/>
        <v>0.56229286445647475</v>
      </c>
      <c r="I153" s="9">
        <v>2.3401134757058348</v>
      </c>
      <c r="J153" s="34">
        <v>2.9383777685209667E-2</v>
      </c>
      <c r="K153">
        <v>12</v>
      </c>
      <c r="L153" s="137">
        <f t="shared" si="37"/>
        <v>1.0791812460476249</v>
      </c>
      <c r="M153">
        <f t="shared" si="34"/>
        <v>1</v>
      </c>
      <c r="N153">
        <v>70</v>
      </c>
      <c r="O153">
        <v>50</v>
      </c>
      <c r="P153">
        <v>70</v>
      </c>
      <c r="Q153" s="137">
        <f t="shared" si="38"/>
        <v>1.8450980400142569</v>
      </c>
      <c r="R153" s="34">
        <v>42.1</v>
      </c>
      <c r="S153" s="34">
        <f t="shared" si="39"/>
        <v>1.6242820958356683</v>
      </c>
      <c r="T153" s="42">
        <v>43.801966655694599</v>
      </c>
      <c r="U153" s="42">
        <f t="shared" si="40"/>
        <v>1.6414936102424893</v>
      </c>
      <c r="V153">
        <v>3.212261842580872</v>
      </c>
      <c r="W153" s="14">
        <v>4</v>
      </c>
      <c r="X153">
        <v>3.9329492300777744</v>
      </c>
      <c r="Y153">
        <v>8.213950393578326</v>
      </c>
      <c r="Z153" s="80">
        <v>6.0608247050759623E-3</v>
      </c>
      <c r="AA153">
        <v>2</v>
      </c>
      <c r="AB153">
        <f t="shared" si="41"/>
        <v>0</v>
      </c>
      <c r="AC153">
        <f t="shared" si="42"/>
        <v>1</v>
      </c>
      <c r="AD153">
        <f t="shared" si="43"/>
        <v>0</v>
      </c>
      <c r="AE153">
        <f t="shared" si="44"/>
        <v>0</v>
      </c>
      <c r="AF153">
        <f t="shared" si="45"/>
        <v>0</v>
      </c>
      <c r="AG153">
        <f t="shared" si="46"/>
        <v>0</v>
      </c>
      <c r="AH153">
        <f t="shared" si="47"/>
        <v>0</v>
      </c>
      <c r="AI153">
        <f t="shared" si="48"/>
        <v>0</v>
      </c>
      <c r="AJ153">
        <f t="shared" si="49"/>
        <v>0</v>
      </c>
      <c r="AK153">
        <f t="shared" si="50"/>
        <v>0</v>
      </c>
      <c r="AL153">
        <v>0</v>
      </c>
      <c r="AM153">
        <v>0</v>
      </c>
      <c r="AN153">
        <v>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</row>
    <row r="154" spans="1:53" x14ac:dyDescent="0.35">
      <c r="A154">
        <v>0.21748394421390627</v>
      </c>
      <c r="C154">
        <v>5.6739726027397257</v>
      </c>
      <c r="D154" s="137">
        <f t="shared" si="35"/>
        <v>0.75388723443697792</v>
      </c>
      <c r="E154">
        <v>2.7187258365781268</v>
      </c>
      <c r="F154">
        <v>1.568201724066995</v>
      </c>
      <c r="G154" s="45">
        <v>3.57</v>
      </c>
      <c r="H154" s="29">
        <f t="shared" si="36"/>
        <v>0.55266821611219319</v>
      </c>
      <c r="I154" s="9">
        <v>3.0910217769380406</v>
      </c>
      <c r="J154" s="34">
        <v>0.24054924828259971</v>
      </c>
      <c r="K154">
        <v>24</v>
      </c>
      <c r="L154" s="137">
        <f t="shared" si="37"/>
        <v>1.3802112417116059</v>
      </c>
      <c r="M154">
        <f t="shared" si="34"/>
        <v>1</v>
      </c>
      <c r="N154">
        <v>85</v>
      </c>
      <c r="O154">
        <v>70</v>
      </c>
      <c r="P154">
        <v>98.4</v>
      </c>
      <c r="Q154" s="137">
        <f t="shared" si="38"/>
        <v>1.9929950984313416</v>
      </c>
      <c r="R154" s="34">
        <v>45.9</v>
      </c>
      <c r="S154" s="34">
        <f t="shared" si="39"/>
        <v>1.6618126855372612</v>
      </c>
      <c r="T154" s="42">
        <v>55.820378229102602</v>
      </c>
      <c r="U154" s="42">
        <f t="shared" si="40"/>
        <v>1.7467927748658987</v>
      </c>
      <c r="V154">
        <v>3.212261842580872</v>
      </c>
      <c r="W154" s="14">
        <v>4</v>
      </c>
      <c r="X154">
        <v>3.9329492300777744</v>
      </c>
      <c r="Y154">
        <v>8.6020599913279625</v>
      </c>
      <c r="Z154" s="80">
        <v>0.10751226604288755</v>
      </c>
      <c r="AA154">
        <v>1</v>
      </c>
      <c r="AB154">
        <f t="shared" si="41"/>
        <v>1</v>
      </c>
      <c r="AC154">
        <f t="shared" si="42"/>
        <v>0</v>
      </c>
      <c r="AD154">
        <f t="shared" si="43"/>
        <v>0</v>
      </c>
      <c r="AE154">
        <f t="shared" si="44"/>
        <v>0</v>
      </c>
      <c r="AF154">
        <f t="shared" si="45"/>
        <v>0</v>
      </c>
      <c r="AG154">
        <f t="shared" si="46"/>
        <v>0</v>
      </c>
      <c r="AH154">
        <f t="shared" si="47"/>
        <v>0</v>
      </c>
      <c r="AI154">
        <f t="shared" si="48"/>
        <v>0</v>
      </c>
      <c r="AJ154">
        <f t="shared" si="49"/>
        <v>0</v>
      </c>
      <c r="AK154">
        <f t="shared" si="50"/>
        <v>0</v>
      </c>
      <c r="AL154">
        <v>0</v>
      </c>
      <c r="AM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</row>
    <row r="155" spans="1:53" x14ac:dyDescent="0.35">
      <c r="A155">
        <v>0.13929335130964862</v>
      </c>
      <c r="C155">
        <v>6.3561643835616435</v>
      </c>
      <c r="D155" s="137">
        <f t="shared" si="35"/>
        <v>0.80319512043442498</v>
      </c>
      <c r="E155">
        <v>2.7187258365781268</v>
      </c>
      <c r="F155">
        <v>1.9956351945975499</v>
      </c>
      <c r="G155" s="45">
        <v>3.58</v>
      </c>
      <c r="H155" s="29">
        <f t="shared" si="36"/>
        <v>0.55388302664387434</v>
      </c>
      <c r="I155" s="9">
        <v>3.0910217769380406</v>
      </c>
      <c r="J155" s="34">
        <v>5.6904851336472641E-2</v>
      </c>
      <c r="K155">
        <v>15</v>
      </c>
      <c r="L155" s="137">
        <f t="shared" si="37"/>
        <v>1.1760912590556813</v>
      </c>
      <c r="M155">
        <f t="shared" si="34"/>
        <v>1</v>
      </c>
      <c r="N155">
        <v>85</v>
      </c>
      <c r="O155">
        <v>70</v>
      </c>
      <c r="P155">
        <v>100</v>
      </c>
      <c r="Q155" s="137">
        <f t="shared" si="38"/>
        <v>2</v>
      </c>
      <c r="R155" s="34">
        <v>46.4</v>
      </c>
      <c r="S155" s="34">
        <f t="shared" si="39"/>
        <v>1.6665179805548809</v>
      </c>
      <c r="T155" s="42">
        <v>52.997375167745602</v>
      </c>
      <c r="U155" s="42">
        <f t="shared" si="40"/>
        <v>1.7242543605745053</v>
      </c>
      <c r="V155">
        <v>3.212261842580872</v>
      </c>
      <c r="W155" s="14">
        <v>4</v>
      </c>
      <c r="X155">
        <v>3.9329492300777744</v>
      </c>
      <c r="Y155">
        <v>8.852520054235173</v>
      </c>
      <c r="Z155" s="80">
        <v>0.33747692052361877</v>
      </c>
      <c r="AA155">
        <v>2</v>
      </c>
      <c r="AB155">
        <f t="shared" si="41"/>
        <v>0</v>
      </c>
      <c r="AC155">
        <f t="shared" si="42"/>
        <v>1</v>
      </c>
      <c r="AD155">
        <f t="shared" si="43"/>
        <v>0</v>
      </c>
      <c r="AE155">
        <f t="shared" si="44"/>
        <v>0</v>
      </c>
      <c r="AF155">
        <f t="shared" si="45"/>
        <v>0</v>
      </c>
      <c r="AG155">
        <f t="shared" si="46"/>
        <v>0</v>
      </c>
      <c r="AH155">
        <f t="shared" si="47"/>
        <v>0</v>
      </c>
      <c r="AI155">
        <f t="shared" si="48"/>
        <v>0</v>
      </c>
      <c r="AJ155">
        <f t="shared" si="49"/>
        <v>0</v>
      </c>
      <c r="AK155">
        <f t="shared" si="50"/>
        <v>0</v>
      </c>
      <c r="AL155">
        <v>0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</row>
    <row r="156" spans="1:53" x14ac:dyDescent="0.35">
      <c r="A156">
        <v>0.25978950514211202</v>
      </c>
      <c r="C156">
        <v>3.5561643835616437</v>
      </c>
      <c r="D156" s="137">
        <f t="shared" si="35"/>
        <v>0.55098182800787565</v>
      </c>
      <c r="E156">
        <v>2.7187258365781268</v>
      </c>
      <c r="F156">
        <v>2.1003705451175629</v>
      </c>
      <c r="G156" s="45">
        <v>3.59</v>
      </c>
      <c r="H156" s="29">
        <f t="shared" si="36"/>
        <v>0.55509444857831913</v>
      </c>
      <c r="I156" s="9">
        <v>3.0910217769380406</v>
      </c>
      <c r="J156" s="34">
        <v>-0.15490195998574319</v>
      </c>
      <c r="K156">
        <v>10</v>
      </c>
      <c r="L156" s="137">
        <f t="shared" si="37"/>
        <v>1</v>
      </c>
      <c r="M156">
        <f t="shared" si="34"/>
        <v>1</v>
      </c>
      <c r="N156">
        <v>85</v>
      </c>
      <c r="O156">
        <v>70</v>
      </c>
      <c r="P156">
        <v>85</v>
      </c>
      <c r="Q156" s="137">
        <f t="shared" si="38"/>
        <v>1.9294189257142926</v>
      </c>
      <c r="R156" s="34">
        <v>47.9</v>
      </c>
      <c r="S156" s="34">
        <f t="shared" si="39"/>
        <v>1.6803355134145632</v>
      </c>
      <c r="T156" s="42">
        <v>54.533270077590302</v>
      </c>
      <c r="U156" s="42">
        <f t="shared" si="40"/>
        <v>1.7366615408570338</v>
      </c>
      <c r="V156">
        <v>3.212261842580872</v>
      </c>
      <c r="W156" s="14">
        <v>4</v>
      </c>
      <c r="X156">
        <v>3.9329492300777744</v>
      </c>
      <c r="Y156">
        <v>8.5998830720736876</v>
      </c>
      <c r="Z156" s="80">
        <v>-0.32235771414555559</v>
      </c>
      <c r="AA156">
        <v>2</v>
      </c>
      <c r="AB156">
        <f t="shared" si="41"/>
        <v>0</v>
      </c>
      <c r="AC156">
        <f t="shared" si="42"/>
        <v>1</v>
      </c>
      <c r="AD156">
        <f t="shared" si="43"/>
        <v>0</v>
      </c>
      <c r="AE156">
        <f t="shared" si="44"/>
        <v>0</v>
      </c>
      <c r="AF156">
        <f t="shared" si="45"/>
        <v>0</v>
      </c>
      <c r="AG156">
        <f t="shared" si="46"/>
        <v>0</v>
      </c>
      <c r="AH156">
        <f t="shared" si="47"/>
        <v>0</v>
      </c>
      <c r="AI156">
        <f t="shared" si="48"/>
        <v>0</v>
      </c>
      <c r="AJ156">
        <f t="shared" si="49"/>
        <v>0</v>
      </c>
      <c r="AK156">
        <f t="shared" si="50"/>
        <v>0</v>
      </c>
      <c r="AL156">
        <v>0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</row>
    <row r="157" spans="1:53" x14ac:dyDescent="0.35">
      <c r="A157">
        <v>-0.17885209215101669</v>
      </c>
      <c r="C157">
        <v>11.490410958904109</v>
      </c>
      <c r="D157" s="137">
        <f t="shared" si="35"/>
        <v>1.0603355616728503</v>
      </c>
      <c r="E157">
        <v>2.5987029826834349</v>
      </c>
      <c r="F157">
        <v>2</v>
      </c>
      <c r="G157" s="45">
        <v>3.35</v>
      </c>
      <c r="H157" s="29">
        <f t="shared" si="36"/>
        <v>0.5250448070368452</v>
      </c>
      <c r="I157" s="9">
        <v>2.5401208298279827</v>
      </c>
      <c r="J157" s="34">
        <v>0.26481782300953643</v>
      </c>
      <c r="K157">
        <v>16</v>
      </c>
      <c r="L157" s="137">
        <f t="shared" si="37"/>
        <v>1.2041199826559248</v>
      </c>
      <c r="M157">
        <f t="shared" si="34"/>
        <v>1</v>
      </c>
      <c r="N157">
        <v>90</v>
      </c>
      <c r="O157">
        <v>80</v>
      </c>
      <c r="P157">
        <v>85</v>
      </c>
      <c r="Q157" s="137">
        <f t="shared" si="38"/>
        <v>1.9294189257142926</v>
      </c>
      <c r="R157" s="34">
        <v>42.1</v>
      </c>
      <c r="S157" s="34">
        <f t="shared" si="39"/>
        <v>1.6242820958356683</v>
      </c>
      <c r="T157" s="42">
        <v>49.275185994026302</v>
      </c>
      <c r="U157" s="42">
        <f t="shared" si="40"/>
        <v>1.6926282722417263</v>
      </c>
      <c r="V157">
        <v>3.212261842580872</v>
      </c>
      <c r="W157" s="14">
        <v>4</v>
      </c>
      <c r="X157">
        <v>3.9329492300777744</v>
      </c>
      <c r="Y157">
        <v>8.7774268223893106</v>
      </c>
      <c r="Z157" s="80">
        <v>0.46300670019284973</v>
      </c>
      <c r="AA157">
        <v>1</v>
      </c>
      <c r="AB157">
        <f t="shared" si="41"/>
        <v>1</v>
      </c>
      <c r="AC157">
        <f t="shared" si="42"/>
        <v>0</v>
      </c>
      <c r="AD157">
        <f t="shared" si="43"/>
        <v>0</v>
      </c>
      <c r="AE157">
        <f t="shared" si="44"/>
        <v>0</v>
      </c>
      <c r="AF157">
        <f t="shared" si="45"/>
        <v>0</v>
      </c>
      <c r="AG157">
        <f t="shared" si="46"/>
        <v>0</v>
      </c>
      <c r="AH157">
        <f t="shared" si="47"/>
        <v>0</v>
      </c>
      <c r="AI157">
        <f t="shared" si="48"/>
        <v>0</v>
      </c>
      <c r="AJ157">
        <f t="shared" si="49"/>
        <v>0</v>
      </c>
      <c r="AK157">
        <f t="shared" si="50"/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1</v>
      </c>
    </row>
    <row r="158" spans="1:53" x14ac:dyDescent="0.35">
      <c r="A158">
        <v>0.89805681551283612</v>
      </c>
      <c r="C158">
        <v>6.5315068493150683</v>
      </c>
      <c r="D158" s="137">
        <f t="shared" si="35"/>
        <v>0.81501338661172407</v>
      </c>
      <c r="E158">
        <v>2.5987029826834349</v>
      </c>
      <c r="F158">
        <v>1.2304489213782739</v>
      </c>
      <c r="G158" s="45">
        <v>3.35</v>
      </c>
      <c r="H158" s="29">
        <f t="shared" si="36"/>
        <v>0.5250448070368452</v>
      </c>
      <c r="I158" s="9">
        <v>2.5401208298279827</v>
      </c>
      <c r="J158" s="34">
        <v>0.13353890837021748</v>
      </c>
      <c r="K158">
        <v>12</v>
      </c>
      <c r="L158" s="137">
        <f t="shared" si="37"/>
        <v>1.0791812460476249</v>
      </c>
      <c r="M158">
        <f t="shared" si="34"/>
        <v>1</v>
      </c>
      <c r="N158">
        <v>90</v>
      </c>
      <c r="O158">
        <v>80</v>
      </c>
      <c r="P158">
        <v>70</v>
      </c>
      <c r="Q158" s="137">
        <f t="shared" si="38"/>
        <v>1.8450980400142569</v>
      </c>
      <c r="R158" s="34">
        <v>43.2</v>
      </c>
      <c r="S158" s="34">
        <f t="shared" si="39"/>
        <v>1.6354837468149122</v>
      </c>
      <c r="T158" s="42">
        <v>47.338285896273099</v>
      </c>
      <c r="U158" s="42">
        <f t="shared" si="40"/>
        <v>1.6752125282177461</v>
      </c>
      <c r="V158">
        <v>3.212261842580872</v>
      </c>
      <c r="W158" s="14">
        <v>4</v>
      </c>
      <c r="X158">
        <v>3.9329492300777744</v>
      </c>
      <c r="Y158">
        <v>7.2257948254542494</v>
      </c>
      <c r="Z158" s="80">
        <v>0.23840607878658959</v>
      </c>
      <c r="AA158">
        <v>5</v>
      </c>
      <c r="AB158">
        <f t="shared" si="41"/>
        <v>0</v>
      </c>
      <c r="AC158">
        <f t="shared" si="42"/>
        <v>0</v>
      </c>
      <c r="AD158">
        <f t="shared" si="43"/>
        <v>0</v>
      </c>
      <c r="AE158">
        <f t="shared" si="44"/>
        <v>0</v>
      </c>
      <c r="AF158">
        <f t="shared" si="45"/>
        <v>1</v>
      </c>
      <c r="AG158">
        <f t="shared" si="46"/>
        <v>0</v>
      </c>
      <c r="AH158">
        <f t="shared" si="47"/>
        <v>0</v>
      </c>
      <c r="AI158">
        <f t="shared" si="48"/>
        <v>0</v>
      </c>
      <c r="AJ158">
        <f t="shared" si="49"/>
        <v>0</v>
      </c>
      <c r="AK158">
        <f t="shared" si="50"/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1</v>
      </c>
    </row>
    <row r="159" spans="1:53" x14ac:dyDescent="0.35">
      <c r="A159">
        <v>0.44369749923271273</v>
      </c>
      <c r="C159">
        <v>4.6301369863013697</v>
      </c>
      <c r="D159" s="137">
        <f t="shared" si="35"/>
        <v>0.6655938401571988</v>
      </c>
      <c r="E159">
        <v>3.1566248585544785</v>
      </c>
      <c r="F159">
        <v>1.4471580313422192</v>
      </c>
      <c r="G159" s="45">
        <v>3.03</v>
      </c>
      <c r="H159" s="29">
        <f t="shared" si="36"/>
        <v>0.48144262850230496</v>
      </c>
      <c r="I159" s="9">
        <v>2.8438554226231609</v>
      </c>
      <c r="J159" s="34">
        <v>-7.0581074285707285E-2</v>
      </c>
      <c r="K159">
        <v>0</v>
      </c>
      <c r="L159" s="137">
        <f t="shared" si="37"/>
        <v>0</v>
      </c>
      <c r="M159">
        <f t="shared" si="34"/>
        <v>1</v>
      </c>
      <c r="N159">
        <v>70</v>
      </c>
      <c r="O159">
        <v>70</v>
      </c>
      <c r="P159">
        <v>94.2</v>
      </c>
      <c r="Q159" s="137">
        <f t="shared" si="38"/>
        <v>1.9740509027928774</v>
      </c>
      <c r="R159" s="34">
        <v>45</v>
      </c>
      <c r="S159" s="34">
        <f t="shared" si="39"/>
        <v>1.6532125137753437</v>
      </c>
      <c r="T159" s="42">
        <v>49.278563385512697</v>
      </c>
      <c r="U159" s="42">
        <f t="shared" si="40"/>
        <v>1.6926580383844774</v>
      </c>
      <c r="V159">
        <v>3.3209851425446502</v>
      </c>
      <c r="W159" s="14">
        <v>2</v>
      </c>
      <c r="X159">
        <v>3.9950367434689285</v>
      </c>
      <c r="Y159">
        <v>8.5563025007672877</v>
      </c>
      <c r="Z159" s="80">
        <v>-0.17100769259985338</v>
      </c>
      <c r="AA159">
        <v>5</v>
      </c>
      <c r="AB159">
        <f t="shared" si="41"/>
        <v>0</v>
      </c>
      <c r="AC159">
        <f t="shared" si="42"/>
        <v>0</v>
      </c>
      <c r="AD159">
        <f t="shared" si="43"/>
        <v>0</v>
      </c>
      <c r="AE159">
        <f t="shared" si="44"/>
        <v>0</v>
      </c>
      <c r="AF159">
        <f t="shared" si="45"/>
        <v>1</v>
      </c>
      <c r="AG159">
        <f t="shared" si="46"/>
        <v>0</v>
      </c>
      <c r="AH159">
        <f t="shared" si="47"/>
        <v>0</v>
      </c>
      <c r="AI159">
        <f t="shared" si="48"/>
        <v>0</v>
      </c>
      <c r="AJ159">
        <f t="shared" si="49"/>
        <v>0</v>
      </c>
      <c r="AK159">
        <f t="shared" si="50"/>
        <v>0</v>
      </c>
      <c r="AL159">
        <v>0</v>
      </c>
      <c r="AM159">
        <v>0</v>
      </c>
      <c r="AN159">
        <v>0</v>
      </c>
      <c r="AO159">
        <v>0</v>
      </c>
      <c r="AP159">
        <v>1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</row>
    <row r="160" spans="1:53" x14ac:dyDescent="0.35">
      <c r="A160">
        <v>0.1290946963794577</v>
      </c>
      <c r="C160">
        <v>5.3287671232876717</v>
      </c>
      <c r="D160" s="137">
        <f t="shared" si="35"/>
        <v>0.72662674120525184</v>
      </c>
      <c r="E160">
        <v>2.5362300726332561</v>
      </c>
      <c r="F160">
        <v>1.0791812460476249</v>
      </c>
      <c r="G160" s="45">
        <v>2.3199999999999998</v>
      </c>
      <c r="H160" s="29">
        <f t="shared" si="36"/>
        <v>0.36548798489089962</v>
      </c>
      <c r="I160" s="9">
        <v>2.756001823801419</v>
      </c>
      <c r="J160" s="34">
        <v>-8.7739243075051505E-3</v>
      </c>
      <c r="K160">
        <v>0</v>
      </c>
      <c r="L160" s="137">
        <f t="shared" si="37"/>
        <v>0</v>
      </c>
      <c r="M160">
        <f t="shared" si="34"/>
        <v>1</v>
      </c>
      <c r="N160">
        <v>85</v>
      </c>
      <c r="O160">
        <v>80</v>
      </c>
      <c r="P160">
        <v>87.2</v>
      </c>
      <c r="Q160" s="137">
        <f t="shared" si="38"/>
        <v>1.9405164849325673</v>
      </c>
      <c r="R160" s="34">
        <v>42.5</v>
      </c>
      <c r="S160" s="34">
        <f t="shared" si="39"/>
        <v>1.6283889300503116</v>
      </c>
      <c r="T160" s="42">
        <v>52.565521078007201</v>
      </c>
      <c r="U160" s="42">
        <f t="shared" si="40"/>
        <v>1.7207009738992591</v>
      </c>
      <c r="V160">
        <v>3.3209851425446502</v>
      </c>
      <c r="W160" s="14">
        <v>2</v>
      </c>
      <c r="X160">
        <v>3.9950367434689285</v>
      </c>
      <c r="Y160">
        <v>7.8129133566428557</v>
      </c>
      <c r="Z160" s="80">
        <v>-0.10490442008465384</v>
      </c>
      <c r="AA160">
        <v>8</v>
      </c>
      <c r="AB160">
        <f t="shared" si="41"/>
        <v>0</v>
      </c>
      <c r="AC160">
        <f t="shared" si="42"/>
        <v>0</v>
      </c>
      <c r="AD160">
        <f t="shared" si="43"/>
        <v>0</v>
      </c>
      <c r="AE160">
        <f t="shared" si="44"/>
        <v>0</v>
      </c>
      <c r="AF160">
        <f t="shared" si="45"/>
        <v>0</v>
      </c>
      <c r="AG160">
        <f t="shared" si="46"/>
        <v>0</v>
      </c>
      <c r="AH160">
        <f t="shared" si="47"/>
        <v>0</v>
      </c>
      <c r="AI160">
        <f t="shared" si="48"/>
        <v>1</v>
      </c>
      <c r="AJ160">
        <f t="shared" si="49"/>
        <v>0</v>
      </c>
      <c r="AK160">
        <f t="shared" si="50"/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</row>
    <row r="161" spans="1:53" x14ac:dyDescent="0.35">
      <c r="A161">
        <v>0.27300127206373764</v>
      </c>
      <c r="C161">
        <v>1.9397260273972603</v>
      </c>
      <c r="D161" s="137">
        <f t="shared" si="35"/>
        <v>0.28774039323329431</v>
      </c>
      <c r="E161">
        <v>2.5362300726332561</v>
      </c>
      <c r="F161">
        <v>1.1760912590556813</v>
      </c>
      <c r="G161" s="45">
        <v>2.3199999999999998</v>
      </c>
      <c r="H161" s="29">
        <f t="shared" si="36"/>
        <v>0.36548798489089962</v>
      </c>
      <c r="I161" s="9">
        <v>2.756001823801419</v>
      </c>
      <c r="J161" s="34">
        <v>8.9905111439397931E-2</v>
      </c>
      <c r="K161">
        <v>0</v>
      </c>
      <c r="L161" s="137">
        <f t="shared" si="37"/>
        <v>0</v>
      </c>
      <c r="M161">
        <f t="shared" si="34"/>
        <v>1</v>
      </c>
      <c r="N161">
        <v>85</v>
      </c>
      <c r="O161">
        <v>80</v>
      </c>
      <c r="P161">
        <v>70</v>
      </c>
      <c r="Q161" s="137">
        <f t="shared" si="38"/>
        <v>1.8450980400142569</v>
      </c>
      <c r="R161" s="34">
        <v>42.9</v>
      </c>
      <c r="S161" s="34">
        <f t="shared" si="39"/>
        <v>1.6324572921847242</v>
      </c>
      <c r="T161" s="42">
        <v>53.2941466273667</v>
      </c>
      <c r="U161" s="42">
        <f t="shared" si="40"/>
        <v>1.7266795124593939</v>
      </c>
      <c r="V161">
        <v>3.3209851425446502</v>
      </c>
      <c r="W161" s="14">
        <v>2</v>
      </c>
      <c r="X161">
        <v>3.9950367434689285</v>
      </c>
      <c r="Y161">
        <v>8.5051499783199063</v>
      </c>
      <c r="Z161" s="80">
        <v>0.35080405484636623</v>
      </c>
      <c r="AA161">
        <v>2</v>
      </c>
      <c r="AB161">
        <f t="shared" si="41"/>
        <v>0</v>
      </c>
      <c r="AC161">
        <f t="shared" si="42"/>
        <v>1</v>
      </c>
      <c r="AD161">
        <f t="shared" si="43"/>
        <v>0</v>
      </c>
      <c r="AE161">
        <f t="shared" si="44"/>
        <v>0</v>
      </c>
      <c r="AF161">
        <f t="shared" si="45"/>
        <v>0</v>
      </c>
      <c r="AG161">
        <f t="shared" si="46"/>
        <v>0</v>
      </c>
      <c r="AH161">
        <f t="shared" si="47"/>
        <v>0</v>
      </c>
      <c r="AI161">
        <f t="shared" si="48"/>
        <v>0</v>
      </c>
      <c r="AJ161">
        <f t="shared" si="49"/>
        <v>0</v>
      </c>
      <c r="AK161">
        <f t="shared" si="50"/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</row>
    <row r="162" spans="1:53" x14ac:dyDescent="0.35">
      <c r="A162">
        <v>0.23484811525374724</v>
      </c>
      <c r="C162">
        <v>2.2547945205479452</v>
      </c>
      <c r="D162" s="137">
        <f t="shared" si="35"/>
        <v>0.35310697075579511</v>
      </c>
      <c r="E162">
        <v>2.5362300726332561</v>
      </c>
      <c r="F162">
        <v>1.8388490907372552</v>
      </c>
      <c r="G162" s="45">
        <v>2.3199999999999998</v>
      </c>
      <c r="H162" s="29">
        <f t="shared" si="36"/>
        <v>0.36548798489089962</v>
      </c>
      <c r="I162" s="9">
        <v>2.756001823801419</v>
      </c>
      <c r="J162" s="34">
        <v>9.691001300805642E-2</v>
      </c>
      <c r="K162">
        <v>0</v>
      </c>
      <c r="L162" s="137">
        <f t="shared" si="37"/>
        <v>0</v>
      </c>
      <c r="M162">
        <f t="shared" si="34"/>
        <v>1</v>
      </c>
      <c r="N162">
        <v>85</v>
      </c>
      <c r="O162">
        <v>80</v>
      </c>
      <c r="P162">
        <v>70</v>
      </c>
      <c r="Q162" s="137">
        <f t="shared" si="38"/>
        <v>1.8450980400142569</v>
      </c>
      <c r="R162" s="34">
        <v>42.2</v>
      </c>
      <c r="S162" s="34">
        <f t="shared" si="39"/>
        <v>1.6253124509616739</v>
      </c>
      <c r="T162" s="42">
        <v>53.270504198897903</v>
      </c>
      <c r="U162" s="42">
        <f t="shared" si="40"/>
        <v>1.7264868073491786</v>
      </c>
      <c r="V162">
        <v>3.3209851425446502</v>
      </c>
      <c r="W162" s="14">
        <v>2</v>
      </c>
      <c r="X162">
        <v>3.9950367434689285</v>
      </c>
      <c r="Y162">
        <v>8.7160033436347994</v>
      </c>
      <c r="Z162" s="80">
        <v>0.40383310390290239</v>
      </c>
      <c r="AA162">
        <v>5</v>
      </c>
      <c r="AB162">
        <f t="shared" si="41"/>
        <v>0</v>
      </c>
      <c r="AC162">
        <f t="shared" si="42"/>
        <v>0</v>
      </c>
      <c r="AD162">
        <f t="shared" si="43"/>
        <v>0</v>
      </c>
      <c r="AE162">
        <f t="shared" si="44"/>
        <v>0</v>
      </c>
      <c r="AF162">
        <f t="shared" si="45"/>
        <v>1</v>
      </c>
      <c r="AG162">
        <f t="shared" si="46"/>
        <v>0</v>
      </c>
      <c r="AH162">
        <f t="shared" si="47"/>
        <v>0</v>
      </c>
      <c r="AI162">
        <f t="shared" si="48"/>
        <v>0</v>
      </c>
      <c r="AJ162">
        <f t="shared" si="49"/>
        <v>0</v>
      </c>
      <c r="AK162">
        <f t="shared" si="50"/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1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</row>
    <row r="163" spans="1:53" x14ac:dyDescent="0.35">
      <c r="A163">
        <v>-6.4240896254688248E-2</v>
      </c>
      <c r="C163">
        <v>7.3287671232876717</v>
      </c>
      <c r="D163" s="137">
        <f t="shared" si="35"/>
        <v>0.86503092190077258</v>
      </c>
      <c r="E163">
        <v>3.1568882168601933</v>
      </c>
      <c r="F163">
        <v>1.968482948553935</v>
      </c>
      <c r="G163" s="45">
        <v>2.5099999999999998</v>
      </c>
      <c r="H163" s="29">
        <f t="shared" si="36"/>
        <v>0.39967372148103808</v>
      </c>
      <c r="I163" s="9">
        <v>2.7825920506710684</v>
      </c>
      <c r="J163" s="34">
        <v>0.3820170425748684</v>
      </c>
      <c r="K163">
        <v>0</v>
      </c>
      <c r="L163" s="137">
        <f t="shared" si="37"/>
        <v>0</v>
      </c>
      <c r="M163">
        <f t="shared" si="34"/>
        <v>1</v>
      </c>
      <c r="N163">
        <v>90</v>
      </c>
      <c r="O163">
        <v>70</v>
      </c>
      <c r="P163">
        <v>77</v>
      </c>
      <c r="Q163" s="137">
        <f t="shared" si="38"/>
        <v>1.8864907251724818</v>
      </c>
      <c r="R163" s="34">
        <v>41.72</v>
      </c>
      <c r="S163" s="34">
        <f t="shared" si="39"/>
        <v>1.6203442997544932</v>
      </c>
      <c r="T163" s="42">
        <v>47.830384300274197</v>
      </c>
      <c r="U163" s="42">
        <f t="shared" si="40"/>
        <v>1.6797038702890243</v>
      </c>
      <c r="V163">
        <v>3.1884249941294067</v>
      </c>
      <c r="W163" s="14">
        <v>2</v>
      </c>
      <c r="X163">
        <v>3.9391261945252749</v>
      </c>
      <c r="Y163">
        <v>8.9030899869919438</v>
      </c>
      <c r="Z163" s="80">
        <v>0.63045750745366558</v>
      </c>
      <c r="AA163">
        <v>5</v>
      </c>
      <c r="AB163">
        <f t="shared" si="41"/>
        <v>0</v>
      </c>
      <c r="AC163">
        <f t="shared" si="42"/>
        <v>0</v>
      </c>
      <c r="AD163">
        <f t="shared" si="43"/>
        <v>0</v>
      </c>
      <c r="AE163">
        <f t="shared" si="44"/>
        <v>0</v>
      </c>
      <c r="AF163">
        <f t="shared" si="45"/>
        <v>1</v>
      </c>
      <c r="AG163">
        <f t="shared" si="46"/>
        <v>0</v>
      </c>
      <c r="AH163">
        <f t="shared" si="47"/>
        <v>0</v>
      </c>
      <c r="AI163">
        <f t="shared" si="48"/>
        <v>0</v>
      </c>
      <c r="AJ163">
        <f t="shared" si="49"/>
        <v>0</v>
      </c>
      <c r="AK163">
        <f t="shared" si="50"/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</row>
    <row r="164" spans="1:53" x14ac:dyDescent="0.35">
      <c r="A164">
        <v>0.5123812603488811</v>
      </c>
      <c r="C164">
        <v>5.0246575342465754</v>
      </c>
      <c r="D164" s="137">
        <f t="shared" si="35"/>
        <v>0.70110646687752753</v>
      </c>
      <c r="E164">
        <v>0</v>
      </c>
      <c r="F164">
        <v>2.0827853703164503</v>
      </c>
      <c r="G164" s="45">
        <v>3.59</v>
      </c>
      <c r="H164" s="29">
        <f t="shared" si="36"/>
        <v>0.55509444857831913</v>
      </c>
      <c r="I164" s="9">
        <v>0</v>
      </c>
      <c r="J164" s="34">
        <v>0.32428245529769273</v>
      </c>
      <c r="K164">
        <v>6</v>
      </c>
      <c r="L164" s="137">
        <f t="shared" si="37"/>
        <v>0.77815125038364363</v>
      </c>
      <c r="M164">
        <f t="shared" si="34"/>
        <v>0</v>
      </c>
      <c r="N164">
        <v>70</v>
      </c>
      <c r="O164">
        <v>70</v>
      </c>
      <c r="P164">
        <v>95.9</v>
      </c>
      <c r="Q164" s="137">
        <f t="shared" si="38"/>
        <v>1.9818186071706636</v>
      </c>
      <c r="R164" s="34">
        <v>44.1</v>
      </c>
      <c r="S164" s="34">
        <f t="shared" si="39"/>
        <v>1.6444385894678386</v>
      </c>
      <c r="T164" s="42">
        <v>52.700584961948799</v>
      </c>
      <c r="U164" s="42">
        <f t="shared" si="40"/>
        <v>1.721815435788193</v>
      </c>
      <c r="V164">
        <v>3.1884249941294067</v>
      </c>
      <c r="W164" s="14">
        <v>5</v>
      </c>
      <c r="X164">
        <v>3.9391261945252749</v>
      </c>
      <c r="Y164">
        <v>7.6652994994998966</v>
      </c>
      <c r="Z164" s="80">
        <v>0.58904595534453996</v>
      </c>
      <c r="AA164">
        <v>6</v>
      </c>
      <c r="AB164">
        <f t="shared" si="41"/>
        <v>0</v>
      </c>
      <c r="AC164">
        <f t="shared" si="42"/>
        <v>0</v>
      </c>
      <c r="AD164">
        <f t="shared" si="43"/>
        <v>0</v>
      </c>
      <c r="AE164">
        <f t="shared" si="44"/>
        <v>0</v>
      </c>
      <c r="AF164">
        <f t="shared" si="45"/>
        <v>0</v>
      </c>
      <c r="AG164">
        <f t="shared" si="46"/>
        <v>1</v>
      </c>
      <c r="AH164">
        <f t="shared" si="47"/>
        <v>0</v>
      </c>
      <c r="AI164">
        <f t="shared" si="48"/>
        <v>0</v>
      </c>
      <c r="AJ164">
        <f t="shared" si="49"/>
        <v>0</v>
      </c>
      <c r="AK164">
        <f t="shared" si="50"/>
        <v>0</v>
      </c>
      <c r="AL164">
        <v>0</v>
      </c>
      <c r="AM164">
        <v>0</v>
      </c>
      <c r="AN164">
        <v>0</v>
      </c>
      <c r="AO164">
        <v>0</v>
      </c>
      <c r="AP164">
        <v>1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</row>
    <row r="165" spans="1:53" x14ac:dyDescent="0.35">
      <c r="A165">
        <v>0.39973663535655063</v>
      </c>
      <c r="C165">
        <v>2.9150684931506849</v>
      </c>
      <c r="D165" s="137">
        <f t="shared" si="35"/>
        <v>0.46464876350255468</v>
      </c>
      <c r="E165">
        <v>0</v>
      </c>
      <c r="F165">
        <v>2.0293837776852097</v>
      </c>
      <c r="G165" s="45">
        <v>3.59</v>
      </c>
      <c r="H165" s="29">
        <f t="shared" si="36"/>
        <v>0.55509444857831913</v>
      </c>
      <c r="I165" s="9">
        <v>0</v>
      </c>
      <c r="J165" s="34">
        <v>0.13353890837021748</v>
      </c>
      <c r="K165">
        <v>1</v>
      </c>
      <c r="L165" s="137">
        <f t="shared" si="37"/>
        <v>0</v>
      </c>
      <c r="M165">
        <f t="shared" si="34"/>
        <v>0</v>
      </c>
      <c r="N165">
        <v>70</v>
      </c>
      <c r="O165">
        <v>70</v>
      </c>
      <c r="P165">
        <v>70</v>
      </c>
      <c r="Q165" s="137">
        <f t="shared" si="38"/>
        <v>1.8450980400142569</v>
      </c>
      <c r="R165" s="34">
        <v>45.7</v>
      </c>
      <c r="S165" s="34">
        <f t="shared" si="39"/>
        <v>1.6599162000698502</v>
      </c>
      <c r="T165" s="42">
        <v>52.379377176281302</v>
      </c>
      <c r="U165" s="42">
        <f t="shared" si="40"/>
        <v>1.7191603300855409</v>
      </c>
      <c r="V165">
        <v>3.1884249941294067</v>
      </c>
      <c r="W165" s="14">
        <v>5</v>
      </c>
      <c r="X165">
        <v>3.9391261945252749</v>
      </c>
      <c r="Y165">
        <v>8.4393326938302629</v>
      </c>
      <c r="Z165" s="80">
        <v>0.55355173272610836</v>
      </c>
      <c r="AA165">
        <v>1</v>
      </c>
      <c r="AB165">
        <f t="shared" si="41"/>
        <v>1</v>
      </c>
      <c r="AC165">
        <f t="shared" si="42"/>
        <v>0</v>
      </c>
      <c r="AD165">
        <f t="shared" si="43"/>
        <v>0</v>
      </c>
      <c r="AE165">
        <f t="shared" si="44"/>
        <v>0</v>
      </c>
      <c r="AF165">
        <f t="shared" si="45"/>
        <v>0</v>
      </c>
      <c r="AG165">
        <f t="shared" si="46"/>
        <v>0</v>
      </c>
      <c r="AH165">
        <f t="shared" si="47"/>
        <v>0</v>
      </c>
      <c r="AI165">
        <f t="shared" si="48"/>
        <v>0</v>
      </c>
      <c r="AJ165">
        <f t="shared" si="49"/>
        <v>0</v>
      </c>
      <c r="AK165">
        <f t="shared" si="50"/>
        <v>0</v>
      </c>
      <c r="AL165">
        <v>0</v>
      </c>
      <c r="AM165">
        <v>0</v>
      </c>
      <c r="AN165">
        <v>0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</row>
    <row r="166" spans="1:53" x14ac:dyDescent="0.35">
      <c r="A166">
        <v>0.76929065710878552</v>
      </c>
      <c r="C166">
        <v>10.731506849315069</v>
      </c>
      <c r="D166" s="137">
        <f t="shared" si="35"/>
        <v>1.0306607070913911</v>
      </c>
      <c r="E166">
        <v>2.6208956659919629</v>
      </c>
      <c r="F166">
        <v>2.0293837776852097</v>
      </c>
      <c r="G166" s="45">
        <v>3.65</v>
      </c>
      <c r="H166" s="29">
        <f t="shared" si="36"/>
        <v>0.56229286445647475</v>
      </c>
      <c r="I166" s="9">
        <v>2.3401134757058348</v>
      </c>
      <c r="J166" s="34">
        <v>0.24054924828259971</v>
      </c>
      <c r="K166">
        <v>1</v>
      </c>
      <c r="L166" s="137">
        <f t="shared" si="37"/>
        <v>0</v>
      </c>
      <c r="M166">
        <f t="shared" si="34"/>
        <v>1</v>
      </c>
      <c r="N166">
        <v>70</v>
      </c>
      <c r="O166">
        <v>50</v>
      </c>
      <c r="P166">
        <v>70</v>
      </c>
      <c r="Q166" s="137">
        <f t="shared" si="38"/>
        <v>1.8450980400142569</v>
      </c>
      <c r="R166" s="34">
        <v>42.4</v>
      </c>
      <c r="S166" s="34">
        <f t="shared" si="39"/>
        <v>1.6273658565927327</v>
      </c>
      <c r="T166" s="42">
        <v>44.9782573439335</v>
      </c>
      <c r="U166" s="42">
        <f t="shared" si="40"/>
        <v>1.6530026249418825</v>
      </c>
      <c r="V166">
        <v>3.1884249941294067</v>
      </c>
      <c r="W166" s="14">
        <v>5</v>
      </c>
      <c r="X166">
        <v>3.9391261945252749</v>
      </c>
      <c r="Y166">
        <v>8.2951673321181332</v>
      </c>
      <c r="Z166" s="80">
        <v>0.58329221454264468</v>
      </c>
      <c r="AA166">
        <v>6</v>
      </c>
      <c r="AB166">
        <f t="shared" si="41"/>
        <v>0</v>
      </c>
      <c r="AC166">
        <f t="shared" si="42"/>
        <v>0</v>
      </c>
      <c r="AD166">
        <f t="shared" si="43"/>
        <v>0</v>
      </c>
      <c r="AE166">
        <f t="shared" si="44"/>
        <v>0</v>
      </c>
      <c r="AF166">
        <f t="shared" si="45"/>
        <v>0</v>
      </c>
      <c r="AG166">
        <f t="shared" si="46"/>
        <v>1</v>
      </c>
      <c r="AH166">
        <f t="shared" si="47"/>
        <v>0</v>
      </c>
      <c r="AI166">
        <f t="shared" si="48"/>
        <v>0</v>
      </c>
      <c r="AJ166">
        <f t="shared" si="49"/>
        <v>0</v>
      </c>
      <c r="AK166">
        <f t="shared" si="50"/>
        <v>0</v>
      </c>
      <c r="AL166">
        <v>0</v>
      </c>
      <c r="AM166">
        <v>0</v>
      </c>
      <c r="AN166">
        <v>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</row>
    <row r="167" spans="1:53" x14ac:dyDescent="0.35">
      <c r="A167">
        <v>0.58357658563394932</v>
      </c>
      <c r="C167">
        <v>0.72602739726027399</v>
      </c>
      <c r="D167" s="137">
        <f t="shared" si="35"/>
        <v>-0.13904699051966685</v>
      </c>
      <c r="E167">
        <v>3.7707754512906644</v>
      </c>
      <c r="F167">
        <v>1.7403626894942439</v>
      </c>
      <c r="G167" s="45">
        <v>2.3199999999999998</v>
      </c>
      <c r="H167" s="29">
        <f t="shared" si="36"/>
        <v>0.36548798489089962</v>
      </c>
      <c r="I167" s="9">
        <v>2.1238516409670858</v>
      </c>
      <c r="J167" s="34">
        <v>-5.0609993355087209E-2</v>
      </c>
      <c r="K167">
        <v>56</v>
      </c>
      <c r="L167" s="137">
        <f t="shared" si="37"/>
        <v>1.7481880270062005</v>
      </c>
      <c r="M167">
        <f t="shared" si="34"/>
        <v>1</v>
      </c>
      <c r="N167">
        <v>70</v>
      </c>
      <c r="O167">
        <v>70</v>
      </c>
      <c r="P167">
        <v>85</v>
      </c>
      <c r="Q167" s="137">
        <f t="shared" si="38"/>
        <v>1.9294189257142926</v>
      </c>
      <c r="R167" s="34">
        <v>27.2</v>
      </c>
      <c r="S167" s="34">
        <f t="shared" si="39"/>
        <v>1.4345689040341987</v>
      </c>
      <c r="T167" s="42">
        <v>35.608384832026097</v>
      </c>
      <c r="U167" s="42">
        <f t="shared" si="40"/>
        <v>1.5515522748692276</v>
      </c>
      <c r="V167">
        <v>3.1990557401914899</v>
      </c>
      <c r="W167" s="14">
        <v>2</v>
      </c>
      <c r="X167">
        <v>3.7784953647769717</v>
      </c>
      <c r="Y167">
        <v>7.0791812460476251</v>
      </c>
      <c r="Z167" s="80">
        <v>-0.13023920173571024</v>
      </c>
      <c r="AA167">
        <v>9</v>
      </c>
      <c r="AB167">
        <f t="shared" si="41"/>
        <v>0</v>
      </c>
      <c r="AC167">
        <f t="shared" si="42"/>
        <v>0</v>
      </c>
      <c r="AD167">
        <f t="shared" si="43"/>
        <v>0</v>
      </c>
      <c r="AE167">
        <f t="shared" si="44"/>
        <v>0</v>
      </c>
      <c r="AF167">
        <f t="shared" si="45"/>
        <v>0</v>
      </c>
      <c r="AG167">
        <f t="shared" si="46"/>
        <v>0</v>
      </c>
      <c r="AH167">
        <f t="shared" si="47"/>
        <v>0</v>
      </c>
      <c r="AI167">
        <f t="shared" si="48"/>
        <v>0</v>
      </c>
      <c r="AJ167">
        <f t="shared" si="49"/>
        <v>1</v>
      </c>
      <c r="AK167">
        <f t="shared" si="50"/>
        <v>0</v>
      </c>
      <c r="AL167">
        <v>1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</row>
    <row r="168" spans="1:53" x14ac:dyDescent="0.35">
      <c r="A168">
        <v>-0.76447155309245129</v>
      </c>
      <c r="C168">
        <v>3.0931506849315067</v>
      </c>
      <c r="D168" s="137">
        <f t="shared" si="35"/>
        <v>0.49040107746849315</v>
      </c>
      <c r="E168">
        <v>0</v>
      </c>
      <c r="F168">
        <v>0.84509804001425681</v>
      </c>
      <c r="G168" s="45">
        <v>3.29</v>
      </c>
      <c r="H168" s="29">
        <f t="shared" si="36"/>
        <v>0.51719589794997434</v>
      </c>
      <c r="I168" s="9">
        <v>0</v>
      </c>
      <c r="J168" s="34">
        <v>-8.6186147616283279E-2</v>
      </c>
      <c r="K168">
        <v>55</v>
      </c>
      <c r="L168" s="137">
        <f t="shared" si="37"/>
        <v>1.7403626894942439</v>
      </c>
      <c r="M168">
        <f t="shared" si="34"/>
        <v>0</v>
      </c>
      <c r="N168">
        <v>70</v>
      </c>
      <c r="O168">
        <v>70</v>
      </c>
      <c r="P168">
        <v>85</v>
      </c>
      <c r="Q168" s="137">
        <f t="shared" si="38"/>
        <v>1.9294189257142926</v>
      </c>
      <c r="R168" s="34">
        <v>32.9</v>
      </c>
      <c r="S168" s="34">
        <f t="shared" si="39"/>
        <v>1.5171958979499742</v>
      </c>
      <c r="T168" s="42">
        <v>35.433808146393098</v>
      </c>
      <c r="U168" s="42">
        <f t="shared" si="40"/>
        <v>1.5494178293890581</v>
      </c>
      <c r="V168">
        <v>3.1990557401914899</v>
      </c>
      <c r="W168" s="14">
        <v>2</v>
      </c>
      <c r="X168">
        <v>3.7784953647769717</v>
      </c>
      <c r="Y168">
        <v>7</v>
      </c>
      <c r="Z168" s="80">
        <v>-0.27710192639078213</v>
      </c>
      <c r="AA168">
        <v>9</v>
      </c>
      <c r="AB168">
        <f t="shared" si="41"/>
        <v>0</v>
      </c>
      <c r="AC168">
        <f t="shared" si="42"/>
        <v>0</v>
      </c>
      <c r="AD168">
        <f t="shared" si="43"/>
        <v>0</v>
      </c>
      <c r="AE168">
        <f t="shared" si="44"/>
        <v>0</v>
      </c>
      <c r="AF168">
        <f t="shared" si="45"/>
        <v>0</v>
      </c>
      <c r="AG168">
        <f t="shared" si="46"/>
        <v>0</v>
      </c>
      <c r="AH168">
        <f t="shared" si="47"/>
        <v>0</v>
      </c>
      <c r="AI168">
        <f t="shared" si="48"/>
        <v>0</v>
      </c>
      <c r="AJ168">
        <f t="shared" si="49"/>
        <v>1</v>
      </c>
      <c r="AK168">
        <f t="shared" si="50"/>
        <v>0</v>
      </c>
      <c r="AL168">
        <v>0</v>
      </c>
      <c r="AM168">
        <v>1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</row>
    <row r="169" spans="1:53" x14ac:dyDescent="0.35">
      <c r="A169">
        <v>-2</v>
      </c>
      <c r="C169">
        <v>7.1808219178082195</v>
      </c>
      <c r="D169" s="137">
        <f t="shared" si="35"/>
        <v>0.85617415649012574</v>
      </c>
      <c r="E169">
        <v>3.0625406208792199</v>
      </c>
      <c r="F169">
        <v>0.90308998699194354</v>
      </c>
      <c r="G169" s="45">
        <v>3.27</v>
      </c>
      <c r="H169" s="29">
        <f t="shared" si="36"/>
        <v>0.51454775266028607</v>
      </c>
      <c r="I169" s="9">
        <v>2.8714756364568856</v>
      </c>
      <c r="J169" s="34">
        <v>0.18184358794477254</v>
      </c>
      <c r="K169">
        <v>7</v>
      </c>
      <c r="L169" s="137">
        <f t="shared" si="37"/>
        <v>0.84509804001425681</v>
      </c>
      <c r="M169">
        <f t="shared" si="34"/>
        <v>1</v>
      </c>
      <c r="N169">
        <v>70</v>
      </c>
      <c r="O169">
        <v>70</v>
      </c>
      <c r="P169">
        <v>90.8</v>
      </c>
      <c r="Q169" s="137">
        <f t="shared" si="38"/>
        <v>1.958085848521085</v>
      </c>
      <c r="R169" s="34">
        <v>32.299999999999997</v>
      </c>
      <c r="S169" s="34">
        <f t="shared" si="39"/>
        <v>1.5092025223311027</v>
      </c>
      <c r="T169" s="42">
        <v>44.4007960521485</v>
      </c>
      <c r="U169" s="42">
        <f t="shared" si="40"/>
        <v>1.6473907565550749</v>
      </c>
      <c r="V169">
        <v>3.2566108558755684</v>
      </c>
      <c r="W169" s="14">
        <v>1</v>
      </c>
      <c r="X169">
        <v>3.9279973385794986</v>
      </c>
      <c r="Y169">
        <v>7.1760912590556813</v>
      </c>
      <c r="Z169" s="80">
        <v>0.16552891151097371</v>
      </c>
      <c r="AA169">
        <v>9</v>
      </c>
      <c r="AB169">
        <f t="shared" si="41"/>
        <v>0</v>
      </c>
      <c r="AC169">
        <f t="shared" si="42"/>
        <v>0</v>
      </c>
      <c r="AD169">
        <f t="shared" si="43"/>
        <v>0</v>
      </c>
      <c r="AE169">
        <f t="shared" si="44"/>
        <v>0</v>
      </c>
      <c r="AF169">
        <f t="shared" si="45"/>
        <v>0</v>
      </c>
      <c r="AG169">
        <f t="shared" si="46"/>
        <v>0</v>
      </c>
      <c r="AH169">
        <f t="shared" si="47"/>
        <v>0</v>
      </c>
      <c r="AI169">
        <f t="shared" si="48"/>
        <v>0</v>
      </c>
      <c r="AJ169">
        <f t="shared" si="49"/>
        <v>1</v>
      </c>
      <c r="AK169">
        <f t="shared" si="50"/>
        <v>0</v>
      </c>
      <c r="AL169">
        <v>0</v>
      </c>
      <c r="AM169">
        <v>1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</row>
    <row r="170" spans="1:53" x14ac:dyDescent="0.35">
      <c r="A170">
        <v>0.14612803567823801</v>
      </c>
      <c r="C170">
        <v>2.7342465753424658</v>
      </c>
      <c r="D170" s="137">
        <f t="shared" si="35"/>
        <v>0.43683767683089642</v>
      </c>
      <c r="E170">
        <v>3.7845345619950592</v>
      </c>
      <c r="F170">
        <v>1</v>
      </c>
      <c r="G170" s="45">
        <v>2.81</v>
      </c>
      <c r="H170" s="29">
        <f t="shared" si="36"/>
        <v>0.44870631990507992</v>
      </c>
      <c r="I170" s="9">
        <v>2.9168924084376502</v>
      </c>
      <c r="J170" s="34">
        <v>0.14921911265537988</v>
      </c>
      <c r="K170">
        <v>21</v>
      </c>
      <c r="L170" s="137">
        <f t="shared" si="37"/>
        <v>1.3222192947339193</v>
      </c>
      <c r="M170">
        <f t="shared" si="34"/>
        <v>1</v>
      </c>
      <c r="N170">
        <v>70</v>
      </c>
      <c r="O170">
        <v>50</v>
      </c>
      <c r="P170">
        <v>76</v>
      </c>
      <c r="Q170" s="137">
        <f t="shared" si="38"/>
        <v>1.8808135922807914</v>
      </c>
      <c r="R170" s="34">
        <v>33.19</v>
      </c>
      <c r="S170" s="34">
        <f t="shared" si="39"/>
        <v>1.521007252408604</v>
      </c>
      <c r="T170" s="42">
        <v>42.2040629527961</v>
      </c>
      <c r="U170" s="42">
        <f t="shared" si="40"/>
        <v>1.6253542621712107</v>
      </c>
      <c r="V170">
        <v>3.1574743240259107</v>
      </c>
      <c r="W170" s="14">
        <v>2</v>
      </c>
      <c r="X170">
        <v>3.7043045135512243</v>
      </c>
      <c r="Y170">
        <v>9</v>
      </c>
      <c r="Z170" s="80">
        <v>0.18014844634232374</v>
      </c>
      <c r="AA170">
        <v>3</v>
      </c>
      <c r="AB170">
        <f t="shared" si="41"/>
        <v>0</v>
      </c>
      <c r="AC170">
        <f t="shared" si="42"/>
        <v>0</v>
      </c>
      <c r="AD170">
        <f t="shared" si="43"/>
        <v>1</v>
      </c>
      <c r="AE170">
        <f t="shared" si="44"/>
        <v>0</v>
      </c>
      <c r="AF170">
        <f t="shared" si="45"/>
        <v>0</v>
      </c>
      <c r="AG170">
        <f t="shared" si="46"/>
        <v>0</v>
      </c>
      <c r="AH170">
        <f t="shared" si="47"/>
        <v>0</v>
      </c>
      <c r="AI170">
        <f t="shared" si="48"/>
        <v>0</v>
      </c>
      <c r="AJ170">
        <f t="shared" si="49"/>
        <v>0</v>
      </c>
      <c r="AK170">
        <f t="shared" si="50"/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1</v>
      </c>
      <c r="AW170">
        <v>0</v>
      </c>
      <c r="AX170">
        <v>0</v>
      </c>
      <c r="AY170">
        <v>0</v>
      </c>
      <c r="AZ170">
        <v>0</v>
      </c>
      <c r="BA170">
        <v>0</v>
      </c>
    </row>
    <row r="171" spans="1:53" x14ac:dyDescent="0.35">
      <c r="A171">
        <v>0.23201101174001795</v>
      </c>
      <c r="C171">
        <v>4.1753424657534248</v>
      </c>
      <c r="D171" s="137">
        <f t="shared" si="35"/>
        <v>0.62069210254710705</v>
      </c>
      <c r="E171">
        <v>3.7707754512906644</v>
      </c>
      <c r="F171">
        <v>0.84509804001425681</v>
      </c>
      <c r="G171" s="45">
        <v>2.3199999999999998</v>
      </c>
      <c r="H171" s="29">
        <f t="shared" si="36"/>
        <v>0.36548798489089962</v>
      </c>
      <c r="I171" s="9">
        <v>2.1238516409670858</v>
      </c>
      <c r="J171" s="34">
        <v>0.26481782300953643</v>
      </c>
      <c r="K171">
        <v>14</v>
      </c>
      <c r="L171" s="137">
        <f t="shared" si="37"/>
        <v>1.146128035678238</v>
      </c>
      <c r="M171">
        <f t="shared" si="34"/>
        <v>1</v>
      </c>
      <c r="N171">
        <v>70</v>
      </c>
      <c r="O171">
        <v>70</v>
      </c>
      <c r="P171">
        <v>89.8</v>
      </c>
      <c r="Q171" s="137">
        <f t="shared" si="38"/>
        <v>1.9532763366673043</v>
      </c>
      <c r="R171" s="34">
        <v>31.2</v>
      </c>
      <c r="S171" s="34">
        <f t="shared" si="39"/>
        <v>1.4941545940184429</v>
      </c>
      <c r="T171" s="42">
        <v>47.307367293927399</v>
      </c>
      <c r="U171" s="42">
        <f t="shared" si="40"/>
        <v>1.6749287797641836</v>
      </c>
      <c r="V171">
        <v>3.1574743240259107</v>
      </c>
      <c r="W171" s="14">
        <v>2</v>
      </c>
      <c r="X171">
        <v>3.7043045135512243</v>
      </c>
      <c r="Y171">
        <v>8.53424192979422</v>
      </c>
      <c r="Z171" s="80">
        <v>0.51388806185965752</v>
      </c>
      <c r="AA171">
        <v>8</v>
      </c>
      <c r="AB171">
        <f t="shared" si="41"/>
        <v>0</v>
      </c>
      <c r="AC171">
        <f t="shared" si="42"/>
        <v>0</v>
      </c>
      <c r="AD171">
        <f t="shared" si="43"/>
        <v>0</v>
      </c>
      <c r="AE171">
        <f t="shared" si="44"/>
        <v>0</v>
      </c>
      <c r="AF171">
        <f t="shared" si="45"/>
        <v>0</v>
      </c>
      <c r="AG171">
        <f t="shared" si="46"/>
        <v>0</v>
      </c>
      <c r="AH171">
        <f t="shared" si="47"/>
        <v>0</v>
      </c>
      <c r="AI171">
        <f t="shared" si="48"/>
        <v>1</v>
      </c>
      <c r="AJ171">
        <f t="shared" si="49"/>
        <v>0</v>
      </c>
      <c r="AK171">
        <f t="shared" si="50"/>
        <v>0</v>
      </c>
      <c r="AL171">
        <v>0</v>
      </c>
      <c r="AM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</row>
    <row r="172" spans="1:53" x14ac:dyDescent="0.35">
      <c r="A172">
        <v>5.2714734498433974E-2</v>
      </c>
      <c r="C172">
        <v>1.1972602739726028</v>
      </c>
      <c r="D172" s="137">
        <f t="shared" si="35"/>
        <v>7.818857251394716E-2</v>
      </c>
      <c r="E172">
        <v>0</v>
      </c>
      <c r="F172">
        <v>2.1303337684950061</v>
      </c>
      <c r="G172" s="45">
        <v>2.8</v>
      </c>
      <c r="H172" s="29">
        <f t="shared" si="36"/>
        <v>0.44715803134221921</v>
      </c>
      <c r="I172" s="9">
        <v>0</v>
      </c>
      <c r="J172" s="34">
        <v>-3.6212172654444715E-2</v>
      </c>
      <c r="K172">
        <v>0</v>
      </c>
      <c r="L172" s="137">
        <f t="shared" si="37"/>
        <v>0</v>
      </c>
      <c r="M172">
        <f t="shared" si="34"/>
        <v>0</v>
      </c>
      <c r="N172">
        <v>90</v>
      </c>
      <c r="O172">
        <v>70</v>
      </c>
      <c r="P172">
        <v>78.400000000000006</v>
      </c>
      <c r="Q172" s="137">
        <f t="shared" si="38"/>
        <v>1.8943160626844384</v>
      </c>
      <c r="R172" s="34">
        <v>40.57</v>
      </c>
      <c r="S172" s="34">
        <f t="shared" si="39"/>
        <v>1.6082050077043262</v>
      </c>
      <c r="T172" s="42">
        <v>47.629620244041597</v>
      </c>
      <c r="U172" s="42">
        <f t="shared" si="40"/>
        <v>1.6778771188499342</v>
      </c>
      <c r="V172">
        <v>3.0962405795987471</v>
      </c>
      <c r="W172" s="14">
        <v>4</v>
      </c>
      <c r="X172">
        <v>3.4010931514437841</v>
      </c>
      <c r="Y172">
        <v>8.8692317197309762</v>
      </c>
      <c r="Z172" s="80">
        <v>-7.9591985960807188E-2</v>
      </c>
      <c r="AA172">
        <v>5</v>
      </c>
      <c r="AB172">
        <f t="shared" si="41"/>
        <v>0</v>
      </c>
      <c r="AC172">
        <f t="shared" si="42"/>
        <v>0</v>
      </c>
      <c r="AD172">
        <f t="shared" si="43"/>
        <v>0</v>
      </c>
      <c r="AE172">
        <f t="shared" si="44"/>
        <v>0</v>
      </c>
      <c r="AF172">
        <f t="shared" si="45"/>
        <v>1</v>
      </c>
      <c r="AG172">
        <f t="shared" si="46"/>
        <v>0</v>
      </c>
      <c r="AH172">
        <f t="shared" si="47"/>
        <v>0</v>
      </c>
      <c r="AI172">
        <f t="shared" si="48"/>
        <v>0</v>
      </c>
      <c r="AJ172">
        <f t="shared" si="49"/>
        <v>0</v>
      </c>
      <c r="AK172">
        <f t="shared" si="50"/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</row>
    <row r="173" spans="1:53" x14ac:dyDescent="0.35">
      <c r="A173">
        <v>0.40857862429993902</v>
      </c>
      <c r="C173">
        <v>0.56712328767123288</v>
      </c>
      <c r="D173" s="137">
        <f t="shared" si="35"/>
        <v>-0.24632251899955696</v>
      </c>
      <c r="E173">
        <v>2.5542346870234227</v>
      </c>
      <c r="F173">
        <v>1</v>
      </c>
      <c r="G173" s="45">
        <v>3.16</v>
      </c>
      <c r="H173" s="29">
        <f t="shared" si="36"/>
        <v>0.49968708261840383</v>
      </c>
      <c r="I173" s="9">
        <v>2.9876662649262746</v>
      </c>
      <c r="J173" s="34">
        <v>-3.6212172654444715E-2</v>
      </c>
      <c r="K173">
        <v>30</v>
      </c>
      <c r="L173" s="137">
        <f t="shared" si="37"/>
        <v>1.4771212547196624</v>
      </c>
      <c r="M173">
        <f t="shared" si="34"/>
        <v>1</v>
      </c>
      <c r="N173">
        <v>70</v>
      </c>
      <c r="O173">
        <v>90</v>
      </c>
      <c r="P173">
        <v>88.4</v>
      </c>
      <c r="Q173" s="137">
        <f t="shared" si="38"/>
        <v>1.9464522650130731</v>
      </c>
      <c r="R173" s="34">
        <v>35.700000000000003</v>
      </c>
      <c r="S173" s="34">
        <f t="shared" si="39"/>
        <v>1.5526682161121932</v>
      </c>
      <c r="T173" s="42">
        <v>42.337645557762798</v>
      </c>
      <c r="U173" s="42">
        <f t="shared" si="40"/>
        <v>1.6267267027692975</v>
      </c>
      <c r="V173">
        <v>3.0962405795987471</v>
      </c>
      <c r="W173" s="14">
        <v>2</v>
      </c>
      <c r="X173">
        <v>3.4010931514437841</v>
      </c>
      <c r="Y173">
        <v>8.8259386592127473</v>
      </c>
      <c r="Z173" s="80">
        <v>-0.10312897757777206</v>
      </c>
      <c r="AA173">
        <v>4</v>
      </c>
      <c r="AB173">
        <f t="shared" si="41"/>
        <v>0</v>
      </c>
      <c r="AC173">
        <f t="shared" si="42"/>
        <v>0</v>
      </c>
      <c r="AD173">
        <f t="shared" si="43"/>
        <v>0</v>
      </c>
      <c r="AE173">
        <f t="shared" si="44"/>
        <v>1</v>
      </c>
      <c r="AF173">
        <f t="shared" si="45"/>
        <v>0</v>
      </c>
      <c r="AG173">
        <f t="shared" si="46"/>
        <v>0</v>
      </c>
      <c r="AH173">
        <f t="shared" si="47"/>
        <v>0</v>
      </c>
      <c r="AI173">
        <f t="shared" si="48"/>
        <v>0</v>
      </c>
      <c r="AJ173">
        <f t="shared" si="49"/>
        <v>0</v>
      </c>
      <c r="AK173">
        <f t="shared" si="50"/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</row>
    <row r="174" spans="1:53" x14ac:dyDescent="0.35">
      <c r="A174">
        <v>-0.19604918633510771</v>
      </c>
      <c r="C174">
        <v>6.5753424657534243</v>
      </c>
      <c r="D174" s="137">
        <f t="shared" si="35"/>
        <v>0.81791837725513128</v>
      </c>
      <c r="E174">
        <v>2.5542346870234227</v>
      </c>
      <c r="F174">
        <v>0</v>
      </c>
      <c r="G174" s="45">
        <v>3.16</v>
      </c>
      <c r="H174" s="29">
        <f t="shared" si="36"/>
        <v>0.49968708261840383</v>
      </c>
      <c r="I174" s="9">
        <v>2.9876662649262746</v>
      </c>
      <c r="J174" s="34">
        <v>7.1882007306125359E-2</v>
      </c>
      <c r="K174">
        <v>29</v>
      </c>
      <c r="L174" s="137">
        <f t="shared" si="37"/>
        <v>1.4623979978989561</v>
      </c>
      <c r="M174">
        <f t="shared" si="34"/>
        <v>1</v>
      </c>
      <c r="N174">
        <v>90</v>
      </c>
      <c r="O174">
        <v>90</v>
      </c>
      <c r="P174">
        <v>87.5</v>
      </c>
      <c r="Q174" s="137">
        <f t="shared" si="38"/>
        <v>1.9420080530223132</v>
      </c>
      <c r="R174" s="34">
        <v>36</v>
      </c>
      <c r="S174" s="34">
        <f t="shared" si="39"/>
        <v>1.5563025007672873</v>
      </c>
      <c r="T174" s="42">
        <v>42.967191632480599</v>
      </c>
      <c r="U174" s="42">
        <f t="shared" si="40"/>
        <v>1.6331369688020121</v>
      </c>
      <c r="V174">
        <v>3.0962405795987471</v>
      </c>
      <c r="W174" s="14">
        <v>2</v>
      </c>
      <c r="X174">
        <v>3.4010931514437841</v>
      </c>
      <c r="Y174">
        <v>9.672097857935718</v>
      </c>
      <c r="Z174" s="80">
        <v>0.11388968267960609</v>
      </c>
      <c r="AA174">
        <v>4</v>
      </c>
      <c r="AB174">
        <f t="shared" si="41"/>
        <v>0</v>
      </c>
      <c r="AC174">
        <f t="shared" si="42"/>
        <v>0</v>
      </c>
      <c r="AD174">
        <f t="shared" si="43"/>
        <v>0</v>
      </c>
      <c r="AE174">
        <f t="shared" si="44"/>
        <v>1</v>
      </c>
      <c r="AF174">
        <f t="shared" si="45"/>
        <v>0</v>
      </c>
      <c r="AG174">
        <f t="shared" si="46"/>
        <v>0</v>
      </c>
      <c r="AH174">
        <f t="shared" si="47"/>
        <v>0</v>
      </c>
      <c r="AI174">
        <f t="shared" si="48"/>
        <v>0</v>
      </c>
      <c r="AJ174">
        <f t="shared" si="49"/>
        <v>0</v>
      </c>
      <c r="AK174">
        <f t="shared" si="50"/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</row>
    <row r="175" spans="1:53" x14ac:dyDescent="0.35">
      <c r="A175">
        <v>0.24178707955854389</v>
      </c>
      <c r="C175">
        <v>4.1041095890410961</v>
      </c>
      <c r="D175" s="137">
        <f t="shared" si="35"/>
        <v>0.61321894890697304</v>
      </c>
      <c r="E175">
        <v>2.9629325585580042</v>
      </c>
      <c r="F175">
        <v>2.0453229787866576</v>
      </c>
      <c r="G175" s="45">
        <v>2.62</v>
      </c>
      <c r="H175" s="29">
        <f t="shared" si="36"/>
        <v>0.41830129131974547</v>
      </c>
      <c r="I175" s="9">
        <v>2.9323046139517812</v>
      </c>
      <c r="J175" s="34">
        <v>0.1903316981702915</v>
      </c>
      <c r="K175">
        <v>36</v>
      </c>
      <c r="L175" s="137">
        <f t="shared" si="37"/>
        <v>1.5563025007672873</v>
      </c>
      <c r="M175">
        <f t="shared" si="34"/>
        <v>1</v>
      </c>
      <c r="N175">
        <v>70</v>
      </c>
      <c r="O175">
        <v>70</v>
      </c>
      <c r="P175">
        <v>92.1</v>
      </c>
      <c r="Q175" s="137">
        <f t="shared" si="38"/>
        <v>1.9642596301968489</v>
      </c>
      <c r="R175" s="34">
        <v>36.799999999999997</v>
      </c>
      <c r="S175" s="34">
        <f t="shared" si="39"/>
        <v>1.5658478186735176</v>
      </c>
      <c r="T175" s="42">
        <v>44.688349184782602</v>
      </c>
      <c r="U175" s="42">
        <f t="shared" si="40"/>
        <v>1.6501943118503011</v>
      </c>
      <c r="V175">
        <v>3.0962405795987471</v>
      </c>
      <c r="W175" s="14">
        <v>2</v>
      </c>
      <c r="X175">
        <v>3.4010931514437841</v>
      </c>
      <c r="Y175">
        <v>9.1731862684122749</v>
      </c>
      <c r="Z175" s="80">
        <v>0.19272874972997278</v>
      </c>
      <c r="AA175">
        <v>8</v>
      </c>
      <c r="AB175">
        <f t="shared" si="41"/>
        <v>0</v>
      </c>
      <c r="AC175">
        <f t="shared" si="42"/>
        <v>0</v>
      </c>
      <c r="AD175">
        <f t="shared" si="43"/>
        <v>0</v>
      </c>
      <c r="AE175">
        <f t="shared" si="44"/>
        <v>0</v>
      </c>
      <c r="AF175">
        <f t="shared" si="45"/>
        <v>0</v>
      </c>
      <c r="AG175">
        <f t="shared" si="46"/>
        <v>0</v>
      </c>
      <c r="AH175">
        <f t="shared" si="47"/>
        <v>0</v>
      </c>
      <c r="AI175">
        <f t="shared" si="48"/>
        <v>1</v>
      </c>
      <c r="AJ175">
        <f t="shared" si="49"/>
        <v>0</v>
      </c>
      <c r="AK175">
        <f t="shared" si="50"/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</row>
    <row r="176" spans="1:53" x14ac:dyDescent="0.35">
      <c r="A176">
        <v>0.3010299956639812</v>
      </c>
      <c r="C176">
        <v>5.5972602739726032</v>
      </c>
      <c r="D176" s="137">
        <f t="shared" si="35"/>
        <v>0.74797550217597297</v>
      </c>
      <c r="E176">
        <v>2.9629325585580042</v>
      </c>
      <c r="F176">
        <v>1.5185139398778875</v>
      </c>
      <c r="G176" s="45">
        <v>2.62</v>
      </c>
      <c r="H176" s="29">
        <f t="shared" si="36"/>
        <v>0.41830129131974547</v>
      </c>
      <c r="I176" s="9">
        <v>2.9323046139517812</v>
      </c>
      <c r="J176" s="34">
        <v>0.2355284469075489</v>
      </c>
      <c r="K176">
        <v>34</v>
      </c>
      <c r="L176" s="137">
        <f t="shared" si="37"/>
        <v>1.5314789170422551</v>
      </c>
      <c r="M176">
        <f t="shared" si="34"/>
        <v>1</v>
      </c>
      <c r="N176">
        <v>70</v>
      </c>
      <c r="O176">
        <v>70</v>
      </c>
      <c r="P176">
        <v>89.6</v>
      </c>
      <c r="Q176" s="137">
        <f t="shared" si="38"/>
        <v>1.9523080096621253</v>
      </c>
      <c r="R176" s="34">
        <v>35.700000000000003</v>
      </c>
      <c r="S176" s="34">
        <f t="shared" si="39"/>
        <v>1.5526682161121932</v>
      </c>
      <c r="T176" s="42">
        <v>44.7100017757258</v>
      </c>
      <c r="U176" s="42">
        <f t="shared" si="40"/>
        <v>1.6504046871166989</v>
      </c>
      <c r="V176">
        <v>3.0962405795987471</v>
      </c>
      <c r="W176" s="14">
        <v>2</v>
      </c>
      <c r="X176">
        <v>3.4010931514437841</v>
      </c>
      <c r="Y176">
        <v>8.6020599913279625</v>
      </c>
      <c r="Z176" s="80">
        <v>0.25067587298235172</v>
      </c>
      <c r="AA176">
        <v>1</v>
      </c>
      <c r="AB176">
        <f t="shared" si="41"/>
        <v>1</v>
      </c>
      <c r="AC176">
        <f t="shared" si="42"/>
        <v>0</v>
      </c>
      <c r="AD176">
        <f t="shared" si="43"/>
        <v>0</v>
      </c>
      <c r="AE176">
        <f t="shared" si="44"/>
        <v>0</v>
      </c>
      <c r="AF176">
        <f t="shared" si="45"/>
        <v>0</v>
      </c>
      <c r="AG176">
        <f t="shared" si="46"/>
        <v>0</v>
      </c>
      <c r="AH176">
        <f t="shared" si="47"/>
        <v>0</v>
      </c>
      <c r="AI176">
        <f t="shared" si="48"/>
        <v>0</v>
      </c>
      <c r="AJ176">
        <f t="shared" si="49"/>
        <v>0</v>
      </c>
      <c r="AK176">
        <f t="shared" si="50"/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</row>
    <row r="177" spans="1:53" x14ac:dyDescent="0.35">
      <c r="A177">
        <v>0.24303804868629444</v>
      </c>
      <c r="C177">
        <v>4.7616438356164386</v>
      </c>
      <c r="D177" s="137">
        <f t="shared" si="35"/>
        <v>0.67775690765617302</v>
      </c>
      <c r="E177">
        <v>2.5362300726332561</v>
      </c>
      <c r="F177">
        <v>0.69897000433601886</v>
      </c>
      <c r="G177" s="45">
        <v>2.3199999999999998</v>
      </c>
      <c r="H177" s="29">
        <f t="shared" si="36"/>
        <v>0.36548798489089962</v>
      </c>
      <c r="I177" s="9">
        <v>2.756001823801419</v>
      </c>
      <c r="J177" s="34">
        <v>0.24303804868629444</v>
      </c>
      <c r="K177">
        <v>33</v>
      </c>
      <c r="L177" s="137">
        <f t="shared" si="37"/>
        <v>1.5185139398778875</v>
      </c>
      <c r="M177">
        <f t="shared" si="34"/>
        <v>1</v>
      </c>
      <c r="N177">
        <v>85</v>
      </c>
      <c r="O177">
        <v>80</v>
      </c>
      <c r="P177">
        <v>86.3</v>
      </c>
      <c r="Q177" s="137">
        <f t="shared" si="38"/>
        <v>1.9360107957152095</v>
      </c>
      <c r="R177" s="34">
        <v>42.1</v>
      </c>
      <c r="S177" s="34">
        <f t="shared" si="39"/>
        <v>1.6242820958356683</v>
      </c>
      <c r="T177" s="42">
        <v>56.8818351627258</v>
      </c>
      <c r="U177" s="42">
        <f t="shared" si="40"/>
        <v>1.7549735994690439</v>
      </c>
      <c r="V177">
        <v>3.0962405795987471</v>
      </c>
      <c r="W177" s="14">
        <v>2</v>
      </c>
      <c r="X177">
        <v>3.4010931514437841</v>
      </c>
      <c r="Y177">
        <v>8.9030899869919438</v>
      </c>
      <c r="Z177" s="80">
        <v>0.18415288356452142</v>
      </c>
      <c r="AA177">
        <v>2</v>
      </c>
      <c r="AB177">
        <f t="shared" si="41"/>
        <v>0</v>
      </c>
      <c r="AC177">
        <f t="shared" si="42"/>
        <v>1</v>
      </c>
      <c r="AD177">
        <f t="shared" si="43"/>
        <v>0</v>
      </c>
      <c r="AE177">
        <f t="shared" si="44"/>
        <v>0</v>
      </c>
      <c r="AF177">
        <f t="shared" si="45"/>
        <v>0</v>
      </c>
      <c r="AG177">
        <f t="shared" si="46"/>
        <v>0</v>
      </c>
      <c r="AH177">
        <f t="shared" si="47"/>
        <v>0</v>
      </c>
      <c r="AI177">
        <f t="shared" si="48"/>
        <v>0</v>
      </c>
      <c r="AJ177">
        <f t="shared" si="49"/>
        <v>0</v>
      </c>
      <c r="AK177">
        <f t="shared" si="50"/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1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</row>
    <row r="178" spans="1:53" x14ac:dyDescent="0.35">
      <c r="A178">
        <v>-0.17270020850490278</v>
      </c>
      <c r="C178">
        <v>8.5863013698630137</v>
      </c>
      <c r="D178" s="137">
        <f t="shared" si="35"/>
        <v>0.93380612767609661</v>
      </c>
      <c r="E178">
        <v>2.5362300726332561</v>
      </c>
      <c r="F178">
        <v>1.8512583487190752</v>
      </c>
      <c r="G178" s="45">
        <v>2.3199999999999998</v>
      </c>
      <c r="H178" s="29">
        <f t="shared" si="36"/>
        <v>0.36548798489089962</v>
      </c>
      <c r="I178" s="9">
        <v>2.756001823801419</v>
      </c>
      <c r="J178" s="34">
        <v>0.1903316981702915</v>
      </c>
      <c r="K178">
        <v>28</v>
      </c>
      <c r="L178" s="137">
        <f t="shared" si="37"/>
        <v>1.4471580313422192</v>
      </c>
      <c r="M178">
        <f t="shared" si="34"/>
        <v>1</v>
      </c>
      <c r="N178">
        <v>85</v>
      </c>
      <c r="O178">
        <v>80</v>
      </c>
      <c r="P178">
        <v>70</v>
      </c>
      <c r="Q178" s="137">
        <f t="shared" si="38"/>
        <v>1.8450980400142569</v>
      </c>
      <c r="R178" s="34">
        <v>42.9</v>
      </c>
      <c r="S178" s="34">
        <f t="shared" si="39"/>
        <v>1.6324572921847242</v>
      </c>
      <c r="T178" s="42">
        <v>53.2941466273667</v>
      </c>
      <c r="U178" s="42">
        <f t="shared" si="40"/>
        <v>1.7266795124593939</v>
      </c>
      <c r="V178">
        <v>3.0962405795987471</v>
      </c>
      <c r="W178" s="14">
        <v>2</v>
      </c>
      <c r="X178">
        <v>3.4010931514437841</v>
      </c>
      <c r="Y178">
        <v>8.9508514588885468</v>
      </c>
      <c r="Z178" s="80">
        <v>0.26018779496723332</v>
      </c>
      <c r="AA178">
        <v>5</v>
      </c>
      <c r="AB178">
        <f t="shared" si="41"/>
        <v>0</v>
      </c>
      <c r="AC178">
        <f t="shared" si="42"/>
        <v>0</v>
      </c>
      <c r="AD178">
        <f t="shared" si="43"/>
        <v>0</v>
      </c>
      <c r="AE178">
        <f t="shared" si="44"/>
        <v>0</v>
      </c>
      <c r="AF178">
        <f t="shared" si="45"/>
        <v>1</v>
      </c>
      <c r="AG178">
        <f t="shared" si="46"/>
        <v>0</v>
      </c>
      <c r="AH178">
        <f t="shared" si="47"/>
        <v>0</v>
      </c>
      <c r="AI178">
        <f t="shared" si="48"/>
        <v>0</v>
      </c>
      <c r="AJ178">
        <f t="shared" si="49"/>
        <v>0</v>
      </c>
      <c r="AK178">
        <f t="shared" si="50"/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1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</row>
    <row r="179" spans="1:53" x14ac:dyDescent="0.35">
      <c r="A179">
        <v>3.7937368562579774E-2</v>
      </c>
      <c r="C179">
        <v>2.1397260273972605</v>
      </c>
      <c r="D179" s="137">
        <f t="shared" si="35"/>
        <v>0.33035816942082569</v>
      </c>
      <c r="E179">
        <v>2.5362300726332561</v>
      </c>
      <c r="F179">
        <v>1.4471580313422192</v>
      </c>
      <c r="G179" s="45">
        <v>2.3199999999999998</v>
      </c>
      <c r="H179" s="29">
        <f t="shared" si="36"/>
        <v>0.36548798489089962</v>
      </c>
      <c r="I179" s="9">
        <v>2.756001823801419</v>
      </c>
      <c r="J179" s="34">
        <v>7.9181246047624818E-2</v>
      </c>
      <c r="K179">
        <v>27</v>
      </c>
      <c r="L179" s="137">
        <f t="shared" si="37"/>
        <v>1.4313637641589874</v>
      </c>
      <c r="M179">
        <f t="shared" si="34"/>
        <v>1</v>
      </c>
      <c r="N179">
        <v>85</v>
      </c>
      <c r="O179">
        <v>80</v>
      </c>
      <c r="P179">
        <v>70</v>
      </c>
      <c r="Q179" s="137">
        <f t="shared" si="38"/>
        <v>1.8450980400142569</v>
      </c>
      <c r="R179" s="34">
        <v>42.4</v>
      </c>
      <c r="S179" s="34">
        <f t="shared" si="39"/>
        <v>1.6273658565927327</v>
      </c>
      <c r="T179" s="42">
        <v>52.984855215816303</v>
      </c>
      <c r="U179" s="42">
        <f t="shared" si="40"/>
        <v>1.7241517519382803</v>
      </c>
      <c r="V179">
        <v>3.0962405795987471</v>
      </c>
      <c r="W179" s="14">
        <v>2</v>
      </c>
      <c r="X179">
        <v>3.4010931514437841</v>
      </c>
      <c r="Y179">
        <v>8.5276299008713394</v>
      </c>
      <c r="Z179" s="80">
        <v>0.3574510096736192</v>
      </c>
      <c r="AA179">
        <v>4</v>
      </c>
      <c r="AB179">
        <f t="shared" si="41"/>
        <v>0</v>
      </c>
      <c r="AC179">
        <f t="shared" si="42"/>
        <v>0</v>
      </c>
      <c r="AD179">
        <f t="shared" si="43"/>
        <v>0</v>
      </c>
      <c r="AE179">
        <f t="shared" si="44"/>
        <v>1</v>
      </c>
      <c r="AF179">
        <f t="shared" si="45"/>
        <v>0</v>
      </c>
      <c r="AG179">
        <f t="shared" si="46"/>
        <v>0</v>
      </c>
      <c r="AH179">
        <f t="shared" si="47"/>
        <v>0</v>
      </c>
      <c r="AI179">
        <f t="shared" si="48"/>
        <v>0</v>
      </c>
      <c r="AJ179">
        <f t="shared" si="49"/>
        <v>0</v>
      </c>
      <c r="AK179">
        <f t="shared" si="50"/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</row>
    <row r="180" spans="1:53" x14ac:dyDescent="0.35">
      <c r="A180">
        <v>9.691001300805642E-2</v>
      </c>
      <c r="C180">
        <v>3.6630136986301371</v>
      </c>
      <c r="D180" s="137">
        <f t="shared" si="35"/>
        <v>0.56383854280550971</v>
      </c>
      <c r="E180">
        <v>2.5362300726332561</v>
      </c>
      <c r="F180">
        <v>1.8195439355418688</v>
      </c>
      <c r="G180" s="45">
        <v>2.3199999999999998</v>
      </c>
      <c r="H180" s="29">
        <f t="shared" si="36"/>
        <v>0.36548798489089962</v>
      </c>
      <c r="I180" s="9">
        <v>2.756001823801419</v>
      </c>
      <c r="J180" s="34">
        <v>-0.14874165128092473</v>
      </c>
      <c r="K180">
        <v>23</v>
      </c>
      <c r="L180" s="137">
        <f t="shared" si="37"/>
        <v>1.3617278360175928</v>
      </c>
      <c r="M180">
        <f t="shared" si="34"/>
        <v>1</v>
      </c>
      <c r="N180">
        <v>85</v>
      </c>
      <c r="O180">
        <v>80</v>
      </c>
      <c r="P180">
        <v>70</v>
      </c>
      <c r="Q180" s="137">
        <f t="shared" si="38"/>
        <v>1.8450980400142569</v>
      </c>
      <c r="R180" s="34">
        <v>43.4</v>
      </c>
      <c r="S180" s="34">
        <f t="shared" si="39"/>
        <v>1.6374897295125106</v>
      </c>
      <c r="T180" s="42">
        <v>51.652289181886701</v>
      </c>
      <c r="U180" s="42">
        <f t="shared" si="40"/>
        <v>1.7130895738136374</v>
      </c>
      <c r="V180">
        <v>3.0962405795987471</v>
      </c>
      <c r="W180" s="14">
        <v>2</v>
      </c>
      <c r="X180">
        <v>3.4010931514437841</v>
      </c>
      <c r="Y180">
        <v>8.6190933306267432</v>
      </c>
      <c r="Z180" s="80">
        <v>-0.32239396188737002</v>
      </c>
      <c r="AA180">
        <v>5</v>
      </c>
      <c r="AB180">
        <f t="shared" si="41"/>
        <v>0</v>
      </c>
      <c r="AC180">
        <f t="shared" si="42"/>
        <v>0</v>
      </c>
      <c r="AD180">
        <f t="shared" si="43"/>
        <v>0</v>
      </c>
      <c r="AE180">
        <f t="shared" si="44"/>
        <v>0</v>
      </c>
      <c r="AF180">
        <f t="shared" si="45"/>
        <v>1</v>
      </c>
      <c r="AG180">
        <f t="shared" si="46"/>
        <v>0</v>
      </c>
      <c r="AH180">
        <f t="shared" si="47"/>
        <v>0</v>
      </c>
      <c r="AI180">
        <f t="shared" si="48"/>
        <v>0</v>
      </c>
      <c r="AJ180">
        <f t="shared" si="49"/>
        <v>0</v>
      </c>
      <c r="AK180">
        <f t="shared" si="50"/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1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</row>
    <row r="181" spans="1:53" x14ac:dyDescent="0.35">
      <c r="A181">
        <v>-2</v>
      </c>
      <c r="C181">
        <v>5.9178082191780819</v>
      </c>
      <c r="D181" s="137">
        <f t="shared" si="35"/>
        <v>0.77216088669445615</v>
      </c>
      <c r="E181">
        <v>2.6903467274930635</v>
      </c>
      <c r="F181">
        <v>1.568201724066995</v>
      </c>
      <c r="G181" s="45">
        <v>2.59</v>
      </c>
      <c r="H181" s="29">
        <f t="shared" si="36"/>
        <v>0.4132997640812518</v>
      </c>
      <c r="I181" s="9">
        <v>2.7508939203821252</v>
      </c>
      <c r="J181" s="34">
        <v>0</v>
      </c>
      <c r="K181">
        <v>27</v>
      </c>
      <c r="L181" s="137">
        <f t="shared" si="37"/>
        <v>1.4313637641589874</v>
      </c>
      <c r="M181">
        <f t="shared" si="34"/>
        <v>1</v>
      </c>
      <c r="N181">
        <v>90</v>
      </c>
      <c r="O181">
        <v>70</v>
      </c>
      <c r="P181">
        <v>85</v>
      </c>
      <c r="Q181" s="137">
        <f t="shared" si="38"/>
        <v>1.9294189257142926</v>
      </c>
      <c r="R181" s="34">
        <v>36.5</v>
      </c>
      <c r="S181" s="34">
        <f t="shared" si="39"/>
        <v>1.5622928644564746</v>
      </c>
      <c r="T181" s="42">
        <v>43.824698342891402</v>
      </c>
      <c r="U181" s="42">
        <f t="shared" si="40"/>
        <v>1.641718935411159</v>
      </c>
      <c r="V181">
        <v>3.0962405795987471</v>
      </c>
      <c r="W181" s="14">
        <v>2</v>
      </c>
      <c r="X181">
        <v>3.4010931514437841</v>
      </c>
      <c r="Y181">
        <v>9.3170181010481112</v>
      </c>
      <c r="Z181" s="80">
        <v>0.24578509376609148</v>
      </c>
      <c r="AA181">
        <v>4</v>
      </c>
      <c r="AB181">
        <f t="shared" si="41"/>
        <v>0</v>
      </c>
      <c r="AC181">
        <f t="shared" si="42"/>
        <v>0</v>
      </c>
      <c r="AD181">
        <f t="shared" si="43"/>
        <v>0</v>
      </c>
      <c r="AE181">
        <f t="shared" si="44"/>
        <v>1</v>
      </c>
      <c r="AF181">
        <f t="shared" si="45"/>
        <v>0</v>
      </c>
      <c r="AG181">
        <f t="shared" si="46"/>
        <v>0</v>
      </c>
      <c r="AH181">
        <f t="shared" si="47"/>
        <v>0</v>
      </c>
      <c r="AI181">
        <f t="shared" si="48"/>
        <v>0</v>
      </c>
      <c r="AJ181">
        <f t="shared" si="49"/>
        <v>0</v>
      </c>
      <c r="AK181">
        <f t="shared" si="50"/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1</v>
      </c>
      <c r="AX181">
        <v>0</v>
      </c>
      <c r="AY181">
        <v>0</v>
      </c>
      <c r="AZ181">
        <v>0</v>
      </c>
      <c r="BA181">
        <v>0</v>
      </c>
    </row>
    <row r="182" spans="1:53" x14ac:dyDescent="0.35">
      <c r="A182">
        <v>0.13951136413231044</v>
      </c>
      <c r="C182">
        <v>4.3890410958904109</v>
      </c>
      <c r="D182" s="137">
        <f t="shared" si="35"/>
        <v>0.64236964729174417</v>
      </c>
      <c r="E182">
        <v>3.7707754512906644</v>
      </c>
      <c r="F182">
        <v>1.3617278360175928</v>
      </c>
      <c r="G182" s="45">
        <v>2.3199999999999998</v>
      </c>
      <c r="H182" s="29">
        <f t="shared" si="36"/>
        <v>0.36548798489089962</v>
      </c>
      <c r="I182" s="9">
        <v>2.1238516409670858</v>
      </c>
      <c r="J182" s="34">
        <v>0.18184358794477254</v>
      </c>
      <c r="K182">
        <v>37</v>
      </c>
      <c r="L182" s="137">
        <f t="shared" si="37"/>
        <v>1.568201724066995</v>
      </c>
      <c r="M182">
        <f t="shared" si="34"/>
        <v>1</v>
      </c>
      <c r="N182">
        <v>70</v>
      </c>
      <c r="O182">
        <v>70</v>
      </c>
      <c r="P182">
        <v>89.2</v>
      </c>
      <c r="Q182" s="137">
        <f t="shared" si="38"/>
        <v>1.9503648543761232</v>
      </c>
      <c r="R182" s="34">
        <v>26</v>
      </c>
      <c r="S182" s="34">
        <f t="shared" si="39"/>
        <v>1.414973347970818</v>
      </c>
      <c r="T182" s="42">
        <v>38.344872802923099</v>
      </c>
      <c r="U182" s="42">
        <f t="shared" si="40"/>
        <v>1.5837073014724459</v>
      </c>
      <c r="V182">
        <v>3.0962405795987471</v>
      </c>
      <c r="W182" s="14">
        <v>2</v>
      </c>
      <c r="X182">
        <v>3.4010931514437841</v>
      </c>
      <c r="Y182">
        <v>8.8226211051659256</v>
      </c>
      <c r="Z182" s="80">
        <v>0.15896179668405752</v>
      </c>
      <c r="AA182">
        <v>2</v>
      </c>
      <c r="AB182">
        <f t="shared" si="41"/>
        <v>0</v>
      </c>
      <c r="AC182">
        <f t="shared" si="42"/>
        <v>1</v>
      </c>
      <c r="AD182">
        <f t="shared" si="43"/>
        <v>0</v>
      </c>
      <c r="AE182">
        <f t="shared" si="44"/>
        <v>0</v>
      </c>
      <c r="AF182">
        <f t="shared" si="45"/>
        <v>0</v>
      </c>
      <c r="AG182">
        <f t="shared" si="46"/>
        <v>0</v>
      </c>
      <c r="AH182">
        <f t="shared" si="47"/>
        <v>0</v>
      </c>
      <c r="AI182">
        <f t="shared" si="48"/>
        <v>0</v>
      </c>
      <c r="AJ182">
        <f t="shared" si="49"/>
        <v>0</v>
      </c>
      <c r="AK182">
        <f t="shared" si="50"/>
        <v>0</v>
      </c>
      <c r="AL182">
        <v>1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</row>
    <row r="183" spans="1:53" x14ac:dyDescent="0.35">
      <c r="A183">
        <v>0.13382641228938827</v>
      </c>
      <c r="C183">
        <v>7.8547945205479452</v>
      </c>
      <c r="D183" s="137">
        <f t="shared" si="35"/>
        <v>0.8951348284900098</v>
      </c>
      <c r="E183">
        <v>3.7707754512906644</v>
      </c>
      <c r="F183">
        <v>1.8692317197309762</v>
      </c>
      <c r="G183" s="45">
        <v>2.3199999999999998</v>
      </c>
      <c r="H183" s="29">
        <f t="shared" si="36"/>
        <v>0.36548798489089962</v>
      </c>
      <c r="I183" s="9">
        <v>2.1238516409670858</v>
      </c>
      <c r="J183" s="34">
        <v>4.5322978786657475E-2</v>
      </c>
      <c r="K183">
        <v>22</v>
      </c>
      <c r="L183" s="137">
        <f t="shared" si="37"/>
        <v>1.3424226808222062</v>
      </c>
      <c r="M183">
        <f t="shared" si="34"/>
        <v>1</v>
      </c>
      <c r="N183">
        <v>70</v>
      </c>
      <c r="O183">
        <v>70</v>
      </c>
      <c r="P183">
        <v>85</v>
      </c>
      <c r="Q183" s="137">
        <f t="shared" si="38"/>
        <v>1.9294189257142926</v>
      </c>
      <c r="R183" s="34">
        <v>27.8</v>
      </c>
      <c r="S183" s="34">
        <f t="shared" si="39"/>
        <v>1.4440447959180762</v>
      </c>
      <c r="T183" s="42">
        <v>34.656907836978597</v>
      </c>
      <c r="U183" s="42">
        <f t="shared" si="40"/>
        <v>1.5397898114291337</v>
      </c>
      <c r="V183">
        <v>3.0962405795987471</v>
      </c>
      <c r="W183" s="14">
        <v>2</v>
      </c>
      <c r="X183">
        <v>3.4010931514437841</v>
      </c>
      <c r="Y183">
        <v>8.5078558716958312</v>
      </c>
      <c r="Z183" s="80">
        <v>0.10042141011058336</v>
      </c>
      <c r="AA183">
        <v>8</v>
      </c>
      <c r="AB183">
        <f t="shared" si="41"/>
        <v>0</v>
      </c>
      <c r="AC183">
        <f t="shared" si="42"/>
        <v>0</v>
      </c>
      <c r="AD183">
        <f t="shared" si="43"/>
        <v>0</v>
      </c>
      <c r="AE183">
        <f t="shared" si="44"/>
        <v>0</v>
      </c>
      <c r="AF183">
        <f t="shared" si="45"/>
        <v>0</v>
      </c>
      <c r="AG183">
        <f t="shared" si="46"/>
        <v>0</v>
      </c>
      <c r="AH183">
        <f t="shared" si="47"/>
        <v>0</v>
      </c>
      <c r="AI183">
        <f t="shared" si="48"/>
        <v>1</v>
      </c>
      <c r="AJ183">
        <f t="shared" si="49"/>
        <v>0</v>
      </c>
      <c r="AK183">
        <f t="shared" si="50"/>
        <v>0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</row>
    <row r="184" spans="1:53" x14ac:dyDescent="0.35">
      <c r="A184">
        <v>-0.13033376849500614</v>
      </c>
      <c r="C184">
        <v>1.8493150684931507</v>
      </c>
      <c r="D184" s="137">
        <f t="shared" si="35"/>
        <v>0.26701090837455022</v>
      </c>
      <c r="E184">
        <v>3.1016130541812235</v>
      </c>
      <c r="F184">
        <v>1</v>
      </c>
      <c r="G184" s="45">
        <v>2.4700000000000002</v>
      </c>
      <c r="H184" s="29">
        <f t="shared" si="36"/>
        <v>0.39269695325966575</v>
      </c>
      <c r="I184" s="9">
        <v>2.9811387826406603</v>
      </c>
      <c r="J184" s="34">
        <v>-0.23657200643706267</v>
      </c>
      <c r="K184">
        <v>30</v>
      </c>
      <c r="L184" s="137">
        <f t="shared" si="37"/>
        <v>1.4771212547196624</v>
      </c>
      <c r="M184">
        <f t="shared" si="34"/>
        <v>1</v>
      </c>
      <c r="N184">
        <v>70</v>
      </c>
      <c r="O184">
        <v>50</v>
      </c>
      <c r="P184">
        <v>78</v>
      </c>
      <c r="Q184" s="137">
        <f t="shared" si="38"/>
        <v>1.8920946026904804</v>
      </c>
      <c r="R184" s="34">
        <v>36.36</v>
      </c>
      <c r="S184" s="34">
        <f t="shared" si="39"/>
        <v>1.5606238745499299</v>
      </c>
      <c r="T184" s="42">
        <v>39.0275969715222</v>
      </c>
      <c r="U184" s="42">
        <f t="shared" si="40"/>
        <v>1.5913718114878503</v>
      </c>
      <c r="V184">
        <v>3.0962405795987471</v>
      </c>
      <c r="W184" s="14">
        <v>2</v>
      </c>
      <c r="X184">
        <v>3.4010931514437841</v>
      </c>
      <c r="Y184">
        <v>8.8293037728310253</v>
      </c>
      <c r="Z184" s="80">
        <v>-0.34837345468858183</v>
      </c>
      <c r="AA184">
        <v>2</v>
      </c>
      <c r="AB184">
        <f t="shared" si="41"/>
        <v>0</v>
      </c>
      <c r="AC184">
        <f t="shared" si="42"/>
        <v>1</v>
      </c>
      <c r="AD184">
        <f t="shared" si="43"/>
        <v>0</v>
      </c>
      <c r="AE184">
        <f t="shared" si="44"/>
        <v>0</v>
      </c>
      <c r="AF184">
        <f t="shared" si="45"/>
        <v>0</v>
      </c>
      <c r="AG184">
        <f t="shared" si="46"/>
        <v>0</v>
      </c>
      <c r="AH184">
        <f t="shared" si="47"/>
        <v>0</v>
      </c>
      <c r="AI184">
        <f t="shared" si="48"/>
        <v>0</v>
      </c>
      <c r="AJ184">
        <f t="shared" si="49"/>
        <v>0</v>
      </c>
      <c r="AK184">
        <f t="shared" si="50"/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1</v>
      </c>
      <c r="AW184">
        <v>0</v>
      </c>
      <c r="AX184">
        <v>0</v>
      </c>
      <c r="AY184">
        <v>0</v>
      </c>
      <c r="AZ184">
        <v>0</v>
      </c>
      <c r="BA184">
        <v>0</v>
      </c>
    </row>
    <row r="185" spans="1:53" x14ac:dyDescent="0.35">
      <c r="A185">
        <v>0.15295425796258474</v>
      </c>
      <c r="C185">
        <v>6.6356164383561644</v>
      </c>
      <c r="D185" s="137">
        <f t="shared" si="35"/>
        <v>0.82188127435055869</v>
      </c>
      <c r="E185">
        <v>3.1568882168601933</v>
      </c>
      <c r="F185">
        <v>1.9956351945975499</v>
      </c>
      <c r="G185" s="45">
        <v>2.5099999999999998</v>
      </c>
      <c r="H185" s="29">
        <f t="shared" si="36"/>
        <v>0.39967372148103808</v>
      </c>
      <c r="I185" s="9">
        <v>2.7825920506710684</v>
      </c>
      <c r="J185" s="34">
        <v>7.9181246047624818E-2</v>
      </c>
      <c r="K185">
        <v>29</v>
      </c>
      <c r="L185" s="137">
        <f t="shared" si="37"/>
        <v>1.4623979978989561</v>
      </c>
      <c r="M185">
        <f t="shared" si="34"/>
        <v>1</v>
      </c>
      <c r="N185">
        <v>90</v>
      </c>
      <c r="O185">
        <v>70</v>
      </c>
      <c r="P185">
        <v>78.400000000000006</v>
      </c>
      <c r="Q185" s="137">
        <f t="shared" si="38"/>
        <v>1.8943160626844384</v>
      </c>
      <c r="R185" s="34">
        <v>40.57</v>
      </c>
      <c r="S185" s="34">
        <f t="shared" si="39"/>
        <v>1.6082050077043262</v>
      </c>
      <c r="T185" s="42">
        <v>47.629620244041597</v>
      </c>
      <c r="U185" s="42">
        <f t="shared" si="40"/>
        <v>1.6778771188499342</v>
      </c>
      <c r="V185">
        <v>3.0962405795987471</v>
      </c>
      <c r="W185" s="14">
        <v>2</v>
      </c>
      <c r="X185">
        <v>3.4010931514437841</v>
      </c>
      <c r="Y185">
        <v>9.4099331233312942</v>
      </c>
      <c r="Z185" s="80">
        <v>0.10485330790848169</v>
      </c>
      <c r="AA185">
        <v>1</v>
      </c>
      <c r="AB185">
        <f t="shared" si="41"/>
        <v>1</v>
      </c>
      <c r="AC185">
        <f t="shared" si="42"/>
        <v>0</v>
      </c>
      <c r="AD185">
        <f t="shared" si="43"/>
        <v>0</v>
      </c>
      <c r="AE185">
        <f t="shared" si="44"/>
        <v>0</v>
      </c>
      <c r="AF185">
        <f t="shared" si="45"/>
        <v>0</v>
      </c>
      <c r="AG185">
        <f t="shared" si="46"/>
        <v>0</v>
      </c>
      <c r="AH185">
        <f t="shared" si="47"/>
        <v>0</v>
      </c>
      <c r="AI185">
        <f t="shared" si="48"/>
        <v>0</v>
      </c>
      <c r="AJ185">
        <f t="shared" si="49"/>
        <v>0</v>
      </c>
      <c r="AK185">
        <f t="shared" si="50"/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</row>
    <row r="186" spans="1:53" x14ac:dyDescent="0.35">
      <c r="A186">
        <v>0.30686665541695157</v>
      </c>
      <c r="C186">
        <v>4.602739726027397</v>
      </c>
      <c r="D186" s="137">
        <f t="shared" si="35"/>
        <v>0.66301641726938809</v>
      </c>
      <c r="E186">
        <v>3.7707754512906644</v>
      </c>
      <c r="F186">
        <v>1</v>
      </c>
      <c r="G186" s="45">
        <v>2.3199999999999998</v>
      </c>
      <c r="H186" s="29">
        <f t="shared" si="36"/>
        <v>0.36548798489089962</v>
      </c>
      <c r="I186" s="9">
        <v>2.1238516409670858</v>
      </c>
      <c r="J186" s="34">
        <v>-6.5501548756432285E-2</v>
      </c>
      <c r="K186">
        <v>27</v>
      </c>
      <c r="L186" s="137">
        <f t="shared" si="37"/>
        <v>1.4313637641589874</v>
      </c>
      <c r="M186">
        <f t="shared" si="34"/>
        <v>1</v>
      </c>
      <c r="N186">
        <v>70</v>
      </c>
      <c r="O186">
        <v>70</v>
      </c>
      <c r="P186">
        <v>91.4</v>
      </c>
      <c r="Q186" s="137">
        <f t="shared" si="38"/>
        <v>1.9609461957338314</v>
      </c>
      <c r="R186" s="34">
        <v>26.7</v>
      </c>
      <c r="S186" s="34">
        <f t="shared" si="39"/>
        <v>1.4265112613645752</v>
      </c>
      <c r="T186" s="42">
        <v>37.425715444240403</v>
      </c>
      <c r="U186" s="42">
        <f t="shared" si="40"/>
        <v>1.5731701112332821</v>
      </c>
      <c r="V186" s="40">
        <v>3.2327651641054547</v>
      </c>
      <c r="W186" s="14">
        <v>3</v>
      </c>
      <c r="X186">
        <v>3.9527244147731087</v>
      </c>
      <c r="Y186">
        <v>8.6180480967120925</v>
      </c>
      <c r="Z186" s="80">
        <v>-0.14525082817958779</v>
      </c>
      <c r="AA186">
        <v>9</v>
      </c>
      <c r="AB186">
        <f t="shared" si="41"/>
        <v>0</v>
      </c>
      <c r="AC186">
        <f t="shared" si="42"/>
        <v>0</v>
      </c>
      <c r="AD186">
        <f t="shared" si="43"/>
        <v>0</v>
      </c>
      <c r="AE186">
        <f t="shared" si="44"/>
        <v>0</v>
      </c>
      <c r="AF186">
        <f t="shared" si="45"/>
        <v>0</v>
      </c>
      <c r="AG186">
        <f t="shared" si="46"/>
        <v>0</v>
      </c>
      <c r="AH186">
        <f t="shared" si="47"/>
        <v>0</v>
      </c>
      <c r="AI186">
        <f t="shared" si="48"/>
        <v>0</v>
      </c>
      <c r="AJ186">
        <f t="shared" si="49"/>
        <v>1</v>
      </c>
      <c r="AK186">
        <f t="shared" si="50"/>
        <v>0</v>
      </c>
      <c r="AL186">
        <v>1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</row>
    <row r="187" spans="1:53" x14ac:dyDescent="0.35">
      <c r="A187">
        <v>0.20885920560465057</v>
      </c>
      <c r="C187">
        <v>1.821917808219178</v>
      </c>
      <c r="D187" s="137">
        <f t="shared" si="35"/>
        <v>0.26052878084662989</v>
      </c>
      <c r="E187">
        <v>3.0625406208792199</v>
      </c>
      <c r="F187">
        <v>1.5797835966168101</v>
      </c>
      <c r="G187" s="45">
        <v>3.06</v>
      </c>
      <c r="H187" s="29">
        <f t="shared" si="36"/>
        <v>0.48572142648158001</v>
      </c>
      <c r="I187" s="9">
        <v>2.8714756364568856</v>
      </c>
      <c r="J187" s="34">
        <v>5.6904851336472641E-2</v>
      </c>
      <c r="K187">
        <v>26</v>
      </c>
      <c r="L187" s="137">
        <f t="shared" si="37"/>
        <v>1.414973347970818</v>
      </c>
      <c r="M187">
        <f t="shared" si="34"/>
        <v>1</v>
      </c>
      <c r="N187">
        <v>70</v>
      </c>
      <c r="O187">
        <v>50</v>
      </c>
      <c r="P187">
        <v>91.4</v>
      </c>
      <c r="Q187" s="137">
        <f t="shared" si="38"/>
        <v>1.9609461957338314</v>
      </c>
      <c r="R187" s="34">
        <v>42.8</v>
      </c>
      <c r="S187" s="34">
        <f t="shared" si="39"/>
        <v>1.631443769013172</v>
      </c>
      <c r="T187" s="42">
        <v>40.8082924662531</v>
      </c>
      <c r="U187" s="42">
        <f t="shared" si="40"/>
        <v>1.6107484230506914</v>
      </c>
      <c r="V187" s="40">
        <v>3.2327651641054547</v>
      </c>
      <c r="W187" s="14">
        <v>3</v>
      </c>
      <c r="X187">
        <v>3.9527244147731087</v>
      </c>
      <c r="Y187">
        <v>8.653212513775344</v>
      </c>
      <c r="Z187" s="80">
        <v>0.11558051456183893</v>
      </c>
      <c r="AA187">
        <v>4</v>
      </c>
      <c r="AB187">
        <f t="shared" si="41"/>
        <v>0</v>
      </c>
      <c r="AC187">
        <f t="shared" si="42"/>
        <v>0</v>
      </c>
      <c r="AD187">
        <f t="shared" si="43"/>
        <v>0</v>
      </c>
      <c r="AE187">
        <f t="shared" si="44"/>
        <v>1</v>
      </c>
      <c r="AF187">
        <f t="shared" si="45"/>
        <v>0</v>
      </c>
      <c r="AG187">
        <f t="shared" si="46"/>
        <v>0</v>
      </c>
      <c r="AH187">
        <f t="shared" si="47"/>
        <v>0</v>
      </c>
      <c r="AI187">
        <f t="shared" si="48"/>
        <v>0</v>
      </c>
      <c r="AJ187">
        <f t="shared" si="49"/>
        <v>0</v>
      </c>
      <c r="AK187">
        <f t="shared" si="50"/>
        <v>0</v>
      </c>
      <c r="AL187">
        <v>0</v>
      </c>
      <c r="AM187">
        <v>0</v>
      </c>
      <c r="AN187">
        <v>1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</row>
    <row r="188" spans="1:53" x14ac:dyDescent="0.35">
      <c r="A188">
        <v>0.4117282931576709</v>
      </c>
      <c r="C188">
        <v>2.536986301369863</v>
      </c>
      <c r="D188" s="137">
        <f t="shared" si="35"/>
        <v>0.40431812222545965</v>
      </c>
      <c r="E188">
        <v>3.1566248585544785</v>
      </c>
      <c r="F188">
        <v>1.7993405494535817</v>
      </c>
      <c r="G188" s="45">
        <v>3.03</v>
      </c>
      <c r="H188" s="29">
        <f t="shared" si="36"/>
        <v>0.48144262850230496</v>
      </c>
      <c r="I188" s="9">
        <v>2.8438554226231609</v>
      </c>
      <c r="J188" s="34">
        <v>9.691001300805642E-2</v>
      </c>
      <c r="K188">
        <v>24</v>
      </c>
      <c r="L188" s="137">
        <f t="shared" si="37"/>
        <v>1.3802112417116059</v>
      </c>
      <c r="M188">
        <f t="shared" si="34"/>
        <v>1</v>
      </c>
      <c r="N188">
        <v>70</v>
      </c>
      <c r="O188">
        <v>70</v>
      </c>
      <c r="P188">
        <v>70</v>
      </c>
      <c r="Q188" s="137">
        <f t="shared" si="38"/>
        <v>1.8450980400142569</v>
      </c>
      <c r="R188" s="34">
        <v>45.7</v>
      </c>
      <c r="S188" s="34">
        <f t="shared" si="39"/>
        <v>1.6599162000698502</v>
      </c>
      <c r="T188" s="42">
        <v>52.379377176281302</v>
      </c>
      <c r="U188" s="42">
        <f t="shared" si="40"/>
        <v>1.7191603300855409</v>
      </c>
      <c r="V188" s="40">
        <v>3.2327651641054547</v>
      </c>
      <c r="W188" s="14">
        <v>3</v>
      </c>
      <c r="X188">
        <v>3.9527244147731087</v>
      </c>
      <c r="Y188">
        <v>8.6674529528899544</v>
      </c>
      <c r="Z188" s="80">
        <v>0.43501026055593561</v>
      </c>
      <c r="AA188">
        <v>5</v>
      </c>
      <c r="AB188">
        <f t="shared" si="41"/>
        <v>0</v>
      </c>
      <c r="AC188">
        <f t="shared" si="42"/>
        <v>0</v>
      </c>
      <c r="AD188">
        <f t="shared" si="43"/>
        <v>0</v>
      </c>
      <c r="AE188">
        <f t="shared" si="44"/>
        <v>0</v>
      </c>
      <c r="AF188">
        <f t="shared" si="45"/>
        <v>1</v>
      </c>
      <c r="AG188">
        <f t="shared" si="46"/>
        <v>0</v>
      </c>
      <c r="AH188">
        <f t="shared" si="47"/>
        <v>0</v>
      </c>
      <c r="AI188">
        <f t="shared" si="48"/>
        <v>0</v>
      </c>
      <c r="AJ188">
        <f t="shared" si="49"/>
        <v>0</v>
      </c>
      <c r="AK188">
        <f t="shared" si="50"/>
        <v>0</v>
      </c>
      <c r="AL188">
        <v>0</v>
      </c>
      <c r="AM188">
        <v>0</v>
      </c>
      <c r="AN188">
        <v>0</v>
      </c>
      <c r="AO188">
        <v>0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</row>
    <row r="189" spans="1:53" x14ac:dyDescent="0.35">
      <c r="A189">
        <v>0.36797678529459443</v>
      </c>
      <c r="C189">
        <v>3.0794520547945203</v>
      </c>
      <c r="D189" s="137">
        <f t="shared" si="35"/>
        <v>0.48847344677656757</v>
      </c>
      <c r="E189">
        <v>2.5542346870234227</v>
      </c>
      <c r="F189">
        <v>1.146128035678238</v>
      </c>
      <c r="G189" s="45">
        <v>3.16</v>
      </c>
      <c r="H189" s="29">
        <f t="shared" si="36"/>
        <v>0.49968708261840383</v>
      </c>
      <c r="I189" s="9">
        <v>2.9876662649262746</v>
      </c>
      <c r="J189" s="34">
        <v>0.12385164096708581</v>
      </c>
      <c r="K189">
        <v>24</v>
      </c>
      <c r="L189" s="137">
        <f t="shared" si="37"/>
        <v>1.3802112417116059</v>
      </c>
      <c r="M189">
        <f t="shared" si="34"/>
        <v>1</v>
      </c>
      <c r="N189">
        <v>95</v>
      </c>
      <c r="O189">
        <v>80</v>
      </c>
      <c r="P189">
        <v>70</v>
      </c>
      <c r="Q189" s="137">
        <f t="shared" si="38"/>
        <v>1.8450980400142569</v>
      </c>
      <c r="R189" s="34">
        <v>34.799999999999997</v>
      </c>
      <c r="S189" s="34">
        <f t="shared" si="39"/>
        <v>1.541579243946581</v>
      </c>
      <c r="T189" s="42">
        <v>43.471204603938098</v>
      </c>
      <c r="U189" s="42">
        <f t="shared" si="40"/>
        <v>1.6382016748260968</v>
      </c>
      <c r="V189" s="40">
        <v>3.2327651641054547</v>
      </c>
      <c r="W189" s="14">
        <v>3</v>
      </c>
      <c r="X189">
        <v>3.9527244147731087</v>
      </c>
      <c r="Y189">
        <v>8.4771212547196626</v>
      </c>
      <c r="Z189" s="80">
        <v>0.46565514400466856</v>
      </c>
      <c r="AA189">
        <v>9</v>
      </c>
      <c r="AB189">
        <f t="shared" si="41"/>
        <v>0</v>
      </c>
      <c r="AC189">
        <f t="shared" si="42"/>
        <v>0</v>
      </c>
      <c r="AD189">
        <f t="shared" si="43"/>
        <v>0</v>
      </c>
      <c r="AE189">
        <f t="shared" si="44"/>
        <v>0</v>
      </c>
      <c r="AF189">
        <f t="shared" si="45"/>
        <v>0</v>
      </c>
      <c r="AG189">
        <f t="shared" si="46"/>
        <v>0</v>
      </c>
      <c r="AH189">
        <f t="shared" si="47"/>
        <v>0</v>
      </c>
      <c r="AI189">
        <f t="shared" si="48"/>
        <v>0</v>
      </c>
      <c r="AJ189">
        <f t="shared" si="49"/>
        <v>1</v>
      </c>
      <c r="AK189">
        <f t="shared" si="50"/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</row>
    <row r="190" spans="1:53" x14ac:dyDescent="0.35">
      <c r="A190">
        <v>0.53289365565722702</v>
      </c>
      <c r="C190">
        <v>12.621917808219179</v>
      </c>
      <c r="D190" s="137">
        <f t="shared" si="35"/>
        <v>1.1011253477962051</v>
      </c>
      <c r="E190">
        <v>0</v>
      </c>
      <c r="F190">
        <v>1.8573324964312685</v>
      </c>
      <c r="G190" s="45">
        <v>3.29</v>
      </c>
      <c r="H190" s="29">
        <f t="shared" si="36"/>
        <v>0.51719589794997434</v>
      </c>
      <c r="I190" s="9">
        <v>0</v>
      </c>
      <c r="J190" s="34">
        <v>0.33243845991560533</v>
      </c>
      <c r="K190">
        <v>24</v>
      </c>
      <c r="L190" s="137">
        <f t="shared" si="37"/>
        <v>1.3802112417116059</v>
      </c>
      <c r="M190">
        <f t="shared" si="34"/>
        <v>0</v>
      </c>
      <c r="N190">
        <v>70</v>
      </c>
      <c r="O190">
        <v>70</v>
      </c>
      <c r="P190">
        <v>85</v>
      </c>
      <c r="Q190" s="137">
        <f t="shared" si="38"/>
        <v>1.9294189257142926</v>
      </c>
      <c r="R190" s="34">
        <v>32.299999999999997</v>
      </c>
      <c r="S190" s="34">
        <f t="shared" si="39"/>
        <v>1.5092025223311027</v>
      </c>
      <c r="T190" s="42">
        <v>40.040400531970803</v>
      </c>
      <c r="U190" s="42">
        <f t="shared" si="40"/>
        <v>1.6024984131617945</v>
      </c>
      <c r="V190" s="40">
        <v>3.2327651641054547</v>
      </c>
      <c r="W190" s="14">
        <v>3</v>
      </c>
      <c r="X190">
        <v>3.9527244147731087</v>
      </c>
      <c r="Y190">
        <v>8.5051499783199063</v>
      </c>
      <c r="Z190" s="80">
        <v>0.8284260636752252</v>
      </c>
      <c r="AA190">
        <v>8</v>
      </c>
      <c r="AB190">
        <f t="shared" si="41"/>
        <v>0</v>
      </c>
      <c r="AC190">
        <f t="shared" si="42"/>
        <v>0</v>
      </c>
      <c r="AD190">
        <f t="shared" si="43"/>
        <v>0</v>
      </c>
      <c r="AE190">
        <f t="shared" si="44"/>
        <v>0</v>
      </c>
      <c r="AF190">
        <f t="shared" si="45"/>
        <v>0</v>
      </c>
      <c r="AG190">
        <f t="shared" si="46"/>
        <v>0</v>
      </c>
      <c r="AH190">
        <f t="shared" si="47"/>
        <v>0</v>
      </c>
      <c r="AI190">
        <f t="shared" si="48"/>
        <v>1</v>
      </c>
      <c r="AJ190">
        <f t="shared" si="49"/>
        <v>0</v>
      </c>
      <c r="AK190">
        <f t="shared" si="50"/>
        <v>0</v>
      </c>
      <c r="AL190">
        <v>0</v>
      </c>
      <c r="AM190">
        <v>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</row>
    <row r="191" spans="1:53" x14ac:dyDescent="0.35">
      <c r="A191">
        <v>0.30526090847065979</v>
      </c>
      <c r="C191">
        <v>2.6191780821917807</v>
      </c>
      <c r="D191" s="137">
        <f t="shared" si="35"/>
        <v>0.41816502781962533</v>
      </c>
      <c r="E191">
        <v>3.7707754512906644</v>
      </c>
      <c r="F191">
        <v>1.2787536009528289</v>
      </c>
      <c r="G191" s="45">
        <v>2.3199999999999998</v>
      </c>
      <c r="H191" s="29">
        <f t="shared" si="36"/>
        <v>0.36548798489089962</v>
      </c>
      <c r="I191" s="9">
        <v>2.1238516409670858</v>
      </c>
      <c r="J191" s="34">
        <v>0.11394335230683679</v>
      </c>
      <c r="K191">
        <v>24</v>
      </c>
      <c r="L191" s="137">
        <f t="shared" si="37"/>
        <v>1.3802112417116059</v>
      </c>
      <c r="M191">
        <f t="shared" si="34"/>
        <v>1</v>
      </c>
      <c r="N191">
        <v>70</v>
      </c>
      <c r="O191">
        <v>70</v>
      </c>
      <c r="P191">
        <v>85</v>
      </c>
      <c r="Q191" s="137">
        <f t="shared" si="38"/>
        <v>1.9294189257142926</v>
      </c>
      <c r="R191" s="34">
        <v>24.6</v>
      </c>
      <c r="S191" s="34">
        <f t="shared" si="39"/>
        <v>1.3909351071033791</v>
      </c>
      <c r="T191" s="42">
        <v>36.876470987978301</v>
      </c>
      <c r="U191" s="42">
        <f t="shared" si="40"/>
        <v>1.5667493531684615</v>
      </c>
      <c r="V191" s="40">
        <v>3.2327651641054547</v>
      </c>
      <c r="W191" s="14">
        <v>3</v>
      </c>
      <c r="X191">
        <v>3.9527244147731087</v>
      </c>
      <c r="Y191">
        <v>8.9734926924821696</v>
      </c>
      <c r="Z191" s="80">
        <v>0.52414937084177038</v>
      </c>
      <c r="AA191">
        <v>3</v>
      </c>
      <c r="AB191">
        <f t="shared" si="41"/>
        <v>0</v>
      </c>
      <c r="AC191">
        <f t="shared" si="42"/>
        <v>0</v>
      </c>
      <c r="AD191">
        <f t="shared" si="43"/>
        <v>1</v>
      </c>
      <c r="AE191">
        <f t="shared" si="44"/>
        <v>0</v>
      </c>
      <c r="AF191">
        <f t="shared" si="45"/>
        <v>0</v>
      </c>
      <c r="AG191">
        <f t="shared" si="46"/>
        <v>0</v>
      </c>
      <c r="AH191">
        <f t="shared" si="47"/>
        <v>0</v>
      </c>
      <c r="AI191">
        <f t="shared" si="48"/>
        <v>0</v>
      </c>
      <c r="AJ191">
        <f t="shared" si="49"/>
        <v>0</v>
      </c>
      <c r="AK191">
        <f t="shared" si="50"/>
        <v>0</v>
      </c>
      <c r="AL191">
        <v>1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</row>
    <row r="192" spans="1:53" x14ac:dyDescent="0.35">
      <c r="A192">
        <v>0.28280517555778212</v>
      </c>
      <c r="C192">
        <v>7.6410958904109592</v>
      </c>
      <c r="D192" s="137">
        <f t="shared" si="35"/>
        <v>0.88315564980957517</v>
      </c>
      <c r="E192">
        <v>2.5542346870234227</v>
      </c>
      <c r="F192">
        <v>1.2041199826559248</v>
      </c>
      <c r="G192" s="45">
        <v>3.16</v>
      </c>
      <c r="H192" s="29">
        <f t="shared" si="36"/>
        <v>0.49968708261840383</v>
      </c>
      <c r="I192" s="9">
        <v>2.9876662649262746</v>
      </c>
      <c r="J192" s="34">
        <v>0.12710479836480765</v>
      </c>
      <c r="K192">
        <v>23</v>
      </c>
      <c r="L192" s="137">
        <f t="shared" si="37"/>
        <v>1.3617278360175928</v>
      </c>
      <c r="M192">
        <f t="shared" si="34"/>
        <v>1</v>
      </c>
      <c r="N192">
        <v>95</v>
      </c>
      <c r="O192">
        <v>80</v>
      </c>
      <c r="P192">
        <v>70</v>
      </c>
      <c r="Q192" s="137">
        <f t="shared" si="38"/>
        <v>1.8450980400142569</v>
      </c>
      <c r="R192" s="34">
        <v>34.799999999999997</v>
      </c>
      <c r="S192" s="34">
        <f t="shared" si="39"/>
        <v>1.541579243946581</v>
      </c>
      <c r="T192" s="42">
        <v>44.539498059710198</v>
      </c>
      <c r="U192" s="42">
        <f t="shared" si="40"/>
        <v>1.6487453184203718</v>
      </c>
      <c r="V192" s="40">
        <v>3.2327651641054547</v>
      </c>
      <c r="W192" s="14">
        <v>3</v>
      </c>
      <c r="X192">
        <v>3.9527244147731087</v>
      </c>
      <c r="Y192">
        <v>8.2612628687924943</v>
      </c>
      <c r="Z192" s="80">
        <v>0.57894710668178484</v>
      </c>
      <c r="AA192">
        <v>6</v>
      </c>
      <c r="AB192">
        <f t="shared" si="41"/>
        <v>0</v>
      </c>
      <c r="AC192">
        <f t="shared" si="42"/>
        <v>0</v>
      </c>
      <c r="AD192">
        <f t="shared" si="43"/>
        <v>0</v>
      </c>
      <c r="AE192">
        <f t="shared" si="44"/>
        <v>0</v>
      </c>
      <c r="AF192">
        <f t="shared" si="45"/>
        <v>0</v>
      </c>
      <c r="AG192">
        <f t="shared" si="46"/>
        <v>1</v>
      </c>
      <c r="AH192">
        <f t="shared" si="47"/>
        <v>0</v>
      </c>
      <c r="AI192">
        <f t="shared" si="48"/>
        <v>0</v>
      </c>
      <c r="AJ192">
        <f t="shared" si="49"/>
        <v>0</v>
      </c>
      <c r="AK192">
        <f t="shared" si="50"/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</row>
    <row r="193" spans="1:53" x14ac:dyDescent="0.35">
      <c r="A193">
        <v>0.25809188504009289</v>
      </c>
      <c r="C193">
        <v>4.1287671232876715</v>
      </c>
      <c r="D193" s="137">
        <f t="shared" si="35"/>
        <v>0.61582038785815718</v>
      </c>
      <c r="E193">
        <v>0</v>
      </c>
      <c r="F193">
        <v>0.3010299956639812</v>
      </c>
      <c r="G193" s="45">
        <v>3.29</v>
      </c>
      <c r="H193" s="29">
        <f t="shared" si="36"/>
        <v>0.51719589794997434</v>
      </c>
      <c r="I193" s="9">
        <v>0</v>
      </c>
      <c r="J193" s="34">
        <v>0.27184160653649897</v>
      </c>
      <c r="K193">
        <v>23</v>
      </c>
      <c r="L193" s="137">
        <f t="shared" si="37"/>
        <v>1.3617278360175928</v>
      </c>
      <c r="M193">
        <f t="shared" si="34"/>
        <v>0</v>
      </c>
      <c r="N193">
        <v>70</v>
      </c>
      <c r="O193">
        <v>70</v>
      </c>
      <c r="P193">
        <v>85</v>
      </c>
      <c r="Q193" s="137">
        <f t="shared" si="38"/>
        <v>1.9294189257142926</v>
      </c>
      <c r="R193" s="34">
        <v>31.3</v>
      </c>
      <c r="S193" s="34">
        <f t="shared" si="39"/>
        <v>1.4955443375464486</v>
      </c>
      <c r="T193" s="42">
        <v>38.7850112673514</v>
      </c>
      <c r="U193" s="42">
        <f t="shared" si="40"/>
        <v>1.5886639219461918</v>
      </c>
      <c r="V193" s="40">
        <v>3.2327651641054547</v>
      </c>
      <c r="W193" s="14">
        <v>3</v>
      </c>
      <c r="X193">
        <v>3.9527244147731087</v>
      </c>
      <c r="Y193">
        <v>7.9276782641379917</v>
      </c>
      <c r="Z193" s="80">
        <v>1.0085156148990939</v>
      </c>
      <c r="AA193">
        <v>1</v>
      </c>
      <c r="AB193">
        <f t="shared" si="41"/>
        <v>1</v>
      </c>
      <c r="AC193">
        <f t="shared" si="42"/>
        <v>0</v>
      </c>
      <c r="AD193">
        <f t="shared" si="43"/>
        <v>0</v>
      </c>
      <c r="AE193">
        <f t="shared" si="44"/>
        <v>0</v>
      </c>
      <c r="AF193">
        <f t="shared" si="45"/>
        <v>0</v>
      </c>
      <c r="AG193">
        <f t="shared" si="46"/>
        <v>0</v>
      </c>
      <c r="AH193">
        <f t="shared" si="47"/>
        <v>0</v>
      </c>
      <c r="AI193">
        <f t="shared" si="48"/>
        <v>0</v>
      </c>
      <c r="AJ193">
        <f t="shared" si="49"/>
        <v>0</v>
      </c>
      <c r="AK193">
        <f t="shared" si="50"/>
        <v>0</v>
      </c>
      <c r="AL193">
        <v>0</v>
      </c>
      <c r="AM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</row>
    <row r="194" spans="1:53" x14ac:dyDescent="0.35">
      <c r="A194">
        <v>6.3955656373769681E-2</v>
      </c>
      <c r="C194">
        <v>7.9397260273972599</v>
      </c>
      <c r="D194" s="137">
        <f t="shared" si="35"/>
        <v>0.89980551667868103</v>
      </c>
      <c r="E194">
        <v>2.5075455505094206</v>
      </c>
      <c r="F194">
        <v>0</v>
      </c>
      <c r="G194" s="45">
        <v>2.91</v>
      </c>
      <c r="H194" s="29">
        <f t="shared" si="36"/>
        <v>0.46389298898590731</v>
      </c>
      <c r="I194" s="9">
        <v>2.6517624473801109</v>
      </c>
      <c r="J194" s="34">
        <v>0.16435285578443709</v>
      </c>
      <c r="K194">
        <v>23</v>
      </c>
      <c r="L194" s="137">
        <f t="shared" si="37"/>
        <v>1.3617278360175928</v>
      </c>
      <c r="M194">
        <f t="shared" ref="M194:M257" si="51">IF(E194=0,0,1)</f>
        <v>1</v>
      </c>
      <c r="N194">
        <v>90</v>
      </c>
      <c r="O194">
        <v>70</v>
      </c>
      <c r="P194">
        <v>70</v>
      </c>
      <c r="Q194" s="137">
        <f t="shared" si="38"/>
        <v>1.8450980400142569</v>
      </c>
      <c r="R194" s="34">
        <v>43.1</v>
      </c>
      <c r="S194" s="34">
        <f t="shared" si="39"/>
        <v>1.6344772701607315</v>
      </c>
      <c r="T194" s="42">
        <v>50.714433556883101</v>
      </c>
      <c r="U194" s="42">
        <f t="shared" si="40"/>
        <v>1.7051315790969346</v>
      </c>
      <c r="V194" s="40">
        <v>3.2327651641054547</v>
      </c>
      <c r="W194" s="14">
        <v>3</v>
      </c>
      <c r="X194">
        <v>3.9527244147731087</v>
      </c>
      <c r="Y194">
        <v>9.0152255896738556</v>
      </c>
      <c r="Z194" s="80">
        <v>0.75106328207194517</v>
      </c>
      <c r="AA194">
        <v>7</v>
      </c>
      <c r="AB194">
        <f t="shared" si="41"/>
        <v>0</v>
      </c>
      <c r="AC194">
        <f t="shared" si="42"/>
        <v>0</v>
      </c>
      <c r="AD194">
        <f t="shared" si="43"/>
        <v>0</v>
      </c>
      <c r="AE194">
        <f t="shared" si="44"/>
        <v>0</v>
      </c>
      <c r="AF194">
        <f t="shared" si="45"/>
        <v>0</v>
      </c>
      <c r="AG194">
        <f t="shared" si="46"/>
        <v>0</v>
      </c>
      <c r="AH194">
        <f t="shared" si="47"/>
        <v>1</v>
      </c>
      <c r="AI194">
        <f t="shared" si="48"/>
        <v>0</v>
      </c>
      <c r="AJ194">
        <f t="shared" si="49"/>
        <v>0</v>
      </c>
      <c r="AK194">
        <f t="shared" si="50"/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1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</row>
    <row r="195" spans="1:53" x14ac:dyDescent="0.35">
      <c r="A195">
        <v>4.6804524432146763E-2</v>
      </c>
      <c r="C195">
        <v>3.6739726027397261</v>
      </c>
      <c r="D195" s="137">
        <f t="shared" ref="D195:D258" si="52">LOG(C195)</f>
        <v>0.56513591339512426</v>
      </c>
      <c r="E195">
        <v>2.8904489647796185</v>
      </c>
      <c r="F195">
        <v>0.84509804001425681</v>
      </c>
      <c r="G195" s="45">
        <v>3.18</v>
      </c>
      <c r="H195" s="29">
        <f t="shared" ref="H195:H258" si="53">LOG(G195)</f>
        <v>0.50242711998443268</v>
      </c>
      <c r="I195" s="9">
        <v>2.4068239403146179</v>
      </c>
      <c r="J195" s="34">
        <v>4.1392685158225077E-2</v>
      </c>
      <c r="K195">
        <v>22</v>
      </c>
      <c r="L195" s="137">
        <f t="shared" ref="L195:L258" si="54">IF(K195=0,0,LOG(K195))</f>
        <v>1.3424226808222062</v>
      </c>
      <c r="M195">
        <f t="shared" si="51"/>
        <v>1</v>
      </c>
      <c r="N195">
        <v>70</v>
      </c>
      <c r="O195">
        <v>70</v>
      </c>
      <c r="P195">
        <v>70</v>
      </c>
      <c r="Q195" s="137">
        <f t="shared" ref="Q195:Q258" si="55">LOG(P195)</f>
        <v>1.8450980400142569</v>
      </c>
      <c r="R195" s="34">
        <v>27.63</v>
      </c>
      <c r="S195" s="34">
        <f t="shared" ref="S195:S258" si="56">LOG(R195)</f>
        <v>1.4413808849165113</v>
      </c>
      <c r="T195" s="42">
        <v>49.329709120205997</v>
      </c>
      <c r="U195" s="42">
        <f t="shared" ref="U195:U258" si="57">LOG(T195)</f>
        <v>1.6931085545892062</v>
      </c>
      <c r="V195" s="40">
        <v>3.2327651641054547</v>
      </c>
      <c r="W195" s="14">
        <v>3</v>
      </c>
      <c r="X195">
        <v>3.9527244147731087</v>
      </c>
      <c r="Y195">
        <v>8.7634279935629369</v>
      </c>
      <c r="Z195" s="80">
        <v>8.3469734709207932E-2</v>
      </c>
      <c r="AA195">
        <v>1</v>
      </c>
      <c r="AB195">
        <f t="shared" ref="AB195:AB258" si="58">IF(AA195=1,1,0)</f>
        <v>1</v>
      </c>
      <c r="AC195">
        <f t="shared" ref="AC195:AC258" si="59">IF(AA195=2,1,0)</f>
        <v>0</v>
      </c>
      <c r="AD195">
        <f t="shared" ref="AD195:AD258" si="60">IF(AA195=3,1,0)</f>
        <v>0</v>
      </c>
      <c r="AE195">
        <f t="shared" ref="AE195:AE258" si="61">IF(AA195=4,1,0)</f>
        <v>0</v>
      </c>
      <c r="AF195">
        <f t="shared" ref="AF195:AF258" si="62">IF(AA195=5,1,0)</f>
        <v>0</v>
      </c>
      <c r="AG195">
        <f t="shared" ref="AG195:AG258" si="63">IF(AA195=6,1,0)</f>
        <v>0</v>
      </c>
      <c r="AH195">
        <f t="shared" ref="AH195:AH258" si="64">IF(AA195=7,1,0)</f>
        <v>0</v>
      </c>
      <c r="AI195">
        <f t="shared" ref="AI195:AI258" si="65">IF(AA195=8,1,0)</f>
        <v>0</v>
      </c>
      <c r="AJ195">
        <f t="shared" ref="AJ195:AJ258" si="66">IF(AA195=9,1,0)</f>
        <v>0</v>
      </c>
      <c r="AK195">
        <f t="shared" ref="AK195:AK258" si="67">IF(AA195=10,1,0)</f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1</v>
      </c>
      <c r="AZ195">
        <v>0</v>
      </c>
      <c r="BA195">
        <v>0</v>
      </c>
    </row>
    <row r="196" spans="1:53" x14ac:dyDescent="0.35">
      <c r="A196">
        <v>0.15348346831020904</v>
      </c>
      <c r="C196">
        <v>3.6958904109589041</v>
      </c>
      <c r="D196" s="137">
        <f t="shared" si="52"/>
        <v>0.56771908521542958</v>
      </c>
      <c r="E196">
        <v>2.5362300726332561</v>
      </c>
      <c r="F196">
        <v>1.9822712330395684</v>
      </c>
      <c r="G196" s="45">
        <v>2.3199999999999998</v>
      </c>
      <c r="H196" s="29">
        <f t="shared" si="53"/>
        <v>0.36548798489089962</v>
      </c>
      <c r="I196" s="9">
        <v>2.756001823801419</v>
      </c>
      <c r="J196" s="34">
        <v>2.1189299069938092E-2</v>
      </c>
      <c r="K196">
        <v>21</v>
      </c>
      <c r="L196" s="137">
        <f t="shared" si="54"/>
        <v>1.3222192947339193</v>
      </c>
      <c r="M196">
        <f t="shared" si="51"/>
        <v>1</v>
      </c>
      <c r="N196">
        <v>85</v>
      </c>
      <c r="O196">
        <v>80</v>
      </c>
      <c r="P196">
        <v>70</v>
      </c>
      <c r="Q196" s="137">
        <f t="shared" si="55"/>
        <v>1.8450980400142569</v>
      </c>
      <c r="R196" s="34">
        <v>43.1</v>
      </c>
      <c r="S196" s="34">
        <f t="shared" si="56"/>
        <v>1.6344772701607315</v>
      </c>
      <c r="T196" s="42">
        <v>51.718307112209096</v>
      </c>
      <c r="U196" s="42">
        <f t="shared" si="57"/>
        <v>1.7136443007431839</v>
      </c>
      <c r="V196" s="40">
        <v>3.2327651641054547</v>
      </c>
      <c r="W196" s="14">
        <v>3</v>
      </c>
      <c r="X196">
        <v>3.9527244147731087</v>
      </c>
      <c r="Y196">
        <v>8.9637878273455556</v>
      </c>
      <c r="Z196" s="80">
        <v>-0.11688902253874422</v>
      </c>
      <c r="AA196">
        <v>7</v>
      </c>
      <c r="AB196">
        <f t="shared" si="58"/>
        <v>0</v>
      </c>
      <c r="AC196">
        <f t="shared" si="59"/>
        <v>0</v>
      </c>
      <c r="AD196">
        <f t="shared" si="60"/>
        <v>0</v>
      </c>
      <c r="AE196">
        <f t="shared" si="61"/>
        <v>0</v>
      </c>
      <c r="AF196">
        <f t="shared" si="62"/>
        <v>0</v>
      </c>
      <c r="AG196">
        <f t="shared" si="63"/>
        <v>0</v>
      </c>
      <c r="AH196">
        <f t="shared" si="64"/>
        <v>1</v>
      </c>
      <c r="AI196">
        <f t="shared" si="65"/>
        <v>0</v>
      </c>
      <c r="AJ196">
        <f t="shared" si="66"/>
        <v>0</v>
      </c>
      <c r="AK196">
        <f t="shared" si="67"/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1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</row>
    <row r="197" spans="1:53" x14ac:dyDescent="0.35">
      <c r="A197">
        <v>-0.49717729747086076</v>
      </c>
      <c r="C197">
        <v>0.4</v>
      </c>
      <c r="D197" s="137">
        <f t="shared" si="52"/>
        <v>-0.3979400086720376</v>
      </c>
      <c r="E197">
        <v>0</v>
      </c>
      <c r="F197">
        <v>1.2787536009528289</v>
      </c>
      <c r="G197" s="45">
        <v>3.29</v>
      </c>
      <c r="H197" s="29">
        <f t="shared" si="53"/>
        <v>0.51719589794997434</v>
      </c>
      <c r="I197" s="9">
        <v>0</v>
      </c>
      <c r="J197" s="34">
        <v>1.2837224705172217E-2</v>
      </c>
      <c r="K197">
        <v>20</v>
      </c>
      <c r="L197" s="137">
        <f t="shared" si="54"/>
        <v>1.3010299956639813</v>
      </c>
      <c r="M197">
        <f t="shared" si="51"/>
        <v>0</v>
      </c>
      <c r="N197">
        <v>70</v>
      </c>
      <c r="O197">
        <v>70</v>
      </c>
      <c r="P197">
        <v>85</v>
      </c>
      <c r="Q197" s="137">
        <f t="shared" si="55"/>
        <v>1.9294189257142926</v>
      </c>
      <c r="R197" s="34">
        <v>32.9</v>
      </c>
      <c r="S197" s="34">
        <f t="shared" si="56"/>
        <v>1.5171958979499742</v>
      </c>
      <c r="T197" s="42">
        <v>35.433808146393098</v>
      </c>
      <c r="U197" s="42">
        <f t="shared" si="57"/>
        <v>1.5494178293890581</v>
      </c>
      <c r="V197" s="40">
        <v>3.2327651641054547</v>
      </c>
      <c r="W197" s="14">
        <v>3</v>
      </c>
      <c r="X197">
        <v>3.9527244147731087</v>
      </c>
      <c r="Y197">
        <v>8.3232521001716879</v>
      </c>
      <c r="Z197" s="80">
        <v>2.5227775843608136E-2</v>
      </c>
      <c r="AA197">
        <v>5</v>
      </c>
      <c r="AB197">
        <f t="shared" si="58"/>
        <v>0</v>
      </c>
      <c r="AC197">
        <f t="shared" si="59"/>
        <v>0</v>
      </c>
      <c r="AD197">
        <f t="shared" si="60"/>
        <v>0</v>
      </c>
      <c r="AE197">
        <f t="shared" si="61"/>
        <v>0</v>
      </c>
      <c r="AF197">
        <f t="shared" si="62"/>
        <v>1</v>
      </c>
      <c r="AG197">
        <f t="shared" si="63"/>
        <v>0</v>
      </c>
      <c r="AH197">
        <f t="shared" si="64"/>
        <v>0</v>
      </c>
      <c r="AI197">
        <f t="shared" si="65"/>
        <v>0</v>
      </c>
      <c r="AJ197">
        <f t="shared" si="66"/>
        <v>0</v>
      </c>
      <c r="AK197">
        <f t="shared" si="67"/>
        <v>0</v>
      </c>
      <c r="AL197">
        <v>0</v>
      </c>
      <c r="AM197">
        <v>1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</row>
    <row r="198" spans="1:53" x14ac:dyDescent="0.35">
      <c r="A198">
        <v>-7.0317785716319775E-2</v>
      </c>
      <c r="C198">
        <v>3.9150684931506849</v>
      </c>
      <c r="D198" s="137">
        <f t="shared" si="52"/>
        <v>0.59273936433449548</v>
      </c>
      <c r="E198">
        <v>0</v>
      </c>
      <c r="F198">
        <v>1.7993405494535817</v>
      </c>
      <c r="G198" s="45">
        <v>3.29</v>
      </c>
      <c r="H198" s="29">
        <f t="shared" si="53"/>
        <v>0.51719589794997434</v>
      </c>
      <c r="I198" s="9">
        <v>0</v>
      </c>
      <c r="J198" s="34">
        <v>-0.13076828026902382</v>
      </c>
      <c r="K198">
        <v>19</v>
      </c>
      <c r="L198" s="137">
        <f t="shared" si="54"/>
        <v>1.2787536009528289</v>
      </c>
      <c r="M198">
        <f t="shared" si="51"/>
        <v>0</v>
      </c>
      <c r="N198">
        <v>70</v>
      </c>
      <c r="O198">
        <v>70</v>
      </c>
      <c r="P198">
        <v>85</v>
      </c>
      <c r="Q198" s="137">
        <f t="shared" si="55"/>
        <v>1.9294189257142926</v>
      </c>
      <c r="R198" s="34">
        <v>32.200000000000003</v>
      </c>
      <c r="S198" s="34">
        <f t="shared" si="56"/>
        <v>1.507855871695831</v>
      </c>
      <c r="T198" s="42">
        <v>35.326012114535303</v>
      </c>
      <c r="U198" s="42">
        <f t="shared" si="57"/>
        <v>1.548094613534351</v>
      </c>
      <c r="V198" s="40">
        <v>3.2327651641054547</v>
      </c>
      <c r="W198" s="14">
        <v>3</v>
      </c>
      <c r="X198">
        <v>3.9527244147731087</v>
      </c>
      <c r="Y198">
        <v>8.2878017299302265</v>
      </c>
      <c r="Z198" s="80">
        <v>-0.32207926910691054</v>
      </c>
      <c r="AA198">
        <v>1</v>
      </c>
      <c r="AB198">
        <f t="shared" si="58"/>
        <v>1</v>
      </c>
      <c r="AC198">
        <f t="shared" si="59"/>
        <v>0</v>
      </c>
      <c r="AD198">
        <f t="shared" si="60"/>
        <v>0</v>
      </c>
      <c r="AE198">
        <f t="shared" si="61"/>
        <v>0</v>
      </c>
      <c r="AF198">
        <f t="shared" si="62"/>
        <v>0</v>
      </c>
      <c r="AG198">
        <f t="shared" si="63"/>
        <v>0</v>
      </c>
      <c r="AH198">
        <f t="shared" si="64"/>
        <v>0</v>
      </c>
      <c r="AI198">
        <f t="shared" si="65"/>
        <v>0</v>
      </c>
      <c r="AJ198">
        <f t="shared" si="66"/>
        <v>0</v>
      </c>
      <c r="AK198">
        <f t="shared" si="67"/>
        <v>0</v>
      </c>
      <c r="AL198">
        <v>0</v>
      </c>
      <c r="AM198">
        <v>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</row>
    <row r="199" spans="1:53" x14ac:dyDescent="0.35">
      <c r="A199">
        <v>-0.58883172559420727</v>
      </c>
      <c r="C199">
        <v>3.106849315068493</v>
      </c>
      <c r="D199" s="137">
        <f t="shared" si="52"/>
        <v>0.49232019010041306</v>
      </c>
      <c r="E199">
        <v>0</v>
      </c>
      <c r="F199">
        <v>0.90308998699194354</v>
      </c>
      <c r="G199" s="45">
        <v>3.29</v>
      </c>
      <c r="H199" s="29">
        <f t="shared" si="53"/>
        <v>0.51719589794997434</v>
      </c>
      <c r="I199" s="9">
        <v>0</v>
      </c>
      <c r="J199" s="34">
        <v>-0.18708664335714442</v>
      </c>
      <c r="K199">
        <v>19</v>
      </c>
      <c r="L199" s="137">
        <f t="shared" si="54"/>
        <v>1.2787536009528289</v>
      </c>
      <c r="M199">
        <f t="shared" si="51"/>
        <v>0</v>
      </c>
      <c r="N199">
        <v>70</v>
      </c>
      <c r="O199">
        <v>70</v>
      </c>
      <c r="P199">
        <v>85</v>
      </c>
      <c r="Q199" s="137">
        <f t="shared" si="55"/>
        <v>1.9294189257142926</v>
      </c>
      <c r="R199" s="34">
        <v>32.200000000000003</v>
      </c>
      <c r="S199" s="34">
        <f t="shared" si="56"/>
        <v>1.507855871695831</v>
      </c>
      <c r="T199" s="42">
        <v>35.326012114535303</v>
      </c>
      <c r="U199" s="42">
        <f t="shared" si="57"/>
        <v>1.548094613534351</v>
      </c>
      <c r="V199" s="40">
        <v>3.2327651641054547</v>
      </c>
      <c r="W199" s="14">
        <v>3</v>
      </c>
      <c r="X199">
        <v>3.9527244147731087</v>
      </c>
      <c r="Y199">
        <v>8.2878017299302265</v>
      </c>
      <c r="Z199" s="80">
        <v>-0.39599772682808676</v>
      </c>
      <c r="AA199">
        <v>1</v>
      </c>
      <c r="AB199">
        <f t="shared" si="58"/>
        <v>1</v>
      </c>
      <c r="AC199">
        <f t="shared" si="59"/>
        <v>0</v>
      </c>
      <c r="AD199">
        <f t="shared" si="60"/>
        <v>0</v>
      </c>
      <c r="AE199">
        <f t="shared" si="61"/>
        <v>0</v>
      </c>
      <c r="AF199">
        <f t="shared" si="62"/>
        <v>0</v>
      </c>
      <c r="AG199">
        <f t="shared" si="63"/>
        <v>0</v>
      </c>
      <c r="AH199">
        <f t="shared" si="64"/>
        <v>0</v>
      </c>
      <c r="AI199">
        <f t="shared" si="65"/>
        <v>0</v>
      </c>
      <c r="AJ199">
        <f t="shared" si="66"/>
        <v>0</v>
      </c>
      <c r="AK199">
        <f t="shared" si="67"/>
        <v>0</v>
      </c>
      <c r="AL199">
        <v>0</v>
      </c>
      <c r="AM199">
        <v>1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</row>
    <row r="200" spans="1:53" x14ac:dyDescent="0.35">
      <c r="A200">
        <v>0.21195514674005575</v>
      </c>
      <c r="C200">
        <v>4.2328767123287667</v>
      </c>
      <c r="D200" s="137">
        <f t="shared" si="52"/>
        <v>0.62663561930437872</v>
      </c>
      <c r="E200">
        <v>2.6674249329872439</v>
      </c>
      <c r="F200">
        <v>0</v>
      </c>
      <c r="G200" s="45">
        <v>2.61</v>
      </c>
      <c r="H200" s="29">
        <f t="shared" si="53"/>
        <v>0.41664050733828095</v>
      </c>
      <c r="I200" s="9">
        <v>2.2881746749783951</v>
      </c>
      <c r="J200" s="34">
        <v>-8.092190762392612E-2</v>
      </c>
      <c r="K200">
        <v>19</v>
      </c>
      <c r="L200" s="137">
        <f t="shared" si="54"/>
        <v>1.2787536009528289</v>
      </c>
      <c r="M200">
        <f t="shared" si="51"/>
        <v>1</v>
      </c>
      <c r="N200">
        <v>70</v>
      </c>
      <c r="O200">
        <v>70</v>
      </c>
      <c r="P200">
        <v>85</v>
      </c>
      <c r="Q200" s="137">
        <f t="shared" si="55"/>
        <v>1.9294189257142926</v>
      </c>
      <c r="R200" s="34">
        <v>30.9</v>
      </c>
      <c r="S200" s="34">
        <f t="shared" si="56"/>
        <v>1.4899584794248346</v>
      </c>
      <c r="T200" s="42">
        <v>33.950689057445601</v>
      </c>
      <c r="U200" s="42">
        <f t="shared" si="57"/>
        <v>1.5308485930733544</v>
      </c>
      <c r="V200" s="40">
        <v>3.2327651641054547</v>
      </c>
      <c r="W200" s="14">
        <v>3</v>
      </c>
      <c r="X200">
        <v>3.9527244147731087</v>
      </c>
      <c r="Y200">
        <v>8.5873854027135259</v>
      </c>
      <c r="Z200" s="80">
        <v>-0.27851955352645852</v>
      </c>
      <c r="AA200">
        <v>8</v>
      </c>
      <c r="AB200">
        <f t="shared" si="58"/>
        <v>0</v>
      </c>
      <c r="AC200">
        <f t="shared" si="59"/>
        <v>0</v>
      </c>
      <c r="AD200">
        <f t="shared" si="60"/>
        <v>0</v>
      </c>
      <c r="AE200">
        <f t="shared" si="61"/>
        <v>0</v>
      </c>
      <c r="AF200">
        <f t="shared" si="62"/>
        <v>0</v>
      </c>
      <c r="AG200">
        <f t="shared" si="63"/>
        <v>0</v>
      </c>
      <c r="AH200">
        <f t="shared" si="64"/>
        <v>0</v>
      </c>
      <c r="AI200">
        <f t="shared" si="65"/>
        <v>1</v>
      </c>
      <c r="AJ200">
        <f t="shared" si="66"/>
        <v>0</v>
      </c>
      <c r="AK200">
        <f t="shared" si="67"/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</v>
      </c>
      <c r="BA200">
        <v>0</v>
      </c>
    </row>
    <row r="201" spans="1:53" x14ac:dyDescent="0.35">
      <c r="A201">
        <v>0.12671499463410296</v>
      </c>
      <c r="C201">
        <v>4.602739726027397</v>
      </c>
      <c r="D201" s="137">
        <f t="shared" si="52"/>
        <v>0.66301641726938809</v>
      </c>
      <c r="E201">
        <v>0</v>
      </c>
      <c r="F201">
        <v>2.0569048513364727</v>
      </c>
      <c r="G201" s="45">
        <v>3.29</v>
      </c>
      <c r="H201" s="29">
        <f t="shared" si="53"/>
        <v>0.51719589794997434</v>
      </c>
      <c r="I201" s="9">
        <v>0</v>
      </c>
      <c r="J201" s="34">
        <v>-6.5501548756432285E-2</v>
      </c>
      <c r="K201">
        <v>19</v>
      </c>
      <c r="L201" s="137">
        <f t="shared" si="54"/>
        <v>1.2787536009528289</v>
      </c>
      <c r="M201">
        <f t="shared" si="51"/>
        <v>0</v>
      </c>
      <c r="N201">
        <v>70</v>
      </c>
      <c r="O201">
        <v>70</v>
      </c>
      <c r="P201">
        <v>85</v>
      </c>
      <c r="Q201" s="137">
        <f t="shared" si="55"/>
        <v>1.9294189257142926</v>
      </c>
      <c r="R201" s="34">
        <v>32.200000000000003</v>
      </c>
      <c r="S201" s="34">
        <f t="shared" si="56"/>
        <v>1.507855871695831</v>
      </c>
      <c r="T201" s="42">
        <v>35.326012114535303</v>
      </c>
      <c r="U201" s="42">
        <f t="shared" si="57"/>
        <v>1.548094613534351</v>
      </c>
      <c r="V201" s="40">
        <v>3.2327651641054547</v>
      </c>
      <c r="W201" s="14">
        <v>3</v>
      </c>
      <c r="X201">
        <v>3.9527244147731087</v>
      </c>
      <c r="Y201">
        <v>8.2624510897304297</v>
      </c>
      <c r="Z201" s="80">
        <v>-0.20914519006402121</v>
      </c>
      <c r="AA201">
        <v>5</v>
      </c>
      <c r="AB201">
        <f t="shared" si="58"/>
        <v>0</v>
      </c>
      <c r="AC201">
        <f t="shared" si="59"/>
        <v>0</v>
      </c>
      <c r="AD201">
        <f t="shared" si="60"/>
        <v>0</v>
      </c>
      <c r="AE201">
        <f t="shared" si="61"/>
        <v>0</v>
      </c>
      <c r="AF201">
        <f t="shared" si="62"/>
        <v>1</v>
      </c>
      <c r="AG201">
        <f t="shared" si="63"/>
        <v>0</v>
      </c>
      <c r="AH201">
        <f t="shared" si="64"/>
        <v>0</v>
      </c>
      <c r="AI201">
        <f t="shared" si="65"/>
        <v>0</v>
      </c>
      <c r="AJ201">
        <f t="shared" si="66"/>
        <v>0</v>
      </c>
      <c r="AK201">
        <f t="shared" si="67"/>
        <v>0</v>
      </c>
      <c r="AL201">
        <v>0</v>
      </c>
      <c r="AM201">
        <v>1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</row>
    <row r="202" spans="1:53" x14ac:dyDescent="0.35">
      <c r="A202">
        <v>0.1337635315040327</v>
      </c>
      <c r="C202">
        <v>3.0301369863013701</v>
      </c>
      <c r="D202" s="137">
        <f t="shared" si="52"/>
        <v>0.48146226251220475</v>
      </c>
      <c r="E202">
        <v>2.5075455505094206</v>
      </c>
      <c r="F202">
        <v>1.7993405494535817</v>
      </c>
      <c r="G202" s="45">
        <v>2.91</v>
      </c>
      <c r="H202" s="29">
        <f t="shared" si="53"/>
        <v>0.46389298898590731</v>
      </c>
      <c r="I202" s="9">
        <v>2.6517624473801109</v>
      </c>
      <c r="J202" s="34">
        <v>-0.13667713987954411</v>
      </c>
      <c r="K202">
        <v>19</v>
      </c>
      <c r="L202" s="137">
        <f t="shared" si="54"/>
        <v>1.2787536009528289</v>
      </c>
      <c r="M202">
        <f t="shared" si="51"/>
        <v>1</v>
      </c>
      <c r="N202">
        <v>70</v>
      </c>
      <c r="O202">
        <v>70</v>
      </c>
      <c r="P202">
        <v>70</v>
      </c>
      <c r="Q202" s="137">
        <f t="shared" si="55"/>
        <v>1.8450980400142569</v>
      </c>
      <c r="R202" s="34">
        <v>43.9</v>
      </c>
      <c r="S202" s="34">
        <f t="shared" si="56"/>
        <v>1.6424645202421213</v>
      </c>
      <c r="T202" s="42">
        <v>50.068420233717902</v>
      </c>
      <c r="U202" s="42">
        <f t="shared" si="57"/>
        <v>1.6995638886906486</v>
      </c>
      <c r="V202" s="40">
        <v>3.2327651641054547</v>
      </c>
      <c r="W202" s="14">
        <v>3</v>
      </c>
      <c r="X202">
        <v>3.9527244147731087</v>
      </c>
      <c r="Y202">
        <v>7.4268364538035083</v>
      </c>
      <c r="Z202" s="80">
        <v>-0.25617300045629354</v>
      </c>
      <c r="AA202">
        <v>1</v>
      </c>
      <c r="AB202">
        <f t="shared" si="58"/>
        <v>1</v>
      </c>
      <c r="AC202">
        <f t="shared" si="59"/>
        <v>0</v>
      </c>
      <c r="AD202">
        <f t="shared" si="60"/>
        <v>0</v>
      </c>
      <c r="AE202">
        <f t="shared" si="61"/>
        <v>0</v>
      </c>
      <c r="AF202">
        <f t="shared" si="62"/>
        <v>0</v>
      </c>
      <c r="AG202">
        <f t="shared" si="63"/>
        <v>0</v>
      </c>
      <c r="AH202">
        <f t="shared" si="64"/>
        <v>0</v>
      </c>
      <c r="AI202">
        <f t="shared" si="65"/>
        <v>0</v>
      </c>
      <c r="AJ202">
        <f t="shared" si="66"/>
        <v>0</v>
      </c>
      <c r="AK202">
        <f t="shared" si="67"/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</row>
    <row r="203" spans="1:53" x14ac:dyDescent="0.35">
      <c r="A203">
        <v>0.19188552623891317</v>
      </c>
      <c r="C203">
        <v>4.1232876712328768</v>
      </c>
      <c r="D203" s="137">
        <f t="shared" si="52"/>
        <v>0.61524363547338745</v>
      </c>
      <c r="E203">
        <v>0</v>
      </c>
      <c r="F203">
        <v>0</v>
      </c>
      <c r="G203" s="45">
        <v>3.29</v>
      </c>
      <c r="H203" s="29">
        <f t="shared" si="53"/>
        <v>0.51719589794997434</v>
      </c>
      <c r="I203" s="9">
        <v>0</v>
      </c>
      <c r="J203" s="34">
        <v>2.5305865264770262E-2</v>
      </c>
      <c r="K203">
        <v>18</v>
      </c>
      <c r="L203" s="137">
        <f t="shared" si="54"/>
        <v>1.255272505103306</v>
      </c>
      <c r="M203">
        <f t="shared" si="51"/>
        <v>0</v>
      </c>
      <c r="N203">
        <v>70</v>
      </c>
      <c r="O203">
        <v>70</v>
      </c>
      <c r="P203">
        <v>85</v>
      </c>
      <c r="Q203" s="137">
        <f t="shared" si="55"/>
        <v>1.9294189257142926</v>
      </c>
      <c r="R203" s="34">
        <v>31.5</v>
      </c>
      <c r="S203" s="34">
        <f t="shared" si="56"/>
        <v>1.4983105537896004</v>
      </c>
      <c r="T203" s="42">
        <v>35.516899069648296</v>
      </c>
      <c r="U203" s="42">
        <f t="shared" si="57"/>
        <v>1.5504350411232082</v>
      </c>
      <c r="V203" s="40">
        <v>3.2327651641054547</v>
      </c>
      <c r="W203" s="14">
        <v>3</v>
      </c>
      <c r="X203">
        <v>3.9527244147731087</v>
      </c>
      <c r="Y203">
        <v>8.5563025007672877</v>
      </c>
      <c r="Z203" s="80">
        <v>-6.9462785331804833E-2</v>
      </c>
      <c r="AA203">
        <v>4</v>
      </c>
      <c r="AB203">
        <f t="shared" si="58"/>
        <v>0</v>
      </c>
      <c r="AC203">
        <f t="shared" si="59"/>
        <v>0</v>
      </c>
      <c r="AD203">
        <f t="shared" si="60"/>
        <v>0</v>
      </c>
      <c r="AE203">
        <f t="shared" si="61"/>
        <v>1</v>
      </c>
      <c r="AF203">
        <f t="shared" si="62"/>
        <v>0</v>
      </c>
      <c r="AG203">
        <f t="shared" si="63"/>
        <v>0</v>
      </c>
      <c r="AH203">
        <f t="shared" si="64"/>
        <v>0</v>
      </c>
      <c r="AI203">
        <f t="shared" si="65"/>
        <v>0</v>
      </c>
      <c r="AJ203">
        <f t="shared" si="66"/>
        <v>0</v>
      </c>
      <c r="AK203">
        <f t="shared" si="67"/>
        <v>0</v>
      </c>
      <c r="AL203">
        <v>0</v>
      </c>
      <c r="AM203">
        <v>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</row>
    <row r="204" spans="1:53" x14ac:dyDescent="0.35">
      <c r="A204">
        <v>-7.3010391223115631E-2</v>
      </c>
      <c r="C204">
        <v>1.2821917808219179</v>
      </c>
      <c r="D204" s="137">
        <f t="shared" si="52"/>
        <v>0.10795298861764935</v>
      </c>
      <c r="E204">
        <v>0</v>
      </c>
      <c r="F204">
        <v>0.3010299956639812</v>
      </c>
      <c r="G204" s="45">
        <v>3.29</v>
      </c>
      <c r="H204" s="29">
        <f t="shared" si="53"/>
        <v>0.51719589794997434</v>
      </c>
      <c r="I204" s="9">
        <v>0</v>
      </c>
      <c r="J204" s="34">
        <v>0.13672056715640679</v>
      </c>
      <c r="K204">
        <v>15</v>
      </c>
      <c r="L204" s="137">
        <f t="shared" si="54"/>
        <v>1.1760912590556813</v>
      </c>
      <c r="M204">
        <f t="shared" si="51"/>
        <v>0</v>
      </c>
      <c r="N204">
        <v>70</v>
      </c>
      <c r="O204">
        <v>70</v>
      </c>
      <c r="P204">
        <v>100</v>
      </c>
      <c r="Q204" s="137">
        <f t="shared" si="55"/>
        <v>2</v>
      </c>
      <c r="R204" s="34">
        <v>29.5</v>
      </c>
      <c r="S204" s="34">
        <f t="shared" si="56"/>
        <v>1.469822015978163</v>
      </c>
      <c r="T204" s="42">
        <v>38.538703610951003</v>
      </c>
      <c r="U204" s="42">
        <f t="shared" si="57"/>
        <v>1.5858971014953607</v>
      </c>
      <c r="V204" s="40">
        <v>3.2327651641054547</v>
      </c>
      <c r="W204" s="14">
        <v>3</v>
      </c>
      <c r="X204">
        <v>3.9527244147731087</v>
      </c>
      <c r="Y204">
        <v>8.7634279935629369</v>
      </c>
      <c r="Z204" s="80" t="e">
        <v>#N/A</v>
      </c>
      <c r="AA204">
        <v>6</v>
      </c>
      <c r="AB204">
        <f t="shared" si="58"/>
        <v>0</v>
      </c>
      <c r="AC204">
        <f t="shared" si="59"/>
        <v>0</v>
      </c>
      <c r="AD204">
        <f t="shared" si="60"/>
        <v>0</v>
      </c>
      <c r="AE204">
        <f t="shared" si="61"/>
        <v>0</v>
      </c>
      <c r="AF204">
        <f t="shared" si="62"/>
        <v>0</v>
      </c>
      <c r="AG204">
        <f t="shared" si="63"/>
        <v>1</v>
      </c>
      <c r="AH204">
        <f t="shared" si="64"/>
        <v>0</v>
      </c>
      <c r="AI204">
        <f t="shared" si="65"/>
        <v>0</v>
      </c>
      <c r="AJ204">
        <f t="shared" si="66"/>
        <v>0</v>
      </c>
      <c r="AK204">
        <f t="shared" si="67"/>
        <v>0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</row>
    <row r="205" spans="1:53" x14ac:dyDescent="0.35">
      <c r="A205">
        <v>0.24358103609649076</v>
      </c>
      <c r="C205">
        <v>10.441095890410958</v>
      </c>
      <c r="D205" s="137">
        <f t="shared" si="52"/>
        <v>1.0187460843156924</v>
      </c>
      <c r="E205">
        <v>0</v>
      </c>
      <c r="F205">
        <v>1.3979400086720377</v>
      </c>
      <c r="G205" s="45">
        <v>3.29</v>
      </c>
      <c r="H205" s="29">
        <f t="shared" si="53"/>
        <v>0.51719589794997434</v>
      </c>
      <c r="I205" s="9">
        <v>0</v>
      </c>
      <c r="J205" s="34">
        <v>0.5877109650189114</v>
      </c>
      <c r="K205">
        <v>10</v>
      </c>
      <c r="L205" s="137">
        <f t="shared" si="54"/>
        <v>1</v>
      </c>
      <c r="M205">
        <f t="shared" si="51"/>
        <v>0</v>
      </c>
      <c r="N205">
        <v>70</v>
      </c>
      <c r="O205">
        <v>70</v>
      </c>
      <c r="P205">
        <v>100</v>
      </c>
      <c r="Q205" s="137">
        <f t="shared" si="55"/>
        <v>2</v>
      </c>
      <c r="R205" s="34">
        <v>32.9</v>
      </c>
      <c r="S205" s="34">
        <f t="shared" si="56"/>
        <v>1.5171958979499742</v>
      </c>
      <c r="T205" s="42">
        <v>49.329709120205997</v>
      </c>
      <c r="U205" s="42">
        <f t="shared" si="57"/>
        <v>1.6931085545892062</v>
      </c>
      <c r="V205" s="40">
        <v>3.2327651641054547</v>
      </c>
      <c r="W205" s="14">
        <v>3</v>
      </c>
      <c r="X205">
        <v>3.9527244147731087</v>
      </c>
      <c r="Y205">
        <v>7.9268567089496926</v>
      </c>
      <c r="Z205" s="80" t="e">
        <v>#N/A</v>
      </c>
      <c r="AA205">
        <v>8</v>
      </c>
      <c r="AB205">
        <f t="shared" si="58"/>
        <v>0</v>
      </c>
      <c r="AC205">
        <f t="shared" si="59"/>
        <v>0</v>
      </c>
      <c r="AD205">
        <f t="shared" si="60"/>
        <v>0</v>
      </c>
      <c r="AE205">
        <f t="shared" si="61"/>
        <v>0</v>
      </c>
      <c r="AF205">
        <f t="shared" si="62"/>
        <v>0</v>
      </c>
      <c r="AG205">
        <f t="shared" si="63"/>
        <v>0</v>
      </c>
      <c r="AH205">
        <f t="shared" si="64"/>
        <v>0</v>
      </c>
      <c r="AI205">
        <f t="shared" si="65"/>
        <v>1</v>
      </c>
      <c r="AJ205">
        <f t="shared" si="66"/>
        <v>0</v>
      </c>
      <c r="AK205">
        <f t="shared" si="67"/>
        <v>0</v>
      </c>
      <c r="AL205">
        <v>0</v>
      </c>
      <c r="AM205">
        <v>1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</row>
    <row r="206" spans="1:53" x14ac:dyDescent="0.35">
      <c r="A206">
        <v>0.45222844311731442</v>
      </c>
      <c r="C206">
        <v>0.88767123287671235</v>
      </c>
      <c r="D206" s="137">
        <f t="shared" si="52"/>
        <v>-5.1747854249862557E-2</v>
      </c>
      <c r="E206">
        <v>3.7916829312790057</v>
      </c>
      <c r="F206">
        <v>1</v>
      </c>
      <c r="G206" s="45">
        <v>2.72</v>
      </c>
      <c r="H206" s="29">
        <f t="shared" si="53"/>
        <v>0.43456890403419873</v>
      </c>
      <c r="I206" s="9">
        <v>3.0355631414974997</v>
      </c>
      <c r="J206" s="34">
        <v>2.1189299069938092E-2</v>
      </c>
      <c r="K206">
        <v>22</v>
      </c>
      <c r="L206" s="137">
        <f t="shared" si="54"/>
        <v>1.3424226808222062</v>
      </c>
      <c r="M206">
        <f t="shared" si="51"/>
        <v>1</v>
      </c>
      <c r="N206">
        <v>95</v>
      </c>
      <c r="O206">
        <v>80</v>
      </c>
      <c r="P206">
        <v>70</v>
      </c>
      <c r="Q206" s="137">
        <f t="shared" si="55"/>
        <v>1.8450980400142569</v>
      </c>
      <c r="R206" s="34">
        <v>34.799999999999997</v>
      </c>
      <c r="S206" s="34">
        <f t="shared" si="56"/>
        <v>1.541579243946581</v>
      </c>
      <c r="T206" s="42">
        <v>43.471204603938098</v>
      </c>
      <c r="U206" s="42">
        <f t="shared" si="57"/>
        <v>1.6382016748260968</v>
      </c>
      <c r="V206">
        <v>3.3787349600790799</v>
      </c>
      <c r="W206" s="14">
        <v>5</v>
      </c>
      <c r="X206">
        <v>3.7392221923384441</v>
      </c>
      <c r="Y206">
        <v>7.3424226808222066</v>
      </c>
      <c r="Z206" s="80">
        <v>0.16978840830956954</v>
      </c>
      <c r="AA206">
        <v>5</v>
      </c>
      <c r="AB206">
        <f t="shared" si="58"/>
        <v>0</v>
      </c>
      <c r="AC206">
        <f t="shared" si="59"/>
        <v>0</v>
      </c>
      <c r="AD206">
        <f t="shared" si="60"/>
        <v>0</v>
      </c>
      <c r="AE206">
        <f t="shared" si="61"/>
        <v>0</v>
      </c>
      <c r="AF206">
        <f t="shared" si="62"/>
        <v>1</v>
      </c>
      <c r="AG206">
        <f t="shared" si="63"/>
        <v>0</v>
      </c>
      <c r="AH206">
        <f t="shared" si="64"/>
        <v>0</v>
      </c>
      <c r="AI206">
        <f t="shared" si="65"/>
        <v>0</v>
      </c>
      <c r="AJ206">
        <f t="shared" si="66"/>
        <v>0</v>
      </c>
      <c r="AK206">
        <f t="shared" si="67"/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</row>
    <row r="207" spans="1:53" x14ac:dyDescent="0.35">
      <c r="A207">
        <v>0.27470105694163205</v>
      </c>
      <c r="C207">
        <v>2.1945205479452055</v>
      </c>
      <c r="D207" s="137">
        <f t="shared" si="52"/>
        <v>0.34133965162776297</v>
      </c>
      <c r="E207">
        <v>3.1568882168601933</v>
      </c>
      <c r="F207">
        <v>1.255272505103306</v>
      </c>
      <c r="G207" s="45">
        <v>2.5099999999999998</v>
      </c>
      <c r="H207" s="29">
        <f t="shared" si="53"/>
        <v>0.39967372148103808</v>
      </c>
      <c r="I207" s="9">
        <v>2.7825920506710684</v>
      </c>
      <c r="J207" s="34">
        <v>3.7426497940623665E-2</v>
      </c>
      <c r="K207">
        <v>79</v>
      </c>
      <c r="L207" s="137">
        <f t="shared" si="54"/>
        <v>1.8976270912904414</v>
      </c>
      <c r="M207">
        <f t="shared" si="51"/>
        <v>1</v>
      </c>
      <c r="N207">
        <v>90</v>
      </c>
      <c r="O207">
        <v>70</v>
      </c>
      <c r="P207">
        <v>76.900000000000006</v>
      </c>
      <c r="Q207" s="137">
        <f t="shared" si="55"/>
        <v>1.885926339801431</v>
      </c>
      <c r="R207" s="34">
        <v>44.05</v>
      </c>
      <c r="S207" s="34">
        <f t="shared" si="56"/>
        <v>1.6439459127480667</v>
      </c>
      <c r="T207" s="42">
        <v>51.064530698041601</v>
      </c>
      <c r="U207" s="42">
        <f t="shared" si="57"/>
        <v>1.7081193449348573</v>
      </c>
      <c r="V207">
        <v>3.3314213062933389</v>
      </c>
      <c r="W207" s="14">
        <v>3</v>
      </c>
      <c r="X207">
        <v>3.884802064783424</v>
      </c>
      <c r="Y207">
        <v>8.5314789170422554</v>
      </c>
      <c r="Z207" s="80">
        <v>-6.9887646135642689E-2</v>
      </c>
      <c r="AA207">
        <v>2</v>
      </c>
      <c r="AB207">
        <f t="shared" si="58"/>
        <v>0</v>
      </c>
      <c r="AC207">
        <f t="shared" si="59"/>
        <v>1</v>
      </c>
      <c r="AD207">
        <f t="shared" si="60"/>
        <v>0</v>
      </c>
      <c r="AE207">
        <f t="shared" si="61"/>
        <v>0</v>
      </c>
      <c r="AF207">
        <f t="shared" si="62"/>
        <v>0</v>
      </c>
      <c r="AG207">
        <f t="shared" si="63"/>
        <v>0</v>
      </c>
      <c r="AH207">
        <f t="shared" si="64"/>
        <v>0</v>
      </c>
      <c r="AI207">
        <f t="shared" si="65"/>
        <v>0</v>
      </c>
      <c r="AJ207">
        <f t="shared" si="66"/>
        <v>0</v>
      </c>
      <c r="AK207">
        <f t="shared" si="67"/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</row>
    <row r="208" spans="1:53" x14ac:dyDescent="0.35">
      <c r="A208">
        <v>0.28103336724772754</v>
      </c>
      <c r="C208">
        <v>1.9150684931506849</v>
      </c>
      <c r="D208" s="137">
        <f t="shared" si="52"/>
        <v>0.28218431128920668</v>
      </c>
      <c r="E208">
        <v>2.9629325585580042</v>
      </c>
      <c r="F208">
        <v>1.146128035678238</v>
      </c>
      <c r="G208" s="45">
        <v>2.62</v>
      </c>
      <c r="H208" s="29">
        <f t="shared" si="53"/>
        <v>0.41830129131974547</v>
      </c>
      <c r="I208" s="9">
        <v>2.9323046139517812</v>
      </c>
      <c r="J208" s="34">
        <v>5.3078443483419682E-2</v>
      </c>
      <c r="K208">
        <v>79</v>
      </c>
      <c r="L208" s="137">
        <f t="shared" si="54"/>
        <v>1.8976270912904414</v>
      </c>
      <c r="M208">
        <f t="shared" si="51"/>
        <v>1</v>
      </c>
      <c r="N208">
        <v>70</v>
      </c>
      <c r="O208">
        <v>70</v>
      </c>
      <c r="P208">
        <v>92.1</v>
      </c>
      <c r="Q208" s="137">
        <f t="shared" si="55"/>
        <v>1.9642596301968489</v>
      </c>
      <c r="R208" s="34">
        <v>36.799999999999997</v>
      </c>
      <c r="S208" s="34">
        <f t="shared" si="56"/>
        <v>1.5658478186735176</v>
      </c>
      <c r="T208" s="42">
        <v>44.688349184782602</v>
      </c>
      <c r="U208" s="42">
        <f t="shared" si="57"/>
        <v>1.6501943118503011</v>
      </c>
      <c r="V208">
        <v>3.3314213062933389</v>
      </c>
      <c r="W208" s="14">
        <v>3</v>
      </c>
      <c r="X208">
        <v>3.884802064783424</v>
      </c>
      <c r="Y208">
        <v>8.6989700043360187</v>
      </c>
      <c r="Z208" s="80">
        <v>-3.478824816153081E-2</v>
      </c>
      <c r="AA208">
        <v>8</v>
      </c>
      <c r="AB208">
        <f t="shared" si="58"/>
        <v>0</v>
      </c>
      <c r="AC208">
        <f t="shared" si="59"/>
        <v>0</v>
      </c>
      <c r="AD208">
        <f t="shared" si="60"/>
        <v>0</v>
      </c>
      <c r="AE208">
        <f t="shared" si="61"/>
        <v>0</v>
      </c>
      <c r="AF208">
        <f t="shared" si="62"/>
        <v>0</v>
      </c>
      <c r="AG208">
        <f t="shared" si="63"/>
        <v>0</v>
      </c>
      <c r="AH208">
        <f t="shared" si="64"/>
        <v>0</v>
      </c>
      <c r="AI208">
        <f t="shared" si="65"/>
        <v>1</v>
      </c>
      <c r="AJ208">
        <f t="shared" si="66"/>
        <v>0</v>
      </c>
      <c r="AK208">
        <f t="shared" si="67"/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</row>
    <row r="209" spans="1:53" x14ac:dyDescent="0.35">
      <c r="A209">
        <v>0.27069276805557874</v>
      </c>
      <c r="C209">
        <v>4.0191780821917806</v>
      </c>
      <c r="D209" s="137">
        <f t="shared" si="52"/>
        <v>0.60413724938680791</v>
      </c>
      <c r="E209">
        <v>0</v>
      </c>
      <c r="F209">
        <v>1.6127838567197355</v>
      </c>
      <c r="G209" s="45">
        <v>3.29</v>
      </c>
      <c r="H209" s="29">
        <f t="shared" si="53"/>
        <v>0.51719589794997434</v>
      </c>
      <c r="I209" s="9">
        <v>0</v>
      </c>
      <c r="J209" s="34">
        <v>0.19589965240923368</v>
      </c>
      <c r="K209">
        <v>77</v>
      </c>
      <c r="L209" s="137">
        <f t="shared" si="54"/>
        <v>1.8864907251724818</v>
      </c>
      <c r="M209">
        <f t="shared" si="51"/>
        <v>0</v>
      </c>
      <c r="N209">
        <v>70</v>
      </c>
      <c r="O209">
        <v>70</v>
      </c>
      <c r="P209">
        <v>94.6</v>
      </c>
      <c r="Q209" s="137">
        <f t="shared" si="55"/>
        <v>1.9758911364017928</v>
      </c>
      <c r="R209" s="34">
        <v>33.200000000000003</v>
      </c>
      <c r="S209" s="34">
        <f t="shared" si="56"/>
        <v>1.5211380837040362</v>
      </c>
      <c r="T209" s="42">
        <v>45.921427555082097</v>
      </c>
      <c r="U209" s="42">
        <f t="shared" si="57"/>
        <v>1.6620153804713207</v>
      </c>
      <c r="V209">
        <v>3.3314213062933389</v>
      </c>
      <c r="W209" s="14">
        <v>3</v>
      </c>
      <c r="X209">
        <v>3.884802064783424</v>
      </c>
      <c r="Y209">
        <v>8.7671558660821809</v>
      </c>
      <c r="Z209" s="80">
        <v>0.17885873826703325</v>
      </c>
      <c r="AA209">
        <v>1</v>
      </c>
      <c r="AB209">
        <f t="shared" si="58"/>
        <v>1</v>
      </c>
      <c r="AC209">
        <f t="shared" si="59"/>
        <v>0</v>
      </c>
      <c r="AD209">
        <f t="shared" si="60"/>
        <v>0</v>
      </c>
      <c r="AE209">
        <f t="shared" si="61"/>
        <v>0</v>
      </c>
      <c r="AF209">
        <f t="shared" si="62"/>
        <v>0</v>
      </c>
      <c r="AG209">
        <f t="shared" si="63"/>
        <v>0</v>
      </c>
      <c r="AH209">
        <f t="shared" si="64"/>
        <v>0</v>
      </c>
      <c r="AI209">
        <f t="shared" si="65"/>
        <v>0</v>
      </c>
      <c r="AJ209">
        <f t="shared" si="66"/>
        <v>0</v>
      </c>
      <c r="AK209">
        <f t="shared" si="67"/>
        <v>0</v>
      </c>
      <c r="AL209">
        <v>0</v>
      </c>
      <c r="AM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</row>
    <row r="210" spans="1:53" x14ac:dyDescent="0.35">
      <c r="A210">
        <v>0.52287874528033762</v>
      </c>
      <c r="C210">
        <v>4.7616438356164386</v>
      </c>
      <c r="D210" s="137">
        <f t="shared" si="52"/>
        <v>0.67775690765617302</v>
      </c>
      <c r="E210">
        <v>2.5362300726332561</v>
      </c>
      <c r="F210">
        <v>1.0791812460476249</v>
      </c>
      <c r="G210" s="45">
        <v>2.3199999999999998</v>
      </c>
      <c r="H210" s="29">
        <f t="shared" si="53"/>
        <v>0.36548798489089962</v>
      </c>
      <c r="I210" s="9">
        <v>2.756001823801419</v>
      </c>
      <c r="J210" s="34">
        <v>0.20139712432045145</v>
      </c>
      <c r="K210">
        <v>77</v>
      </c>
      <c r="L210" s="137">
        <f t="shared" si="54"/>
        <v>1.8864907251724818</v>
      </c>
      <c r="M210">
        <f t="shared" si="51"/>
        <v>1</v>
      </c>
      <c r="N210">
        <v>85</v>
      </c>
      <c r="O210">
        <v>80</v>
      </c>
      <c r="P210">
        <v>85.6</v>
      </c>
      <c r="Q210" s="137">
        <f t="shared" si="55"/>
        <v>1.9324737646771533</v>
      </c>
      <c r="R210" s="34">
        <v>43.3</v>
      </c>
      <c r="S210" s="34">
        <f t="shared" si="56"/>
        <v>1.6364878963533653</v>
      </c>
      <c r="T210" s="42">
        <v>56.2907330998475</v>
      </c>
      <c r="U210" s="42">
        <f t="shared" si="57"/>
        <v>1.750436904711814</v>
      </c>
      <c r="V210">
        <v>3.3314213062933389</v>
      </c>
      <c r="W210" s="14">
        <v>3</v>
      </c>
      <c r="X210">
        <v>3.884802064783424</v>
      </c>
      <c r="Y210">
        <v>8.2552725051033065</v>
      </c>
      <c r="Z210" s="80">
        <v>0.12247019325885877</v>
      </c>
      <c r="AA210">
        <v>9</v>
      </c>
      <c r="AB210">
        <f t="shared" si="58"/>
        <v>0</v>
      </c>
      <c r="AC210">
        <f t="shared" si="59"/>
        <v>0</v>
      </c>
      <c r="AD210">
        <f t="shared" si="60"/>
        <v>0</v>
      </c>
      <c r="AE210">
        <f t="shared" si="61"/>
        <v>0</v>
      </c>
      <c r="AF210">
        <f t="shared" si="62"/>
        <v>0</v>
      </c>
      <c r="AG210">
        <f t="shared" si="63"/>
        <v>0</v>
      </c>
      <c r="AH210">
        <f t="shared" si="64"/>
        <v>0</v>
      </c>
      <c r="AI210">
        <f t="shared" si="65"/>
        <v>0</v>
      </c>
      <c r="AJ210">
        <f t="shared" si="66"/>
        <v>1</v>
      </c>
      <c r="AK210">
        <f t="shared" si="67"/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</row>
    <row r="211" spans="1:53" x14ac:dyDescent="0.35">
      <c r="A211">
        <v>0.11115045212266668</v>
      </c>
      <c r="C211">
        <v>6.5917808219178085</v>
      </c>
      <c r="D211" s="137">
        <f t="shared" si="52"/>
        <v>0.81900275854735127</v>
      </c>
      <c r="E211">
        <v>2.6903467274930635</v>
      </c>
      <c r="F211">
        <v>1.5440680443502757</v>
      </c>
      <c r="G211" s="45">
        <v>2.59</v>
      </c>
      <c r="H211" s="29">
        <f t="shared" si="53"/>
        <v>0.4132997640812518</v>
      </c>
      <c r="I211" s="9">
        <v>2.7508939203821252</v>
      </c>
      <c r="J211" s="34">
        <v>8.2785370316450071E-2</v>
      </c>
      <c r="K211">
        <v>73</v>
      </c>
      <c r="L211" s="137">
        <f t="shared" si="54"/>
        <v>1.8633228601204559</v>
      </c>
      <c r="M211">
        <f t="shared" si="51"/>
        <v>1</v>
      </c>
      <c r="N211">
        <v>90</v>
      </c>
      <c r="O211">
        <v>70</v>
      </c>
      <c r="P211">
        <v>76.900000000000006</v>
      </c>
      <c r="Q211" s="137">
        <f t="shared" si="55"/>
        <v>1.885926339801431</v>
      </c>
      <c r="R211" s="34">
        <v>36.1</v>
      </c>
      <c r="S211" s="34">
        <f t="shared" si="56"/>
        <v>1.5575072019056579</v>
      </c>
      <c r="T211" s="42">
        <v>37.805693454220297</v>
      </c>
      <c r="U211" s="42">
        <f t="shared" si="57"/>
        <v>1.5775572085556049</v>
      </c>
      <c r="V211">
        <v>3.3314213062933389</v>
      </c>
      <c r="W211" s="14">
        <v>3</v>
      </c>
      <c r="X211">
        <v>3.884802064783424</v>
      </c>
      <c r="Y211">
        <v>9.3802112417116064</v>
      </c>
      <c r="Z211" s="80">
        <v>5.1870036548883114E-2</v>
      </c>
      <c r="AA211">
        <v>1</v>
      </c>
      <c r="AB211">
        <f t="shared" si="58"/>
        <v>1</v>
      </c>
      <c r="AC211">
        <f t="shared" si="59"/>
        <v>0</v>
      </c>
      <c r="AD211">
        <f t="shared" si="60"/>
        <v>0</v>
      </c>
      <c r="AE211">
        <f t="shared" si="61"/>
        <v>0</v>
      </c>
      <c r="AF211">
        <f t="shared" si="62"/>
        <v>0</v>
      </c>
      <c r="AG211">
        <f t="shared" si="63"/>
        <v>0</v>
      </c>
      <c r="AH211">
        <f t="shared" si="64"/>
        <v>0</v>
      </c>
      <c r="AI211">
        <f t="shared" si="65"/>
        <v>0</v>
      </c>
      <c r="AJ211">
        <f t="shared" si="66"/>
        <v>0</v>
      </c>
      <c r="AK211">
        <f t="shared" si="67"/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1</v>
      </c>
      <c r="AX211">
        <v>0</v>
      </c>
      <c r="AY211">
        <v>0</v>
      </c>
      <c r="AZ211">
        <v>0</v>
      </c>
      <c r="BA211">
        <v>0</v>
      </c>
    </row>
    <row r="212" spans="1:53" x14ac:dyDescent="0.35">
      <c r="A212">
        <v>0.3010299956639812</v>
      </c>
      <c r="C212">
        <v>2.5013698630136987</v>
      </c>
      <c r="D212" s="137">
        <f t="shared" si="52"/>
        <v>0.39817791307782424</v>
      </c>
      <c r="E212">
        <v>2.5362300726332561</v>
      </c>
      <c r="F212">
        <v>0</v>
      </c>
      <c r="G212" s="45">
        <v>2.3199999999999998</v>
      </c>
      <c r="H212" s="29">
        <f t="shared" si="53"/>
        <v>0.36548798489089962</v>
      </c>
      <c r="I212" s="9">
        <v>2.756001823801419</v>
      </c>
      <c r="J212" s="34">
        <v>2.9383777685209667E-2</v>
      </c>
      <c r="K212">
        <v>71</v>
      </c>
      <c r="L212" s="137">
        <f t="shared" si="54"/>
        <v>1.8512583487190752</v>
      </c>
      <c r="M212">
        <f t="shared" si="51"/>
        <v>1</v>
      </c>
      <c r="N212">
        <v>85</v>
      </c>
      <c r="O212">
        <v>80</v>
      </c>
      <c r="P212">
        <v>70</v>
      </c>
      <c r="Q212" s="137">
        <f t="shared" si="55"/>
        <v>1.8450980400142569</v>
      </c>
      <c r="R212" s="34">
        <v>42.9</v>
      </c>
      <c r="S212" s="34">
        <f t="shared" si="56"/>
        <v>1.6324572921847242</v>
      </c>
      <c r="T212" s="42">
        <v>53.2941466273667</v>
      </c>
      <c r="U212" s="42">
        <f t="shared" si="57"/>
        <v>1.7266795124593939</v>
      </c>
      <c r="V212">
        <v>3.3314213062933389</v>
      </c>
      <c r="W212" s="14">
        <v>3</v>
      </c>
      <c r="X212">
        <v>3.884802064783424</v>
      </c>
      <c r="Y212">
        <v>8.5440680443502757</v>
      </c>
      <c r="Z212" s="80">
        <v>5.8632676709154063E-2</v>
      </c>
      <c r="AA212">
        <v>5</v>
      </c>
      <c r="AB212">
        <f t="shared" si="58"/>
        <v>0</v>
      </c>
      <c r="AC212">
        <f t="shared" si="59"/>
        <v>0</v>
      </c>
      <c r="AD212">
        <f t="shared" si="60"/>
        <v>0</v>
      </c>
      <c r="AE212">
        <f t="shared" si="61"/>
        <v>0</v>
      </c>
      <c r="AF212">
        <f t="shared" si="62"/>
        <v>1</v>
      </c>
      <c r="AG212">
        <f t="shared" si="63"/>
        <v>0</v>
      </c>
      <c r="AH212">
        <f t="shared" si="64"/>
        <v>0</v>
      </c>
      <c r="AI212">
        <f t="shared" si="65"/>
        <v>0</v>
      </c>
      <c r="AJ212">
        <f t="shared" si="66"/>
        <v>0</v>
      </c>
      <c r="AK212">
        <f t="shared" si="67"/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1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</row>
    <row r="213" spans="1:53" x14ac:dyDescent="0.35">
      <c r="A213">
        <v>-0.11350927482751812</v>
      </c>
      <c r="C213">
        <v>7.8630136986301373</v>
      </c>
      <c r="D213" s="137">
        <f t="shared" si="52"/>
        <v>0.89558903227751763</v>
      </c>
      <c r="E213">
        <v>2.5362300726332561</v>
      </c>
      <c r="F213">
        <v>1.3424226808222062</v>
      </c>
      <c r="G213" s="45">
        <v>2.3199999999999998</v>
      </c>
      <c r="H213" s="29">
        <f t="shared" si="53"/>
        <v>0.36548798489089962</v>
      </c>
      <c r="I213" s="9">
        <v>2.756001823801419</v>
      </c>
      <c r="J213" s="34">
        <v>0.13987908640123647</v>
      </c>
      <c r="K213">
        <v>71</v>
      </c>
      <c r="L213" s="137">
        <f t="shared" si="54"/>
        <v>1.8512583487190752</v>
      </c>
      <c r="M213">
        <f t="shared" si="51"/>
        <v>1</v>
      </c>
      <c r="N213">
        <v>85</v>
      </c>
      <c r="O213">
        <v>80</v>
      </c>
      <c r="P213">
        <v>70</v>
      </c>
      <c r="Q213" s="137">
        <f t="shared" si="55"/>
        <v>1.8450980400142569</v>
      </c>
      <c r="R213" s="34">
        <v>42.9</v>
      </c>
      <c r="S213" s="34">
        <f t="shared" si="56"/>
        <v>1.6324572921847242</v>
      </c>
      <c r="T213" s="42">
        <v>53.2941466273667</v>
      </c>
      <c r="U213" s="42">
        <f t="shared" si="57"/>
        <v>1.7266795124593939</v>
      </c>
      <c r="V213">
        <v>3.3314213062933389</v>
      </c>
      <c r="W213" s="14">
        <v>3</v>
      </c>
      <c r="X213">
        <v>3.884802064783424</v>
      </c>
      <c r="Y213">
        <v>8.6989700043360187</v>
      </c>
      <c r="Z213" s="80">
        <v>0.27747859453415624</v>
      </c>
      <c r="AA213">
        <v>5</v>
      </c>
      <c r="AB213">
        <f t="shared" si="58"/>
        <v>0</v>
      </c>
      <c r="AC213">
        <f t="shared" si="59"/>
        <v>0</v>
      </c>
      <c r="AD213">
        <f t="shared" si="60"/>
        <v>0</v>
      </c>
      <c r="AE213">
        <f t="shared" si="61"/>
        <v>0</v>
      </c>
      <c r="AF213">
        <f t="shared" si="62"/>
        <v>1</v>
      </c>
      <c r="AG213">
        <f t="shared" si="63"/>
        <v>0</v>
      </c>
      <c r="AH213">
        <f t="shared" si="64"/>
        <v>0</v>
      </c>
      <c r="AI213">
        <f t="shared" si="65"/>
        <v>0</v>
      </c>
      <c r="AJ213">
        <f t="shared" si="66"/>
        <v>0</v>
      </c>
      <c r="AK213">
        <f t="shared" si="67"/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1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</row>
    <row r="214" spans="1:53" x14ac:dyDescent="0.35">
      <c r="A214">
        <v>-7.2569549106915751E-2</v>
      </c>
      <c r="C214">
        <v>2.1753424657534248</v>
      </c>
      <c r="D214" s="137">
        <f t="shared" si="52"/>
        <v>0.33752763797062157</v>
      </c>
      <c r="E214">
        <v>0</v>
      </c>
      <c r="F214">
        <v>1.3222192947339193</v>
      </c>
      <c r="G214" s="45">
        <v>3.29</v>
      </c>
      <c r="H214" s="29">
        <f t="shared" si="53"/>
        <v>0.51719589794997434</v>
      </c>
      <c r="I214" s="9">
        <v>0</v>
      </c>
      <c r="J214" s="34">
        <v>6.445798922691845E-2</v>
      </c>
      <c r="K214">
        <v>70</v>
      </c>
      <c r="L214" s="137">
        <f t="shared" si="54"/>
        <v>1.8450980400142569</v>
      </c>
      <c r="M214">
        <f t="shared" si="51"/>
        <v>0</v>
      </c>
      <c r="N214">
        <v>70</v>
      </c>
      <c r="O214">
        <v>70</v>
      </c>
      <c r="P214">
        <v>85</v>
      </c>
      <c r="Q214" s="137">
        <f t="shared" si="55"/>
        <v>1.9294189257142926</v>
      </c>
      <c r="R214" s="34">
        <v>32.299999999999997</v>
      </c>
      <c r="S214" s="34">
        <f t="shared" si="56"/>
        <v>1.5092025223311027</v>
      </c>
      <c r="T214" s="42">
        <v>40.040400531970803</v>
      </c>
      <c r="U214" s="42">
        <f t="shared" si="57"/>
        <v>1.6024984131617945</v>
      </c>
      <c r="V214">
        <v>3.3314213062933389</v>
      </c>
      <c r="W214" s="14">
        <v>3</v>
      </c>
      <c r="X214">
        <v>3.884802064783424</v>
      </c>
      <c r="Y214">
        <v>8.7353273807884904</v>
      </c>
      <c r="Z214" s="80">
        <v>0.3858980254199833</v>
      </c>
      <c r="AA214">
        <v>7</v>
      </c>
      <c r="AB214">
        <f t="shared" si="58"/>
        <v>0</v>
      </c>
      <c r="AC214">
        <f t="shared" si="59"/>
        <v>0</v>
      </c>
      <c r="AD214">
        <f t="shared" si="60"/>
        <v>0</v>
      </c>
      <c r="AE214">
        <f t="shared" si="61"/>
        <v>0</v>
      </c>
      <c r="AF214">
        <f t="shared" si="62"/>
        <v>0</v>
      </c>
      <c r="AG214">
        <f t="shared" si="63"/>
        <v>0</v>
      </c>
      <c r="AH214">
        <f t="shared" si="64"/>
        <v>1</v>
      </c>
      <c r="AI214">
        <f t="shared" si="65"/>
        <v>0</v>
      </c>
      <c r="AJ214">
        <f t="shared" si="66"/>
        <v>0</v>
      </c>
      <c r="AK214">
        <f t="shared" si="67"/>
        <v>0</v>
      </c>
      <c r="AL214">
        <v>0</v>
      </c>
      <c r="AM214">
        <v>1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</row>
    <row r="215" spans="1:53" x14ac:dyDescent="0.35">
      <c r="A215">
        <v>-1.6751726094119797E-2</v>
      </c>
      <c r="C215">
        <v>12.304109589041095</v>
      </c>
      <c r="D215" s="137">
        <f t="shared" si="52"/>
        <v>1.0900501906062401</v>
      </c>
      <c r="E215">
        <v>2.5362300726332561</v>
      </c>
      <c r="F215">
        <v>1.4471580313422192</v>
      </c>
      <c r="G215" s="45">
        <v>2.3199999999999998</v>
      </c>
      <c r="H215" s="29">
        <f t="shared" si="53"/>
        <v>0.36548798489089962</v>
      </c>
      <c r="I215" s="9">
        <v>2.756001823801419</v>
      </c>
      <c r="J215" s="34">
        <v>0.36548798489089973</v>
      </c>
      <c r="K215">
        <v>68</v>
      </c>
      <c r="L215" s="137">
        <f t="shared" si="54"/>
        <v>1.8325089127062364</v>
      </c>
      <c r="M215">
        <f t="shared" si="51"/>
        <v>1</v>
      </c>
      <c r="N215">
        <v>85</v>
      </c>
      <c r="O215">
        <v>80</v>
      </c>
      <c r="P215">
        <v>70</v>
      </c>
      <c r="Q215" s="137">
        <f t="shared" si="55"/>
        <v>1.8450980400142569</v>
      </c>
      <c r="R215" s="34">
        <v>42.4</v>
      </c>
      <c r="S215" s="34">
        <f t="shared" si="56"/>
        <v>1.6273658565927327</v>
      </c>
      <c r="T215" s="42">
        <v>52.795294707427601</v>
      </c>
      <c r="U215" s="42">
        <f t="shared" si="57"/>
        <v>1.7225952184872551</v>
      </c>
      <c r="V215">
        <v>3.3314213062933389</v>
      </c>
      <c r="W215" s="14">
        <v>3</v>
      </c>
      <c r="X215">
        <v>3.884802064783424</v>
      </c>
      <c r="Y215">
        <v>9.568201724066995</v>
      </c>
      <c r="Z215" s="80">
        <v>0.95104535806360402</v>
      </c>
      <c r="AA215">
        <v>4</v>
      </c>
      <c r="AB215">
        <f t="shared" si="58"/>
        <v>0</v>
      </c>
      <c r="AC215">
        <f t="shared" si="59"/>
        <v>0</v>
      </c>
      <c r="AD215">
        <f t="shared" si="60"/>
        <v>0</v>
      </c>
      <c r="AE215">
        <f t="shared" si="61"/>
        <v>1</v>
      </c>
      <c r="AF215">
        <f t="shared" si="62"/>
        <v>0</v>
      </c>
      <c r="AG215">
        <f t="shared" si="63"/>
        <v>0</v>
      </c>
      <c r="AH215">
        <f t="shared" si="64"/>
        <v>0</v>
      </c>
      <c r="AI215">
        <f t="shared" si="65"/>
        <v>0</v>
      </c>
      <c r="AJ215">
        <f t="shared" si="66"/>
        <v>0</v>
      </c>
      <c r="AK215">
        <f t="shared" si="67"/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1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</row>
    <row r="216" spans="1:53" x14ac:dyDescent="0.35">
      <c r="A216">
        <v>0.40575447990253999</v>
      </c>
      <c r="C216">
        <v>3.0575342465753423</v>
      </c>
      <c r="D216" s="137">
        <f t="shared" si="52"/>
        <v>0.48537133014508521</v>
      </c>
      <c r="E216">
        <v>0</v>
      </c>
      <c r="F216">
        <v>0</v>
      </c>
      <c r="G216" s="45">
        <v>3.29</v>
      </c>
      <c r="H216" s="29">
        <f t="shared" si="53"/>
        <v>0.51719589794997434</v>
      </c>
      <c r="I216" s="9">
        <v>0</v>
      </c>
      <c r="J216" s="34">
        <v>0.13672056715640679</v>
      </c>
      <c r="K216">
        <v>68</v>
      </c>
      <c r="L216" s="137">
        <f t="shared" si="54"/>
        <v>1.8325089127062364</v>
      </c>
      <c r="M216">
        <f t="shared" si="51"/>
        <v>0</v>
      </c>
      <c r="N216">
        <v>70</v>
      </c>
      <c r="O216">
        <v>70</v>
      </c>
      <c r="P216">
        <v>85</v>
      </c>
      <c r="Q216" s="137">
        <f t="shared" si="55"/>
        <v>1.9294189257142926</v>
      </c>
      <c r="R216" s="34">
        <v>31.5</v>
      </c>
      <c r="S216" s="34">
        <f t="shared" si="56"/>
        <v>1.4983105537896004</v>
      </c>
      <c r="T216" s="42">
        <v>37.589394702761602</v>
      </c>
      <c r="U216" s="42">
        <f t="shared" si="57"/>
        <v>1.575065332381355</v>
      </c>
      <c r="V216">
        <v>3.3314213062933389</v>
      </c>
      <c r="W216" s="14">
        <v>3</v>
      </c>
      <c r="X216">
        <v>3.884802064783424</v>
      </c>
      <c r="Y216">
        <v>8.9327020137020643</v>
      </c>
      <c r="Z216" s="80">
        <v>0.37152762099707504</v>
      </c>
      <c r="AA216">
        <v>5</v>
      </c>
      <c r="AB216">
        <f t="shared" si="58"/>
        <v>0</v>
      </c>
      <c r="AC216">
        <f t="shared" si="59"/>
        <v>0</v>
      </c>
      <c r="AD216">
        <f t="shared" si="60"/>
        <v>0</v>
      </c>
      <c r="AE216">
        <f t="shared" si="61"/>
        <v>0</v>
      </c>
      <c r="AF216">
        <f t="shared" si="62"/>
        <v>1</v>
      </c>
      <c r="AG216">
        <f t="shared" si="63"/>
        <v>0</v>
      </c>
      <c r="AH216">
        <f t="shared" si="64"/>
        <v>0</v>
      </c>
      <c r="AI216">
        <f t="shared" si="65"/>
        <v>0</v>
      </c>
      <c r="AJ216">
        <f t="shared" si="66"/>
        <v>0</v>
      </c>
      <c r="AK216">
        <f t="shared" si="67"/>
        <v>0</v>
      </c>
      <c r="AL216">
        <v>0</v>
      </c>
      <c r="AM216">
        <v>1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</row>
    <row r="217" spans="1:53" x14ac:dyDescent="0.35">
      <c r="A217">
        <v>0.16287088965701854</v>
      </c>
      <c r="C217">
        <v>5.6328767123287671</v>
      </c>
      <c r="D217" s="137">
        <f t="shared" si="52"/>
        <v>0.7507302458667634</v>
      </c>
      <c r="E217">
        <v>2.5362300726332561</v>
      </c>
      <c r="F217">
        <v>1.1139433523068367</v>
      </c>
      <c r="G217" s="45">
        <v>2.3199999999999998</v>
      </c>
      <c r="H217" s="29">
        <f t="shared" si="53"/>
        <v>0.36548798489089962</v>
      </c>
      <c r="I217" s="9">
        <v>2.756001823801419</v>
      </c>
      <c r="J217" s="34">
        <v>5.6904851336472641E-2</v>
      </c>
      <c r="K217">
        <v>67</v>
      </c>
      <c r="L217" s="137">
        <f t="shared" si="54"/>
        <v>1.8260748027008264</v>
      </c>
      <c r="M217">
        <f t="shared" si="51"/>
        <v>1</v>
      </c>
      <c r="N217">
        <v>85</v>
      </c>
      <c r="O217">
        <v>80</v>
      </c>
      <c r="P217">
        <v>70</v>
      </c>
      <c r="Q217" s="137">
        <f t="shared" si="55"/>
        <v>1.8450980400142569</v>
      </c>
      <c r="R217" s="34">
        <v>43.1</v>
      </c>
      <c r="S217" s="34">
        <f t="shared" si="56"/>
        <v>1.6344772701607315</v>
      </c>
      <c r="T217" s="42">
        <v>51.718307112209096</v>
      </c>
      <c r="U217" s="42">
        <f t="shared" si="57"/>
        <v>1.7136443007431839</v>
      </c>
      <c r="V217">
        <v>3.3314213062933389</v>
      </c>
      <c r="W217" s="14">
        <v>3</v>
      </c>
      <c r="X217">
        <v>3.884802064783424</v>
      </c>
      <c r="Y217">
        <v>8.8785217955012072</v>
      </c>
      <c r="Z217" s="80">
        <v>0.14035959350299643</v>
      </c>
      <c r="AA217">
        <v>1</v>
      </c>
      <c r="AB217">
        <f t="shared" si="58"/>
        <v>1</v>
      </c>
      <c r="AC217">
        <f t="shared" si="59"/>
        <v>0</v>
      </c>
      <c r="AD217">
        <f t="shared" si="60"/>
        <v>0</v>
      </c>
      <c r="AE217">
        <f t="shared" si="61"/>
        <v>0</v>
      </c>
      <c r="AF217">
        <f t="shared" si="62"/>
        <v>0</v>
      </c>
      <c r="AG217">
        <f t="shared" si="63"/>
        <v>0</v>
      </c>
      <c r="AH217">
        <f t="shared" si="64"/>
        <v>0</v>
      </c>
      <c r="AI217">
        <f t="shared" si="65"/>
        <v>0</v>
      </c>
      <c r="AJ217">
        <f t="shared" si="66"/>
        <v>0</v>
      </c>
      <c r="AK217">
        <f t="shared" si="67"/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1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</row>
    <row r="218" spans="1:53" x14ac:dyDescent="0.35">
      <c r="A218">
        <v>0.3128725024674901</v>
      </c>
      <c r="C218">
        <v>9.580821917808219</v>
      </c>
      <c r="D218" s="137">
        <f t="shared" si="52"/>
        <v>0.98140276785277003</v>
      </c>
      <c r="E218">
        <v>0</v>
      </c>
      <c r="F218">
        <v>1.7242758696007889</v>
      </c>
      <c r="G218" s="45">
        <v>3.29</v>
      </c>
      <c r="H218" s="29">
        <f t="shared" si="53"/>
        <v>0.51719589794997434</v>
      </c>
      <c r="I218" s="9">
        <v>0</v>
      </c>
      <c r="J218" s="34">
        <v>-0.16749108729376372</v>
      </c>
      <c r="K218">
        <v>65</v>
      </c>
      <c r="L218" s="137">
        <f t="shared" si="54"/>
        <v>1.8129133566428555</v>
      </c>
      <c r="M218">
        <f t="shared" si="51"/>
        <v>0</v>
      </c>
      <c r="N218">
        <v>70</v>
      </c>
      <c r="O218">
        <v>70</v>
      </c>
      <c r="P218">
        <v>85</v>
      </c>
      <c r="Q218" s="137">
        <f t="shared" si="55"/>
        <v>1.9294189257142926</v>
      </c>
      <c r="R218" s="34">
        <v>32.200000000000003</v>
      </c>
      <c r="S218" s="34">
        <f t="shared" si="56"/>
        <v>1.507855871695831</v>
      </c>
      <c r="T218" s="42">
        <v>35.326012114535303</v>
      </c>
      <c r="U218" s="42">
        <f t="shared" si="57"/>
        <v>1.548094613534351</v>
      </c>
      <c r="V218">
        <v>3.3314213062933389</v>
      </c>
      <c r="W218" s="14">
        <v>3</v>
      </c>
      <c r="X218">
        <v>3.884802064783424</v>
      </c>
      <c r="Y218">
        <v>8.7032913781186618</v>
      </c>
      <c r="Z218" s="80">
        <v>-0.23231387498583767</v>
      </c>
      <c r="AA218">
        <v>8</v>
      </c>
      <c r="AB218">
        <f t="shared" si="58"/>
        <v>0</v>
      </c>
      <c r="AC218">
        <f t="shared" si="59"/>
        <v>0</v>
      </c>
      <c r="AD218">
        <f t="shared" si="60"/>
        <v>0</v>
      </c>
      <c r="AE218">
        <f t="shared" si="61"/>
        <v>0</v>
      </c>
      <c r="AF218">
        <f t="shared" si="62"/>
        <v>0</v>
      </c>
      <c r="AG218">
        <f t="shared" si="63"/>
        <v>0</v>
      </c>
      <c r="AH218">
        <f t="shared" si="64"/>
        <v>0</v>
      </c>
      <c r="AI218">
        <f t="shared" si="65"/>
        <v>1</v>
      </c>
      <c r="AJ218">
        <f t="shared" si="66"/>
        <v>0</v>
      </c>
      <c r="AK218">
        <f t="shared" si="67"/>
        <v>0</v>
      </c>
      <c r="AL218">
        <v>0</v>
      </c>
      <c r="AM218">
        <v>1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</row>
    <row r="219" spans="1:53" x14ac:dyDescent="0.35">
      <c r="A219">
        <v>0.35654732351381263</v>
      </c>
      <c r="C219">
        <v>6.4438356164383563</v>
      </c>
      <c r="D219" s="137">
        <f t="shared" si="52"/>
        <v>0.80914445294762616</v>
      </c>
      <c r="E219">
        <v>0</v>
      </c>
      <c r="F219">
        <v>1.8633228601204559</v>
      </c>
      <c r="G219" s="45">
        <v>3.29</v>
      </c>
      <c r="H219" s="29">
        <f t="shared" si="53"/>
        <v>0.51719589794997434</v>
      </c>
      <c r="I219" s="9">
        <v>0</v>
      </c>
      <c r="J219" s="34">
        <v>4.5322978786657475E-2</v>
      </c>
      <c r="K219">
        <v>64</v>
      </c>
      <c r="L219" s="137">
        <f t="shared" si="54"/>
        <v>1.8061799739838871</v>
      </c>
      <c r="M219">
        <f t="shared" si="51"/>
        <v>0</v>
      </c>
      <c r="N219">
        <v>70</v>
      </c>
      <c r="O219">
        <v>70</v>
      </c>
      <c r="P219">
        <v>85</v>
      </c>
      <c r="Q219" s="137">
        <f t="shared" si="55"/>
        <v>1.9294189257142926</v>
      </c>
      <c r="R219" s="34">
        <v>31.5</v>
      </c>
      <c r="S219" s="34">
        <f t="shared" si="56"/>
        <v>1.4983105537896004</v>
      </c>
      <c r="T219" s="42">
        <v>35.516899069648296</v>
      </c>
      <c r="U219" s="42">
        <f t="shared" si="57"/>
        <v>1.5504350411232082</v>
      </c>
      <c r="V219">
        <v>3.3314213062933389</v>
      </c>
      <c r="W219" s="14">
        <v>3</v>
      </c>
      <c r="X219">
        <v>3.884802064783424</v>
      </c>
      <c r="Y219">
        <v>8.5465426634781316</v>
      </c>
      <c r="Z219" s="80">
        <v>2.9350709260754115E-2</v>
      </c>
      <c r="AA219">
        <v>5</v>
      </c>
      <c r="AB219">
        <f t="shared" si="58"/>
        <v>0</v>
      </c>
      <c r="AC219">
        <f t="shared" si="59"/>
        <v>0</v>
      </c>
      <c r="AD219">
        <f t="shared" si="60"/>
        <v>0</v>
      </c>
      <c r="AE219">
        <f t="shared" si="61"/>
        <v>0</v>
      </c>
      <c r="AF219">
        <f t="shared" si="62"/>
        <v>1</v>
      </c>
      <c r="AG219">
        <f t="shared" si="63"/>
        <v>0</v>
      </c>
      <c r="AH219">
        <f t="shared" si="64"/>
        <v>0</v>
      </c>
      <c r="AI219">
        <f t="shared" si="65"/>
        <v>0</v>
      </c>
      <c r="AJ219">
        <f t="shared" si="66"/>
        <v>0</v>
      </c>
      <c r="AK219">
        <f t="shared" si="67"/>
        <v>0</v>
      </c>
      <c r="AL219">
        <v>0</v>
      </c>
      <c r="AM219">
        <v>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</row>
    <row r="220" spans="1:53" x14ac:dyDescent="0.35">
      <c r="A220">
        <v>-0.38209714220653945</v>
      </c>
      <c r="C220">
        <v>5.5315068493150683</v>
      </c>
      <c r="D220" s="137">
        <f t="shared" si="52"/>
        <v>0.7428434544871646</v>
      </c>
      <c r="E220">
        <v>0</v>
      </c>
      <c r="F220">
        <v>0</v>
      </c>
      <c r="G220" s="45">
        <v>3.29</v>
      </c>
      <c r="H220" s="29">
        <f t="shared" si="53"/>
        <v>0.51719589794997434</v>
      </c>
      <c r="I220" s="9">
        <v>0</v>
      </c>
      <c r="J220" s="34">
        <v>0.17318626841227402</v>
      </c>
      <c r="K220">
        <v>62</v>
      </c>
      <c r="L220" s="137">
        <f t="shared" si="54"/>
        <v>1.7923916894982539</v>
      </c>
      <c r="M220">
        <f t="shared" si="51"/>
        <v>0</v>
      </c>
      <c r="N220">
        <v>70</v>
      </c>
      <c r="O220">
        <v>90</v>
      </c>
      <c r="P220">
        <v>85</v>
      </c>
      <c r="Q220" s="137">
        <f t="shared" si="55"/>
        <v>1.9294189257142926</v>
      </c>
      <c r="R220" s="34">
        <v>29.3</v>
      </c>
      <c r="S220" s="34">
        <f t="shared" si="56"/>
        <v>1.4668676203541096</v>
      </c>
      <c r="T220" s="42">
        <v>36.913126831903199</v>
      </c>
      <c r="U220" s="42">
        <f t="shared" si="57"/>
        <v>1.5671808349091383</v>
      </c>
      <c r="V220">
        <v>3.3314213062933389</v>
      </c>
      <c r="W220" s="14">
        <v>3</v>
      </c>
      <c r="X220">
        <v>3.884802064783424</v>
      </c>
      <c r="Y220">
        <v>8.5797835966168101</v>
      </c>
      <c r="Z220" s="80" t="e">
        <v>#N/A</v>
      </c>
      <c r="AA220">
        <v>5</v>
      </c>
      <c r="AB220">
        <f t="shared" si="58"/>
        <v>0</v>
      </c>
      <c r="AC220">
        <f t="shared" si="59"/>
        <v>0</v>
      </c>
      <c r="AD220">
        <f t="shared" si="60"/>
        <v>0</v>
      </c>
      <c r="AE220">
        <f t="shared" si="61"/>
        <v>0</v>
      </c>
      <c r="AF220">
        <f t="shared" si="62"/>
        <v>1</v>
      </c>
      <c r="AG220">
        <f t="shared" si="63"/>
        <v>0</v>
      </c>
      <c r="AH220">
        <f t="shared" si="64"/>
        <v>0</v>
      </c>
      <c r="AI220">
        <f t="shared" si="65"/>
        <v>0</v>
      </c>
      <c r="AJ220">
        <f t="shared" si="66"/>
        <v>0</v>
      </c>
      <c r="AK220">
        <f t="shared" si="67"/>
        <v>0</v>
      </c>
      <c r="AL220">
        <v>0</v>
      </c>
      <c r="AM220">
        <v>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</row>
    <row r="221" spans="1:53" x14ac:dyDescent="0.35">
      <c r="A221">
        <v>0.45307083395064052</v>
      </c>
      <c r="C221">
        <v>3.8</v>
      </c>
      <c r="D221" s="137">
        <f t="shared" si="52"/>
        <v>0.57978359661681012</v>
      </c>
      <c r="E221">
        <v>3.7707754512906644</v>
      </c>
      <c r="F221">
        <v>1.6232492903979006</v>
      </c>
      <c r="G221" s="45">
        <v>2.3199999999999998</v>
      </c>
      <c r="H221" s="29">
        <f t="shared" si="53"/>
        <v>0.36548798489089962</v>
      </c>
      <c r="I221" s="9">
        <v>2.1238516409670858</v>
      </c>
      <c r="J221" s="34">
        <v>8.2785370316450071E-2</v>
      </c>
      <c r="K221">
        <v>4</v>
      </c>
      <c r="L221" s="137">
        <f t="shared" si="54"/>
        <v>0.6020599913279624</v>
      </c>
      <c r="M221">
        <f t="shared" si="51"/>
        <v>1</v>
      </c>
      <c r="N221">
        <v>70</v>
      </c>
      <c r="O221">
        <v>70</v>
      </c>
      <c r="P221">
        <v>85</v>
      </c>
      <c r="Q221" s="137">
        <f t="shared" si="55"/>
        <v>1.9294189257142926</v>
      </c>
      <c r="R221" s="34">
        <v>32.299999999999997</v>
      </c>
      <c r="S221" s="34">
        <f t="shared" si="56"/>
        <v>1.5092025223311027</v>
      </c>
      <c r="T221" s="42">
        <v>40.040400531970803</v>
      </c>
      <c r="U221" s="42">
        <f t="shared" si="57"/>
        <v>1.6024984131617945</v>
      </c>
      <c r="V221">
        <v>3.348721986001856</v>
      </c>
      <c r="W221" s="14">
        <v>5</v>
      </c>
      <c r="X221">
        <v>3.7520876635386311</v>
      </c>
      <c r="Y221">
        <v>8.4369573306694488</v>
      </c>
      <c r="Z221" s="80">
        <v>0.32713594793841616</v>
      </c>
      <c r="AA221">
        <v>5</v>
      </c>
      <c r="AB221">
        <f t="shared" si="58"/>
        <v>0</v>
      </c>
      <c r="AC221">
        <f t="shared" si="59"/>
        <v>0</v>
      </c>
      <c r="AD221">
        <f t="shared" si="60"/>
        <v>0</v>
      </c>
      <c r="AE221">
        <f t="shared" si="61"/>
        <v>0</v>
      </c>
      <c r="AF221">
        <f t="shared" si="62"/>
        <v>1</v>
      </c>
      <c r="AG221">
        <f t="shared" si="63"/>
        <v>0</v>
      </c>
      <c r="AH221">
        <f t="shared" si="64"/>
        <v>0</v>
      </c>
      <c r="AI221">
        <f t="shared" si="65"/>
        <v>0</v>
      </c>
      <c r="AJ221">
        <f t="shared" si="66"/>
        <v>0</v>
      </c>
      <c r="AK221">
        <f t="shared" si="67"/>
        <v>0</v>
      </c>
      <c r="AL221">
        <v>0</v>
      </c>
      <c r="AM221">
        <v>1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</row>
    <row r="222" spans="1:53" x14ac:dyDescent="0.35">
      <c r="A222">
        <v>0</v>
      </c>
      <c r="C222">
        <v>2.1671232876712327</v>
      </c>
      <c r="D222" s="137">
        <f t="shared" si="52"/>
        <v>0.33588361904120184</v>
      </c>
      <c r="E222">
        <v>3.7707754512906644</v>
      </c>
      <c r="F222">
        <v>1.6020599913279623</v>
      </c>
      <c r="G222" s="45">
        <v>2.3199999999999998</v>
      </c>
      <c r="H222" s="29">
        <f t="shared" si="53"/>
        <v>0.36548798489089962</v>
      </c>
      <c r="I222" s="9">
        <v>2.1238516409670858</v>
      </c>
      <c r="J222" s="34">
        <v>5.6904851336472641E-2</v>
      </c>
      <c r="K222">
        <v>4</v>
      </c>
      <c r="L222" s="137">
        <f t="shared" si="54"/>
        <v>0.6020599913279624</v>
      </c>
      <c r="M222">
        <f t="shared" si="51"/>
        <v>1</v>
      </c>
      <c r="N222">
        <v>70</v>
      </c>
      <c r="O222">
        <v>70</v>
      </c>
      <c r="P222">
        <v>85</v>
      </c>
      <c r="Q222" s="137">
        <f t="shared" si="55"/>
        <v>1.9294189257142926</v>
      </c>
      <c r="R222" s="34">
        <v>32.299999999999997</v>
      </c>
      <c r="S222" s="34">
        <f t="shared" si="56"/>
        <v>1.5092025223311027</v>
      </c>
      <c r="T222" s="42">
        <v>40.040400531970803</v>
      </c>
      <c r="U222" s="42">
        <f t="shared" si="57"/>
        <v>1.6024984131617945</v>
      </c>
      <c r="V222">
        <v>3.348721986001856</v>
      </c>
      <c r="W222" s="14">
        <v>5</v>
      </c>
      <c r="X222">
        <v>3.7520876635386311</v>
      </c>
      <c r="Y222">
        <v>8.5440680443502757</v>
      </c>
      <c r="Z222" s="80">
        <v>0.39425637980059758</v>
      </c>
      <c r="AA222">
        <v>5</v>
      </c>
      <c r="AB222">
        <f t="shared" si="58"/>
        <v>0</v>
      </c>
      <c r="AC222">
        <f t="shared" si="59"/>
        <v>0</v>
      </c>
      <c r="AD222">
        <f t="shared" si="60"/>
        <v>0</v>
      </c>
      <c r="AE222">
        <f t="shared" si="61"/>
        <v>0</v>
      </c>
      <c r="AF222">
        <f t="shared" si="62"/>
        <v>1</v>
      </c>
      <c r="AG222">
        <f t="shared" si="63"/>
        <v>0</v>
      </c>
      <c r="AH222">
        <f t="shared" si="64"/>
        <v>0</v>
      </c>
      <c r="AI222">
        <f t="shared" si="65"/>
        <v>0</v>
      </c>
      <c r="AJ222">
        <f t="shared" si="66"/>
        <v>0</v>
      </c>
      <c r="AK222">
        <f t="shared" si="67"/>
        <v>0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</row>
    <row r="223" spans="1:53" x14ac:dyDescent="0.35">
      <c r="A223">
        <v>0.85733249643126852</v>
      </c>
      <c r="C223">
        <v>8.7205479452054799</v>
      </c>
      <c r="D223" s="137">
        <f t="shared" si="52"/>
        <v>0.94054377416452839</v>
      </c>
      <c r="E223">
        <v>3.7845345619950592</v>
      </c>
      <c r="F223">
        <v>0.77815125038364363</v>
      </c>
      <c r="G223" s="45">
        <v>2.81</v>
      </c>
      <c r="H223" s="29">
        <f t="shared" si="53"/>
        <v>0.44870631990507992</v>
      </c>
      <c r="I223" s="9">
        <v>2.9168924084376502</v>
      </c>
      <c r="J223" s="34">
        <v>0.21218760440395779</v>
      </c>
      <c r="K223">
        <v>5</v>
      </c>
      <c r="L223" s="137">
        <f t="shared" si="54"/>
        <v>0.69897000433601886</v>
      </c>
      <c r="M223">
        <f t="shared" si="51"/>
        <v>1</v>
      </c>
      <c r="N223">
        <v>70</v>
      </c>
      <c r="O223">
        <v>50</v>
      </c>
      <c r="P223">
        <v>70</v>
      </c>
      <c r="Q223" s="137">
        <f t="shared" si="55"/>
        <v>1.8450980400142569</v>
      </c>
      <c r="R223" s="34">
        <v>35.14</v>
      </c>
      <c r="S223" s="34">
        <f t="shared" si="56"/>
        <v>1.5458017571592761</v>
      </c>
      <c r="T223" s="42">
        <v>38.315068463709203</v>
      </c>
      <c r="U223" s="42">
        <f t="shared" si="57"/>
        <v>1.5833696059173574</v>
      </c>
      <c r="V223">
        <v>3.348721986001856</v>
      </c>
      <c r="W223" s="14">
        <v>5</v>
      </c>
      <c r="X223">
        <v>3.7520876635386311</v>
      </c>
      <c r="Y223">
        <v>8.7275412570285571</v>
      </c>
      <c r="Z223" s="80">
        <v>0.33163267632918236</v>
      </c>
      <c r="AA223">
        <v>4</v>
      </c>
      <c r="AB223">
        <f t="shared" si="58"/>
        <v>0</v>
      </c>
      <c r="AC223">
        <f t="shared" si="59"/>
        <v>0</v>
      </c>
      <c r="AD223">
        <f t="shared" si="60"/>
        <v>0</v>
      </c>
      <c r="AE223">
        <f t="shared" si="61"/>
        <v>1</v>
      </c>
      <c r="AF223">
        <f t="shared" si="62"/>
        <v>0</v>
      </c>
      <c r="AG223">
        <f t="shared" si="63"/>
        <v>0</v>
      </c>
      <c r="AH223">
        <f t="shared" si="64"/>
        <v>0</v>
      </c>
      <c r="AI223">
        <f t="shared" si="65"/>
        <v>0</v>
      </c>
      <c r="AJ223">
        <f t="shared" si="66"/>
        <v>0</v>
      </c>
      <c r="AK223">
        <f t="shared" si="67"/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0</v>
      </c>
      <c r="AX223">
        <v>0</v>
      </c>
      <c r="AY223">
        <v>0</v>
      </c>
      <c r="AZ223">
        <v>0</v>
      </c>
      <c r="BA223">
        <v>0</v>
      </c>
    </row>
    <row r="224" spans="1:53" x14ac:dyDescent="0.35">
      <c r="A224">
        <v>0.2966651902615311</v>
      </c>
      <c r="C224">
        <v>8.4027397260273968</v>
      </c>
      <c r="D224" s="137">
        <f t="shared" si="52"/>
        <v>0.9244209115260108</v>
      </c>
      <c r="E224">
        <v>3.8584156743566731</v>
      </c>
      <c r="F224">
        <v>1.7708520116421442</v>
      </c>
      <c r="G224" s="45">
        <v>2.66</v>
      </c>
      <c r="H224" s="29">
        <f t="shared" si="53"/>
        <v>0.42488163663106698</v>
      </c>
      <c r="I224" s="9">
        <v>2.8134697878296753</v>
      </c>
      <c r="J224" s="34">
        <v>0.12385164096708581</v>
      </c>
      <c r="K224">
        <v>4</v>
      </c>
      <c r="L224" s="137">
        <f t="shared" si="54"/>
        <v>0.6020599913279624</v>
      </c>
      <c r="M224">
        <f t="shared" si="51"/>
        <v>1</v>
      </c>
      <c r="N224">
        <v>90</v>
      </c>
      <c r="O224">
        <v>70</v>
      </c>
      <c r="P224">
        <v>70</v>
      </c>
      <c r="Q224" s="137">
        <f t="shared" si="55"/>
        <v>1.8450980400142569</v>
      </c>
      <c r="R224" s="34">
        <v>39.33</v>
      </c>
      <c r="S224" s="34">
        <f t="shared" si="56"/>
        <v>1.5947239464097467</v>
      </c>
      <c r="T224" s="42">
        <v>46.838198746764199</v>
      </c>
      <c r="U224" s="42">
        <f t="shared" si="57"/>
        <v>1.6706001850898524</v>
      </c>
      <c r="V224">
        <v>3.348721986001856</v>
      </c>
      <c r="W224" s="14">
        <v>5</v>
      </c>
      <c r="X224">
        <v>3.7520876635386311</v>
      </c>
      <c r="Y224">
        <v>8.3979400086720375</v>
      </c>
      <c r="Z224" s="80">
        <v>0.44628939650934418</v>
      </c>
      <c r="AA224">
        <v>5</v>
      </c>
      <c r="AB224">
        <f t="shared" si="58"/>
        <v>0</v>
      </c>
      <c r="AC224">
        <f t="shared" si="59"/>
        <v>0</v>
      </c>
      <c r="AD224">
        <f t="shared" si="60"/>
        <v>0</v>
      </c>
      <c r="AE224">
        <f t="shared" si="61"/>
        <v>0</v>
      </c>
      <c r="AF224">
        <f t="shared" si="62"/>
        <v>1</v>
      </c>
      <c r="AG224">
        <f t="shared" si="63"/>
        <v>0</v>
      </c>
      <c r="AH224">
        <f t="shared" si="64"/>
        <v>0</v>
      </c>
      <c r="AI224">
        <f t="shared" si="65"/>
        <v>0</v>
      </c>
      <c r="AJ224">
        <f t="shared" si="66"/>
        <v>0</v>
      </c>
      <c r="AK224">
        <f t="shared" si="67"/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</row>
    <row r="225" spans="1:53" x14ac:dyDescent="0.35">
      <c r="A225">
        <v>9.4324195066784917E-3</v>
      </c>
      <c r="C225">
        <v>4.5315068493150683</v>
      </c>
      <c r="D225" s="137">
        <f t="shared" si="52"/>
        <v>0.65624264076005312</v>
      </c>
      <c r="E225">
        <v>3.8584156743566731</v>
      </c>
      <c r="F225">
        <v>1.3979400086720377</v>
      </c>
      <c r="G225" s="45">
        <v>2.66</v>
      </c>
      <c r="H225" s="29">
        <f t="shared" si="53"/>
        <v>0.42488163663106698</v>
      </c>
      <c r="I225" s="9">
        <v>2.8134697878296753</v>
      </c>
      <c r="J225" s="34">
        <v>0.24551266781414982</v>
      </c>
      <c r="K225">
        <v>2</v>
      </c>
      <c r="L225" s="137">
        <f t="shared" si="54"/>
        <v>0.3010299956639812</v>
      </c>
      <c r="M225">
        <f t="shared" si="51"/>
        <v>1</v>
      </c>
      <c r="N225">
        <v>90</v>
      </c>
      <c r="O225">
        <v>70</v>
      </c>
      <c r="P225">
        <v>70</v>
      </c>
      <c r="Q225" s="137">
        <f t="shared" si="55"/>
        <v>1.8450980400142569</v>
      </c>
      <c r="R225" s="34">
        <v>39.75</v>
      </c>
      <c r="S225" s="34">
        <f t="shared" si="56"/>
        <v>1.599337132992489</v>
      </c>
      <c r="T225" s="42">
        <v>46.7864254430581</v>
      </c>
      <c r="U225" s="42">
        <f t="shared" si="57"/>
        <v>1.6701198656739731</v>
      </c>
      <c r="V225">
        <v>3.348721986001856</v>
      </c>
      <c r="W225" s="14">
        <v>5</v>
      </c>
      <c r="X225">
        <v>3.7520876635386311</v>
      </c>
      <c r="Y225">
        <v>8.6627578316815743</v>
      </c>
      <c r="Z225" s="80">
        <v>0.84211154902663332</v>
      </c>
      <c r="AA225">
        <v>5</v>
      </c>
      <c r="AB225">
        <f t="shared" si="58"/>
        <v>0</v>
      </c>
      <c r="AC225">
        <f t="shared" si="59"/>
        <v>0</v>
      </c>
      <c r="AD225">
        <f t="shared" si="60"/>
        <v>0</v>
      </c>
      <c r="AE225">
        <f t="shared" si="61"/>
        <v>0</v>
      </c>
      <c r="AF225">
        <f t="shared" si="62"/>
        <v>1</v>
      </c>
      <c r="AG225">
        <f t="shared" si="63"/>
        <v>0</v>
      </c>
      <c r="AH225">
        <f t="shared" si="64"/>
        <v>0</v>
      </c>
      <c r="AI225">
        <f t="shared" si="65"/>
        <v>0</v>
      </c>
      <c r="AJ225">
        <f t="shared" si="66"/>
        <v>0</v>
      </c>
      <c r="AK225">
        <f t="shared" si="67"/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</row>
    <row r="226" spans="1:53" x14ac:dyDescent="0.35">
      <c r="A226">
        <v>0</v>
      </c>
      <c r="C226">
        <v>8.1013698630136979</v>
      </c>
      <c r="D226" s="137">
        <f t="shared" si="52"/>
        <v>0.90855846006964291</v>
      </c>
      <c r="E226">
        <v>0</v>
      </c>
      <c r="F226">
        <v>0.3010299956639812</v>
      </c>
      <c r="G226" s="45">
        <v>3.29</v>
      </c>
      <c r="H226" s="29">
        <f t="shared" si="53"/>
        <v>0.51719589794997434</v>
      </c>
      <c r="I226" s="9">
        <v>0</v>
      </c>
      <c r="J226" s="34">
        <v>0.10720996964786837</v>
      </c>
      <c r="K226">
        <v>18</v>
      </c>
      <c r="L226" s="137">
        <f t="shared" si="54"/>
        <v>1.255272505103306</v>
      </c>
      <c r="M226">
        <f t="shared" si="51"/>
        <v>0</v>
      </c>
      <c r="N226">
        <v>70</v>
      </c>
      <c r="O226">
        <v>70</v>
      </c>
      <c r="P226">
        <v>91.2</v>
      </c>
      <c r="Q226" s="137">
        <f t="shared" si="55"/>
        <v>1.9599948383284163</v>
      </c>
      <c r="R226" s="34">
        <v>33</v>
      </c>
      <c r="S226" s="34">
        <f t="shared" si="56"/>
        <v>1.5185139398778875</v>
      </c>
      <c r="T226" s="42">
        <v>40.902544500539101</v>
      </c>
      <c r="U226" s="42">
        <f t="shared" si="57"/>
        <v>1.6117503258110162</v>
      </c>
      <c r="V226">
        <v>3.2457564512341266</v>
      </c>
      <c r="W226" s="14">
        <v>1</v>
      </c>
      <c r="X226">
        <v>3.8622739403850663</v>
      </c>
      <c r="Y226">
        <v>8</v>
      </c>
      <c r="Z226" s="80">
        <v>-2.6971380907756859E-2</v>
      </c>
      <c r="AA226">
        <v>5</v>
      </c>
      <c r="AB226">
        <f t="shared" si="58"/>
        <v>0</v>
      </c>
      <c r="AC226">
        <f t="shared" si="59"/>
        <v>0</v>
      </c>
      <c r="AD226">
        <f t="shared" si="60"/>
        <v>0</v>
      </c>
      <c r="AE226">
        <f t="shared" si="61"/>
        <v>0</v>
      </c>
      <c r="AF226">
        <f t="shared" si="62"/>
        <v>1</v>
      </c>
      <c r="AG226">
        <f t="shared" si="63"/>
        <v>0</v>
      </c>
      <c r="AH226">
        <f t="shared" si="64"/>
        <v>0</v>
      </c>
      <c r="AI226">
        <f t="shared" si="65"/>
        <v>0</v>
      </c>
      <c r="AJ226">
        <f t="shared" si="66"/>
        <v>0</v>
      </c>
      <c r="AK226">
        <f t="shared" si="67"/>
        <v>0</v>
      </c>
      <c r="AL226">
        <v>0</v>
      </c>
      <c r="AM226">
        <v>1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</row>
    <row r="227" spans="1:53" x14ac:dyDescent="0.35">
      <c r="A227">
        <v>0.75696195131370558</v>
      </c>
      <c r="C227">
        <v>7.3643835616438356</v>
      </c>
      <c r="D227" s="137">
        <f t="shared" si="52"/>
        <v>0.86713639992531288</v>
      </c>
      <c r="E227">
        <v>2.6674249329872439</v>
      </c>
      <c r="F227">
        <v>0.47712125471966244</v>
      </c>
      <c r="G227" s="45">
        <v>2.61</v>
      </c>
      <c r="H227" s="29">
        <f t="shared" si="53"/>
        <v>0.41664050733828095</v>
      </c>
      <c r="I227" s="9">
        <v>2.2881746749783951</v>
      </c>
      <c r="J227" s="34">
        <v>-0.10790539730951958</v>
      </c>
      <c r="K227">
        <v>1</v>
      </c>
      <c r="L227" s="137">
        <f t="shared" si="54"/>
        <v>0</v>
      </c>
      <c r="M227">
        <f t="shared" si="51"/>
        <v>1</v>
      </c>
      <c r="N227">
        <v>70</v>
      </c>
      <c r="O227">
        <v>70</v>
      </c>
      <c r="P227">
        <v>85</v>
      </c>
      <c r="Q227" s="137">
        <f t="shared" si="55"/>
        <v>1.9294189257142926</v>
      </c>
      <c r="R227" s="34">
        <v>28.6</v>
      </c>
      <c r="S227" s="34">
        <f t="shared" si="56"/>
        <v>1.4563660331290431</v>
      </c>
      <c r="T227" s="42">
        <v>32.513676738539097</v>
      </c>
      <c r="U227" s="42">
        <f t="shared" si="57"/>
        <v>1.5120660835216855</v>
      </c>
      <c r="V227">
        <v>3.2860283894181141</v>
      </c>
      <c r="W227" s="14">
        <v>1</v>
      </c>
      <c r="X227">
        <v>3.9098977130890344</v>
      </c>
      <c r="Y227">
        <v>7.2430380486862944</v>
      </c>
      <c r="Z227" s="80">
        <v>-0.15165082606760405</v>
      </c>
      <c r="AA227">
        <v>9</v>
      </c>
      <c r="AB227">
        <f t="shared" si="58"/>
        <v>0</v>
      </c>
      <c r="AC227">
        <f t="shared" si="59"/>
        <v>0</v>
      </c>
      <c r="AD227">
        <f t="shared" si="60"/>
        <v>0</v>
      </c>
      <c r="AE227">
        <f t="shared" si="61"/>
        <v>0</v>
      </c>
      <c r="AF227">
        <f t="shared" si="62"/>
        <v>0</v>
      </c>
      <c r="AG227">
        <f t="shared" si="63"/>
        <v>0</v>
      </c>
      <c r="AH227">
        <f t="shared" si="64"/>
        <v>0</v>
      </c>
      <c r="AI227">
        <f t="shared" si="65"/>
        <v>0</v>
      </c>
      <c r="AJ227">
        <f t="shared" si="66"/>
        <v>1</v>
      </c>
      <c r="AK227">
        <f t="shared" si="67"/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1</v>
      </c>
      <c r="BA227">
        <v>0</v>
      </c>
    </row>
    <row r="228" spans="1:53" x14ac:dyDescent="0.35">
      <c r="A228">
        <v>0.52287874528033762</v>
      </c>
      <c r="C228">
        <v>2.2438356164383562</v>
      </c>
      <c r="D228" s="137">
        <f t="shared" si="52"/>
        <v>0.35099103730394376</v>
      </c>
      <c r="E228">
        <v>2.5542346870234227</v>
      </c>
      <c r="F228">
        <v>1.146128035678238</v>
      </c>
      <c r="G228" s="45">
        <v>3.16</v>
      </c>
      <c r="H228" s="29">
        <f t="shared" si="53"/>
        <v>0.49968708261840383</v>
      </c>
      <c r="I228" s="9">
        <v>2.9876662649262746</v>
      </c>
      <c r="J228" s="34">
        <v>0.13353890837021748</v>
      </c>
      <c r="K228">
        <v>16</v>
      </c>
      <c r="L228" s="137">
        <f t="shared" si="54"/>
        <v>1.2041199826559248</v>
      </c>
      <c r="M228">
        <f t="shared" si="51"/>
        <v>1</v>
      </c>
      <c r="N228">
        <v>70</v>
      </c>
      <c r="O228">
        <v>90</v>
      </c>
      <c r="P228">
        <v>80</v>
      </c>
      <c r="Q228" s="137">
        <f t="shared" si="55"/>
        <v>1.9030899869919435</v>
      </c>
      <c r="R228" s="34">
        <v>38.4</v>
      </c>
      <c r="S228" s="34">
        <f t="shared" si="56"/>
        <v>1.5843312243675307</v>
      </c>
      <c r="T228" s="42">
        <v>43.580244996378802</v>
      </c>
      <c r="U228" s="42">
        <f t="shared" si="57"/>
        <v>1.639289667403498</v>
      </c>
      <c r="V228">
        <v>3.2860283894181141</v>
      </c>
      <c r="W228" s="14">
        <v>1</v>
      </c>
      <c r="X228">
        <v>3.9098977130890344</v>
      </c>
      <c r="Y228">
        <v>8.2552725051033065</v>
      </c>
      <c r="Z228" s="80">
        <v>0.23209009227407007</v>
      </c>
      <c r="AA228">
        <v>9</v>
      </c>
      <c r="AB228">
        <f t="shared" si="58"/>
        <v>0</v>
      </c>
      <c r="AC228">
        <f t="shared" si="59"/>
        <v>0</v>
      </c>
      <c r="AD228">
        <f t="shared" si="60"/>
        <v>0</v>
      </c>
      <c r="AE228">
        <f t="shared" si="61"/>
        <v>0</v>
      </c>
      <c r="AF228">
        <f t="shared" si="62"/>
        <v>0</v>
      </c>
      <c r="AG228">
        <f t="shared" si="63"/>
        <v>0</v>
      </c>
      <c r="AH228">
        <f t="shared" si="64"/>
        <v>0</v>
      </c>
      <c r="AI228">
        <f t="shared" si="65"/>
        <v>0</v>
      </c>
      <c r="AJ228">
        <f t="shared" si="66"/>
        <v>1</v>
      </c>
      <c r="AK228">
        <f t="shared" si="67"/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</row>
    <row r="229" spans="1:53" x14ac:dyDescent="0.35">
      <c r="A229">
        <v>1.2539352388078999</v>
      </c>
      <c r="C229">
        <v>2.4027397260273973</v>
      </c>
      <c r="D229" s="137">
        <f t="shared" si="52"/>
        <v>0.38070672890956581</v>
      </c>
      <c r="E229">
        <v>2.5542346870234227</v>
      </c>
      <c r="F229">
        <v>0.6020599913279624</v>
      </c>
      <c r="G229" s="45">
        <v>3.16</v>
      </c>
      <c r="H229" s="29">
        <f t="shared" si="53"/>
        <v>0.49968708261840383</v>
      </c>
      <c r="I229" s="9">
        <v>2.9876662649262746</v>
      </c>
      <c r="J229" s="34">
        <v>0.13033376849500614</v>
      </c>
      <c r="K229">
        <v>11</v>
      </c>
      <c r="L229" s="137">
        <f t="shared" si="54"/>
        <v>1.0413926851582251</v>
      </c>
      <c r="M229">
        <f t="shared" si="51"/>
        <v>1</v>
      </c>
      <c r="N229">
        <v>70</v>
      </c>
      <c r="O229">
        <v>90</v>
      </c>
      <c r="P229">
        <v>81.900000000000006</v>
      </c>
      <c r="Q229" s="137">
        <f t="shared" si="55"/>
        <v>1.9132839017604184</v>
      </c>
      <c r="R229" s="34">
        <v>35.4</v>
      </c>
      <c r="S229" s="34">
        <f t="shared" si="56"/>
        <v>1.5490032620257879</v>
      </c>
      <c r="T229" s="42">
        <v>46.7926176158091</v>
      </c>
      <c r="U229" s="42">
        <f t="shared" si="57"/>
        <v>1.6701773406464193</v>
      </c>
      <c r="V229">
        <v>3.2860283894181141</v>
      </c>
      <c r="W229" s="14">
        <v>1</v>
      </c>
      <c r="X229">
        <v>3.9098977130890344</v>
      </c>
      <c r="Y229">
        <v>7.012837224705172</v>
      </c>
      <c r="Z229" s="80">
        <v>0.20136461079587509</v>
      </c>
      <c r="AA229">
        <v>5</v>
      </c>
      <c r="AB229">
        <f t="shared" si="58"/>
        <v>0</v>
      </c>
      <c r="AC229">
        <f t="shared" si="59"/>
        <v>0</v>
      </c>
      <c r="AD229">
        <f t="shared" si="60"/>
        <v>0</v>
      </c>
      <c r="AE229">
        <f t="shared" si="61"/>
        <v>0</v>
      </c>
      <c r="AF229">
        <f t="shared" si="62"/>
        <v>1</v>
      </c>
      <c r="AG229">
        <f t="shared" si="63"/>
        <v>0</v>
      </c>
      <c r="AH229">
        <f t="shared" si="64"/>
        <v>0</v>
      </c>
      <c r="AI229">
        <f t="shared" si="65"/>
        <v>0</v>
      </c>
      <c r="AJ229">
        <f t="shared" si="66"/>
        <v>0</v>
      </c>
      <c r="AK229">
        <f t="shared" si="67"/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</row>
    <row r="230" spans="1:53" x14ac:dyDescent="0.35">
      <c r="A230">
        <v>1.6020599913279623</v>
      </c>
      <c r="C230">
        <v>3.9917808219178084</v>
      </c>
      <c r="D230" s="137">
        <f t="shared" si="52"/>
        <v>0.60116668731351541</v>
      </c>
      <c r="E230">
        <v>2.5542346870234227</v>
      </c>
      <c r="F230">
        <v>0</v>
      </c>
      <c r="G230" s="45">
        <v>3.16</v>
      </c>
      <c r="H230" s="29">
        <f t="shared" si="53"/>
        <v>0.49968708261840383</v>
      </c>
      <c r="I230" s="9">
        <v>2.9876662649262746</v>
      </c>
      <c r="J230" s="34">
        <v>-8.092190762392612E-2</v>
      </c>
      <c r="K230">
        <v>7</v>
      </c>
      <c r="L230" s="137">
        <f t="shared" si="54"/>
        <v>0.84509804001425681</v>
      </c>
      <c r="M230">
        <f t="shared" si="51"/>
        <v>1</v>
      </c>
      <c r="N230">
        <v>70</v>
      </c>
      <c r="O230">
        <v>90</v>
      </c>
      <c r="P230">
        <v>88.4</v>
      </c>
      <c r="Q230" s="137">
        <f t="shared" si="55"/>
        <v>1.9464522650130731</v>
      </c>
      <c r="R230" s="34">
        <v>35.700000000000003</v>
      </c>
      <c r="S230" s="34">
        <f t="shared" si="56"/>
        <v>1.5526682161121932</v>
      </c>
      <c r="T230" s="42">
        <v>42.337645557762798</v>
      </c>
      <c r="U230" s="42">
        <f t="shared" si="57"/>
        <v>1.6267267027692975</v>
      </c>
      <c r="V230">
        <v>3.2860283894181141</v>
      </c>
      <c r="W230" s="14">
        <v>1</v>
      </c>
      <c r="X230">
        <v>3.9098977130890344</v>
      </c>
      <c r="Y230">
        <v>7</v>
      </c>
      <c r="Z230" s="80">
        <v>-0.14345604201957729</v>
      </c>
      <c r="AA230">
        <v>8</v>
      </c>
      <c r="AB230">
        <f t="shared" si="58"/>
        <v>0</v>
      </c>
      <c r="AC230">
        <f t="shared" si="59"/>
        <v>0</v>
      </c>
      <c r="AD230">
        <f t="shared" si="60"/>
        <v>0</v>
      </c>
      <c r="AE230">
        <f t="shared" si="61"/>
        <v>0</v>
      </c>
      <c r="AF230">
        <f t="shared" si="62"/>
        <v>0</v>
      </c>
      <c r="AG230">
        <f t="shared" si="63"/>
        <v>0</v>
      </c>
      <c r="AH230">
        <f t="shared" si="64"/>
        <v>0</v>
      </c>
      <c r="AI230">
        <f t="shared" si="65"/>
        <v>1</v>
      </c>
      <c r="AJ230">
        <f t="shared" si="66"/>
        <v>0</v>
      </c>
      <c r="AK230">
        <f t="shared" si="67"/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</row>
    <row r="231" spans="1:53" x14ac:dyDescent="0.35">
      <c r="A231">
        <v>2.7898069076135487E-3</v>
      </c>
      <c r="C231">
        <v>3.43013698630137</v>
      </c>
      <c r="D231" s="137">
        <f t="shared" si="52"/>
        <v>0.5353114644179362</v>
      </c>
      <c r="E231">
        <v>2.5542346870234227</v>
      </c>
      <c r="F231">
        <v>1.2787536009528289</v>
      </c>
      <c r="G231" s="45">
        <v>3.16</v>
      </c>
      <c r="H231" s="29">
        <f t="shared" si="53"/>
        <v>0.49968708261840383</v>
      </c>
      <c r="I231" s="9">
        <v>2.9876662649262746</v>
      </c>
      <c r="J231" s="34">
        <v>0.16731733474817609</v>
      </c>
      <c r="K231">
        <v>2</v>
      </c>
      <c r="L231" s="137">
        <f t="shared" si="54"/>
        <v>0.3010299956639812</v>
      </c>
      <c r="M231">
        <f t="shared" si="51"/>
        <v>1</v>
      </c>
      <c r="N231">
        <v>95</v>
      </c>
      <c r="O231">
        <v>80</v>
      </c>
      <c r="P231">
        <v>70</v>
      </c>
      <c r="Q231" s="137">
        <f t="shared" si="55"/>
        <v>1.8450980400142569</v>
      </c>
      <c r="R231" s="34">
        <v>35</v>
      </c>
      <c r="S231" s="34">
        <f t="shared" si="56"/>
        <v>1.5440680443502757</v>
      </c>
      <c r="T231" s="42">
        <v>43.580897040130701</v>
      </c>
      <c r="U231" s="42">
        <f t="shared" si="57"/>
        <v>1.6392961652303231</v>
      </c>
      <c r="V231">
        <v>3.2860283894181141</v>
      </c>
      <c r="W231" s="14">
        <v>1</v>
      </c>
      <c r="X231">
        <v>3.9098977130890344</v>
      </c>
      <c r="Y231">
        <v>7.9542425094393252</v>
      </c>
      <c r="Z231" s="80">
        <v>0.57784499335201467</v>
      </c>
      <c r="AA231">
        <v>2</v>
      </c>
      <c r="AB231">
        <f t="shared" si="58"/>
        <v>0</v>
      </c>
      <c r="AC231">
        <f t="shared" si="59"/>
        <v>1</v>
      </c>
      <c r="AD231">
        <f t="shared" si="60"/>
        <v>0</v>
      </c>
      <c r="AE231">
        <f t="shared" si="61"/>
        <v>0</v>
      </c>
      <c r="AF231">
        <f t="shared" si="62"/>
        <v>0</v>
      </c>
      <c r="AG231">
        <f t="shared" si="63"/>
        <v>0</v>
      </c>
      <c r="AH231">
        <f t="shared" si="64"/>
        <v>0</v>
      </c>
      <c r="AI231">
        <f t="shared" si="65"/>
        <v>0</v>
      </c>
      <c r="AJ231">
        <f t="shared" si="66"/>
        <v>0</v>
      </c>
      <c r="AK231">
        <f t="shared" si="67"/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</row>
    <row r="232" spans="1:53" x14ac:dyDescent="0.35">
      <c r="A232">
        <v>1.4332609045847848</v>
      </c>
      <c r="C232">
        <v>4.9835616438356167</v>
      </c>
      <c r="D232" s="137">
        <f t="shared" si="52"/>
        <v>0.69753983460700886</v>
      </c>
      <c r="E232">
        <v>2.9629325585580042</v>
      </c>
      <c r="F232">
        <v>1.255272505103306</v>
      </c>
      <c r="G232" s="45">
        <v>2.62</v>
      </c>
      <c r="H232" s="29">
        <f t="shared" si="53"/>
        <v>0.41830129131974547</v>
      </c>
      <c r="I232" s="9">
        <v>2.9323046139517812</v>
      </c>
      <c r="J232" s="34">
        <v>0.2355284469075489</v>
      </c>
      <c r="K232">
        <v>12</v>
      </c>
      <c r="L232" s="137">
        <f t="shared" si="54"/>
        <v>1.0791812460476249</v>
      </c>
      <c r="M232">
        <f t="shared" si="51"/>
        <v>1</v>
      </c>
      <c r="N232">
        <v>70</v>
      </c>
      <c r="O232">
        <v>70</v>
      </c>
      <c r="P232">
        <v>90.5</v>
      </c>
      <c r="Q232" s="137">
        <f t="shared" si="55"/>
        <v>1.9566485792052033</v>
      </c>
      <c r="R232" s="34">
        <v>36.4</v>
      </c>
      <c r="S232" s="34">
        <f t="shared" si="56"/>
        <v>1.5611013836490559</v>
      </c>
      <c r="T232" s="42">
        <v>44.295389122127702</v>
      </c>
      <c r="U232" s="42">
        <f t="shared" si="57"/>
        <v>1.6463585211883986</v>
      </c>
      <c r="V232">
        <v>3.2860283894181141</v>
      </c>
      <c r="W232" s="14">
        <v>1</v>
      </c>
      <c r="X232">
        <v>3.9098977130890344</v>
      </c>
      <c r="Y232">
        <v>7.1687990867431779</v>
      </c>
      <c r="Z232" s="80">
        <v>0.32320049704935361</v>
      </c>
      <c r="AA232">
        <v>1</v>
      </c>
      <c r="AB232">
        <f t="shared" si="58"/>
        <v>1</v>
      </c>
      <c r="AC232">
        <f t="shared" si="59"/>
        <v>0</v>
      </c>
      <c r="AD232">
        <f t="shared" si="60"/>
        <v>0</v>
      </c>
      <c r="AE232">
        <f t="shared" si="61"/>
        <v>0</v>
      </c>
      <c r="AF232">
        <f t="shared" si="62"/>
        <v>0</v>
      </c>
      <c r="AG232">
        <f t="shared" si="63"/>
        <v>0</v>
      </c>
      <c r="AH232">
        <f t="shared" si="64"/>
        <v>0</v>
      </c>
      <c r="AI232">
        <f t="shared" si="65"/>
        <v>0</v>
      </c>
      <c r="AJ232">
        <f t="shared" si="66"/>
        <v>0</v>
      </c>
      <c r="AK232">
        <f t="shared" si="67"/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</row>
    <row r="233" spans="1:53" x14ac:dyDescent="0.35">
      <c r="A233">
        <v>0.22475751901294613</v>
      </c>
      <c r="C233">
        <v>5.2136986301369861</v>
      </c>
      <c r="D233" s="137">
        <f t="shared" si="52"/>
        <v>0.71714592383054576</v>
      </c>
      <c r="E233">
        <v>2.9629325585580042</v>
      </c>
      <c r="F233">
        <v>1.2041199826559248</v>
      </c>
      <c r="G233" s="45">
        <v>2.62</v>
      </c>
      <c r="H233" s="29">
        <f t="shared" si="53"/>
        <v>0.41830129131974547</v>
      </c>
      <c r="I233" s="9">
        <v>2.9323046139517812</v>
      </c>
      <c r="J233" s="34">
        <v>0.2355284469075489</v>
      </c>
      <c r="K233">
        <v>10</v>
      </c>
      <c r="L233" s="137">
        <f t="shared" si="54"/>
        <v>1</v>
      </c>
      <c r="M233">
        <f t="shared" si="51"/>
        <v>1</v>
      </c>
      <c r="N233">
        <v>70</v>
      </c>
      <c r="O233">
        <v>70</v>
      </c>
      <c r="P233">
        <v>89.6</v>
      </c>
      <c r="Q233" s="137">
        <f t="shared" si="55"/>
        <v>1.9523080096621253</v>
      </c>
      <c r="R233" s="34">
        <v>35</v>
      </c>
      <c r="S233" s="34">
        <f t="shared" si="56"/>
        <v>1.5440680443502757</v>
      </c>
      <c r="T233" s="42">
        <v>47.255451423610303</v>
      </c>
      <c r="U233" s="42">
        <f t="shared" si="57"/>
        <v>1.6744519162659719</v>
      </c>
      <c r="V233">
        <v>3.2860283894181141</v>
      </c>
      <c r="W233" s="14">
        <v>1</v>
      </c>
      <c r="X233">
        <v>3.9098977130890344</v>
      </c>
      <c r="Y233">
        <v>8.0974617757209728</v>
      </c>
      <c r="Z233" s="80">
        <v>0.22630658443066975</v>
      </c>
      <c r="AA233">
        <v>1</v>
      </c>
      <c r="AB233">
        <f t="shared" si="58"/>
        <v>1</v>
      </c>
      <c r="AC233">
        <f t="shared" si="59"/>
        <v>0</v>
      </c>
      <c r="AD233">
        <f t="shared" si="60"/>
        <v>0</v>
      </c>
      <c r="AE233">
        <f t="shared" si="61"/>
        <v>0</v>
      </c>
      <c r="AF233">
        <f t="shared" si="62"/>
        <v>0</v>
      </c>
      <c r="AG233">
        <f t="shared" si="63"/>
        <v>0</v>
      </c>
      <c r="AH233">
        <f t="shared" si="64"/>
        <v>0</v>
      </c>
      <c r="AI233">
        <f t="shared" si="65"/>
        <v>0</v>
      </c>
      <c r="AJ233">
        <f t="shared" si="66"/>
        <v>0</v>
      </c>
      <c r="AK233">
        <f t="shared" si="67"/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1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</row>
    <row r="234" spans="1:53" x14ac:dyDescent="0.35">
      <c r="A234">
        <v>9.691001300805642E-2</v>
      </c>
      <c r="C234">
        <v>3.7780821917808218</v>
      </c>
      <c r="D234" s="137">
        <f t="shared" si="52"/>
        <v>0.57727140171937508</v>
      </c>
      <c r="E234">
        <v>2.9629325585580042</v>
      </c>
      <c r="F234">
        <v>1.4623979978989561</v>
      </c>
      <c r="G234" s="45">
        <v>2.62</v>
      </c>
      <c r="H234" s="29">
        <f t="shared" si="53"/>
        <v>0.41830129131974547</v>
      </c>
      <c r="I234" s="9">
        <v>2.9323046139517812</v>
      </c>
      <c r="J234" s="34">
        <v>-4.5757490560675115E-2</v>
      </c>
      <c r="K234">
        <v>7</v>
      </c>
      <c r="L234" s="137">
        <f t="shared" si="54"/>
        <v>0.84509804001425681</v>
      </c>
      <c r="M234">
        <f t="shared" si="51"/>
        <v>1</v>
      </c>
      <c r="N234">
        <v>70</v>
      </c>
      <c r="O234">
        <v>70</v>
      </c>
      <c r="P234">
        <v>88.9</v>
      </c>
      <c r="Q234" s="137">
        <f t="shared" si="55"/>
        <v>1.9489017609702137</v>
      </c>
      <c r="R234" s="34">
        <v>34.9</v>
      </c>
      <c r="S234" s="34">
        <f t="shared" si="56"/>
        <v>1.5428254269591799</v>
      </c>
      <c r="T234" s="42">
        <v>42.817370475444001</v>
      </c>
      <c r="U234" s="42">
        <f t="shared" si="57"/>
        <v>1.6316199926391717</v>
      </c>
      <c r="V234">
        <v>3.2860283894181141</v>
      </c>
      <c r="W234" s="14">
        <v>1</v>
      </c>
      <c r="X234">
        <v>3.9098977130890344</v>
      </c>
      <c r="Y234">
        <v>8.3113299523037938</v>
      </c>
      <c r="Z234" s="80">
        <v>-2.8211700055691069E-2</v>
      </c>
      <c r="AA234">
        <v>1</v>
      </c>
      <c r="AB234">
        <f t="shared" si="58"/>
        <v>1</v>
      </c>
      <c r="AC234">
        <f t="shared" si="59"/>
        <v>0</v>
      </c>
      <c r="AD234">
        <f t="shared" si="60"/>
        <v>0</v>
      </c>
      <c r="AE234">
        <f t="shared" si="61"/>
        <v>0</v>
      </c>
      <c r="AF234">
        <f t="shared" si="62"/>
        <v>0</v>
      </c>
      <c r="AG234">
        <f t="shared" si="63"/>
        <v>0</v>
      </c>
      <c r="AH234">
        <f t="shared" si="64"/>
        <v>0</v>
      </c>
      <c r="AI234">
        <f t="shared" si="65"/>
        <v>0</v>
      </c>
      <c r="AJ234">
        <f t="shared" si="66"/>
        <v>0</v>
      </c>
      <c r="AK234">
        <f t="shared" si="67"/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1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</row>
    <row r="235" spans="1:53" x14ac:dyDescent="0.35">
      <c r="A235">
        <v>0.24167638572197084</v>
      </c>
      <c r="C235">
        <v>2.9506849315068493</v>
      </c>
      <c r="D235" s="137">
        <f t="shared" si="52"/>
        <v>0.46992283884150687</v>
      </c>
      <c r="E235">
        <v>2.9629325585580042</v>
      </c>
      <c r="F235">
        <v>1.9084850188786497</v>
      </c>
      <c r="G235" s="45">
        <v>2.62</v>
      </c>
      <c r="H235" s="29">
        <f t="shared" si="53"/>
        <v>0.41830129131974547</v>
      </c>
      <c r="I235" s="9">
        <v>2.9323046139517812</v>
      </c>
      <c r="J235" s="34">
        <v>0.10037054511756291</v>
      </c>
      <c r="K235">
        <v>4</v>
      </c>
      <c r="L235" s="137">
        <f t="shared" si="54"/>
        <v>0.6020599913279624</v>
      </c>
      <c r="M235">
        <f t="shared" si="51"/>
        <v>1</v>
      </c>
      <c r="N235">
        <v>70</v>
      </c>
      <c r="O235">
        <v>70</v>
      </c>
      <c r="P235">
        <v>70</v>
      </c>
      <c r="Q235" s="137">
        <f t="shared" si="55"/>
        <v>1.8450980400142569</v>
      </c>
      <c r="R235" s="34">
        <v>33.9</v>
      </c>
      <c r="S235" s="34">
        <f t="shared" si="56"/>
        <v>1.5301996982030821</v>
      </c>
      <c r="T235" s="42">
        <v>46.312020505412598</v>
      </c>
      <c r="U235" s="42">
        <f t="shared" si="57"/>
        <v>1.6656937288498501</v>
      </c>
      <c r="V235">
        <v>3.2860283894181141</v>
      </c>
      <c r="W235" s="14">
        <v>1</v>
      </c>
      <c r="X235">
        <v>3.9098977130890344</v>
      </c>
      <c r="Y235">
        <v>8.0606978403536118</v>
      </c>
      <c r="Z235" s="80">
        <v>0.43274150668643863</v>
      </c>
      <c r="AA235">
        <v>5</v>
      </c>
      <c r="AB235">
        <f t="shared" si="58"/>
        <v>0</v>
      </c>
      <c r="AC235">
        <f t="shared" si="59"/>
        <v>0</v>
      </c>
      <c r="AD235">
        <f t="shared" si="60"/>
        <v>0</v>
      </c>
      <c r="AE235">
        <f t="shared" si="61"/>
        <v>0</v>
      </c>
      <c r="AF235">
        <f t="shared" si="62"/>
        <v>1</v>
      </c>
      <c r="AG235">
        <f t="shared" si="63"/>
        <v>0</v>
      </c>
      <c r="AH235">
        <f t="shared" si="64"/>
        <v>0</v>
      </c>
      <c r="AI235">
        <f t="shared" si="65"/>
        <v>0</v>
      </c>
      <c r="AJ235">
        <f t="shared" si="66"/>
        <v>0</v>
      </c>
      <c r="AK235">
        <f t="shared" si="67"/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1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</row>
    <row r="236" spans="1:53" x14ac:dyDescent="0.35">
      <c r="A236">
        <v>0.51673804142676738</v>
      </c>
      <c r="C236">
        <v>2.3890410958904109</v>
      </c>
      <c r="D236" s="137">
        <f t="shared" si="52"/>
        <v>0.37822362047609248</v>
      </c>
      <c r="E236">
        <v>2.9629325585580042</v>
      </c>
      <c r="F236">
        <v>1.7781512503836436</v>
      </c>
      <c r="G236" s="45">
        <v>2.62</v>
      </c>
      <c r="H236" s="29">
        <f t="shared" si="53"/>
        <v>0.41830129131974547</v>
      </c>
      <c r="I236" s="9">
        <v>2.9323046139517812</v>
      </c>
      <c r="J236" s="34">
        <v>0.10720996964786837</v>
      </c>
      <c r="K236">
        <v>2</v>
      </c>
      <c r="L236" s="137">
        <f t="shared" si="54"/>
        <v>0.3010299956639812</v>
      </c>
      <c r="M236">
        <f t="shared" si="51"/>
        <v>1</v>
      </c>
      <c r="N236">
        <v>70</v>
      </c>
      <c r="O236">
        <v>70</v>
      </c>
      <c r="P236">
        <v>70</v>
      </c>
      <c r="Q236" s="137">
        <f t="shared" si="55"/>
        <v>1.8450980400142569</v>
      </c>
      <c r="R236" s="34">
        <v>34.4</v>
      </c>
      <c r="S236" s="34">
        <f t="shared" si="56"/>
        <v>1.5365584425715302</v>
      </c>
      <c r="T236" s="42">
        <v>47.264053157349203</v>
      </c>
      <c r="U236" s="42">
        <f t="shared" si="57"/>
        <v>1.6745309620782511</v>
      </c>
      <c r="V236">
        <v>3.2860283894181141</v>
      </c>
      <c r="W236" s="14">
        <v>1</v>
      </c>
      <c r="X236">
        <v>3.9098977130890344</v>
      </c>
      <c r="Y236">
        <v>8.1760912590556813</v>
      </c>
      <c r="Z236" s="80">
        <v>0.26038244805582944</v>
      </c>
      <c r="AA236">
        <v>5</v>
      </c>
      <c r="AB236">
        <f t="shared" si="58"/>
        <v>0</v>
      </c>
      <c r="AC236">
        <f t="shared" si="59"/>
        <v>0</v>
      </c>
      <c r="AD236">
        <f t="shared" si="60"/>
        <v>0</v>
      </c>
      <c r="AE236">
        <f t="shared" si="61"/>
        <v>0</v>
      </c>
      <c r="AF236">
        <f t="shared" si="62"/>
        <v>1</v>
      </c>
      <c r="AG236">
        <f t="shared" si="63"/>
        <v>0</v>
      </c>
      <c r="AH236">
        <f t="shared" si="64"/>
        <v>0</v>
      </c>
      <c r="AI236">
        <f t="shared" si="65"/>
        <v>0</v>
      </c>
      <c r="AJ236">
        <f t="shared" si="66"/>
        <v>0</v>
      </c>
      <c r="AK236">
        <f t="shared" si="67"/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1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</row>
    <row r="237" spans="1:53" x14ac:dyDescent="0.35">
      <c r="A237">
        <v>0.66217254470212683</v>
      </c>
      <c r="C237">
        <v>5.4438356164383563</v>
      </c>
      <c r="D237" s="137">
        <f t="shared" si="52"/>
        <v>0.73590500265334047</v>
      </c>
      <c r="E237">
        <v>2.5987029826834349</v>
      </c>
      <c r="F237">
        <v>0.95424250943932487</v>
      </c>
      <c r="G237" s="45">
        <v>3.35</v>
      </c>
      <c r="H237" s="29">
        <f t="shared" si="53"/>
        <v>0.5250448070368452</v>
      </c>
      <c r="I237" s="9">
        <v>2.5401208298279827</v>
      </c>
      <c r="J237" s="34">
        <v>2.5305865264770262E-2</v>
      </c>
      <c r="K237">
        <v>11</v>
      </c>
      <c r="L237" s="137">
        <f t="shared" si="54"/>
        <v>1.0413926851582251</v>
      </c>
      <c r="M237">
        <f t="shared" si="51"/>
        <v>1</v>
      </c>
      <c r="N237">
        <v>70</v>
      </c>
      <c r="O237">
        <v>70</v>
      </c>
      <c r="P237">
        <v>70</v>
      </c>
      <c r="Q237" s="137">
        <f t="shared" si="55"/>
        <v>1.8450980400142569</v>
      </c>
      <c r="R237" s="34">
        <v>46.6</v>
      </c>
      <c r="S237" s="34">
        <f t="shared" si="56"/>
        <v>1.6683859166900001</v>
      </c>
      <c r="T237" s="42">
        <v>52.311776995296299</v>
      </c>
      <c r="U237" s="42">
        <f t="shared" si="57"/>
        <v>1.7185994729646119</v>
      </c>
      <c r="V237">
        <v>3.277819633965128</v>
      </c>
      <c r="W237" s="14">
        <v>5</v>
      </c>
      <c r="X237">
        <v>3.9304083853612104</v>
      </c>
      <c r="Y237">
        <v>7.6151680596380977</v>
      </c>
      <c r="Z237" s="80">
        <v>0.14942932461760861</v>
      </c>
      <c r="AA237">
        <v>9</v>
      </c>
      <c r="AB237">
        <f t="shared" si="58"/>
        <v>0</v>
      </c>
      <c r="AC237">
        <f t="shared" si="59"/>
        <v>0</v>
      </c>
      <c r="AD237">
        <f t="shared" si="60"/>
        <v>0</v>
      </c>
      <c r="AE237">
        <f t="shared" si="61"/>
        <v>0</v>
      </c>
      <c r="AF237">
        <f t="shared" si="62"/>
        <v>0</v>
      </c>
      <c r="AG237">
        <f t="shared" si="63"/>
        <v>0</v>
      </c>
      <c r="AH237">
        <f t="shared" si="64"/>
        <v>0</v>
      </c>
      <c r="AI237">
        <f t="shared" si="65"/>
        <v>0</v>
      </c>
      <c r="AJ237">
        <f t="shared" si="66"/>
        <v>1</v>
      </c>
      <c r="AK237">
        <f t="shared" si="67"/>
        <v>0</v>
      </c>
      <c r="AL237">
        <v>0</v>
      </c>
      <c r="AM237">
        <v>0</v>
      </c>
      <c r="AN237">
        <v>0</v>
      </c>
      <c r="AO237">
        <v>0</v>
      </c>
      <c r="AP237">
        <v>1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</row>
    <row r="238" spans="1:53" x14ac:dyDescent="0.35">
      <c r="A238">
        <v>9.691001300805642E-2</v>
      </c>
      <c r="C238">
        <v>7.1342465753424653</v>
      </c>
      <c r="D238" s="137">
        <f t="shared" si="52"/>
        <v>0.85334811543967959</v>
      </c>
      <c r="E238">
        <v>3.840813443212804</v>
      </c>
      <c r="F238">
        <v>0.6020599913279624</v>
      </c>
      <c r="G238" s="45">
        <v>2.92</v>
      </c>
      <c r="H238" s="29">
        <f t="shared" si="53"/>
        <v>0.46538285144841829</v>
      </c>
      <c r="I238" s="9">
        <v>2.6316128538827028</v>
      </c>
      <c r="J238" s="34">
        <v>8.6359830674748214E-2</v>
      </c>
      <c r="K238">
        <v>14</v>
      </c>
      <c r="L238" s="137">
        <f t="shared" si="54"/>
        <v>1.146128035678238</v>
      </c>
      <c r="M238">
        <f t="shared" si="51"/>
        <v>1</v>
      </c>
      <c r="N238">
        <v>70</v>
      </c>
      <c r="O238">
        <v>70</v>
      </c>
      <c r="P238">
        <v>85</v>
      </c>
      <c r="Q238" s="137">
        <f t="shared" si="55"/>
        <v>1.9294189257142926</v>
      </c>
      <c r="R238" s="34">
        <v>24.4</v>
      </c>
      <c r="S238" s="34">
        <f t="shared" si="56"/>
        <v>1.3873898263387294</v>
      </c>
      <c r="T238" s="42">
        <v>37.256914365427299</v>
      </c>
      <c r="U238" s="42">
        <f t="shared" si="57"/>
        <v>1.5712068835833228</v>
      </c>
      <c r="V238">
        <v>3.277819633965128</v>
      </c>
      <c r="W238" s="14">
        <v>5</v>
      </c>
      <c r="X238">
        <v>3.9304083853612104</v>
      </c>
      <c r="Y238">
        <v>6.9030899869919438</v>
      </c>
      <c r="Z238" s="80">
        <v>0.42189023588264374</v>
      </c>
      <c r="AA238">
        <v>1</v>
      </c>
      <c r="AB238">
        <f t="shared" si="58"/>
        <v>1</v>
      </c>
      <c r="AC238">
        <f t="shared" si="59"/>
        <v>0</v>
      </c>
      <c r="AD238">
        <f t="shared" si="60"/>
        <v>0</v>
      </c>
      <c r="AE238">
        <f t="shared" si="61"/>
        <v>0</v>
      </c>
      <c r="AF238">
        <f t="shared" si="62"/>
        <v>0</v>
      </c>
      <c r="AG238">
        <f t="shared" si="63"/>
        <v>0</v>
      </c>
      <c r="AH238">
        <f t="shared" si="64"/>
        <v>0</v>
      </c>
      <c r="AI238">
        <f t="shared" si="65"/>
        <v>0</v>
      </c>
      <c r="AJ238">
        <f t="shared" si="66"/>
        <v>0</v>
      </c>
      <c r="AK238">
        <f t="shared" si="67"/>
        <v>0</v>
      </c>
      <c r="AL238">
        <v>1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</row>
    <row r="239" spans="1:53" x14ac:dyDescent="0.35">
      <c r="A239">
        <v>0.84593942448518078</v>
      </c>
      <c r="C239">
        <v>9.6794520547945204</v>
      </c>
      <c r="D239" s="137">
        <f t="shared" si="52"/>
        <v>0.98585077297837076</v>
      </c>
      <c r="E239">
        <v>2.5987029826834349</v>
      </c>
      <c r="F239">
        <v>0.77815125038364363</v>
      </c>
      <c r="G239" s="45">
        <v>3.35</v>
      </c>
      <c r="H239" s="29">
        <f t="shared" si="53"/>
        <v>0.5250448070368452</v>
      </c>
      <c r="I239" s="9">
        <v>2.5401208298279827</v>
      </c>
      <c r="J239" s="34">
        <v>0.18469143081759881</v>
      </c>
      <c r="K239">
        <v>13</v>
      </c>
      <c r="L239" s="137">
        <f t="shared" si="54"/>
        <v>1.1139433523068367</v>
      </c>
      <c r="M239">
        <f t="shared" si="51"/>
        <v>1</v>
      </c>
      <c r="N239">
        <v>70</v>
      </c>
      <c r="O239">
        <v>70</v>
      </c>
      <c r="P239">
        <v>70</v>
      </c>
      <c r="Q239" s="137">
        <f t="shared" si="55"/>
        <v>1.8450980400142569</v>
      </c>
      <c r="R239" s="34">
        <v>45.2</v>
      </c>
      <c r="S239" s="34">
        <f t="shared" si="56"/>
        <v>1.6551384348113822</v>
      </c>
      <c r="T239" s="42">
        <v>53.8530722517336</v>
      </c>
      <c r="U239" s="42">
        <f t="shared" si="57"/>
        <v>1.7312104843083773</v>
      </c>
      <c r="V239">
        <v>3.277819633965128</v>
      </c>
      <c r="W239" s="14">
        <v>5</v>
      </c>
      <c r="X239">
        <v>3.9304083853612104</v>
      </c>
      <c r="Y239">
        <v>6.344392273685111</v>
      </c>
      <c r="Z239" s="80">
        <v>0.51462510403268524</v>
      </c>
      <c r="AA239">
        <v>9</v>
      </c>
      <c r="AB239">
        <f t="shared" si="58"/>
        <v>0</v>
      </c>
      <c r="AC239">
        <f t="shared" si="59"/>
        <v>0</v>
      </c>
      <c r="AD239">
        <f t="shared" si="60"/>
        <v>0</v>
      </c>
      <c r="AE239">
        <f t="shared" si="61"/>
        <v>0</v>
      </c>
      <c r="AF239">
        <f t="shared" si="62"/>
        <v>0</v>
      </c>
      <c r="AG239">
        <f t="shared" si="63"/>
        <v>0</v>
      </c>
      <c r="AH239">
        <f t="shared" si="64"/>
        <v>0</v>
      </c>
      <c r="AI239">
        <f t="shared" si="65"/>
        <v>0</v>
      </c>
      <c r="AJ239">
        <f t="shared" si="66"/>
        <v>1</v>
      </c>
      <c r="AK239">
        <f t="shared" si="67"/>
        <v>0</v>
      </c>
      <c r="AL239">
        <v>0</v>
      </c>
      <c r="AM239">
        <v>0</v>
      </c>
      <c r="AN239">
        <v>0</v>
      </c>
      <c r="AO239">
        <v>0</v>
      </c>
      <c r="AP239">
        <v>1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</row>
    <row r="240" spans="1:53" x14ac:dyDescent="0.35">
      <c r="A240">
        <v>1.2117945616294652</v>
      </c>
      <c r="C240">
        <v>5.4602739726027396</v>
      </c>
      <c r="D240" s="137">
        <f t="shared" si="52"/>
        <v>0.7372144342440129</v>
      </c>
      <c r="E240">
        <v>2.5987029826834349</v>
      </c>
      <c r="F240">
        <v>1.2787536009528289</v>
      </c>
      <c r="G240" s="45">
        <v>3.35</v>
      </c>
      <c r="H240" s="29">
        <f t="shared" si="53"/>
        <v>0.5250448070368452</v>
      </c>
      <c r="I240" s="9">
        <v>2.5401208298279827</v>
      </c>
      <c r="J240" s="34">
        <v>0.13672056715640679</v>
      </c>
      <c r="K240">
        <v>13</v>
      </c>
      <c r="L240" s="137">
        <f t="shared" si="54"/>
        <v>1.1139433523068367</v>
      </c>
      <c r="M240">
        <f t="shared" si="51"/>
        <v>1</v>
      </c>
      <c r="N240">
        <v>70</v>
      </c>
      <c r="O240">
        <v>70</v>
      </c>
      <c r="P240">
        <v>70</v>
      </c>
      <c r="Q240" s="137">
        <f t="shared" si="55"/>
        <v>1.8450980400142569</v>
      </c>
      <c r="R240" s="34">
        <v>45.2</v>
      </c>
      <c r="S240" s="34">
        <f t="shared" si="56"/>
        <v>1.6551384348113822</v>
      </c>
      <c r="T240" s="42">
        <v>53.8530722517336</v>
      </c>
      <c r="U240" s="42">
        <f t="shared" si="57"/>
        <v>1.7312104843083773</v>
      </c>
      <c r="V240">
        <v>3.277819633965128</v>
      </c>
      <c r="W240" s="14">
        <v>5</v>
      </c>
      <c r="X240">
        <v>3.9304083853612104</v>
      </c>
      <c r="Y240">
        <v>6.337858429041094</v>
      </c>
      <c r="Z240" s="80">
        <v>0.37081268427325775</v>
      </c>
      <c r="AA240">
        <v>9</v>
      </c>
      <c r="AB240">
        <f t="shared" si="58"/>
        <v>0</v>
      </c>
      <c r="AC240">
        <f t="shared" si="59"/>
        <v>0</v>
      </c>
      <c r="AD240">
        <f t="shared" si="60"/>
        <v>0</v>
      </c>
      <c r="AE240">
        <f t="shared" si="61"/>
        <v>0</v>
      </c>
      <c r="AF240">
        <f t="shared" si="62"/>
        <v>0</v>
      </c>
      <c r="AG240">
        <f t="shared" si="63"/>
        <v>0</v>
      </c>
      <c r="AH240">
        <f t="shared" si="64"/>
        <v>0</v>
      </c>
      <c r="AI240">
        <f t="shared" si="65"/>
        <v>0</v>
      </c>
      <c r="AJ240">
        <f t="shared" si="66"/>
        <v>1</v>
      </c>
      <c r="AK240">
        <f t="shared" si="67"/>
        <v>0</v>
      </c>
      <c r="AL240">
        <v>0</v>
      </c>
      <c r="AM240">
        <v>0</v>
      </c>
      <c r="AN240">
        <v>0</v>
      </c>
      <c r="AO240">
        <v>0</v>
      </c>
      <c r="AP240">
        <v>1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</row>
    <row r="241" spans="1:53" x14ac:dyDescent="0.35">
      <c r="A241">
        <v>4.0163924050212831E-2</v>
      </c>
      <c r="C241">
        <v>3.0547945205479454</v>
      </c>
      <c r="D241" s="137">
        <f t="shared" si="52"/>
        <v>0.48498200292770483</v>
      </c>
      <c r="E241">
        <v>3.127956346922264</v>
      </c>
      <c r="F241">
        <v>2.2787536009528289</v>
      </c>
      <c r="G241" s="45">
        <v>2.93</v>
      </c>
      <c r="H241" s="29">
        <f t="shared" si="53"/>
        <v>0.4668676203541095</v>
      </c>
      <c r="I241" s="9">
        <v>2.307496037913213</v>
      </c>
      <c r="J241" s="34">
        <v>-4.5757490560675115E-2</v>
      </c>
      <c r="K241">
        <v>12</v>
      </c>
      <c r="L241" s="137">
        <f t="shared" si="54"/>
        <v>1.0791812460476249</v>
      </c>
      <c r="M241">
        <f t="shared" si="51"/>
        <v>1</v>
      </c>
      <c r="N241">
        <v>85</v>
      </c>
      <c r="O241">
        <v>80</v>
      </c>
      <c r="P241">
        <v>70</v>
      </c>
      <c r="Q241" s="137">
        <f t="shared" si="55"/>
        <v>1.8450980400142569</v>
      </c>
      <c r="R241" s="34">
        <v>43.1</v>
      </c>
      <c r="S241" s="34">
        <f t="shared" si="56"/>
        <v>1.6344772701607315</v>
      </c>
      <c r="T241" s="42">
        <v>51.718307112209096</v>
      </c>
      <c r="U241" s="42">
        <f t="shared" si="57"/>
        <v>1.7136443007431839</v>
      </c>
      <c r="V241">
        <v>3.277819633965128</v>
      </c>
      <c r="W241" s="14">
        <v>2</v>
      </c>
      <c r="X241">
        <v>3.9304083853612104</v>
      </c>
      <c r="Y241">
        <v>8.4369573306694488</v>
      </c>
      <c r="Z241" s="80">
        <v>-0.21558722461581392</v>
      </c>
      <c r="AA241">
        <v>1</v>
      </c>
      <c r="AB241">
        <f t="shared" si="58"/>
        <v>1</v>
      </c>
      <c r="AC241">
        <f t="shared" si="59"/>
        <v>0</v>
      </c>
      <c r="AD241">
        <f t="shared" si="60"/>
        <v>0</v>
      </c>
      <c r="AE241">
        <f t="shared" si="61"/>
        <v>0</v>
      </c>
      <c r="AF241">
        <f t="shared" si="62"/>
        <v>0</v>
      </c>
      <c r="AG241">
        <f t="shared" si="63"/>
        <v>0</v>
      </c>
      <c r="AH241">
        <f t="shared" si="64"/>
        <v>0</v>
      </c>
      <c r="AI241">
        <f t="shared" si="65"/>
        <v>0</v>
      </c>
      <c r="AJ241">
        <f t="shared" si="66"/>
        <v>0</v>
      </c>
      <c r="AK241">
        <f t="shared" si="67"/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1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</row>
    <row r="242" spans="1:53" x14ac:dyDescent="0.35">
      <c r="A242">
        <v>0.77469071827413716</v>
      </c>
      <c r="C242">
        <v>2.6</v>
      </c>
      <c r="D242" s="137">
        <f t="shared" si="52"/>
        <v>0.41497334797081797</v>
      </c>
      <c r="E242">
        <v>3.1177384910037165</v>
      </c>
      <c r="F242">
        <v>1.4313637641589874</v>
      </c>
      <c r="G242" s="45">
        <v>2.99</v>
      </c>
      <c r="H242" s="29">
        <f t="shared" si="53"/>
        <v>0.47567118832442967</v>
      </c>
      <c r="I242" s="9">
        <v>2.8969852540843504</v>
      </c>
      <c r="J242" s="34">
        <v>0.11058971029924898</v>
      </c>
      <c r="K242">
        <v>16</v>
      </c>
      <c r="L242" s="137">
        <f t="shared" si="54"/>
        <v>1.2041199826559248</v>
      </c>
      <c r="M242">
        <f t="shared" si="51"/>
        <v>1</v>
      </c>
      <c r="N242">
        <v>70</v>
      </c>
      <c r="O242">
        <v>70</v>
      </c>
      <c r="P242">
        <v>70</v>
      </c>
      <c r="Q242" s="137">
        <f t="shared" si="55"/>
        <v>1.8450980400142569</v>
      </c>
      <c r="R242" s="34">
        <v>33.9</v>
      </c>
      <c r="S242" s="34">
        <f t="shared" si="56"/>
        <v>1.5301996982030821</v>
      </c>
      <c r="T242" s="42">
        <v>46.200073016176603</v>
      </c>
      <c r="U242" s="42">
        <f t="shared" si="57"/>
        <v>1.664642661930531</v>
      </c>
      <c r="V242">
        <v>3.277819633965128</v>
      </c>
      <c r="W242" s="14">
        <v>2</v>
      </c>
      <c r="X242">
        <v>3.9304083853612104</v>
      </c>
      <c r="Y242">
        <v>8.2253092817258633</v>
      </c>
      <c r="Z242" s="80">
        <v>0.35969385744350468</v>
      </c>
      <c r="AA242">
        <v>5</v>
      </c>
      <c r="AB242">
        <f t="shared" si="58"/>
        <v>0</v>
      </c>
      <c r="AC242">
        <f t="shared" si="59"/>
        <v>0</v>
      </c>
      <c r="AD242">
        <f t="shared" si="60"/>
        <v>0</v>
      </c>
      <c r="AE242">
        <f t="shared" si="61"/>
        <v>0</v>
      </c>
      <c r="AF242">
        <f t="shared" si="62"/>
        <v>1</v>
      </c>
      <c r="AG242">
        <f t="shared" si="63"/>
        <v>0</v>
      </c>
      <c r="AH242">
        <f t="shared" si="64"/>
        <v>0</v>
      </c>
      <c r="AI242">
        <f t="shared" si="65"/>
        <v>0</v>
      </c>
      <c r="AJ242">
        <f t="shared" si="66"/>
        <v>0</v>
      </c>
      <c r="AK242">
        <f t="shared" si="67"/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1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</row>
    <row r="243" spans="1:53" x14ac:dyDescent="0.35">
      <c r="A243">
        <v>0.98506145820071134</v>
      </c>
      <c r="C243">
        <v>4.6356164383561644</v>
      </c>
      <c r="D243" s="137">
        <f t="shared" si="52"/>
        <v>0.66610749424653004</v>
      </c>
      <c r="E243">
        <v>3.1177384910037165</v>
      </c>
      <c r="F243">
        <v>1.6232492903979006</v>
      </c>
      <c r="G243" s="45">
        <v>2.99</v>
      </c>
      <c r="H243" s="29">
        <f t="shared" si="53"/>
        <v>0.47567118832442967</v>
      </c>
      <c r="I243" s="9">
        <v>2.8969852540843504</v>
      </c>
      <c r="J243" s="34">
        <v>0.11058971029924898</v>
      </c>
      <c r="K243">
        <v>13</v>
      </c>
      <c r="L243" s="137">
        <f t="shared" si="54"/>
        <v>1.1139433523068367</v>
      </c>
      <c r="M243">
        <f t="shared" si="51"/>
        <v>1</v>
      </c>
      <c r="N243">
        <v>70</v>
      </c>
      <c r="O243">
        <v>70</v>
      </c>
      <c r="P243">
        <v>70</v>
      </c>
      <c r="Q243" s="137">
        <f t="shared" si="55"/>
        <v>1.8450980400142569</v>
      </c>
      <c r="R243" s="34">
        <v>34.4</v>
      </c>
      <c r="S243" s="34">
        <f t="shared" si="56"/>
        <v>1.5365584425715302</v>
      </c>
      <c r="T243" s="42">
        <v>47.264053157349203</v>
      </c>
      <c r="U243" s="42">
        <f t="shared" si="57"/>
        <v>1.6745309620782511</v>
      </c>
      <c r="V243">
        <v>3.277819633965128</v>
      </c>
      <c r="W243" s="14">
        <v>2</v>
      </c>
      <c r="X243">
        <v>3.9304083853612104</v>
      </c>
      <c r="Y243">
        <v>7.7626035495668031</v>
      </c>
      <c r="Z243" s="80">
        <v>0.26257967479987521</v>
      </c>
      <c r="AA243">
        <v>5</v>
      </c>
      <c r="AB243">
        <f t="shared" si="58"/>
        <v>0</v>
      </c>
      <c r="AC243">
        <f t="shared" si="59"/>
        <v>0</v>
      </c>
      <c r="AD243">
        <f t="shared" si="60"/>
        <v>0</v>
      </c>
      <c r="AE243">
        <f t="shared" si="61"/>
        <v>0</v>
      </c>
      <c r="AF243">
        <f t="shared" si="62"/>
        <v>1</v>
      </c>
      <c r="AG243">
        <f t="shared" si="63"/>
        <v>0</v>
      </c>
      <c r="AH243">
        <f t="shared" si="64"/>
        <v>0</v>
      </c>
      <c r="AI243">
        <f t="shared" si="65"/>
        <v>0</v>
      </c>
      <c r="AJ243">
        <f t="shared" si="66"/>
        <v>0</v>
      </c>
      <c r="AK243">
        <f t="shared" si="67"/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1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</row>
    <row r="244" spans="1:53" x14ac:dyDescent="0.35">
      <c r="A244">
        <v>0.25065023940252346</v>
      </c>
      <c r="C244">
        <v>7.4657534246575343</v>
      </c>
      <c r="D244" s="137">
        <f t="shared" si="52"/>
        <v>0.87307364215618655</v>
      </c>
      <c r="E244">
        <v>2.9607370758409366</v>
      </c>
      <c r="F244">
        <v>2.2430380486862944</v>
      </c>
      <c r="G244" s="45">
        <v>3.26</v>
      </c>
      <c r="H244" s="29">
        <f t="shared" si="53"/>
        <v>0.51321760006793893</v>
      </c>
      <c r="I244" s="9">
        <v>3.0947621912367507</v>
      </c>
      <c r="J244" s="34">
        <v>8.6001717619175692E-3</v>
      </c>
      <c r="K244">
        <v>10</v>
      </c>
      <c r="L244" s="137">
        <f t="shared" si="54"/>
        <v>1</v>
      </c>
      <c r="M244">
        <f t="shared" si="51"/>
        <v>1</v>
      </c>
      <c r="N244">
        <v>95</v>
      </c>
      <c r="O244">
        <v>80</v>
      </c>
      <c r="P244">
        <v>70</v>
      </c>
      <c r="Q244" s="137">
        <f t="shared" si="55"/>
        <v>1.8450980400142569</v>
      </c>
      <c r="R244" s="34">
        <v>37.200000000000003</v>
      </c>
      <c r="S244" s="34">
        <f t="shared" si="56"/>
        <v>1.5705429398818975</v>
      </c>
      <c r="T244" s="42">
        <v>43.419976684252802</v>
      </c>
      <c r="U244" s="42">
        <f t="shared" si="57"/>
        <v>1.6376895859101317</v>
      </c>
      <c r="V244">
        <v>3.277819633965128</v>
      </c>
      <c r="W244" s="14">
        <v>2</v>
      </c>
      <c r="X244">
        <v>3.9304083853612104</v>
      </c>
      <c r="Y244">
        <v>7.7907424457557015</v>
      </c>
      <c r="Z244" s="80">
        <v>8.9965870307167295E-2</v>
      </c>
      <c r="AA244">
        <v>7</v>
      </c>
      <c r="AB244">
        <f t="shared" si="58"/>
        <v>0</v>
      </c>
      <c r="AC244">
        <f t="shared" si="59"/>
        <v>0</v>
      </c>
      <c r="AD244">
        <f t="shared" si="60"/>
        <v>0</v>
      </c>
      <c r="AE244">
        <f t="shared" si="61"/>
        <v>0</v>
      </c>
      <c r="AF244">
        <f t="shared" si="62"/>
        <v>0</v>
      </c>
      <c r="AG244">
        <f t="shared" si="63"/>
        <v>0</v>
      </c>
      <c r="AH244">
        <f t="shared" si="64"/>
        <v>1</v>
      </c>
      <c r="AI244">
        <f t="shared" si="65"/>
        <v>0</v>
      </c>
      <c r="AJ244">
        <f t="shared" si="66"/>
        <v>0</v>
      </c>
      <c r="AK244">
        <f t="shared" si="67"/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</row>
    <row r="245" spans="1:53" x14ac:dyDescent="0.35">
      <c r="A245">
        <v>0.24539996693467084</v>
      </c>
      <c r="C245">
        <v>7.4246575342465757</v>
      </c>
      <c r="D245" s="137">
        <f t="shared" si="52"/>
        <v>0.87067642641793108</v>
      </c>
      <c r="E245">
        <v>3.0625406208792199</v>
      </c>
      <c r="F245">
        <v>1.1139433523068367</v>
      </c>
      <c r="G245" s="45">
        <v>3.42</v>
      </c>
      <c r="H245" s="29">
        <f t="shared" si="53"/>
        <v>0.53402610605613499</v>
      </c>
      <c r="I245" s="9">
        <v>2.8714756364568856</v>
      </c>
      <c r="J245" s="34">
        <v>8.9905111439397931E-2</v>
      </c>
      <c r="K245">
        <v>15</v>
      </c>
      <c r="L245" s="137">
        <f t="shared" si="54"/>
        <v>1.1760912590556813</v>
      </c>
      <c r="M245">
        <f t="shared" si="51"/>
        <v>1</v>
      </c>
      <c r="N245">
        <v>70</v>
      </c>
      <c r="O245">
        <v>50</v>
      </c>
      <c r="P245">
        <v>70</v>
      </c>
      <c r="Q245" s="137">
        <f t="shared" si="55"/>
        <v>1.8450980400142569</v>
      </c>
      <c r="R245" s="34">
        <v>42.4</v>
      </c>
      <c r="S245" s="34">
        <f t="shared" si="56"/>
        <v>1.6273658565927327</v>
      </c>
      <c r="T245" s="42">
        <v>44.9782573439335</v>
      </c>
      <c r="U245" s="42">
        <f t="shared" si="57"/>
        <v>1.6530026249418825</v>
      </c>
      <c r="V245">
        <v>3.277819633965128</v>
      </c>
      <c r="W245" s="14">
        <v>2</v>
      </c>
      <c r="X245">
        <v>3.9304083853612104</v>
      </c>
      <c r="Y245">
        <v>8.4771212547196626</v>
      </c>
      <c r="Z245" s="80">
        <v>0.35446993534110161</v>
      </c>
      <c r="AA245">
        <v>7</v>
      </c>
      <c r="AB245">
        <f t="shared" si="58"/>
        <v>0</v>
      </c>
      <c r="AC245">
        <f t="shared" si="59"/>
        <v>0</v>
      </c>
      <c r="AD245">
        <f t="shared" si="60"/>
        <v>0</v>
      </c>
      <c r="AE245">
        <f t="shared" si="61"/>
        <v>0</v>
      </c>
      <c r="AF245">
        <f t="shared" si="62"/>
        <v>0</v>
      </c>
      <c r="AG245">
        <f t="shared" si="63"/>
        <v>0</v>
      </c>
      <c r="AH245">
        <f t="shared" si="64"/>
        <v>1</v>
      </c>
      <c r="AI245">
        <f t="shared" si="65"/>
        <v>0</v>
      </c>
      <c r="AJ245">
        <f t="shared" si="66"/>
        <v>0</v>
      </c>
      <c r="AK245">
        <f t="shared" si="67"/>
        <v>0</v>
      </c>
      <c r="AL245">
        <v>0</v>
      </c>
      <c r="AM245">
        <v>0</v>
      </c>
      <c r="AN245">
        <v>1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</row>
    <row r="246" spans="1:53" x14ac:dyDescent="0.35">
      <c r="A246">
        <v>0.33449350360926283</v>
      </c>
      <c r="C246">
        <v>5.117808219178082</v>
      </c>
      <c r="D246" s="137">
        <f t="shared" si="52"/>
        <v>0.70908400743759981</v>
      </c>
      <c r="E246" s="137">
        <v>3.0625406208792199</v>
      </c>
      <c r="F246">
        <v>2.1038037209559568</v>
      </c>
      <c r="G246" s="45">
        <v>3.42</v>
      </c>
      <c r="H246" s="29">
        <f t="shared" si="53"/>
        <v>0.53402610605613499</v>
      </c>
      <c r="I246" s="140">
        <v>2.8714756364568856</v>
      </c>
      <c r="J246" s="34">
        <v>-4.5757490560675115E-2</v>
      </c>
      <c r="K246">
        <v>11</v>
      </c>
      <c r="L246" s="137">
        <f t="shared" si="54"/>
        <v>1.0413926851582251</v>
      </c>
      <c r="M246">
        <f t="shared" si="51"/>
        <v>1</v>
      </c>
      <c r="N246">
        <v>70</v>
      </c>
      <c r="O246">
        <v>50</v>
      </c>
      <c r="P246">
        <v>70</v>
      </c>
      <c r="Q246" s="137">
        <f t="shared" si="55"/>
        <v>1.8450980400142569</v>
      </c>
      <c r="R246" s="34">
        <v>41.9</v>
      </c>
      <c r="S246" s="34">
        <f t="shared" si="56"/>
        <v>1.6222140229662954</v>
      </c>
      <c r="T246" s="42">
        <v>42.033747909324703</v>
      </c>
      <c r="U246" s="42">
        <f t="shared" si="57"/>
        <v>1.6235981152914243</v>
      </c>
      <c r="V246">
        <v>3.277819633965128</v>
      </c>
      <c r="W246" s="14">
        <v>2</v>
      </c>
      <c r="X246">
        <v>3.9304083853612104</v>
      </c>
      <c r="Y246">
        <v>8.8084338040518055</v>
      </c>
      <c r="Z246" s="80">
        <v>-8.1249835253182967E-2</v>
      </c>
      <c r="AA246">
        <v>8</v>
      </c>
      <c r="AB246">
        <f t="shared" si="58"/>
        <v>0</v>
      </c>
      <c r="AC246">
        <f t="shared" si="59"/>
        <v>0</v>
      </c>
      <c r="AD246">
        <f t="shared" si="60"/>
        <v>0</v>
      </c>
      <c r="AE246">
        <f t="shared" si="61"/>
        <v>0</v>
      </c>
      <c r="AF246">
        <f t="shared" si="62"/>
        <v>0</v>
      </c>
      <c r="AG246">
        <f t="shared" si="63"/>
        <v>0</v>
      </c>
      <c r="AH246">
        <f t="shared" si="64"/>
        <v>0</v>
      </c>
      <c r="AI246">
        <f t="shared" si="65"/>
        <v>1</v>
      </c>
      <c r="AJ246">
        <f t="shared" si="66"/>
        <v>0</v>
      </c>
      <c r="AK246">
        <f t="shared" si="67"/>
        <v>0</v>
      </c>
      <c r="AL246">
        <v>0</v>
      </c>
      <c r="AM246">
        <v>0</v>
      </c>
      <c r="AN246">
        <v>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</row>
    <row r="247" spans="1:53" x14ac:dyDescent="0.35">
      <c r="A247">
        <v>0.53415975569002661</v>
      </c>
      <c r="C247">
        <v>2.6931506849315068</v>
      </c>
      <c r="D247" s="137">
        <f t="shared" si="52"/>
        <v>0.43026065337566088</v>
      </c>
      <c r="E247">
        <v>2.8967741575094288</v>
      </c>
      <c r="F247">
        <v>0.84509804001425681</v>
      </c>
      <c r="G247" s="45">
        <v>3.48</v>
      </c>
      <c r="H247" s="29">
        <f t="shared" si="53"/>
        <v>0.54157924394658097</v>
      </c>
      <c r="I247" s="9">
        <v>1.888366730171237</v>
      </c>
      <c r="J247" s="34">
        <v>9.3421685162235063E-2</v>
      </c>
      <c r="K247">
        <v>15</v>
      </c>
      <c r="L247" s="137">
        <f t="shared" si="54"/>
        <v>1.1760912590556813</v>
      </c>
      <c r="M247">
        <f t="shared" si="51"/>
        <v>1</v>
      </c>
      <c r="N247">
        <v>90</v>
      </c>
      <c r="O247">
        <v>80</v>
      </c>
      <c r="P247">
        <v>85</v>
      </c>
      <c r="Q247" s="137">
        <f t="shared" si="55"/>
        <v>1.9294189257142926</v>
      </c>
      <c r="R247" s="34">
        <v>41.8</v>
      </c>
      <c r="S247" s="34">
        <f t="shared" si="56"/>
        <v>1.6211762817750353</v>
      </c>
      <c r="T247" s="42">
        <v>49.305577465499702</v>
      </c>
      <c r="U247" s="42">
        <f t="shared" si="57"/>
        <v>1.6928960496115248</v>
      </c>
      <c r="V247">
        <v>3.277819633965128</v>
      </c>
      <c r="W247" s="14">
        <v>2</v>
      </c>
      <c r="X247">
        <v>3.9304083853612104</v>
      </c>
      <c r="Y247">
        <v>8.2787536009528289</v>
      </c>
      <c r="Z247" s="80">
        <v>0.33156415336988987</v>
      </c>
      <c r="AA247">
        <v>4</v>
      </c>
      <c r="AB247">
        <f t="shared" si="58"/>
        <v>0</v>
      </c>
      <c r="AC247">
        <f t="shared" si="59"/>
        <v>0</v>
      </c>
      <c r="AD247">
        <f t="shared" si="60"/>
        <v>0</v>
      </c>
      <c r="AE247">
        <f t="shared" si="61"/>
        <v>1</v>
      </c>
      <c r="AF247">
        <f t="shared" si="62"/>
        <v>0</v>
      </c>
      <c r="AG247">
        <f t="shared" si="63"/>
        <v>0</v>
      </c>
      <c r="AH247">
        <f t="shared" si="64"/>
        <v>0</v>
      </c>
      <c r="AI247">
        <f t="shared" si="65"/>
        <v>0</v>
      </c>
      <c r="AJ247">
        <f t="shared" si="66"/>
        <v>0</v>
      </c>
      <c r="AK247">
        <f t="shared" si="67"/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1</v>
      </c>
    </row>
    <row r="248" spans="1:53" x14ac:dyDescent="0.35">
      <c r="A248">
        <v>-0.18150906085328272</v>
      </c>
      <c r="C248">
        <v>7.0191780821917806</v>
      </c>
      <c r="D248" s="137">
        <f t="shared" si="52"/>
        <v>0.84628626095219273</v>
      </c>
      <c r="E248">
        <v>2.8967741575094288</v>
      </c>
      <c r="F248">
        <v>0</v>
      </c>
      <c r="G248" s="45">
        <v>3.48</v>
      </c>
      <c r="H248" s="29">
        <f t="shared" si="53"/>
        <v>0.54157924394658097</v>
      </c>
      <c r="I248" s="9">
        <v>1.888366730171237</v>
      </c>
      <c r="J248" s="34">
        <v>-5.551732784983137E-2</v>
      </c>
      <c r="K248">
        <v>10</v>
      </c>
      <c r="L248" s="137">
        <f t="shared" si="54"/>
        <v>1</v>
      </c>
      <c r="M248">
        <f t="shared" si="51"/>
        <v>1</v>
      </c>
      <c r="N248">
        <v>90</v>
      </c>
      <c r="O248">
        <v>80</v>
      </c>
      <c r="P248">
        <v>70</v>
      </c>
      <c r="Q248" s="137">
        <f t="shared" si="55"/>
        <v>1.8450980400142569</v>
      </c>
      <c r="R248" s="34">
        <v>44.3</v>
      </c>
      <c r="S248" s="34">
        <f t="shared" si="56"/>
        <v>1.6464037262230695</v>
      </c>
      <c r="T248" s="42">
        <v>50.959243005601799</v>
      </c>
      <c r="U248" s="42">
        <f t="shared" si="57"/>
        <v>1.7072229679746294</v>
      </c>
      <c r="V248">
        <v>3.277819633965128</v>
      </c>
      <c r="W248" s="14">
        <v>2</v>
      </c>
      <c r="X248">
        <v>3.9304083853612104</v>
      </c>
      <c r="Y248">
        <v>8.010812833684307</v>
      </c>
      <c r="Z248" s="80">
        <v>-6.3387662288167834E-2</v>
      </c>
      <c r="AA248">
        <v>5</v>
      </c>
      <c r="AB248">
        <f t="shared" si="58"/>
        <v>0</v>
      </c>
      <c r="AC248">
        <f t="shared" si="59"/>
        <v>0</v>
      </c>
      <c r="AD248">
        <f t="shared" si="60"/>
        <v>0</v>
      </c>
      <c r="AE248">
        <f t="shared" si="61"/>
        <v>0</v>
      </c>
      <c r="AF248">
        <f t="shared" si="62"/>
        <v>1</v>
      </c>
      <c r="AG248">
        <f t="shared" si="63"/>
        <v>0</v>
      </c>
      <c r="AH248">
        <f t="shared" si="64"/>
        <v>0</v>
      </c>
      <c r="AI248">
        <f t="shared" si="65"/>
        <v>0</v>
      </c>
      <c r="AJ248">
        <f t="shared" si="66"/>
        <v>0</v>
      </c>
      <c r="AK248">
        <f t="shared" si="67"/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1</v>
      </c>
    </row>
    <row r="249" spans="1:53" x14ac:dyDescent="0.35">
      <c r="A249">
        <v>-2</v>
      </c>
      <c r="C249">
        <v>4.8904109589041092</v>
      </c>
      <c r="D249" s="137">
        <f t="shared" si="52"/>
        <v>0.6893453559917373</v>
      </c>
      <c r="E249">
        <v>0</v>
      </c>
      <c r="F249">
        <v>0.3010299956639812</v>
      </c>
      <c r="G249" s="45">
        <v>3.42</v>
      </c>
      <c r="H249" s="29">
        <f t="shared" si="53"/>
        <v>0.53402610605613499</v>
      </c>
      <c r="I249" s="9">
        <v>0</v>
      </c>
      <c r="J249" s="34">
        <v>0.24551266781414982</v>
      </c>
      <c r="K249">
        <v>25</v>
      </c>
      <c r="L249" s="137">
        <f t="shared" si="54"/>
        <v>1.3979400086720377</v>
      </c>
      <c r="M249">
        <f t="shared" si="51"/>
        <v>0</v>
      </c>
      <c r="N249">
        <v>70</v>
      </c>
      <c r="O249">
        <v>50</v>
      </c>
      <c r="P249">
        <v>88.8</v>
      </c>
      <c r="Q249" s="137">
        <f t="shared" si="55"/>
        <v>1.9484129657786009</v>
      </c>
      <c r="R249" s="34">
        <v>41.9</v>
      </c>
      <c r="S249" s="34">
        <f t="shared" si="56"/>
        <v>1.6222140229662954</v>
      </c>
      <c r="T249" s="42">
        <v>44.943689399743</v>
      </c>
      <c r="U249" s="42">
        <f t="shared" si="57"/>
        <v>1.6526687205126336</v>
      </c>
      <c r="V249">
        <v>3.5405797165044541</v>
      </c>
      <c r="W249" s="14">
        <v>2</v>
      </c>
      <c r="X249">
        <v>3.8947589943718919</v>
      </c>
      <c r="Y249">
        <v>7.3856062735983121</v>
      </c>
      <c r="Z249" s="80">
        <v>0.25828264419227209</v>
      </c>
      <c r="AA249">
        <v>3</v>
      </c>
      <c r="AB249">
        <f t="shared" si="58"/>
        <v>0</v>
      </c>
      <c r="AC249">
        <f t="shared" si="59"/>
        <v>0</v>
      </c>
      <c r="AD249">
        <f t="shared" si="60"/>
        <v>1</v>
      </c>
      <c r="AE249">
        <f t="shared" si="61"/>
        <v>0</v>
      </c>
      <c r="AF249">
        <f t="shared" si="62"/>
        <v>0</v>
      </c>
      <c r="AG249">
        <f t="shared" si="63"/>
        <v>0</v>
      </c>
      <c r="AH249">
        <f t="shared" si="64"/>
        <v>0</v>
      </c>
      <c r="AI249">
        <f t="shared" si="65"/>
        <v>0</v>
      </c>
      <c r="AJ249">
        <f t="shared" si="66"/>
        <v>0</v>
      </c>
      <c r="AK249">
        <f t="shared" si="67"/>
        <v>0</v>
      </c>
      <c r="AL249">
        <v>0</v>
      </c>
      <c r="AM249">
        <v>0</v>
      </c>
      <c r="AN249">
        <v>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</row>
    <row r="250" spans="1:53" x14ac:dyDescent="0.35">
      <c r="A250">
        <v>0.53683585802401912</v>
      </c>
      <c r="C250">
        <v>2.032876712328767</v>
      </c>
      <c r="D250" s="137">
        <f t="shared" si="52"/>
        <v>0.30811104082255236</v>
      </c>
      <c r="E250">
        <v>0</v>
      </c>
      <c r="F250">
        <v>0.3010299956639812</v>
      </c>
      <c r="G250" s="45">
        <v>3.42</v>
      </c>
      <c r="H250" s="29">
        <f t="shared" si="53"/>
        <v>0.53402610605613499</v>
      </c>
      <c r="I250" s="9">
        <v>0</v>
      </c>
      <c r="J250" s="34">
        <v>7.1882007306125359E-2</v>
      </c>
      <c r="K250">
        <v>18</v>
      </c>
      <c r="L250" s="137">
        <f t="shared" si="54"/>
        <v>1.255272505103306</v>
      </c>
      <c r="M250">
        <f t="shared" si="51"/>
        <v>0</v>
      </c>
      <c r="N250">
        <v>70</v>
      </c>
      <c r="O250">
        <v>50</v>
      </c>
      <c r="P250">
        <v>70</v>
      </c>
      <c r="Q250" s="137">
        <f t="shared" si="55"/>
        <v>1.8450980400142569</v>
      </c>
      <c r="R250" s="34">
        <v>41.7</v>
      </c>
      <c r="S250" s="34">
        <f t="shared" si="56"/>
        <v>1.6201360549737576</v>
      </c>
      <c r="T250" s="42">
        <v>47.869460173510603</v>
      </c>
      <c r="U250" s="42">
        <f t="shared" si="57"/>
        <v>1.6800585299472204</v>
      </c>
      <c r="V250">
        <v>3.5405797165044541</v>
      </c>
      <c r="W250" s="14">
        <v>2</v>
      </c>
      <c r="X250">
        <v>3.8947589943718919</v>
      </c>
      <c r="Y250">
        <v>7.3979400086720375</v>
      </c>
      <c r="Z250" s="80">
        <v>0.24320429431535184</v>
      </c>
      <c r="AA250">
        <v>3</v>
      </c>
      <c r="AB250">
        <f t="shared" si="58"/>
        <v>0</v>
      </c>
      <c r="AC250">
        <f t="shared" si="59"/>
        <v>0</v>
      </c>
      <c r="AD250">
        <f t="shared" si="60"/>
        <v>1</v>
      </c>
      <c r="AE250">
        <f t="shared" si="61"/>
        <v>0</v>
      </c>
      <c r="AF250">
        <f t="shared" si="62"/>
        <v>0</v>
      </c>
      <c r="AG250">
        <f t="shared" si="63"/>
        <v>0</v>
      </c>
      <c r="AH250">
        <f t="shared" si="64"/>
        <v>0</v>
      </c>
      <c r="AI250">
        <f t="shared" si="65"/>
        <v>0</v>
      </c>
      <c r="AJ250">
        <f t="shared" si="66"/>
        <v>0</v>
      </c>
      <c r="AK250">
        <f t="shared" si="67"/>
        <v>0</v>
      </c>
      <c r="AL250">
        <v>0</v>
      </c>
      <c r="AM250">
        <v>0</v>
      </c>
      <c r="AN250">
        <v>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</row>
    <row r="251" spans="1:53" x14ac:dyDescent="0.35">
      <c r="A251">
        <v>0.34735724705707294</v>
      </c>
      <c r="C251">
        <v>9.169863013698631</v>
      </c>
      <c r="D251" s="137">
        <f t="shared" si="52"/>
        <v>0.96236284790130244</v>
      </c>
      <c r="E251">
        <v>3.8335760926148099</v>
      </c>
      <c r="F251">
        <v>1.0791812460476249</v>
      </c>
      <c r="G251" s="45">
        <v>2.85</v>
      </c>
      <c r="H251" s="29">
        <f t="shared" si="53"/>
        <v>0.45484486000851021</v>
      </c>
      <c r="I251" s="9">
        <v>2.9138138523837167</v>
      </c>
      <c r="J251" s="34">
        <v>0.22271647114758325</v>
      </c>
      <c r="K251">
        <v>17</v>
      </c>
      <c r="L251" s="137">
        <f t="shared" si="54"/>
        <v>1.2304489213782739</v>
      </c>
      <c r="M251">
        <f t="shared" si="51"/>
        <v>1</v>
      </c>
      <c r="N251">
        <v>70</v>
      </c>
      <c r="O251">
        <v>70</v>
      </c>
      <c r="P251">
        <v>70</v>
      </c>
      <c r="Q251" s="137">
        <f t="shared" si="55"/>
        <v>1.8450980400142569</v>
      </c>
      <c r="R251" s="34">
        <v>33.9</v>
      </c>
      <c r="S251" s="34">
        <f t="shared" si="56"/>
        <v>1.5301996982030821</v>
      </c>
      <c r="T251" s="42">
        <v>46.312020505412598</v>
      </c>
      <c r="U251" s="42">
        <f t="shared" si="57"/>
        <v>1.6656937288498501</v>
      </c>
      <c r="V251">
        <v>3.0958500844125241</v>
      </c>
      <c r="W251" s="14">
        <v>3</v>
      </c>
      <c r="X251">
        <v>3.5078178355445662</v>
      </c>
      <c r="Y251">
        <v>8.15248098771362</v>
      </c>
      <c r="Z251" s="80">
        <v>0.57388379696220504</v>
      </c>
      <c r="AA251">
        <v>9</v>
      </c>
      <c r="AB251">
        <f t="shared" si="58"/>
        <v>0</v>
      </c>
      <c r="AC251">
        <f t="shared" si="59"/>
        <v>0</v>
      </c>
      <c r="AD251">
        <f t="shared" si="60"/>
        <v>0</v>
      </c>
      <c r="AE251">
        <f t="shared" si="61"/>
        <v>0</v>
      </c>
      <c r="AF251">
        <f t="shared" si="62"/>
        <v>0</v>
      </c>
      <c r="AG251">
        <f t="shared" si="63"/>
        <v>0</v>
      </c>
      <c r="AH251">
        <f t="shared" si="64"/>
        <v>0</v>
      </c>
      <c r="AI251">
        <f t="shared" si="65"/>
        <v>0</v>
      </c>
      <c r="AJ251">
        <f t="shared" si="66"/>
        <v>1</v>
      </c>
      <c r="AK251">
        <f t="shared" si="67"/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1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</row>
    <row r="252" spans="1:53" x14ac:dyDescent="0.35">
      <c r="A252">
        <v>-7.90325429903092E-3</v>
      </c>
      <c r="C252">
        <v>4.5534246575342463</v>
      </c>
      <c r="D252" s="137">
        <f t="shared" si="52"/>
        <v>0.65833815499161741</v>
      </c>
      <c r="E252">
        <v>3.8335760926148099</v>
      </c>
      <c r="F252">
        <v>1.9493900066449128</v>
      </c>
      <c r="G252" s="45">
        <v>2.85</v>
      </c>
      <c r="H252" s="29">
        <f t="shared" si="53"/>
        <v>0.45484486000851021</v>
      </c>
      <c r="I252" s="9">
        <v>2.9138138523837167</v>
      </c>
      <c r="J252" s="34">
        <v>-9.1514981121350217E-2</v>
      </c>
      <c r="K252">
        <v>13</v>
      </c>
      <c r="L252" s="137">
        <f t="shared" si="54"/>
        <v>1.1139433523068367</v>
      </c>
      <c r="M252">
        <f t="shared" si="51"/>
        <v>1</v>
      </c>
      <c r="N252">
        <v>70</v>
      </c>
      <c r="O252">
        <v>70</v>
      </c>
      <c r="P252">
        <v>70</v>
      </c>
      <c r="Q252" s="137">
        <f t="shared" si="55"/>
        <v>1.8450980400142569</v>
      </c>
      <c r="R252" s="34">
        <v>36.200000000000003</v>
      </c>
      <c r="S252" s="34">
        <f t="shared" si="56"/>
        <v>1.5587085705331658</v>
      </c>
      <c r="T252" s="42">
        <v>44.748733746598099</v>
      </c>
      <c r="U252" s="42">
        <f t="shared" si="57"/>
        <v>1.6507807506095689</v>
      </c>
      <c r="V252">
        <v>3.0958500844125241</v>
      </c>
      <c r="W252" s="14">
        <v>3</v>
      </c>
      <c r="X252">
        <v>3.5078178355445662</v>
      </c>
      <c r="Y252">
        <v>7.8962505624616384</v>
      </c>
      <c r="Z252" s="80">
        <v>-0.22052165463018181</v>
      </c>
      <c r="AA252">
        <v>5</v>
      </c>
      <c r="AB252">
        <f t="shared" si="58"/>
        <v>0</v>
      </c>
      <c r="AC252">
        <f t="shared" si="59"/>
        <v>0</v>
      </c>
      <c r="AD252">
        <f t="shared" si="60"/>
        <v>0</v>
      </c>
      <c r="AE252">
        <f t="shared" si="61"/>
        <v>0</v>
      </c>
      <c r="AF252">
        <f t="shared" si="62"/>
        <v>1</v>
      </c>
      <c r="AG252">
        <f t="shared" si="63"/>
        <v>0</v>
      </c>
      <c r="AH252">
        <f t="shared" si="64"/>
        <v>0</v>
      </c>
      <c r="AI252">
        <f t="shared" si="65"/>
        <v>0</v>
      </c>
      <c r="AJ252">
        <f t="shared" si="66"/>
        <v>0</v>
      </c>
      <c r="AK252">
        <f t="shared" si="67"/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1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</row>
    <row r="253" spans="1:53" x14ac:dyDescent="0.35">
      <c r="A253">
        <v>1.0469501621191397</v>
      </c>
      <c r="C253">
        <v>5.5095890410958903</v>
      </c>
      <c r="D253" s="137">
        <f t="shared" si="52"/>
        <v>0.74111920614026727</v>
      </c>
      <c r="E253">
        <v>3.8335760926148099</v>
      </c>
      <c r="F253">
        <v>1.9637878273455553</v>
      </c>
      <c r="G253" s="45">
        <v>2.85</v>
      </c>
      <c r="H253" s="29">
        <f t="shared" si="53"/>
        <v>0.45484486000851021</v>
      </c>
      <c r="I253" s="9">
        <v>2.9138138523837167</v>
      </c>
      <c r="J253" s="34">
        <v>-3.6212172654444715E-2</v>
      </c>
      <c r="K253">
        <v>12</v>
      </c>
      <c r="L253" s="137">
        <f t="shared" si="54"/>
        <v>1.0791812460476249</v>
      </c>
      <c r="M253">
        <f t="shared" si="51"/>
        <v>1</v>
      </c>
      <c r="N253">
        <v>70</v>
      </c>
      <c r="O253">
        <v>70</v>
      </c>
      <c r="P253">
        <v>70</v>
      </c>
      <c r="Q253" s="137">
        <f t="shared" si="55"/>
        <v>1.8450980400142569</v>
      </c>
      <c r="R253" s="34">
        <v>36.200000000000003</v>
      </c>
      <c r="S253" s="34">
        <f t="shared" si="56"/>
        <v>1.5587085705331658</v>
      </c>
      <c r="T253" s="42">
        <v>47.694345434117203</v>
      </c>
      <c r="U253" s="42">
        <f t="shared" si="57"/>
        <v>1.6784668928277571</v>
      </c>
      <c r="V253">
        <v>3.0958500844125241</v>
      </c>
      <c r="W253" s="14">
        <v>3</v>
      </c>
      <c r="X253">
        <v>3.5078178355445662</v>
      </c>
      <c r="Y253">
        <v>7.7981478778951168</v>
      </c>
      <c r="Z253" s="80">
        <v>-0.19303962241967187</v>
      </c>
      <c r="AA253">
        <v>1</v>
      </c>
      <c r="AB253">
        <f t="shared" si="58"/>
        <v>1</v>
      </c>
      <c r="AC253">
        <f t="shared" si="59"/>
        <v>0</v>
      </c>
      <c r="AD253">
        <f t="shared" si="60"/>
        <v>0</v>
      </c>
      <c r="AE253">
        <f t="shared" si="61"/>
        <v>0</v>
      </c>
      <c r="AF253">
        <f t="shared" si="62"/>
        <v>0</v>
      </c>
      <c r="AG253">
        <f t="shared" si="63"/>
        <v>0</v>
      </c>
      <c r="AH253">
        <f t="shared" si="64"/>
        <v>0</v>
      </c>
      <c r="AI253">
        <f t="shared" si="65"/>
        <v>0</v>
      </c>
      <c r="AJ253">
        <f t="shared" si="66"/>
        <v>0</v>
      </c>
      <c r="AK253">
        <f t="shared" si="67"/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1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</row>
    <row r="254" spans="1:53" x14ac:dyDescent="0.35">
      <c r="A254">
        <v>0.56946234932479256</v>
      </c>
      <c r="C254">
        <v>5.6520547945205477</v>
      </c>
      <c r="D254" s="137">
        <f t="shared" si="52"/>
        <v>0.7522063635166768</v>
      </c>
      <c r="E254">
        <v>3.8219626565950726</v>
      </c>
      <c r="F254">
        <v>1.3802112417116059</v>
      </c>
      <c r="G254" s="45">
        <v>3.03</v>
      </c>
      <c r="H254" s="29">
        <f t="shared" si="53"/>
        <v>0.48144262850230496</v>
      </c>
      <c r="I254" s="9">
        <v>2.9079485216122722</v>
      </c>
      <c r="J254" s="34">
        <v>-4.0958607678906384E-2</v>
      </c>
      <c r="K254">
        <v>19</v>
      </c>
      <c r="L254" s="137">
        <f t="shared" si="54"/>
        <v>1.2787536009528289</v>
      </c>
      <c r="M254">
        <f t="shared" si="51"/>
        <v>1</v>
      </c>
      <c r="N254">
        <v>70</v>
      </c>
      <c r="O254">
        <v>70</v>
      </c>
      <c r="P254">
        <v>96.1</v>
      </c>
      <c r="Q254" s="137">
        <f t="shared" si="55"/>
        <v>1.9827233876685453</v>
      </c>
      <c r="R254" s="34">
        <v>46</v>
      </c>
      <c r="S254" s="34">
        <f t="shared" si="56"/>
        <v>1.6627578316815741</v>
      </c>
      <c r="T254" s="42">
        <v>50.974560675820896</v>
      </c>
      <c r="U254" s="42">
        <f t="shared" si="57"/>
        <v>1.7073534914999287</v>
      </c>
      <c r="V254">
        <v>3.0958500844125241</v>
      </c>
      <c r="W254" s="14">
        <v>3</v>
      </c>
      <c r="X254">
        <v>3.5078178355445662</v>
      </c>
      <c r="Y254">
        <v>8.6974554989651978</v>
      </c>
      <c r="Z254" s="80">
        <v>-6.3245508141024032E-2</v>
      </c>
      <c r="AA254">
        <v>4</v>
      </c>
      <c r="AB254">
        <f t="shared" si="58"/>
        <v>0</v>
      </c>
      <c r="AC254">
        <f t="shared" si="59"/>
        <v>0</v>
      </c>
      <c r="AD254">
        <f t="shared" si="60"/>
        <v>0</v>
      </c>
      <c r="AE254">
        <f t="shared" si="61"/>
        <v>1</v>
      </c>
      <c r="AF254">
        <f t="shared" si="62"/>
        <v>0</v>
      </c>
      <c r="AG254">
        <f t="shared" si="63"/>
        <v>0</v>
      </c>
      <c r="AH254">
        <f t="shared" si="64"/>
        <v>0</v>
      </c>
      <c r="AI254">
        <f t="shared" si="65"/>
        <v>0</v>
      </c>
      <c r="AJ254">
        <f t="shared" si="66"/>
        <v>0</v>
      </c>
      <c r="AK254">
        <f t="shared" si="67"/>
        <v>0</v>
      </c>
      <c r="AL254">
        <v>0</v>
      </c>
      <c r="AM254">
        <v>0</v>
      </c>
      <c r="AN254">
        <v>0</v>
      </c>
      <c r="AO254">
        <v>0</v>
      </c>
      <c r="AP254">
        <v>1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</row>
    <row r="255" spans="1:53" x14ac:dyDescent="0.35">
      <c r="A255">
        <v>1.0002720910982315</v>
      </c>
      <c r="C255">
        <v>8.9972602739726035</v>
      </c>
      <c r="D255" s="137">
        <f t="shared" si="52"/>
        <v>0.95411028399092845</v>
      </c>
      <c r="E255">
        <v>3.7947040944998616</v>
      </c>
      <c r="F255">
        <v>0.69897000433601886</v>
      </c>
      <c r="G255" s="45">
        <v>2.93</v>
      </c>
      <c r="H255" s="29">
        <f t="shared" si="53"/>
        <v>0.4668676203541095</v>
      </c>
      <c r="I255" s="9">
        <v>2.7962273140294389</v>
      </c>
      <c r="J255" s="34">
        <v>-4.0958607678906384E-2</v>
      </c>
      <c r="K255">
        <v>14</v>
      </c>
      <c r="L255" s="137">
        <f t="shared" si="54"/>
        <v>1.146128035678238</v>
      </c>
      <c r="M255">
        <f t="shared" si="51"/>
        <v>1</v>
      </c>
      <c r="N255">
        <v>70</v>
      </c>
      <c r="O255">
        <v>50</v>
      </c>
      <c r="P255">
        <v>70</v>
      </c>
      <c r="Q255" s="137">
        <f t="shared" si="55"/>
        <v>1.8450980400142569</v>
      </c>
      <c r="R255" s="34">
        <v>42.1</v>
      </c>
      <c r="S255" s="34">
        <f t="shared" si="56"/>
        <v>1.6242820958356683</v>
      </c>
      <c r="T255" s="42">
        <v>43.801966655694599</v>
      </c>
      <c r="U255" s="42">
        <f t="shared" si="57"/>
        <v>1.6414936102424893</v>
      </c>
      <c r="V255">
        <v>3.0958500844125241</v>
      </c>
      <c r="W255" s="14">
        <v>3</v>
      </c>
      <c r="X255">
        <v>3.5078178355445662</v>
      </c>
      <c r="Y255">
        <v>8.2443266102306367</v>
      </c>
      <c r="Z255" s="80">
        <v>3.1657410436323197E-2</v>
      </c>
      <c r="AA255">
        <v>3</v>
      </c>
      <c r="AB255">
        <f t="shared" si="58"/>
        <v>0</v>
      </c>
      <c r="AC255">
        <f t="shared" si="59"/>
        <v>0</v>
      </c>
      <c r="AD255">
        <f t="shared" si="60"/>
        <v>1</v>
      </c>
      <c r="AE255">
        <f t="shared" si="61"/>
        <v>0</v>
      </c>
      <c r="AF255">
        <f t="shared" si="62"/>
        <v>0</v>
      </c>
      <c r="AG255">
        <f t="shared" si="63"/>
        <v>0</v>
      </c>
      <c r="AH255">
        <f t="shared" si="64"/>
        <v>0</v>
      </c>
      <c r="AI255">
        <f t="shared" si="65"/>
        <v>0</v>
      </c>
      <c r="AJ255">
        <f t="shared" si="66"/>
        <v>0</v>
      </c>
      <c r="AK255">
        <f t="shared" si="67"/>
        <v>0</v>
      </c>
      <c r="AL255">
        <v>0</v>
      </c>
      <c r="AM255">
        <v>0</v>
      </c>
      <c r="AN255">
        <v>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</row>
    <row r="256" spans="1:53" x14ac:dyDescent="0.35">
      <c r="A256">
        <v>0.3997785728774681</v>
      </c>
      <c r="C256">
        <v>6.3342465753424655</v>
      </c>
      <c r="D256" s="137">
        <f t="shared" si="52"/>
        <v>0.80169496529201667</v>
      </c>
      <c r="E256">
        <v>3.7899753459779522</v>
      </c>
      <c r="F256">
        <v>0.3010299956639812</v>
      </c>
      <c r="G256" s="45">
        <v>3.18</v>
      </c>
      <c r="H256" s="29">
        <f t="shared" si="53"/>
        <v>0.50242711998443268</v>
      </c>
      <c r="I256" s="9">
        <v>2.7670321178317625</v>
      </c>
      <c r="J256" s="34">
        <v>0.16731733474817609</v>
      </c>
      <c r="K256">
        <v>21</v>
      </c>
      <c r="L256" s="137">
        <f t="shared" si="54"/>
        <v>1.3222192947339193</v>
      </c>
      <c r="M256">
        <f t="shared" si="51"/>
        <v>1</v>
      </c>
      <c r="N256">
        <v>85</v>
      </c>
      <c r="O256">
        <v>80</v>
      </c>
      <c r="P256">
        <v>88</v>
      </c>
      <c r="Q256" s="137">
        <f t="shared" si="55"/>
        <v>1.9444826721501687</v>
      </c>
      <c r="R256" s="34">
        <v>42.3</v>
      </c>
      <c r="S256" s="34">
        <f t="shared" si="56"/>
        <v>1.6263403673750423</v>
      </c>
      <c r="T256" s="42">
        <v>53.296308937050199</v>
      </c>
      <c r="U256" s="42">
        <f t="shared" si="57"/>
        <v>1.7266971327830685</v>
      </c>
      <c r="V256">
        <v>3.0958500844125241</v>
      </c>
      <c r="W256" s="14">
        <v>3</v>
      </c>
      <c r="X256">
        <v>3.5078178355445662</v>
      </c>
      <c r="Y256">
        <v>9.2345172835126874</v>
      </c>
      <c r="Z256" s="80">
        <v>0.24458918768202209</v>
      </c>
      <c r="AA256">
        <v>4</v>
      </c>
      <c r="AB256">
        <f t="shared" si="58"/>
        <v>0</v>
      </c>
      <c r="AC256">
        <f t="shared" si="59"/>
        <v>0</v>
      </c>
      <c r="AD256">
        <f t="shared" si="60"/>
        <v>0</v>
      </c>
      <c r="AE256">
        <f t="shared" si="61"/>
        <v>1</v>
      </c>
      <c r="AF256">
        <f t="shared" si="62"/>
        <v>0</v>
      </c>
      <c r="AG256">
        <f t="shared" si="63"/>
        <v>0</v>
      </c>
      <c r="AH256">
        <f t="shared" si="64"/>
        <v>0</v>
      </c>
      <c r="AI256">
        <f t="shared" si="65"/>
        <v>0</v>
      </c>
      <c r="AJ256">
        <f t="shared" si="66"/>
        <v>0</v>
      </c>
      <c r="AK256">
        <f t="shared" si="67"/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</row>
    <row r="257" spans="1:53" x14ac:dyDescent="0.35">
      <c r="A257">
        <v>-3.4354409190743784E-2</v>
      </c>
      <c r="C257">
        <v>4.7287671232876711</v>
      </c>
      <c r="D257" s="137">
        <f t="shared" si="52"/>
        <v>0.67474792692271612</v>
      </c>
      <c r="E257">
        <v>3.7899753459779522</v>
      </c>
      <c r="F257">
        <v>1.4623979978989561</v>
      </c>
      <c r="G257" s="45">
        <v>3.18</v>
      </c>
      <c r="H257" s="29">
        <f t="shared" si="53"/>
        <v>0.50242711998443268</v>
      </c>
      <c r="I257" s="9">
        <v>2.7670321178317625</v>
      </c>
      <c r="J257" s="34">
        <v>-2.6872146400301365E-2</v>
      </c>
      <c r="K257">
        <v>19</v>
      </c>
      <c r="L257" s="137">
        <f t="shared" si="54"/>
        <v>1.2787536009528289</v>
      </c>
      <c r="M257">
        <f t="shared" si="51"/>
        <v>1</v>
      </c>
      <c r="N257">
        <v>85</v>
      </c>
      <c r="O257">
        <v>80</v>
      </c>
      <c r="P257">
        <v>88</v>
      </c>
      <c r="Q257" s="137">
        <f t="shared" si="55"/>
        <v>1.9444826721501687</v>
      </c>
      <c r="R257" s="34">
        <v>43.3</v>
      </c>
      <c r="S257" s="34">
        <f t="shared" si="56"/>
        <v>1.6364878963533653</v>
      </c>
      <c r="T257" s="42">
        <v>52.875711995394298</v>
      </c>
      <c r="U257" s="42">
        <f t="shared" si="57"/>
        <v>1.7232562283942385</v>
      </c>
      <c r="V257">
        <v>3.0958500844125241</v>
      </c>
      <c r="W257" s="14">
        <v>3</v>
      </c>
      <c r="X257">
        <v>3.5078178355445662</v>
      </c>
      <c r="Y257">
        <v>8.4222778761641806</v>
      </c>
      <c r="Z257" s="80">
        <v>1.2903420664937437E-2</v>
      </c>
      <c r="AA257">
        <v>8</v>
      </c>
      <c r="AB257">
        <f t="shared" si="58"/>
        <v>0</v>
      </c>
      <c r="AC257">
        <f t="shared" si="59"/>
        <v>0</v>
      </c>
      <c r="AD257">
        <f t="shared" si="60"/>
        <v>0</v>
      </c>
      <c r="AE257">
        <f t="shared" si="61"/>
        <v>0</v>
      </c>
      <c r="AF257">
        <f t="shared" si="62"/>
        <v>0</v>
      </c>
      <c r="AG257">
        <f t="shared" si="63"/>
        <v>0</v>
      </c>
      <c r="AH257">
        <f t="shared" si="64"/>
        <v>0</v>
      </c>
      <c r="AI257">
        <f t="shared" si="65"/>
        <v>1</v>
      </c>
      <c r="AJ257">
        <f t="shared" si="66"/>
        <v>0</v>
      </c>
      <c r="AK257">
        <f t="shared" si="67"/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1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</row>
    <row r="258" spans="1:53" x14ac:dyDescent="0.35">
      <c r="A258">
        <v>0.29178099986126038</v>
      </c>
      <c r="C258">
        <v>2.3534246575342466</v>
      </c>
      <c r="D258" s="137">
        <f t="shared" si="52"/>
        <v>0.37170029937476762</v>
      </c>
      <c r="E258">
        <v>3.7899753459779522</v>
      </c>
      <c r="F258">
        <v>1.8864907251724818</v>
      </c>
      <c r="G258" s="45">
        <v>3.18</v>
      </c>
      <c r="H258" s="29">
        <f t="shared" si="53"/>
        <v>0.50242711998443268</v>
      </c>
      <c r="I258" s="9">
        <v>2.7670321178317625</v>
      </c>
      <c r="J258" s="34">
        <v>8.9905111439397931E-2</v>
      </c>
      <c r="K258">
        <v>18</v>
      </c>
      <c r="L258" s="137">
        <f t="shared" si="54"/>
        <v>1.255272505103306</v>
      </c>
      <c r="M258">
        <f t="shared" ref="M258:M321" si="68">IF(E258=0,0,1)</f>
        <v>1</v>
      </c>
      <c r="N258">
        <v>85</v>
      </c>
      <c r="O258">
        <v>80</v>
      </c>
      <c r="P258">
        <v>70</v>
      </c>
      <c r="Q258" s="137">
        <f t="shared" si="55"/>
        <v>1.8450980400142569</v>
      </c>
      <c r="R258" s="34">
        <v>42.9</v>
      </c>
      <c r="S258" s="34">
        <f t="shared" si="56"/>
        <v>1.6324572921847242</v>
      </c>
      <c r="T258" s="42">
        <v>53.2941466273667</v>
      </c>
      <c r="U258" s="42">
        <f t="shared" si="57"/>
        <v>1.7266795124593939</v>
      </c>
      <c r="V258">
        <v>3.0958500844125241</v>
      </c>
      <c r="W258" s="14">
        <v>3</v>
      </c>
      <c r="X258">
        <v>3.5078178355445662</v>
      </c>
      <c r="Y258">
        <v>7.6232492903979008</v>
      </c>
      <c r="Z258" s="80">
        <v>0.29506230504932152</v>
      </c>
      <c r="AA258">
        <v>1</v>
      </c>
      <c r="AB258">
        <f t="shared" si="58"/>
        <v>1</v>
      </c>
      <c r="AC258">
        <f t="shared" si="59"/>
        <v>0</v>
      </c>
      <c r="AD258">
        <f t="shared" si="60"/>
        <v>0</v>
      </c>
      <c r="AE258">
        <f t="shared" si="61"/>
        <v>0</v>
      </c>
      <c r="AF258">
        <f t="shared" si="62"/>
        <v>0</v>
      </c>
      <c r="AG258">
        <f t="shared" si="63"/>
        <v>0</v>
      </c>
      <c r="AH258">
        <f t="shared" si="64"/>
        <v>0</v>
      </c>
      <c r="AI258">
        <f t="shared" si="65"/>
        <v>0</v>
      </c>
      <c r="AJ258">
        <f t="shared" si="66"/>
        <v>0</v>
      </c>
      <c r="AK258">
        <f t="shared" si="67"/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</row>
    <row r="259" spans="1:53" x14ac:dyDescent="0.35">
      <c r="A259">
        <v>0.84509804001425681</v>
      </c>
      <c r="C259">
        <v>3.9178082191780823</v>
      </c>
      <c r="D259" s="137">
        <f t="shared" ref="D259:D322" si="69">LOG(C259)</f>
        <v>0.59304317300858711</v>
      </c>
      <c r="E259">
        <v>3.7899753459779522</v>
      </c>
      <c r="F259">
        <v>0</v>
      </c>
      <c r="G259" s="45">
        <v>3.18</v>
      </c>
      <c r="H259" s="29">
        <f t="shared" ref="H259:H322" si="70">LOG(G259)</f>
        <v>0.50242711998443268</v>
      </c>
      <c r="I259" s="9">
        <v>2.7670321178317625</v>
      </c>
      <c r="J259" s="34">
        <v>-0.10790539730951958</v>
      </c>
      <c r="K259">
        <v>13</v>
      </c>
      <c r="L259" s="137">
        <f t="shared" ref="L259:L322" si="71">IF(K259=0,0,LOG(K259))</f>
        <v>1.1139433523068367</v>
      </c>
      <c r="M259">
        <f t="shared" si="68"/>
        <v>1</v>
      </c>
      <c r="N259">
        <v>85</v>
      </c>
      <c r="O259">
        <v>80</v>
      </c>
      <c r="P259">
        <v>70</v>
      </c>
      <c r="Q259" s="137">
        <f t="shared" ref="Q259:Q322" si="72">LOG(P259)</f>
        <v>1.8450980400142569</v>
      </c>
      <c r="R259" s="34">
        <v>43.4</v>
      </c>
      <c r="S259" s="34">
        <f t="shared" ref="S259:S322" si="73">LOG(R259)</f>
        <v>1.6374897295125106</v>
      </c>
      <c r="T259" s="42">
        <v>51.652289181886701</v>
      </c>
      <c r="U259" s="42">
        <f t="shared" ref="U259:U322" si="74">LOG(T259)</f>
        <v>1.7130895738136374</v>
      </c>
      <c r="V259">
        <v>3.0958500844125241</v>
      </c>
      <c r="W259" s="14">
        <v>3</v>
      </c>
      <c r="X259">
        <v>3.5078178355445662</v>
      </c>
      <c r="Y259">
        <v>6.8450980400142569</v>
      </c>
      <c r="Z259" s="80">
        <v>-0.26100738209914043</v>
      </c>
      <c r="AA259">
        <v>5</v>
      </c>
      <c r="AB259">
        <f t="shared" ref="AB259:AB322" si="75">IF(AA259=1,1,0)</f>
        <v>0</v>
      </c>
      <c r="AC259">
        <f t="shared" ref="AC259:AC322" si="76">IF(AA259=2,1,0)</f>
        <v>0</v>
      </c>
      <c r="AD259">
        <f t="shared" ref="AD259:AD322" si="77">IF(AA259=3,1,0)</f>
        <v>0</v>
      </c>
      <c r="AE259">
        <f t="shared" ref="AE259:AE322" si="78">IF(AA259=4,1,0)</f>
        <v>0</v>
      </c>
      <c r="AF259">
        <f t="shared" ref="AF259:AF322" si="79">IF(AA259=5,1,0)</f>
        <v>1</v>
      </c>
      <c r="AG259">
        <f t="shared" ref="AG259:AG322" si="80">IF(AA259=6,1,0)</f>
        <v>0</v>
      </c>
      <c r="AH259">
        <f t="shared" ref="AH259:AH322" si="81">IF(AA259=7,1,0)</f>
        <v>0</v>
      </c>
      <c r="AI259">
        <f t="shared" ref="AI259:AI322" si="82">IF(AA259=8,1,0)</f>
        <v>0</v>
      </c>
      <c r="AJ259">
        <f t="shared" ref="AJ259:AJ322" si="83">IF(AA259=9,1,0)</f>
        <v>0</v>
      </c>
      <c r="AK259">
        <f t="shared" ref="AK259:AK322" si="84">IF(AA259=10,1,0)</f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1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</row>
    <row r="260" spans="1:53" x14ac:dyDescent="0.35">
      <c r="A260">
        <v>0.12115543630776511</v>
      </c>
      <c r="C260">
        <v>8.7452054794520553</v>
      </c>
      <c r="D260" s="137">
        <f t="shared" si="69"/>
        <v>0.94177001822221718</v>
      </c>
      <c r="E260">
        <v>3.7899753459779522</v>
      </c>
      <c r="F260">
        <v>1.5563025007672873</v>
      </c>
      <c r="G260" s="45">
        <v>3.18</v>
      </c>
      <c r="H260" s="29">
        <f t="shared" si="70"/>
        <v>0.50242711998443268</v>
      </c>
      <c r="I260" s="9">
        <v>2.7670321178317625</v>
      </c>
      <c r="J260" s="34">
        <v>0.12385164096708581</v>
      </c>
      <c r="K260">
        <v>11</v>
      </c>
      <c r="L260" s="137">
        <f t="shared" si="71"/>
        <v>1.0413926851582251</v>
      </c>
      <c r="M260">
        <f t="shared" si="68"/>
        <v>1</v>
      </c>
      <c r="N260">
        <v>85</v>
      </c>
      <c r="O260">
        <v>80</v>
      </c>
      <c r="P260">
        <v>85</v>
      </c>
      <c r="Q260" s="137">
        <f t="shared" si="72"/>
        <v>1.9294189257142926</v>
      </c>
      <c r="R260" s="34">
        <v>43.5</v>
      </c>
      <c r="S260" s="34">
        <f t="shared" si="73"/>
        <v>1.6384892569546374</v>
      </c>
      <c r="T260" s="42">
        <v>52.924485315438503</v>
      </c>
      <c r="U260" s="42">
        <f t="shared" si="74"/>
        <v>1.7236566432478624</v>
      </c>
      <c r="V260">
        <v>3.0958500844125241</v>
      </c>
      <c r="W260" s="14">
        <v>3</v>
      </c>
      <c r="X260">
        <v>3.5078178355445662</v>
      </c>
      <c r="Y260">
        <v>8.3412425615911907</v>
      </c>
      <c r="Z260" s="80">
        <v>0.20683057291314721</v>
      </c>
      <c r="AA260">
        <v>1</v>
      </c>
      <c r="AB260">
        <f t="shared" si="75"/>
        <v>1</v>
      </c>
      <c r="AC260">
        <f t="shared" si="76"/>
        <v>0</v>
      </c>
      <c r="AD260">
        <f t="shared" si="77"/>
        <v>0</v>
      </c>
      <c r="AE260">
        <f t="shared" si="78"/>
        <v>0</v>
      </c>
      <c r="AF260">
        <f t="shared" si="79"/>
        <v>0</v>
      </c>
      <c r="AG260">
        <f t="shared" si="80"/>
        <v>0</v>
      </c>
      <c r="AH260">
        <f t="shared" si="81"/>
        <v>0</v>
      </c>
      <c r="AI260">
        <f t="shared" si="82"/>
        <v>0</v>
      </c>
      <c r="AJ260">
        <f t="shared" si="83"/>
        <v>0</v>
      </c>
      <c r="AK260">
        <f t="shared" si="84"/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1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</row>
    <row r="261" spans="1:53" x14ac:dyDescent="0.35">
      <c r="A261">
        <v>0.44193238125204243</v>
      </c>
      <c r="C261">
        <v>6.1863013698630134</v>
      </c>
      <c r="D261" s="137">
        <f t="shared" si="69"/>
        <v>0.79143107313247429</v>
      </c>
      <c r="E261">
        <v>3.7707754512906644</v>
      </c>
      <c r="F261">
        <v>0.77815125038364363</v>
      </c>
      <c r="G261" s="45">
        <v>2.3199999999999998</v>
      </c>
      <c r="H261" s="29">
        <f t="shared" si="70"/>
        <v>0.36548798489089962</v>
      </c>
      <c r="I261" s="9">
        <v>2.1238516409670858</v>
      </c>
      <c r="J261" s="34">
        <v>0.28555730900777382</v>
      </c>
      <c r="K261">
        <v>25</v>
      </c>
      <c r="L261" s="137">
        <f t="shared" si="71"/>
        <v>1.3979400086720377</v>
      </c>
      <c r="M261">
        <f t="shared" si="68"/>
        <v>1</v>
      </c>
      <c r="N261">
        <v>70</v>
      </c>
      <c r="O261">
        <v>70</v>
      </c>
      <c r="P261">
        <v>94.7</v>
      </c>
      <c r="Q261" s="137">
        <f t="shared" si="72"/>
        <v>1.9763499790032735</v>
      </c>
      <c r="R261" s="34">
        <v>32.4</v>
      </c>
      <c r="S261" s="34">
        <f t="shared" si="73"/>
        <v>1.510545010206612</v>
      </c>
      <c r="T261" s="42">
        <v>45.737088331856903</v>
      </c>
      <c r="U261" s="42">
        <f t="shared" si="74"/>
        <v>1.6602685135357675</v>
      </c>
      <c r="V261">
        <v>3.0958500844125241</v>
      </c>
      <c r="W261" s="14">
        <v>3</v>
      </c>
      <c r="X261">
        <v>3.5078178355445662</v>
      </c>
      <c r="Y261">
        <v>7.7911590602836815</v>
      </c>
      <c r="Z261" s="80">
        <v>0.2717922047962642</v>
      </c>
      <c r="AA261">
        <v>7</v>
      </c>
      <c r="AB261">
        <f t="shared" si="75"/>
        <v>0</v>
      </c>
      <c r="AC261">
        <f t="shared" si="76"/>
        <v>0</v>
      </c>
      <c r="AD261">
        <f t="shared" si="77"/>
        <v>0</v>
      </c>
      <c r="AE261">
        <f t="shared" si="78"/>
        <v>0</v>
      </c>
      <c r="AF261">
        <f t="shared" si="79"/>
        <v>0</v>
      </c>
      <c r="AG261">
        <f t="shared" si="80"/>
        <v>0</v>
      </c>
      <c r="AH261">
        <f t="shared" si="81"/>
        <v>1</v>
      </c>
      <c r="AI261">
        <f t="shared" si="82"/>
        <v>0</v>
      </c>
      <c r="AJ261">
        <f t="shared" si="83"/>
        <v>0</v>
      </c>
      <c r="AK261">
        <f t="shared" si="84"/>
        <v>0</v>
      </c>
      <c r="AL261">
        <v>0</v>
      </c>
      <c r="AM261">
        <v>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</row>
    <row r="262" spans="1:53" x14ac:dyDescent="0.35">
      <c r="A262">
        <v>0.25661085587556831</v>
      </c>
      <c r="C262">
        <v>3.8575342465753426</v>
      </c>
      <c r="D262" s="137">
        <f t="shared" si="69"/>
        <v>0.58630979034961872</v>
      </c>
      <c r="E262">
        <v>3.7707754512906644</v>
      </c>
      <c r="F262">
        <v>0</v>
      </c>
      <c r="G262" s="45">
        <v>2.3199999999999998</v>
      </c>
      <c r="H262" s="29">
        <f t="shared" si="70"/>
        <v>0.36548798489089962</v>
      </c>
      <c r="I262" s="9">
        <v>2.1238516409670858</v>
      </c>
      <c r="J262" s="34">
        <v>2.1189299069938092E-2</v>
      </c>
      <c r="K262">
        <v>21</v>
      </c>
      <c r="L262" s="137">
        <f t="shared" si="71"/>
        <v>1.3222192947339193</v>
      </c>
      <c r="M262">
        <f t="shared" si="68"/>
        <v>1</v>
      </c>
      <c r="N262">
        <v>70</v>
      </c>
      <c r="O262">
        <v>70</v>
      </c>
      <c r="P262">
        <v>90.8</v>
      </c>
      <c r="Q262" s="137">
        <f t="shared" si="72"/>
        <v>1.958085848521085</v>
      </c>
      <c r="R262" s="34">
        <v>32.299999999999997</v>
      </c>
      <c r="S262" s="34">
        <f t="shared" si="73"/>
        <v>1.5092025223311027</v>
      </c>
      <c r="T262" s="42">
        <v>44.4007960521485</v>
      </c>
      <c r="U262" s="42">
        <f t="shared" si="74"/>
        <v>1.6473907565550749</v>
      </c>
      <c r="V262">
        <v>3.0958500844125241</v>
      </c>
      <c r="W262" s="14">
        <v>3</v>
      </c>
      <c r="X262">
        <v>3.5078178355445662</v>
      </c>
      <c r="Y262">
        <v>8.5563025007672877</v>
      </c>
      <c r="Z262" s="80">
        <v>2.8947323340471121E-2</v>
      </c>
      <c r="AA262">
        <v>6</v>
      </c>
      <c r="AB262">
        <f t="shared" si="75"/>
        <v>0</v>
      </c>
      <c r="AC262">
        <f t="shared" si="76"/>
        <v>0</v>
      </c>
      <c r="AD262">
        <f t="shared" si="77"/>
        <v>0</v>
      </c>
      <c r="AE262">
        <f t="shared" si="78"/>
        <v>0</v>
      </c>
      <c r="AF262">
        <f t="shared" si="79"/>
        <v>0</v>
      </c>
      <c r="AG262">
        <f t="shared" si="80"/>
        <v>1</v>
      </c>
      <c r="AH262">
        <f t="shared" si="81"/>
        <v>0</v>
      </c>
      <c r="AI262">
        <f t="shared" si="82"/>
        <v>0</v>
      </c>
      <c r="AJ262">
        <f t="shared" si="83"/>
        <v>0</v>
      </c>
      <c r="AK262">
        <f t="shared" si="84"/>
        <v>0</v>
      </c>
      <c r="AL262">
        <v>0</v>
      </c>
      <c r="AM262">
        <v>1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</row>
    <row r="263" spans="1:53" x14ac:dyDescent="0.35">
      <c r="A263">
        <v>-4.8523706803827171E-2</v>
      </c>
      <c r="C263">
        <v>3.3397260273972602</v>
      </c>
      <c r="D263" s="137">
        <f t="shared" si="69"/>
        <v>0.52371084116190725</v>
      </c>
      <c r="E263">
        <v>3.7707754512906644</v>
      </c>
      <c r="F263">
        <v>1.6232492903979006</v>
      </c>
      <c r="G263" s="45">
        <v>2.3199999999999998</v>
      </c>
      <c r="H263" s="29">
        <f t="shared" si="70"/>
        <v>0.36548798489089962</v>
      </c>
      <c r="I263" s="9">
        <v>2.1238516409670858</v>
      </c>
      <c r="J263" s="34">
        <v>-0.11918640771920865</v>
      </c>
      <c r="K263">
        <v>19</v>
      </c>
      <c r="L263" s="137">
        <f t="shared" si="71"/>
        <v>1.2787536009528289</v>
      </c>
      <c r="M263">
        <f t="shared" si="68"/>
        <v>1</v>
      </c>
      <c r="N263">
        <v>70</v>
      </c>
      <c r="O263">
        <v>70</v>
      </c>
      <c r="P263">
        <v>91.5</v>
      </c>
      <c r="Q263" s="137">
        <f t="shared" si="72"/>
        <v>1.9614210940664483</v>
      </c>
      <c r="R263" s="34">
        <v>32.9</v>
      </c>
      <c r="S263" s="34">
        <f t="shared" si="73"/>
        <v>1.5171958979499742</v>
      </c>
      <c r="T263" s="42">
        <v>40.767390998852598</v>
      </c>
      <c r="U263" s="42">
        <f t="shared" si="74"/>
        <v>1.6103129186864549</v>
      </c>
      <c r="V263">
        <v>3.0958500844125241</v>
      </c>
      <c r="W263" s="14">
        <v>3</v>
      </c>
      <c r="X263">
        <v>3.5078178355445662</v>
      </c>
      <c r="Y263">
        <v>8.5440680443502757</v>
      </c>
      <c r="Z263" s="80">
        <v>-0.21054686617638985</v>
      </c>
      <c r="AA263">
        <v>5</v>
      </c>
      <c r="AB263">
        <f t="shared" si="75"/>
        <v>0</v>
      </c>
      <c r="AC263">
        <f t="shared" si="76"/>
        <v>0</v>
      </c>
      <c r="AD263">
        <f t="shared" si="77"/>
        <v>0</v>
      </c>
      <c r="AE263">
        <f t="shared" si="78"/>
        <v>0</v>
      </c>
      <c r="AF263">
        <f t="shared" si="79"/>
        <v>1</v>
      </c>
      <c r="AG263">
        <f t="shared" si="80"/>
        <v>0</v>
      </c>
      <c r="AH263">
        <f t="shared" si="81"/>
        <v>0</v>
      </c>
      <c r="AI263">
        <f t="shared" si="82"/>
        <v>0</v>
      </c>
      <c r="AJ263">
        <f t="shared" si="83"/>
        <v>0</v>
      </c>
      <c r="AK263">
        <f t="shared" si="84"/>
        <v>0</v>
      </c>
      <c r="AL263">
        <v>0</v>
      </c>
      <c r="AM263">
        <v>1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</row>
    <row r="264" spans="1:53" x14ac:dyDescent="0.35">
      <c r="A264">
        <v>-4.8952980787425474E-4</v>
      </c>
      <c r="C264">
        <v>3.128767123287671</v>
      </c>
      <c r="D264" s="137">
        <f t="shared" si="69"/>
        <v>0.49537323945335449</v>
      </c>
      <c r="E264">
        <v>3.7707754512906644</v>
      </c>
      <c r="F264">
        <v>1.9030899869919435</v>
      </c>
      <c r="G264" s="45">
        <v>2.3199999999999998</v>
      </c>
      <c r="H264" s="29">
        <f t="shared" si="70"/>
        <v>0.36548798489089962</v>
      </c>
      <c r="I264" s="9">
        <v>2.1238516409670858</v>
      </c>
      <c r="J264" s="34">
        <v>-0.13076828026902382</v>
      </c>
      <c r="K264">
        <v>18</v>
      </c>
      <c r="L264" s="137">
        <f t="shared" si="71"/>
        <v>1.255272505103306</v>
      </c>
      <c r="M264">
        <f t="shared" si="68"/>
        <v>1</v>
      </c>
      <c r="N264">
        <v>70</v>
      </c>
      <c r="O264">
        <v>70</v>
      </c>
      <c r="P264">
        <v>85</v>
      </c>
      <c r="Q264" s="137">
        <f t="shared" si="72"/>
        <v>1.9294189257142926</v>
      </c>
      <c r="R264" s="34">
        <v>32.700000000000003</v>
      </c>
      <c r="S264" s="34">
        <f t="shared" si="73"/>
        <v>1.5145477526602862</v>
      </c>
      <c r="T264" s="42">
        <v>41.286751495766303</v>
      </c>
      <c r="U264" s="42">
        <f t="shared" si="74"/>
        <v>1.6158107132703448</v>
      </c>
      <c r="V264">
        <v>3.0958500844125241</v>
      </c>
      <c r="W264" s="14">
        <v>3</v>
      </c>
      <c r="X264">
        <v>3.5078178355445662</v>
      </c>
      <c r="Y264">
        <v>7.7264011621029223</v>
      </c>
      <c r="Z264" s="80">
        <v>-0.15469220965033437</v>
      </c>
      <c r="AA264">
        <v>8</v>
      </c>
      <c r="AB264">
        <f t="shared" si="75"/>
        <v>0</v>
      </c>
      <c r="AC264">
        <f t="shared" si="76"/>
        <v>0</v>
      </c>
      <c r="AD264">
        <f t="shared" si="77"/>
        <v>0</v>
      </c>
      <c r="AE264">
        <f t="shared" si="78"/>
        <v>0</v>
      </c>
      <c r="AF264">
        <f t="shared" si="79"/>
        <v>0</v>
      </c>
      <c r="AG264">
        <f t="shared" si="80"/>
        <v>0</v>
      </c>
      <c r="AH264">
        <f t="shared" si="81"/>
        <v>0</v>
      </c>
      <c r="AI264">
        <f t="shared" si="82"/>
        <v>1</v>
      </c>
      <c r="AJ264">
        <f t="shared" si="83"/>
        <v>0</v>
      </c>
      <c r="AK264">
        <f t="shared" si="84"/>
        <v>0</v>
      </c>
      <c r="AL264">
        <v>0</v>
      </c>
      <c r="AM264">
        <v>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</row>
    <row r="265" spans="1:53" x14ac:dyDescent="0.35">
      <c r="A265">
        <v>0.29148467775775083</v>
      </c>
      <c r="C265">
        <v>5.0630136986301366</v>
      </c>
      <c r="D265" s="137">
        <f t="shared" si="69"/>
        <v>0.70440910242761312</v>
      </c>
      <c r="E265">
        <v>3.7707754512906644</v>
      </c>
      <c r="F265">
        <v>0</v>
      </c>
      <c r="G265" s="45">
        <v>2.3199999999999998</v>
      </c>
      <c r="H265" s="29">
        <f t="shared" si="70"/>
        <v>0.36548798489089962</v>
      </c>
      <c r="I265" s="9">
        <v>2.1238516409670858</v>
      </c>
      <c r="J265" s="34">
        <v>-4.3648054024500883E-3</v>
      </c>
      <c r="K265">
        <v>18</v>
      </c>
      <c r="L265" s="137">
        <f t="shared" si="71"/>
        <v>1.255272505103306</v>
      </c>
      <c r="M265">
        <f t="shared" si="68"/>
        <v>1</v>
      </c>
      <c r="N265">
        <v>70</v>
      </c>
      <c r="O265">
        <v>70</v>
      </c>
      <c r="P265">
        <v>85</v>
      </c>
      <c r="Q265" s="137">
        <f t="shared" si="72"/>
        <v>1.9294189257142926</v>
      </c>
      <c r="R265" s="34">
        <v>32.700000000000003</v>
      </c>
      <c r="S265" s="34">
        <f t="shared" si="73"/>
        <v>1.5145477526602862</v>
      </c>
      <c r="T265" s="42">
        <v>41.286751495766303</v>
      </c>
      <c r="U265" s="42">
        <f t="shared" si="74"/>
        <v>1.6158107132703448</v>
      </c>
      <c r="V265">
        <v>3.0958500844125241</v>
      </c>
      <c r="W265" s="14">
        <v>3</v>
      </c>
      <c r="X265">
        <v>3.5078178355445662</v>
      </c>
      <c r="Y265">
        <v>8.3617278360175931</v>
      </c>
      <c r="Z265" s="80">
        <v>0.10637152611359757</v>
      </c>
      <c r="AA265">
        <v>5</v>
      </c>
      <c r="AB265">
        <f t="shared" si="75"/>
        <v>0</v>
      </c>
      <c r="AC265">
        <f t="shared" si="76"/>
        <v>0</v>
      </c>
      <c r="AD265">
        <f t="shared" si="77"/>
        <v>0</v>
      </c>
      <c r="AE265">
        <f t="shared" si="78"/>
        <v>0</v>
      </c>
      <c r="AF265">
        <f t="shared" si="79"/>
        <v>1</v>
      </c>
      <c r="AG265">
        <f t="shared" si="80"/>
        <v>0</v>
      </c>
      <c r="AH265">
        <f t="shared" si="81"/>
        <v>0</v>
      </c>
      <c r="AI265">
        <f t="shared" si="82"/>
        <v>0</v>
      </c>
      <c r="AJ265">
        <f t="shared" si="83"/>
        <v>0</v>
      </c>
      <c r="AK265">
        <f t="shared" si="84"/>
        <v>0</v>
      </c>
      <c r="AL265">
        <v>0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</row>
    <row r="266" spans="1:53" x14ac:dyDescent="0.35">
      <c r="A266">
        <v>0.29846777889938081</v>
      </c>
      <c r="C266">
        <v>1.210958904109589</v>
      </c>
      <c r="D266" s="137">
        <f t="shared" si="69"/>
        <v>8.3129404892617151E-2</v>
      </c>
      <c r="E266">
        <v>3.7707754512906644</v>
      </c>
      <c r="F266">
        <v>1.0413926851582251</v>
      </c>
      <c r="G266" s="45">
        <v>2.3199999999999998</v>
      </c>
      <c r="H266" s="29">
        <f t="shared" si="70"/>
        <v>0.36548798489089962</v>
      </c>
      <c r="I266" s="9">
        <v>2.1238516409670858</v>
      </c>
      <c r="J266" s="34">
        <v>4.1392685158225077E-2</v>
      </c>
      <c r="K266">
        <v>17</v>
      </c>
      <c r="L266" s="137">
        <f t="shared" si="71"/>
        <v>1.2304489213782739</v>
      </c>
      <c r="M266">
        <f t="shared" si="68"/>
        <v>1</v>
      </c>
      <c r="N266">
        <v>70</v>
      </c>
      <c r="O266">
        <v>70</v>
      </c>
      <c r="P266">
        <v>85</v>
      </c>
      <c r="Q266" s="137">
        <f t="shared" si="72"/>
        <v>1.9294189257142926</v>
      </c>
      <c r="R266" s="34">
        <v>32.299999999999997</v>
      </c>
      <c r="S266" s="34">
        <f t="shared" si="73"/>
        <v>1.5092025223311027</v>
      </c>
      <c r="T266" s="42">
        <v>40.040400531970803</v>
      </c>
      <c r="U266" s="42">
        <f t="shared" si="74"/>
        <v>1.6024984131617945</v>
      </c>
      <c r="V266">
        <v>3.0958500844125241</v>
      </c>
      <c r="W266" s="14">
        <v>3</v>
      </c>
      <c r="X266">
        <v>3.5078178355445662</v>
      </c>
      <c r="Y266">
        <v>7.5314789170422554</v>
      </c>
      <c r="Z266" s="80">
        <v>0.16266306910462625</v>
      </c>
      <c r="AA266">
        <v>4</v>
      </c>
      <c r="AB266">
        <f t="shared" si="75"/>
        <v>0</v>
      </c>
      <c r="AC266">
        <f t="shared" si="76"/>
        <v>0</v>
      </c>
      <c r="AD266">
        <f t="shared" si="77"/>
        <v>0</v>
      </c>
      <c r="AE266">
        <f t="shared" si="78"/>
        <v>1</v>
      </c>
      <c r="AF266">
        <f t="shared" si="79"/>
        <v>0</v>
      </c>
      <c r="AG266">
        <f t="shared" si="80"/>
        <v>0</v>
      </c>
      <c r="AH266">
        <f t="shared" si="81"/>
        <v>0</v>
      </c>
      <c r="AI266">
        <f t="shared" si="82"/>
        <v>0</v>
      </c>
      <c r="AJ266">
        <f t="shared" si="83"/>
        <v>0</v>
      </c>
      <c r="AK266">
        <f t="shared" si="84"/>
        <v>0</v>
      </c>
      <c r="AL266">
        <v>0</v>
      </c>
      <c r="AM266">
        <v>1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</row>
    <row r="267" spans="1:53" x14ac:dyDescent="0.35">
      <c r="A267">
        <v>0.97132548522960493</v>
      </c>
      <c r="C267">
        <v>4.7835616438356166</v>
      </c>
      <c r="D267" s="137">
        <f t="shared" si="69"/>
        <v>0.67975137491307625</v>
      </c>
      <c r="E267">
        <v>3.7707754512906644</v>
      </c>
      <c r="F267">
        <v>2.2227164711475833</v>
      </c>
      <c r="G267" s="45">
        <v>2.3199999999999998</v>
      </c>
      <c r="H267" s="29">
        <f t="shared" si="70"/>
        <v>0.36548798489089962</v>
      </c>
      <c r="I267" s="9">
        <v>2.1238516409670858</v>
      </c>
      <c r="J267" s="34">
        <v>0.250420002308894</v>
      </c>
      <c r="K267">
        <v>16</v>
      </c>
      <c r="L267" s="137">
        <f t="shared" si="71"/>
        <v>1.2041199826559248</v>
      </c>
      <c r="M267">
        <f t="shared" si="68"/>
        <v>1</v>
      </c>
      <c r="N267">
        <v>70</v>
      </c>
      <c r="O267">
        <v>70</v>
      </c>
      <c r="P267">
        <v>85</v>
      </c>
      <c r="Q267" s="137">
        <f t="shared" si="72"/>
        <v>1.9294189257142926</v>
      </c>
      <c r="R267" s="34">
        <v>31.3</v>
      </c>
      <c r="S267" s="34">
        <f t="shared" si="73"/>
        <v>1.4955443375464486</v>
      </c>
      <c r="T267" s="42">
        <v>38.7850112673514</v>
      </c>
      <c r="U267" s="42">
        <f t="shared" si="74"/>
        <v>1.5886639219461918</v>
      </c>
      <c r="V267">
        <v>3.0958500844125241</v>
      </c>
      <c r="W267" s="14">
        <v>3</v>
      </c>
      <c r="X267">
        <v>3.5078178355445662</v>
      </c>
      <c r="Y267">
        <v>8.0041063232796574</v>
      </c>
      <c r="Z267" s="80">
        <v>0.81925612364133427</v>
      </c>
      <c r="AA267">
        <v>8</v>
      </c>
      <c r="AB267">
        <f t="shared" si="75"/>
        <v>0</v>
      </c>
      <c r="AC267">
        <f t="shared" si="76"/>
        <v>0</v>
      </c>
      <c r="AD267">
        <f t="shared" si="77"/>
        <v>0</v>
      </c>
      <c r="AE267">
        <f t="shared" si="78"/>
        <v>0</v>
      </c>
      <c r="AF267">
        <f t="shared" si="79"/>
        <v>0</v>
      </c>
      <c r="AG267">
        <f t="shared" si="80"/>
        <v>0</v>
      </c>
      <c r="AH267">
        <f t="shared" si="81"/>
        <v>0</v>
      </c>
      <c r="AI267">
        <f t="shared" si="82"/>
        <v>1</v>
      </c>
      <c r="AJ267">
        <f t="shared" si="83"/>
        <v>0</v>
      </c>
      <c r="AK267">
        <f t="shared" si="84"/>
        <v>0</v>
      </c>
      <c r="AL267">
        <v>0</v>
      </c>
      <c r="AM267">
        <v>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</row>
    <row r="268" spans="1:53" x14ac:dyDescent="0.35">
      <c r="A268">
        <v>0.28307026740134966</v>
      </c>
      <c r="C268">
        <v>2.9452054794520546</v>
      </c>
      <c r="D268" s="137">
        <f t="shared" si="69"/>
        <v>0.46911559979514939</v>
      </c>
      <c r="E268">
        <v>3.7707754512906644</v>
      </c>
      <c r="F268">
        <v>0.47712125471966244</v>
      </c>
      <c r="G268" s="45">
        <v>2.3199999999999998</v>
      </c>
      <c r="H268" s="29">
        <f t="shared" si="70"/>
        <v>0.36548798489089962</v>
      </c>
      <c r="I268" s="9">
        <v>2.1238516409670858</v>
      </c>
      <c r="J268" s="34">
        <v>0.18184358794477254</v>
      </c>
      <c r="K268">
        <v>0</v>
      </c>
      <c r="L268" s="137">
        <f t="shared" si="71"/>
        <v>0</v>
      </c>
      <c r="M268">
        <f t="shared" si="68"/>
        <v>1</v>
      </c>
      <c r="N268">
        <v>70</v>
      </c>
      <c r="O268">
        <v>70</v>
      </c>
      <c r="P268">
        <v>85</v>
      </c>
      <c r="Q268" s="137">
        <f t="shared" si="72"/>
        <v>1.9294189257142926</v>
      </c>
      <c r="R268" s="34">
        <v>31.3</v>
      </c>
      <c r="S268" s="34">
        <f t="shared" si="73"/>
        <v>1.4955443375464486</v>
      </c>
      <c r="T268" s="42">
        <v>38.7850112673514</v>
      </c>
      <c r="U268" s="42">
        <f t="shared" si="74"/>
        <v>1.5886639219461918</v>
      </c>
      <c r="V268">
        <v>3.0958500844125241</v>
      </c>
      <c r="W268" s="14">
        <v>3</v>
      </c>
      <c r="X268">
        <v>3.5078178355445662</v>
      </c>
      <c r="Y268">
        <v>8.1760912590556813</v>
      </c>
      <c r="Z268" s="80">
        <v>0.6457162069801794</v>
      </c>
      <c r="AA268">
        <v>9</v>
      </c>
      <c r="AB268">
        <f t="shared" si="75"/>
        <v>0</v>
      </c>
      <c r="AC268">
        <f t="shared" si="76"/>
        <v>0</v>
      </c>
      <c r="AD268">
        <f t="shared" si="77"/>
        <v>0</v>
      </c>
      <c r="AE268">
        <f t="shared" si="78"/>
        <v>0</v>
      </c>
      <c r="AF268">
        <f t="shared" si="79"/>
        <v>0</v>
      </c>
      <c r="AG268">
        <f t="shared" si="80"/>
        <v>0</v>
      </c>
      <c r="AH268">
        <f t="shared" si="81"/>
        <v>0</v>
      </c>
      <c r="AI268">
        <f t="shared" si="82"/>
        <v>0</v>
      </c>
      <c r="AJ268">
        <f t="shared" si="83"/>
        <v>1</v>
      </c>
      <c r="AK268">
        <f t="shared" si="84"/>
        <v>0</v>
      </c>
      <c r="AL268">
        <v>0</v>
      </c>
      <c r="AM268">
        <v>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</row>
    <row r="269" spans="1:53" x14ac:dyDescent="0.35">
      <c r="A269">
        <v>0.33666272262619235</v>
      </c>
      <c r="C269">
        <v>3.0931506849315067</v>
      </c>
      <c r="D269" s="137">
        <f t="shared" si="69"/>
        <v>0.49040107746849315</v>
      </c>
      <c r="E269">
        <v>3.7707754512906644</v>
      </c>
      <c r="F269">
        <v>0.6020599913279624</v>
      </c>
      <c r="G269" s="45">
        <v>2.3199999999999998</v>
      </c>
      <c r="H269" s="29">
        <f t="shared" si="70"/>
        <v>0.36548798489089962</v>
      </c>
      <c r="I269" s="9">
        <v>2.1238516409670858</v>
      </c>
      <c r="J269" s="34">
        <v>1.2837224705172217E-2</v>
      </c>
      <c r="K269">
        <v>15</v>
      </c>
      <c r="L269" s="137">
        <f t="shared" si="71"/>
        <v>1.1760912590556813</v>
      </c>
      <c r="M269">
        <f t="shared" si="68"/>
        <v>1</v>
      </c>
      <c r="N269">
        <v>70</v>
      </c>
      <c r="O269">
        <v>70</v>
      </c>
      <c r="P269">
        <v>85</v>
      </c>
      <c r="Q269" s="137">
        <f t="shared" si="72"/>
        <v>1.9294189257142926</v>
      </c>
      <c r="R269" s="34">
        <v>31.5</v>
      </c>
      <c r="S269" s="34">
        <f t="shared" si="73"/>
        <v>1.4983105537896004</v>
      </c>
      <c r="T269" s="42">
        <v>37.589394702761602</v>
      </c>
      <c r="U269" s="42">
        <f t="shared" si="74"/>
        <v>1.575065332381355</v>
      </c>
      <c r="V269">
        <v>3.0958500844125241</v>
      </c>
      <c r="W269" s="14">
        <v>3</v>
      </c>
      <c r="X269">
        <v>3.5078178355445662</v>
      </c>
      <c r="Y269">
        <v>6.8388490907372557</v>
      </c>
      <c r="Z269" s="80">
        <v>-2.4764228332747718E-2</v>
      </c>
      <c r="AA269">
        <v>9</v>
      </c>
      <c r="AB269">
        <f t="shared" si="75"/>
        <v>0</v>
      </c>
      <c r="AC269">
        <f t="shared" si="76"/>
        <v>0</v>
      </c>
      <c r="AD269">
        <f t="shared" si="77"/>
        <v>0</v>
      </c>
      <c r="AE269">
        <f t="shared" si="78"/>
        <v>0</v>
      </c>
      <c r="AF269">
        <f t="shared" si="79"/>
        <v>0</v>
      </c>
      <c r="AG269">
        <f t="shared" si="80"/>
        <v>0</v>
      </c>
      <c r="AH269">
        <f t="shared" si="81"/>
        <v>0</v>
      </c>
      <c r="AI269">
        <f t="shared" si="82"/>
        <v>0</v>
      </c>
      <c r="AJ269">
        <f t="shared" si="83"/>
        <v>1</v>
      </c>
      <c r="AK269">
        <f t="shared" si="84"/>
        <v>0</v>
      </c>
      <c r="AL269">
        <v>0</v>
      </c>
      <c r="AM269">
        <v>1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</row>
    <row r="270" spans="1:53" x14ac:dyDescent="0.35">
      <c r="A270">
        <v>8.3405285057375253E-2</v>
      </c>
      <c r="C270">
        <v>2.4767123287671233</v>
      </c>
      <c r="D270" s="137">
        <f t="shared" si="69"/>
        <v>0.39387556601888862</v>
      </c>
      <c r="E270">
        <v>3.7707754512906644</v>
      </c>
      <c r="F270">
        <v>1</v>
      </c>
      <c r="G270" s="45">
        <v>2.3199999999999998</v>
      </c>
      <c r="H270" s="29">
        <f t="shared" si="70"/>
        <v>0.36548798489089962</v>
      </c>
      <c r="I270" s="9">
        <v>2.1238516409670858</v>
      </c>
      <c r="J270" s="34">
        <v>9.691001300805642E-2</v>
      </c>
      <c r="K270">
        <v>19</v>
      </c>
      <c r="L270" s="137">
        <f t="shared" si="71"/>
        <v>1.2787536009528289</v>
      </c>
      <c r="M270">
        <f t="shared" si="68"/>
        <v>1</v>
      </c>
      <c r="N270">
        <v>70</v>
      </c>
      <c r="O270">
        <v>70</v>
      </c>
      <c r="P270">
        <v>85</v>
      </c>
      <c r="Q270" s="137">
        <f t="shared" si="72"/>
        <v>1.9294189257142926</v>
      </c>
      <c r="R270" s="34">
        <v>32.299999999999997</v>
      </c>
      <c r="S270" s="34">
        <f t="shared" si="73"/>
        <v>1.5092025223311027</v>
      </c>
      <c r="T270" s="42">
        <v>40.040400531970803</v>
      </c>
      <c r="U270" s="42">
        <f t="shared" si="74"/>
        <v>1.6024984131617945</v>
      </c>
      <c r="V270">
        <v>3.3647319918335836</v>
      </c>
      <c r="W270" s="14">
        <v>4</v>
      </c>
      <c r="X270">
        <v>3.568659604598353</v>
      </c>
      <c r="Y270">
        <v>8.2095150145426317</v>
      </c>
      <c r="Z270" s="80">
        <v>0.42788282313367487</v>
      </c>
      <c r="AA270">
        <v>2</v>
      </c>
      <c r="AB270">
        <f t="shared" si="75"/>
        <v>0</v>
      </c>
      <c r="AC270">
        <f t="shared" si="76"/>
        <v>1</v>
      </c>
      <c r="AD270">
        <f t="shared" si="77"/>
        <v>0</v>
      </c>
      <c r="AE270">
        <f t="shared" si="78"/>
        <v>0</v>
      </c>
      <c r="AF270">
        <f t="shared" si="79"/>
        <v>0</v>
      </c>
      <c r="AG270">
        <f t="shared" si="80"/>
        <v>0</v>
      </c>
      <c r="AH270">
        <f t="shared" si="81"/>
        <v>0</v>
      </c>
      <c r="AI270">
        <f t="shared" si="82"/>
        <v>0</v>
      </c>
      <c r="AJ270">
        <f t="shared" si="83"/>
        <v>0</v>
      </c>
      <c r="AK270">
        <f t="shared" si="84"/>
        <v>0</v>
      </c>
      <c r="AL270">
        <v>0</v>
      </c>
      <c r="AM270">
        <v>1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</row>
    <row r="271" spans="1:53" x14ac:dyDescent="0.35">
      <c r="A271">
        <v>0.67392371517510419</v>
      </c>
      <c r="C271">
        <v>9.2246575342465746</v>
      </c>
      <c r="D271" s="137">
        <f t="shared" si="69"/>
        <v>0.96495025193161388</v>
      </c>
      <c r="E271">
        <v>3.7707754512906644</v>
      </c>
      <c r="F271">
        <v>1.3010299956639813</v>
      </c>
      <c r="G271" s="45">
        <v>2.3199999999999998</v>
      </c>
      <c r="H271" s="29">
        <f t="shared" si="70"/>
        <v>0.36548798489089962</v>
      </c>
      <c r="I271" s="9">
        <v>2.1238516409670858</v>
      </c>
      <c r="J271" s="34">
        <v>0.20951501454263097</v>
      </c>
      <c r="K271">
        <v>21</v>
      </c>
      <c r="L271" s="137">
        <f t="shared" si="71"/>
        <v>1.3222192947339193</v>
      </c>
      <c r="M271">
        <f t="shared" si="68"/>
        <v>1</v>
      </c>
      <c r="N271">
        <v>70</v>
      </c>
      <c r="O271">
        <v>70</v>
      </c>
      <c r="P271">
        <v>91.5</v>
      </c>
      <c r="Q271" s="137">
        <f t="shared" si="72"/>
        <v>1.9614210940664483</v>
      </c>
      <c r="R271" s="34">
        <v>32.9</v>
      </c>
      <c r="S271" s="34">
        <f t="shared" si="73"/>
        <v>1.5171958979499742</v>
      </c>
      <c r="T271" s="42">
        <v>40.767390998852598</v>
      </c>
      <c r="U271" s="42">
        <f t="shared" si="74"/>
        <v>1.6103129186864549</v>
      </c>
      <c r="V271">
        <v>3.3647319918335836</v>
      </c>
      <c r="W271" s="14">
        <v>4</v>
      </c>
      <c r="X271">
        <v>3.568659604598353</v>
      </c>
      <c r="Y271">
        <v>8.4239990900577286</v>
      </c>
      <c r="Z271" s="80">
        <v>0.22355352902455206</v>
      </c>
      <c r="AA271">
        <v>5</v>
      </c>
      <c r="AB271">
        <f t="shared" si="75"/>
        <v>0</v>
      </c>
      <c r="AC271">
        <f t="shared" si="76"/>
        <v>0</v>
      </c>
      <c r="AD271">
        <f t="shared" si="77"/>
        <v>0</v>
      </c>
      <c r="AE271">
        <f t="shared" si="78"/>
        <v>0</v>
      </c>
      <c r="AF271">
        <f t="shared" si="79"/>
        <v>1</v>
      </c>
      <c r="AG271">
        <f t="shared" si="80"/>
        <v>0</v>
      </c>
      <c r="AH271">
        <f t="shared" si="81"/>
        <v>0</v>
      </c>
      <c r="AI271">
        <f t="shared" si="82"/>
        <v>0</v>
      </c>
      <c r="AJ271">
        <f t="shared" si="83"/>
        <v>0</v>
      </c>
      <c r="AK271">
        <f t="shared" si="84"/>
        <v>0</v>
      </c>
      <c r="AL271">
        <v>0</v>
      </c>
      <c r="AM271">
        <v>1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</row>
    <row r="272" spans="1:53" x14ac:dyDescent="0.35">
      <c r="A272">
        <v>0.61212131733585828</v>
      </c>
      <c r="C272">
        <v>5.624657534246575</v>
      </c>
      <c r="D272" s="137">
        <f t="shared" si="69"/>
        <v>0.75009608491411717</v>
      </c>
      <c r="E272">
        <v>3.7707754512906644</v>
      </c>
      <c r="F272">
        <v>1.8976270912904414</v>
      </c>
      <c r="G272" s="45">
        <v>2.3199999999999998</v>
      </c>
      <c r="H272" s="29">
        <f t="shared" si="70"/>
        <v>0.36548798489089962</v>
      </c>
      <c r="I272" s="9">
        <v>2.1238516409670858</v>
      </c>
      <c r="J272" s="34">
        <v>0.28103336724772759</v>
      </c>
      <c r="K272">
        <v>26</v>
      </c>
      <c r="L272" s="137">
        <f t="shared" si="71"/>
        <v>1.414973347970818</v>
      </c>
      <c r="M272">
        <f t="shared" si="68"/>
        <v>1</v>
      </c>
      <c r="N272">
        <v>70</v>
      </c>
      <c r="O272">
        <v>70</v>
      </c>
      <c r="P272">
        <v>94.7</v>
      </c>
      <c r="Q272" s="137">
        <f t="shared" si="72"/>
        <v>1.9763499790032735</v>
      </c>
      <c r="R272" s="34">
        <v>32.4</v>
      </c>
      <c r="S272" s="34">
        <f t="shared" si="73"/>
        <v>1.510545010206612</v>
      </c>
      <c r="T272" s="42">
        <v>45.737088331856903</v>
      </c>
      <c r="U272" s="42">
        <f t="shared" si="74"/>
        <v>1.6602685135357675</v>
      </c>
      <c r="V272">
        <v>3.3647319918335836</v>
      </c>
      <c r="W272" s="14">
        <v>4</v>
      </c>
      <c r="X272">
        <v>3.568659604598353</v>
      </c>
      <c r="Y272">
        <v>8.204119982655925</v>
      </c>
      <c r="Z272" s="80">
        <v>0.36930216610105093</v>
      </c>
      <c r="AA272">
        <v>1</v>
      </c>
      <c r="AB272">
        <f t="shared" si="75"/>
        <v>1</v>
      </c>
      <c r="AC272">
        <f t="shared" si="76"/>
        <v>0</v>
      </c>
      <c r="AD272">
        <f t="shared" si="77"/>
        <v>0</v>
      </c>
      <c r="AE272">
        <f t="shared" si="78"/>
        <v>0</v>
      </c>
      <c r="AF272">
        <f t="shared" si="79"/>
        <v>0</v>
      </c>
      <c r="AG272">
        <f t="shared" si="80"/>
        <v>0</v>
      </c>
      <c r="AH272">
        <f t="shared" si="81"/>
        <v>0</v>
      </c>
      <c r="AI272">
        <f t="shared" si="82"/>
        <v>0</v>
      </c>
      <c r="AJ272">
        <f t="shared" si="83"/>
        <v>0</v>
      </c>
      <c r="AK272">
        <f t="shared" si="84"/>
        <v>0</v>
      </c>
      <c r="AL272">
        <v>0</v>
      </c>
      <c r="AM272">
        <v>1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</row>
    <row r="273" spans="1:53" x14ac:dyDescent="0.35">
      <c r="A273">
        <v>0.71406781442004763</v>
      </c>
      <c r="C273">
        <v>5.9917808219178079</v>
      </c>
      <c r="D273" s="137">
        <f t="shared" si="69"/>
        <v>0.77755591858116235</v>
      </c>
      <c r="E273">
        <v>3.7707754512906644</v>
      </c>
      <c r="F273">
        <v>0.47712125471966244</v>
      </c>
      <c r="G273" s="45">
        <v>2.3199999999999998</v>
      </c>
      <c r="H273" s="29">
        <f t="shared" si="70"/>
        <v>0.36548798489089962</v>
      </c>
      <c r="I273" s="9">
        <v>2.1238516409670858</v>
      </c>
      <c r="J273" s="34">
        <v>0.43616264704075602</v>
      </c>
      <c r="K273">
        <v>0</v>
      </c>
      <c r="L273" s="137">
        <f t="shared" si="71"/>
        <v>0</v>
      </c>
      <c r="M273">
        <f t="shared" si="68"/>
        <v>1</v>
      </c>
      <c r="N273">
        <v>70</v>
      </c>
      <c r="O273">
        <v>70</v>
      </c>
      <c r="P273">
        <v>89.8</v>
      </c>
      <c r="Q273" s="137">
        <f t="shared" si="72"/>
        <v>1.9532763366673043</v>
      </c>
      <c r="R273" s="34">
        <v>31.2</v>
      </c>
      <c r="S273" s="34">
        <f t="shared" si="73"/>
        <v>1.4941545940184429</v>
      </c>
      <c r="T273" s="42">
        <v>47.307367293927399</v>
      </c>
      <c r="U273" s="42">
        <f t="shared" si="74"/>
        <v>1.6749287797641836</v>
      </c>
      <c r="V273">
        <v>3.3647319918335836</v>
      </c>
      <c r="W273" s="14">
        <v>4</v>
      </c>
      <c r="X273">
        <v>3.568659604598353</v>
      </c>
      <c r="Y273">
        <v>7.5412046906832586</v>
      </c>
      <c r="Z273" s="80">
        <v>0.92771348798772091</v>
      </c>
      <c r="AA273">
        <v>2</v>
      </c>
      <c r="AB273">
        <f t="shared" si="75"/>
        <v>0</v>
      </c>
      <c r="AC273">
        <f t="shared" si="76"/>
        <v>1</v>
      </c>
      <c r="AD273">
        <f t="shared" si="77"/>
        <v>0</v>
      </c>
      <c r="AE273">
        <f t="shared" si="78"/>
        <v>0</v>
      </c>
      <c r="AF273">
        <f t="shared" si="79"/>
        <v>0</v>
      </c>
      <c r="AG273">
        <f t="shared" si="80"/>
        <v>0</v>
      </c>
      <c r="AH273">
        <f t="shared" si="81"/>
        <v>0</v>
      </c>
      <c r="AI273">
        <f t="shared" si="82"/>
        <v>0</v>
      </c>
      <c r="AJ273">
        <f t="shared" si="83"/>
        <v>0</v>
      </c>
      <c r="AK273">
        <f t="shared" si="84"/>
        <v>0</v>
      </c>
      <c r="AL273">
        <v>0</v>
      </c>
      <c r="AM273">
        <v>1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</row>
    <row r="274" spans="1:53" x14ac:dyDescent="0.35">
      <c r="A274">
        <v>2.8298992127170717E-2</v>
      </c>
      <c r="C274">
        <v>2.1753424657534248</v>
      </c>
      <c r="D274" s="137">
        <f t="shared" si="69"/>
        <v>0.33752763797062157</v>
      </c>
      <c r="E274">
        <v>3.7707754512906644</v>
      </c>
      <c r="F274">
        <v>0.69897000433601886</v>
      </c>
      <c r="G274" s="45">
        <v>2.3199999999999998</v>
      </c>
      <c r="H274" s="29">
        <f t="shared" si="70"/>
        <v>0.36548798489089962</v>
      </c>
      <c r="I274" s="9">
        <v>2.1238516409670858</v>
      </c>
      <c r="J274" s="34">
        <v>7.9181246047624818E-2</v>
      </c>
      <c r="K274">
        <v>18</v>
      </c>
      <c r="L274" s="137">
        <f t="shared" si="71"/>
        <v>1.255272505103306</v>
      </c>
      <c r="M274">
        <f t="shared" si="68"/>
        <v>1</v>
      </c>
      <c r="N274">
        <v>70</v>
      </c>
      <c r="O274">
        <v>70</v>
      </c>
      <c r="P274">
        <v>85</v>
      </c>
      <c r="Q274" s="137">
        <f t="shared" si="72"/>
        <v>1.9294189257142926</v>
      </c>
      <c r="R274" s="34">
        <v>31.3</v>
      </c>
      <c r="S274" s="34">
        <f t="shared" si="73"/>
        <v>1.4955443375464486</v>
      </c>
      <c r="T274" s="42">
        <v>38.7850112673514</v>
      </c>
      <c r="U274" s="42">
        <f t="shared" si="74"/>
        <v>1.5886639219461918</v>
      </c>
      <c r="V274">
        <v>3.3647319918335836</v>
      </c>
      <c r="W274" s="14">
        <v>4</v>
      </c>
      <c r="X274">
        <v>3.568659604598353</v>
      </c>
      <c r="Y274">
        <v>9.3996737214810384</v>
      </c>
      <c r="Z274" s="80">
        <v>0.34314807268798098</v>
      </c>
      <c r="AA274">
        <v>5</v>
      </c>
      <c r="AB274">
        <f t="shared" si="75"/>
        <v>0</v>
      </c>
      <c r="AC274">
        <f t="shared" si="76"/>
        <v>0</v>
      </c>
      <c r="AD274">
        <f t="shared" si="77"/>
        <v>0</v>
      </c>
      <c r="AE274">
        <f t="shared" si="78"/>
        <v>0</v>
      </c>
      <c r="AF274">
        <f t="shared" si="79"/>
        <v>1</v>
      </c>
      <c r="AG274">
        <f t="shared" si="80"/>
        <v>0</v>
      </c>
      <c r="AH274">
        <f t="shared" si="81"/>
        <v>0</v>
      </c>
      <c r="AI274">
        <f t="shared" si="82"/>
        <v>0</v>
      </c>
      <c r="AJ274">
        <f t="shared" si="83"/>
        <v>0</v>
      </c>
      <c r="AK274">
        <f t="shared" si="84"/>
        <v>0</v>
      </c>
      <c r="AL274">
        <v>0</v>
      </c>
      <c r="AM274">
        <v>1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</row>
    <row r="275" spans="1:53" x14ac:dyDescent="0.35">
      <c r="A275">
        <v>0.15772854466068537</v>
      </c>
      <c r="C275">
        <v>9.6438356164383556</v>
      </c>
      <c r="D275" s="137">
        <f t="shared" si="69"/>
        <v>0.98424979902165632</v>
      </c>
      <c r="E275">
        <v>3.7707754512906644</v>
      </c>
      <c r="F275">
        <v>0.90308998699194354</v>
      </c>
      <c r="G275" s="45">
        <v>2.3199999999999998</v>
      </c>
      <c r="H275" s="29">
        <f t="shared" si="70"/>
        <v>0.36548798489089962</v>
      </c>
      <c r="I275" s="9">
        <v>2.1238516409670858</v>
      </c>
      <c r="J275" s="34">
        <v>0.2355284469075489</v>
      </c>
      <c r="K275">
        <v>20</v>
      </c>
      <c r="L275" s="137">
        <f t="shared" si="71"/>
        <v>1.3010299956639813</v>
      </c>
      <c r="M275">
        <f t="shared" si="68"/>
        <v>1</v>
      </c>
      <c r="N275">
        <v>70</v>
      </c>
      <c r="O275">
        <v>70</v>
      </c>
      <c r="P275">
        <v>85</v>
      </c>
      <c r="Q275" s="137">
        <f t="shared" si="72"/>
        <v>1.9294189257142926</v>
      </c>
      <c r="R275" s="34">
        <v>32.700000000000003</v>
      </c>
      <c r="S275" s="34">
        <f t="shared" si="73"/>
        <v>1.5145477526602862</v>
      </c>
      <c r="T275" s="42">
        <v>41.286751495766303</v>
      </c>
      <c r="U275" s="42">
        <f t="shared" si="74"/>
        <v>1.6158107132703448</v>
      </c>
      <c r="V275">
        <v>3.3647319918335836</v>
      </c>
      <c r="W275" s="14">
        <v>4</v>
      </c>
      <c r="X275">
        <v>3.568659604598353</v>
      </c>
      <c r="Y275">
        <v>9.2363762625668429</v>
      </c>
      <c r="Z275" s="80">
        <v>0.41473733696831383</v>
      </c>
      <c r="AA275">
        <v>5</v>
      </c>
      <c r="AB275">
        <f t="shared" si="75"/>
        <v>0</v>
      </c>
      <c r="AC275">
        <f t="shared" si="76"/>
        <v>0</v>
      </c>
      <c r="AD275">
        <f t="shared" si="77"/>
        <v>0</v>
      </c>
      <c r="AE275">
        <f t="shared" si="78"/>
        <v>0</v>
      </c>
      <c r="AF275">
        <f t="shared" si="79"/>
        <v>1</v>
      </c>
      <c r="AG275">
        <f t="shared" si="80"/>
        <v>0</v>
      </c>
      <c r="AH275">
        <f t="shared" si="81"/>
        <v>0</v>
      </c>
      <c r="AI275">
        <f t="shared" si="82"/>
        <v>0</v>
      </c>
      <c r="AJ275">
        <f t="shared" si="83"/>
        <v>0</v>
      </c>
      <c r="AK275">
        <f t="shared" si="84"/>
        <v>0</v>
      </c>
      <c r="AL275">
        <v>0</v>
      </c>
      <c r="AM275">
        <v>1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</row>
    <row r="276" spans="1:53" x14ac:dyDescent="0.35">
      <c r="A276">
        <v>0.96614173273903259</v>
      </c>
      <c r="C276">
        <v>1.5863013698630137</v>
      </c>
      <c r="D276" s="137">
        <f t="shared" si="69"/>
        <v>0.2003856992709615</v>
      </c>
      <c r="E276">
        <v>3.7707754512906644</v>
      </c>
      <c r="F276">
        <v>1.1139433523068367</v>
      </c>
      <c r="G276" s="45">
        <v>2.3199999999999998</v>
      </c>
      <c r="H276" s="29">
        <f t="shared" si="70"/>
        <v>0.36548798489089962</v>
      </c>
      <c r="I276" s="9">
        <v>2.1238516409670858</v>
      </c>
      <c r="J276" s="34">
        <v>-0.10237290870955855</v>
      </c>
      <c r="K276">
        <v>15</v>
      </c>
      <c r="L276" s="137">
        <f t="shared" si="71"/>
        <v>1.1760912590556813</v>
      </c>
      <c r="M276">
        <f t="shared" si="68"/>
        <v>1</v>
      </c>
      <c r="N276">
        <v>70</v>
      </c>
      <c r="O276">
        <v>70</v>
      </c>
      <c r="P276">
        <v>85</v>
      </c>
      <c r="Q276" s="137">
        <f t="shared" si="72"/>
        <v>1.9294189257142926</v>
      </c>
      <c r="R276" s="34">
        <v>32.9</v>
      </c>
      <c r="S276" s="34">
        <f t="shared" si="73"/>
        <v>1.5171958979499742</v>
      </c>
      <c r="T276" s="42">
        <v>35.433808146393098</v>
      </c>
      <c r="U276" s="42">
        <f t="shared" si="74"/>
        <v>1.5494178293890581</v>
      </c>
      <c r="V276">
        <v>3.3647319918335836</v>
      </c>
      <c r="W276" s="14">
        <v>4</v>
      </c>
      <c r="X276">
        <v>3.568659604598353</v>
      </c>
      <c r="Y276">
        <v>7.7781512503836439</v>
      </c>
      <c r="Z276" s="80">
        <v>-0.17522036907857186</v>
      </c>
      <c r="AA276">
        <v>6</v>
      </c>
      <c r="AB276">
        <f t="shared" si="75"/>
        <v>0</v>
      </c>
      <c r="AC276">
        <f t="shared" si="76"/>
        <v>0</v>
      </c>
      <c r="AD276">
        <f t="shared" si="77"/>
        <v>0</v>
      </c>
      <c r="AE276">
        <f t="shared" si="78"/>
        <v>0</v>
      </c>
      <c r="AF276">
        <f t="shared" si="79"/>
        <v>0</v>
      </c>
      <c r="AG276">
        <f t="shared" si="80"/>
        <v>1</v>
      </c>
      <c r="AH276">
        <f t="shared" si="81"/>
        <v>0</v>
      </c>
      <c r="AI276">
        <f t="shared" si="82"/>
        <v>0</v>
      </c>
      <c r="AJ276">
        <f t="shared" si="83"/>
        <v>0</v>
      </c>
      <c r="AK276">
        <f t="shared" si="84"/>
        <v>0</v>
      </c>
      <c r="AL276">
        <v>0</v>
      </c>
      <c r="AM276">
        <v>1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</row>
    <row r="277" spans="1:53" x14ac:dyDescent="0.35">
      <c r="A277">
        <v>-0.59371729118283922</v>
      </c>
      <c r="C277">
        <v>7.1726027397260275</v>
      </c>
      <c r="D277" s="137">
        <f t="shared" si="69"/>
        <v>0.85567677775826234</v>
      </c>
      <c r="E277">
        <v>3.8137210609712455</v>
      </c>
      <c r="F277">
        <v>1.2304489213782739</v>
      </c>
      <c r="G277" s="45">
        <v>2.86</v>
      </c>
      <c r="H277" s="29">
        <f t="shared" si="70"/>
        <v>0.456366033129043</v>
      </c>
      <c r="I277" s="9">
        <v>2.9222928506441082</v>
      </c>
      <c r="J277" s="34">
        <v>9.3421685162235063E-2</v>
      </c>
      <c r="K277">
        <v>21</v>
      </c>
      <c r="L277" s="137">
        <f t="shared" si="71"/>
        <v>1.3222192947339193</v>
      </c>
      <c r="M277">
        <f t="shared" si="68"/>
        <v>1</v>
      </c>
      <c r="N277">
        <v>85</v>
      </c>
      <c r="O277">
        <v>70</v>
      </c>
      <c r="P277">
        <v>94.6</v>
      </c>
      <c r="Q277" s="137">
        <f t="shared" si="72"/>
        <v>1.9758911364017928</v>
      </c>
      <c r="R277" s="34">
        <v>46.5</v>
      </c>
      <c r="S277" s="34">
        <f t="shared" si="73"/>
        <v>1.667452952889954</v>
      </c>
      <c r="T277" s="42">
        <v>49.829752832499103</v>
      </c>
      <c r="U277" s="42">
        <f t="shared" si="74"/>
        <v>1.69748873297182</v>
      </c>
      <c r="V277">
        <v>3.3647319918335836</v>
      </c>
      <c r="W277" s="14">
        <v>4</v>
      </c>
      <c r="X277">
        <v>3.568659604598353</v>
      </c>
      <c r="Y277">
        <v>9.9024086962903652</v>
      </c>
      <c r="Z277" s="80">
        <v>0.1657317954617179</v>
      </c>
      <c r="AA277">
        <v>4</v>
      </c>
      <c r="AB277">
        <f t="shared" si="75"/>
        <v>0</v>
      </c>
      <c r="AC277">
        <f t="shared" si="76"/>
        <v>0</v>
      </c>
      <c r="AD277">
        <f t="shared" si="77"/>
        <v>0</v>
      </c>
      <c r="AE277">
        <f t="shared" si="78"/>
        <v>1</v>
      </c>
      <c r="AF277">
        <f t="shared" si="79"/>
        <v>0</v>
      </c>
      <c r="AG277">
        <f t="shared" si="80"/>
        <v>0</v>
      </c>
      <c r="AH277">
        <f t="shared" si="81"/>
        <v>0</v>
      </c>
      <c r="AI277">
        <f t="shared" si="82"/>
        <v>0</v>
      </c>
      <c r="AJ277">
        <f t="shared" si="83"/>
        <v>0</v>
      </c>
      <c r="AK277">
        <f t="shared" si="84"/>
        <v>0</v>
      </c>
      <c r="AL277">
        <v>0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</row>
    <row r="278" spans="1:53" x14ac:dyDescent="0.35">
      <c r="A278">
        <v>-1.795873695462381E-2</v>
      </c>
      <c r="C278">
        <v>1.1123287671232878</v>
      </c>
      <c r="D278" s="137">
        <f t="shared" si="69"/>
        <v>4.6233169120719446E-2</v>
      </c>
      <c r="E278">
        <v>3.7916829312790057</v>
      </c>
      <c r="F278">
        <v>0.84509804001425681</v>
      </c>
      <c r="G278" s="45">
        <v>2.72</v>
      </c>
      <c r="H278" s="29">
        <f t="shared" si="70"/>
        <v>0.43456890403419873</v>
      </c>
      <c r="I278" s="9">
        <v>3.0355631414974997</v>
      </c>
      <c r="J278" s="34">
        <v>4.5322978786657475E-2</v>
      </c>
      <c r="K278">
        <v>19</v>
      </c>
      <c r="L278" s="137">
        <f t="shared" si="71"/>
        <v>1.2787536009528289</v>
      </c>
      <c r="M278">
        <f t="shared" si="68"/>
        <v>1</v>
      </c>
      <c r="N278">
        <v>95</v>
      </c>
      <c r="O278">
        <v>80</v>
      </c>
      <c r="P278">
        <v>70</v>
      </c>
      <c r="Q278" s="137">
        <f t="shared" si="72"/>
        <v>1.8450980400142569</v>
      </c>
      <c r="R278" s="34">
        <v>34.799999999999997</v>
      </c>
      <c r="S278" s="34">
        <f t="shared" si="73"/>
        <v>1.541579243946581</v>
      </c>
      <c r="T278" s="42">
        <v>43.471204603938098</v>
      </c>
      <c r="U278" s="42">
        <f t="shared" si="74"/>
        <v>1.6382016748260968</v>
      </c>
      <c r="V278">
        <v>3.3647319918335836</v>
      </c>
      <c r="W278" s="14">
        <v>4</v>
      </c>
      <c r="X278">
        <v>3.568659604598353</v>
      </c>
      <c r="Y278">
        <v>8.8192608938937127</v>
      </c>
      <c r="Z278" s="80">
        <v>0.18943294110747599</v>
      </c>
      <c r="AA278">
        <v>4</v>
      </c>
      <c r="AB278">
        <f t="shared" si="75"/>
        <v>0</v>
      </c>
      <c r="AC278">
        <f t="shared" si="76"/>
        <v>0</v>
      </c>
      <c r="AD278">
        <f t="shared" si="77"/>
        <v>0</v>
      </c>
      <c r="AE278">
        <f t="shared" si="78"/>
        <v>1</v>
      </c>
      <c r="AF278">
        <f t="shared" si="79"/>
        <v>0</v>
      </c>
      <c r="AG278">
        <f t="shared" si="80"/>
        <v>0</v>
      </c>
      <c r="AH278">
        <f t="shared" si="81"/>
        <v>0</v>
      </c>
      <c r="AI278">
        <f t="shared" si="82"/>
        <v>0</v>
      </c>
      <c r="AJ278">
        <f t="shared" si="83"/>
        <v>0</v>
      </c>
      <c r="AK278">
        <f t="shared" si="84"/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</row>
    <row r="279" spans="1:53" x14ac:dyDescent="0.35">
      <c r="A279">
        <v>6.1105182401829682E-2</v>
      </c>
      <c r="C279">
        <v>2.1945205479452055</v>
      </c>
      <c r="D279" s="137">
        <f t="shared" si="69"/>
        <v>0.34133965162776297</v>
      </c>
      <c r="E279">
        <v>3.8335760926148099</v>
      </c>
      <c r="F279">
        <v>2.1335389083702174</v>
      </c>
      <c r="G279" s="45">
        <v>2.85</v>
      </c>
      <c r="H279" s="29">
        <f t="shared" si="70"/>
        <v>0.45484486000851021</v>
      </c>
      <c r="I279" s="9">
        <v>2.9138138523837167</v>
      </c>
      <c r="J279" s="34">
        <v>6.445798922691845E-2</v>
      </c>
      <c r="K279">
        <v>19</v>
      </c>
      <c r="L279" s="137">
        <f t="shared" si="71"/>
        <v>1.2787536009528289</v>
      </c>
      <c r="M279">
        <f t="shared" si="68"/>
        <v>1</v>
      </c>
      <c r="N279">
        <v>70</v>
      </c>
      <c r="O279">
        <v>70</v>
      </c>
      <c r="P279">
        <v>70</v>
      </c>
      <c r="Q279" s="137">
        <f t="shared" si="72"/>
        <v>1.8450980400142569</v>
      </c>
      <c r="R279" s="34">
        <v>33.9</v>
      </c>
      <c r="S279" s="34">
        <f t="shared" si="73"/>
        <v>1.5301996982030821</v>
      </c>
      <c r="T279" s="42">
        <v>46.312020505412598</v>
      </c>
      <c r="U279" s="42">
        <f t="shared" si="74"/>
        <v>1.6656937288498501</v>
      </c>
      <c r="V279">
        <v>3.3647319918335836</v>
      </c>
      <c r="W279" s="14">
        <v>4</v>
      </c>
      <c r="X279">
        <v>3.568659604598353</v>
      </c>
      <c r="Y279">
        <v>9.143014800254095</v>
      </c>
      <c r="Z279" s="80">
        <v>0.34030848224291477</v>
      </c>
      <c r="AA279">
        <v>6</v>
      </c>
      <c r="AB279">
        <f t="shared" si="75"/>
        <v>0</v>
      </c>
      <c r="AC279">
        <f t="shared" si="76"/>
        <v>0</v>
      </c>
      <c r="AD279">
        <f t="shared" si="77"/>
        <v>0</v>
      </c>
      <c r="AE279">
        <f t="shared" si="78"/>
        <v>0</v>
      </c>
      <c r="AF279">
        <f t="shared" si="79"/>
        <v>0</v>
      </c>
      <c r="AG279">
        <f t="shared" si="80"/>
        <v>1</v>
      </c>
      <c r="AH279">
        <f t="shared" si="81"/>
        <v>0</v>
      </c>
      <c r="AI279">
        <f t="shared" si="82"/>
        <v>0</v>
      </c>
      <c r="AJ279">
        <f t="shared" si="83"/>
        <v>0</v>
      </c>
      <c r="AK279">
        <f t="shared" si="84"/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1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</row>
    <row r="280" spans="1:53" x14ac:dyDescent="0.35">
      <c r="A280">
        <v>-0.28280517555778212</v>
      </c>
      <c r="C280">
        <v>5.9835616438356167</v>
      </c>
      <c r="D280" s="137">
        <f t="shared" si="69"/>
        <v>0.77695976957622492</v>
      </c>
      <c r="E280">
        <v>3.8335760926148099</v>
      </c>
      <c r="F280">
        <v>1.4913616938342726</v>
      </c>
      <c r="G280" s="45">
        <v>2.85</v>
      </c>
      <c r="H280" s="29">
        <f t="shared" si="70"/>
        <v>0.45484486000851021</v>
      </c>
      <c r="I280" s="9">
        <v>2.9138138523837167</v>
      </c>
      <c r="J280" s="34">
        <v>0.26007138798507473</v>
      </c>
      <c r="K280">
        <v>26</v>
      </c>
      <c r="L280" s="137">
        <f t="shared" si="71"/>
        <v>1.414973347970818</v>
      </c>
      <c r="M280">
        <f t="shared" si="68"/>
        <v>1</v>
      </c>
      <c r="N280">
        <v>70</v>
      </c>
      <c r="O280">
        <v>70</v>
      </c>
      <c r="P280">
        <v>89.6</v>
      </c>
      <c r="Q280" s="137">
        <f t="shared" si="72"/>
        <v>1.9523080096621253</v>
      </c>
      <c r="R280" s="34">
        <v>35.700000000000003</v>
      </c>
      <c r="S280" s="34">
        <f t="shared" si="73"/>
        <v>1.5526682161121932</v>
      </c>
      <c r="T280" s="42">
        <v>44.7100017757258</v>
      </c>
      <c r="U280" s="42">
        <f t="shared" si="74"/>
        <v>1.6504046871166989</v>
      </c>
      <c r="V280">
        <v>3.3647319918335836</v>
      </c>
      <c r="W280" s="14">
        <v>4</v>
      </c>
      <c r="X280">
        <v>3.568659604598353</v>
      </c>
      <c r="Y280">
        <v>8.8450980400142569</v>
      </c>
      <c r="Z280" s="80">
        <v>0.30942039310338232</v>
      </c>
      <c r="AA280">
        <v>5</v>
      </c>
      <c r="AB280">
        <f t="shared" si="75"/>
        <v>0</v>
      </c>
      <c r="AC280">
        <f t="shared" si="76"/>
        <v>0</v>
      </c>
      <c r="AD280">
        <f t="shared" si="77"/>
        <v>0</v>
      </c>
      <c r="AE280">
        <f t="shared" si="78"/>
        <v>0</v>
      </c>
      <c r="AF280">
        <f t="shared" si="79"/>
        <v>1</v>
      </c>
      <c r="AG280">
        <f t="shared" si="80"/>
        <v>0</v>
      </c>
      <c r="AH280">
        <f t="shared" si="81"/>
        <v>0</v>
      </c>
      <c r="AI280">
        <f t="shared" si="82"/>
        <v>0</v>
      </c>
      <c r="AJ280">
        <f t="shared" si="83"/>
        <v>0</v>
      </c>
      <c r="AK280">
        <f t="shared" si="84"/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1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</row>
    <row r="281" spans="1:53" x14ac:dyDescent="0.35">
      <c r="A281">
        <v>-0.83518975135400775</v>
      </c>
      <c r="C281">
        <v>5.0684931506849313</v>
      </c>
      <c r="D281" s="137">
        <f t="shared" si="69"/>
        <v>0.70487886394653909</v>
      </c>
      <c r="E281">
        <v>3.8335760926148099</v>
      </c>
      <c r="F281">
        <v>1.6334684555795864</v>
      </c>
      <c r="G281" s="45">
        <v>2.85</v>
      </c>
      <c r="H281" s="29">
        <f t="shared" si="70"/>
        <v>0.45484486000851021</v>
      </c>
      <c r="I281" s="9">
        <v>2.9138138523837167</v>
      </c>
      <c r="J281" s="34">
        <v>-4.5757490560675115E-2</v>
      </c>
      <c r="K281">
        <v>22</v>
      </c>
      <c r="L281" s="137">
        <f t="shared" si="71"/>
        <v>1.3424226808222062</v>
      </c>
      <c r="M281">
        <f t="shared" si="68"/>
        <v>1</v>
      </c>
      <c r="N281">
        <v>70</v>
      </c>
      <c r="O281">
        <v>70</v>
      </c>
      <c r="P281">
        <v>88.9</v>
      </c>
      <c r="Q281" s="137">
        <f t="shared" si="72"/>
        <v>1.9489017609702137</v>
      </c>
      <c r="R281" s="34">
        <v>34.9</v>
      </c>
      <c r="S281" s="34">
        <f t="shared" si="73"/>
        <v>1.5428254269591799</v>
      </c>
      <c r="T281" s="42">
        <v>42.817370475444001</v>
      </c>
      <c r="U281" s="42">
        <f t="shared" si="74"/>
        <v>1.6316199926391717</v>
      </c>
      <c r="V281">
        <v>3.3647319918335836</v>
      </c>
      <c r="W281" s="14">
        <v>4</v>
      </c>
      <c r="X281">
        <v>3.568659604598353</v>
      </c>
      <c r="Y281">
        <v>9.1139433523068369</v>
      </c>
      <c r="Z281" s="80">
        <v>-0.12874888596651657</v>
      </c>
      <c r="AA281">
        <v>8</v>
      </c>
      <c r="AB281">
        <f t="shared" si="75"/>
        <v>0</v>
      </c>
      <c r="AC281">
        <f t="shared" si="76"/>
        <v>0</v>
      </c>
      <c r="AD281">
        <f t="shared" si="77"/>
        <v>0</v>
      </c>
      <c r="AE281">
        <f t="shared" si="78"/>
        <v>0</v>
      </c>
      <c r="AF281">
        <f t="shared" si="79"/>
        <v>0</v>
      </c>
      <c r="AG281">
        <f t="shared" si="80"/>
        <v>0</v>
      </c>
      <c r="AH281">
        <f t="shared" si="81"/>
        <v>0</v>
      </c>
      <c r="AI281">
        <f t="shared" si="82"/>
        <v>1</v>
      </c>
      <c r="AJ281">
        <f t="shared" si="83"/>
        <v>0</v>
      </c>
      <c r="AK281">
        <f t="shared" si="84"/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1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</row>
    <row r="282" spans="1:53" x14ac:dyDescent="0.35">
      <c r="A282">
        <v>-3.9250864638126763E-2</v>
      </c>
      <c r="C282">
        <v>3.4109589041095889</v>
      </c>
      <c r="D282" s="137">
        <f t="shared" si="69"/>
        <v>0.53287648697528045</v>
      </c>
      <c r="E282">
        <v>3.8335760926148099</v>
      </c>
      <c r="F282">
        <v>0.90308998699194354</v>
      </c>
      <c r="G282" s="45">
        <v>2.85</v>
      </c>
      <c r="H282" s="29">
        <f t="shared" si="70"/>
        <v>0.45484486000851021</v>
      </c>
      <c r="I282" s="9">
        <v>2.9138138523837167</v>
      </c>
      <c r="J282" s="34">
        <v>0.14612803567823801</v>
      </c>
      <c r="K282">
        <v>18</v>
      </c>
      <c r="L282" s="137">
        <f t="shared" si="71"/>
        <v>1.255272505103306</v>
      </c>
      <c r="M282">
        <f t="shared" si="68"/>
        <v>1</v>
      </c>
      <c r="N282">
        <v>70</v>
      </c>
      <c r="O282">
        <v>70</v>
      </c>
      <c r="P282">
        <v>70</v>
      </c>
      <c r="Q282" s="137">
        <f t="shared" si="72"/>
        <v>1.8450980400142569</v>
      </c>
      <c r="R282" s="34">
        <v>34.6</v>
      </c>
      <c r="S282" s="34">
        <f t="shared" si="73"/>
        <v>1.5390760987927767</v>
      </c>
      <c r="T282" s="42">
        <v>47.8156192569637</v>
      </c>
      <c r="U282" s="42">
        <f t="shared" si="74"/>
        <v>1.6795697846681461</v>
      </c>
      <c r="V282">
        <v>3.3647319918335836</v>
      </c>
      <c r="W282" s="14">
        <v>4</v>
      </c>
      <c r="X282">
        <v>3.568659604598353</v>
      </c>
      <c r="Y282">
        <v>9.4235325775237104</v>
      </c>
      <c r="Z282" s="80">
        <v>0.58818453856180342</v>
      </c>
      <c r="AA282">
        <v>8</v>
      </c>
      <c r="AB282">
        <f t="shared" si="75"/>
        <v>0</v>
      </c>
      <c r="AC282">
        <f t="shared" si="76"/>
        <v>0</v>
      </c>
      <c r="AD282">
        <f t="shared" si="77"/>
        <v>0</v>
      </c>
      <c r="AE282">
        <f t="shared" si="78"/>
        <v>0</v>
      </c>
      <c r="AF282">
        <f t="shared" si="79"/>
        <v>0</v>
      </c>
      <c r="AG282">
        <f t="shared" si="80"/>
        <v>0</v>
      </c>
      <c r="AH282">
        <f t="shared" si="81"/>
        <v>0</v>
      </c>
      <c r="AI282">
        <f t="shared" si="82"/>
        <v>1</v>
      </c>
      <c r="AJ282">
        <f t="shared" si="83"/>
        <v>0</v>
      </c>
      <c r="AK282">
        <f t="shared" si="84"/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1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</row>
    <row r="283" spans="1:53" x14ac:dyDescent="0.35">
      <c r="A283">
        <v>0.46239799789895608</v>
      </c>
      <c r="C283">
        <v>3.3561643835616439</v>
      </c>
      <c r="D283" s="137">
        <f t="shared" si="69"/>
        <v>0.52584322424407659</v>
      </c>
      <c r="E283">
        <v>3.8335760926148099</v>
      </c>
      <c r="F283">
        <v>2.0530784434834195</v>
      </c>
      <c r="G283" s="45">
        <v>2.85</v>
      </c>
      <c r="H283" s="29">
        <f t="shared" si="70"/>
        <v>0.45484486000851021</v>
      </c>
      <c r="I283" s="9">
        <v>2.9138138523837167</v>
      </c>
      <c r="J283" s="34">
        <v>0.12710479836480765</v>
      </c>
      <c r="K283">
        <v>19</v>
      </c>
      <c r="L283" s="137">
        <f t="shared" si="71"/>
        <v>1.2787536009528289</v>
      </c>
      <c r="M283">
        <f t="shared" si="68"/>
        <v>1</v>
      </c>
      <c r="N283">
        <v>70</v>
      </c>
      <c r="O283">
        <v>70</v>
      </c>
      <c r="P283">
        <v>70</v>
      </c>
      <c r="Q283" s="137">
        <f t="shared" si="72"/>
        <v>1.8450980400142569</v>
      </c>
      <c r="R283" s="34">
        <v>33.9</v>
      </c>
      <c r="S283" s="34">
        <f t="shared" si="73"/>
        <v>1.5301996982030821</v>
      </c>
      <c r="T283" s="42">
        <v>46.312020505412598</v>
      </c>
      <c r="U283" s="42">
        <f t="shared" si="74"/>
        <v>1.6656937288498501</v>
      </c>
      <c r="V283">
        <v>3.3647319918335836</v>
      </c>
      <c r="W283" s="14">
        <v>4</v>
      </c>
      <c r="X283">
        <v>3.568659604598353</v>
      </c>
      <c r="Y283">
        <v>8.6989700043360187</v>
      </c>
      <c r="Z283" s="80">
        <v>0.54397263119742956</v>
      </c>
      <c r="AA283">
        <v>8</v>
      </c>
      <c r="AB283">
        <f t="shared" si="75"/>
        <v>0</v>
      </c>
      <c r="AC283">
        <f t="shared" si="76"/>
        <v>0</v>
      </c>
      <c r="AD283">
        <f t="shared" si="77"/>
        <v>0</v>
      </c>
      <c r="AE283">
        <f t="shared" si="78"/>
        <v>0</v>
      </c>
      <c r="AF283">
        <f t="shared" si="79"/>
        <v>0</v>
      </c>
      <c r="AG283">
        <f t="shared" si="80"/>
        <v>0</v>
      </c>
      <c r="AH283">
        <f t="shared" si="81"/>
        <v>0</v>
      </c>
      <c r="AI283">
        <f t="shared" si="82"/>
        <v>1</v>
      </c>
      <c r="AJ283">
        <f t="shared" si="83"/>
        <v>0</v>
      </c>
      <c r="AK283">
        <f t="shared" si="84"/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1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</row>
    <row r="284" spans="1:53" x14ac:dyDescent="0.35">
      <c r="A284">
        <v>6.8509665297384587E-2</v>
      </c>
      <c r="C284">
        <v>3.3232876712328765</v>
      </c>
      <c r="D284" s="137">
        <f t="shared" si="69"/>
        <v>0.52156793641009824</v>
      </c>
      <c r="E284">
        <v>3.8335760926148099</v>
      </c>
      <c r="F284">
        <v>2.1492191126553797</v>
      </c>
      <c r="G284" s="45">
        <v>2.85</v>
      </c>
      <c r="H284" s="29">
        <f t="shared" si="70"/>
        <v>0.45484486000851021</v>
      </c>
      <c r="I284" s="9">
        <v>2.9138138523837167</v>
      </c>
      <c r="J284" s="34">
        <v>5.6904851336472641E-2</v>
      </c>
      <c r="K284">
        <v>19</v>
      </c>
      <c r="L284" s="137">
        <f t="shared" si="71"/>
        <v>1.2787536009528289</v>
      </c>
      <c r="M284">
        <f t="shared" si="68"/>
        <v>1</v>
      </c>
      <c r="N284">
        <v>70</v>
      </c>
      <c r="O284">
        <v>70</v>
      </c>
      <c r="P284">
        <v>70</v>
      </c>
      <c r="Q284" s="137">
        <f t="shared" si="72"/>
        <v>1.8450980400142569</v>
      </c>
      <c r="R284" s="34">
        <v>33.9</v>
      </c>
      <c r="S284" s="34">
        <f t="shared" si="73"/>
        <v>1.5301996982030821</v>
      </c>
      <c r="T284" s="42">
        <v>46.312020505412598</v>
      </c>
      <c r="U284" s="42">
        <f t="shared" si="74"/>
        <v>1.6656937288498501</v>
      </c>
      <c r="V284">
        <v>3.3647319918335836</v>
      </c>
      <c r="W284" s="14">
        <v>4</v>
      </c>
      <c r="X284">
        <v>3.568659604598353</v>
      </c>
      <c r="Y284">
        <v>8.7781512503836439</v>
      </c>
      <c r="Z284" s="80">
        <v>0.30589382403584842</v>
      </c>
      <c r="AA284">
        <v>8</v>
      </c>
      <c r="AB284">
        <f t="shared" si="75"/>
        <v>0</v>
      </c>
      <c r="AC284">
        <f t="shared" si="76"/>
        <v>0</v>
      </c>
      <c r="AD284">
        <f t="shared" si="77"/>
        <v>0</v>
      </c>
      <c r="AE284">
        <f t="shared" si="78"/>
        <v>0</v>
      </c>
      <c r="AF284">
        <f t="shared" si="79"/>
        <v>0</v>
      </c>
      <c r="AG284">
        <f t="shared" si="80"/>
        <v>0</v>
      </c>
      <c r="AH284">
        <f t="shared" si="81"/>
        <v>0</v>
      </c>
      <c r="AI284">
        <f t="shared" si="82"/>
        <v>1</v>
      </c>
      <c r="AJ284">
        <f t="shared" si="83"/>
        <v>0</v>
      </c>
      <c r="AK284">
        <f t="shared" si="84"/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</row>
    <row r="285" spans="1:53" x14ac:dyDescent="0.35">
      <c r="A285">
        <v>0.15970084286751188</v>
      </c>
      <c r="C285">
        <v>2.7808219178082192</v>
      </c>
      <c r="D285" s="137">
        <f t="shared" si="69"/>
        <v>0.444173177792757</v>
      </c>
      <c r="E285">
        <v>3.8335760926148099</v>
      </c>
      <c r="F285">
        <v>0.47712125471966244</v>
      </c>
      <c r="G285" s="45">
        <v>2.85</v>
      </c>
      <c r="H285" s="29">
        <f t="shared" si="70"/>
        <v>0.45484486000851021</v>
      </c>
      <c r="I285" s="9">
        <v>2.9138138523837167</v>
      </c>
      <c r="J285" s="34">
        <v>0.11727129565576427</v>
      </c>
      <c r="K285">
        <v>18</v>
      </c>
      <c r="L285" s="137">
        <f t="shared" si="71"/>
        <v>1.255272505103306</v>
      </c>
      <c r="M285">
        <f t="shared" si="68"/>
        <v>1</v>
      </c>
      <c r="N285">
        <v>70</v>
      </c>
      <c r="O285">
        <v>70</v>
      </c>
      <c r="P285">
        <v>70</v>
      </c>
      <c r="Q285" s="137">
        <f t="shared" si="72"/>
        <v>1.8450980400142569</v>
      </c>
      <c r="R285" s="34">
        <v>34.6</v>
      </c>
      <c r="S285" s="34">
        <f t="shared" si="73"/>
        <v>1.5390760987927767</v>
      </c>
      <c r="T285" s="42">
        <v>47.8156192569637</v>
      </c>
      <c r="U285" s="42">
        <f t="shared" si="74"/>
        <v>1.6795697846681461</v>
      </c>
      <c r="V285">
        <v>3.3647319918335836</v>
      </c>
      <c r="W285" s="14">
        <v>4</v>
      </c>
      <c r="X285">
        <v>3.568659604598353</v>
      </c>
      <c r="Y285">
        <v>8.9542425094393252</v>
      </c>
      <c r="Z285" s="80">
        <v>0.55010741322528389</v>
      </c>
      <c r="AA285">
        <v>4</v>
      </c>
      <c r="AB285">
        <f t="shared" si="75"/>
        <v>0</v>
      </c>
      <c r="AC285">
        <f t="shared" si="76"/>
        <v>0</v>
      </c>
      <c r="AD285">
        <f t="shared" si="77"/>
        <v>0</v>
      </c>
      <c r="AE285">
        <f t="shared" si="78"/>
        <v>1</v>
      </c>
      <c r="AF285">
        <f t="shared" si="79"/>
        <v>0</v>
      </c>
      <c r="AG285">
        <f t="shared" si="80"/>
        <v>0</v>
      </c>
      <c r="AH285">
        <f t="shared" si="81"/>
        <v>0</v>
      </c>
      <c r="AI285">
        <f t="shared" si="82"/>
        <v>0</v>
      </c>
      <c r="AJ285">
        <f t="shared" si="83"/>
        <v>0</v>
      </c>
      <c r="AK285">
        <f t="shared" si="84"/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1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</row>
    <row r="286" spans="1:53" x14ac:dyDescent="0.35">
      <c r="A286">
        <v>0.5840226669961831</v>
      </c>
      <c r="C286">
        <v>3.2301369863013698</v>
      </c>
      <c r="D286" s="137">
        <f t="shared" si="69"/>
        <v>0.50922094063861445</v>
      </c>
      <c r="E286">
        <v>3.7899753459779522</v>
      </c>
      <c r="F286">
        <v>1.414973347970818</v>
      </c>
      <c r="G286" s="45">
        <v>3.18</v>
      </c>
      <c r="H286" s="29">
        <f t="shared" si="70"/>
        <v>0.50242711998443268</v>
      </c>
      <c r="I286" s="9">
        <v>2.7670321178317625</v>
      </c>
      <c r="J286" s="34">
        <v>0.12385164096708581</v>
      </c>
      <c r="K286">
        <v>29</v>
      </c>
      <c r="L286" s="137">
        <f t="shared" si="71"/>
        <v>1.4623979978989561</v>
      </c>
      <c r="M286">
        <f t="shared" si="68"/>
        <v>1</v>
      </c>
      <c r="N286">
        <v>85</v>
      </c>
      <c r="O286">
        <v>80</v>
      </c>
      <c r="P286">
        <v>79.900000000000006</v>
      </c>
      <c r="Q286" s="137">
        <f t="shared" si="72"/>
        <v>1.9025467793139914</v>
      </c>
      <c r="R286" s="34">
        <v>45.4</v>
      </c>
      <c r="S286" s="34">
        <f t="shared" si="73"/>
        <v>1.657055852857104</v>
      </c>
      <c r="T286" s="42">
        <v>57.213602417008403</v>
      </c>
      <c r="U286" s="42">
        <f t="shared" si="74"/>
        <v>1.7574992936942306</v>
      </c>
      <c r="V286">
        <v>3.3647319918335836</v>
      </c>
      <c r="W286" s="14">
        <v>4</v>
      </c>
      <c r="X286">
        <v>3.568659604598353</v>
      </c>
      <c r="Y286">
        <v>8.6434526764861879</v>
      </c>
      <c r="Z286" s="80">
        <v>0.16655655403186631</v>
      </c>
      <c r="AA286">
        <v>5</v>
      </c>
      <c r="AB286">
        <f t="shared" si="75"/>
        <v>0</v>
      </c>
      <c r="AC286">
        <f t="shared" si="76"/>
        <v>0</v>
      </c>
      <c r="AD286">
        <f t="shared" si="77"/>
        <v>0</v>
      </c>
      <c r="AE286">
        <f t="shared" si="78"/>
        <v>0</v>
      </c>
      <c r="AF286">
        <f t="shared" si="79"/>
        <v>1</v>
      </c>
      <c r="AG286">
        <f t="shared" si="80"/>
        <v>0</v>
      </c>
      <c r="AH286">
        <f t="shared" si="81"/>
        <v>0</v>
      </c>
      <c r="AI286">
        <f t="shared" si="82"/>
        <v>0</v>
      </c>
      <c r="AJ286">
        <f t="shared" si="83"/>
        <v>0</v>
      </c>
      <c r="AK286">
        <f t="shared" si="84"/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1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</row>
    <row r="287" spans="1:53" x14ac:dyDescent="0.35">
      <c r="A287">
        <v>-9.8950554656593151E-2</v>
      </c>
      <c r="C287">
        <v>5.882191780821918</v>
      </c>
      <c r="D287" s="137">
        <f t="shared" si="69"/>
        <v>0.76953917997977395</v>
      </c>
      <c r="E287">
        <v>2.5362300726332561</v>
      </c>
      <c r="F287">
        <v>1.0413926851582251</v>
      </c>
      <c r="G287" s="45">
        <v>2.5499999999999998</v>
      </c>
      <c r="H287" s="29">
        <f t="shared" si="70"/>
        <v>0.40654018043395512</v>
      </c>
      <c r="I287" s="9">
        <v>2.756001823801419</v>
      </c>
      <c r="J287" s="34">
        <v>4.1392685158225077E-2</v>
      </c>
      <c r="K287">
        <v>11</v>
      </c>
      <c r="L287" s="137">
        <f t="shared" si="71"/>
        <v>1.0413926851582251</v>
      </c>
      <c r="M287">
        <f t="shared" si="68"/>
        <v>1</v>
      </c>
      <c r="N287">
        <v>70</v>
      </c>
      <c r="O287">
        <v>70</v>
      </c>
      <c r="P287">
        <v>85</v>
      </c>
      <c r="Q287" s="137">
        <f t="shared" si="72"/>
        <v>1.9294189257142926</v>
      </c>
      <c r="R287" s="34">
        <v>32.700000000000003</v>
      </c>
      <c r="S287" s="34">
        <f t="shared" si="73"/>
        <v>1.5145477526602862</v>
      </c>
      <c r="T287" s="42">
        <v>41.286751495766303</v>
      </c>
      <c r="U287" s="42">
        <f t="shared" si="74"/>
        <v>1.6158107132703448</v>
      </c>
      <c r="V287">
        <v>3.0840515198150036</v>
      </c>
      <c r="W287" s="14">
        <v>2</v>
      </c>
      <c r="X287">
        <v>3.905035725793323</v>
      </c>
      <c r="Y287">
        <v>8.9030899869919438</v>
      </c>
      <c r="Z287" s="80">
        <v>0.18663900107451181</v>
      </c>
      <c r="AA287">
        <v>5</v>
      </c>
      <c r="AB287">
        <f t="shared" si="75"/>
        <v>0</v>
      </c>
      <c r="AC287">
        <f t="shared" si="76"/>
        <v>0</v>
      </c>
      <c r="AD287">
        <f t="shared" si="77"/>
        <v>0</v>
      </c>
      <c r="AE287">
        <f t="shared" si="78"/>
        <v>0</v>
      </c>
      <c r="AF287">
        <f t="shared" si="79"/>
        <v>1</v>
      </c>
      <c r="AG287">
        <f t="shared" si="80"/>
        <v>0</v>
      </c>
      <c r="AH287">
        <f t="shared" si="81"/>
        <v>0</v>
      </c>
      <c r="AI287">
        <f t="shared" si="82"/>
        <v>0</v>
      </c>
      <c r="AJ287">
        <f t="shared" si="83"/>
        <v>0</v>
      </c>
      <c r="AK287">
        <f t="shared" si="84"/>
        <v>0</v>
      </c>
      <c r="AL287">
        <v>0</v>
      </c>
      <c r="AM287">
        <v>1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</row>
    <row r="288" spans="1:53" x14ac:dyDescent="0.35">
      <c r="A288">
        <v>-0.21230723712155383</v>
      </c>
      <c r="C288">
        <v>2.0027397260273974</v>
      </c>
      <c r="D288" s="137">
        <f t="shared" si="69"/>
        <v>0.30162451250138578</v>
      </c>
      <c r="E288">
        <v>2.8358680570524939</v>
      </c>
      <c r="F288">
        <v>1.7242758696007889</v>
      </c>
      <c r="G288" s="45">
        <v>2.74</v>
      </c>
      <c r="H288" s="29">
        <f t="shared" si="70"/>
        <v>0.43775056282038799</v>
      </c>
      <c r="I288" s="9">
        <v>3.1502958128255383</v>
      </c>
      <c r="J288" s="34">
        <v>0.10037054511756291</v>
      </c>
      <c r="K288">
        <v>9</v>
      </c>
      <c r="L288" s="137">
        <f t="shared" si="71"/>
        <v>0.95424250943932487</v>
      </c>
      <c r="M288">
        <f t="shared" si="68"/>
        <v>1</v>
      </c>
      <c r="N288">
        <v>70</v>
      </c>
      <c r="O288">
        <v>70</v>
      </c>
      <c r="P288">
        <v>70</v>
      </c>
      <c r="Q288" s="137">
        <f t="shared" si="72"/>
        <v>1.8450980400142569</v>
      </c>
      <c r="R288" s="34">
        <v>34.6</v>
      </c>
      <c r="S288" s="34">
        <f t="shared" si="73"/>
        <v>1.5390760987927767</v>
      </c>
      <c r="T288" s="42">
        <v>47.8156192569637</v>
      </c>
      <c r="U288" s="42">
        <f t="shared" si="74"/>
        <v>1.6795697846681461</v>
      </c>
      <c r="V288">
        <v>3.0840515198150036</v>
      </c>
      <c r="W288" s="14">
        <v>2</v>
      </c>
      <c r="X288">
        <v>3.905035725793323</v>
      </c>
      <c r="Y288">
        <v>8.1727780146558526</v>
      </c>
      <c r="Z288" s="80">
        <v>0.26029578243811158</v>
      </c>
      <c r="AA288">
        <v>7</v>
      </c>
      <c r="AB288">
        <f t="shared" si="75"/>
        <v>0</v>
      </c>
      <c r="AC288">
        <f t="shared" si="76"/>
        <v>0</v>
      </c>
      <c r="AD288">
        <f t="shared" si="77"/>
        <v>0</v>
      </c>
      <c r="AE288">
        <f t="shared" si="78"/>
        <v>0</v>
      </c>
      <c r="AF288">
        <f t="shared" si="79"/>
        <v>0</v>
      </c>
      <c r="AG288">
        <f t="shared" si="80"/>
        <v>0</v>
      </c>
      <c r="AH288">
        <f t="shared" si="81"/>
        <v>1</v>
      </c>
      <c r="AI288">
        <f t="shared" si="82"/>
        <v>0</v>
      </c>
      <c r="AJ288">
        <f t="shared" si="83"/>
        <v>0</v>
      </c>
      <c r="AK288">
        <f t="shared" si="84"/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1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</row>
    <row r="289" spans="1:53" x14ac:dyDescent="0.35">
      <c r="A289">
        <v>0.63617917447656325</v>
      </c>
      <c r="C289">
        <v>4.3726027397260276</v>
      </c>
      <c r="D289" s="137">
        <f t="shared" si="69"/>
        <v>0.64074002255823592</v>
      </c>
      <c r="E289">
        <v>2.4227867541517965</v>
      </c>
      <c r="F289">
        <v>1.8260748027008264</v>
      </c>
      <c r="G289" s="45">
        <v>3.07</v>
      </c>
      <c r="H289" s="29">
        <f t="shared" si="70"/>
        <v>0.48713837547718647</v>
      </c>
      <c r="I289" s="9">
        <v>2.9283958522567137</v>
      </c>
      <c r="J289" s="34">
        <v>0.20682587603184968</v>
      </c>
      <c r="K289">
        <v>15</v>
      </c>
      <c r="L289" s="137">
        <f t="shared" si="71"/>
        <v>1.1760912590556813</v>
      </c>
      <c r="M289">
        <f t="shared" si="68"/>
        <v>1</v>
      </c>
      <c r="N289">
        <v>80</v>
      </c>
      <c r="O289">
        <v>70</v>
      </c>
      <c r="P289">
        <v>91.6</v>
      </c>
      <c r="Q289" s="137">
        <f t="shared" si="72"/>
        <v>1.9618954736678504</v>
      </c>
      <c r="R289" s="34">
        <v>45.1</v>
      </c>
      <c r="S289" s="34">
        <f t="shared" si="73"/>
        <v>1.6541765418779606</v>
      </c>
      <c r="T289" s="42">
        <v>55.827525017854398</v>
      </c>
      <c r="U289" s="42">
        <f t="shared" si="74"/>
        <v>1.7468483748517865</v>
      </c>
      <c r="V289">
        <v>3.2258683317817765</v>
      </c>
      <c r="W289" s="14">
        <v>1</v>
      </c>
      <c r="X289">
        <v>3.9615291224236637</v>
      </c>
      <c r="Y289">
        <v>8.318063334962762</v>
      </c>
      <c r="Z289" s="80">
        <v>0.20360259757843102</v>
      </c>
      <c r="AA289">
        <v>1</v>
      </c>
      <c r="AB289">
        <f t="shared" si="75"/>
        <v>1</v>
      </c>
      <c r="AC289">
        <f t="shared" si="76"/>
        <v>0</v>
      </c>
      <c r="AD289">
        <f t="shared" si="77"/>
        <v>0</v>
      </c>
      <c r="AE289">
        <f t="shared" si="78"/>
        <v>0</v>
      </c>
      <c r="AF289">
        <f t="shared" si="79"/>
        <v>0</v>
      </c>
      <c r="AG289">
        <f t="shared" si="80"/>
        <v>0</v>
      </c>
      <c r="AH289">
        <f t="shared" si="81"/>
        <v>0</v>
      </c>
      <c r="AI289">
        <f t="shared" si="82"/>
        <v>0</v>
      </c>
      <c r="AJ289">
        <f t="shared" si="83"/>
        <v>0</v>
      </c>
      <c r="AK289">
        <f t="shared" si="84"/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</row>
    <row r="290" spans="1:53" x14ac:dyDescent="0.35">
      <c r="A290">
        <v>4.5757490560675143E-2</v>
      </c>
      <c r="C290">
        <v>1.1698630136986301</v>
      </c>
      <c r="D290" s="137">
        <f t="shared" si="69"/>
        <v>6.8135010568549148E-2</v>
      </c>
      <c r="E290">
        <v>3.7899753459779522</v>
      </c>
      <c r="F290">
        <v>1.3979400086720377</v>
      </c>
      <c r="G290" s="45">
        <v>3.18</v>
      </c>
      <c r="H290" s="29">
        <f t="shared" si="70"/>
        <v>0.50242711998443268</v>
      </c>
      <c r="I290" s="9">
        <v>2.7670321178317625</v>
      </c>
      <c r="J290" s="34">
        <v>2.9383777685209667E-2</v>
      </c>
      <c r="K290">
        <v>16</v>
      </c>
      <c r="L290" s="137">
        <f t="shared" si="71"/>
        <v>1.2041199826559248</v>
      </c>
      <c r="M290">
        <f t="shared" si="68"/>
        <v>1</v>
      </c>
      <c r="N290">
        <v>70</v>
      </c>
      <c r="O290">
        <v>70</v>
      </c>
      <c r="P290">
        <v>89.2</v>
      </c>
      <c r="Q290" s="137">
        <f t="shared" si="72"/>
        <v>1.9503648543761232</v>
      </c>
      <c r="R290" s="34">
        <v>26</v>
      </c>
      <c r="S290" s="34">
        <f t="shared" si="73"/>
        <v>1.414973347970818</v>
      </c>
      <c r="T290" s="42">
        <v>38.344872802923099</v>
      </c>
      <c r="U290" s="42">
        <f t="shared" si="74"/>
        <v>1.5837073014724459</v>
      </c>
      <c r="V290">
        <v>3.2258683317817765</v>
      </c>
      <c r="W290" s="14">
        <v>1</v>
      </c>
      <c r="X290">
        <v>3.9615291224236637</v>
      </c>
      <c r="Y290">
        <v>8.9542425094393252</v>
      </c>
      <c r="Z290" s="80">
        <v>5.8687547572857657E-3</v>
      </c>
      <c r="AA290">
        <v>1</v>
      </c>
      <c r="AB290">
        <f t="shared" si="75"/>
        <v>1</v>
      </c>
      <c r="AC290">
        <f t="shared" si="76"/>
        <v>0</v>
      </c>
      <c r="AD290">
        <f t="shared" si="77"/>
        <v>0</v>
      </c>
      <c r="AE290">
        <f t="shared" si="78"/>
        <v>0</v>
      </c>
      <c r="AF290">
        <f t="shared" si="79"/>
        <v>0</v>
      </c>
      <c r="AG290">
        <f t="shared" si="80"/>
        <v>0</v>
      </c>
      <c r="AH290">
        <f t="shared" si="81"/>
        <v>0</v>
      </c>
      <c r="AI290">
        <f t="shared" si="82"/>
        <v>0</v>
      </c>
      <c r="AJ290">
        <f t="shared" si="83"/>
        <v>0</v>
      </c>
      <c r="AK290">
        <f t="shared" si="84"/>
        <v>0</v>
      </c>
      <c r="AL290">
        <v>1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</row>
    <row r="291" spans="1:53" x14ac:dyDescent="0.35">
      <c r="A291">
        <v>3.3858267260967419E-2</v>
      </c>
      <c r="C291">
        <v>8.2547945205479447</v>
      </c>
      <c r="D291" s="137">
        <f t="shared" si="69"/>
        <v>0.91670626721688242</v>
      </c>
      <c r="E291">
        <v>2.8358680570524939</v>
      </c>
      <c r="F291">
        <v>1.7993405494535817</v>
      </c>
      <c r="G291" s="45">
        <v>2.74</v>
      </c>
      <c r="H291" s="29">
        <f t="shared" si="70"/>
        <v>0.43775056282038799</v>
      </c>
      <c r="I291" s="9">
        <v>3.1502958128255383</v>
      </c>
      <c r="J291" s="34">
        <v>0.16435285578443709</v>
      </c>
      <c r="K291">
        <v>7</v>
      </c>
      <c r="L291" s="137">
        <f t="shared" si="71"/>
        <v>0.84509804001425681</v>
      </c>
      <c r="M291">
        <f t="shared" si="68"/>
        <v>1</v>
      </c>
      <c r="N291">
        <v>70</v>
      </c>
      <c r="O291">
        <v>70</v>
      </c>
      <c r="P291">
        <v>70</v>
      </c>
      <c r="Q291" s="137">
        <f t="shared" si="72"/>
        <v>1.8450980400142569</v>
      </c>
      <c r="R291" s="34">
        <v>33.9</v>
      </c>
      <c r="S291" s="34">
        <f t="shared" si="73"/>
        <v>1.5301996982030821</v>
      </c>
      <c r="T291" s="42">
        <v>46.200073016176603</v>
      </c>
      <c r="U291" s="42">
        <f t="shared" si="74"/>
        <v>1.664642661930531</v>
      </c>
      <c r="V291">
        <v>3.2258683317817765</v>
      </c>
      <c r="W291" s="14">
        <v>1</v>
      </c>
      <c r="X291">
        <v>3.9615291224236637</v>
      </c>
      <c r="Y291">
        <v>8.568201724066995</v>
      </c>
      <c r="Z291" s="80">
        <v>0.45045081677786536</v>
      </c>
      <c r="AA291">
        <v>5</v>
      </c>
      <c r="AB291">
        <f t="shared" si="75"/>
        <v>0</v>
      </c>
      <c r="AC291">
        <f t="shared" si="76"/>
        <v>0</v>
      </c>
      <c r="AD291">
        <f t="shared" si="77"/>
        <v>0</v>
      </c>
      <c r="AE291">
        <f t="shared" si="78"/>
        <v>0</v>
      </c>
      <c r="AF291">
        <f t="shared" si="79"/>
        <v>1</v>
      </c>
      <c r="AG291">
        <f t="shared" si="80"/>
        <v>0</v>
      </c>
      <c r="AH291">
        <f t="shared" si="81"/>
        <v>0</v>
      </c>
      <c r="AI291">
        <f t="shared" si="82"/>
        <v>0</v>
      </c>
      <c r="AJ291">
        <f t="shared" si="83"/>
        <v>0</v>
      </c>
      <c r="AK291">
        <f t="shared" si="84"/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1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</row>
    <row r="292" spans="1:53" x14ac:dyDescent="0.35">
      <c r="A292">
        <v>0.481352939899792</v>
      </c>
      <c r="C292">
        <v>2.0849315068493151</v>
      </c>
      <c r="D292" s="137">
        <f t="shared" si="69"/>
        <v>0.31909179231409812</v>
      </c>
      <c r="E292">
        <v>3.1189984043805832</v>
      </c>
      <c r="F292">
        <v>1.5314789170422551</v>
      </c>
      <c r="G292" s="45">
        <v>2.99</v>
      </c>
      <c r="H292" s="29">
        <f t="shared" si="70"/>
        <v>0.47567118832442967</v>
      </c>
      <c r="I292" s="9">
        <v>3.0711452904510828</v>
      </c>
      <c r="J292" s="34">
        <v>7.554696139253074E-2</v>
      </c>
      <c r="K292">
        <v>7</v>
      </c>
      <c r="L292" s="137">
        <f t="shared" si="71"/>
        <v>0.84509804001425681</v>
      </c>
      <c r="M292">
        <f t="shared" si="68"/>
        <v>1</v>
      </c>
      <c r="N292">
        <v>70</v>
      </c>
      <c r="O292">
        <v>70</v>
      </c>
      <c r="P292">
        <v>70</v>
      </c>
      <c r="Q292" s="137">
        <f t="shared" si="72"/>
        <v>1.8450980400142569</v>
      </c>
      <c r="R292" s="34">
        <v>45.7</v>
      </c>
      <c r="S292" s="34">
        <f t="shared" si="73"/>
        <v>1.6599162000698502</v>
      </c>
      <c r="T292" s="42">
        <v>52.379377176281302</v>
      </c>
      <c r="U292" s="42">
        <f t="shared" si="74"/>
        <v>1.7191603300855409</v>
      </c>
      <c r="V292">
        <v>3.2258683317817765</v>
      </c>
      <c r="W292" s="14">
        <v>2</v>
      </c>
      <c r="X292">
        <v>3.9615291224236637</v>
      </c>
      <c r="Y292">
        <v>8.6275501877675218</v>
      </c>
      <c r="Z292" s="80">
        <v>0.32902463375374413</v>
      </c>
      <c r="AA292">
        <v>2</v>
      </c>
      <c r="AB292">
        <f t="shared" si="75"/>
        <v>0</v>
      </c>
      <c r="AC292">
        <f t="shared" si="76"/>
        <v>1</v>
      </c>
      <c r="AD292">
        <f t="shared" si="77"/>
        <v>0</v>
      </c>
      <c r="AE292">
        <f t="shared" si="78"/>
        <v>0</v>
      </c>
      <c r="AF292">
        <f t="shared" si="79"/>
        <v>0</v>
      </c>
      <c r="AG292">
        <f t="shared" si="80"/>
        <v>0</v>
      </c>
      <c r="AH292">
        <f t="shared" si="81"/>
        <v>0</v>
      </c>
      <c r="AI292">
        <f t="shared" si="82"/>
        <v>0</v>
      </c>
      <c r="AJ292">
        <f t="shared" si="83"/>
        <v>0</v>
      </c>
      <c r="AK292">
        <f t="shared" si="84"/>
        <v>0</v>
      </c>
      <c r="AL292">
        <v>0</v>
      </c>
      <c r="AM292">
        <v>0</v>
      </c>
      <c r="AN292">
        <v>0</v>
      </c>
      <c r="AO292">
        <v>0</v>
      </c>
      <c r="AP292">
        <v>1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</row>
    <row r="293" spans="1:53" x14ac:dyDescent="0.35">
      <c r="A293">
        <v>0.1386957688604587</v>
      </c>
      <c r="C293">
        <v>8.5506849315068489</v>
      </c>
      <c r="D293" s="137">
        <f t="shared" si="69"/>
        <v>0.93200090420885795</v>
      </c>
      <c r="E293">
        <v>3.7916829312790057</v>
      </c>
      <c r="F293">
        <v>1.8976270912904414</v>
      </c>
      <c r="G293" s="45">
        <v>2.72</v>
      </c>
      <c r="H293" s="29">
        <f t="shared" si="70"/>
        <v>0.43456890403419873</v>
      </c>
      <c r="I293" s="9">
        <v>3.0355631414974997</v>
      </c>
      <c r="J293" s="34">
        <v>0.28103336724772759</v>
      </c>
      <c r="K293">
        <v>16</v>
      </c>
      <c r="L293" s="137">
        <f t="shared" si="71"/>
        <v>1.2041199826559248</v>
      </c>
      <c r="M293">
        <f t="shared" si="68"/>
        <v>1</v>
      </c>
      <c r="N293">
        <v>70</v>
      </c>
      <c r="O293">
        <v>90</v>
      </c>
      <c r="P293">
        <v>88</v>
      </c>
      <c r="Q293" s="137">
        <f t="shared" si="72"/>
        <v>1.9444826721501687</v>
      </c>
      <c r="R293" s="34">
        <v>35.9</v>
      </c>
      <c r="S293" s="34">
        <f t="shared" si="73"/>
        <v>1.5550944485783191</v>
      </c>
      <c r="T293" s="42">
        <v>43.1081369225492</v>
      </c>
      <c r="U293" s="42">
        <f t="shared" si="74"/>
        <v>1.634559253618429</v>
      </c>
      <c r="V293">
        <v>3.1628767233771686</v>
      </c>
      <c r="W293" s="14">
        <v>2</v>
      </c>
      <c r="X293">
        <v>3.6087947637270492</v>
      </c>
      <c r="Y293">
        <v>8.271237354470836</v>
      </c>
      <c r="Z293" s="80">
        <v>0.45159825847349921</v>
      </c>
      <c r="AA293">
        <v>7</v>
      </c>
      <c r="AB293">
        <f t="shared" si="75"/>
        <v>0</v>
      </c>
      <c r="AC293">
        <f t="shared" si="76"/>
        <v>0</v>
      </c>
      <c r="AD293">
        <f t="shared" si="77"/>
        <v>0</v>
      </c>
      <c r="AE293">
        <f t="shared" si="78"/>
        <v>0</v>
      </c>
      <c r="AF293">
        <f t="shared" si="79"/>
        <v>0</v>
      </c>
      <c r="AG293">
        <f t="shared" si="80"/>
        <v>0</v>
      </c>
      <c r="AH293">
        <f t="shared" si="81"/>
        <v>1</v>
      </c>
      <c r="AI293">
        <f t="shared" si="82"/>
        <v>0</v>
      </c>
      <c r="AJ293">
        <f t="shared" si="83"/>
        <v>0</v>
      </c>
      <c r="AK293">
        <f t="shared" si="84"/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</row>
    <row r="294" spans="1:53" x14ac:dyDescent="0.35">
      <c r="A294">
        <v>9.1633117733940173E-2</v>
      </c>
      <c r="C294">
        <v>2.0027397260273974</v>
      </c>
      <c r="D294" s="137">
        <f t="shared" si="69"/>
        <v>0.30162451250138578</v>
      </c>
      <c r="E294">
        <v>3.8335760926148099</v>
      </c>
      <c r="F294">
        <v>1.1760912590556813</v>
      </c>
      <c r="G294" s="45">
        <v>2.85</v>
      </c>
      <c r="H294" s="29">
        <f t="shared" si="70"/>
        <v>0.45484486000851021</v>
      </c>
      <c r="I294" s="9">
        <v>2.9138138523837167</v>
      </c>
      <c r="J294" s="34">
        <v>0.10720996964786837</v>
      </c>
      <c r="K294">
        <v>13</v>
      </c>
      <c r="L294" s="137">
        <f t="shared" si="71"/>
        <v>1.1139433523068367</v>
      </c>
      <c r="M294">
        <f t="shared" si="68"/>
        <v>1</v>
      </c>
      <c r="N294">
        <v>70</v>
      </c>
      <c r="O294">
        <v>70</v>
      </c>
      <c r="P294">
        <v>70</v>
      </c>
      <c r="Q294" s="137">
        <f t="shared" si="72"/>
        <v>1.8450980400142569</v>
      </c>
      <c r="R294" s="34">
        <v>33.9</v>
      </c>
      <c r="S294" s="34">
        <f t="shared" si="73"/>
        <v>1.5301996982030821</v>
      </c>
      <c r="T294" s="42">
        <v>46.200073016176603</v>
      </c>
      <c r="U294" s="42">
        <f t="shared" si="74"/>
        <v>1.664642661930531</v>
      </c>
      <c r="V294">
        <v>3.1628767233771686</v>
      </c>
      <c r="W294" s="14">
        <v>2</v>
      </c>
      <c r="X294">
        <v>3.6087947637270492</v>
      </c>
      <c r="Y294">
        <v>8.423245873936807</v>
      </c>
      <c r="Z294" s="80">
        <v>0.38891707626446803</v>
      </c>
      <c r="AA294">
        <v>4</v>
      </c>
      <c r="AB294">
        <f t="shared" si="75"/>
        <v>0</v>
      </c>
      <c r="AC294">
        <f t="shared" si="76"/>
        <v>0</v>
      </c>
      <c r="AD294">
        <f t="shared" si="77"/>
        <v>0</v>
      </c>
      <c r="AE294">
        <f t="shared" si="78"/>
        <v>1</v>
      </c>
      <c r="AF294">
        <f t="shared" si="79"/>
        <v>0</v>
      </c>
      <c r="AG294">
        <f t="shared" si="80"/>
        <v>0</v>
      </c>
      <c r="AH294">
        <f t="shared" si="81"/>
        <v>0</v>
      </c>
      <c r="AI294">
        <f t="shared" si="82"/>
        <v>0</v>
      </c>
      <c r="AJ294">
        <f t="shared" si="83"/>
        <v>0</v>
      </c>
      <c r="AK294">
        <f t="shared" si="84"/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1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</row>
    <row r="295" spans="1:53" x14ac:dyDescent="0.35">
      <c r="A295">
        <v>0.55837223743297271</v>
      </c>
      <c r="C295">
        <v>2.0493150684931507</v>
      </c>
      <c r="D295" s="137">
        <f t="shared" si="69"/>
        <v>0.31160873340798667</v>
      </c>
      <c r="E295">
        <v>3.7358167906061537</v>
      </c>
      <c r="F295">
        <v>1.3802112417116059</v>
      </c>
      <c r="G295" s="45">
        <v>2.91</v>
      </c>
      <c r="H295" s="29">
        <f t="shared" si="70"/>
        <v>0.46389298898590731</v>
      </c>
      <c r="I295" s="9">
        <v>2.103233406386928</v>
      </c>
      <c r="J295" s="34">
        <v>7.9181246047624818E-2</v>
      </c>
      <c r="K295">
        <v>6</v>
      </c>
      <c r="L295" s="137">
        <f t="shared" si="71"/>
        <v>0.77815125038364363</v>
      </c>
      <c r="M295">
        <f t="shared" si="68"/>
        <v>1</v>
      </c>
      <c r="N295">
        <v>70</v>
      </c>
      <c r="O295">
        <v>70</v>
      </c>
      <c r="P295">
        <v>85</v>
      </c>
      <c r="Q295" s="137">
        <f t="shared" si="72"/>
        <v>1.9294189257142926</v>
      </c>
      <c r="R295" s="34">
        <v>30.8</v>
      </c>
      <c r="S295" s="34">
        <f t="shared" si="73"/>
        <v>1.4885507165004443</v>
      </c>
      <c r="T295" s="42">
        <v>34.575632305406103</v>
      </c>
      <c r="U295" s="42">
        <f t="shared" si="74"/>
        <v>1.5387701310586521</v>
      </c>
      <c r="V295">
        <v>3.1628767233771686</v>
      </c>
      <c r="W295" s="14">
        <v>2</v>
      </c>
      <c r="X295">
        <v>3.6087947637270492</v>
      </c>
      <c r="Y295">
        <v>7.8344842853348053</v>
      </c>
      <c r="Z295" s="80">
        <v>0.16306351350342907</v>
      </c>
      <c r="AA295">
        <v>6</v>
      </c>
      <c r="AB295">
        <f t="shared" si="75"/>
        <v>0</v>
      </c>
      <c r="AC295">
        <f t="shared" si="76"/>
        <v>0</v>
      </c>
      <c r="AD295">
        <f t="shared" si="77"/>
        <v>0</v>
      </c>
      <c r="AE295">
        <f t="shared" si="78"/>
        <v>0</v>
      </c>
      <c r="AF295">
        <f t="shared" si="79"/>
        <v>0</v>
      </c>
      <c r="AG295">
        <f t="shared" si="80"/>
        <v>1</v>
      </c>
      <c r="AH295">
        <f t="shared" si="81"/>
        <v>0</v>
      </c>
      <c r="AI295">
        <f t="shared" si="82"/>
        <v>0</v>
      </c>
      <c r="AJ295">
        <f t="shared" si="83"/>
        <v>0</v>
      </c>
      <c r="AK295">
        <f t="shared" si="84"/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1</v>
      </c>
      <c r="BA295">
        <v>0</v>
      </c>
    </row>
    <row r="296" spans="1:53" x14ac:dyDescent="0.35">
      <c r="A296">
        <v>-0.90620748727559275</v>
      </c>
      <c r="C296">
        <v>5.9013698630136986</v>
      </c>
      <c r="D296" s="137">
        <f t="shared" si="69"/>
        <v>0.77095283450548813</v>
      </c>
      <c r="E296">
        <v>3.7707754512906644</v>
      </c>
      <c r="F296">
        <v>2.2810333672477277</v>
      </c>
      <c r="G296" s="45">
        <v>2.3199999999999998</v>
      </c>
      <c r="H296" s="29">
        <f t="shared" si="70"/>
        <v>0.36548798489089962</v>
      </c>
      <c r="I296" s="9">
        <v>2.1238516409670858</v>
      </c>
      <c r="J296" s="34">
        <v>-8.7739243075051505E-3</v>
      </c>
      <c r="K296">
        <v>11</v>
      </c>
      <c r="L296" s="137">
        <f t="shared" si="71"/>
        <v>1.0413926851582251</v>
      </c>
      <c r="M296">
        <f t="shared" si="68"/>
        <v>1</v>
      </c>
      <c r="N296">
        <v>70</v>
      </c>
      <c r="O296">
        <v>70</v>
      </c>
      <c r="P296">
        <v>85</v>
      </c>
      <c r="Q296" s="137">
        <f t="shared" si="72"/>
        <v>1.9294189257142926</v>
      </c>
      <c r="R296" s="34">
        <v>31.3</v>
      </c>
      <c r="S296" s="34">
        <f t="shared" si="73"/>
        <v>1.4955443375464486</v>
      </c>
      <c r="T296" s="42">
        <v>38.7850112673514</v>
      </c>
      <c r="U296" s="42">
        <f t="shared" si="74"/>
        <v>1.5886639219461918</v>
      </c>
      <c r="V296">
        <v>3.1628767233771686</v>
      </c>
      <c r="W296" s="14">
        <v>2</v>
      </c>
      <c r="X296">
        <v>3.6087947637270492</v>
      </c>
      <c r="Y296">
        <v>9.2628069230005643</v>
      </c>
      <c r="Z296" s="80">
        <v>0.20671721855508896</v>
      </c>
      <c r="AA296">
        <v>5</v>
      </c>
      <c r="AB296">
        <f t="shared" si="75"/>
        <v>0</v>
      </c>
      <c r="AC296">
        <f t="shared" si="76"/>
        <v>0</v>
      </c>
      <c r="AD296">
        <f t="shared" si="77"/>
        <v>0</v>
      </c>
      <c r="AE296">
        <f t="shared" si="78"/>
        <v>0</v>
      </c>
      <c r="AF296">
        <f t="shared" si="79"/>
        <v>1</v>
      </c>
      <c r="AG296">
        <f t="shared" si="80"/>
        <v>0</v>
      </c>
      <c r="AH296">
        <f t="shared" si="81"/>
        <v>0</v>
      </c>
      <c r="AI296">
        <f t="shared" si="82"/>
        <v>0</v>
      </c>
      <c r="AJ296">
        <f t="shared" si="83"/>
        <v>0</v>
      </c>
      <c r="AK296">
        <f t="shared" si="84"/>
        <v>0</v>
      </c>
      <c r="AL296">
        <v>0</v>
      </c>
      <c r="AM296">
        <v>1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</row>
    <row r="297" spans="1:53" x14ac:dyDescent="0.35">
      <c r="A297">
        <v>3.1647391927806502E-2</v>
      </c>
      <c r="C297">
        <v>4.2109589041095887</v>
      </c>
      <c r="D297" s="137">
        <f t="shared" si="69"/>
        <v>0.62438100304327038</v>
      </c>
      <c r="E297">
        <v>3.7707754512906644</v>
      </c>
      <c r="F297">
        <v>0</v>
      </c>
      <c r="G297" s="45">
        <v>2.3199999999999998</v>
      </c>
      <c r="H297" s="29">
        <f t="shared" si="70"/>
        <v>0.36548798489089962</v>
      </c>
      <c r="I297" s="9">
        <v>2.1238516409670858</v>
      </c>
      <c r="J297" s="34">
        <v>0.35410843914740087</v>
      </c>
      <c r="K297">
        <v>3</v>
      </c>
      <c r="L297" s="137">
        <f t="shared" si="71"/>
        <v>0.47712125471966244</v>
      </c>
      <c r="M297">
        <f t="shared" si="68"/>
        <v>1</v>
      </c>
      <c r="N297">
        <v>70</v>
      </c>
      <c r="O297">
        <v>70</v>
      </c>
      <c r="P297">
        <v>100</v>
      </c>
      <c r="Q297" s="137">
        <f t="shared" si="72"/>
        <v>2</v>
      </c>
      <c r="R297" s="34">
        <v>29.5</v>
      </c>
      <c r="S297" s="34">
        <f t="shared" si="73"/>
        <v>1.469822015978163</v>
      </c>
      <c r="T297" s="42">
        <v>38.538703610951003</v>
      </c>
      <c r="U297" s="42">
        <f t="shared" si="74"/>
        <v>1.5858971014953607</v>
      </c>
      <c r="V297">
        <v>3.1628767233771686</v>
      </c>
      <c r="W297" s="14">
        <v>2</v>
      </c>
      <c r="X297">
        <v>3.6087947637270492</v>
      </c>
      <c r="Y297">
        <v>8.3007910679877988</v>
      </c>
      <c r="Z297" s="80" t="e">
        <v>#N/A</v>
      </c>
      <c r="AA297">
        <v>4</v>
      </c>
      <c r="AB297">
        <f t="shared" si="75"/>
        <v>0</v>
      </c>
      <c r="AC297">
        <f t="shared" si="76"/>
        <v>0</v>
      </c>
      <c r="AD297">
        <f t="shared" si="77"/>
        <v>0</v>
      </c>
      <c r="AE297">
        <f t="shared" si="78"/>
        <v>1</v>
      </c>
      <c r="AF297">
        <f t="shared" si="79"/>
        <v>0</v>
      </c>
      <c r="AG297">
        <f t="shared" si="80"/>
        <v>0</v>
      </c>
      <c r="AH297">
        <f t="shared" si="81"/>
        <v>0</v>
      </c>
      <c r="AI297">
        <f t="shared" si="82"/>
        <v>0</v>
      </c>
      <c r="AJ297">
        <f t="shared" si="83"/>
        <v>0</v>
      </c>
      <c r="AK297">
        <f t="shared" si="84"/>
        <v>0</v>
      </c>
      <c r="AL297">
        <v>0</v>
      </c>
      <c r="AM297">
        <v>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</row>
    <row r="298" spans="1:53" x14ac:dyDescent="0.35">
      <c r="A298">
        <v>-2</v>
      </c>
      <c r="C298">
        <v>2.6547945205479451</v>
      </c>
      <c r="D298" s="137">
        <f t="shared" si="69"/>
        <v>0.4240309125942906</v>
      </c>
      <c r="E298">
        <v>3.7707754512906644</v>
      </c>
      <c r="F298">
        <v>1.414973347970818</v>
      </c>
      <c r="G298" s="45">
        <v>2.3199999999999998</v>
      </c>
      <c r="H298" s="29">
        <f t="shared" si="70"/>
        <v>0.36548798489089962</v>
      </c>
      <c r="I298" s="9">
        <v>2.1238516409670858</v>
      </c>
      <c r="J298" s="34">
        <v>0.13353890837021748</v>
      </c>
      <c r="K298">
        <v>18</v>
      </c>
      <c r="L298" s="137">
        <f t="shared" si="71"/>
        <v>1.255272505103306</v>
      </c>
      <c r="M298">
        <f t="shared" si="68"/>
        <v>1</v>
      </c>
      <c r="N298">
        <v>70</v>
      </c>
      <c r="O298">
        <v>70</v>
      </c>
      <c r="P298">
        <v>94.9</v>
      </c>
      <c r="Q298" s="137">
        <f t="shared" si="72"/>
        <v>1.9772662124272926</v>
      </c>
      <c r="R298" s="34">
        <v>32.299999999999997</v>
      </c>
      <c r="S298" s="34">
        <f t="shared" si="73"/>
        <v>1.5092025223311027</v>
      </c>
      <c r="T298" s="42">
        <v>47.560703662314701</v>
      </c>
      <c r="U298" s="42">
        <f t="shared" si="74"/>
        <v>1.6772482713966061</v>
      </c>
      <c r="V298">
        <v>3.1628767233771686</v>
      </c>
      <c r="W298" s="14">
        <v>2</v>
      </c>
      <c r="X298">
        <v>3.6087947637270492</v>
      </c>
      <c r="Y298">
        <v>8.4771212547196626</v>
      </c>
      <c r="Z298" s="80">
        <v>0.22043631708616562</v>
      </c>
      <c r="AA298">
        <v>5</v>
      </c>
      <c r="AB298">
        <f t="shared" si="75"/>
        <v>0</v>
      </c>
      <c r="AC298">
        <f t="shared" si="76"/>
        <v>0</v>
      </c>
      <c r="AD298">
        <f t="shared" si="77"/>
        <v>0</v>
      </c>
      <c r="AE298">
        <f t="shared" si="78"/>
        <v>0</v>
      </c>
      <c r="AF298">
        <f t="shared" si="79"/>
        <v>1</v>
      </c>
      <c r="AG298">
        <f t="shared" si="80"/>
        <v>0</v>
      </c>
      <c r="AH298">
        <f t="shared" si="81"/>
        <v>0</v>
      </c>
      <c r="AI298">
        <f t="shared" si="82"/>
        <v>0</v>
      </c>
      <c r="AJ298">
        <f t="shared" si="83"/>
        <v>0</v>
      </c>
      <c r="AK298">
        <f t="shared" si="84"/>
        <v>0</v>
      </c>
      <c r="AL298">
        <v>0</v>
      </c>
      <c r="AM298">
        <v>1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</row>
    <row r="299" spans="1:53" x14ac:dyDescent="0.35">
      <c r="A299">
        <v>-2</v>
      </c>
      <c r="C299">
        <v>2.5424657534246577</v>
      </c>
      <c r="D299" s="137">
        <f t="shared" si="69"/>
        <v>0.40525511176238738</v>
      </c>
      <c r="E299">
        <v>3.7707754512906644</v>
      </c>
      <c r="F299">
        <v>0.77815125038364363</v>
      </c>
      <c r="G299" s="45">
        <v>2.3199999999999998</v>
      </c>
      <c r="H299" s="29">
        <f t="shared" si="70"/>
        <v>0.36548798489089962</v>
      </c>
      <c r="I299" s="9">
        <v>2.1238516409670858</v>
      </c>
      <c r="J299" s="34">
        <v>0.10037054511756291</v>
      </c>
      <c r="K299">
        <v>12</v>
      </c>
      <c r="L299" s="137">
        <f t="shared" si="71"/>
        <v>1.0791812460476249</v>
      </c>
      <c r="M299">
        <f t="shared" si="68"/>
        <v>1</v>
      </c>
      <c r="N299">
        <v>70</v>
      </c>
      <c r="O299">
        <v>70</v>
      </c>
      <c r="P299">
        <v>85</v>
      </c>
      <c r="Q299" s="137">
        <f t="shared" si="72"/>
        <v>1.9294189257142926</v>
      </c>
      <c r="R299" s="34">
        <v>32.299999999999997</v>
      </c>
      <c r="S299" s="34">
        <f t="shared" si="73"/>
        <v>1.5092025223311027</v>
      </c>
      <c r="T299" s="42">
        <v>40.040400531970803</v>
      </c>
      <c r="U299" s="42">
        <f t="shared" si="74"/>
        <v>1.6024984131617945</v>
      </c>
      <c r="V299">
        <v>3.1628767233771686</v>
      </c>
      <c r="W299" s="14">
        <v>2</v>
      </c>
      <c r="X299">
        <v>3.6087947637270492</v>
      </c>
      <c r="Y299">
        <v>6.5563025007672868</v>
      </c>
      <c r="Z299" s="80">
        <v>0.40743012860692884</v>
      </c>
      <c r="AA299">
        <v>9</v>
      </c>
      <c r="AB299">
        <f t="shared" si="75"/>
        <v>0</v>
      </c>
      <c r="AC299">
        <f t="shared" si="76"/>
        <v>0</v>
      </c>
      <c r="AD299">
        <f t="shared" si="77"/>
        <v>0</v>
      </c>
      <c r="AE299">
        <f t="shared" si="78"/>
        <v>0</v>
      </c>
      <c r="AF299">
        <f t="shared" si="79"/>
        <v>0</v>
      </c>
      <c r="AG299">
        <f t="shared" si="80"/>
        <v>0</v>
      </c>
      <c r="AH299">
        <f t="shared" si="81"/>
        <v>0</v>
      </c>
      <c r="AI299">
        <f t="shared" si="82"/>
        <v>0</v>
      </c>
      <c r="AJ299">
        <f t="shared" si="83"/>
        <v>1</v>
      </c>
      <c r="AK299">
        <f t="shared" si="84"/>
        <v>0</v>
      </c>
      <c r="AL299">
        <v>0</v>
      </c>
      <c r="AM299">
        <v>1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</row>
    <row r="300" spans="1:53" x14ac:dyDescent="0.35">
      <c r="A300">
        <v>-3.7788560889399803E-2</v>
      </c>
      <c r="C300">
        <v>8.0520547945205472</v>
      </c>
      <c r="D300" s="137">
        <f t="shared" si="69"/>
        <v>0.90590672161613783</v>
      </c>
      <c r="E300">
        <v>3.8052737966880943</v>
      </c>
      <c r="F300">
        <v>1</v>
      </c>
      <c r="G300" s="45">
        <v>2.99</v>
      </c>
      <c r="H300" s="29">
        <f t="shared" si="70"/>
        <v>0.47567118832442967</v>
      </c>
      <c r="I300" s="9">
        <v>2.8414637553591628</v>
      </c>
      <c r="J300" s="34">
        <v>0.12710479836480765</v>
      </c>
      <c r="K300">
        <v>39</v>
      </c>
      <c r="L300" s="137">
        <f t="shared" si="71"/>
        <v>1.5910646070264991</v>
      </c>
      <c r="M300">
        <f t="shared" si="68"/>
        <v>1</v>
      </c>
      <c r="N300">
        <v>90</v>
      </c>
      <c r="O300">
        <v>70</v>
      </c>
      <c r="P300">
        <v>85</v>
      </c>
      <c r="Q300" s="137">
        <f t="shared" si="72"/>
        <v>1.9294189257142926</v>
      </c>
      <c r="R300" s="34">
        <v>37.799999999999997</v>
      </c>
      <c r="S300" s="34">
        <f t="shared" si="73"/>
        <v>1.5774917998372253</v>
      </c>
      <c r="T300" s="42">
        <v>43.5787105608064</v>
      </c>
      <c r="U300" s="42">
        <f t="shared" si="74"/>
        <v>1.6392743758732649</v>
      </c>
      <c r="V300">
        <v>3.1527645837352773</v>
      </c>
      <c r="W300" s="14">
        <v>2</v>
      </c>
      <c r="X300">
        <v>3.5411223705253856</v>
      </c>
      <c r="Y300">
        <v>8.7781512503836439</v>
      </c>
      <c r="Z300" s="80">
        <v>0.32290435215985558</v>
      </c>
      <c r="AA300">
        <v>9</v>
      </c>
      <c r="AB300">
        <f t="shared" si="75"/>
        <v>0</v>
      </c>
      <c r="AC300">
        <f t="shared" si="76"/>
        <v>0</v>
      </c>
      <c r="AD300">
        <f t="shared" si="77"/>
        <v>0</v>
      </c>
      <c r="AE300">
        <f t="shared" si="78"/>
        <v>0</v>
      </c>
      <c r="AF300">
        <f t="shared" si="79"/>
        <v>0</v>
      </c>
      <c r="AG300">
        <f t="shared" si="80"/>
        <v>0</v>
      </c>
      <c r="AH300">
        <f t="shared" si="81"/>
        <v>0</v>
      </c>
      <c r="AI300">
        <f t="shared" si="82"/>
        <v>0</v>
      </c>
      <c r="AJ300">
        <f t="shared" si="83"/>
        <v>1</v>
      </c>
      <c r="AK300">
        <f t="shared" si="84"/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1</v>
      </c>
      <c r="AX300">
        <v>0</v>
      </c>
      <c r="AY300">
        <v>0</v>
      </c>
      <c r="AZ300">
        <v>0</v>
      </c>
      <c r="BA300">
        <v>0</v>
      </c>
    </row>
    <row r="301" spans="1:53" x14ac:dyDescent="0.35">
      <c r="A301">
        <v>0.147699940896518</v>
      </c>
      <c r="C301">
        <v>7.4356164383561643</v>
      </c>
      <c r="D301" s="137">
        <f t="shared" si="69"/>
        <v>0.87131697886724357</v>
      </c>
      <c r="E301">
        <v>3.8335760926148099</v>
      </c>
      <c r="F301">
        <v>1.7075701760979363</v>
      </c>
      <c r="G301" s="45">
        <v>2.85</v>
      </c>
      <c r="H301" s="29">
        <f t="shared" si="70"/>
        <v>0.45484486000851021</v>
      </c>
      <c r="I301" s="9">
        <v>2.9138138523837167</v>
      </c>
      <c r="J301" s="34">
        <v>0.35793484700045386</v>
      </c>
      <c r="K301">
        <v>43</v>
      </c>
      <c r="L301" s="137">
        <f t="shared" si="71"/>
        <v>1.6334684555795864</v>
      </c>
      <c r="M301">
        <f t="shared" si="68"/>
        <v>1</v>
      </c>
      <c r="N301">
        <v>70</v>
      </c>
      <c r="O301">
        <v>70</v>
      </c>
      <c r="P301">
        <v>90.3</v>
      </c>
      <c r="Q301" s="137">
        <f t="shared" si="72"/>
        <v>1.9556877503135057</v>
      </c>
      <c r="R301" s="34">
        <v>36.1</v>
      </c>
      <c r="S301" s="34">
        <f t="shared" si="73"/>
        <v>1.5575072019056579</v>
      </c>
      <c r="T301" s="42">
        <v>47.576210837790804</v>
      </c>
      <c r="U301" s="42">
        <f t="shared" si="74"/>
        <v>1.6773898501062838</v>
      </c>
      <c r="V301">
        <v>3.1527645837352773</v>
      </c>
      <c r="W301" s="14">
        <v>2</v>
      </c>
      <c r="X301">
        <v>3.5411223705253856</v>
      </c>
      <c r="Y301">
        <v>7.5866998016240492</v>
      </c>
      <c r="Z301" s="80">
        <v>0.63566639769648825</v>
      </c>
      <c r="AA301">
        <v>9</v>
      </c>
      <c r="AB301">
        <f t="shared" si="75"/>
        <v>0</v>
      </c>
      <c r="AC301">
        <f t="shared" si="76"/>
        <v>0</v>
      </c>
      <c r="AD301">
        <f t="shared" si="77"/>
        <v>0</v>
      </c>
      <c r="AE301">
        <f t="shared" si="78"/>
        <v>0</v>
      </c>
      <c r="AF301">
        <f t="shared" si="79"/>
        <v>0</v>
      </c>
      <c r="AG301">
        <f t="shared" si="80"/>
        <v>0</v>
      </c>
      <c r="AH301">
        <f t="shared" si="81"/>
        <v>0</v>
      </c>
      <c r="AI301">
        <f t="shared" si="82"/>
        <v>0</v>
      </c>
      <c r="AJ301">
        <f t="shared" si="83"/>
        <v>1</v>
      </c>
      <c r="AK301">
        <f t="shared" si="84"/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1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</row>
    <row r="302" spans="1:53" x14ac:dyDescent="0.35">
      <c r="A302">
        <v>0.38535088136401707</v>
      </c>
      <c r="C302">
        <v>5.117808219178082</v>
      </c>
      <c r="D302" s="137">
        <f t="shared" si="69"/>
        <v>0.70908400743759981</v>
      </c>
      <c r="E302">
        <v>3.7707754512906644</v>
      </c>
      <c r="F302">
        <v>1.9590413923210936</v>
      </c>
      <c r="G302" s="45">
        <v>2.3199999999999998</v>
      </c>
      <c r="H302" s="29">
        <f t="shared" si="70"/>
        <v>0.36548798489089962</v>
      </c>
      <c r="I302" s="9">
        <v>2.1238516409670858</v>
      </c>
      <c r="J302" s="34">
        <v>0.28330122870354957</v>
      </c>
      <c r="K302">
        <v>44</v>
      </c>
      <c r="L302" s="137">
        <f t="shared" si="71"/>
        <v>1.6434526764861874</v>
      </c>
      <c r="M302">
        <f t="shared" si="68"/>
        <v>1</v>
      </c>
      <c r="N302">
        <v>70</v>
      </c>
      <c r="O302">
        <v>70</v>
      </c>
      <c r="P302">
        <v>94.9</v>
      </c>
      <c r="Q302" s="137">
        <f t="shared" si="72"/>
        <v>1.9772662124272926</v>
      </c>
      <c r="R302" s="34">
        <v>32.299999999999997</v>
      </c>
      <c r="S302" s="34">
        <f t="shared" si="73"/>
        <v>1.5092025223311027</v>
      </c>
      <c r="T302" s="42">
        <v>47.560703662314701</v>
      </c>
      <c r="U302" s="42">
        <f t="shared" si="74"/>
        <v>1.6772482713966061</v>
      </c>
      <c r="V302">
        <v>3.1527645837352773</v>
      </c>
      <c r="W302" s="14">
        <v>2</v>
      </c>
      <c r="X302">
        <v>3.5411223705253856</v>
      </c>
      <c r="Y302">
        <v>8.4471580313422194</v>
      </c>
      <c r="Z302" s="80">
        <v>0.36846549528914463</v>
      </c>
      <c r="AA302">
        <v>1</v>
      </c>
      <c r="AB302">
        <f t="shared" si="75"/>
        <v>1</v>
      </c>
      <c r="AC302">
        <f t="shared" si="76"/>
        <v>0</v>
      </c>
      <c r="AD302">
        <f t="shared" si="77"/>
        <v>0</v>
      </c>
      <c r="AE302">
        <f t="shared" si="78"/>
        <v>0</v>
      </c>
      <c r="AF302">
        <f t="shared" si="79"/>
        <v>0</v>
      </c>
      <c r="AG302">
        <f t="shared" si="80"/>
        <v>0</v>
      </c>
      <c r="AH302">
        <f t="shared" si="81"/>
        <v>0</v>
      </c>
      <c r="AI302">
        <f t="shared" si="82"/>
        <v>0</v>
      </c>
      <c r="AJ302">
        <f t="shared" si="83"/>
        <v>0</v>
      </c>
      <c r="AK302">
        <f t="shared" si="84"/>
        <v>0</v>
      </c>
      <c r="AL302">
        <v>0</v>
      </c>
      <c r="AM302">
        <v>1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</row>
    <row r="303" spans="1:53" x14ac:dyDescent="0.35">
      <c r="A303">
        <v>0.14004615487104186</v>
      </c>
      <c r="C303">
        <v>8.9205479452054792</v>
      </c>
      <c r="D303" s="137">
        <f t="shared" si="69"/>
        <v>0.95039153176068891</v>
      </c>
      <c r="E303">
        <v>3.7707754512906644</v>
      </c>
      <c r="F303">
        <v>1.0413926851582251</v>
      </c>
      <c r="G303" s="45">
        <v>2.3199999999999998</v>
      </c>
      <c r="H303" s="29">
        <f t="shared" si="70"/>
        <v>0.36548798489089962</v>
      </c>
      <c r="I303" s="9">
        <v>2.1238516409670858</v>
      </c>
      <c r="J303" s="34">
        <v>0.24797326636180664</v>
      </c>
      <c r="K303">
        <v>42</v>
      </c>
      <c r="L303" s="137">
        <f t="shared" si="71"/>
        <v>1.6232492903979006</v>
      </c>
      <c r="M303">
        <f t="shared" si="68"/>
        <v>1</v>
      </c>
      <c r="N303">
        <v>70</v>
      </c>
      <c r="O303">
        <v>70</v>
      </c>
      <c r="P303">
        <v>90.8</v>
      </c>
      <c r="Q303" s="137">
        <f t="shared" si="72"/>
        <v>1.958085848521085</v>
      </c>
      <c r="R303" s="34">
        <v>32.299999999999997</v>
      </c>
      <c r="S303" s="34">
        <f t="shared" si="73"/>
        <v>1.5092025223311027</v>
      </c>
      <c r="T303" s="42">
        <v>44.4007960521485</v>
      </c>
      <c r="U303" s="42">
        <f t="shared" si="74"/>
        <v>1.6473907565550749</v>
      </c>
      <c r="V303">
        <v>3.1527645837352773</v>
      </c>
      <c r="W303" s="14">
        <v>2</v>
      </c>
      <c r="X303">
        <v>3.5411223705253856</v>
      </c>
      <c r="Y303">
        <v>8.7520484478194387</v>
      </c>
      <c r="Z303" s="80">
        <v>0.37771934631263937</v>
      </c>
      <c r="AA303">
        <v>5</v>
      </c>
      <c r="AB303">
        <f t="shared" si="75"/>
        <v>0</v>
      </c>
      <c r="AC303">
        <f t="shared" si="76"/>
        <v>0</v>
      </c>
      <c r="AD303">
        <f t="shared" si="77"/>
        <v>0</v>
      </c>
      <c r="AE303">
        <f t="shared" si="78"/>
        <v>0</v>
      </c>
      <c r="AF303">
        <f t="shared" si="79"/>
        <v>1</v>
      </c>
      <c r="AG303">
        <f t="shared" si="80"/>
        <v>0</v>
      </c>
      <c r="AH303">
        <f t="shared" si="81"/>
        <v>0</v>
      </c>
      <c r="AI303">
        <f t="shared" si="82"/>
        <v>0</v>
      </c>
      <c r="AJ303">
        <f t="shared" si="83"/>
        <v>0</v>
      </c>
      <c r="AK303">
        <f t="shared" si="84"/>
        <v>0</v>
      </c>
      <c r="AL303">
        <v>0</v>
      </c>
      <c r="AM303">
        <v>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</row>
    <row r="304" spans="1:53" x14ac:dyDescent="0.35">
      <c r="A304">
        <v>0.14469393041723971</v>
      </c>
      <c r="C304">
        <v>5.0630136986301366</v>
      </c>
      <c r="D304" s="137">
        <f t="shared" si="69"/>
        <v>0.70440910242761312</v>
      </c>
      <c r="E304">
        <v>3.7707754512906644</v>
      </c>
      <c r="F304">
        <v>0.3010299956639812</v>
      </c>
      <c r="G304" s="45">
        <v>2.3199999999999998</v>
      </c>
      <c r="H304" s="29">
        <f t="shared" si="70"/>
        <v>0.36548798489089962</v>
      </c>
      <c r="I304" s="9">
        <v>2.1238516409670858</v>
      </c>
      <c r="J304" s="34">
        <v>-2.6872146400301365E-2</v>
      </c>
      <c r="K304">
        <v>39</v>
      </c>
      <c r="L304" s="137">
        <f t="shared" si="71"/>
        <v>1.5910646070264991</v>
      </c>
      <c r="M304">
        <f t="shared" si="68"/>
        <v>1</v>
      </c>
      <c r="N304">
        <v>70</v>
      </c>
      <c r="O304">
        <v>70</v>
      </c>
      <c r="P304">
        <v>85</v>
      </c>
      <c r="Q304" s="137">
        <f t="shared" si="72"/>
        <v>1.9294189257142926</v>
      </c>
      <c r="R304" s="34">
        <v>32.700000000000003</v>
      </c>
      <c r="S304" s="34">
        <f t="shared" si="73"/>
        <v>1.5145477526602862</v>
      </c>
      <c r="T304" s="42">
        <v>41.286751495766303</v>
      </c>
      <c r="U304" s="42">
        <f t="shared" si="74"/>
        <v>1.6158107132703448</v>
      </c>
      <c r="V304">
        <v>3.1527645837352773</v>
      </c>
      <c r="W304" s="14">
        <v>2</v>
      </c>
      <c r="X304">
        <v>3.5411223705253856</v>
      </c>
      <c r="Y304">
        <v>7.8129133566428557</v>
      </c>
      <c r="Z304" s="80">
        <v>0.13262086992644151</v>
      </c>
      <c r="AA304">
        <v>2</v>
      </c>
      <c r="AB304">
        <f t="shared" si="75"/>
        <v>0</v>
      </c>
      <c r="AC304">
        <f t="shared" si="76"/>
        <v>1</v>
      </c>
      <c r="AD304">
        <f t="shared" si="77"/>
        <v>0</v>
      </c>
      <c r="AE304">
        <f t="shared" si="78"/>
        <v>0</v>
      </c>
      <c r="AF304">
        <f t="shared" si="79"/>
        <v>0</v>
      </c>
      <c r="AG304">
        <f t="shared" si="80"/>
        <v>0</v>
      </c>
      <c r="AH304">
        <f t="shared" si="81"/>
        <v>0</v>
      </c>
      <c r="AI304">
        <f t="shared" si="82"/>
        <v>0</v>
      </c>
      <c r="AJ304">
        <f t="shared" si="83"/>
        <v>0</v>
      </c>
      <c r="AK304">
        <f t="shared" si="84"/>
        <v>0</v>
      </c>
      <c r="AL304">
        <v>0</v>
      </c>
      <c r="AM304">
        <v>1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</row>
    <row r="305" spans="1:53" x14ac:dyDescent="0.35">
      <c r="A305">
        <v>0</v>
      </c>
      <c r="C305">
        <v>4.7315068493150685</v>
      </c>
      <c r="D305" s="137">
        <f t="shared" si="69"/>
        <v>0.67499947311098407</v>
      </c>
      <c r="E305">
        <v>3.7707754512906644</v>
      </c>
      <c r="F305">
        <v>1.4913616938342726</v>
      </c>
      <c r="G305" s="45">
        <v>2.3199999999999998</v>
      </c>
      <c r="H305" s="29">
        <f t="shared" si="70"/>
        <v>0.36548798489089962</v>
      </c>
      <c r="I305" s="9">
        <v>2.1238516409670858</v>
      </c>
      <c r="J305" s="34">
        <v>-7.0581074285707285E-2</v>
      </c>
      <c r="K305">
        <v>33</v>
      </c>
      <c r="L305" s="137">
        <f t="shared" si="71"/>
        <v>1.5185139398778875</v>
      </c>
      <c r="M305">
        <f t="shared" si="68"/>
        <v>1</v>
      </c>
      <c r="N305">
        <v>70</v>
      </c>
      <c r="O305">
        <v>70</v>
      </c>
      <c r="P305">
        <v>85</v>
      </c>
      <c r="Q305" s="137">
        <f t="shared" si="72"/>
        <v>1.9294189257142926</v>
      </c>
      <c r="R305" s="34">
        <v>32.200000000000003</v>
      </c>
      <c r="S305" s="34">
        <f t="shared" si="73"/>
        <v>1.507855871695831</v>
      </c>
      <c r="T305" s="42">
        <v>35.326012114535303</v>
      </c>
      <c r="U305" s="42">
        <f t="shared" si="74"/>
        <v>1.548094613534351</v>
      </c>
      <c r="V305">
        <v>3.1527645837352773</v>
      </c>
      <c r="W305" s="14">
        <v>2</v>
      </c>
      <c r="X305">
        <v>3.5411223705253856</v>
      </c>
      <c r="Y305">
        <v>8.2561402266345336</v>
      </c>
      <c r="Z305" s="80">
        <v>-0.26626054932261811</v>
      </c>
      <c r="AA305">
        <v>5</v>
      </c>
      <c r="AB305">
        <f t="shared" si="75"/>
        <v>0</v>
      </c>
      <c r="AC305">
        <f t="shared" si="76"/>
        <v>0</v>
      </c>
      <c r="AD305">
        <f t="shared" si="77"/>
        <v>0</v>
      </c>
      <c r="AE305">
        <f t="shared" si="78"/>
        <v>0</v>
      </c>
      <c r="AF305">
        <f t="shared" si="79"/>
        <v>1</v>
      </c>
      <c r="AG305">
        <f t="shared" si="80"/>
        <v>0</v>
      </c>
      <c r="AH305">
        <f t="shared" si="81"/>
        <v>0</v>
      </c>
      <c r="AI305">
        <f t="shared" si="82"/>
        <v>0</v>
      </c>
      <c r="AJ305">
        <f t="shared" si="83"/>
        <v>0</v>
      </c>
      <c r="AK305">
        <f t="shared" si="84"/>
        <v>0</v>
      </c>
      <c r="AL305">
        <v>0</v>
      </c>
      <c r="AM305">
        <v>1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</row>
    <row r="306" spans="1:53" x14ac:dyDescent="0.35">
      <c r="A306">
        <v>0.28812141671823749</v>
      </c>
      <c r="C306">
        <v>1.8958904109589041</v>
      </c>
      <c r="D306" s="137">
        <f t="shared" si="69"/>
        <v>0.27781323000028307</v>
      </c>
      <c r="E306">
        <v>3.7707754512906644</v>
      </c>
      <c r="F306">
        <v>0</v>
      </c>
      <c r="G306" s="45">
        <v>2.3199999999999998</v>
      </c>
      <c r="H306" s="29">
        <f t="shared" si="70"/>
        <v>0.36548798489089962</v>
      </c>
      <c r="I306" s="9">
        <v>2.1238516409670858</v>
      </c>
      <c r="J306" s="34">
        <v>5.3078443483419682E-2</v>
      </c>
      <c r="K306">
        <v>26</v>
      </c>
      <c r="L306" s="137">
        <f t="shared" si="71"/>
        <v>1.414973347970818</v>
      </c>
      <c r="M306">
        <f t="shared" si="68"/>
        <v>1</v>
      </c>
      <c r="N306">
        <v>70</v>
      </c>
      <c r="O306">
        <v>70</v>
      </c>
      <c r="P306">
        <v>100</v>
      </c>
      <c r="Q306" s="137">
        <f t="shared" si="72"/>
        <v>2</v>
      </c>
      <c r="R306" s="34">
        <v>30.9</v>
      </c>
      <c r="S306" s="34">
        <f t="shared" si="73"/>
        <v>1.4899584794248346</v>
      </c>
      <c r="T306" s="42">
        <v>49.329709120205997</v>
      </c>
      <c r="U306" s="42">
        <f t="shared" si="74"/>
        <v>1.6931085545892062</v>
      </c>
      <c r="V306">
        <v>3.1527645837352773</v>
      </c>
      <c r="W306" s="14">
        <v>2</v>
      </c>
      <c r="X306">
        <v>3.5411223705253856</v>
      </c>
      <c r="Y306">
        <v>7.8450980400142569</v>
      </c>
      <c r="Z306" s="80" t="e">
        <v>#N/A</v>
      </c>
      <c r="AA306">
        <v>4</v>
      </c>
      <c r="AB306">
        <f t="shared" si="75"/>
        <v>0</v>
      </c>
      <c r="AC306">
        <f t="shared" si="76"/>
        <v>0</v>
      </c>
      <c r="AD306">
        <f t="shared" si="77"/>
        <v>0</v>
      </c>
      <c r="AE306">
        <f t="shared" si="78"/>
        <v>1</v>
      </c>
      <c r="AF306">
        <f t="shared" si="79"/>
        <v>0</v>
      </c>
      <c r="AG306">
        <f t="shared" si="80"/>
        <v>0</v>
      </c>
      <c r="AH306">
        <f t="shared" si="81"/>
        <v>0</v>
      </c>
      <c r="AI306">
        <f t="shared" si="82"/>
        <v>0</v>
      </c>
      <c r="AJ306">
        <f t="shared" si="83"/>
        <v>0</v>
      </c>
      <c r="AK306">
        <f t="shared" si="84"/>
        <v>0</v>
      </c>
      <c r="AL306">
        <v>0</v>
      </c>
      <c r="AM306">
        <v>1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</row>
    <row r="307" spans="1:53" x14ac:dyDescent="0.35">
      <c r="A307">
        <v>1.4670033807127596</v>
      </c>
      <c r="C307">
        <v>11.887671232876713</v>
      </c>
      <c r="D307" s="137">
        <f t="shared" si="69"/>
        <v>1.0750967856727371</v>
      </c>
      <c r="E307">
        <v>3.7916829312790057</v>
      </c>
      <c r="F307">
        <v>1.2041199826559248</v>
      </c>
      <c r="G307" s="45">
        <v>2.72</v>
      </c>
      <c r="H307" s="29">
        <f t="shared" si="70"/>
        <v>0.43456890403419873</v>
      </c>
      <c r="I307" s="9">
        <v>3.0355631414974997</v>
      </c>
      <c r="J307" s="34">
        <v>-4.3648054024500883E-3</v>
      </c>
      <c r="K307">
        <v>33</v>
      </c>
      <c r="L307" s="137">
        <f t="shared" si="71"/>
        <v>1.5185139398778875</v>
      </c>
      <c r="M307">
        <f t="shared" si="68"/>
        <v>1</v>
      </c>
      <c r="N307">
        <v>95</v>
      </c>
      <c r="O307">
        <v>80</v>
      </c>
      <c r="P307">
        <v>70</v>
      </c>
      <c r="Q307" s="137">
        <f t="shared" si="72"/>
        <v>1.8450980400142569</v>
      </c>
      <c r="R307" s="34">
        <v>37.200000000000003</v>
      </c>
      <c r="S307" s="34">
        <f t="shared" si="73"/>
        <v>1.5705429398818975</v>
      </c>
      <c r="T307" s="42">
        <v>43.419976684252802</v>
      </c>
      <c r="U307" s="42">
        <f t="shared" si="74"/>
        <v>1.6376895859101317</v>
      </c>
      <c r="V307">
        <v>3.1527645837352773</v>
      </c>
      <c r="W307" s="14">
        <v>2</v>
      </c>
      <c r="X307">
        <v>3.5411223705253856</v>
      </c>
      <c r="Y307">
        <v>7.5240455588884867</v>
      </c>
      <c r="Z307" s="80">
        <v>1.822876071706947E-2</v>
      </c>
      <c r="AA307">
        <v>2</v>
      </c>
      <c r="AB307">
        <f t="shared" si="75"/>
        <v>0</v>
      </c>
      <c r="AC307">
        <f t="shared" si="76"/>
        <v>1</v>
      </c>
      <c r="AD307">
        <f t="shared" si="77"/>
        <v>0</v>
      </c>
      <c r="AE307">
        <f t="shared" si="78"/>
        <v>0</v>
      </c>
      <c r="AF307">
        <f t="shared" si="79"/>
        <v>0</v>
      </c>
      <c r="AG307">
        <f t="shared" si="80"/>
        <v>0</v>
      </c>
      <c r="AH307">
        <f t="shared" si="81"/>
        <v>0</v>
      </c>
      <c r="AI307">
        <f t="shared" si="82"/>
        <v>0</v>
      </c>
      <c r="AJ307">
        <f t="shared" si="83"/>
        <v>0</v>
      </c>
      <c r="AK307">
        <f t="shared" si="84"/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</row>
    <row r="308" spans="1:53" x14ac:dyDescent="0.35">
      <c r="A308">
        <v>0.39051099108289822</v>
      </c>
      <c r="C308">
        <v>2.7397260273972601</v>
      </c>
      <c r="D308" s="137">
        <f t="shared" si="69"/>
        <v>0.43770713554352525</v>
      </c>
      <c r="E308">
        <v>2.6208956659919629</v>
      </c>
      <c r="F308">
        <v>1.2304489213782739</v>
      </c>
      <c r="G308" s="45">
        <v>3.49</v>
      </c>
      <c r="H308" s="29">
        <f t="shared" si="70"/>
        <v>0.5428254269591799</v>
      </c>
      <c r="I308" s="9">
        <v>2.3401134757058348</v>
      </c>
      <c r="J308" s="34">
        <v>0.17609125905568124</v>
      </c>
      <c r="K308">
        <v>9</v>
      </c>
      <c r="L308" s="137">
        <f t="shared" si="71"/>
        <v>0.95424250943932487</v>
      </c>
      <c r="M308">
        <f t="shared" si="68"/>
        <v>1</v>
      </c>
      <c r="N308">
        <v>70</v>
      </c>
      <c r="O308">
        <v>70</v>
      </c>
      <c r="P308">
        <v>94.6</v>
      </c>
      <c r="Q308" s="137">
        <f t="shared" si="72"/>
        <v>1.9758911364017928</v>
      </c>
      <c r="R308" s="34">
        <v>42.6</v>
      </c>
      <c r="S308" s="34">
        <f t="shared" si="73"/>
        <v>1.6294095991027189</v>
      </c>
      <c r="T308" s="42">
        <v>51.303664454517403</v>
      </c>
      <c r="U308" s="42">
        <f t="shared" si="74"/>
        <v>1.7101483864673446</v>
      </c>
      <c r="V308">
        <v>3.3222069919483515</v>
      </c>
      <c r="W308" s="14">
        <v>2</v>
      </c>
      <c r="X308">
        <v>3.9577021302433337</v>
      </c>
      <c r="Y308">
        <v>7.9799578933406652</v>
      </c>
      <c r="Z308" s="80">
        <v>0.27355641159704014</v>
      </c>
      <c r="AA308">
        <v>7</v>
      </c>
      <c r="AB308">
        <f t="shared" si="75"/>
        <v>0</v>
      </c>
      <c r="AC308">
        <f t="shared" si="76"/>
        <v>0</v>
      </c>
      <c r="AD308">
        <f t="shared" si="77"/>
        <v>0</v>
      </c>
      <c r="AE308">
        <f t="shared" si="78"/>
        <v>0</v>
      </c>
      <c r="AF308">
        <f t="shared" si="79"/>
        <v>0</v>
      </c>
      <c r="AG308">
        <f t="shared" si="80"/>
        <v>0</v>
      </c>
      <c r="AH308">
        <f t="shared" si="81"/>
        <v>1</v>
      </c>
      <c r="AI308">
        <f t="shared" si="82"/>
        <v>0</v>
      </c>
      <c r="AJ308">
        <f t="shared" si="83"/>
        <v>0</v>
      </c>
      <c r="AK308">
        <f t="shared" si="84"/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</row>
    <row r="309" spans="1:53" x14ac:dyDescent="0.35">
      <c r="A309">
        <v>0.42311965077168279</v>
      </c>
      <c r="C309">
        <v>8.9452054794520546</v>
      </c>
      <c r="D309" s="137">
        <f t="shared" si="69"/>
        <v>0.95159032115461806</v>
      </c>
      <c r="E309">
        <v>2.6903467274930635</v>
      </c>
      <c r="F309">
        <v>1.9344984512435677</v>
      </c>
      <c r="G309" s="45">
        <v>2.59</v>
      </c>
      <c r="H309" s="29">
        <f t="shared" si="70"/>
        <v>0.4132997640812518</v>
      </c>
      <c r="I309" s="9">
        <v>2.7508939203821252</v>
      </c>
      <c r="J309" s="34">
        <v>0.21218760440395779</v>
      </c>
      <c r="K309">
        <v>24</v>
      </c>
      <c r="L309" s="137">
        <f t="shared" si="71"/>
        <v>1.3802112417116059</v>
      </c>
      <c r="M309">
        <f t="shared" si="68"/>
        <v>1</v>
      </c>
      <c r="N309">
        <v>90</v>
      </c>
      <c r="O309">
        <v>70</v>
      </c>
      <c r="P309">
        <v>85</v>
      </c>
      <c r="Q309" s="137">
        <f t="shared" si="72"/>
        <v>1.9294189257142926</v>
      </c>
      <c r="R309" s="34">
        <v>37.799999999999997</v>
      </c>
      <c r="S309" s="34">
        <f t="shared" si="73"/>
        <v>1.5774917998372253</v>
      </c>
      <c r="T309" s="42">
        <v>43.5787105608064</v>
      </c>
      <c r="U309" s="42">
        <f t="shared" si="74"/>
        <v>1.6392743758732649</v>
      </c>
      <c r="V309">
        <v>3.22246453795844</v>
      </c>
      <c r="W309" s="14">
        <v>3</v>
      </c>
      <c r="X309">
        <v>3.7071267407396937</v>
      </c>
      <c r="Y309">
        <v>8.9193030300505232</v>
      </c>
      <c r="Z309" s="80">
        <v>0.32674764779428611</v>
      </c>
      <c r="AA309">
        <v>1</v>
      </c>
      <c r="AB309">
        <f t="shared" si="75"/>
        <v>1</v>
      </c>
      <c r="AC309">
        <f t="shared" si="76"/>
        <v>0</v>
      </c>
      <c r="AD309">
        <f t="shared" si="77"/>
        <v>0</v>
      </c>
      <c r="AE309">
        <f t="shared" si="78"/>
        <v>0</v>
      </c>
      <c r="AF309">
        <f t="shared" si="79"/>
        <v>0</v>
      </c>
      <c r="AG309">
        <f t="shared" si="80"/>
        <v>0</v>
      </c>
      <c r="AH309">
        <f t="shared" si="81"/>
        <v>0</v>
      </c>
      <c r="AI309">
        <f t="shared" si="82"/>
        <v>0</v>
      </c>
      <c r="AJ309">
        <f t="shared" si="83"/>
        <v>0</v>
      </c>
      <c r="AK309">
        <f t="shared" si="84"/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1</v>
      </c>
      <c r="AX309">
        <v>0</v>
      </c>
      <c r="AY309">
        <v>0</v>
      </c>
      <c r="AZ309">
        <v>0</v>
      </c>
      <c r="BA309">
        <v>0</v>
      </c>
    </row>
    <row r="310" spans="1:53" x14ac:dyDescent="0.35">
      <c r="A310">
        <v>0.10699908637159473</v>
      </c>
      <c r="C310">
        <v>3.4027397260273973</v>
      </c>
      <c r="D310" s="137">
        <f t="shared" si="69"/>
        <v>0.53182873138408671</v>
      </c>
      <c r="E310">
        <v>2.5542346870234227</v>
      </c>
      <c r="F310">
        <v>1.4471580313422192</v>
      </c>
      <c r="G310" s="45">
        <v>3.16</v>
      </c>
      <c r="H310" s="29">
        <f t="shared" si="70"/>
        <v>0.49968708261840383</v>
      </c>
      <c r="I310" s="9">
        <v>2.9876662649262746</v>
      </c>
      <c r="J310" s="34">
        <v>-4.0958607678906384E-2</v>
      </c>
      <c r="K310">
        <v>27</v>
      </c>
      <c r="L310" s="137">
        <f t="shared" si="71"/>
        <v>1.4313637641589874</v>
      </c>
      <c r="M310">
        <f t="shared" si="68"/>
        <v>1</v>
      </c>
      <c r="N310">
        <v>70</v>
      </c>
      <c r="O310">
        <v>90</v>
      </c>
      <c r="P310">
        <v>88</v>
      </c>
      <c r="Q310" s="137">
        <f t="shared" si="72"/>
        <v>1.9444826721501687</v>
      </c>
      <c r="R310" s="34">
        <v>35.9</v>
      </c>
      <c r="S310" s="34">
        <f t="shared" si="73"/>
        <v>1.5550944485783191</v>
      </c>
      <c r="T310" s="42">
        <v>43.1081369225492</v>
      </c>
      <c r="U310" s="42">
        <f t="shared" si="74"/>
        <v>1.634559253618429</v>
      </c>
      <c r="V310">
        <v>3.22246453795844</v>
      </c>
      <c r="W310" s="14">
        <v>3</v>
      </c>
      <c r="X310">
        <v>3.7071267407396937</v>
      </c>
      <c r="Y310">
        <v>8.8401060944567575</v>
      </c>
      <c r="Z310" s="80">
        <v>-7.3808234947478124E-2</v>
      </c>
      <c r="AA310">
        <v>7</v>
      </c>
      <c r="AB310">
        <f t="shared" si="75"/>
        <v>0</v>
      </c>
      <c r="AC310">
        <f t="shared" si="76"/>
        <v>0</v>
      </c>
      <c r="AD310">
        <f t="shared" si="77"/>
        <v>0</v>
      </c>
      <c r="AE310">
        <f t="shared" si="78"/>
        <v>0</v>
      </c>
      <c r="AF310">
        <f t="shared" si="79"/>
        <v>0</v>
      </c>
      <c r="AG310">
        <f t="shared" si="80"/>
        <v>0</v>
      </c>
      <c r="AH310">
        <f t="shared" si="81"/>
        <v>1</v>
      </c>
      <c r="AI310">
        <f t="shared" si="82"/>
        <v>0</v>
      </c>
      <c r="AJ310">
        <f t="shared" si="83"/>
        <v>0</v>
      </c>
      <c r="AK310">
        <f t="shared" si="84"/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</row>
    <row r="311" spans="1:53" x14ac:dyDescent="0.35">
      <c r="A311">
        <v>-0.62872113857682677</v>
      </c>
      <c r="C311">
        <v>2.3068493150684932</v>
      </c>
      <c r="D311" s="137">
        <f t="shared" si="69"/>
        <v>0.3630192270431748</v>
      </c>
      <c r="E311">
        <v>2.5542346870234227</v>
      </c>
      <c r="F311">
        <v>2.6273658565927325</v>
      </c>
      <c r="G311" s="45">
        <v>3.16</v>
      </c>
      <c r="H311" s="29">
        <f t="shared" si="70"/>
        <v>0.49968708261840383</v>
      </c>
      <c r="I311" s="9">
        <v>2.9876662649262746</v>
      </c>
      <c r="J311" s="34">
        <v>0.10380372095595687</v>
      </c>
      <c r="K311">
        <v>17</v>
      </c>
      <c r="L311" s="137">
        <f t="shared" si="71"/>
        <v>1.2304489213782739</v>
      </c>
      <c r="M311">
        <f t="shared" si="68"/>
        <v>1</v>
      </c>
      <c r="N311">
        <v>95</v>
      </c>
      <c r="O311">
        <v>80</v>
      </c>
      <c r="P311">
        <v>70</v>
      </c>
      <c r="Q311" s="137">
        <f t="shared" si="72"/>
        <v>1.8450980400142569</v>
      </c>
      <c r="R311" s="34">
        <v>36.299999999999997</v>
      </c>
      <c r="S311" s="34">
        <f t="shared" si="73"/>
        <v>1.5599066250361124</v>
      </c>
      <c r="T311" s="42">
        <v>44.332035658580502</v>
      </c>
      <c r="U311" s="42">
        <f t="shared" si="74"/>
        <v>1.6467176738887899</v>
      </c>
      <c r="V311">
        <v>3.22246453795844</v>
      </c>
      <c r="W311" s="14">
        <v>3</v>
      </c>
      <c r="X311">
        <v>3.7071267407396937</v>
      </c>
      <c r="Y311">
        <v>9.3359931671248475</v>
      </c>
      <c r="Z311" s="80">
        <v>0.22067249008997547</v>
      </c>
      <c r="AA311">
        <v>7</v>
      </c>
      <c r="AB311">
        <f t="shared" si="75"/>
        <v>0</v>
      </c>
      <c r="AC311">
        <f t="shared" si="76"/>
        <v>0</v>
      </c>
      <c r="AD311">
        <f t="shared" si="77"/>
        <v>0</v>
      </c>
      <c r="AE311">
        <f t="shared" si="78"/>
        <v>0</v>
      </c>
      <c r="AF311">
        <f t="shared" si="79"/>
        <v>0</v>
      </c>
      <c r="AG311">
        <f t="shared" si="80"/>
        <v>0</v>
      </c>
      <c r="AH311">
        <f t="shared" si="81"/>
        <v>1</v>
      </c>
      <c r="AI311">
        <f t="shared" si="82"/>
        <v>0</v>
      </c>
      <c r="AJ311">
        <f t="shared" si="83"/>
        <v>0</v>
      </c>
      <c r="AK311">
        <f t="shared" si="84"/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</row>
    <row r="312" spans="1:53" x14ac:dyDescent="0.35">
      <c r="A312">
        <v>0.2400010119608123</v>
      </c>
      <c r="C312">
        <v>7.2986301369863016</v>
      </c>
      <c r="D312" s="137">
        <f t="shared" si="69"/>
        <v>0.86324135604178875</v>
      </c>
      <c r="E312">
        <v>2.5542346870234227</v>
      </c>
      <c r="F312">
        <v>0</v>
      </c>
      <c r="G312" s="45">
        <v>3.16</v>
      </c>
      <c r="H312" s="29">
        <f t="shared" si="70"/>
        <v>0.49968708261840383</v>
      </c>
      <c r="I312" s="9">
        <v>2.9876662649262746</v>
      </c>
      <c r="J312" s="34">
        <v>0.12057393120584989</v>
      </c>
      <c r="K312">
        <v>16</v>
      </c>
      <c r="L312" s="137">
        <f t="shared" si="71"/>
        <v>1.2041199826559248</v>
      </c>
      <c r="M312">
        <f t="shared" si="68"/>
        <v>1</v>
      </c>
      <c r="N312">
        <v>95</v>
      </c>
      <c r="O312">
        <v>80</v>
      </c>
      <c r="P312">
        <v>85</v>
      </c>
      <c r="Q312" s="137">
        <f t="shared" si="72"/>
        <v>1.9294189257142926</v>
      </c>
      <c r="R312" s="34">
        <v>36.799999999999997</v>
      </c>
      <c r="S312" s="34">
        <f t="shared" si="73"/>
        <v>1.5658478186735176</v>
      </c>
      <c r="T312" s="42">
        <v>45.479154360161097</v>
      </c>
      <c r="U312" s="42">
        <f t="shared" si="74"/>
        <v>1.6578123808149479</v>
      </c>
      <c r="V312">
        <v>3.22246453795844</v>
      </c>
      <c r="W312" s="14">
        <v>3</v>
      </c>
      <c r="X312">
        <v>3.7071267407396937</v>
      </c>
      <c r="Y312">
        <v>8.214843848047698</v>
      </c>
      <c r="Z312" s="80">
        <v>-2.2751166828615665E-2</v>
      </c>
      <c r="AA312">
        <v>1</v>
      </c>
      <c r="AB312">
        <f t="shared" si="75"/>
        <v>1</v>
      </c>
      <c r="AC312">
        <f t="shared" si="76"/>
        <v>0</v>
      </c>
      <c r="AD312">
        <f t="shared" si="77"/>
        <v>0</v>
      </c>
      <c r="AE312">
        <f t="shared" si="78"/>
        <v>0</v>
      </c>
      <c r="AF312">
        <f t="shared" si="79"/>
        <v>0</v>
      </c>
      <c r="AG312">
        <f t="shared" si="80"/>
        <v>0</v>
      </c>
      <c r="AH312">
        <f t="shared" si="81"/>
        <v>0</v>
      </c>
      <c r="AI312">
        <f t="shared" si="82"/>
        <v>0</v>
      </c>
      <c r="AJ312">
        <f t="shared" si="83"/>
        <v>0</v>
      </c>
      <c r="AK312">
        <f t="shared" si="84"/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</row>
    <row r="313" spans="1:53" x14ac:dyDescent="0.35">
      <c r="A313">
        <v>-0.58087069225802435</v>
      </c>
      <c r="C313">
        <v>2.8410958904109589</v>
      </c>
      <c r="D313" s="137">
        <f t="shared" si="69"/>
        <v>0.45348589193256628</v>
      </c>
      <c r="E313">
        <v>2.5362300726332561</v>
      </c>
      <c r="F313">
        <v>1.1760912590556813</v>
      </c>
      <c r="G313" s="45">
        <v>2.3199999999999998</v>
      </c>
      <c r="H313" s="29">
        <f t="shared" si="70"/>
        <v>0.36548798489089962</v>
      </c>
      <c r="I313" s="9">
        <v>2.756001823801419</v>
      </c>
      <c r="J313" s="34">
        <v>-0.13076828026902382</v>
      </c>
      <c r="K313">
        <v>19</v>
      </c>
      <c r="L313" s="137">
        <f t="shared" si="71"/>
        <v>1.2787536009528289</v>
      </c>
      <c r="M313">
        <f t="shared" si="68"/>
        <v>1</v>
      </c>
      <c r="N313">
        <v>85</v>
      </c>
      <c r="O313">
        <v>80</v>
      </c>
      <c r="P313">
        <v>70</v>
      </c>
      <c r="Q313" s="137">
        <f t="shared" si="72"/>
        <v>1.8450980400142569</v>
      </c>
      <c r="R313" s="34">
        <v>43.4</v>
      </c>
      <c r="S313" s="34">
        <f t="shared" si="73"/>
        <v>1.6374897295125106</v>
      </c>
      <c r="T313" s="42">
        <v>51.652289181886701</v>
      </c>
      <c r="U313" s="42">
        <f t="shared" si="74"/>
        <v>1.7130895738136374</v>
      </c>
      <c r="V313">
        <v>3.22246453795844</v>
      </c>
      <c r="W313" s="14">
        <v>3</v>
      </c>
      <c r="X313">
        <v>3.7071267407396937</v>
      </c>
      <c r="Y313">
        <v>8.9030899869919438</v>
      </c>
      <c r="Z313" s="80">
        <v>-0.33673259432627767</v>
      </c>
      <c r="AA313">
        <v>8</v>
      </c>
      <c r="AB313">
        <f t="shared" si="75"/>
        <v>0</v>
      </c>
      <c r="AC313">
        <f t="shared" si="76"/>
        <v>0</v>
      </c>
      <c r="AD313">
        <f t="shared" si="77"/>
        <v>0</v>
      </c>
      <c r="AE313">
        <f t="shared" si="78"/>
        <v>0</v>
      </c>
      <c r="AF313">
        <f t="shared" si="79"/>
        <v>0</v>
      </c>
      <c r="AG313">
        <f t="shared" si="80"/>
        <v>0</v>
      </c>
      <c r="AH313">
        <f t="shared" si="81"/>
        <v>0</v>
      </c>
      <c r="AI313">
        <f t="shared" si="82"/>
        <v>1</v>
      </c>
      <c r="AJ313">
        <f t="shared" si="83"/>
        <v>0</v>
      </c>
      <c r="AK313">
        <f t="shared" si="84"/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1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</row>
    <row r="314" spans="1:53" x14ac:dyDescent="0.35">
      <c r="A314">
        <v>-0.3979400086720376</v>
      </c>
      <c r="C314">
        <v>3.6958904109589041</v>
      </c>
      <c r="D314" s="137">
        <f t="shared" si="69"/>
        <v>0.56771908521542958</v>
      </c>
      <c r="E314">
        <v>2.9629325585580042</v>
      </c>
      <c r="F314">
        <v>1.4623979978989561</v>
      </c>
      <c r="G314" s="45">
        <v>2.62</v>
      </c>
      <c r="H314" s="29">
        <f t="shared" si="70"/>
        <v>0.41830129131974547</v>
      </c>
      <c r="I314" s="9">
        <v>2.9323046139517812</v>
      </c>
      <c r="J314" s="34">
        <v>-9.1514981121350217E-2</v>
      </c>
      <c r="K314">
        <v>26</v>
      </c>
      <c r="L314" s="137">
        <f t="shared" si="71"/>
        <v>1.414973347970818</v>
      </c>
      <c r="M314">
        <f t="shared" si="68"/>
        <v>1</v>
      </c>
      <c r="N314">
        <v>70</v>
      </c>
      <c r="O314">
        <v>70</v>
      </c>
      <c r="P314">
        <v>88.9</v>
      </c>
      <c r="Q314" s="137">
        <f t="shared" si="72"/>
        <v>1.9489017609702137</v>
      </c>
      <c r="R314" s="34">
        <v>34.9</v>
      </c>
      <c r="S314" s="34">
        <f t="shared" si="73"/>
        <v>1.5428254269591799</v>
      </c>
      <c r="T314" s="42">
        <v>42.817370475444001</v>
      </c>
      <c r="U314" s="42">
        <f t="shared" si="74"/>
        <v>1.6316199926391717</v>
      </c>
      <c r="V314">
        <v>3.22246453795844</v>
      </c>
      <c r="W314" s="14">
        <v>3</v>
      </c>
      <c r="X314">
        <v>3.7071267407396937</v>
      </c>
      <c r="Y314">
        <v>9</v>
      </c>
      <c r="Z314" s="80">
        <v>-0.11191109719830961</v>
      </c>
      <c r="AA314">
        <v>5</v>
      </c>
      <c r="AB314">
        <f t="shared" si="75"/>
        <v>0</v>
      </c>
      <c r="AC314">
        <f t="shared" si="76"/>
        <v>0</v>
      </c>
      <c r="AD314">
        <f t="shared" si="77"/>
        <v>0</v>
      </c>
      <c r="AE314">
        <f t="shared" si="78"/>
        <v>0</v>
      </c>
      <c r="AF314">
        <f t="shared" si="79"/>
        <v>1</v>
      </c>
      <c r="AG314">
        <f t="shared" si="80"/>
        <v>0</v>
      </c>
      <c r="AH314">
        <f t="shared" si="81"/>
        <v>0</v>
      </c>
      <c r="AI314">
        <f t="shared" si="82"/>
        <v>0</v>
      </c>
      <c r="AJ314">
        <f t="shared" si="83"/>
        <v>0</v>
      </c>
      <c r="AK314">
        <f t="shared" si="84"/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1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</row>
    <row r="315" spans="1:53" x14ac:dyDescent="0.35">
      <c r="A315">
        <v>0.37016136667678035</v>
      </c>
      <c r="C315">
        <v>5.6410958904109592</v>
      </c>
      <c r="D315" s="137">
        <f t="shared" si="69"/>
        <v>0.75136348216155668</v>
      </c>
      <c r="E315">
        <v>2.6674249329872439</v>
      </c>
      <c r="F315">
        <v>0</v>
      </c>
      <c r="G315" s="45">
        <v>2.61</v>
      </c>
      <c r="H315" s="29">
        <f t="shared" si="70"/>
        <v>0.41664050733828095</v>
      </c>
      <c r="I315" s="9">
        <v>2.2881746749783951</v>
      </c>
      <c r="J315" s="34">
        <v>0.2528530309798932</v>
      </c>
      <c r="K315">
        <v>29</v>
      </c>
      <c r="L315" s="137">
        <f t="shared" si="71"/>
        <v>1.4623979978989561</v>
      </c>
      <c r="M315">
        <f t="shared" si="68"/>
        <v>1</v>
      </c>
      <c r="N315">
        <v>70</v>
      </c>
      <c r="O315">
        <v>70</v>
      </c>
      <c r="P315">
        <v>92.8</v>
      </c>
      <c r="Q315" s="137">
        <f t="shared" si="72"/>
        <v>1.9675479762188621</v>
      </c>
      <c r="R315" s="34">
        <v>27</v>
      </c>
      <c r="S315" s="34">
        <f t="shared" si="73"/>
        <v>1.4313637641589874</v>
      </c>
      <c r="T315" s="42">
        <v>65.041501268831993</v>
      </c>
      <c r="U315" s="42">
        <f t="shared" si="74"/>
        <v>1.8131905569593969</v>
      </c>
      <c r="V315">
        <v>3.22246453795844</v>
      </c>
      <c r="W315" s="14">
        <v>3</v>
      </c>
      <c r="X315">
        <v>3.7071267407396937</v>
      </c>
      <c r="Y315">
        <v>9</v>
      </c>
      <c r="Z315" s="80">
        <v>0.24154833257868602</v>
      </c>
      <c r="AA315">
        <v>6</v>
      </c>
      <c r="AB315">
        <f t="shared" si="75"/>
        <v>0</v>
      </c>
      <c r="AC315">
        <f t="shared" si="76"/>
        <v>0</v>
      </c>
      <c r="AD315">
        <f t="shared" si="77"/>
        <v>0</v>
      </c>
      <c r="AE315">
        <f t="shared" si="78"/>
        <v>0</v>
      </c>
      <c r="AF315">
        <f t="shared" si="79"/>
        <v>0</v>
      </c>
      <c r="AG315">
        <f t="shared" si="80"/>
        <v>1</v>
      </c>
      <c r="AH315">
        <f t="shared" si="81"/>
        <v>0</v>
      </c>
      <c r="AI315">
        <f t="shared" si="82"/>
        <v>0</v>
      </c>
      <c r="AJ315">
        <f t="shared" si="83"/>
        <v>0</v>
      </c>
      <c r="AK315">
        <f t="shared" si="84"/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1</v>
      </c>
      <c r="BA315">
        <v>0</v>
      </c>
    </row>
    <row r="316" spans="1:53" x14ac:dyDescent="0.35">
      <c r="A316">
        <v>-2</v>
      </c>
      <c r="C316">
        <v>4.183561643835616</v>
      </c>
      <c r="D316" s="137">
        <f t="shared" si="69"/>
        <v>0.62154617259994649</v>
      </c>
      <c r="E316">
        <v>2.5362300726332561</v>
      </c>
      <c r="F316">
        <v>1</v>
      </c>
      <c r="G316" s="45">
        <v>2.3199999999999998</v>
      </c>
      <c r="H316" s="29">
        <f t="shared" si="70"/>
        <v>0.36548798489089962</v>
      </c>
      <c r="I316" s="9">
        <v>2.756001823801419</v>
      </c>
      <c r="J316" s="34">
        <v>-6.5501548756432285E-2</v>
      </c>
      <c r="K316">
        <v>24</v>
      </c>
      <c r="L316" s="137">
        <f t="shared" si="71"/>
        <v>1.3802112417116059</v>
      </c>
      <c r="M316">
        <f t="shared" si="68"/>
        <v>1</v>
      </c>
      <c r="N316">
        <v>85</v>
      </c>
      <c r="O316">
        <v>80</v>
      </c>
      <c r="P316">
        <v>70</v>
      </c>
      <c r="Q316" s="137">
        <f t="shared" si="72"/>
        <v>1.8450980400142569</v>
      </c>
      <c r="R316" s="34">
        <v>42.9</v>
      </c>
      <c r="S316" s="34">
        <f t="shared" si="73"/>
        <v>1.6324572921847242</v>
      </c>
      <c r="T316" s="42">
        <v>53.2941466273667</v>
      </c>
      <c r="U316" s="42">
        <f t="shared" si="74"/>
        <v>1.7266795124593939</v>
      </c>
      <c r="V316">
        <v>3.22246453795844</v>
      </c>
      <c r="W316" s="14">
        <v>3</v>
      </c>
      <c r="X316">
        <v>3.7071267407396937</v>
      </c>
      <c r="Y316">
        <v>8.653212513775344</v>
      </c>
      <c r="Z316" s="80">
        <v>-2.0288786619602872E-2</v>
      </c>
      <c r="AA316">
        <v>4</v>
      </c>
      <c r="AB316">
        <f t="shared" si="75"/>
        <v>0</v>
      </c>
      <c r="AC316">
        <f t="shared" si="76"/>
        <v>0</v>
      </c>
      <c r="AD316">
        <f t="shared" si="77"/>
        <v>0</v>
      </c>
      <c r="AE316">
        <f t="shared" si="78"/>
        <v>1</v>
      </c>
      <c r="AF316">
        <f t="shared" si="79"/>
        <v>0</v>
      </c>
      <c r="AG316">
        <f t="shared" si="80"/>
        <v>0</v>
      </c>
      <c r="AH316">
        <f t="shared" si="81"/>
        <v>0</v>
      </c>
      <c r="AI316">
        <f t="shared" si="82"/>
        <v>0</v>
      </c>
      <c r="AJ316">
        <f t="shared" si="83"/>
        <v>0</v>
      </c>
      <c r="AK316">
        <f t="shared" si="84"/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1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</row>
    <row r="317" spans="1:53" x14ac:dyDescent="0.35">
      <c r="A317">
        <v>-2</v>
      </c>
      <c r="C317">
        <v>2.1315068493150684</v>
      </c>
      <c r="D317" s="137">
        <f t="shared" si="69"/>
        <v>0.32868673253321423</v>
      </c>
      <c r="E317">
        <v>3.7707754512906644</v>
      </c>
      <c r="F317">
        <v>1.2787536009528289</v>
      </c>
      <c r="G317" s="45">
        <v>2.3199999999999998</v>
      </c>
      <c r="H317" s="29">
        <f t="shared" si="70"/>
        <v>0.36548798489089962</v>
      </c>
      <c r="I317" s="9">
        <v>2.1238516409670858</v>
      </c>
      <c r="J317" s="34">
        <v>-0.18708664335714442</v>
      </c>
      <c r="K317">
        <v>19</v>
      </c>
      <c r="L317" s="137">
        <f t="shared" si="71"/>
        <v>1.2787536009528289</v>
      </c>
      <c r="M317">
        <f t="shared" si="68"/>
        <v>1</v>
      </c>
      <c r="N317">
        <v>70</v>
      </c>
      <c r="O317">
        <v>70</v>
      </c>
      <c r="P317">
        <v>85</v>
      </c>
      <c r="Q317" s="137">
        <f t="shared" si="72"/>
        <v>1.9294189257142926</v>
      </c>
      <c r="R317" s="34">
        <v>28.2</v>
      </c>
      <c r="S317" s="34">
        <f t="shared" si="73"/>
        <v>1.4502491083193612</v>
      </c>
      <c r="T317" s="42">
        <v>34.298950279384798</v>
      </c>
      <c r="U317" s="42">
        <f t="shared" si="74"/>
        <v>1.5352808286478177</v>
      </c>
      <c r="V317">
        <v>3.22246453795844</v>
      </c>
      <c r="W317" s="14">
        <v>3</v>
      </c>
      <c r="X317">
        <v>3.7071267407396937</v>
      </c>
      <c r="Y317">
        <v>7.4771212547196626</v>
      </c>
      <c r="Z317" s="80">
        <v>-0.36889372260682118</v>
      </c>
      <c r="AA317">
        <v>4</v>
      </c>
      <c r="AB317">
        <f t="shared" si="75"/>
        <v>0</v>
      </c>
      <c r="AC317">
        <f t="shared" si="76"/>
        <v>0</v>
      </c>
      <c r="AD317">
        <f t="shared" si="77"/>
        <v>0</v>
      </c>
      <c r="AE317">
        <f t="shared" si="78"/>
        <v>1</v>
      </c>
      <c r="AF317">
        <f t="shared" si="79"/>
        <v>0</v>
      </c>
      <c r="AG317">
        <f t="shared" si="80"/>
        <v>0</v>
      </c>
      <c r="AH317">
        <f t="shared" si="81"/>
        <v>0</v>
      </c>
      <c r="AI317">
        <f t="shared" si="82"/>
        <v>0</v>
      </c>
      <c r="AJ317">
        <f t="shared" si="83"/>
        <v>0</v>
      </c>
      <c r="AK317">
        <f t="shared" si="84"/>
        <v>0</v>
      </c>
      <c r="AL317">
        <v>1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</row>
    <row r="318" spans="1:53" x14ac:dyDescent="0.35">
      <c r="A318">
        <v>-0.35585784809143139</v>
      </c>
      <c r="C318">
        <v>3.0849315068493151</v>
      </c>
      <c r="D318" s="137">
        <f t="shared" si="69"/>
        <v>0.48924552605885274</v>
      </c>
      <c r="E318">
        <v>3.7707754512906644</v>
      </c>
      <c r="F318">
        <v>1</v>
      </c>
      <c r="G318" s="45">
        <v>2.3199999999999998</v>
      </c>
      <c r="H318" s="29">
        <f t="shared" si="70"/>
        <v>0.36548798489089962</v>
      </c>
      <c r="I318" s="9">
        <v>2.1238516409670858</v>
      </c>
      <c r="J318" s="34">
        <v>0.16435285578443709</v>
      </c>
      <c r="K318">
        <v>26</v>
      </c>
      <c r="L318" s="137">
        <f t="shared" si="71"/>
        <v>1.414973347970818</v>
      </c>
      <c r="M318">
        <f t="shared" si="68"/>
        <v>1</v>
      </c>
      <c r="N318">
        <v>70</v>
      </c>
      <c r="O318">
        <v>70</v>
      </c>
      <c r="P318">
        <v>91.1</v>
      </c>
      <c r="Q318" s="137">
        <f t="shared" si="72"/>
        <v>1.9595183769729982</v>
      </c>
      <c r="R318" s="34">
        <v>24.1</v>
      </c>
      <c r="S318" s="34">
        <f t="shared" si="73"/>
        <v>1.3820170425748683</v>
      </c>
      <c r="T318" s="42">
        <v>40.229046020662899</v>
      </c>
      <c r="U318" s="42">
        <f t="shared" si="74"/>
        <v>1.6045397339663818</v>
      </c>
      <c r="V318">
        <v>3.2188271541979425</v>
      </c>
      <c r="W318" s="14">
        <v>2</v>
      </c>
      <c r="X318">
        <v>3.7570584504768405</v>
      </c>
      <c r="Y318">
        <v>9.8182258936139561</v>
      </c>
      <c r="Z318" s="80">
        <v>0.10362946528877659</v>
      </c>
      <c r="AA318">
        <v>4</v>
      </c>
      <c r="AB318">
        <f t="shared" si="75"/>
        <v>0</v>
      </c>
      <c r="AC318">
        <f t="shared" si="76"/>
        <v>0</v>
      </c>
      <c r="AD318">
        <f t="shared" si="77"/>
        <v>0</v>
      </c>
      <c r="AE318">
        <f t="shared" si="78"/>
        <v>1</v>
      </c>
      <c r="AF318">
        <f t="shared" si="79"/>
        <v>0</v>
      </c>
      <c r="AG318">
        <f t="shared" si="80"/>
        <v>0</v>
      </c>
      <c r="AH318">
        <f t="shared" si="81"/>
        <v>0</v>
      </c>
      <c r="AI318">
        <f t="shared" si="82"/>
        <v>0</v>
      </c>
      <c r="AJ318">
        <f t="shared" si="83"/>
        <v>0</v>
      </c>
      <c r="AK318">
        <f t="shared" si="84"/>
        <v>0</v>
      </c>
      <c r="AL318">
        <v>1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</row>
    <row r="319" spans="1:53" x14ac:dyDescent="0.35">
      <c r="A319">
        <v>9.8345219325912878E-2</v>
      </c>
      <c r="C319">
        <v>4.6602739726027398</v>
      </c>
      <c r="D319" s="137">
        <f t="shared" si="69"/>
        <v>0.66841144915609429</v>
      </c>
      <c r="E319">
        <v>2.5362300726332561</v>
      </c>
      <c r="F319">
        <v>0.77815125038364363</v>
      </c>
      <c r="G319" s="45">
        <v>2.3199999999999998</v>
      </c>
      <c r="H319" s="29">
        <f t="shared" si="70"/>
        <v>0.36548798489089962</v>
      </c>
      <c r="I319" s="9">
        <v>2.756001823801419</v>
      </c>
      <c r="J319" s="34">
        <v>0.23299611039215382</v>
      </c>
      <c r="K319">
        <v>24</v>
      </c>
      <c r="L319" s="137">
        <f t="shared" si="71"/>
        <v>1.3802112417116059</v>
      </c>
      <c r="M319">
        <f t="shared" si="68"/>
        <v>1</v>
      </c>
      <c r="N319">
        <v>85</v>
      </c>
      <c r="O319">
        <v>80</v>
      </c>
      <c r="P319">
        <v>86.3</v>
      </c>
      <c r="Q319" s="137">
        <f t="shared" si="72"/>
        <v>1.9360107957152095</v>
      </c>
      <c r="R319" s="34">
        <v>42.1</v>
      </c>
      <c r="S319" s="34">
        <f t="shared" si="73"/>
        <v>1.6242820958356683</v>
      </c>
      <c r="T319" s="42">
        <v>56.8818351627258</v>
      </c>
      <c r="U319" s="42">
        <f t="shared" si="74"/>
        <v>1.7549735994690439</v>
      </c>
      <c r="V319">
        <v>3.2188271541979425</v>
      </c>
      <c r="W319" s="14">
        <v>2</v>
      </c>
      <c r="X319">
        <v>3.7570584504768405</v>
      </c>
      <c r="Y319">
        <v>8.9065547333100721</v>
      </c>
      <c r="Z319" s="80">
        <v>0.26393169744665324</v>
      </c>
      <c r="AA319">
        <v>7</v>
      </c>
      <c r="AB319">
        <f t="shared" si="75"/>
        <v>0</v>
      </c>
      <c r="AC319">
        <f t="shared" si="76"/>
        <v>0</v>
      </c>
      <c r="AD319">
        <f t="shared" si="77"/>
        <v>0</v>
      </c>
      <c r="AE319">
        <f t="shared" si="78"/>
        <v>0</v>
      </c>
      <c r="AF319">
        <f t="shared" si="79"/>
        <v>0</v>
      </c>
      <c r="AG319">
        <f t="shared" si="80"/>
        <v>0</v>
      </c>
      <c r="AH319">
        <f t="shared" si="81"/>
        <v>1</v>
      </c>
      <c r="AI319">
        <f t="shared" si="82"/>
        <v>0</v>
      </c>
      <c r="AJ319">
        <f t="shared" si="83"/>
        <v>0</v>
      </c>
      <c r="AK319">
        <f t="shared" si="84"/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1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</row>
    <row r="320" spans="1:53" x14ac:dyDescent="0.35">
      <c r="A320">
        <v>0.60939357636285729</v>
      </c>
      <c r="C320">
        <v>5.7534246575342465</v>
      </c>
      <c r="D320" s="137">
        <f t="shared" si="69"/>
        <v>0.75992643027744455</v>
      </c>
      <c r="E320">
        <v>2.9629325585580042</v>
      </c>
      <c r="F320">
        <v>1.0791812460476249</v>
      </c>
      <c r="G320" s="45">
        <v>2.62</v>
      </c>
      <c r="H320" s="29">
        <f t="shared" si="70"/>
        <v>0.41830129131974547</v>
      </c>
      <c r="I320" s="9">
        <v>2.9323046139517812</v>
      </c>
      <c r="J320" s="34">
        <v>0.2380461031287954</v>
      </c>
      <c r="K320">
        <v>23</v>
      </c>
      <c r="L320" s="137">
        <f t="shared" si="71"/>
        <v>1.3617278360175928</v>
      </c>
      <c r="M320">
        <f t="shared" si="68"/>
        <v>1</v>
      </c>
      <c r="N320">
        <v>70</v>
      </c>
      <c r="O320">
        <v>70</v>
      </c>
      <c r="P320">
        <v>90.3</v>
      </c>
      <c r="Q320" s="137">
        <f t="shared" si="72"/>
        <v>1.9556877503135057</v>
      </c>
      <c r="R320" s="34">
        <v>36.1</v>
      </c>
      <c r="S320" s="34">
        <f t="shared" si="73"/>
        <v>1.5575072019056579</v>
      </c>
      <c r="T320" s="42">
        <v>47.576210837790804</v>
      </c>
      <c r="U320" s="42">
        <f t="shared" si="74"/>
        <v>1.6773898501062838</v>
      </c>
      <c r="V320">
        <v>3.2188271541979425</v>
      </c>
      <c r="W320" s="14">
        <v>2</v>
      </c>
      <c r="X320">
        <v>3.7570584504768405</v>
      </c>
      <c r="Y320">
        <v>8.6940356954964511</v>
      </c>
      <c r="Z320" s="80">
        <v>0.20144752766730534</v>
      </c>
      <c r="AA320">
        <v>2</v>
      </c>
      <c r="AB320">
        <f t="shared" si="75"/>
        <v>0</v>
      </c>
      <c r="AC320">
        <f t="shared" si="76"/>
        <v>1</v>
      </c>
      <c r="AD320">
        <f t="shared" si="77"/>
        <v>0</v>
      </c>
      <c r="AE320">
        <f t="shared" si="78"/>
        <v>0</v>
      </c>
      <c r="AF320">
        <f t="shared" si="79"/>
        <v>0</v>
      </c>
      <c r="AG320">
        <f t="shared" si="80"/>
        <v>0</v>
      </c>
      <c r="AH320">
        <f t="shared" si="81"/>
        <v>0</v>
      </c>
      <c r="AI320">
        <f t="shared" si="82"/>
        <v>0</v>
      </c>
      <c r="AJ320">
        <f t="shared" si="83"/>
        <v>0</v>
      </c>
      <c r="AK320">
        <f t="shared" si="84"/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1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</row>
    <row r="321" spans="1:53" x14ac:dyDescent="0.35">
      <c r="A321">
        <v>-6.3357022441473329E-2</v>
      </c>
      <c r="C321">
        <v>4.375342465753425</v>
      </c>
      <c r="D321" s="137">
        <f t="shared" si="69"/>
        <v>0.64101205168200825</v>
      </c>
      <c r="E321">
        <v>3.7707754512906644</v>
      </c>
      <c r="F321">
        <v>1.3802112417116059</v>
      </c>
      <c r="G321" s="45">
        <v>2.3199999999999998</v>
      </c>
      <c r="H321" s="29">
        <f t="shared" si="70"/>
        <v>0.36548798489089962</v>
      </c>
      <c r="I321" s="9">
        <v>2.1238516409670858</v>
      </c>
      <c r="J321" s="34">
        <v>0.2966651902615311</v>
      </c>
      <c r="K321">
        <v>23</v>
      </c>
      <c r="L321" s="137">
        <f t="shared" si="71"/>
        <v>1.3617278360175928</v>
      </c>
      <c r="M321">
        <f t="shared" si="68"/>
        <v>1</v>
      </c>
      <c r="N321">
        <v>70</v>
      </c>
      <c r="O321">
        <v>70</v>
      </c>
      <c r="P321">
        <v>91.9</v>
      </c>
      <c r="Q321" s="137">
        <f t="shared" si="72"/>
        <v>1.9633155113861114</v>
      </c>
      <c r="R321" s="34">
        <v>23</v>
      </c>
      <c r="S321" s="34">
        <f t="shared" si="73"/>
        <v>1.3617278360175928</v>
      </c>
      <c r="T321" s="42">
        <v>43.262530407091703</v>
      </c>
      <c r="U321" s="42">
        <f t="shared" si="74"/>
        <v>1.636111917546391</v>
      </c>
      <c r="V321">
        <v>3.2188271541979425</v>
      </c>
      <c r="W321" s="14">
        <v>2</v>
      </c>
      <c r="X321">
        <v>3.7570584504768405</v>
      </c>
      <c r="Y321">
        <v>8.5440680443502757</v>
      </c>
      <c r="Z321" s="80">
        <v>0.65745559901075468</v>
      </c>
      <c r="AA321">
        <v>5</v>
      </c>
      <c r="AB321">
        <f t="shared" si="75"/>
        <v>0</v>
      </c>
      <c r="AC321">
        <f t="shared" si="76"/>
        <v>0</v>
      </c>
      <c r="AD321">
        <f t="shared" si="77"/>
        <v>0</v>
      </c>
      <c r="AE321">
        <f t="shared" si="78"/>
        <v>0</v>
      </c>
      <c r="AF321">
        <f t="shared" si="79"/>
        <v>1</v>
      </c>
      <c r="AG321">
        <f t="shared" si="80"/>
        <v>0</v>
      </c>
      <c r="AH321">
        <f t="shared" si="81"/>
        <v>0</v>
      </c>
      <c r="AI321">
        <f t="shared" si="82"/>
        <v>0</v>
      </c>
      <c r="AJ321">
        <f t="shared" si="83"/>
        <v>0</v>
      </c>
      <c r="AK321">
        <f t="shared" si="84"/>
        <v>0</v>
      </c>
      <c r="AL321">
        <v>1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</row>
    <row r="322" spans="1:53" x14ac:dyDescent="0.35">
      <c r="A322">
        <v>0.12368252267762356</v>
      </c>
      <c r="C322">
        <v>3.7342465753424658</v>
      </c>
      <c r="D322" s="137">
        <f t="shared" si="69"/>
        <v>0.57220299137819886</v>
      </c>
      <c r="E322">
        <v>2.5542346870234227</v>
      </c>
      <c r="F322">
        <v>1.2304489213782739</v>
      </c>
      <c r="G322" s="45">
        <v>3.16</v>
      </c>
      <c r="H322" s="29">
        <f t="shared" si="70"/>
        <v>0.49968708261840383</v>
      </c>
      <c r="I322" s="9">
        <v>2.9876662649262746</v>
      </c>
      <c r="J322" s="34">
        <v>-6.5501548756432285E-2</v>
      </c>
      <c r="K322">
        <v>21</v>
      </c>
      <c r="L322" s="137">
        <f t="shared" si="71"/>
        <v>1.3222192947339193</v>
      </c>
      <c r="M322">
        <f t="shared" ref="M322:M385" si="85">IF(E322=0,0,1)</f>
        <v>1</v>
      </c>
      <c r="N322">
        <v>70</v>
      </c>
      <c r="O322">
        <v>90</v>
      </c>
      <c r="P322">
        <v>88.4</v>
      </c>
      <c r="Q322" s="137">
        <f t="shared" si="72"/>
        <v>1.9464522650130731</v>
      </c>
      <c r="R322" s="34">
        <v>35.700000000000003</v>
      </c>
      <c r="S322" s="34">
        <f t="shared" si="73"/>
        <v>1.5526682161121932</v>
      </c>
      <c r="T322" s="42">
        <v>42.337645557762798</v>
      </c>
      <c r="U322" s="42">
        <f t="shared" si="74"/>
        <v>1.6267267027692975</v>
      </c>
      <c r="V322">
        <v>3.2188271541979425</v>
      </c>
      <c r="W322" s="14">
        <v>2</v>
      </c>
      <c r="X322">
        <v>3.7570584504768405</v>
      </c>
      <c r="Y322">
        <v>8.996743860869806</v>
      </c>
      <c r="Z322" s="80">
        <v>-0.10503188985777467</v>
      </c>
      <c r="AA322">
        <v>9</v>
      </c>
      <c r="AB322">
        <f t="shared" si="75"/>
        <v>0</v>
      </c>
      <c r="AC322">
        <f t="shared" si="76"/>
        <v>0</v>
      </c>
      <c r="AD322">
        <f t="shared" si="77"/>
        <v>0</v>
      </c>
      <c r="AE322">
        <f t="shared" si="78"/>
        <v>0</v>
      </c>
      <c r="AF322">
        <f t="shared" si="79"/>
        <v>0</v>
      </c>
      <c r="AG322">
        <f t="shared" si="80"/>
        <v>0</v>
      </c>
      <c r="AH322">
        <f t="shared" si="81"/>
        <v>0</v>
      </c>
      <c r="AI322">
        <f t="shared" si="82"/>
        <v>0</v>
      </c>
      <c r="AJ322">
        <f t="shared" si="83"/>
        <v>1</v>
      </c>
      <c r="AK322">
        <f t="shared" si="84"/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</row>
    <row r="323" spans="1:53" x14ac:dyDescent="0.35">
      <c r="A323">
        <v>5.881996339991695E-2</v>
      </c>
      <c r="C323">
        <v>6.1479452054794521</v>
      </c>
      <c r="D323" s="137">
        <f t="shared" ref="D323:D386" si="86">LOG(C323)</f>
        <v>0.78872998812764905</v>
      </c>
      <c r="E323">
        <v>2.5362300726332561</v>
      </c>
      <c r="F323">
        <v>1.9956351945975499</v>
      </c>
      <c r="G323" s="45">
        <v>2.3199999999999998</v>
      </c>
      <c r="H323" s="29">
        <f t="shared" ref="H323:H386" si="87">LOG(G323)</f>
        <v>0.36548798489089962</v>
      </c>
      <c r="I323" s="9">
        <v>2.756001823801419</v>
      </c>
      <c r="J323" s="34">
        <v>5.3078443483419682E-2</v>
      </c>
      <c r="K323">
        <v>18</v>
      </c>
      <c r="L323" s="137">
        <f t="shared" ref="L323:L386" si="88">IF(K323=0,0,LOG(K323))</f>
        <v>1.255272505103306</v>
      </c>
      <c r="M323">
        <f t="shared" si="85"/>
        <v>1</v>
      </c>
      <c r="N323">
        <v>85</v>
      </c>
      <c r="O323">
        <v>80</v>
      </c>
      <c r="P323">
        <v>70</v>
      </c>
      <c r="Q323" s="137">
        <f t="shared" ref="Q323:Q386" si="89">LOG(P323)</f>
        <v>1.8450980400142569</v>
      </c>
      <c r="R323" s="34">
        <v>42.4</v>
      </c>
      <c r="S323" s="34">
        <f t="shared" ref="S323:S386" si="90">LOG(R323)</f>
        <v>1.6273658565927327</v>
      </c>
      <c r="T323" s="42">
        <v>52.984855215816303</v>
      </c>
      <c r="U323" s="42">
        <f t="shared" ref="U323:U386" si="91">LOG(T323)</f>
        <v>1.7241517519382803</v>
      </c>
      <c r="V323">
        <v>3.2188271541979425</v>
      </c>
      <c r="W323" s="14">
        <v>2</v>
      </c>
      <c r="X323">
        <v>3.7570584504768405</v>
      </c>
      <c r="Y323">
        <v>9.1172712956557636</v>
      </c>
      <c r="Z323" s="80">
        <v>0.33423162115960525</v>
      </c>
      <c r="AA323">
        <v>7</v>
      </c>
      <c r="AB323">
        <f t="shared" ref="AB323:AB386" si="92">IF(AA323=1,1,0)</f>
        <v>0</v>
      </c>
      <c r="AC323">
        <f t="shared" ref="AC323:AC386" si="93">IF(AA323=2,1,0)</f>
        <v>0</v>
      </c>
      <c r="AD323">
        <f t="shared" ref="AD323:AD386" si="94">IF(AA323=3,1,0)</f>
        <v>0</v>
      </c>
      <c r="AE323">
        <f t="shared" ref="AE323:AE386" si="95">IF(AA323=4,1,0)</f>
        <v>0</v>
      </c>
      <c r="AF323">
        <f t="shared" ref="AF323:AF386" si="96">IF(AA323=5,1,0)</f>
        <v>0</v>
      </c>
      <c r="AG323">
        <f t="shared" ref="AG323:AG386" si="97">IF(AA323=6,1,0)</f>
        <v>0</v>
      </c>
      <c r="AH323">
        <f t="shared" ref="AH323:AH386" si="98">IF(AA323=7,1,0)</f>
        <v>1</v>
      </c>
      <c r="AI323">
        <f t="shared" ref="AI323:AI386" si="99">IF(AA323=8,1,0)</f>
        <v>0</v>
      </c>
      <c r="AJ323">
        <f t="shared" ref="AJ323:AJ386" si="100">IF(AA323=9,1,0)</f>
        <v>0</v>
      </c>
      <c r="AK323">
        <f t="shared" ref="AK323:AK386" si="101">IF(AA323=10,1,0)</f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1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</row>
    <row r="324" spans="1:53" x14ac:dyDescent="0.35">
      <c r="A324">
        <v>0.10168862928688671</v>
      </c>
      <c r="C324">
        <v>6.5780821917808217</v>
      </c>
      <c r="D324" s="137">
        <f t="shared" si="86"/>
        <v>0.81809929560055261</v>
      </c>
      <c r="E324">
        <v>2.9629325585580042</v>
      </c>
      <c r="F324">
        <v>0.3010299956639812</v>
      </c>
      <c r="G324" s="45">
        <v>2.62</v>
      </c>
      <c r="H324" s="29">
        <f t="shared" si="87"/>
        <v>0.41830129131974547</v>
      </c>
      <c r="I324" s="9">
        <v>2.9323046139517812</v>
      </c>
      <c r="J324" s="34">
        <v>4.1392685158225077E-2</v>
      </c>
      <c r="K324">
        <v>17</v>
      </c>
      <c r="L324" s="137">
        <f t="shared" si="88"/>
        <v>1.2304489213782739</v>
      </c>
      <c r="M324">
        <f t="shared" si="85"/>
        <v>1</v>
      </c>
      <c r="N324">
        <v>70</v>
      </c>
      <c r="O324">
        <v>70</v>
      </c>
      <c r="P324">
        <v>70</v>
      </c>
      <c r="Q324" s="137">
        <f t="shared" si="89"/>
        <v>1.8450980400142569</v>
      </c>
      <c r="R324" s="34">
        <v>34.6</v>
      </c>
      <c r="S324" s="34">
        <f t="shared" si="90"/>
        <v>1.5390760987927767</v>
      </c>
      <c r="T324" s="42">
        <v>47.8156192569637</v>
      </c>
      <c r="U324" s="42">
        <f t="shared" si="91"/>
        <v>1.6795697846681461</v>
      </c>
      <c r="V324">
        <v>3.2188271541979425</v>
      </c>
      <c r="W324" s="14">
        <v>2</v>
      </c>
      <c r="X324">
        <v>3.7570584504768405</v>
      </c>
      <c r="Y324">
        <v>9.4423794150633888</v>
      </c>
      <c r="Z324" s="80">
        <v>0.34235471495320136</v>
      </c>
      <c r="AA324">
        <v>4</v>
      </c>
      <c r="AB324">
        <f t="shared" si="92"/>
        <v>0</v>
      </c>
      <c r="AC324">
        <f t="shared" si="93"/>
        <v>0</v>
      </c>
      <c r="AD324">
        <f t="shared" si="94"/>
        <v>0</v>
      </c>
      <c r="AE324">
        <f t="shared" si="95"/>
        <v>1</v>
      </c>
      <c r="AF324">
        <f t="shared" si="96"/>
        <v>0</v>
      </c>
      <c r="AG324">
        <f t="shared" si="97"/>
        <v>0</v>
      </c>
      <c r="AH324">
        <f t="shared" si="98"/>
        <v>0</v>
      </c>
      <c r="AI324">
        <f t="shared" si="99"/>
        <v>0</v>
      </c>
      <c r="AJ324">
        <f t="shared" si="100"/>
        <v>0</v>
      </c>
      <c r="AK324">
        <f t="shared" si="101"/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1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</row>
    <row r="325" spans="1:53" x14ac:dyDescent="0.35">
      <c r="A325">
        <v>1.9154642507423002E-2</v>
      </c>
      <c r="C325">
        <v>5</v>
      </c>
      <c r="D325" s="137">
        <f t="shared" si="86"/>
        <v>0.69897000433601886</v>
      </c>
      <c r="E325">
        <v>2.9629325585580042</v>
      </c>
      <c r="F325">
        <v>1.8061799739838871</v>
      </c>
      <c r="G325" s="45">
        <v>2.62</v>
      </c>
      <c r="H325" s="29">
        <f t="shared" si="87"/>
        <v>0.41830129131974547</v>
      </c>
      <c r="I325" s="9">
        <v>2.9323046139517812</v>
      </c>
      <c r="J325" s="34">
        <v>-0.10790539730951958</v>
      </c>
      <c r="K325">
        <v>13</v>
      </c>
      <c r="L325" s="137">
        <f t="shared" si="88"/>
        <v>1.1139433523068367</v>
      </c>
      <c r="M325">
        <f t="shared" si="85"/>
        <v>1</v>
      </c>
      <c r="N325">
        <v>70</v>
      </c>
      <c r="O325">
        <v>70</v>
      </c>
      <c r="P325">
        <v>70</v>
      </c>
      <c r="Q325" s="137">
        <f t="shared" si="89"/>
        <v>1.8450980400142569</v>
      </c>
      <c r="R325" s="34">
        <v>36.200000000000003</v>
      </c>
      <c r="S325" s="34">
        <f t="shared" si="90"/>
        <v>1.5587085705331658</v>
      </c>
      <c r="T325" s="42">
        <v>47.694345434117203</v>
      </c>
      <c r="U325" s="42">
        <f t="shared" si="91"/>
        <v>1.6784668928277571</v>
      </c>
      <c r="V325">
        <v>3.2188271541979425</v>
      </c>
      <c r="W325" s="14">
        <v>2</v>
      </c>
      <c r="X325">
        <v>3.7570584504768405</v>
      </c>
      <c r="Y325">
        <v>9.1569366165482577</v>
      </c>
      <c r="Z325" s="80">
        <v>-0.29600652824832741</v>
      </c>
      <c r="AA325">
        <v>5</v>
      </c>
      <c r="AB325">
        <f t="shared" si="92"/>
        <v>0</v>
      </c>
      <c r="AC325">
        <f t="shared" si="93"/>
        <v>0</v>
      </c>
      <c r="AD325">
        <f t="shared" si="94"/>
        <v>0</v>
      </c>
      <c r="AE325">
        <f t="shared" si="95"/>
        <v>0</v>
      </c>
      <c r="AF325">
        <f t="shared" si="96"/>
        <v>1</v>
      </c>
      <c r="AG325">
        <f t="shared" si="97"/>
        <v>0</v>
      </c>
      <c r="AH325">
        <f t="shared" si="98"/>
        <v>0</v>
      </c>
      <c r="AI325">
        <f t="shared" si="99"/>
        <v>0</v>
      </c>
      <c r="AJ325">
        <f t="shared" si="100"/>
        <v>0</v>
      </c>
      <c r="AK325">
        <f t="shared" si="101"/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1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</row>
    <row r="326" spans="1:53" x14ac:dyDescent="0.35">
      <c r="A326">
        <v>-0.2932838616563514</v>
      </c>
      <c r="C326">
        <v>5.3506849315068497</v>
      </c>
      <c r="D326" s="137">
        <f t="shared" si="86"/>
        <v>0.72840937883137968</v>
      </c>
      <c r="E326">
        <v>2.6674249329872439</v>
      </c>
      <c r="F326">
        <v>2.1702617153949575</v>
      </c>
      <c r="G326" s="45">
        <v>2.61</v>
      </c>
      <c r="H326" s="29">
        <f t="shared" si="87"/>
        <v>0.41664050733828095</v>
      </c>
      <c r="I326" s="9">
        <v>2.2881746749783951</v>
      </c>
      <c r="J326" s="34">
        <v>-6.5501548756432285E-2</v>
      </c>
      <c r="K326">
        <v>13</v>
      </c>
      <c r="L326" s="137">
        <f t="shared" si="88"/>
        <v>1.1139433523068367</v>
      </c>
      <c r="M326">
        <f t="shared" si="85"/>
        <v>1</v>
      </c>
      <c r="N326">
        <v>70</v>
      </c>
      <c r="O326">
        <v>70</v>
      </c>
      <c r="P326">
        <v>85</v>
      </c>
      <c r="Q326" s="137">
        <f t="shared" si="89"/>
        <v>1.9294189257142926</v>
      </c>
      <c r="R326" s="34">
        <v>30.9</v>
      </c>
      <c r="S326" s="34">
        <f t="shared" si="90"/>
        <v>1.4899584794248346</v>
      </c>
      <c r="T326" s="42">
        <v>33.950689057445601</v>
      </c>
      <c r="U326" s="42">
        <f t="shared" si="91"/>
        <v>1.5308485930733544</v>
      </c>
      <c r="V326">
        <v>3.2188271541979425</v>
      </c>
      <c r="W326" s="14">
        <v>2</v>
      </c>
      <c r="X326">
        <v>3.7570584504768405</v>
      </c>
      <c r="Y326">
        <v>8.7151673578484576</v>
      </c>
      <c r="Z326" s="80">
        <v>-0.22361615951812241</v>
      </c>
      <c r="AA326">
        <v>7</v>
      </c>
      <c r="AB326">
        <f t="shared" si="92"/>
        <v>0</v>
      </c>
      <c r="AC326">
        <f t="shared" si="93"/>
        <v>0</v>
      </c>
      <c r="AD326">
        <f t="shared" si="94"/>
        <v>0</v>
      </c>
      <c r="AE326">
        <f t="shared" si="95"/>
        <v>0</v>
      </c>
      <c r="AF326">
        <f t="shared" si="96"/>
        <v>0</v>
      </c>
      <c r="AG326">
        <f t="shared" si="97"/>
        <v>0</v>
      </c>
      <c r="AH326">
        <f t="shared" si="98"/>
        <v>1</v>
      </c>
      <c r="AI326">
        <f t="shared" si="99"/>
        <v>0</v>
      </c>
      <c r="AJ326">
        <f t="shared" si="100"/>
        <v>0</v>
      </c>
      <c r="AK326">
        <f t="shared" si="101"/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1</v>
      </c>
      <c r="BA326">
        <v>0</v>
      </c>
    </row>
    <row r="327" spans="1:53" x14ac:dyDescent="0.35">
      <c r="A327">
        <v>0.32853710717502921</v>
      </c>
      <c r="C327">
        <v>5.3808219178082188</v>
      </c>
      <c r="D327" s="137">
        <f t="shared" si="86"/>
        <v>0.73084861899445608</v>
      </c>
      <c r="E327">
        <v>2.5362300726332561</v>
      </c>
      <c r="F327">
        <v>1.4623979978989561</v>
      </c>
      <c r="G327" s="45">
        <v>2.3199999999999998</v>
      </c>
      <c r="H327" s="29">
        <f t="shared" si="87"/>
        <v>0.36548798489089962</v>
      </c>
      <c r="I327" s="9">
        <v>2.756001823801419</v>
      </c>
      <c r="J327" s="34">
        <v>5.6904851336472641E-2</v>
      </c>
      <c r="K327">
        <v>11</v>
      </c>
      <c r="L327" s="137">
        <f t="shared" si="88"/>
        <v>1.0413926851582251</v>
      </c>
      <c r="M327">
        <f t="shared" si="85"/>
        <v>1</v>
      </c>
      <c r="N327">
        <v>85</v>
      </c>
      <c r="O327">
        <v>80</v>
      </c>
      <c r="P327">
        <v>85</v>
      </c>
      <c r="Q327" s="137">
        <f t="shared" si="89"/>
        <v>1.9294189257142926</v>
      </c>
      <c r="R327" s="34">
        <v>43.7</v>
      </c>
      <c r="S327" s="34">
        <f t="shared" si="90"/>
        <v>1.6404814369704219</v>
      </c>
      <c r="T327" s="42">
        <v>54.530673116863902</v>
      </c>
      <c r="U327" s="42">
        <f t="shared" si="91"/>
        <v>1.7366408585732218</v>
      </c>
      <c r="V327">
        <v>3.2188271541979425</v>
      </c>
      <c r="W327" s="14">
        <v>2</v>
      </c>
      <c r="X327">
        <v>3.7570584504768405</v>
      </c>
      <c r="Y327">
        <v>8.8475541518806526</v>
      </c>
      <c r="Z327" s="80">
        <v>-0.20315959666756933</v>
      </c>
      <c r="AA327">
        <v>5</v>
      </c>
      <c r="AB327">
        <f t="shared" si="92"/>
        <v>0</v>
      </c>
      <c r="AC327">
        <f t="shared" si="93"/>
        <v>0</v>
      </c>
      <c r="AD327">
        <f t="shared" si="94"/>
        <v>0</v>
      </c>
      <c r="AE327">
        <f t="shared" si="95"/>
        <v>0</v>
      </c>
      <c r="AF327">
        <f t="shared" si="96"/>
        <v>1</v>
      </c>
      <c r="AG327">
        <f t="shared" si="97"/>
        <v>0</v>
      </c>
      <c r="AH327">
        <f t="shared" si="98"/>
        <v>0</v>
      </c>
      <c r="AI327">
        <f t="shared" si="99"/>
        <v>0</v>
      </c>
      <c r="AJ327">
        <f t="shared" si="100"/>
        <v>0</v>
      </c>
      <c r="AK327">
        <f t="shared" si="101"/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1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</row>
    <row r="328" spans="1:53" x14ac:dyDescent="0.35">
      <c r="A328">
        <v>0.47712125471966244</v>
      </c>
      <c r="C328">
        <v>4.0849315068493155</v>
      </c>
      <c r="D328" s="137">
        <f t="shared" si="86"/>
        <v>0.61118477899651991</v>
      </c>
      <c r="E328">
        <v>3.7707754512906644</v>
      </c>
      <c r="F328">
        <v>1.0791812460476249</v>
      </c>
      <c r="G328" s="45">
        <v>2.3199999999999998</v>
      </c>
      <c r="H328" s="29">
        <f t="shared" si="87"/>
        <v>0.36548798489089962</v>
      </c>
      <c r="I328" s="9">
        <v>2.1238516409670858</v>
      </c>
      <c r="J328" s="34">
        <v>0.19865708695442263</v>
      </c>
      <c r="K328">
        <v>27</v>
      </c>
      <c r="L328" s="137">
        <f t="shared" si="88"/>
        <v>1.4313637641589874</v>
      </c>
      <c r="M328">
        <f t="shared" si="85"/>
        <v>1</v>
      </c>
      <c r="N328">
        <v>70</v>
      </c>
      <c r="O328">
        <v>70</v>
      </c>
      <c r="P328">
        <v>91.1</v>
      </c>
      <c r="Q328" s="137">
        <f t="shared" si="89"/>
        <v>1.9595183769729982</v>
      </c>
      <c r="R328" s="34">
        <v>24.1</v>
      </c>
      <c r="S328" s="34">
        <f t="shared" si="90"/>
        <v>1.3820170425748683</v>
      </c>
      <c r="T328" s="42">
        <v>40.229046020662899</v>
      </c>
      <c r="U328" s="42">
        <f t="shared" si="91"/>
        <v>1.6045397339663818</v>
      </c>
      <c r="V328">
        <v>3.2699236952309461</v>
      </c>
      <c r="W328" s="14">
        <v>2</v>
      </c>
      <c r="X328">
        <v>3.6984415808994222</v>
      </c>
      <c r="Y328">
        <v>8.6989700043360187</v>
      </c>
      <c r="Z328" s="80">
        <v>0.26164476285397287</v>
      </c>
      <c r="AA328">
        <v>1</v>
      </c>
      <c r="AB328">
        <f t="shared" si="92"/>
        <v>1</v>
      </c>
      <c r="AC328">
        <f t="shared" si="93"/>
        <v>0</v>
      </c>
      <c r="AD328">
        <f t="shared" si="94"/>
        <v>0</v>
      </c>
      <c r="AE328">
        <f t="shared" si="95"/>
        <v>0</v>
      </c>
      <c r="AF328">
        <f t="shared" si="96"/>
        <v>0</v>
      </c>
      <c r="AG328">
        <f t="shared" si="97"/>
        <v>0</v>
      </c>
      <c r="AH328">
        <f t="shared" si="98"/>
        <v>0</v>
      </c>
      <c r="AI328">
        <f t="shared" si="99"/>
        <v>0</v>
      </c>
      <c r="AJ328">
        <f t="shared" si="100"/>
        <v>0</v>
      </c>
      <c r="AK328">
        <f t="shared" si="101"/>
        <v>0</v>
      </c>
      <c r="AL328">
        <v>1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</row>
    <row r="329" spans="1:53" x14ac:dyDescent="0.35">
      <c r="A329">
        <v>-0.22184874961635639</v>
      </c>
      <c r="C329">
        <v>4.4712328767123291</v>
      </c>
      <c r="D329" s="137">
        <f t="shared" si="86"/>
        <v>0.65042728996136767</v>
      </c>
      <c r="E329">
        <v>3.7707754512906644</v>
      </c>
      <c r="F329">
        <v>1.3617278360175928</v>
      </c>
      <c r="G329" s="45">
        <v>2.3199999999999998</v>
      </c>
      <c r="H329" s="29">
        <f t="shared" si="87"/>
        <v>0.36548798489089962</v>
      </c>
      <c r="I329" s="9">
        <v>2.1238516409670858</v>
      </c>
      <c r="J329" s="34">
        <v>0.21484384804769791</v>
      </c>
      <c r="K329">
        <v>27</v>
      </c>
      <c r="L329" s="137">
        <f t="shared" si="88"/>
        <v>1.4313637641589874</v>
      </c>
      <c r="M329">
        <f t="shared" si="85"/>
        <v>1</v>
      </c>
      <c r="N329">
        <v>70</v>
      </c>
      <c r="O329">
        <v>70</v>
      </c>
      <c r="P329">
        <v>91.1</v>
      </c>
      <c r="Q329" s="137">
        <f t="shared" si="89"/>
        <v>1.9595183769729982</v>
      </c>
      <c r="R329" s="34">
        <v>24.1</v>
      </c>
      <c r="S329" s="34">
        <f t="shared" si="90"/>
        <v>1.3820170425748683</v>
      </c>
      <c r="T329" s="42">
        <v>40.229046020662899</v>
      </c>
      <c r="U329" s="42">
        <f t="shared" si="91"/>
        <v>1.6045397339663818</v>
      </c>
      <c r="V329">
        <v>3.2699236952309461</v>
      </c>
      <c r="W329" s="14">
        <v>2</v>
      </c>
      <c r="X329">
        <v>3.6984415808994222</v>
      </c>
      <c r="Y329">
        <v>9.1760912590556813</v>
      </c>
      <c r="Z329" s="80">
        <v>0.20650678811301937</v>
      </c>
      <c r="AA329">
        <v>9</v>
      </c>
      <c r="AB329">
        <f t="shared" si="92"/>
        <v>0</v>
      </c>
      <c r="AC329">
        <f t="shared" si="93"/>
        <v>0</v>
      </c>
      <c r="AD329">
        <f t="shared" si="94"/>
        <v>0</v>
      </c>
      <c r="AE329">
        <f t="shared" si="95"/>
        <v>0</v>
      </c>
      <c r="AF329">
        <f t="shared" si="96"/>
        <v>0</v>
      </c>
      <c r="AG329">
        <f t="shared" si="97"/>
        <v>0</v>
      </c>
      <c r="AH329">
        <f t="shared" si="98"/>
        <v>0</v>
      </c>
      <c r="AI329">
        <f t="shared" si="99"/>
        <v>0</v>
      </c>
      <c r="AJ329">
        <f t="shared" si="100"/>
        <v>1</v>
      </c>
      <c r="AK329">
        <f t="shared" si="101"/>
        <v>0</v>
      </c>
      <c r="AL329">
        <v>1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</row>
    <row r="330" spans="1:53" x14ac:dyDescent="0.35">
      <c r="A330">
        <v>0.35303028293240818</v>
      </c>
      <c r="C330">
        <v>2.473972602739726</v>
      </c>
      <c r="D330" s="137">
        <f t="shared" si="86"/>
        <v>0.39339488585703108</v>
      </c>
      <c r="E330">
        <v>3.7707754512906644</v>
      </c>
      <c r="F330">
        <v>1.4471580313422192</v>
      </c>
      <c r="G330" s="45">
        <v>2.3199999999999998</v>
      </c>
      <c r="H330" s="29">
        <f t="shared" si="87"/>
        <v>0.36548798489089962</v>
      </c>
      <c r="I330" s="9">
        <v>2.1238516409670858</v>
      </c>
      <c r="J330" s="34">
        <v>0.17897694729316943</v>
      </c>
      <c r="K330">
        <v>26</v>
      </c>
      <c r="L330" s="137">
        <f t="shared" si="88"/>
        <v>1.414973347970818</v>
      </c>
      <c r="M330">
        <f t="shared" si="85"/>
        <v>1</v>
      </c>
      <c r="N330">
        <v>70</v>
      </c>
      <c r="O330">
        <v>70</v>
      </c>
      <c r="P330">
        <v>91</v>
      </c>
      <c r="Q330" s="137">
        <f t="shared" si="89"/>
        <v>1.9590413923210936</v>
      </c>
      <c r="R330" s="34">
        <v>23.9</v>
      </c>
      <c r="S330" s="34">
        <f t="shared" si="90"/>
        <v>1.3783979009481377</v>
      </c>
      <c r="T330" s="42">
        <v>42.048698215007001</v>
      </c>
      <c r="U330" s="42">
        <f t="shared" si="91"/>
        <v>1.6237525550259535</v>
      </c>
      <c r="V330">
        <v>3.2699236952309461</v>
      </c>
      <c r="W330" s="14">
        <v>2</v>
      </c>
      <c r="X330">
        <v>3.6984415808994222</v>
      </c>
      <c r="Y330">
        <v>8.1797240960600899</v>
      </c>
      <c r="Z330" s="80">
        <v>0.27903653178985177</v>
      </c>
      <c r="AA330">
        <v>9</v>
      </c>
      <c r="AB330">
        <f t="shared" si="92"/>
        <v>0</v>
      </c>
      <c r="AC330">
        <f t="shared" si="93"/>
        <v>0</v>
      </c>
      <c r="AD330">
        <f t="shared" si="94"/>
        <v>0</v>
      </c>
      <c r="AE330">
        <f t="shared" si="95"/>
        <v>0</v>
      </c>
      <c r="AF330">
        <f t="shared" si="96"/>
        <v>0</v>
      </c>
      <c r="AG330">
        <f t="shared" si="97"/>
        <v>0</v>
      </c>
      <c r="AH330">
        <f t="shared" si="98"/>
        <v>0</v>
      </c>
      <c r="AI330">
        <f t="shared" si="99"/>
        <v>0</v>
      </c>
      <c r="AJ330">
        <f t="shared" si="100"/>
        <v>1</v>
      </c>
      <c r="AK330">
        <f t="shared" si="101"/>
        <v>0</v>
      </c>
      <c r="AL330">
        <v>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</row>
    <row r="331" spans="1:53" x14ac:dyDescent="0.35">
      <c r="A331">
        <v>7.8047788731252177E-2</v>
      </c>
      <c r="C331">
        <v>4.4739726027397264</v>
      </c>
      <c r="D331" s="137">
        <f t="shared" si="86"/>
        <v>0.65069332028019344</v>
      </c>
      <c r="E331">
        <v>3.7707754512906644</v>
      </c>
      <c r="F331">
        <v>0.47712125471966244</v>
      </c>
      <c r="G331" s="45">
        <v>2.3199999999999998</v>
      </c>
      <c r="H331" s="29">
        <f t="shared" si="87"/>
        <v>0.36548798489089962</v>
      </c>
      <c r="I331" s="9">
        <v>2.1238516409670858</v>
      </c>
      <c r="J331" s="34">
        <v>-2.6872146400301365E-2</v>
      </c>
      <c r="K331">
        <v>21</v>
      </c>
      <c r="L331" s="137">
        <f t="shared" si="88"/>
        <v>1.3222192947339193</v>
      </c>
      <c r="M331">
        <f t="shared" si="85"/>
        <v>1</v>
      </c>
      <c r="N331">
        <v>70</v>
      </c>
      <c r="O331">
        <v>70</v>
      </c>
      <c r="P331">
        <v>93.2</v>
      </c>
      <c r="Q331" s="137">
        <f t="shared" si="89"/>
        <v>1.9694159123539814</v>
      </c>
      <c r="R331" s="34">
        <v>26.7</v>
      </c>
      <c r="S331" s="34">
        <f t="shared" si="90"/>
        <v>1.4265112613645752</v>
      </c>
      <c r="T331" s="42">
        <v>36.669158714517401</v>
      </c>
      <c r="U331" s="42">
        <f t="shared" si="91"/>
        <v>1.5643009462345601</v>
      </c>
      <c r="V331">
        <v>3.2699236952309461</v>
      </c>
      <c r="W331" s="14">
        <v>2</v>
      </c>
      <c r="X331">
        <v>3.6984415808994222</v>
      </c>
      <c r="Y331">
        <v>10.108176894140763</v>
      </c>
      <c r="Z331" s="80">
        <v>-1.6647051048858552E-2</v>
      </c>
      <c r="AA331">
        <v>9</v>
      </c>
      <c r="AB331">
        <f t="shared" si="92"/>
        <v>0</v>
      </c>
      <c r="AC331">
        <f t="shared" si="93"/>
        <v>0</v>
      </c>
      <c r="AD331">
        <f t="shared" si="94"/>
        <v>0</v>
      </c>
      <c r="AE331">
        <f t="shared" si="95"/>
        <v>0</v>
      </c>
      <c r="AF331">
        <f t="shared" si="96"/>
        <v>0</v>
      </c>
      <c r="AG331">
        <f t="shared" si="97"/>
        <v>0</v>
      </c>
      <c r="AH331">
        <f t="shared" si="98"/>
        <v>0</v>
      </c>
      <c r="AI331">
        <f t="shared" si="99"/>
        <v>0</v>
      </c>
      <c r="AJ331">
        <f t="shared" si="100"/>
        <v>1</v>
      </c>
      <c r="AK331">
        <f t="shared" si="101"/>
        <v>0</v>
      </c>
      <c r="AL331">
        <v>1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</row>
    <row r="332" spans="1:53" x14ac:dyDescent="0.35">
      <c r="A332">
        <v>0.19551981089400722</v>
      </c>
      <c r="C332">
        <v>2.0054794520547947</v>
      </c>
      <c r="D332" s="137">
        <f t="shared" si="86"/>
        <v>0.30221821660191722</v>
      </c>
      <c r="E332">
        <v>3.7707754512906644</v>
      </c>
      <c r="F332">
        <v>1.2304489213782739</v>
      </c>
      <c r="G332" s="45">
        <v>2.3199999999999998</v>
      </c>
      <c r="H332" s="29">
        <f t="shared" si="87"/>
        <v>0.36548798489089962</v>
      </c>
      <c r="I332" s="9">
        <v>2.1238516409670858</v>
      </c>
      <c r="J332" s="34">
        <v>2.5305865264770262E-2</v>
      </c>
      <c r="K332">
        <v>21</v>
      </c>
      <c r="L332" s="137">
        <f t="shared" si="88"/>
        <v>1.3222192947339193</v>
      </c>
      <c r="M332">
        <f t="shared" si="85"/>
        <v>1</v>
      </c>
      <c r="N332">
        <v>70</v>
      </c>
      <c r="O332">
        <v>70</v>
      </c>
      <c r="P332">
        <v>93.2</v>
      </c>
      <c r="Q332" s="137">
        <f t="shared" si="89"/>
        <v>1.9694159123539814</v>
      </c>
      <c r="R332" s="34">
        <v>26.7</v>
      </c>
      <c r="S332" s="34">
        <f t="shared" si="90"/>
        <v>1.4265112613645752</v>
      </c>
      <c r="T332" s="42">
        <v>36.669158714517401</v>
      </c>
      <c r="U332" s="42">
        <f t="shared" si="91"/>
        <v>1.5643009462345601</v>
      </c>
      <c r="V332">
        <v>3.2699236952309461</v>
      </c>
      <c r="W332" s="14">
        <v>2</v>
      </c>
      <c r="X332">
        <v>3.6984415808994222</v>
      </c>
      <c r="Y332">
        <v>8.8836614351536181</v>
      </c>
      <c r="Z332" s="80">
        <v>-9.4903724834055625E-3</v>
      </c>
      <c r="AA332">
        <v>2</v>
      </c>
      <c r="AB332">
        <f t="shared" si="92"/>
        <v>0</v>
      </c>
      <c r="AC332">
        <f t="shared" si="93"/>
        <v>1</v>
      </c>
      <c r="AD332">
        <f t="shared" si="94"/>
        <v>0</v>
      </c>
      <c r="AE332">
        <f t="shared" si="95"/>
        <v>0</v>
      </c>
      <c r="AF332">
        <f t="shared" si="96"/>
        <v>0</v>
      </c>
      <c r="AG332">
        <f t="shared" si="97"/>
        <v>0</v>
      </c>
      <c r="AH332">
        <f t="shared" si="98"/>
        <v>0</v>
      </c>
      <c r="AI332">
        <f t="shared" si="99"/>
        <v>0</v>
      </c>
      <c r="AJ332">
        <f t="shared" si="100"/>
        <v>0</v>
      </c>
      <c r="AK332">
        <f t="shared" si="101"/>
        <v>0</v>
      </c>
      <c r="AL332">
        <v>1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</row>
    <row r="333" spans="1:53" x14ac:dyDescent="0.35">
      <c r="A333">
        <v>0.60940035449370578</v>
      </c>
      <c r="C333">
        <v>5.4986301369863018</v>
      </c>
      <c r="D333" s="137">
        <f t="shared" si="86"/>
        <v>0.74025450803101089</v>
      </c>
      <c r="E333">
        <v>2.6674249329872439</v>
      </c>
      <c r="F333">
        <v>1.505149978319906</v>
      </c>
      <c r="G333" s="45">
        <v>2.61</v>
      </c>
      <c r="H333" s="29">
        <f t="shared" si="87"/>
        <v>0.41664050733828095</v>
      </c>
      <c r="I333" s="9">
        <v>2.2881746749783951</v>
      </c>
      <c r="J333" s="34">
        <v>0.250420002308894</v>
      </c>
      <c r="K333">
        <v>25</v>
      </c>
      <c r="L333" s="137">
        <f t="shared" si="88"/>
        <v>1.3979400086720377</v>
      </c>
      <c r="M333">
        <f t="shared" si="85"/>
        <v>1</v>
      </c>
      <c r="N333">
        <v>70</v>
      </c>
      <c r="O333">
        <v>70</v>
      </c>
      <c r="P333">
        <v>92.8</v>
      </c>
      <c r="Q333" s="137">
        <f t="shared" si="89"/>
        <v>1.9675479762188621</v>
      </c>
      <c r="R333" s="34">
        <v>27</v>
      </c>
      <c r="S333" s="34">
        <f t="shared" si="90"/>
        <v>1.4313637641589874</v>
      </c>
      <c r="T333" s="42">
        <v>65.041501268831993</v>
      </c>
      <c r="U333" s="42">
        <f t="shared" si="91"/>
        <v>1.8131905569593969</v>
      </c>
      <c r="V333">
        <v>3.2699236952309461</v>
      </c>
      <c r="W333" s="14">
        <v>2</v>
      </c>
      <c r="X333">
        <v>3.6984415808994222</v>
      </c>
      <c r="Y333">
        <v>8.3424226808222066</v>
      </c>
      <c r="Z333" s="80">
        <v>0.14547266702539896</v>
      </c>
      <c r="AA333">
        <v>2</v>
      </c>
      <c r="AB333">
        <f t="shared" si="92"/>
        <v>0</v>
      </c>
      <c r="AC333">
        <f t="shared" si="93"/>
        <v>1</v>
      </c>
      <c r="AD333">
        <f t="shared" si="94"/>
        <v>0</v>
      </c>
      <c r="AE333">
        <f t="shared" si="95"/>
        <v>0</v>
      </c>
      <c r="AF333">
        <f t="shared" si="96"/>
        <v>0</v>
      </c>
      <c r="AG333">
        <f t="shared" si="97"/>
        <v>0</v>
      </c>
      <c r="AH333">
        <f t="shared" si="98"/>
        <v>0</v>
      </c>
      <c r="AI333">
        <f t="shared" si="99"/>
        <v>0</v>
      </c>
      <c r="AJ333">
        <f t="shared" si="100"/>
        <v>0</v>
      </c>
      <c r="AK333">
        <f t="shared" si="101"/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1</v>
      </c>
      <c r="BA333">
        <v>0</v>
      </c>
    </row>
    <row r="334" spans="1:53" x14ac:dyDescent="0.35">
      <c r="A334">
        <v>1.3592653130497758</v>
      </c>
      <c r="C334">
        <v>2.4465753424657533</v>
      </c>
      <c r="D334" s="137">
        <f t="shared" si="86"/>
        <v>0.38855859443207169</v>
      </c>
      <c r="E334">
        <v>3.0625406208792199</v>
      </c>
      <c r="F334">
        <v>1</v>
      </c>
      <c r="G334" s="45">
        <v>3.06</v>
      </c>
      <c r="H334" s="29">
        <f t="shared" si="87"/>
        <v>0.48572142648158001</v>
      </c>
      <c r="I334" s="9">
        <v>2.8714756364568856</v>
      </c>
      <c r="J334" s="34">
        <v>0.10720996964786837</v>
      </c>
      <c r="K334">
        <v>28</v>
      </c>
      <c r="L334" s="137">
        <f t="shared" si="88"/>
        <v>1.4471580313422192</v>
      </c>
      <c r="M334">
        <f t="shared" si="85"/>
        <v>1</v>
      </c>
      <c r="N334">
        <v>70</v>
      </c>
      <c r="O334">
        <v>50</v>
      </c>
      <c r="P334">
        <v>92.6</v>
      </c>
      <c r="Q334" s="137">
        <f t="shared" si="89"/>
        <v>1.9666109866819343</v>
      </c>
      <c r="R334" s="34">
        <v>39.9</v>
      </c>
      <c r="S334" s="34">
        <f t="shared" si="90"/>
        <v>1.6009728956867482</v>
      </c>
      <c r="T334" s="42">
        <v>43.966315241865303</v>
      </c>
      <c r="U334" s="42">
        <f t="shared" si="91"/>
        <v>1.6431200695045953</v>
      </c>
      <c r="V334">
        <v>3.2699236952309461</v>
      </c>
      <c r="W334" s="14">
        <v>2</v>
      </c>
      <c r="X334">
        <v>3.6984415808994222</v>
      </c>
      <c r="Y334">
        <v>7.524396122103842</v>
      </c>
      <c r="Z334" s="80">
        <v>-1.3268721052888455E-2</v>
      </c>
      <c r="AA334">
        <v>2</v>
      </c>
      <c r="AB334">
        <f t="shared" si="92"/>
        <v>0</v>
      </c>
      <c r="AC334">
        <f t="shared" si="93"/>
        <v>1</v>
      </c>
      <c r="AD334">
        <f t="shared" si="94"/>
        <v>0</v>
      </c>
      <c r="AE334">
        <f t="shared" si="95"/>
        <v>0</v>
      </c>
      <c r="AF334">
        <f t="shared" si="96"/>
        <v>0</v>
      </c>
      <c r="AG334">
        <f t="shared" si="97"/>
        <v>0</v>
      </c>
      <c r="AH334">
        <f t="shared" si="98"/>
        <v>0</v>
      </c>
      <c r="AI334">
        <f t="shared" si="99"/>
        <v>0</v>
      </c>
      <c r="AJ334">
        <f t="shared" si="100"/>
        <v>0</v>
      </c>
      <c r="AK334">
        <f t="shared" si="101"/>
        <v>0</v>
      </c>
      <c r="AL334">
        <v>0</v>
      </c>
      <c r="AM334">
        <v>0</v>
      </c>
      <c r="AN334">
        <v>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</row>
    <row r="335" spans="1:53" x14ac:dyDescent="0.35">
      <c r="A335">
        <v>0.43635873299666728</v>
      </c>
      <c r="C335">
        <v>4.0821917808219181</v>
      </c>
      <c r="D335" s="137">
        <f t="shared" si="86"/>
        <v>0.61089340395579939</v>
      </c>
      <c r="E335">
        <v>2.9629325585580042</v>
      </c>
      <c r="F335">
        <v>1.146128035678238</v>
      </c>
      <c r="G335" s="45">
        <v>2.62</v>
      </c>
      <c r="H335" s="29">
        <f t="shared" si="87"/>
        <v>0.41830129131974547</v>
      </c>
      <c r="I335" s="9">
        <v>2.9323046139517812</v>
      </c>
      <c r="J335" s="34">
        <v>4.1392685158225077E-2</v>
      </c>
      <c r="K335">
        <v>19</v>
      </c>
      <c r="L335" s="137">
        <f t="shared" si="88"/>
        <v>1.2787536009528289</v>
      </c>
      <c r="M335">
        <f t="shared" si="85"/>
        <v>1</v>
      </c>
      <c r="N335">
        <v>70</v>
      </c>
      <c r="O335">
        <v>70</v>
      </c>
      <c r="P335">
        <v>70</v>
      </c>
      <c r="Q335" s="137">
        <f t="shared" si="89"/>
        <v>1.8450980400142569</v>
      </c>
      <c r="R335" s="34">
        <v>33.9</v>
      </c>
      <c r="S335" s="34">
        <f t="shared" si="90"/>
        <v>1.5301996982030821</v>
      </c>
      <c r="T335" s="42">
        <v>46.312020505412598</v>
      </c>
      <c r="U335" s="42">
        <f t="shared" si="91"/>
        <v>1.6656937288498501</v>
      </c>
      <c r="V335">
        <v>3.2699236952309461</v>
      </c>
      <c r="W335" s="14">
        <v>2</v>
      </c>
      <c r="X335">
        <v>3.6984415808994222</v>
      </c>
      <c r="Y335">
        <v>8.7773688159137464</v>
      </c>
      <c r="Z335" s="80">
        <v>0.24921777976715509</v>
      </c>
      <c r="AA335">
        <v>4</v>
      </c>
      <c r="AB335">
        <f t="shared" si="92"/>
        <v>0</v>
      </c>
      <c r="AC335">
        <f t="shared" si="93"/>
        <v>0</v>
      </c>
      <c r="AD335">
        <f t="shared" si="94"/>
        <v>0</v>
      </c>
      <c r="AE335">
        <f t="shared" si="95"/>
        <v>1</v>
      </c>
      <c r="AF335">
        <f t="shared" si="96"/>
        <v>0</v>
      </c>
      <c r="AG335">
        <f t="shared" si="97"/>
        <v>0</v>
      </c>
      <c r="AH335">
        <f t="shared" si="98"/>
        <v>0</v>
      </c>
      <c r="AI335">
        <f t="shared" si="99"/>
        <v>0</v>
      </c>
      <c r="AJ335">
        <f t="shared" si="100"/>
        <v>0</v>
      </c>
      <c r="AK335">
        <f t="shared" si="101"/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1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</row>
    <row r="336" spans="1:53" x14ac:dyDescent="0.35">
      <c r="A336">
        <v>0.80823731347034766</v>
      </c>
      <c r="C336">
        <v>3.7232876712328768</v>
      </c>
      <c r="D336" s="137">
        <f t="shared" si="86"/>
        <v>0.57092659227601961</v>
      </c>
      <c r="E336">
        <v>2.9629325585580042</v>
      </c>
      <c r="F336">
        <v>1.1139433523068367</v>
      </c>
      <c r="G336" s="45">
        <v>2.62</v>
      </c>
      <c r="H336" s="29">
        <f t="shared" si="87"/>
        <v>0.41830129131974547</v>
      </c>
      <c r="I336" s="9">
        <v>2.9323046139517812</v>
      </c>
      <c r="J336" s="34">
        <v>0.21748394421390627</v>
      </c>
      <c r="K336">
        <v>18</v>
      </c>
      <c r="L336" s="137">
        <f t="shared" si="88"/>
        <v>1.255272505103306</v>
      </c>
      <c r="M336">
        <f t="shared" si="85"/>
        <v>1</v>
      </c>
      <c r="N336">
        <v>70</v>
      </c>
      <c r="O336">
        <v>70</v>
      </c>
      <c r="P336">
        <v>70</v>
      </c>
      <c r="Q336" s="137">
        <f t="shared" si="89"/>
        <v>1.8450980400142569</v>
      </c>
      <c r="R336" s="34">
        <v>34.6</v>
      </c>
      <c r="S336" s="34">
        <f t="shared" si="90"/>
        <v>1.5390760987927767</v>
      </c>
      <c r="T336" s="42">
        <v>47.8156192569637</v>
      </c>
      <c r="U336" s="42">
        <f t="shared" si="91"/>
        <v>1.6795697846681461</v>
      </c>
      <c r="V336">
        <v>3.2699236952309461</v>
      </c>
      <c r="W336" s="14">
        <v>2</v>
      </c>
      <c r="X336">
        <v>3.6984415808994222</v>
      </c>
      <c r="Y336">
        <v>8.3010299956639813</v>
      </c>
      <c r="Z336" s="80">
        <v>0.78691288108328461</v>
      </c>
      <c r="AA336">
        <v>4</v>
      </c>
      <c r="AB336">
        <f t="shared" si="92"/>
        <v>0</v>
      </c>
      <c r="AC336">
        <f t="shared" si="93"/>
        <v>0</v>
      </c>
      <c r="AD336">
        <f t="shared" si="94"/>
        <v>0</v>
      </c>
      <c r="AE336">
        <f t="shared" si="95"/>
        <v>1</v>
      </c>
      <c r="AF336">
        <f t="shared" si="96"/>
        <v>0</v>
      </c>
      <c r="AG336">
        <f t="shared" si="97"/>
        <v>0</v>
      </c>
      <c r="AH336">
        <f t="shared" si="98"/>
        <v>0</v>
      </c>
      <c r="AI336">
        <f t="shared" si="99"/>
        <v>0</v>
      </c>
      <c r="AJ336">
        <f t="shared" si="100"/>
        <v>0</v>
      </c>
      <c r="AK336">
        <f t="shared" si="101"/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1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</row>
    <row r="337" spans="1:53" x14ac:dyDescent="0.35">
      <c r="A337">
        <v>0.32150923106716078</v>
      </c>
      <c r="C337">
        <v>2.8301369863013699</v>
      </c>
      <c r="D337" s="137">
        <f t="shared" si="86"/>
        <v>0.4518074570631459</v>
      </c>
      <c r="E337">
        <v>2.9629325585580042</v>
      </c>
      <c r="F337">
        <v>0.6020599913279624</v>
      </c>
      <c r="G337" s="45">
        <v>2.62</v>
      </c>
      <c r="H337" s="29">
        <f t="shared" si="87"/>
        <v>0.41830129131974547</v>
      </c>
      <c r="I337" s="9">
        <v>2.9323046139517812</v>
      </c>
      <c r="J337" s="34">
        <v>-0.10237290870955855</v>
      </c>
      <c r="K337">
        <v>15</v>
      </c>
      <c r="L337" s="137">
        <f t="shared" si="88"/>
        <v>1.1760912590556813</v>
      </c>
      <c r="M337">
        <f t="shared" si="85"/>
        <v>1</v>
      </c>
      <c r="N337">
        <v>70</v>
      </c>
      <c r="O337">
        <v>70</v>
      </c>
      <c r="P337">
        <v>70</v>
      </c>
      <c r="Q337" s="137">
        <f t="shared" si="89"/>
        <v>1.8450980400142569</v>
      </c>
      <c r="R337" s="34">
        <v>36.200000000000003</v>
      </c>
      <c r="S337" s="34">
        <f t="shared" si="90"/>
        <v>1.5587085705331658</v>
      </c>
      <c r="T337" s="42">
        <v>44.748733746598099</v>
      </c>
      <c r="U337" s="42">
        <f t="shared" si="91"/>
        <v>1.6507807506095689</v>
      </c>
      <c r="V337">
        <v>3.2699236952309461</v>
      </c>
      <c r="W337" s="14">
        <v>2</v>
      </c>
      <c r="X337">
        <v>3.6984415808994222</v>
      </c>
      <c r="Y337">
        <v>8.1367205671564076</v>
      </c>
      <c r="Z337" s="80">
        <v>-0.28744912652127319</v>
      </c>
      <c r="AA337">
        <v>2</v>
      </c>
      <c r="AB337">
        <f t="shared" si="92"/>
        <v>0</v>
      </c>
      <c r="AC337">
        <f t="shared" si="93"/>
        <v>1</v>
      </c>
      <c r="AD337">
        <f t="shared" si="94"/>
        <v>0</v>
      </c>
      <c r="AE337">
        <f t="shared" si="95"/>
        <v>0</v>
      </c>
      <c r="AF337">
        <f t="shared" si="96"/>
        <v>0</v>
      </c>
      <c r="AG337">
        <f t="shared" si="97"/>
        <v>0</v>
      </c>
      <c r="AH337">
        <f t="shared" si="98"/>
        <v>0</v>
      </c>
      <c r="AI337">
        <f t="shared" si="99"/>
        <v>0</v>
      </c>
      <c r="AJ337">
        <f t="shared" si="100"/>
        <v>0</v>
      </c>
      <c r="AK337">
        <f t="shared" si="101"/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1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</row>
    <row r="338" spans="1:53" x14ac:dyDescent="0.35">
      <c r="A338">
        <v>0.97003677662255683</v>
      </c>
      <c r="C338">
        <v>2.6794520547945204</v>
      </c>
      <c r="D338" s="137">
        <f t="shared" si="86"/>
        <v>0.42804599033112672</v>
      </c>
      <c r="E338">
        <v>2.9629325585580042</v>
      </c>
      <c r="F338">
        <v>0.47712125471966244</v>
      </c>
      <c r="G338" s="45">
        <v>2.62</v>
      </c>
      <c r="H338" s="29">
        <f t="shared" si="87"/>
        <v>0.41830129131974547</v>
      </c>
      <c r="I338" s="9">
        <v>2.9323046139517812</v>
      </c>
      <c r="J338" s="34">
        <v>0.17897694729316943</v>
      </c>
      <c r="K338">
        <v>12</v>
      </c>
      <c r="L338" s="137">
        <f t="shared" si="88"/>
        <v>1.0791812460476249</v>
      </c>
      <c r="M338">
        <f t="shared" si="85"/>
        <v>1</v>
      </c>
      <c r="N338">
        <v>70</v>
      </c>
      <c r="O338">
        <v>70</v>
      </c>
      <c r="P338">
        <v>70</v>
      </c>
      <c r="Q338" s="137">
        <f t="shared" si="89"/>
        <v>1.8450980400142569</v>
      </c>
      <c r="R338" s="34">
        <v>35.200000000000003</v>
      </c>
      <c r="S338" s="34">
        <f t="shared" si="90"/>
        <v>1.546542663478131</v>
      </c>
      <c r="T338" s="42">
        <v>48.057282584935102</v>
      </c>
      <c r="U338" s="42">
        <f t="shared" si="91"/>
        <v>1.6817592098358938</v>
      </c>
      <c r="V338">
        <v>3.2699236952309461</v>
      </c>
      <c r="W338" s="14">
        <v>2</v>
      </c>
      <c r="X338">
        <v>3.6984415808994222</v>
      </c>
      <c r="Y338">
        <v>7.3802112417116064</v>
      </c>
      <c r="Z338" s="80">
        <v>0.32276084636365177</v>
      </c>
      <c r="AA338">
        <v>9</v>
      </c>
      <c r="AB338">
        <f t="shared" si="92"/>
        <v>0</v>
      </c>
      <c r="AC338">
        <f t="shared" si="93"/>
        <v>0</v>
      </c>
      <c r="AD338">
        <f t="shared" si="94"/>
        <v>0</v>
      </c>
      <c r="AE338">
        <f t="shared" si="95"/>
        <v>0</v>
      </c>
      <c r="AF338">
        <f t="shared" si="96"/>
        <v>0</v>
      </c>
      <c r="AG338">
        <f t="shared" si="97"/>
        <v>0</v>
      </c>
      <c r="AH338">
        <f t="shared" si="98"/>
        <v>0</v>
      </c>
      <c r="AI338">
        <f t="shared" si="99"/>
        <v>0</v>
      </c>
      <c r="AJ338">
        <f t="shared" si="100"/>
        <v>1</v>
      </c>
      <c r="AK338">
        <f t="shared" si="101"/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</row>
    <row r="339" spans="1:53" x14ac:dyDescent="0.35">
      <c r="A339">
        <v>0.12774269509812849</v>
      </c>
      <c r="C339">
        <v>4.5999999999999996</v>
      </c>
      <c r="D339" s="137">
        <f t="shared" si="86"/>
        <v>0.66275783168157409</v>
      </c>
      <c r="E339">
        <v>2.5362300726332561</v>
      </c>
      <c r="F339">
        <v>1.9084850188786497</v>
      </c>
      <c r="G339" s="45">
        <v>2.3199999999999998</v>
      </c>
      <c r="H339" s="29">
        <f t="shared" si="87"/>
        <v>0.36548798489089962</v>
      </c>
      <c r="I339" s="9">
        <v>2.756001823801419</v>
      </c>
      <c r="J339" s="34">
        <v>-9.1514981121350217E-2</v>
      </c>
      <c r="K339">
        <v>22</v>
      </c>
      <c r="L339" s="137">
        <f t="shared" si="88"/>
        <v>1.3424226808222062</v>
      </c>
      <c r="M339">
        <f t="shared" si="85"/>
        <v>1</v>
      </c>
      <c r="N339">
        <v>85</v>
      </c>
      <c r="O339">
        <v>80</v>
      </c>
      <c r="P339">
        <v>87.2</v>
      </c>
      <c r="Q339" s="137">
        <f t="shared" si="89"/>
        <v>1.9405164849325673</v>
      </c>
      <c r="R339" s="34">
        <v>42.5</v>
      </c>
      <c r="S339" s="34">
        <f t="shared" si="90"/>
        <v>1.6283889300503116</v>
      </c>
      <c r="T339" s="42">
        <v>52.565521078007201</v>
      </c>
      <c r="U339" s="42">
        <f t="shared" si="91"/>
        <v>1.7207009738992591</v>
      </c>
      <c r="V339">
        <v>3.2699236952309461</v>
      </c>
      <c r="W339" s="14">
        <v>2</v>
      </c>
      <c r="X339">
        <v>3.6984415808994222</v>
      </c>
      <c r="Y339">
        <v>9.0483485639575534</v>
      </c>
      <c r="Z339" s="80">
        <v>-0.19447233820152809</v>
      </c>
      <c r="AA339">
        <v>7</v>
      </c>
      <c r="AB339">
        <f t="shared" si="92"/>
        <v>0</v>
      </c>
      <c r="AC339">
        <f t="shared" si="93"/>
        <v>0</v>
      </c>
      <c r="AD339">
        <f t="shared" si="94"/>
        <v>0</v>
      </c>
      <c r="AE339">
        <f t="shared" si="95"/>
        <v>0</v>
      </c>
      <c r="AF339">
        <f t="shared" si="96"/>
        <v>0</v>
      </c>
      <c r="AG339">
        <f t="shared" si="97"/>
        <v>0</v>
      </c>
      <c r="AH339">
        <f t="shared" si="98"/>
        <v>1</v>
      </c>
      <c r="AI339">
        <f t="shared" si="99"/>
        <v>0</v>
      </c>
      <c r="AJ339">
        <f t="shared" si="100"/>
        <v>0</v>
      </c>
      <c r="AK339">
        <f t="shared" si="101"/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1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</row>
    <row r="340" spans="1:53" x14ac:dyDescent="0.35">
      <c r="A340">
        <v>0.51666755909904294</v>
      </c>
      <c r="C340">
        <v>3.0191780821917806</v>
      </c>
      <c r="D340" s="137">
        <f t="shared" si="86"/>
        <v>0.4798887300592915</v>
      </c>
      <c r="E340">
        <v>2.6903467274930635</v>
      </c>
      <c r="F340">
        <v>1.6232492903979006</v>
      </c>
      <c r="G340" s="45">
        <v>2.59</v>
      </c>
      <c r="H340" s="29">
        <f t="shared" si="87"/>
        <v>0.4132997640812518</v>
      </c>
      <c r="I340" s="9">
        <v>2.7508939203821252</v>
      </c>
      <c r="J340" s="34">
        <v>7.1882007306125359E-2</v>
      </c>
      <c r="K340">
        <v>20</v>
      </c>
      <c r="L340" s="137">
        <f t="shared" si="88"/>
        <v>1.3010299956639813</v>
      </c>
      <c r="M340">
        <f t="shared" si="85"/>
        <v>1</v>
      </c>
      <c r="N340">
        <v>90</v>
      </c>
      <c r="O340">
        <v>70</v>
      </c>
      <c r="P340">
        <v>85</v>
      </c>
      <c r="Q340" s="137">
        <f t="shared" si="89"/>
        <v>1.9294189257142926</v>
      </c>
      <c r="R340" s="34">
        <v>37.799999999999997</v>
      </c>
      <c r="S340" s="34">
        <f t="shared" si="90"/>
        <v>1.5774917998372253</v>
      </c>
      <c r="T340" s="42">
        <v>43.5787105608064</v>
      </c>
      <c r="U340" s="42">
        <f t="shared" si="91"/>
        <v>1.6392743758732649</v>
      </c>
      <c r="V340">
        <v>3.2699236952309461</v>
      </c>
      <c r="W340" s="14">
        <v>2</v>
      </c>
      <c r="X340">
        <v>3.6984415808994222</v>
      </c>
      <c r="Y340">
        <v>9.6989700043360187</v>
      </c>
      <c r="Z340" s="80">
        <v>0.27301206964940539</v>
      </c>
      <c r="AA340">
        <v>4</v>
      </c>
      <c r="AB340">
        <f t="shared" si="92"/>
        <v>0</v>
      </c>
      <c r="AC340">
        <f t="shared" si="93"/>
        <v>0</v>
      </c>
      <c r="AD340">
        <f t="shared" si="94"/>
        <v>0</v>
      </c>
      <c r="AE340">
        <f t="shared" si="95"/>
        <v>1</v>
      </c>
      <c r="AF340">
        <f t="shared" si="96"/>
        <v>0</v>
      </c>
      <c r="AG340">
        <f t="shared" si="97"/>
        <v>0</v>
      </c>
      <c r="AH340">
        <f t="shared" si="98"/>
        <v>0</v>
      </c>
      <c r="AI340">
        <f t="shared" si="99"/>
        <v>0</v>
      </c>
      <c r="AJ340">
        <f t="shared" si="100"/>
        <v>0</v>
      </c>
      <c r="AK340">
        <f t="shared" si="101"/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</v>
      </c>
      <c r="AX340">
        <v>0</v>
      </c>
      <c r="AY340">
        <v>0</v>
      </c>
      <c r="AZ340">
        <v>0</v>
      </c>
      <c r="BA340">
        <v>0</v>
      </c>
    </row>
    <row r="341" spans="1:53" x14ac:dyDescent="0.35">
      <c r="A341">
        <v>9.4166166872442655E-2</v>
      </c>
      <c r="C341">
        <v>4.8767123287671232</v>
      </c>
      <c r="D341" s="137">
        <f t="shared" si="86"/>
        <v>0.6881271378524193</v>
      </c>
      <c r="E341">
        <v>2.5362300726332561</v>
      </c>
      <c r="F341">
        <v>1.6020599913279623</v>
      </c>
      <c r="G341" s="45">
        <v>2.3199999999999998</v>
      </c>
      <c r="H341" s="29">
        <f t="shared" si="87"/>
        <v>0.36548798489089962</v>
      </c>
      <c r="I341" s="9">
        <v>2.756001823801419</v>
      </c>
      <c r="J341" s="34">
        <v>0.20139712432045145</v>
      </c>
      <c r="K341">
        <v>27</v>
      </c>
      <c r="L341" s="137">
        <f t="shared" si="88"/>
        <v>1.4313637641589874</v>
      </c>
      <c r="M341">
        <f t="shared" si="85"/>
        <v>1</v>
      </c>
      <c r="N341">
        <v>85</v>
      </c>
      <c r="O341">
        <v>80</v>
      </c>
      <c r="P341">
        <v>85.6</v>
      </c>
      <c r="Q341" s="137">
        <f t="shared" si="89"/>
        <v>1.9324737646771533</v>
      </c>
      <c r="R341" s="34">
        <v>43.3</v>
      </c>
      <c r="S341" s="34">
        <f t="shared" si="90"/>
        <v>1.6364878963533653</v>
      </c>
      <c r="T341" s="42">
        <v>56.2907330998475</v>
      </c>
      <c r="U341" s="42">
        <f t="shared" si="91"/>
        <v>1.750436904711814</v>
      </c>
      <c r="V341">
        <v>3.25553976325445</v>
      </c>
      <c r="W341" s="14">
        <v>2</v>
      </c>
      <c r="X341">
        <v>3.9251377454872847</v>
      </c>
      <c r="Y341">
        <v>9.2120252035929049</v>
      </c>
      <c r="Z341" s="80">
        <v>0.1038716226094738</v>
      </c>
      <c r="AA341">
        <v>6</v>
      </c>
      <c r="AB341">
        <f t="shared" si="92"/>
        <v>0</v>
      </c>
      <c r="AC341">
        <f t="shared" si="93"/>
        <v>0</v>
      </c>
      <c r="AD341">
        <f t="shared" si="94"/>
        <v>0</v>
      </c>
      <c r="AE341">
        <f t="shared" si="95"/>
        <v>0</v>
      </c>
      <c r="AF341">
        <f t="shared" si="96"/>
        <v>0</v>
      </c>
      <c r="AG341">
        <f t="shared" si="97"/>
        <v>1</v>
      </c>
      <c r="AH341">
        <f t="shared" si="98"/>
        <v>0</v>
      </c>
      <c r="AI341">
        <f t="shared" si="99"/>
        <v>0</v>
      </c>
      <c r="AJ341">
        <f t="shared" si="100"/>
        <v>0</v>
      </c>
      <c r="AK341">
        <f t="shared" si="101"/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</row>
    <row r="342" spans="1:53" x14ac:dyDescent="0.35">
      <c r="A342">
        <v>0.24285713034087314</v>
      </c>
      <c r="C342">
        <v>6.4273972602739722</v>
      </c>
      <c r="D342" s="137">
        <f t="shared" si="86"/>
        <v>0.80803514332303572</v>
      </c>
      <c r="E342">
        <v>2.5362300726332561</v>
      </c>
      <c r="F342">
        <v>1.5314789170422551</v>
      </c>
      <c r="G342" s="45">
        <v>2.3199999999999998</v>
      </c>
      <c r="H342" s="29">
        <f t="shared" si="87"/>
        <v>0.36548798489089962</v>
      </c>
      <c r="I342" s="9">
        <v>2.756001823801419</v>
      </c>
      <c r="J342" s="34">
        <v>6.069784035361165E-2</v>
      </c>
      <c r="K342">
        <v>23</v>
      </c>
      <c r="L342" s="137">
        <f t="shared" si="88"/>
        <v>1.3617278360175928</v>
      </c>
      <c r="M342">
        <f t="shared" si="85"/>
        <v>1</v>
      </c>
      <c r="N342">
        <v>85</v>
      </c>
      <c r="O342">
        <v>80</v>
      </c>
      <c r="P342">
        <v>87.2</v>
      </c>
      <c r="Q342" s="137">
        <f t="shared" si="89"/>
        <v>1.9405164849325673</v>
      </c>
      <c r="R342" s="34">
        <v>42.5</v>
      </c>
      <c r="S342" s="34">
        <f t="shared" si="90"/>
        <v>1.6283889300503116</v>
      </c>
      <c r="T342" s="42">
        <v>52.565521078007201</v>
      </c>
      <c r="U342" s="42">
        <f t="shared" si="91"/>
        <v>1.7207009738992591</v>
      </c>
      <c r="V342">
        <v>3.25553976325445</v>
      </c>
      <c r="W342" s="14">
        <v>2</v>
      </c>
      <c r="X342">
        <v>3.9251377454872847</v>
      </c>
      <c r="Y342">
        <v>8.5352941200427708</v>
      </c>
      <c r="Z342" s="80">
        <v>4.8783016531537493E-2</v>
      </c>
      <c r="AA342">
        <v>1</v>
      </c>
      <c r="AB342">
        <f t="shared" si="92"/>
        <v>1</v>
      </c>
      <c r="AC342">
        <f t="shared" si="93"/>
        <v>0</v>
      </c>
      <c r="AD342">
        <f t="shared" si="94"/>
        <v>0</v>
      </c>
      <c r="AE342">
        <f t="shared" si="95"/>
        <v>0</v>
      </c>
      <c r="AF342">
        <f t="shared" si="96"/>
        <v>0</v>
      </c>
      <c r="AG342">
        <f t="shared" si="97"/>
        <v>0</v>
      </c>
      <c r="AH342">
        <f t="shared" si="98"/>
        <v>0</v>
      </c>
      <c r="AI342">
        <f t="shared" si="99"/>
        <v>0</v>
      </c>
      <c r="AJ342">
        <f t="shared" si="100"/>
        <v>0</v>
      </c>
      <c r="AK342">
        <f t="shared" si="101"/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</row>
    <row r="343" spans="1:53" x14ac:dyDescent="0.35">
      <c r="A343">
        <v>0.23010916470304998</v>
      </c>
      <c r="C343">
        <v>4.0767123287671234</v>
      </c>
      <c r="D343" s="137">
        <f t="shared" si="86"/>
        <v>0.61031006675338517</v>
      </c>
      <c r="E343">
        <v>2.5362300726332561</v>
      </c>
      <c r="F343">
        <v>1.6127838567197355</v>
      </c>
      <c r="G343" s="45">
        <v>2.3199999999999998</v>
      </c>
      <c r="H343" s="29">
        <f t="shared" si="87"/>
        <v>0.36548798489089962</v>
      </c>
      <c r="I343" s="9">
        <v>2.756001823801419</v>
      </c>
      <c r="J343" s="34">
        <v>-5.0609993355087209E-2</v>
      </c>
      <c r="K343">
        <v>4</v>
      </c>
      <c r="L343" s="137">
        <f t="shared" si="88"/>
        <v>0.6020599913279624</v>
      </c>
      <c r="M343">
        <f t="shared" si="85"/>
        <v>1</v>
      </c>
      <c r="N343">
        <v>85</v>
      </c>
      <c r="O343">
        <v>80</v>
      </c>
      <c r="P343">
        <v>70</v>
      </c>
      <c r="Q343" s="137">
        <f t="shared" si="89"/>
        <v>1.8450980400142569</v>
      </c>
      <c r="R343" s="34">
        <v>43.4</v>
      </c>
      <c r="S343" s="34">
        <f t="shared" si="90"/>
        <v>1.6374897295125106</v>
      </c>
      <c r="T343" s="42">
        <v>51.652289181886701</v>
      </c>
      <c r="U343" s="42">
        <f t="shared" si="91"/>
        <v>1.7130895738136374</v>
      </c>
      <c r="V343">
        <v>3.25553976325445</v>
      </c>
      <c r="W343" s="14">
        <v>2</v>
      </c>
      <c r="X343">
        <v>3.9251377454872847</v>
      </c>
      <c r="Y343">
        <v>8.4261926928379598</v>
      </c>
      <c r="Z343" s="80">
        <v>-0.18482112917754279</v>
      </c>
      <c r="AA343">
        <v>5</v>
      </c>
      <c r="AB343">
        <f t="shared" si="92"/>
        <v>0</v>
      </c>
      <c r="AC343">
        <f t="shared" si="93"/>
        <v>0</v>
      </c>
      <c r="AD343">
        <f t="shared" si="94"/>
        <v>0</v>
      </c>
      <c r="AE343">
        <f t="shared" si="95"/>
        <v>0</v>
      </c>
      <c r="AF343">
        <f t="shared" si="96"/>
        <v>1</v>
      </c>
      <c r="AG343">
        <f t="shared" si="97"/>
        <v>0</v>
      </c>
      <c r="AH343">
        <f t="shared" si="98"/>
        <v>0</v>
      </c>
      <c r="AI343">
        <f t="shared" si="99"/>
        <v>0</v>
      </c>
      <c r="AJ343">
        <f t="shared" si="100"/>
        <v>0</v>
      </c>
      <c r="AK343">
        <f t="shared" si="101"/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1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</row>
    <row r="344" spans="1:53" x14ac:dyDescent="0.35">
      <c r="A344">
        <v>0.35654732351381263</v>
      </c>
      <c r="C344">
        <v>5.043835616438356</v>
      </c>
      <c r="D344" s="137">
        <f t="shared" si="86"/>
        <v>0.70276092404753998</v>
      </c>
      <c r="E344">
        <v>2.5362300726332561</v>
      </c>
      <c r="F344">
        <v>0.69897000433601886</v>
      </c>
      <c r="G344" s="45">
        <v>2.3199999999999998</v>
      </c>
      <c r="H344" s="29">
        <f t="shared" si="87"/>
        <v>0.36548798489089962</v>
      </c>
      <c r="I344" s="9">
        <v>2.756001823801419</v>
      </c>
      <c r="J344" s="34">
        <v>-9.1514981121350217E-2</v>
      </c>
      <c r="K344">
        <v>15</v>
      </c>
      <c r="L344" s="137">
        <f t="shared" si="88"/>
        <v>1.1760912590556813</v>
      </c>
      <c r="M344">
        <f t="shared" si="85"/>
        <v>1</v>
      </c>
      <c r="N344">
        <v>85</v>
      </c>
      <c r="O344">
        <v>80</v>
      </c>
      <c r="P344">
        <v>85</v>
      </c>
      <c r="Q344" s="137">
        <f t="shared" si="89"/>
        <v>1.9294189257142926</v>
      </c>
      <c r="R344" s="34">
        <v>44.2</v>
      </c>
      <c r="S344" s="34">
        <f t="shared" si="90"/>
        <v>1.6454222693490919</v>
      </c>
      <c r="T344" s="42">
        <v>52.629944775121203</v>
      </c>
      <c r="U344" s="42">
        <f t="shared" si="91"/>
        <v>1.7212329143100249</v>
      </c>
      <c r="V344">
        <v>3.25553976325445</v>
      </c>
      <c r="W344" s="14">
        <v>2</v>
      </c>
      <c r="X344">
        <v>3.9251377454872847</v>
      </c>
      <c r="Y344">
        <v>7.6434526764861879</v>
      </c>
      <c r="Z344" s="80">
        <v>-0.26876929368618241</v>
      </c>
      <c r="AA344">
        <v>5</v>
      </c>
      <c r="AB344">
        <f t="shared" si="92"/>
        <v>0</v>
      </c>
      <c r="AC344">
        <f t="shared" si="93"/>
        <v>0</v>
      </c>
      <c r="AD344">
        <f t="shared" si="94"/>
        <v>0</v>
      </c>
      <c r="AE344">
        <f t="shared" si="95"/>
        <v>0</v>
      </c>
      <c r="AF344">
        <f t="shared" si="96"/>
        <v>1</v>
      </c>
      <c r="AG344">
        <f t="shared" si="97"/>
        <v>0</v>
      </c>
      <c r="AH344">
        <f t="shared" si="98"/>
        <v>0</v>
      </c>
      <c r="AI344">
        <f t="shared" si="99"/>
        <v>0</v>
      </c>
      <c r="AJ344">
        <f t="shared" si="100"/>
        <v>0</v>
      </c>
      <c r="AK344">
        <f t="shared" si="101"/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</row>
    <row r="345" spans="1:53" x14ac:dyDescent="0.35">
      <c r="A345">
        <v>0.44715803134221921</v>
      </c>
      <c r="C345">
        <v>7.0547945205479454</v>
      </c>
      <c r="D345" s="137">
        <f t="shared" si="86"/>
        <v>0.84848436892073509</v>
      </c>
      <c r="E345">
        <v>2.5362300726332561</v>
      </c>
      <c r="F345">
        <v>1.2041199826559248</v>
      </c>
      <c r="G345" s="45">
        <v>2.3199999999999998</v>
      </c>
      <c r="H345" s="29">
        <f t="shared" si="87"/>
        <v>0.36548798489089962</v>
      </c>
      <c r="I345" s="9">
        <v>2.756001823801419</v>
      </c>
      <c r="J345" s="34">
        <v>1.703333929878037E-2</v>
      </c>
      <c r="K345">
        <v>14</v>
      </c>
      <c r="L345" s="137">
        <f t="shared" si="88"/>
        <v>1.146128035678238</v>
      </c>
      <c r="M345">
        <f t="shared" si="85"/>
        <v>1</v>
      </c>
      <c r="N345">
        <v>85</v>
      </c>
      <c r="O345">
        <v>80</v>
      </c>
      <c r="P345">
        <v>85</v>
      </c>
      <c r="Q345" s="137">
        <f t="shared" si="89"/>
        <v>1.9294189257142926</v>
      </c>
      <c r="R345" s="34">
        <v>43.5</v>
      </c>
      <c r="S345" s="34">
        <f t="shared" si="90"/>
        <v>1.6384892569546374</v>
      </c>
      <c r="T345" s="42">
        <v>52.924485315438503</v>
      </c>
      <c r="U345" s="42">
        <f t="shared" si="91"/>
        <v>1.7236566432478624</v>
      </c>
      <c r="V345">
        <v>3.25553976325445</v>
      </c>
      <c r="W345" s="14">
        <v>2</v>
      </c>
      <c r="X345">
        <v>3.9251377454872847</v>
      </c>
      <c r="Y345">
        <v>7.3979400086720375</v>
      </c>
      <c r="Z345" s="80">
        <v>4.4431881610396351E-2</v>
      </c>
      <c r="AA345">
        <v>4</v>
      </c>
      <c r="AB345">
        <f t="shared" si="92"/>
        <v>0</v>
      </c>
      <c r="AC345">
        <f t="shared" si="93"/>
        <v>0</v>
      </c>
      <c r="AD345">
        <f t="shared" si="94"/>
        <v>0</v>
      </c>
      <c r="AE345">
        <f t="shared" si="95"/>
        <v>1</v>
      </c>
      <c r="AF345">
        <f t="shared" si="96"/>
        <v>0</v>
      </c>
      <c r="AG345">
        <f t="shared" si="97"/>
        <v>0</v>
      </c>
      <c r="AH345">
        <f t="shared" si="98"/>
        <v>0</v>
      </c>
      <c r="AI345">
        <f t="shared" si="99"/>
        <v>0</v>
      </c>
      <c r="AJ345">
        <f t="shared" si="100"/>
        <v>0</v>
      </c>
      <c r="AK345">
        <f t="shared" si="101"/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</row>
    <row r="346" spans="1:53" x14ac:dyDescent="0.35">
      <c r="A346">
        <v>0.375735713440081</v>
      </c>
      <c r="C346">
        <v>3.2958904109589042</v>
      </c>
      <c r="D346" s="137">
        <f t="shared" si="86"/>
        <v>0.51797276288337002</v>
      </c>
      <c r="E346">
        <v>2.9629325585580042</v>
      </c>
      <c r="F346">
        <v>0.95424250943932487</v>
      </c>
      <c r="G346" s="45">
        <v>2.62</v>
      </c>
      <c r="H346" s="29">
        <f t="shared" si="87"/>
        <v>0.41830129131974547</v>
      </c>
      <c r="I346" s="9">
        <v>2.9323046139517812</v>
      </c>
      <c r="J346" s="34">
        <v>0.18469143081759881</v>
      </c>
      <c r="K346">
        <v>27</v>
      </c>
      <c r="L346" s="137">
        <f t="shared" si="88"/>
        <v>1.4313637641589874</v>
      </c>
      <c r="M346">
        <f t="shared" si="85"/>
        <v>1</v>
      </c>
      <c r="N346">
        <v>70</v>
      </c>
      <c r="O346">
        <v>70</v>
      </c>
      <c r="P346">
        <v>89.6</v>
      </c>
      <c r="Q346" s="137">
        <f t="shared" si="89"/>
        <v>1.9523080096621253</v>
      </c>
      <c r="R346" s="34">
        <v>35.700000000000003</v>
      </c>
      <c r="S346" s="34">
        <f t="shared" si="90"/>
        <v>1.5526682161121932</v>
      </c>
      <c r="T346" s="42">
        <v>44.7100017757258</v>
      </c>
      <c r="U346" s="42">
        <f t="shared" si="91"/>
        <v>1.6504046871166989</v>
      </c>
      <c r="V346">
        <v>3.25553976325445</v>
      </c>
      <c r="W346" s="14">
        <v>2</v>
      </c>
      <c r="X346">
        <v>3.9251377454872847</v>
      </c>
      <c r="Y346">
        <v>8.5273542735518628</v>
      </c>
      <c r="Z346" s="80">
        <v>0.2132309809550299</v>
      </c>
      <c r="AA346">
        <v>8</v>
      </c>
      <c r="AB346">
        <f t="shared" si="92"/>
        <v>0</v>
      </c>
      <c r="AC346">
        <f t="shared" si="93"/>
        <v>0</v>
      </c>
      <c r="AD346">
        <f t="shared" si="94"/>
        <v>0</v>
      </c>
      <c r="AE346">
        <f t="shared" si="95"/>
        <v>0</v>
      </c>
      <c r="AF346">
        <f t="shared" si="96"/>
        <v>0</v>
      </c>
      <c r="AG346">
        <f t="shared" si="97"/>
        <v>0</v>
      </c>
      <c r="AH346">
        <f t="shared" si="98"/>
        <v>0</v>
      </c>
      <c r="AI346">
        <f t="shared" si="99"/>
        <v>1</v>
      </c>
      <c r="AJ346">
        <f t="shared" si="100"/>
        <v>0</v>
      </c>
      <c r="AK346">
        <f t="shared" si="101"/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1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</row>
    <row r="347" spans="1:53" x14ac:dyDescent="0.35">
      <c r="A347">
        <v>1.6901758266215719E-3</v>
      </c>
      <c r="C347">
        <v>5.6301369863013697</v>
      </c>
      <c r="D347" s="137">
        <f t="shared" si="86"/>
        <v>0.75051896175561328</v>
      </c>
      <c r="E347">
        <v>3.7707754512906644</v>
      </c>
      <c r="F347">
        <v>1.4313637641589874</v>
      </c>
      <c r="G347" s="45">
        <v>2.3199999999999998</v>
      </c>
      <c r="H347" s="29">
        <f t="shared" si="87"/>
        <v>0.36548798489089962</v>
      </c>
      <c r="I347" s="9">
        <v>2.1238516409670858</v>
      </c>
      <c r="J347" s="34">
        <v>2.5305865264770262E-2</v>
      </c>
      <c r="K347">
        <v>21</v>
      </c>
      <c r="L347" s="137">
        <f t="shared" si="88"/>
        <v>1.3222192947339193</v>
      </c>
      <c r="M347">
        <f t="shared" si="85"/>
        <v>1</v>
      </c>
      <c r="N347">
        <v>70</v>
      </c>
      <c r="O347">
        <v>70</v>
      </c>
      <c r="P347">
        <v>85</v>
      </c>
      <c r="Q347" s="137">
        <f t="shared" si="89"/>
        <v>1.9294189257142926</v>
      </c>
      <c r="R347" s="34">
        <v>25.9</v>
      </c>
      <c r="S347" s="34">
        <f t="shared" si="90"/>
        <v>1.4132997640812519</v>
      </c>
      <c r="T347" s="42">
        <v>36.959146749272797</v>
      </c>
      <c r="U347" s="42">
        <f t="shared" si="91"/>
        <v>1.5677219364019672</v>
      </c>
      <c r="V347">
        <v>3.25553976325445</v>
      </c>
      <c r="W347" s="14">
        <v>2</v>
      </c>
      <c r="X347">
        <v>3.9251377454872847</v>
      </c>
      <c r="Y347">
        <v>8.9760334294622268</v>
      </c>
      <c r="Z347" s="80">
        <v>0.10814244438735465</v>
      </c>
      <c r="AA347">
        <v>5</v>
      </c>
      <c r="AB347">
        <f t="shared" si="92"/>
        <v>0</v>
      </c>
      <c r="AC347">
        <f t="shared" si="93"/>
        <v>0</v>
      </c>
      <c r="AD347">
        <f t="shared" si="94"/>
        <v>0</v>
      </c>
      <c r="AE347">
        <f t="shared" si="95"/>
        <v>0</v>
      </c>
      <c r="AF347">
        <f t="shared" si="96"/>
        <v>1</v>
      </c>
      <c r="AG347">
        <f t="shared" si="97"/>
        <v>0</v>
      </c>
      <c r="AH347">
        <f t="shared" si="98"/>
        <v>0</v>
      </c>
      <c r="AI347">
        <f t="shared" si="99"/>
        <v>0</v>
      </c>
      <c r="AJ347">
        <f t="shared" si="100"/>
        <v>0</v>
      </c>
      <c r="AK347">
        <f t="shared" si="101"/>
        <v>0</v>
      </c>
      <c r="AL347">
        <v>1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</row>
    <row r="348" spans="1:53" x14ac:dyDescent="0.35">
      <c r="A348">
        <v>0.78952095735475225</v>
      </c>
      <c r="C348">
        <v>2.956164383561644</v>
      </c>
      <c r="D348" s="137">
        <f t="shared" si="86"/>
        <v>0.47072858022643599</v>
      </c>
      <c r="E348">
        <v>0</v>
      </c>
      <c r="F348">
        <v>1.505149978319906</v>
      </c>
      <c r="G348" s="45">
        <v>3.59</v>
      </c>
      <c r="H348" s="29">
        <f t="shared" si="87"/>
        <v>0.55509444857831913</v>
      </c>
      <c r="I348" s="9">
        <v>0</v>
      </c>
      <c r="J348" s="34">
        <v>0.10037054511756291</v>
      </c>
      <c r="K348">
        <v>25</v>
      </c>
      <c r="L348" s="137">
        <f t="shared" si="88"/>
        <v>1.3979400086720377</v>
      </c>
      <c r="M348">
        <f t="shared" si="85"/>
        <v>0</v>
      </c>
      <c r="N348">
        <v>70</v>
      </c>
      <c r="O348">
        <v>70</v>
      </c>
      <c r="P348">
        <v>91.1</v>
      </c>
      <c r="Q348" s="137">
        <f t="shared" si="89"/>
        <v>1.9595183769729982</v>
      </c>
      <c r="R348" s="34">
        <v>42.6</v>
      </c>
      <c r="S348" s="34">
        <f t="shared" si="90"/>
        <v>1.6294095991027189</v>
      </c>
      <c r="T348" s="42">
        <v>51.076866471704001</v>
      </c>
      <c r="U348" s="42">
        <f t="shared" si="91"/>
        <v>1.7082242457606944</v>
      </c>
      <c r="V348">
        <v>3.212261842580872</v>
      </c>
      <c r="W348" s="14">
        <v>2</v>
      </c>
      <c r="X348">
        <v>3.9329492300777744</v>
      </c>
      <c r="Y348">
        <v>8.3865703017009299</v>
      </c>
      <c r="Z348" s="80">
        <v>0.13691654961563859</v>
      </c>
      <c r="AA348">
        <v>6</v>
      </c>
      <c r="AB348">
        <f t="shared" si="92"/>
        <v>0</v>
      </c>
      <c r="AC348">
        <f t="shared" si="93"/>
        <v>0</v>
      </c>
      <c r="AD348">
        <f t="shared" si="94"/>
        <v>0</v>
      </c>
      <c r="AE348">
        <f t="shared" si="95"/>
        <v>0</v>
      </c>
      <c r="AF348">
        <f t="shared" si="96"/>
        <v>0</v>
      </c>
      <c r="AG348">
        <f t="shared" si="97"/>
        <v>1</v>
      </c>
      <c r="AH348">
        <f t="shared" si="98"/>
        <v>0</v>
      </c>
      <c r="AI348">
        <f t="shared" si="99"/>
        <v>0</v>
      </c>
      <c r="AJ348">
        <f t="shared" si="100"/>
        <v>0</v>
      </c>
      <c r="AK348">
        <f t="shared" si="101"/>
        <v>0</v>
      </c>
      <c r="AL348">
        <v>0</v>
      </c>
      <c r="AM348">
        <v>0</v>
      </c>
      <c r="AN348">
        <v>0</v>
      </c>
      <c r="AO348">
        <v>0</v>
      </c>
      <c r="AP348">
        <v>1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</row>
    <row r="349" spans="1:53" x14ac:dyDescent="0.35">
      <c r="A349">
        <v>0.24874460454816136</v>
      </c>
      <c r="C349">
        <v>1.3917808219178083</v>
      </c>
      <c r="D349" s="137">
        <f t="shared" si="86"/>
        <v>0.14357084782744456</v>
      </c>
      <c r="E349">
        <v>0</v>
      </c>
      <c r="F349">
        <v>0.90308998699194354</v>
      </c>
      <c r="G349" s="45">
        <v>3.42</v>
      </c>
      <c r="H349" s="29">
        <f t="shared" si="87"/>
        <v>0.53402610605613499</v>
      </c>
      <c r="I349" s="9">
        <v>0</v>
      </c>
      <c r="J349" s="34">
        <v>5.6904851336472641E-2</v>
      </c>
      <c r="K349">
        <v>24</v>
      </c>
      <c r="L349" s="137">
        <f t="shared" si="88"/>
        <v>1.3802112417116059</v>
      </c>
      <c r="M349">
        <f t="shared" si="85"/>
        <v>0</v>
      </c>
      <c r="N349">
        <v>70</v>
      </c>
      <c r="O349">
        <v>50</v>
      </c>
      <c r="P349">
        <v>92.1</v>
      </c>
      <c r="Q349" s="137">
        <f t="shared" si="89"/>
        <v>1.9642596301968489</v>
      </c>
      <c r="R349" s="34">
        <v>38.4</v>
      </c>
      <c r="S349" s="34">
        <f t="shared" si="90"/>
        <v>1.5843312243675307</v>
      </c>
      <c r="T349" s="42">
        <v>48.799820147807203</v>
      </c>
      <c r="U349" s="42">
        <f t="shared" si="91"/>
        <v>1.688418221409292</v>
      </c>
      <c r="V349">
        <v>3.2596780568098533</v>
      </c>
      <c r="W349" s="14">
        <v>2</v>
      </c>
      <c r="X349">
        <v>4</v>
      </c>
      <c r="Y349">
        <v>7.9102507723001478</v>
      </c>
      <c r="Z349" s="80">
        <v>0.15370697001978062</v>
      </c>
      <c r="AA349">
        <v>4</v>
      </c>
      <c r="AB349">
        <f t="shared" si="92"/>
        <v>0</v>
      </c>
      <c r="AC349">
        <f t="shared" si="93"/>
        <v>0</v>
      </c>
      <c r="AD349">
        <f t="shared" si="94"/>
        <v>0</v>
      </c>
      <c r="AE349">
        <f t="shared" si="95"/>
        <v>1</v>
      </c>
      <c r="AF349">
        <f t="shared" si="96"/>
        <v>0</v>
      </c>
      <c r="AG349">
        <f t="shared" si="97"/>
        <v>0</v>
      </c>
      <c r="AH349">
        <f t="shared" si="98"/>
        <v>0</v>
      </c>
      <c r="AI349">
        <f t="shared" si="99"/>
        <v>0</v>
      </c>
      <c r="AJ349">
        <f t="shared" si="100"/>
        <v>0</v>
      </c>
      <c r="AK349">
        <f t="shared" si="101"/>
        <v>0</v>
      </c>
      <c r="AL349">
        <v>0</v>
      </c>
      <c r="AM349">
        <v>0</v>
      </c>
      <c r="AN349">
        <v>1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</row>
    <row r="350" spans="1:53" x14ac:dyDescent="0.35">
      <c r="A350">
        <v>0.10914446942506807</v>
      </c>
      <c r="C350">
        <v>2.9808219178082194</v>
      </c>
      <c r="D350" s="137">
        <f t="shared" si="86"/>
        <v>0.47433603090568643</v>
      </c>
      <c r="E350">
        <v>3.2606294079543621</v>
      </c>
      <c r="F350">
        <v>1.8920946026904804</v>
      </c>
      <c r="G350" s="45">
        <v>3.18</v>
      </c>
      <c r="H350" s="29">
        <f t="shared" si="87"/>
        <v>0.50242711998443268</v>
      </c>
      <c r="I350" s="9">
        <v>2.7235924792443509</v>
      </c>
      <c r="J350" s="34">
        <v>0.10037054511756291</v>
      </c>
      <c r="K350">
        <v>34</v>
      </c>
      <c r="L350" s="137">
        <f t="shared" si="88"/>
        <v>1.5314789170422551</v>
      </c>
      <c r="M350">
        <f t="shared" si="85"/>
        <v>1</v>
      </c>
      <c r="N350">
        <v>90</v>
      </c>
      <c r="O350">
        <v>80</v>
      </c>
      <c r="P350">
        <v>92.6</v>
      </c>
      <c r="Q350" s="137">
        <f t="shared" si="89"/>
        <v>1.9666109866819343</v>
      </c>
      <c r="R350" s="34">
        <v>43.9</v>
      </c>
      <c r="S350" s="34">
        <f t="shared" si="90"/>
        <v>1.6424645202421213</v>
      </c>
      <c r="T350" s="42">
        <v>57.041609510745303</v>
      </c>
      <c r="U350" s="42">
        <f t="shared" si="91"/>
        <v>1.7561917712577904</v>
      </c>
      <c r="V350">
        <v>3.22246453795844</v>
      </c>
      <c r="W350" s="14">
        <v>3</v>
      </c>
      <c r="X350">
        <v>3.7071267407396937</v>
      </c>
      <c r="Y350">
        <v>8.8450980400142569</v>
      </c>
      <c r="Z350" s="80">
        <v>8.3381061666575551E-2</v>
      </c>
      <c r="AA350">
        <v>8</v>
      </c>
      <c r="AB350">
        <f t="shared" si="92"/>
        <v>0</v>
      </c>
      <c r="AC350">
        <f t="shared" si="93"/>
        <v>0</v>
      </c>
      <c r="AD350">
        <f t="shared" si="94"/>
        <v>0</v>
      </c>
      <c r="AE350">
        <f t="shared" si="95"/>
        <v>0</v>
      </c>
      <c r="AF350">
        <f t="shared" si="96"/>
        <v>0</v>
      </c>
      <c r="AG350">
        <f t="shared" si="97"/>
        <v>0</v>
      </c>
      <c r="AH350">
        <f t="shared" si="98"/>
        <v>0</v>
      </c>
      <c r="AI350">
        <f t="shared" si="99"/>
        <v>1</v>
      </c>
      <c r="AJ350">
        <f t="shared" si="100"/>
        <v>0</v>
      </c>
      <c r="AK350">
        <f t="shared" si="101"/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1</v>
      </c>
    </row>
    <row r="351" spans="1:53" x14ac:dyDescent="0.35">
      <c r="A351">
        <v>0.55506342865173885</v>
      </c>
      <c r="C351">
        <v>2.6328767123287671</v>
      </c>
      <c r="D351" s="137">
        <f t="shared" si="86"/>
        <v>0.42043052321207064</v>
      </c>
      <c r="E351">
        <v>3.7358167906061537</v>
      </c>
      <c r="F351">
        <v>0.84509804001425681</v>
      </c>
      <c r="G351" s="45">
        <v>2.91</v>
      </c>
      <c r="H351" s="29">
        <f t="shared" si="87"/>
        <v>0.46389298898590731</v>
      </c>
      <c r="I351" s="9">
        <v>2.103233406386928</v>
      </c>
      <c r="J351" s="34">
        <v>0.17318626841227402</v>
      </c>
      <c r="K351">
        <v>10</v>
      </c>
      <c r="L351" s="137">
        <f t="shared" si="88"/>
        <v>1</v>
      </c>
      <c r="M351">
        <f t="shared" si="85"/>
        <v>1</v>
      </c>
      <c r="N351">
        <v>70</v>
      </c>
      <c r="O351">
        <v>70</v>
      </c>
      <c r="P351">
        <v>92.8</v>
      </c>
      <c r="Q351" s="137">
        <f t="shared" si="89"/>
        <v>1.9675479762188621</v>
      </c>
      <c r="R351" s="34">
        <v>27.6</v>
      </c>
      <c r="S351" s="34">
        <f t="shared" si="90"/>
        <v>1.4409090820652177</v>
      </c>
      <c r="T351" s="42">
        <v>42.012447889189502</v>
      </c>
      <c r="U351" s="42">
        <f t="shared" si="91"/>
        <v>1.6233779867937734</v>
      </c>
      <c r="V351">
        <v>3.2887955392469697</v>
      </c>
      <c r="W351" s="14">
        <v>2</v>
      </c>
      <c r="X351">
        <v>3.9279973385794986</v>
      </c>
      <c r="Y351">
        <v>7.2900346113625183</v>
      </c>
      <c r="Z351" s="80">
        <v>0.17829763108748753</v>
      </c>
      <c r="AA351">
        <v>9</v>
      </c>
      <c r="AB351">
        <f t="shared" si="92"/>
        <v>0</v>
      </c>
      <c r="AC351">
        <f t="shared" si="93"/>
        <v>0</v>
      </c>
      <c r="AD351">
        <f t="shared" si="94"/>
        <v>0</v>
      </c>
      <c r="AE351">
        <f t="shared" si="95"/>
        <v>0</v>
      </c>
      <c r="AF351">
        <f t="shared" si="96"/>
        <v>0</v>
      </c>
      <c r="AG351">
        <f t="shared" si="97"/>
        <v>0</v>
      </c>
      <c r="AH351">
        <f t="shared" si="98"/>
        <v>0</v>
      </c>
      <c r="AI351">
        <f t="shared" si="99"/>
        <v>0</v>
      </c>
      <c r="AJ351">
        <f t="shared" si="100"/>
        <v>1</v>
      </c>
      <c r="AK351">
        <f t="shared" si="101"/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1</v>
      </c>
      <c r="BA351">
        <v>0</v>
      </c>
    </row>
    <row r="352" spans="1:53" x14ac:dyDescent="0.35">
      <c r="A352">
        <v>-7.9181246047624804E-2</v>
      </c>
      <c r="C352">
        <v>7.0739726027397261</v>
      </c>
      <c r="D352" s="137">
        <f t="shared" si="86"/>
        <v>0.84966337347392684</v>
      </c>
      <c r="E352">
        <v>3.7707754512906644</v>
      </c>
      <c r="F352">
        <v>0.77815125038364363</v>
      </c>
      <c r="G352" s="45">
        <v>2.3199999999999998</v>
      </c>
      <c r="H352" s="29">
        <f t="shared" si="87"/>
        <v>0.36548798489089962</v>
      </c>
      <c r="I352" s="9">
        <v>2.1238516409670858</v>
      </c>
      <c r="J352" s="34">
        <v>0.34635297445063856</v>
      </c>
      <c r="K352">
        <v>26</v>
      </c>
      <c r="L352" s="137">
        <f t="shared" si="88"/>
        <v>1.414973347970818</v>
      </c>
      <c r="M352">
        <f t="shared" si="85"/>
        <v>1</v>
      </c>
      <c r="N352">
        <v>70</v>
      </c>
      <c r="O352">
        <v>70</v>
      </c>
      <c r="P352">
        <v>94.6</v>
      </c>
      <c r="Q352" s="137">
        <f t="shared" si="89"/>
        <v>1.9758911364017928</v>
      </c>
      <c r="R352" s="34">
        <v>33.200000000000003</v>
      </c>
      <c r="S352" s="34">
        <f t="shared" si="90"/>
        <v>1.5211380837040362</v>
      </c>
      <c r="T352" s="42">
        <v>45.921427555082097</v>
      </c>
      <c r="U352" s="42">
        <f t="shared" si="91"/>
        <v>1.6620153804713207</v>
      </c>
      <c r="V352">
        <v>3.3647319780710983</v>
      </c>
      <c r="W352" s="14">
        <v>4</v>
      </c>
      <c r="X352">
        <v>3.5686596122879011</v>
      </c>
      <c r="Y352">
        <v>8.0791812460476251</v>
      </c>
      <c r="Z352" s="80">
        <v>0.36740807825799893</v>
      </c>
      <c r="AA352">
        <v>7</v>
      </c>
      <c r="AB352">
        <f t="shared" si="92"/>
        <v>0</v>
      </c>
      <c r="AC352">
        <f t="shared" si="93"/>
        <v>0</v>
      </c>
      <c r="AD352">
        <f t="shared" si="94"/>
        <v>0</v>
      </c>
      <c r="AE352">
        <f t="shared" si="95"/>
        <v>0</v>
      </c>
      <c r="AF352">
        <f t="shared" si="96"/>
        <v>0</v>
      </c>
      <c r="AG352">
        <f t="shared" si="97"/>
        <v>0</v>
      </c>
      <c r="AH352">
        <f t="shared" si="98"/>
        <v>1</v>
      </c>
      <c r="AI352">
        <f t="shared" si="99"/>
        <v>0</v>
      </c>
      <c r="AJ352">
        <f t="shared" si="100"/>
        <v>0</v>
      </c>
      <c r="AK352">
        <f t="shared" si="101"/>
        <v>0</v>
      </c>
      <c r="AL352">
        <v>0</v>
      </c>
      <c r="AM352">
        <v>1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</row>
    <row r="353" spans="1:53" x14ac:dyDescent="0.35">
      <c r="A353">
        <v>0.37614287957719328</v>
      </c>
      <c r="C353">
        <v>2.6958904109589041</v>
      </c>
      <c r="D353" s="137">
        <f t="shared" si="86"/>
        <v>0.43070223397486684</v>
      </c>
      <c r="E353">
        <v>0</v>
      </c>
      <c r="F353">
        <v>1.6020599913279623</v>
      </c>
      <c r="G353" s="45">
        <v>3.29</v>
      </c>
      <c r="H353" s="29">
        <f t="shared" si="87"/>
        <v>0.51719589794997434</v>
      </c>
      <c r="I353" s="9">
        <v>0</v>
      </c>
      <c r="J353" s="34">
        <v>8.2785370316450071E-2</v>
      </c>
      <c r="K353">
        <v>17</v>
      </c>
      <c r="L353" s="137">
        <f t="shared" si="88"/>
        <v>1.2304489213782739</v>
      </c>
      <c r="M353">
        <f t="shared" si="85"/>
        <v>0</v>
      </c>
      <c r="N353">
        <v>70</v>
      </c>
      <c r="O353">
        <v>70</v>
      </c>
      <c r="P353">
        <v>92</v>
      </c>
      <c r="Q353" s="137">
        <f t="shared" si="89"/>
        <v>1.9637878273455553</v>
      </c>
      <c r="R353" s="34">
        <v>31.8</v>
      </c>
      <c r="S353" s="34">
        <f t="shared" si="90"/>
        <v>1.5024271199844328</v>
      </c>
      <c r="T353" s="42">
        <v>43.012424801889097</v>
      </c>
      <c r="U353" s="42">
        <f t="shared" si="91"/>
        <v>1.6335939263577708</v>
      </c>
      <c r="V353">
        <v>3.3136191229720016</v>
      </c>
      <c r="W353" s="14">
        <v>4</v>
      </c>
      <c r="X353">
        <v>4</v>
      </c>
      <c r="Y353">
        <v>8.1553360374650623</v>
      </c>
      <c r="Z353" s="80">
        <v>6.0272593936341101E-2</v>
      </c>
      <c r="AA353">
        <v>6</v>
      </c>
      <c r="AB353">
        <f t="shared" si="92"/>
        <v>0</v>
      </c>
      <c r="AC353">
        <f t="shared" si="93"/>
        <v>0</v>
      </c>
      <c r="AD353">
        <f t="shared" si="94"/>
        <v>0</v>
      </c>
      <c r="AE353">
        <f t="shared" si="95"/>
        <v>0</v>
      </c>
      <c r="AF353">
        <f t="shared" si="96"/>
        <v>0</v>
      </c>
      <c r="AG353">
        <f t="shared" si="97"/>
        <v>1</v>
      </c>
      <c r="AH353">
        <f t="shared" si="98"/>
        <v>0</v>
      </c>
      <c r="AI353">
        <f t="shared" si="99"/>
        <v>0</v>
      </c>
      <c r="AJ353">
        <f t="shared" si="100"/>
        <v>0</v>
      </c>
      <c r="AK353">
        <f t="shared" si="101"/>
        <v>0</v>
      </c>
      <c r="AL353">
        <v>0</v>
      </c>
      <c r="AM353">
        <v>1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</row>
    <row r="354" spans="1:53" x14ac:dyDescent="0.35">
      <c r="A354">
        <v>0.3010299956639812</v>
      </c>
      <c r="C354">
        <v>3.6054794520547944</v>
      </c>
      <c r="D354" s="137">
        <f t="shared" si="86"/>
        <v>0.55696302482146198</v>
      </c>
      <c r="E354">
        <v>0</v>
      </c>
      <c r="F354">
        <v>1.3222192947339193</v>
      </c>
      <c r="G354" s="45">
        <v>3.29</v>
      </c>
      <c r="H354" s="29">
        <f t="shared" si="87"/>
        <v>0.51719589794997434</v>
      </c>
      <c r="I354" s="9">
        <v>0</v>
      </c>
      <c r="J354" s="34">
        <v>0.14612803567823801</v>
      </c>
      <c r="K354">
        <v>3</v>
      </c>
      <c r="L354" s="137">
        <f t="shared" si="88"/>
        <v>0.47712125471966244</v>
      </c>
      <c r="M354">
        <f t="shared" si="85"/>
        <v>0</v>
      </c>
      <c r="N354">
        <v>70</v>
      </c>
      <c r="O354">
        <v>70</v>
      </c>
      <c r="P354">
        <v>92</v>
      </c>
      <c r="Q354" s="137">
        <f t="shared" si="89"/>
        <v>1.9637878273455553</v>
      </c>
      <c r="R354" s="34">
        <v>31.8</v>
      </c>
      <c r="S354" s="34">
        <f t="shared" si="90"/>
        <v>1.5024271199844328</v>
      </c>
      <c r="T354" s="42">
        <v>43.012424801889097</v>
      </c>
      <c r="U354" s="42">
        <f t="shared" si="91"/>
        <v>1.6335939263577708</v>
      </c>
      <c r="V354">
        <v>3.3209851425446502</v>
      </c>
      <c r="W354" s="14">
        <v>2</v>
      </c>
      <c r="X354">
        <v>3.9950367434689285</v>
      </c>
      <c r="Y354">
        <v>8</v>
      </c>
      <c r="Z354" s="80">
        <v>0.24549161710772971</v>
      </c>
      <c r="AA354">
        <v>5</v>
      </c>
      <c r="AB354">
        <f t="shared" si="92"/>
        <v>0</v>
      </c>
      <c r="AC354">
        <f t="shared" si="93"/>
        <v>0</v>
      </c>
      <c r="AD354">
        <f t="shared" si="94"/>
        <v>0</v>
      </c>
      <c r="AE354">
        <f t="shared" si="95"/>
        <v>0</v>
      </c>
      <c r="AF354">
        <f t="shared" si="96"/>
        <v>1</v>
      </c>
      <c r="AG354">
        <f t="shared" si="97"/>
        <v>0</v>
      </c>
      <c r="AH354">
        <f t="shared" si="98"/>
        <v>0</v>
      </c>
      <c r="AI354">
        <f t="shared" si="99"/>
        <v>0</v>
      </c>
      <c r="AJ354">
        <f t="shared" si="100"/>
        <v>0</v>
      </c>
      <c r="AK354">
        <f t="shared" si="101"/>
        <v>0</v>
      </c>
      <c r="AL354">
        <v>0</v>
      </c>
      <c r="AM354">
        <v>1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</row>
    <row r="355" spans="1:53" x14ac:dyDescent="0.35">
      <c r="A355">
        <v>-0.57818060962777795</v>
      </c>
      <c r="C355">
        <v>3.6767123287671235</v>
      </c>
      <c r="D355" s="137">
        <f t="shared" si="86"/>
        <v>0.56545965137649856</v>
      </c>
      <c r="E355">
        <v>0</v>
      </c>
      <c r="F355">
        <v>2.1072099696478683</v>
      </c>
      <c r="G355" s="45">
        <v>3.29</v>
      </c>
      <c r="H355" s="29">
        <f t="shared" si="87"/>
        <v>0.51719589794997434</v>
      </c>
      <c r="I355" s="9">
        <v>0</v>
      </c>
      <c r="J355" s="34">
        <v>0.14612803567823801</v>
      </c>
      <c r="K355">
        <v>2</v>
      </c>
      <c r="L355" s="137">
        <f t="shared" si="88"/>
        <v>0.3010299956639812</v>
      </c>
      <c r="M355">
        <f t="shared" si="85"/>
        <v>0</v>
      </c>
      <c r="N355">
        <v>70</v>
      </c>
      <c r="O355">
        <v>70</v>
      </c>
      <c r="P355">
        <v>94.1</v>
      </c>
      <c r="Q355" s="137">
        <f t="shared" si="89"/>
        <v>1.973589623427257</v>
      </c>
      <c r="R355" s="34">
        <v>32.200000000000003</v>
      </c>
      <c r="S355" s="34">
        <f t="shared" si="90"/>
        <v>1.507855871695831</v>
      </c>
      <c r="T355" s="42">
        <v>43.9397801796012</v>
      </c>
      <c r="U355" s="42">
        <f t="shared" si="91"/>
        <v>1.6428578799166489</v>
      </c>
      <c r="V355">
        <v>3.3209851425446502</v>
      </c>
      <c r="W355" s="14">
        <v>2</v>
      </c>
      <c r="X355">
        <v>3.9950367434689285</v>
      </c>
      <c r="Y355">
        <v>7.8792106052917594</v>
      </c>
      <c r="Z355" s="80">
        <v>0.1637768052108115</v>
      </c>
      <c r="AA355">
        <v>7</v>
      </c>
      <c r="AB355">
        <f t="shared" si="92"/>
        <v>0</v>
      </c>
      <c r="AC355">
        <f t="shared" si="93"/>
        <v>0</v>
      </c>
      <c r="AD355">
        <f t="shared" si="94"/>
        <v>0</v>
      </c>
      <c r="AE355">
        <f t="shared" si="95"/>
        <v>0</v>
      </c>
      <c r="AF355">
        <f t="shared" si="96"/>
        <v>0</v>
      </c>
      <c r="AG355">
        <f t="shared" si="97"/>
        <v>0</v>
      </c>
      <c r="AH355">
        <f t="shared" si="98"/>
        <v>1</v>
      </c>
      <c r="AI355">
        <f t="shared" si="99"/>
        <v>0</v>
      </c>
      <c r="AJ355">
        <f t="shared" si="100"/>
        <v>0</v>
      </c>
      <c r="AK355">
        <f t="shared" si="101"/>
        <v>0</v>
      </c>
      <c r="AL355">
        <v>0</v>
      </c>
      <c r="AM355">
        <v>1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</row>
    <row r="356" spans="1:53" x14ac:dyDescent="0.35">
      <c r="A356">
        <v>0.33775280268872104</v>
      </c>
      <c r="C356">
        <v>4.4109589041095889</v>
      </c>
      <c r="D356" s="137">
        <f t="shared" si="86"/>
        <v>0.64453301157537501</v>
      </c>
      <c r="E356">
        <v>0</v>
      </c>
      <c r="F356">
        <v>1.3424226808222062</v>
      </c>
      <c r="G356" s="45">
        <v>3.29</v>
      </c>
      <c r="H356" s="29">
        <f t="shared" si="87"/>
        <v>0.51719589794997434</v>
      </c>
      <c r="I356" s="9">
        <v>0</v>
      </c>
      <c r="J356" s="34">
        <v>0.17897694729316943</v>
      </c>
      <c r="K356">
        <v>0</v>
      </c>
      <c r="L356" s="137">
        <f t="shared" si="88"/>
        <v>0</v>
      </c>
      <c r="M356">
        <f t="shared" si="85"/>
        <v>0</v>
      </c>
      <c r="N356">
        <v>70</v>
      </c>
      <c r="O356">
        <v>70</v>
      </c>
      <c r="P356">
        <v>94.6</v>
      </c>
      <c r="Q356" s="137">
        <f t="shared" si="89"/>
        <v>1.9758911364017928</v>
      </c>
      <c r="R356" s="34">
        <v>33.200000000000003</v>
      </c>
      <c r="S356" s="34">
        <f t="shared" si="90"/>
        <v>1.5211380837040362</v>
      </c>
      <c r="T356" s="42">
        <v>45.921427555082097</v>
      </c>
      <c r="U356" s="42">
        <f t="shared" si="91"/>
        <v>1.6620153804713207</v>
      </c>
      <c r="V356">
        <v>3.3209851425446502</v>
      </c>
      <c r="W356" s="14">
        <v>2</v>
      </c>
      <c r="X356">
        <v>3.9950367434689285</v>
      </c>
      <c r="Y356">
        <v>8.075546961392531</v>
      </c>
      <c r="Z356" s="80">
        <v>9.6363563852232659E-2</v>
      </c>
      <c r="AA356">
        <v>4</v>
      </c>
      <c r="AB356">
        <f t="shared" si="92"/>
        <v>0</v>
      </c>
      <c r="AC356">
        <f t="shared" si="93"/>
        <v>0</v>
      </c>
      <c r="AD356">
        <f t="shared" si="94"/>
        <v>0</v>
      </c>
      <c r="AE356">
        <f t="shared" si="95"/>
        <v>1</v>
      </c>
      <c r="AF356">
        <f t="shared" si="96"/>
        <v>0</v>
      </c>
      <c r="AG356">
        <f t="shared" si="97"/>
        <v>0</v>
      </c>
      <c r="AH356">
        <f t="shared" si="98"/>
        <v>0</v>
      </c>
      <c r="AI356">
        <f t="shared" si="99"/>
        <v>0</v>
      </c>
      <c r="AJ356">
        <f t="shared" si="100"/>
        <v>0</v>
      </c>
      <c r="AK356">
        <f t="shared" si="101"/>
        <v>0</v>
      </c>
      <c r="AL356">
        <v>0</v>
      </c>
      <c r="AM356">
        <v>1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</row>
    <row r="357" spans="1:53" x14ac:dyDescent="0.35">
      <c r="A357">
        <v>0.51599281280936371</v>
      </c>
      <c r="C357">
        <v>3.7095890410958905</v>
      </c>
      <c r="D357" s="137">
        <f t="shared" si="86"/>
        <v>0.56932579989265086</v>
      </c>
      <c r="E357">
        <v>0</v>
      </c>
      <c r="F357">
        <v>1.2304489213782739</v>
      </c>
      <c r="G357" s="45">
        <v>3.29</v>
      </c>
      <c r="H357" s="29">
        <f t="shared" si="87"/>
        <v>0.51719589794997434</v>
      </c>
      <c r="I357" s="9">
        <v>0</v>
      </c>
      <c r="J357" s="34">
        <v>0.14301480025409513</v>
      </c>
      <c r="K357">
        <v>36</v>
      </c>
      <c r="L357" s="137">
        <f t="shared" si="88"/>
        <v>1.5563025007672873</v>
      </c>
      <c r="M357">
        <f t="shared" si="85"/>
        <v>0</v>
      </c>
      <c r="N357">
        <v>70</v>
      </c>
      <c r="O357">
        <v>70</v>
      </c>
      <c r="P357">
        <v>94.1</v>
      </c>
      <c r="Q357" s="137">
        <f t="shared" si="89"/>
        <v>1.973589623427257</v>
      </c>
      <c r="R357" s="34">
        <v>32.200000000000003</v>
      </c>
      <c r="S357" s="34">
        <f t="shared" si="90"/>
        <v>1.507855871695831</v>
      </c>
      <c r="T357" s="42">
        <v>43.9397801796012</v>
      </c>
      <c r="U357" s="42">
        <f t="shared" si="91"/>
        <v>1.6428578799166489</v>
      </c>
      <c r="V357">
        <v>3.1817251205543564</v>
      </c>
      <c r="W357" s="14">
        <v>2</v>
      </c>
      <c r="X357">
        <v>3.9234321312589846</v>
      </c>
      <c r="Y357">
        <v>8.6414741105040989</v>
      </c>
      <c r="Z357" s="80">
        <v>0.12473474434212939</v>
      </c>
      <c r="AA357">
        <v>4</v>
      </c>
      <c r="AB357">
        <f t="shared" si="92"/>
        <v>0</v>
      </c>
      <c r="AC357">
        <f t="shared" si="93"/>
        <v>0</v>
      </c>
      <c r="AD357">
        <f t="shared" si="94"/>
        <v>0</v>
      </c>
      <c r="AE357">
        <f t="shared" si="95"/>
        <v>1</v>
      </c>
      <c r="AF357">
        <f t="shared" si="96"/>
        <v>0</v>
      </c>
      <c r="AG357">
        <f t="shared" si="97"/>
        <v>0</v>
      </c>
      <c r="AH357">
        <f t="shared" si="98"/>
        <v>0</v>
      </c>
      <c r="AI357">
        <f t="shared" si="99"/>
        <v>0</v>
      </c>
      <c r="AJ357">
        <f t="shared" si="100"/>
        <v>0</v>
      </c>
      <c r="AK357">
        <f t="shared" si="101"/>
        <v>0</v>
      </c>
      <c r="AL357">
        <v>0</v>
      </c>
      <c r="AM357">
        <v>1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</row>
    <row r="358" spans="1:53" x14ac:dyDescent="0.35">
      <c r="A358">
        <v>0.3979400086720376</v>
      </c>
      <c r="C358">
        <v>4.3397260273972602</v>
      </c>
      <c r="D358" s="137">
        <f t="shared" si="86"/>
        <v>0.63746231279699994</v>
      </c>
      <c r="E358">
        <v>0</v>
      </c>
      <c r="F358">
        <v>1.1760912590556813</v>
      </c>
      <c r="G358" s="45">
        <v>3.29</v>
      </c>
      <c r="H358" s="29">
        <f t="shared" si="87"/>
        <v>0.51719589794997434</v>
      </c>
      <c r="I358" s="9">
        <v>0</v>
      </c>
      <c r="J358" s="34">
        <v>0.17609125905568124</v>
      </c>
      <c r="K358">
        <v>34</v>
      </c>
      <c r="L358" s="137">
        <f t="shared" si="88"/>
        <v>1.5314789170422551</v>
      </c>
      <c r="M358">
        <f t="shared" si="85"/>
        <v>0</v>
      </c>
      <c r="N358">
        <v>70</v>
      </c>
      <c r="O358">
        <v>70</v>
      </c>
      <c r="P358">
        <v>92</v>
      </c>
      <c r="Q358" s="137">
        <f t="shared" si="89"/>
        <v>1.9637878273455553</v>
      </c>
      <c r="R358" s="34">
        <v>31.8</v>
      </c>
      <c r="S358" s="34">
        <f t="shared" si="90"/>
        <v>1.5024271199844328</v>
      </c>
      <c r="T358" s="42">
        <v>43.012424801889097</v>
      </c>
      <c r="U358" s="42">
        <f t="shared" si="91"/>
        <v>1.6335939263577708</v>
      </c>
      <c r="V358">
        <v>3.1606353037386858</v>
      </c>
      <c r="W358" s="14">
        <v>2</v>
      </c>
      <c r="X358">
        <v>3.9767438733352263</v>
      </c>
      <c r="Y358">
        <v>8.6020599913279625</v>
      </c>
      <c r="Z358" s="80">
        <v>0.16514520018340106</v>
      </c>
      <c r="AA358">
        <v>9</v>
      </c>
      <c r="AB358">
        <f t="shared" si="92"/>
        <v>0</v>
      </c>
      <c r="AC358">
        <f t="shared" si="93"/>
        <v>0</v>
      </c>
      <c r="AD358">
        <f t="shared" si="94"/>
        <v>0</v>
      </c>
      <c r="AE358">
        <f t="shared" si="95"/>
        <v>0</v>
      </c>
      <c r="AF358">
        <f t="shared" si="96"/>
        <v>0</v>
      </c>
      <c r="AG358">
        <f t="shared" si="97"/>
        <v>0</v>
      </c>
      <c r="AH358">
        <f t="shared" si="98"/>
        <v>0</v>
      </c>
      <c r="AI358">
        <f t="shared" si="99"/>
        <v>0</v>
      </c>
      <c r="AJ358">
        <f t="shared" si="100"/>
        <v>1</v>
      </c>
      <c r="AK358">
        <f t="shared" si="101"/>
        <v>0</v>
      </c>
      <c r="AL358">
        <v>0</v>
      </c>
      <c r="AM358">
        <v>1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</row>
    <row r="359" spans="1:53" x14ac:dyDescent="0.35">
      <c r="A359">
        <v>-0.27378151671391243</v>
      </c>
      <c r="C359">
        <v>2.2000000000000002</v>
      </c>
      <c r="D359" s="137">
        <f t="shared" si="86"/>
        <v>0.34242268082220628</v>
      </c>
      <c r="E359">
        <v>0</v>
      </c>
      <c r="F359">
        <v>1.4313637641589874</v>
      </c>
      <c r="G359" s="45">
        <v>3.29</v>
      </c>
      <c r="H359" s="29">
        <f t="shared" si="87"/>
        <v>0.51719589794997434</v>
      </c>
      <c r="I359" s="9">
        <v>0</v>
      </c>
      <c r="J359" s="34">
        <v>0.15228834438305647</v>
      </c>
      <c r="K359">
        <v>32</v>
      </c>
      <c r="L359" s="137">
        <f t="shared" si="88"/>
        <v>1.505149978319906</v>
      </c>
      <c r="M359">
        <f t="shared" si="85"/>
        <v>0</v>
      </c>
      <c r="N359">
        <v>70</v>
      </c>
      <c r="O359">
        <v>70</v>
      </c>
      <c r="P359">
        <v>94.7</v>
      </c>
      <c r="Q359" s="137">
        <f t="shared" si="89"/>
        <v>1.9763499790032735</v>
      </c>
      <c r="R359" s="34">
        <v>32.4</v>
      </c>
      <c r="S359" s="34">
        <f t="shared" si="90"/>
        <v>1.510545010206612</v>
      </c>
      <c r="T359" s="42">
        <v>45.737088331856903</v>
      </c>
      <c r="U359" s="42">
        <f t="shared" si="91"/>
        <v>1.6602685135357675</v>
      </c>
      <c r="V359">
        <v>3.1606353037386858</v>
      </c>
      <c r="W359" s="14">
        <v>2</v>
      </c>
      <c r="X359">
        <v>3.9767438733352263</v>
      </c>
      <c r="Y359">
        <v>8.9384234922700383</v>
      </c>
      <c r="Z359" s="80">
        <v>0.14494826935313854</v>
      </c>
      <c r="AA359">
        <v>6</v>
      </c>
      <c r="AB359">
        <f t="shared" si="92"/>
        <v>0</v>
      </c>
      <c r="AC359">
        <f t="shared" si="93"/>
        <v>0</v>
      </c>
      <c r="AD359">
        <f t="shared" si="94"/>
        <v>0</v>
      </c>
      <c r="AE359">
        <f t="shared" si="95"/>
        <v>0</v>
      </c>
      <c r="AF359">
        <f t="shared" si="96"/>
        <v>0</v>
      </c>
      <c r="AG359">
        <f t="shared" si="97"/>
        <v>1</v>
      </c>
      <c r="AH359">
        <f t="shared" si="98"/>
        <v>0</v>
      </c>
      <c r="AI359">
        <f t="shared" si="99"/>
        <v>0</v>
      </c>
      <c r="AJ359">
        <f t="shared" si="100"/>
        <v>0</v>
      </c>
      <c r="AK359">
        <f t="shared" si="101"/>
        <v>0</v>
      </c>
      <c r="AL359">
        <v>0</v>
      </c>
      <c r="AM359">
        <v>1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</row>
    <row r="360" spans="1:53" x14ac:dyDescent="0.35">
      <c r="A360">
        <v>0.22577904324478879</v>
      </c>
      <c r="C360">
        <v>2.7150684931506848</v>
      </c>
      <c r="D360" s="137">
        <f t="shared" si="86"/>
        <v>0.4337807900288006</v>
      </c>
      <c r="E360">
        <v>3.7707754512906644</v>
      </c>
      <c r="F360">
        <v>1.6020599913279623</v>
      </c>
      <c r="G360" s="45">
        <v>2.3199999999999998</v>
      </c>
      <c r="H360" s="29">
        <f t="shared" si="87"/>
        <v>0.36548798489089962</v>
      </c>
      <c r="I360" s="9">
        <v>2.1238516409670858</v>
      </c>
      <c r="J360" s="34">
        <v>0.17897694729316943</v>
      </c>
      <c r="K360">
        <v>28</v>
      </c>
      <c r="L360" s="137">
        <f t="shared" si="88"/>
        <v>1.4471580313422192</v>
      </c>
      <c r="M360">
        <f t="shared" si="85"/>
        <v>1</v>
      </c>
      <c r="N360">
        <v>70</v>
      </c>
      <c r="O360">
        <v>70</v>
      </c>
      <c r="P360">
        <v>94.7</v>
      </c>
      <c r="Q360" s="137">
        <f t="shared" si="89"/>
        <v>1.9763499790032735</v>
      </c>
      <c r="R360" s="34">
        <v>32.4</v>
      </c>
      <c r="S360" s="34">
        <f t="shared" si="90"/>
        <v>1.510545010206612</v>
      </c>
      <c r="T360" s="42">
        <v>45.737088331856903</v>
      </c>
      <c r="U360" s="42">
        <f t="shared" si="91"/>
        <v>1.6602685135357675</v>
      </c>
      <c r="V360">
        <v>3.3240201037352737</v>
      </c>
      <c r="W360" s="14">
        <v>1</v>
      </c>
      <c r="X360">
        <v>3.7683162170970865</v>
      </c>
      <c r="Y360">
        <v>9.0413926851582254</v>
      </c>
      <c r="Z360" s="80">
        <v>0.27328825797933654</v>
      </c>
      <c r="AA360">
        <v>4</v>
      </c>
      <c r="AB360">
        <f t="shared" si="92"/>
        <v>0</v>
      </c>
      <c r="AC360">
        <f t="shared" si="93"/>
        <v>0</v>
      </c>
      <c r="AD360">
        <f t="shared" si="94"/>
        <v>0</v>
      </c>
      <c r="AE360">
        <f t="shared" si="95"/>
        <v>1</v>
      </c>
      <c r="AF360">
        <f t="shared" si="96"/>
        <v>0</v>
      </c>
      <c r="AG360">
        <f t="shared" si="97"/>
        <v>0</v>
      </c>
      <c r="AH360">
        <f t="shared" si="98"/>
        <v>0</v>
      </c>
      <c r="AI360">
        <f t="shared" si="99"/>
        <v>0</v>
      </c>
      <c r="AJ360">
        <f t="shared" si="100"/>
        <v>0</v>
      </c>
      <c r="AK360">
        <f t="shared" si="101"/>
        <v>0</v>
      </c>
      <c r="AL360">
        <v>0</v>
      </c>
      <c r="AM360">
        <v>1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</row>
    <row r="361" spans="1:53" x14ac:dyDescent="0.35">
      <c r="A361">
        <v>0.93682629938750739</v>
      </c>
      <c r="C361">
        <v>4.7123287671232879</v>
      </c>
      <c r="D361" s="137">
        <f t="shared" si="86"/>
        <v>0.67323558245107418</v>
      </c>
      <c r="E361">
        <v>2.8904489647796185</v>
      </c>
      <c r="F361">
        <v>1.1760912590556813</v>
      </c>
      <c r="G361" s="45">
        <v>3.18</v>
      </c>
      <c r="H361" s="29">
        <f t="shared" si="87"/>
        <v>0.50242711998443268</v>
      </c>
      <c r="I361" s="9">
        <v>2.4068239403146179</v>
      </c>
      <c r="J361" s="34">
        <v>0.19312459835446161</v>
      </c>
      <c r="K361">
        <v>17</v>
      </c>
      <c r="L361" s="137">
        <f t="shared" si="88"/>
        <v>1.2304489213782739</v>
      </c>
      <c r="M361">
        <f t="shared" si="85"/>
        <v>1</v>
      </c>
      <c r="N361">
        <v>70</v>
      </c>
      <c r="O361">
        <v>70</v>
      </c>
      <c r="P361">
        <v>94.1</v>
      </c>
      <c r="Q361" s="137">
        <f t="shared" si="89"/>
        <v>1.973589623427257</v>
      </c>
      <c r="R361" s="34">
        <v>32.200000000000003</v>
      </c>
      <c r="S361" s="34">
        <f t="shared" si="90"/>
        <v>1.507855871695831</v>
      </c>
      <c r="T361" s="42">
        <v>43.9397801796012</v>
      </c>
      <c r="U361" s="42">
        <f t="shared" si="91"/>
        <v>1.6428578799166489</v>
      </c>
      <c r="V361">
        <v>3.5043430043452655</v>
      </c>
      <c r="W361" s="14">
        <v>4</v>
      </c>
      <c r="X361">
        <v>3.6731863116447854</v>
      </c>
      <c r="Y361">
        <v>7.3010299956639813</v>
      </c>
      <c r="Z361" s="80">
        <v>0.15580699866785341</v>
      </c>
      <c r="AA361">
        <v>9</v>
      </c>
      <c r="AB361">
        <f t="shared" si="92"/>
        <v>0</v>
      </c>
      <c r="AC361">
        <f t="shared" si="93"/>
        <v>0</v>
      </c>
      <c r="AD361">
        <f t="shared" si="94"/>
        <v>0</v>
      </c>
      <c r="AE361">
        <f t="shared" si="95"/>
        <v>0</v>
      </c>
      <c r="AF361">
        <f t="shared" si="96"/>
        <v>0</v>
      </c>
      <c r="AG361">
        <f t="shared" si="97"/>
        <v>0</v>
      </c>
      <c r="AH361">
        <f t="shared" si="98"/>
        <v>0</v>
      </c>
      <c r="AI361">
        <f t="shared" si="99"/>
        <v>0</v>
      </c>
      <c r="AJ361">
        <f t="shared" si="100"/>
        <v>1</v>
      </c>
      <c r="AK361">
        <f t="shared" si="101"/>
        <v>0</v>
      </c>
      <c r="AL361">
        <v>0</v>
      </c>
      <c r="AM361">
        <v>1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</row>
    <row r="362" spans="1:53" x14ac:dyDescent="0.35">
      <c r="A362">
        <v>0.28399665636520083</v>
      </c>
      <c r="C362">
        <v>2.978082191780822</v>
      </c>
      <c r="D362" s="137">
        <f t="shared" si="86"/>
        <v>0.47393667962981983</v>
      </c>
      <c r="E362">
        <v>0</v>
      </c>
      <c r="F362">
        <v>1.4913616938342726</v>
      </c>
      <c r="G362" s="45">
        <v>3.29</v>
      </c>
      <c r="H362" s="29">
        <f t="shared" si="87"/>
        <v>0.51719589794997434</v>
      </c>
      <c r="I362" s="9">
        <v>0</v>
      </c>
      <c r="J362" s="34">
        <v>0.10380372095595687</v>
      </c>
      <c r="K362">
        <v>13</v>
      </c>
      <c r="L362" s="137">
        <f t="shared" si="88"/>
        <v>1.1139433523068367</v>
      </c>
      <c r="M362">
        <f t="shared" si="85"/>
        <v>0</v>
      </c>
      <c r="N362">
        <v>70</v>
      </c>
      <c r="O362">
        <v>70</v>
      </c>
      <c r="P362">
        <v>92</v>
      </c>
      <c r="Q362" s="137">
        <f t="shared" si="89"/>
        <v>1.9637878273455553</v>
      </c>
      <c r="R362" s="34">
        <v>31.8</v>
      </c>
      <c r="S362" s="34">
        <f t="shared" si="90"/>
        <v>1.5024271199844328</v>
      </c>
      <c r="T362" s="42">
        <v>43.012424801889097</v>
      </c>
      <c r="U362" s="42">
        <f t="shared" si="91"/>
        <v>1.6335939263577708</v>
      </c>
      <c r="V362">
        <v>3.4875507829385946</v>
      </c>
      <c r="W362" s="14">
        <v>2</v>
      </c>
      <c r="X362">
        <v>4</v>
      </c>
      <c r="Y362">
        <v>8.1139433523068369</v>
      </c>
      <c r="Z362" s="80">
        <v>0.14700739568081045</v>
      </c>
      <c r="AA362">
        <v>5</v>
      </c>
      <c r="AB362">
        <f t="shared" si="92"/>
        <v>0</v>
      </c>
      <c r="AC362">
        <f t="shared" si="93"/>
        <v>0</v>
      </c>
      <c r="AD362">
        <f t="shared" si="94"/>
        <v>0</v>
      </c>
      <c r="AE362">
        <f t="shared" si="95"/>
        <v>0</v>
      </c>
      <c r="AF362">
        <f t="shared" si="96"/>
        <v>1</v>
      </c>
      <c r="AG362">
        <f t="shared" si="97"/>
        <v>0</v>
      </c>
      <c r="AH362">
        <f t="shared" si="98"/>
        <v>0</v>
      </c>
      <c r="AI362">
        <f t="shared" si="99"/>
        <v>0</v>
      </c>
      <c r="AJ362">
        <f t="shared" si="100"/>
        <v>0</v>
      </c>
      <c r="AK362">
        <f t="shared" si="101"/>
        <v>0</v>
      </c>
      <c r="AL362">
        <v>0</v>
      </c>
      <c r="AM362">
        <v>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</row>
    <row r="363" spans="1:53" x14ac:dyDescent="0.35">
      <c r="A363">
        <v>0.7995493950848741</v>
      </c>
      <c r="C363">
        <v>3.9397260273972603</v>
      </c>
      <c r="D363" s="137">
        <f t="shared" si="86"/>
        <v>0.59546602159038908</v>
      </c>
      <c r="E363">
        <v>0</v>
      </c>
      <c r="F363">
        <v>1.3802112417116059</v>
      </c>
      <c r="G363" s="45">
        <v>3.29</v>
      </c>
      <c r="H363" s="29">
        <f t="shared" si="87"/>
        <v>0.51719589794997434</v>
      </c>
      <c r="I363" s="9">
        <v>0</v>
      </c>
      <c r="J363" s="34">
        <v>0.18184358794477254</v>
      </c>
      <c r="K363">
        <v>12</v>
      </c>
      <c r="L363" s="137">
        <f t="shared" si="88"/>
        <v>1.0791812460476249</v>
      </c>
      <c r="M363">
        <f t="shared" si="85"/>
        <v>0</v>
      </c>
      <c r="N363">
        <v>70</v>
      </c>
      <c r="O363">
        <v>70</v>
      </c>
      <c r="P363">
        <v>94.1</v>
      </c>
      <c r="Q363" s="137">
        <f t="shared" si="89"/>
        <v>1.973589623427257</v>
      </c>
      <c r="R363" s="34">
        <v>32.200000000000003</v>
      </c>
      <c r="S363" s="34">
        <f t="shared" si="90"/>
        <v>1.507855871695831</v>
      </c>
      <c r="T363" s="42">
        <v>43.9397801796012</v>
      </c>
      <c r="U363" s="42">
        <f t="shared" si="91"/>
        <v>1.6428578799166489</v>
      </c>
      <c r="V363">
        <v>3.4875507829385946</v>
      </c>
      <c r="W363" s="14">
        <v>2</v>
      </c>
      <c r="X363">
        <v>4</v>
      </c>
      <c r="Y363">
        <v>7.5185139398778871</v>
      </c>
      <c r="Z363" s="80">
        <v>0.2031519697052786</v>
      </c>
      <c r="AA363">
        <v>6</v>
      </c>
      <c r="AB363">
        <f t="shared" si="92"/>
        <v>0</v>
      </c>
      <c r="AC363">
        <f t="shared" si="93"/>
        <v>0</v>
      </c>
      <c r="AD363">
        <f t="shared" si="94"/>
        <v>0</v>
      </c>
      <c r="AE363">
        <f t="shared" si="95"/>
        <v>0</v>
      </c>
      <c r="AF363">
        <f t="shared" si="96"/>
        <v>0</v>
      </c>
      <c r="AG363">
        <f t="shared" si="97"/>
        <v>1</v>
      </c>
      <c r="AH363">
        <f t="shared" si="98"/>
        <v>0</v>
      </c>
      <c r="AI363">
        <f t="shared" si="99"/>
        <v>0</v>
      </c>
      <c r="AJ363">
        <f t="shared" si="100"/>
        <v>0</v>
      </c>
      <c r="AK363">
        <f t="shared" si="101"/>
        <v>0</v>
      </c>
      <c r="AL363">
        <v>0</v>
      </c>
      <c r="AM363">
        <v>1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</row>
    <row r="364" spans="1:53" x14ac:dyDescent="0.35">
      <c r="A364">
        <v>0.41029207058620576</v>
      </c>
      <c r="C364">
        <v>3.106849315068493</v>
      </c>
      <c r="D364" s="137">
        <f t="shared" si="86"/>
        <v>0.49232019010041306</v>
      </c>
      <c r="E364">
        <v>0</v>
      </c>
      <c r="F364">
        <v>1.6020599913279623</v>
      </c>
      <c r="G364" s="45">
        <v>3.29</v>
      </c>
      <c r="H364" s="29">
        <f t="shared" si="87"/>
        <v>0.51719589794997434</v>
      </c>
      <c r="I364" s="9">
        <v>0</v>
      </c>
      <c r="J364" s="34">
        <v>0.10037054511756291</v>
      </c>
      <c r="K364">
        <v>8</v>
      </c>
      <c r="L364" s="137">
        <f t="shared" si="88"/>
        <v>0.90308998699194354</v>
      </c>
      <c r="M364">
        <f t="shared" si="85"/>
        <v>0</v>
      </c>
      <c r="N364">
        <v>70</v>
      </c>
      <c r="O364">
        <v>70</v>
      </c>
      <c r="P364">
        <v>92</v>
      </c>
      <c r="Q364" s="137">
        <f t="shared" si="89"/>
        <v>1.9637878273455553</v>
      </c>
      <c r="R364" s="34">
        <v>31.8</v>
      </c>
      <c r="S364" s="34">
        <f t="shared" si="90"/>
        <v>1.5024271199844328</v>
      </c>
      <c r="T364" s="42">
        <v>43.012424801889097</v>
      </c>
      <c r="U364" s="42">
        <f t="shared" si="91"/>
        <v>1.6335939263577708</v>
      </c>
      <c r="V364">
        <v>3.3948757743780882</v>
      </c>
      <c r="W364" s="14">
        <v>4</v>
      </c>
      <c r="X364">
        <v>3.9596629940481844</v>
      </c>
      <c r="Y364">
        <v>7.9030899869919438</v>
      </c>
      <c r="Z364" s="80">
        <v>0.12835254643349514</v>
      </c>
      <c r="AA364">
        <v>5</v>
      </c>
      <c r="AB364">
        <f t="shared" si="92"/>
        <v>0</v>
      </c>
      <c r="AC364">
        <f t="shared" si="93"/>
        <v>0</v>
      </c>
      <c r="AD364">
        <f t="shared" si="94"/>
        <v>0</v>
      </c>
      <c r="AE364">
        <f t="shared" si="95"/>
        <v>0</v>
      </c>
      <c r="AF364">
        <f t="shared" si="96"/>
        <v>1</v>
      </c>
      <c r="AG364">
        <f t="shared" si="97"/>
        <v>0</v>
      </c>
      <c r="AH364">
        <f t="shared" si="98"/>
        <v>0</v>
      </c>
      <c r="AI364">
        <f t="shared" si="99"/>
        <v>0</v>
      </c>
      <c r="AJ364">
        <f t="shared" si="100"/>
        <v>0</v>
      </c>
      <c r="AK364">
        <f t="shared" si="101"/>
        <v>0</v>
      </c>
      <c r="AL364">
        <v>0</v>
      </c>
      <c r="AM364">
        <v>1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</row>
    <row r="365" spans="1:53" x14ac:dyDescent="0.35">
      <c r="A365">
        <v>0.76362344321178399</v>
      </c>
      <c r="C365">
        <v>2.9917808219178084</v>
      </c>
      <c r="D365" s="137">
        <f t="shared" si="86"/>
        <v>0.47592977391224373</v>
      </c>
      <c r="E365">
        <v>0</v>
      </c>
      <c r="F365">
        <v>1.5440680443502757</v>
      </c>
      <c r="G365" s="45">
        <v>2.95</v>
      </c>
      <c r="H365" s="29">
        <f t="shared" si="87"/>
        <v>0.46982201597816303</v>
      </c>
      <c r="I365" s="9">
        <v>0</v>
      </c>
      <c r="J365" s="34">
        <v>0.11394335230683679</v>
      </c>
      <c r="K365">
        <v>20</v>
      </c>
      <c r="L365" s="137">
        <f t="shared" si="88"/>
        <v>1.3010299956639813</v>
      </c>
      <c r="M365">
        <f t="shared" si="85"/>
        <v>0</v>
      </c>
      <c r="N365">
        <v>70</v>
      </c>
      <c r="O365">
        <v>70</v>
      </c>
      <c r="P365">
        <v>91.1</v>
      </c>
      <c r="Q365" s="137">
        <f t="shared" si="89"/>
        <v>1.9595183769729982</v>
      </c>
      <c r="R365" s="34">
        <v>24.1</v>
      </c>
      <c r="S365" s="34">
        <f t="shared" si="90"/>
        <v>1.3820170425748683</v>
      </c>
      <c r="T365" s="42">
        <v>40.229046020662899</v>
      </c>
      <c r="U365" s="42">
        <f t="shared" si="91"/>
        <v>1.6045397339663818</v>
      </c>
      <c r="V365">
        <v>3.1628767233771686</v>
      </c>
      <c r="W365" s="14">
        <v>2</v>
      </c>
      <c r="X365">
        <v>3.6087947637270492</v>
      </c>
      <c r="Y365">
        <v>9.1443250784004881</v>
      </c>
      <c r="Z365" s="80">
        <v>7.457563516382959E-2</v>
      </c>
      <c r="AA365">
        <v>2</v>
      </c>
      <c r="AB365">
        <f t="shared" si="92"/>
        <v>0</v>
      </c>
      <c r="AC365">
        <f t="shared" si="93"/>
        <v>1</v>
      </c>
      <c r="AD365">
        <f t="shared" si="94"/>
        <v>0</v>
      </c>
      <c r="AE365">
        <f t="shared" si="95"/>
        <v>0</v>
      </c>
      <c r="AF365">
        <f t="shared" si="96"/>
        <v>0</v>
      </c>
      <c r="AG365">
        <f t="shared" si="97"/>
        <v>0</v>
      </c>
      <c r="AH365">
        <f t="shared" si="98"/>
        <v>0</v>
      </c>
      <c r="AI365">
        <f t="shared" si="99"/>
        <v>0</v>
      </c>
      <c r="AJ365">
        <f t="shared" si="100"/>
        <v>0</v>
      </c>
      <c r="AK365">
        <f t="shared" si="101"/>
        <v>0</v>
      </c>
      <c r="AL365">
        <v>1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</row>
    <row r="366" spans="1:53" x14ac:dyDescent="0.35">
      <c r="A366">
        <v>-0.39013890701945303</v>
      </c>
      <c r="C366">
        <v>1.7945205479452055</v>
      </c>
      <c r="D366" s="137">
        <f t="shared" si="86"/>
        <v>0.25394843553530838</v>
      </c>
      <c r="E366">
        <v>0</v>
      </c>
      <c r="F366">
        <v>1.7558748556724915</v>
      </c>
      <c r="G366" s="45">
        <v>2.95</v>
      </c>
      <c r="H366" s="29">
        <f t="shared" si="87"/>
        <v>0.46982201597816303</v>
      </c>
      <c r="I366" s="9">
        <v>0</v>
      </c>
      <c r="J366" s="34">
        <v>4.5322978786657475E-2</v>
      </c>
      <c r="K366">
        <v>10</v>
      </c>
      <c r="L366" s="137">
        <f t="shared" si="88"/>
        <v>1</v>
      </c>
      <c r="M366">
        <f t="shared" si="85"/>
        <v>0</v>
      </c>
      <c r="N366">
        <v>70</v>
      </c>
      <c r="O366">
        <v>70</v>
      </c>
      <c r="P366">
        <v>88.8</v>
      </c>
      <c r="Q366" s="137">
        <f t="shared" si="89"/>
        <v>1.9484129657786009</v>
      </c>
      <c r="R366" s="34">
        <v>26.2</v>
      </c>
      <c r="S366" s="34">
        <f t="shared" si="90"/>
        <v>1.4183012913197455</v>
      </c>
      <c r="T366" s="42">
        <v>37.927180176051799</v>
      </c>
      <c r="U366" s="42">
        <f t="shared" si="91"/>
        <v>1.578950554817099</v>
      </c>
      <c r="V366">
        <v>3.21397828825565</v>
      </c>
      <c r="W366" s="14">
        <v>4</v>
      </c>
      <c r="X366">
        <v>3.7003857985219217</v>
      </c>
      <c r="Y366">
        <v>8.6020599913279625</v>
      </c>
      <c r="Z366" s="80">
        <v>4.2683001379562269E-2</v>
      </c>
      <c r="AA366">
        <v>5</v>
      </c>
      <c r="AB366">
        <f t="shared" si="92"/>
        <v>0</v>
      </c>
      <c r="AC366">
        <f t="shared" si="93"/>
        <v>0</v>
      </c>
      <c r="AD366">
        <f t="shared" si="94"/>
        <v>0</v>
      </c>
      <c r="AE366">
        <f t="shared" si="95"/>
        <v>0</v>
      </c>
      <c r="AF366">
        <f t="shared" si="96"/>
        <v>1</v>
      </c>
      <c r="AG366">
        <f t="shared" si="97"/>
        <v>0</v>
      </c>
      <c r="AH366">
        <f t="shared" si="98"/>
        <v>0</v>
      </c>
      <c r="AI366">
        <f t="shared" si="99"/>
        <v>0</v>
      </c>
      <c r="AJ366">
        <f t="shared" si="100"/>
        <v>0</v>
      </c>
      <c r="AK366">
        <f t="shared" si="101"/>
        <v>0</v>
      </c>
      <c r="AL366">
        <v>1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</row>
    <row r="367" spans="1:53" x14ac:dyDescent="0.35">
      <c r="A367">
        <v>0.37787002589670354</v>
      </c>
      <c r="C367">
        <v>4.2</v>
      </c>
      <c r="D367" s="137">
        <f t="shared" si="86"/>
        <v>0.62324929039790045</v>
      </c>
      <c r="E367">
        <v>0</v>
      </c>
      <c r="F367">
        <v>1.2304489213782739</v>
      </c>
      <c r="G367" s="45">
        <v>2.95</v>
      </c>
      <c r="H367" s="29">
        <f t="shared" si="87"/>
        <v>0.46982201597816303</v>
      </c>
      <c r="I367" s="9">
        <v>0</v>
      </c>
      <c r="J367" s="34">
        <v>0.17026171539495738</v>
      </c>
      <c r="K367">
        <v>15</v>
      </c>
      <c r="L367" s="137">
        <f t="shared" si="88"/>
        <v>1.1760912590556813</v>
      </c>
      <c r="M367">
        <f t="shared" si="85"/>
        <v>0</v>
      </c>
      <c r="N367">
        <v>70</v>
      </c>
      <c r="O367">
        <v>70</v>
      </c>
      <c r="P367">
        <v>89.2</v>
      </c>
      <c r="Q367" s="137">
        <f t="shared" si="89"/>
        <v>1.9503648543761232</v>
      </c>
      <c r="R367" s="34">
        <v>26</v>
      </c>
      <c r="S367" s="34">
        <f t="shared" si="90"/>
        <v>1.414973347970818</v>
      </c>
      <c r="T367" s="42">
        <v>38.344872802923099</v>
      </c>
      <c r="U367" s="42">
        <f t="shared" si="91"/>
        <v>1.5837073014724459</v>
      </c>
      <c r="V367">
        <v>3.5168755324519045</v>
      </c>
      <c r="W367" s="14">
        <v>2</v>
      </c>
      <c r="X367">
        <v>3.8089018284940463</v>
      </c>
      <c r="Y367">
        <v>8.4913616938342731</v>
      </c>
      <c r="Z367" s="80">
        <v>0.1373448157095265</v>
      </c>
      <c r="AA367">
        <v>9</v>
      </c>
      <c r="AB367">
        <f t="shared" si="92"/>
        <v>0</v>
      </c>
      <c r="AC367">
        <f t="shared" si="93"/>
        <v>0</v>
      </c>
      <c r="AD367">
        <f t="shared" si="94"/>
        <v>0</v>
      </c>
      <c r="AE367">
        <f t="shared" si="95"/>
        <v>0</v>
      </c>
      <c r="AF367">
        <f t="shared" si="96"/>
        <v>0</v>
      </c>
      <c r="AG367">
        <f t="shared" si="97"/>
        <v>0</v>
      </c>
      <c r="AH367">
        <f t="shared" si="98"/>
        <v>0</v>
      </c>
      <c r="AI367">
        <f t="shared" si="99"/>
        <v>0</v>
      </c>
      <c r="AJ367">
        <f t="shared" si="100"/>
        <v>1</v>
      </c>
      <c r="AK367">
        <f t="shared" si="101"/>
        <v>0</v>
      </c>
      <c r="AL367">
        <v>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</row>
    <row r="368" spans="1:53" x14ac:dyDescent="0.35">
      <c r="A368">
        <v>0.77815125038364363</v>
      </c>
      <c r="C368">
        <v>2.1479452054794521</v>
      </c>
      <c r="D368" s="137">
        <f t="shared" si="86"/>
        <v>0.33202319822796372</v>
      </c>
      <c r="E368">
        <v>0</v>
      </c>
      <c r="F368">
        <v>1.5440680443502757</v>
      </c>
      <c r="G368" s="45">
        <v>2.95</v>
      </c>
      <c r="H368" s="29">
        <f t="shared" si="87"/>
        <v>0.46982201597816303</v>
      </c>
      <c r="I368" s="9">
        <v>0</v>
      </c>
      <c r="J368" s="34">
        <v>4.5322978786657475E-2</v>
      </c>
      <c r="K368">
        <v>7</v>
      </c>
      <c r="L368" s="137">
        <f t="shared" si="88"/>
        <v>0.84509804001425681</v>
      </c>
      <c r="M368">
        <f t="shared" si="85"/>
        <v>0</v>
      </c>
      <c r="N368">
        <v>70</v>
      </c>
      <c r="O368">
        <v>70</v>
      </c>
      <c r="P368">
        <v>89.2</v>
      </c>
      <c r="Q368" s="137">
        <f t="shared" si="89"/>
        <v>1.9503648543761232</v>
      </c>
      <c r="R368" s="34">
        <v>26</v>
      </c>
      <c r="S368" s="34">
        <f t="shared" si="90"/>
        <v>1.414973347970818</v>
      </c>
      <c r="T368" s="42">
        <v>38.344872802923099</v>
      </c>
      <c r="U368" s="42">
        <f t="shared" si="91"/>
        <v>1.5837073014724459</v>
      </c>
      <c r="V368">
        <v>3.447158031342219</v>
      </c>
      <c r="W368" s="14">
        <v>5</v>
      </c>
      <c r="X368">
        <v>3.9259642328190694</v>
      </c>
      <c r="Y368">
        <v>7.9542425094393252</v>
      </c>
      <c r="Z368" s="80">
        <v>-6.0414164772172096E-2</v>
      </c>
      <c r="AA368">
        <v>9</v>
      </c>
      <c r="AB368">
        <f t="shared" si="92"/>
        <v>0</v>
      </c>
      <c r="AC368">
        <f t="shared" si="93"/>
        <v>0</v>
      </c>
      <c r="AD368">
        <f t="shared" si="94"/>
        <v>0</v>
      </c>
      <c r="AE368">
        <f t="shared" si="95"/>
        <v>0</v>
      </c>
      <c r="AF368">
        <f t="shared" si="96"/>
        <v>0</v>
      </c>
      <c r="AG368">
        <f t="shared" si="97"/>
        <v>0</v>
      </c>
      <c r="AH368">
        <f t="shared" si="98"/>
        <v>0</v>
      </c>
      <c r="AI368">
        <f t="shared" si="99"/>
        <v>0</v>
      </c>
      <c r="AJ368">
        <f t="shared" si="100"/>
        <v>1</v>
      </c>
      <c r="AK368">
        <f t="shared" si="101"/>
        <v>0</v>
      </c>
      <c r="AL368">
        <v>1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</row>
    <row r="369" spans="1:53" x14ac:dyDescent="0.35">
      <c r="A369">
        <v>0.47172622283295623</v>
      </c>
      <c r="C369">
        <v>4.5232876712328771</v>
      </c>
      <c r="D369" s="137">
        <f t="shared" si="86"/>
        <v>0.65545420880631899</v>
      </c>
      <c r="E369">
        <v>0</v>
      </c>
      <c r="F369">
        <v>1.6627578316815741</v>
      </c>
      <c r="G369" s="45">
        <v>2.95</v>
      </c>
      <c r="H369" s="29">
        <f t="shared" si="87"/>
        <v>0.46982201597816303</v>
      </c>
      <c r="I369" s="9">
        <v>0</v>
      </c>
      <c r="J369" s="34">
        <v>0.23299611039215382</v>
      </c>
      <c r="K369">
        <v>32</v>
      </c>
      <c r="L369" s="137">
        <f t="shared" si="88"/>
        <v>1.505149978319906</v>
      </c>
      <c r="M369">
        <f t="shared" si="85"/>
        <v>0</v>
      </c>
      <c r="N369">
        <v>70</v>
      </c>
      <c r="O369">
        <v>70</v>
      </c>
      <c r="P369">
        <v>91.1</v>
      </c>
      <c r="Q369" s="137">
        <f t="shared" si="89"/>
        <v>1.9595183769729982</v>
      </c>
      <c r="R369" s="34">
        <v>24.1</v>
      </c>
      <c r="S369" s="34">
        <f t="shared" si="90"/>
        <v>1.3820170425748683</v>
      </c>
      <c r="T369" s="42">
        <v>40.229046020662899</v>
      </c>
      <c r="U369" s="42">
        <f t="shared" si="91"/>
        <v>1.6045397339663818</v>
      </c>
      <c r="V369">
        <v>3.1606353037386858</v>
      </c>
      <c r="W369" s="14">
        <v>2</v>
      </c>
      <c r="X369">
        <v>3.9767438733352263</v>
      </c>
      <c r="Y369">
        <v>8.8293037728310253</v>
      </c>
      <c r="Z369" s="80">
        <v>0.34584991056717884</v>
      </c>
      <c r="AA369">
        <v>9</v>
      </c>
      <c r="AB369">
        <f t="shared" si="92"/>
        <v>0</v>
      </c>
      <c r="AC369">
        <f t="shared" si="93"/>
        <v>0</v>
      </c>
      <c r="AD369">
        <f t="shared" si="94"/>
        <v>0</v>
      </c>
      <c r="AE369">
        <f t="shared" si="95"/>
        <v>0</v>
      </c>
      <c r="AF369">
        <f t="shared" si="96"/>
        <v>0</v>
      </c>
      <c r="AG369">
        <f t="shared" si="97"/>
        <v>0</v>
      </c>
      <c r="AH369">
        <f t="shared" si="98"/>
        <v>0</v>
      </c>
      <c r="AI369">
        <f t="shared" si="99"/>
        <v>0</v>
      </c>
      <c r="AJ369">
        <f t="shared" si="100"/>
        <v>1</v>
      </c>
      <c r="AK369">
        <f t="shared" si="101"/>
        <v>0</v>
      </c>
      <c r="AL369">
        <v>1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</row>
    <row r="370" spans="1:53" x14ac:dyDescent="0.35">
      <c r="A370">
        <v>0.43112242240123261</v>
      </c>
      <c r="C370">
        <v>2.441095890410959</v>
      </c>
      <c r="D370" s="137">
        <f t="shared" si="86"/>
        <v>0.38758483958040008</v>
      </c>
      <c r="E370">
        <v>0</v>
      </c>
      <c r="F370">
        <v>0</v>
      </c>
      <c r="G370" s="45">
        <v>2.95</v>
      </c>
      <c r="H370" s="29">
        <f t="shared" si="87"/>
        <v>0.46982201597816303</v>
      </c>
      <c r="I370" s="9">
        <v>0</v>
      </c>
      <c r="J370" s="34">
        <v>5.3078443483419682E-2</v>
      </c>
      <c r="K370">
        <v>33</v>
      </c>
      <c r="L370" s="137">
        <f t="shared" si="88"/>
        <v>1.5185139398778875</v>
      </c>
      <c r="M370">
        <f t="shared" si="85"/>
        <v>0</v>
      </c>
      <c r="N370">
        <v>70</v>
      </c>
      <c r="O370">
        <v>70</v>
      </c>
      <c r="P370">
        <v>90.5</v>
      </c>
      <c r="Q370" s="137">
        <f t="shared" si="89"/>
        <v>1.9566485792052033</v>
      </c>
      <c r="R370" s="34">
        <v>25.7</v>
      </c>
      <c r="S370" s="34">
        <f t="shared" si="90"/>
        <v>1.4099331233312946</v>
      </c>
      <c r="T370" s="42">
        <v>39.010023979360902</v>
      </c>
      <c r="U370" s="42">
        <f t="shared" si="91"/>
        <v>1.5911762172715689</v>
      </c>
      <c r="V370">
        <v>3.1606353037386858</v>
      </c>
      <c r="W370" s="14">
        <v>2</v>
      </c>
      <c r="X370">
        <v>3.9767438733352263</v>
      </c>
      <c r="Y370">
        <v>8.3010299956639813</v>
      </c>
      <c r="Z370" s="80">
        <v>-7.5396959401296759E-2</v>
      </c>
      <c r="AA370">
        <v>2</v>
      </c>
      <c r="AB370">
        <f t="shared" si="92"/>
        <v>0</v>
      </c>
      <c r="AC370">
        <f t="shared" si="93"/>
        <v>1</v>
      </c>
      <c r="AD370">
        <f t="shared" si="94"/>
        <v>0</v>
      </c>
      <c r="AE370">
        <f t="shared" si="95"/>
        <v>0</v>
      </c>
      <c r="AF370">
        <f t="shared" si="96"/>
        <v>0</v>
      </c>
      <c r="AG370">
        <f t="shared" si="97"/>
        <v>0</v>
      </c>
      <c r="AH370">
        <f t="shared" si="98"/>
        <v>0</v>
      </c>
      <c r="AI370">
        <f t="shared" si="99"/>
        <v>0</v>
      </c>
      <c r="AJ370">
        <f t="shared" si="100"/>
        <v>0</v>
      </c>
      <c r="AK370">
        <f t="shared" si="101"/>
        <v>0</v>
      </c>
      <c r="AL370">
        <v>1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</row>
    <row r="371" spans="1:53" x14ac:dyDescent="0.35">
      <c r="A371">
        <v>0.68060473878707939</v>
      </c>
      <c r="C371">
        <v>3.8301369863013699</v>
      </c>
      <c r="D371" s="137">
        <f t="shared" si="86"/>
        <v>0.58321430695318788</v>
      </c>
      <c r="E371">
        <v>0</v>
      </c>
      <c r="F371">
        <v>1.6127838567197355</v>
      </c>
      <c r="G371" s="45">
        <v>2.95</v>
      </c>
      <c r="H371" s="29">
        <f t="shared" si="87"/>
        <v>0.46982201597816303</v>
      </c>
      <c r="I371" s="9">
        <v>0</v>
      </c>
      <c r="J371" s="34">
        <v>0.17897694729316943</v>
      </c>
      <c r="K371">
        <v>24</v>
      </c>
      <c r="L371" s="137">
        <f t="shared" si="88"/>
        <v>1.3802112417116059</v>
      </c>
      <c r="M371">
        <f t="shared" si="85"/>
        <v>0</v>
      </c>
      <c r="N371">
        <v>70</v>
      </c>
      <c r="O371">
        <v>70</v>
      </c>
      <c r="P371">
        <v>91.1</v>
      </c>
      <c r="Q371" s="137">
        <f t="shared" si="89"/>
        <v>1.9595183769729982</v>
      </c>
      <c r="R371" s="34">
        <v>24.1</v>
      </c>
      <c r="S371" s="34">
        <f t="shared" si="90"/>
        <v>1.3820170425748683</v>
      </c>
      <c r="T371" s="42">
        <v>40.229046020662899</v>
      </c>
      <c r="U371" s="42">
        <f t="shared" si="91"/>
        <v>1.6045397339663818</v>
      </c>
      <c r="V371">
        <v>3.1532162502154288</v>
      </c>
      <c r="W371" s="14">
        <v>1</v>
      </c>
      <c r="X371">
        <v>3.5175748361336181</v>
      </c>
      <c r="Y371">
        <v>8.5746677663162263</v>
      </c>
      <c r="Z371" s="80">
        <v>0.14072242642577004</v>
      </c>
      <c r="AA371">
        <v>9</v>
      </c>
      <c r="AB371">
        <f t="shared" si="92"/>
        <v>0</v>
      </c>
      <c r="AC371">
        <f t="shared" si="93"/>
        <v>0</v>
      </c>
      <c r="AD371">
        <f t="shared" si="94"/>
        <v>0</v>
      </c>
      <c r="AE371">
        <f t="shared" si="95"/>
        <v>0</v>
      </c>
      <c r="AF371">
        <f t="shared" si="96"/>
        <v>0</v>
      </c>
      <c r="AG371">
        <f t="shared" si="97"/>
        <v>0</v>
      </c>
      <c r="AH371">
        <f t="shared" si="98"/>
        <v>0</v>
      </c>
      <c r="AI371">
        <f t="shared" si="99"/>
        <v>0</v>
      </c>
      <c r="AJ371">
        <f t="shared" si="100"/>
        <v>1</v>
      </c>
      <c r="AK371">
        <f t="shared" si="101"/>
        <v>0</v>
      </c>
      <c r="AL371">
        <v>1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</row>
    <row r="372" spans="1:53" x14ac:dyDescent="0.35">
      <c r="A372">
        <v>0.27667064980453648</v>
      </c>
      <c r="C372">
        <v>3.1616438356164385</v>
      </c>
      <c r="D372" s="137">
        <f t="shared" si="86"/>
        <v>0.49991294436323791</v>
      </c>
      <c r="E372">
        <v>0</v>
      </c>
      <c r="F372">
        <v>0.77815125038364363</v>
      </c>
      <c r="G372" s="45">
        <v>2.95</v>
      </c>
      <c r="H372" s="29">
        <f t="shared" si="87"/>
        <v>0.46982201597816303</v>
      </c>
      <c r="I372" s="9">
        <v>0</v>
      </c>
      <c r="J372" s="34">
        <v>0.11394335230683679</v>
      </c>
      <c r="K372">
        <v>25</v>
      </c>
      <c r="L372" s="137">
        <f t="shared" si="88"/>
        <v>1.3979400086720377</v>
      </c>
      <c r="M372">
        <f t="shared" si="85"/>
        <v>0</v>
      </c>
      <c r="N372">
        <v>70</v>
      </c>
      <c r="O372">
        <v>70</v>
      </c>
      <c r="P372">
        <v>90.5</v>
      </c>
      <c r="Q372" s="137">
        <f t="shared" si="89"/>
        <v>1.9566485792052033</v>
      </c>
      <c r="R372" s="34">
        <v>25.7</v>
      </c>
      <c r="S372" s="34">
        <f t="shared" si="90"/>
        <v>1.4099331233312946</v>
      </c>
      <c r="T372" s="42">
        <v>39.010023979360902</v>
      </c>
      <c r="U372" s="42">
        <f t="shared" si="91"/>
        <v>1.5911762172715689</v>
      </c>
      <c r="V372">
        <v>3.1532162502154288</v>
      </c>
      <c r="W372" s="14">
        <v>1</v>
      </c>
      <c r="X372">
        <v>3.5175748361336181</v>
      </c>
      <c r="Y372">
        <v>8.6154239528859442</v>
      </c>
      <c r="Z372" s="80">
        <v>9.0842161680669831E-2</v>
      </c>
      <c r="AA372">
        <v>6</v>
      </c>
      <c r="AB372">
        <f t="shared" si="92"/>
        <v>0</v>
      </c>
      <c r="AC372">
        <f t="shared" si="93"/>
        <v>0</v>
      </c>
      <c r="AD372">
        <f t="shared" si="94"/>
        <v>0</v>
      </c>
      <c r="AE372">
        <f t="shared" si="95"/>
        <v>0</v>
      </c>
      <c r="AF372">
        <f t="shared" si="96"/>
        <v>0</v>
      </c>
      <c r="AG372">
        <f t="shared" si="97"/>
        <v>1</v>
      </c>
      <c r="AH372">
        <f t="shared" si="98"/>
        <v>0</v>
      </c>
      <c r="AI372">
        <f t="shared" si="99"/>
        <v>0</v>
      </c>
      <c r="AJ372">
        <f t="shared" si="100"/>
        <v>0</v>
      </c>
      <c r="AK372">
        <f t="shared" si="101"/>
        <v>0</v>
      </c>
      <c r="AL372">
        <v>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</row>
    <row r="373" spans="1:53" x14ac:dyDescent="0.35">
      <c r="A373">
        <v>-2</v>
      </c>
      <c r="C373">
        <v>3.8575342465753426</v>
      </c>
      <c r="D373" s="137">
        <f t="shared" si="86"/>
        <v>0.58630979034961872</v>
      </c>
      <c r="E373">
        <v>0</v>
      </c>
      <c r="F373">
        <v>1.5910646070264991</v>
      </c>
      <c r="G373" s="45">
        <v>3.29</v>
      </c>
      <c r="H373" s="29">
        <f t="shared" si="87"/>
        <v>0.51719589794997434</v>
      </c>
      <c r="I373" s="9">
        <v>0</v>
      </c>
      <c r="J373" s="34">
        <v>0.13353890837021748</v>
      </c>
      <c r="K373">
        <v>28</v>
      </c>
      <c r="L373" s="137">
        <f t="shared" si="88"/>
        <v>1.4471580313422192</v>
      </c>
      <c r="M373">
        <f t="shared" si="85"/>
        <v>0</v>
      </c>
      <c r="N373">
        <v>70</v>
      </c>
      <c r="O373">
        <v>70</v>
      </c>
      <c r="P373">
        <v>92</v>
      </c>
      <c r="Q373" s="137">
        <f t="shared" si="89"/>
        <v>1.9637878273455553</v>
      </c>
      <c r="R373" s="34">
        <v>31.8</v>
      </c>
      <c r="S373" s="34">
        <f t="shared" si="90"/>
        <v>1.5024271199844328</v>
      </c>
      <c r="T373" s="42">
        <v>43.012424801889097</v>
      </c>
      <c r="U373" s="42">
        <f t="shared" si="91"/>
        <v>1.6335939263577708</v>
      </c>
      <c r="V373">
        <v>3.2676062401770314</v>
      </c>
      <c r="W373" s="14">
        <v>1</v>
      </c>
      <c r="X373">
        <v>3.9645616210373218</v>
      </c>
      <c r="Y373">
        <v>7.9542425094393252</v>
      </c>
      <c r="Z373" s="80">
        <v>0.1512991373763064</v>
      </c>
      <c r="AA373" t="s">
        <v>1323</v>
      </c>
      <c r="AB373">
        <f t="shared" si="92"/>
        <v>0</v>
      </c>
      <c r="AC373">
        <f t="shared" si="93"/>
        <v>0</v>
      </c>
      <c r="AD373">
        <f t="shared" si="94"/>
        <v>0</v>
      </c>
      <c r="AE373">
        <f t="shared" si="95"/>
        <v>0</v>
      </c>
      <c r="AF373">
        <f t="shared" si="96"/>
        <v>0</v>
      </c>
      <c r="AG373">
        <f t="shared" si="97"/>
        <v>0</v>
      </c>
      <c r="AH373">
        <f t="shared" si="98"/>
        <v>0</v>
      </c>
      <c r="AI373">
        <f t="shared" si="99"/>
        <v>0</v>
      </c>
      <c r="AJ373">
        <f t="shared" si="100"/>
        <v>0</v>
      </c>
      <c r="AK373">
        <f t="shared" si="101"/>
        <v>0</v>
      </c>
      <c r="AL373">
        <v>0</v>
      </c>
      <c r="AM373">
        <v>1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</row>
    <row r="374" spans="1:53" x14ac:dyDescent="0.35">
      <c r="A374">
        <v>0.37377713170619614</v>
      </c>
      <c r="C374">
        <v>4.0520547945205481</v>
      </c>
      <c r="D374" s="137">
        <f t="shared" si="86"/>
        <v>0.60767530954041771</v>
      </c>
      <c r="E374">
        <v>0</v>
      </c>
      <c r="F374">
        <v>1.9344984512435677</v>
      </c>
      <c r="G374" s="45">
        <v>3.28</v>
      </c>
      <c r="H374" s="29">
        <f t="shared" si="87"/>
        <v>0.5158738437116791</v>
      </c>
      <c r="I374" s="9">
        <v>0</v>
      </c>
      <c r="J374" s="34">
        <v>0.16435285578443709</v>
      </c>
      <c r="K374">
        <v>15</v>
      </c>
      <c r="L374" s="137">
        <f t="shared" si="88"/>
        <v>1.1760912590556813</v>
      </c>
      <c r="M374">
        <f t="shared" si="85"/>
        <v>0</v>
      </c>
      <c r="N374">
        <v>70</v>
      </c>
      <c r="O374">
        <v>90</v>
      </c>
      <c r="P374">
        <v>89.7</v>
      </c>
      <c r="Q374" s="137">
        <f t="shared" si="89"/>
        <v>1.9527924430440922</v>
      </c>
      <c r="R374" s="34">
        <v>37</v>
      </c>
      <c r="S374" s="34">
        <f t="shared" si="90"/>
        <v>1.568201724066995</v>
      </c>
      <c r="T374" s="42">
        <v>45.741556971826803</v>
      </c>
      <c r="U374" s="42">
        <f t="shared" si="91"/>
        <v>1.660310943234538</v>
      </c>
      <c r="V374">
        <v>3.4636187843160156</v>
      </c>
      <c r="W374" s="14">
        <v>2</v>
      </c>
      <c r="X374">
        <v>3.9690067974360175</v>
      </c>
      <c r="Y374">
        <v>8.2304489213782741</v>
      </c>
      <c r="Z374" s="80">
        <v>0.16662391237209695</v>
      </c>
      <c r="AA374">
        <v>1</v>
      </c>
      <c r="AB374">
        <f t="shared" si="92"/>
        <v>1</v>
      </c>
      <c r="AC374">
        <f t="shared" si="93"/>
        <v>0</v>
      </c>
      <c r="AD374">
        <f t="shared" si="94"/>
        <v>0</v>
      </c>
      <c r="AE374">
        <f t="shared" si="95"/>
        <v>0</v>
      </c>
      <c r="AF374">
        <f t="shared" si="96"/>
        <v>0</v>
      </c>
      <c r="AG374">
        <f t="shared" si="97"/>
        <v>0</v>
      </c>
      <c r="AH374">
        <f t="shared" si="98"/>
        <v>0</v>
      </c>
      <c r="AI374">
        <f t="shared" si="99"/>
        <v>0</v>
      </c>
      <c r="AJ374">
        <f t="shared" si="100"/>
        <v>0</v>
      </c>
      <c r="AK374">
        <f t="shared" si="101"/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</row>
    <row r="375" spans="1:53" x14ac:dyDescent="0.35">
      <c r="A375">
        <v>-0.38021124171160592</v>
      </c>
      <c r="C375">
        <v>6.2712328767123289</v>
      </c>
      <c r="D375" s="137">
        <f t="shared" si="86"/>
        <v>0.79735292821806825</v>
      </c>
      <c r="E375">
        <v>0</v>
      </c>
      <c r="F375">
        <v>0.6020599913279624</v>
      </c>
      <c r="G375" s="45">
        <v>3.28</v>
      </c>
      <c r="H375" s="29">
        <f t="shared" si="87"/>
        <v>0.5158738437116791</v>
      </c>
      <c r="I375" s="37">
        <v>0</v>
      </c>
      <c r="J375" s="34">
        <v>0.46389298898590731</v>
      </c>
      <c r="K375">
        <v>10</v>
      </c>
      <c r="L375" s="137">
        <f t="shared" si="88"/>
        <v>1</v>
      </c>
      <c r="M375">
        <f t="shared" si="85"/>
        <v>0</v>
      </c>
      <c r="N375">
        <v>70</v>
      </c>
      <c r="O375">
        <v>90</v>
      </c>
      <c r="P375">
        <v>86.5</v>
      </c>
      <c r="Q375" s="137">
        <f t="shared" si="89"/>
        <v>1.9370161074648142</v>
      </c>
      <c r="R375" s="34">
        <v>34.9</v>
      </c>
      <c r="S375" s="34">
        <f t="shared" si="90"/>
        <v>1.5428254269591799</v>
      </c>
      <c r="T375" s="42">
        <v>47.583389080759602</v>
      </c>
      <c r="U375" s="42">
        <f t="shared" si="91"/>
        <v>1.6774553710063234</v>
      </c>
      <c r="V375">
        <v>3.2676062401770314</v>
      </c>
      <c r="W375" s="14">
        <v>2</v>
      </c>
      <c r="X375">
        <v>3.9645616210373218</v>
      </c>
      <c r="Y375">
        <v>7.5563025007672868</v>
      </c>
      <c r="Z375" s="80">
        <v>0.93502026759244816</v>
      </c>
      <c r="AA375">
        <v>3</v>
      </c>
      <c r="AB375">
        <f t="shared" si="92"/>
        <v>0</v>
      </c>
      <c r="AC375">
        <f t="shared" si="93"/>
        <v>0</v>
      </c>
      <c r="AD375">
        <f t="shared" si="94"/>
        <v>1</v>
      </c>
      <c r="AE375">
        <f t="shared" si="95"/>
        <v>0</v>
      </c>
      <c r="AF375">
        <f t="shared" si="96"/>
        <v>0</v>
      </c>
      <c r="AG375">
        <f t="shared" si="97"/>
        <v>0</v>
      </c>
      <c r="AH375">
        <f t="shared" si="98"/>
        <v>0</v>
      </c>
      <c r="AI375">
        <f t="shared" si="99"/>
        <v>0</v>
      </c>
      <c r="AJ375">
        <f t="shared" si="100"/>
        <v>0</v>
      </c>
      <c r="AK375">
        <f t="shared" si="101"/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</row>
    <row r="376" spans="1:53" x14ac:dyDescent="0.35">
      <c r="A376">
        <v>-0.38021124171160592</v>
      </c>
      <c r="C376">
        <v>6.1753424657534248</v>
      </c>
      <c r="D376" s="137">
        <f t="shared" si="86"/>
        <v>0.79066104725361308</v>
      </c>
      <c r="E376">
        <v>0</v>
      </c>
      <c r="F376">
        <v>1</v>
      </c>
      <c r="G376" s="45">
        <v>3.5</v>
      </c>
      <c r="H376" s="29">
        <f t="shared" si="87"/>
        <v>0.54406804435027567</v>
      </c>
      <c r="I376" s="9">
        <v>0</v>
      </c>
      <c r="J376" s="34">
        <v>7.1882007306125359E-2</v>
      </c>
      <c r="K376">
        <v>9</v>
      </c>
      <c r="L376" s="137">
        <f t="shared" si="88"/>
        <v>0.95424250943932487</v>
      </c>
      <c r="M376">
        <f t="shared" si="85"/>
        <v>0</v>
      </c>
      <c r="N376">
        <v>70</v>
      </c>
      <c r="O376">
        <v>70</v>
      </c>
      <c r="P376">
        <v>88.9</v>
      </c>
      <c r="Q376" s="137">
        <f t="shared" si="89"/>
        <v>1.9489017609702137</v>
      </c>
      <c r="R376" s="34">
        <v>34.9</v>
      </c>
      <c r="S376" s="34">
        <f t="shared" si="90"/>
        <v>1.5428254269591799</v>
      </c>
      <c r="T376" s="42">
        <v>42.817370475444001</v>
      </c>
      <c r="U376" s="42">
        <f t="shared" si="91"/>
        <v>1.6316199926391717</v>
      </c>
      <c r="V376">
        <v>3.9690067974360175</v>
      </c>
      <c r="W376" s="14">
        <v>3</v>
      </c>
      <c r="X376">
        <v>3.6622275530882837</v>
      </c>
      <c r="Y376">
        <v>9.1931245983544621</v>
      </c>
      <c r="Z376" s="80">
        <v>8.8320994438751743E-2</v>
      </c>
      <c r="AA376">
        <v>1</v>
      </c>
      <c r="AB376">
        <f t="shared" si="92"/>
        <v>1</v>
      </c>
      <c r="AC376">
        <f t="shared" si="93"/>
        <v>0</v>
      </c>
      <c r="AD376">
        <f t="shared" si="94"/>
        <v>0</v>
      </c>
      <c r="AE376">
        <f t="shared" si="95"/>
        <v>0</v>
      </c>
      <c r="AF376">
        <f t="shared" si="96"/>
        <v>0</v>
      </c>
      <c r="AG376">
        <f t="shared" si="97"/>
        <v>0</v>
      </c>
      <c r="AH376">
        <f t="shared" si="98"/>
        <v>0</v>
      </c>
      <c r="AI376">
        <f t="shared" si="99"/>
        <v>0</v>
      </c>
      <c r="AJ376">
        <f t="shared" si="100"/>
        <v>0</v>
      </c>
      <c r="AK376">
        <f t="shared" si="101"/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1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</row>
    <row r="377" spans="1:53" x14ac:dyDescent="0.35">
      <c r="A377">
        <v>-0.21439828045410877</v>
      </c>
      <c r="C377">
        <v>8.4493150684931511</v>
      </c>
      <c r="D377" s="137">
        <f t="shared" si="86"/>
        <v>0.92682150492244464</v>
      </c>
      <c r="E377">
        <v>2.8270718863448598</v>
      </c>
      <c r="F377">
        <v>1.7075701760979363</v>
      </c>
      <c r="G377" s="45">
        <v>3.25</v>
      </c>
      <c r="H377" s="29">
        <f t="shared" si="87"/>
        <v>0.51188336097887432</v>
      </c>
      <c r="I377" s="9">
        <v>2.7172543127625497</v>
      </c>
      <c r="J377" s="34">
        <v>0.12057393120584989</v>
      </c>
      <c r="K377">
        <v>9</v>
      </c>
      <c r="L377" s="137">
        <f t="shared" si="88"/>
        <v>0.95424250943932487</v>
      </c>
      <c r="M377">
        <f t="shared" si="85"/>
        <v>1</v>
      </c>
      <c r="N377">
        <v>70</v>
      </c>
      <c r="O377">
        <v>70</v>
      </c>
      <c r="P377">
        <v>84.1</v>
      </c>
      <c r="Q377" s="137">
        <f t="shared" si="89"/>
        <v>1.9247959957979122</v>
      </c>
      <c r="R377" s="34">
        <v>26.2</v>
      </c>
      <c r="S377" s="34">
        <f t="shared" si="90"/>
        <v>1.4183012913197455</v>
      </c>
      <c r="T377" s="42">
        <v>49.329709120205997</v>
      </c>
      <c r="U377" s="42">
        <f t="shared" si="91"/>
        <v>1.6931085545892062</v>
      </c>
      <c r="V377">
        <v>3.9690067974360175</v>
      </c>
      <c r="W377" s="14">
        <v>3</v>
      </c>
      <c r="X377">
        <v>3.6622275530882837</v>
      </c>
      <c r="Y377">
        <v>9.0594963204683658</v>
      </c>
      <c r="Z377" s="80">
        <v>-3.2545450761150896E-2</v>
      </c>
      <c r="AA377">
        <v>1</v>
      </c>
      <c r="AB377">
        <f t="shared" si="92"/>
        <v>1</v>
      </c>
      <c r="AC377">
        <f t="shared" si="93"/>
        <v>0</v>
      </c>
      <c r="AD377">
        <f t="shared" si="94"/>
        <v>0</v>
      </c>
      <c r="AE377">
        <f t="shared" si="95"/>
        <v>0</v>
      </c>
      <c r="AF377">
        <f t="shared" si="96"/>
        <v>0</v>
      </c>
      <c r="AG377">
        <f t="shared" si="97"/>
        <v>0</v>
      </c>
      <c r="AH377">
        <f t="shared" si="98"/>
        <v>0</v>
      </c>
      <c r="AI377">
        <f t="shared" si="99"/>
        <v>0</v>
      </c>
      <c r="AJ377">
        <f t="shared" si="100"/>
        <v>0</v>
      </c>
      <c r="AK377">
        <f t="shared" si="101"/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1</v>
      </c>
      <c r="AZ377">
        <v>0</v>
      </c>
      <c r="BA377">
        <v>0</v>
      </c>
    </row>
    <row r="378" spans="1:53" x14ac:dyDescent="0.35">
      <c r="A378">
        <v>0.33645973384852951</v>
      </c>
      <c r="C378">
        <v>1.9205479452054794</v>
      </c>
      <c r="D378" s="137">
        <f t="shared" si="86"/>
        <v>0.28342515351018394</v>
      </c>
      <c r="E378">
        <v>3.8229763963637051</v>
      </c>
      <c r="F378">
        <v>0.84509804001425681</v>
      </c>
      <c r="G378" s="45">
        <v>3.03</v>
      </c>
      <c r="H378" s="29">
        <f t="shared" si="87"/>
        <v>0.48144262850230496</v>
      </c>
      <c r="I378" s="9">
        <v>2.7113853790984517</v>
      </c>
      <c r="J378" s="34">
        <v>0.10037054511756291</v>
      </c>
      <c r="K378">
        <v>20</v>
      </c>
      <c r="L378" s="137">
        <f t="shared" si="88"/>
        <v>1.3010299956639813</v>
      </c>
      <c r="M378">
        <f t="shared" si="85"/>
        <v>1</v>
      </c>
      <c r="N378">
        <v>70</v>
      </c>
      <c r="O378">
        <v>70</v>
      </c>
      <c r="P378">
        <v>84.7</v>
      </c>
      <c r="Q378" s="137">
        <f t="shared" si="89"/>
        <v>1.927883410330707</v>
      </c>
      <c r="R378" s="34">
        <v>25.9</v>
      </c>
      <c r="S378" s="34">
        <f t="shared" si="90"/>
        <v>1.4132997640812519</v>
      </c>
      <c r="T378" s="42">
        <v>38.207924771594499</v>
      </c>
      <c r="U378" s="42">
        <f t="shared" si="91"/>
        <v>1.5821534500223446</v>
      </c>
      <c r="V378">
        <v>3.1532162502154288</v>
      </c>
      <c r="W378" s="14">
        <v>5</v>
      </c>
      <c r="X378">
        <v>3.5175748361336181</v>
      </c>
      <c r="Y378">
        <v>8</v>
      </c>
      <c r="Z378" s="80">
        <v>0.12030239828804468</v>
      </c>
      <c r="AA378">
        <v>3</v>
      </c>
      <c r="AB378">
        <f t="shared" si="92"/>
        <v>0</v>
      </c>
      <c r="AC378">
        <f t="shared" si="93"/>
        <v>0</v>
      </c>
      <c r="AD378">
        <f t="shared" si="94"/>
        <v>1</v>
      </c>
      <c r="AE378">
        <f t="shared" si="95"/>
        <v>0</v>
      </c>
      <c r="AF378">
        <f t="shared" si="96"/>
        <v>0</v>
      </c>
      <c r="AG378">
        <f t="shared" si="97"/>
        <v>0</v>
      </c>
      <c r="AH378">
        <f t="shared" si="98"/>
        <v>0</v>
      </c>
      <c r="AI378">
        <f t="shared" si="99"/>
        <v>0</v>
      </c>
      <c r="AJ378">
        <f t="shared" si="100"/>
        <v>0</v>
      </c>
      <c r="AK378">
        <f t="shared" si="101"/>
        <v>0</v>
      </c>
      <c r="AL378">
        <v>1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</row>
    <row r="379" spans="1:53" x14ac:dyDescent="0.35">
      <c r="A379">
        <v>0.15829010364906099</v>
      </c>
      <c r="C379">
        <v>3.5123287671232877</v>
      </c>
      <c r="D379" s="137">
        <f t="shared" si="86"/>
        <v>0.54559516072632386</v>
      </c>
      <c r="E379">
        <v>3.8229763963637051</v>
      </c>
      <c r="F379">
        <v>1.6127838567197355</v>
      </c>
      <c r="G379" s="45">
        <v>3.03</v>
      </c>
      <c r="H379" s="29">
        <f t="shared" si="87"/>
        <v>0.48144262850230496</v>
      </c>
      <c r="I379" s="9">
        <v>2.7113853790984517</v>
      </c>
      <c r="J379" s="34">
        <v>0.14301480025409513</v>
      </c>
      <c r="K379">
        <v>18</v>
      </c>
      <c r="L379" s="137">
        <f t="shared" si="88"/>
        <v>1.255272505103306</v>
      </c>
      <c r="M379">
        <f t="shared" si="85"/>
        <v>1</v>
      </c>
      <c r="N379">
        <v>70</v>
      </c>
      <c r="O379">
        <v>70</v>
      </c>
      <c r="P379">
        <v>89.2</v>
      </c>
      <c r="Q379" s="137">
        <f t="shared" si="89"/>
        <v>1.9503648543761232</v>
      </c>
      <c r="R379" s="34">
        <v>26</v>
      </c>
      <c r="S379" s="34">
        <f t="shared" si="90"/>
        <v>1.414973347970818</v>
      </c>
      <c r="T379" s="42">
        <v>38.344872802923099</v>
      </c>
      <c r="U379" s="42">
        <f t="shared" si="91"/>
        <v>1.5837073014724459</v>
      </c>
      <c r="V379">
        <v>3.1532162502154288</v>
      </c>
      <c r="W379" s="14">
        <v>5</v>
      </c>
      <c r="X379">
        <v>3.5175748361336181</v>
      </c>
      <c r="Y379">
        <v>9.1760912590556813</v>
      </c>
      <c r="Z379" s="80">
        <v>0.25193195022245596</v>
      </c>
      <c r="AA379">
        <v>5</v>
      </c>
      <c r="AB379">
        <f t="shared" si="92"/>
        <v>0</v>
      </c>
      <c r="AC379">
        <f t="shared" si="93"/>
        <v>0</v>
      </c>
      <c r="AD379">
        <f t="shared" si="94"/>
        <v>0</v>
      </c>
      <c r="AE379">
        <f t="shared" si="95"/>
        <v>0</v>
      </c>
      <c r="AF379">
        <f t="shared" si="96"/>
        <v>1</v>
      </c>
      <c r="AG379">
        <f t="shared" si="97"/>
        <v>0</v>
      </c>
      <c r="AH379">
        <f t="shared" si="98"/>
        <v>0</v>
      </c>
      <c r="AI379">
        <f t="shared" si="99"/>
        <v>0</v>
      </c>
      <c r="AJ379">
        <f t="shared" si="100"/>
        <v>0</v>
      </c>
      <c r="AK379">
        <f t="shared" si="101"/>
        <v>0</v>
      </c>
      <c r="AL379">
        <v>1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</row>
    <row r="380" spans="1:53" x14ac:dyDescent="0.35">
      <c r="A380">
        <v>0.32900742703280411</v>
      </c>
      <c r="C380">
        <v>2.0986301369863014</v>
      </c>
      <c r="D380" s="137">
        <f t="shared" si="86"/>
        <v>0.32193590517612924</v>
      </c>
      <c r="E380">
        <v>3.8229763963637051</v>
      </c>
      <c r="F380">
        <v>1.5440680443502757</v>
      </c>
      <c r="G380" s="45">
        <v>3.03</v>
      </c>
      <c r="H380" s="29">
        <f t="shared" si="87"/>
        <v>0.48144262850230496</v>
      </c>
      <c r="I380" s="9">
        <v>2.7113853790984517</v>
      </c>
      <c r="J380" s="34">
        <v>4.1392685158225077E-2</v>
      </c>
      <c r="K380">
        <v>18</v>
      </c>
      <c r="L380" s="137">
        <f t="shared" si="88"/>
        <v>1.255272505103306</v>
      </c>
      <c r="M380">
        <f t="shared" si="85"/>
        <v>1</v>
      </c>
      <c r="N380">
        <v>70</v>
      </c>
      <c r="O380">
        <v>70</v>
      </c>
      <c r="P380">
        <v>89.2</v>
      </c>
      <c r="Q380" s="137">
        <f t="shared" si="89"/>
        <v>1.9503648543761232</v>
      </c>
      <c r="R380" s="34">
        <v>26</v>
      </c>
      <c r="S380" s="34">
        <f t="shared" si="90"/>
        <v>1.414973347970818</v>
      </c>
      <c r="T380" s="42">
        <v>38.344872802923099</v>
      </c>
      <c r="U380" s="42">
        <f t="shared" si="91"/>
        <v>1.5837073014724459</v>
      </c>
      <c r="V380">
        <v>3.1532162502154288</v>
      </c>
      <c r="W380" s="14">
        <v>5</v>
      </c>
      <c r="X380">
        <v>3.5175748361336181</v>
      </c>
      <c r="Y380">
        <v>9.5039513722356226</v>
      </c>
      <c r="Z380" s="80">
        <v>-5.7274808418018353E-2</v>
      </c>
      <c r="AA380">
        <v>2</v>
      </c>
      <c r="AB380">
        <f t="shared" si="92"/>
        <v>0</v>
      </c>
      <c r="AC380">
        <f t="shared" si="93"/>
        <v>1</v>
      </c>
      <c r="AD380">
        <f t="shared" si="94"/>
        <v>0</v>
      </c>
      <c r="AE380">
        <f t="shared" si="95"/>
        <v>0</v>
      </c>
      <c r="AF380">
        <f t="shared" si="96"/>
        <v>0</v>
      </c>
      <c r="AG380">
        <f t="shared" si="97"/>
        <v>0</v>
      </c>
      <c r="AH380">
        <f t="shared" si="98"/>
        <v>0</v>
      </c>
      <c r="AI380">
        <f t="shared" si="99"/>
        <v>0</v>
      </c>
      <c r="AJ380">
        <f t="shared" si="100"/>
        <v>0</v>
      </c>
      <c r="AK380">
        <f t="shared" si="101"/>
        <v>0</v>
      </c>
      <c r="AL380">
        <v>1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</row>
    <row r="381" spans="1:53" x14ac:dyDescent="0.35">
      <c r="A381">
        <v>0.40401005301388143</v>
      </c>
      <c r="C381">
        <v>3.6301369863013697</v>
      </c>
      <c r="D381" s="137">
        <f t="shared" si="86"/>
        <v>0.5599230138163519</v>
      </c>
      <c r="E381">
        <v>0</v>
      </c>
      <c r="F381">
        <v>1.6989700043360187</v>
      </c>
      <c r="G381" s="29">
        <v>0</v>
      </c>
      <c r="H381" s="29" t="e">
        <f t="shared" si="87"/>
        <v>#NUM!</v>
      </c>
      <c r="I381" s="9">
        <v>0</v>
      </c>
      <c r="J381" s="34">
        <v>0.13987908640123647</v>
      </c>
      <c r="K381">
        <v>18</v>
      </c>
      <c r="L381" s="137">
        <f t="shared" si="88"/>
        <v>1.255272505103306</v>
      </c>
      <c r="M381">
        <f t="shared" si="85"/>
        <v>0</v>
      </c>
      <c r="N381">
        <v>70</v>
      </c>
      <c r="O381">
        <v>70</v>
      </c>
      <c r="P381">
        <v>75.400000000000006</v>
      </c>
      <c r="Q381" s="137">
        <f t="shared" si="89"/>
        <v>1.8773713458697741</v>
      </c>
      <c r="R381" s="34">
        <v>26.88</v>
      </c>
      <c r="S381" s="34">
        <f t="shared" si="90"/>
        <v>1.4294292643817876</v>
      </c>
      <c r="T381" s="42">
        <v>49.329709120205997</v>
      </c>
      <c r="U381" s="42">
        <f t="shared" si="91"/>
        <v>1.6931085545892062</v>
      </c>
      <c r="V381">
        <v>3.1532162502154288</v>
      </c>
      <c r="W381" s="14">
        <v>5</v>
      </c>
      <c r="X381">
        <v>3.5175748361336181</v>
      </c>
      <c r="Y381">
        <v>8.8159982239937715</v>
      </c>
      <c r="Z381" s="80">
        <v>0.11739793026918344</v>
      </c>
      <c r="AA381">
        <v>1</v>
      </c>
      <c r="AB381">
        <f t="shared" si="92"/>
        <v>1</v>
      </c>
      <c r="AC381">
        <f t="shared" si="93"/>
        <v>0</v>
      </c>
      <c r="AD381">
        <f t="shared" si="94"/>
        <v>0</v>
      </c>
      <c r="AE381">
        <f t="shared" si="95"/>
        <v>0</v>
      </c>
      <c r="AF381">
        <f t="shared" si="96"/>
        <v>0</v>
      </c>
      <c r="AG381">
        <f t="shared" si="97"/>
        <v>0</v>
      </c>
      <c r="AH381">
        <f t="shared" si="98"/>
        <v>0</v>
      </c>
      <c r="AI381">
        <f t="shared" si="99"/>
        <v>0</v>
      </c>
      <c r="AJ381">
        <f t="shared" si="100"/>
        <v>0</v>
      </c>
      <c r="AK381">
        <f t="shared" si="101"/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1</v>
      </c>
      <c r="AZ381">
        <v>0</v>
      </c>
      <c r="BA381">
        <v>0</v>
      </c>
    </row>
    <row r="382" spans="1:53" x14ac:dyDescent="0.35">
      <c r="A382">
        <v>0.94884747755261878</v>
      </c>
      <c r="C382">
        <v>2.1095890410958904</v>
      </c>
      <c r="D382" s="137">
        <f t="shared" si="86"/>
        <v>0.32419786071600715</v>
      </c>
      <c r="E382">
        <v>2.8904489647796185</v>
      </c>
      <c r="F382">
        <v>1.146128035678238</v>
      </c>
      <c r="G382" s="45">
        <v>3.18</v>
      </c>
      <c r="H382" s="29">
        <f t="shared" si="87"/>
        <v>0.50242711998443268</v>
      </c>
      <c r="I382" s="9">
        <v>2.4068239403146179</v>
      </c>
      <c r="J382" s="34">
        <v>9.3421685162235063E-2</v>
      </c>
      <c r="K382">
        <v>15</v>
      </c>
      <c r="L382" s="137">
        <f t="shared" si="88"/>
        <v>1.1760912590556813</v>
      </c>
      <c r="M382">
        <f t="shared" si="85"/>
        <v>1</v>
      </c>
      <c r="N382">
        <v>70</v>
      </c>
      <c r="O382">
        <v>70</v>
      </c>
      <c r="P382">
        <v>94.6</v>
      </c>
      <c r="Q382" s="137">
        <f t="shared" si="89"/>
        <v>1.9758911364017928</v>
      </c>
      <c r="R382" s="34">
        <v>33.200000000000003</v>
      </c>
      <c r="S382" s="34">
        <f t="shared" si="90"/>
        <v>1.5211380837040362</v>
      </c>
      <c r="T382" s="42">
        <v>45.921427555082097</v>
      </c>
      <c r="U382" s="42">
        <f t="shared" si="91"/>
        <v>1.6620153804713207</v>
      </c>
      <c r="V382">
        <v>3.1532162502154288</v>
      </c>
      <c r="W382" s="14">
        <v>5</v>
      </c>
      <c r="X382">
        <v>3.5175748361336181</v>
      </c>
      <c r="Y382">
        <v>7.9542425094393252</v>
      </c>
      <c r="Z382" s="80">
        <v>0.12373370110494819</v>
      </c>
      <c r="AA382">
        <v>6</v>
      </c>
      <c r="AB382">
        <f t="shared" si="92"/>
        <v>0</v>
      </c>
      <c r="AC382">
        <f t="shared" si="93"/>
        <v>0</v>
      </c>
      <c r="AD382">
        <f t="shared" si="94"/>
        <v>0</v>
      </c>
      <c r="AE382">
        <f t="shared" si="95"/>
        <v>0</v>
      </c>
      <c r="AF382">
        <f t="shared" si="96"/>
        <v>0</v>
      </c>
      <c r="AG382">
        <f t="shared" si="97"/>
        <v>1</v>
      </c>
      <c r="AH382">
        <f t="shared" si="98"/>
        <v>0</v>
      </c>
      <c r="AI382">
        <f t="shared" si="99"/>
        <v>0</v>
      </c>
      <c r="AJ382">
        <f t="shared" si="100"/>
        <v>0</v>
      </c>
      <c r="AK382">
        <f t="shared" si="101"/>
        <v>0</v>
      </c>
      <c r="AL382">
        <v>0</v>
      </c>
      <c r="AM382">
        <v>1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</row>
    <row r="383" spans="1:53" x14ac:dyDescent="0.35">
      <c r="A383">
        <v>0.90884925077842993</v>
      </c>
      <c r="C383">
        <v>1.6575342465753424</v>
      </c>
      <c r="D383" s="137">
        <f t="shared" si="86"/>
        <v>0.21946251019599416</v>
      </c>
      <c r="E383">
        <v>2.6893532632422525</v>
      </c>
      <c r="F383">
        <v>0.84509804001425681</v>
      </c>
      <c r="G383" s="45">
        <v>3.03</v>
      </c>
      <c r="H383" s="29">
        <f t="shared" si="87"/>
        <v>0.48144262850230496</v>
      </c>
      <c r="I383" s="9">
        <v>2.9982593384236988</v>
      </c>
      <c r="J383" s="34">
        <v>-0.25181197299379954</v>
      </c>
      <c r="K383">
        <v>11</v>
      </c>
      <c r="L383" s="137">
        <f t="shared" si="88"/>
        <v>1.0413926851582251</v>
      </c>
      <c r="M383">
        <f t="shared" si="85"/>
        <v>1</v>
      </c>
      <c r="N383">
        <v>85</v>
      </c>
      <c r="O383">
        <v>80</v>
      </c>
      <c r="P383">
        <v>87.2</v>
      </c>
      <c r="Q383" s="137">
        <f t="shared" si="89"/>
        <v>1.9405164849325673</v>
      </c>
      <c r="R383" s="34">
        <v>42.5</v>
      </c>
      <c r="S383" s="34">
        <f t="shared" si="90"/>
        <v>1.6283889300503116</v>
      </c>
      <c r="T383" s="42">
        <v>52.565521078007201</v>
      </c>
      <c r="U383" s="42">
        <f t="shared" si="91"/>
        <v>1.7207009738992591</v>
      </c>
      <c r="V383">
        <v>3.1532162502154288</v>
      </c>
      <c r="W383" s="14">
        <v>5</v>
      </c>
      <c r="X383">
        <v>3.5175748361336181</v>
      </c>
      <c r="Y383">
        <v>6.8579352647194289</v>
      </c>
      <c r="Z383" s="80">
        <v>-0.36035091912496975</v>
      </c>
      <c r="AA383">
        <v>9</v>
      </c>
      <c r="AB383">
        <f t="shared" si="92"/>
        <v>0</v>
      </c>
      <c r="AC383">
        <f t="shared" si="93"/>
        <v>0</v>
      </c>
      <c r="AD383">
        <f t="shared" si="94"/>
        <v>0</v>
      </c>
      <c r="AE383">
        <f t="shared" si="95"/>
        <v>0</v>
      </c>
      <c r="AF383">
        <f t="shared" si="96"/>
        <v>0</v>
      </c>
      <c r="AG383">
        <f t="shared" si="97"/>
        <v>0</v>
      </c>
      <c r="AH383">
        <f t="shared" si="98"/>
        <v>0</v>
      </c>
      <c r="AI383">
        <f t="shared" si="99"/>
        <v>0</v>
      </c>
      <c r="AJ383">
        <f t="shared" si="100"/>
        <v>1</v>
      </c>
      <c r="AK383">
        <f t="shared" si="101"/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</row>
    <row r="384" spans="1:53" x14ac:dyDescent="0.35">
      <c r="A384">
        <v>0.90859223884756946</v>
      </c>
      <c r="C384">
        <v>3.473972602739726</v>
      </c>
      <c r="D384" s="137">
        <f t="shared" si="86"/>
        <v>0.54082638908923919</v>
      </c>
      <c r="E384">
        <v>0</v>
      </c>
      <c r="F384">
        <v>0.6020599913279624</v>
      </c>
      <c r="G384" s="29">
        <v>0</v>
      </c>
      <c r="H384" s="29" t="e">
        <f t="shared" si="87"/>
        <v>#NUM!</v>
      </c>
      <c r="I384" s="9">
        <v>0</v>
      </c>
      <c r="J384" s="34">
        <v>3.7426497940623665E-2</v>
      </c>
      <c r="K384">
        <v>6</v>
      </c>
      <c r="L384" s="137">
        <f t="shared" si="88"/>
        <v>0.77815125038364363</v>
      </c>
      <c r="M384">
        <f t="shared" si="85"/>
        <v>0</v>
      </c>
      <c r="N384">
        <v>70</v>
      </c>
      <c r="O384">
        <v>70</v>
      </c>
      <c r="P384">
        <v>70</v>
      </c>
      <c r="Q384" s="137">
        <f t="shared" si="89"/>
        <v>1.8450980400142569</v>
      </c>
      <c r="R384" s="34">
        <v>27.63</v>
      </c>
      <c r="S384" s="34">
        <f t="shared" si="90"/>
        <v>1.4413808849165113</v>
      </c>
      <c r="T384" s="42">
        <v>49.329709120205997</v>
      </c>
      <c r="U384" s="42">
        <f t="shared" si="91"/>
        <v>1.6931085545892062</v>
      </c>
      <c r="V384">
        <v>3.1532162502154288</v>
      </c>
      <c r="W384" s="14">
        <v>5</v>
      </c>
      <c r="X384">
        <v>3.5175748361336181</v>
      </c>
      <c r="Y384">
        <v>7</v>
      </c>
      <c r="Z384" s="80">
        <v>8.8464422677167809E-2</v>
      </c>
      <c r="AA384">
        <v>9</v>
      </c>
      <c r="AB384">
        <f t="shared" si="92"/>
        <v>0</v>
      </c>
      <c r="AC384">
        <f t="shared" si="93"/>
        <v>0</v>
      </c>
      <c r="AD384">
        <f t="shared" si="94"/>
        <v>0</v>
      </c>
      <c r="AE384">
        <f t="shared" si="95"/>
        <v>0</v>
      </c>
      <c r="AF384">
        <f t="shared" si="96"/>
        <v>0</v>
      </c>
      <c r="AG384">
        <f t="shared" si="97"/>
        <v>0</v>
      </c>
      <c r="AH384">
        <f t="shared" si="98"/>
        <v>0</v>
      </c>
      <c r="AI384">
        <f t="shared" si="99"/>
        <v>0</v>
      </c>
      <c r="AJ384">
        <f t="shared" si="100"/>
        <v>1</v>
      </c>
      <c r="AK384">
        <f t="shared" si="101"/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1</v>
      </c>
      <c r="AZ384">
        <v>0</v>
      </c>
      <c r="BA384">
        <v>0</v>
      </c>
    </row>
    <row r="385" spans="1:53" x14ac:dyDescent="0.35">
      <c r="A385">
        <v>-2</v>
      </c>
      <c r="C385">
        <v>1.0082191780821919</v>
      </c>
      <c r="D385" s="137">
        <f t="shared" si="86"/>
        <v>3.5549542170429872E-3</v>
      </c>
      <c r="E385">
        <v>3.8229763963637051</v>
      </c>
      <c r="F385">
        <v>0.47712125471966244</v>
      </c>
      <c r="G385" s="45">
        <v>3.03</v>
      </c>
      <c r="H385" s="29">
        <f t="shared" si="87"/>
        <v>0.48144262850230496</v>
      </c>
      <c r="I385" s="9">
        <v>2.7113853790984517</v>
      </c>
      <c r="J385" s="34">
        <v>-7.5720713938118356E-2</v>
      </c>
      <c r="K385">
        <v>5</v>
      </c>
      <c r="L385" s="137">
        <f t="shared" si="88"/>
        <v>0.69897000433601886</v>
      </c>
      <c r="M385">
        <f t="shared" si="85"/>
        <v>1</v>
      </c>
      <c r="N385">
        <v>70</v>
      </c>
      <c r="O385">
        <v>70</v>
      </c>
      <c r="P385">
        <v>85</v>
      </c>
      <c r="Q385" s="137">
        <f t="shared" si="89"/>
        <v>1.9294189257142926</v>
      </c>
      <c r="R385" s="34">
        <v>27.2</v>
      </c>
      <c r="S385" s="34">
        <f t="shared" si="90"/>
        <v>1.4345689040341987</v>
      </c>
      <c r="T385" s="42">
        <v>35.608384832026097</v>
      </c>
      <c r="U385" s="42">
        <f t="shared" si="91"/>
        <v>1.5515522748692276</v>
      </c>
      <c r="V385">
        <v>3.1532162502154288</v>
      </c>
      <c r="W385" s="14">
        <v>5</v>
      </c>
      <c r="X385">
        <v>3.5175748361336181</v>
      </c>
      <c r="Y385">
        <v>7.6020599913279625</v>
      </c>
      <c r="Z385" s="80">
        <v>-0.12527370105505553</v>
      </c>
      <c r="AA385">
        <v>5</v>
      </c>
      <c r="AB385">
        <f t="shared" si="92"/>
        <v>0</v>
      </c>
      <c r="AC385">
        <f t="shared" si="93"/>
        <v>0</v>
      </c>
      <c r="AD385">
        <f t="shared" si="94"/>
        <v>0</v>
      </c>
      <c r="AE385">
        <f t="shared" si="95"/>
        <v>0</v>
      </c>
      <c r="AF385">
        <f t="shared" si="96"/>
        <v>1</v>
      </c>
      <c r="AG385">
        <f t="shared" si="97"/>
        <v>0</v>
      </c>
      <c r="AH385">
        <f t="shared" si="98"/>
        <v>0</v>
      </c>
      <c r="AI385">
        <f t="shared" si="99"/>
        <v>0</v>
      </c>
      <c r="AJ385">
        <f t="shared" si="100"/>
        <v>0</v>
      </c>
      <c r="AK385">
        <f t="shared" si="101"/>
        <v>0</v>
      </c>
      <c r="AL385">
        <v>1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</row>
    <row r="386" spans="1:53" x14ac:dyDescent="0.35">
      <c r="A386">
        <v>0.55017516002644007</v>
      </c>
      <c r="C386">
        <v>4.5287671232876709</v>
      </c>
      <c r="D386" s="137">
        <f t="shared" si="86"/>
        <v>0.65597998911497279</v>
      </c>
      <c r="E386">
        <v>0</v>
      </c>
      <c r="F386">
        <v>0</v>
      </c>
      <c r="G386" s="29">
        <v>0</v>
      </c>
      <c r="H386" s="29" t="e">
        <f t="shared" si="87"/>
        <v>#NUM!</v>
      </c>
      <c r="I386" s="9">
        <v>0</v>
      </c>
      <c r="J386" s="34">
        <v>-8.092190762392612E-2</v>
      </c>
      <c r="K386">
        <v>4</v>
      </c>
      <c r="L386" s="137">
        <f t="shared" si="88"/>
        <v>0.6020599913279624</v>
      </c>
      <c r="M386">
        <f t="shared" ref="M386:M449" si="102">IF(E386=0,0,1)</f>
        <v>0</v>
      </c>
      <c r="N386">
        <v>70</v>
      </c>
      <c r="O386">
        <v>70</v>
      </c>
      <c r="P386">
        <v>70</v>
      </c>
      <c r="Q386" s="137">
        <f t="shared" si="89"/>
        <v>1.8450980400142569</v>
      </c>
      <c r="R386" s="34">
        <v>27.61</v>
      </c>
      <c r="S386" s="34">
        <f t="shared" si="90"/>
        <v>1.4410664066392631</v>
      </c>
      <c r="T386" s="42">
        <v>49.329709120205997</v>
      </c>
      <c r="U386" s="42">
        <f t="shared" si="91"/>
        <v>1.6931085545892062</v>
      </c>
      <c r="V386">
        <v>3.1532162502154288</v>
      </c>
      <c r="W386" s="14">
        <v>5</v>
      </c>
      <c r="X386">
        <v>3.5175748361336181</v>
      </c>
      <c r="Y386">
        <v>7.3617278360175931</v>
      </c>
      <c r="Z386" s="80">
        <v>-0.19931325011846113</v>
      </c>
      <c r="AA386">
        <v>2</v>
      </c>
      <c r="AB386">
        <f t="shared" si="92"/>
        <v>0</v>
      </c>
      <c r="AC386">
        <f t="shared" si="93"/>
        <v>1</v>
      </c>
      <c r="AD386">
        <f t="shared" si="94"/>
        <v>0</v>
      </c>
      <c r="AE386">
        <f t="shared" si="95"/>
        <v>0</v>
      </c>
      <c r="AF386">
        <f t="shared" si="96"/>
        <v>0</v>
      </c>
      <c r="AG386">
        <f t="shared" si="97"/>
        <v>0</v>
      </c>
      <c r="AH386">
        <f t="shared" si="98"/>
        <v>0</v>
      </c>
      <c r="AI386">
        <f t="shared" si="99"/>
        <v>0</v>
      </c>
      <c r="AJ386">
        <f t="shared" si="100"/>
        <v>0</v>
      </c>
      <c r="AK386">
        <f t="shared" si="101"/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1</v>
      </c>
      <c r="AZ386">
        <v>0</v>
      </c>
      <c r="BA386">
        <v>0</v>
      </c>
    </row>
    <row r="387" spans="1:53" x14ac:dyDescent="0.35">
      <c r="A387">
        <v>0.52589988515043506</v>
      </c>
      <c r="C387">
        <v>2.0986301369863014</v>
      </c>
      <c r="D387" s="137">
        <f t="shared" ref="D387:D450" si="103">LOG(C387)</f>
        <v>0.32193590517612924</v>
      </c>
      <c r="E387">
        <v>2.2426159575692655</v>
      </c>
      <c r="F387">
        <v>0.95424250943932487</v>
      </c>
      <c r="G387" s="45">
        <v>2.9</v>
      </c>
      <c r="H387" s="29">
        <f t="shared" ref="H387:H450" si="104">LOG(G387)</f>
        <v>0.46239799789895608</v>
      </c>
      <c r="I387" s="9">
        <v>2.4705574852172743</v>
      </c>
      <c r="J387" s="34">
        <v>0.15228834438305647</v>
      </c>
      <c r="K387">
        <v>18</v>
      </c>
      <c r="L387" s="137">
        <f t="shared" ref="L387:L450" si="105">IF(K387=0,0,LOG(K387))</f>
        <v>1.255272505103306</v>
      </c>
      <c r="M387">
        <f t="shared" si="102"/>
        <v>1</v>
      </c>
      <c r="N387">
        <v>95</v>
      </c>
      <c r="O387">
        <v>80</v>
      </c>
      <c r="P387">
        <v>70</v>
      </c>
      <c r="Q387" s="137">
        <f t="shared" ref="Q387:Q450" si="106">LOG(P387)</f>
        <v>1.8450980400142569</v>
      </c>
      <c r="R387" s="34">
        <v>36.299999999999997</v>
      </c>
      <c r="S387" s="34">
        <f t="shared" ref="S387:S450" si="107">LOG(R387)</f>
        <v>1.5599066250361124</v>
      </c>
      <c r="T387" s="42">
        <v>44.332035658580502</v>
      </c>
      <c r="U387" s="42">
        <f t="shared" ref="U387:U450" si="108">LOG(T387)</f>
        <v>1.6467176738887899</v>
      </c>
      <c r="V387">
        <v>3.2103561131344809</v>
      </c>
      <c r="W387" s="14">
        <v>4</v>
      </c>
      <c r="X387">
        <v>3.6619768667491281</v>
      </c>
      <c r="Y387">
        <v>7.3771901018415083</v>
      </c>
      <c r="Z387" s="80">
        <v>0.26497585715211613</v>
      </c>
      <c r="AA387">
        <v>2</v>
      </c>
      <c r="AB387">
        <f t="shared" ref="AB387:AB450" si="109">IF(AA387=1,1,0)</f>
        <v>0</v>
      </c>
      <c r="AC387">
        <f t="shared" ref="AC387:AC450" si="110">IF(AA387=2,1,0)</f>
        <v>1</v>
      </c>
      <c r="AD387">
        <f t="shared" ref="AD387:AD450" si="111">IF(AA387=3,1,0)</f>
        <v>0</v>
      </c>
      <c r="AE387">
        <f t="shared" ref="AE387:AE450" si="112">IF(AA387=4,1,0)</f>
        <v>0</v>
      </c>
      <c r="AF387">
        <f t="shared" ref="AF387:AF450" si="113">IF(AA387=5,1,0)</f>
        <v>0</v>
      </c>
      <c r="AG387">
        <f t="shared" ref="AG387:AG450" si="114">IF(AA387=6,1,0)</f>
        <v>0</v>
      </c>
      <c r="AH387">
        <f t="shared" ref="AH387:AH450" si="115">IF(AA387=7,1,0)</f>
        <v>0</v>
      </c>
      <c r="AI387">
        <f t="shared" ref="AI387:AI450" si="116">IF(AA387=8,1,0)</f>
        <v>0</v>
      </c>
      <c r="AJ387">
        <f t="shared" ref="AJ387:AJ450" si="117">IF(AA387=9,1,0)</f>
        <v>0</v>
      </c>
      <c r="AK387">
        <f t="shared" ref="AK387:AK450" si="118">IF(AA387=10,1,0)</f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</row>
    <row r="388" spans="1:53" x14ac:dyDescent="0.35">
      <c r="A388">
        <v>0.40540657335739205</v>
      </c>
      <c r="C388">
        <v>5.8054794520547945</v>
      </c>
      <c r="D388" s="137">
        <f t="shared" si="103"/>
        <v>0.76383809225431987</v>
      </c>
      <c r="E388">
        <v>0</v>
      </c>
      <c r="F388">
        <v>0.6020599913279624</v>
      </c>
      <c r="G388" s="45">
        <v>3.29</v>
      </c>
      <c r="H388" s="29">
        <f t="shared" si="104"/>
        <v>0.51719589794997434</v>
      </c>
      <c r="I388" s="9">
        <v>0</v>
      </c>
      <c r="J388" s="34">
        <v>0.34044411484011833</v>
      </c>
      <c r="K388">
        <v>7</v>
      </c>
      <c r="L388" s="137">
        <f t="shared" si="105"/>
        <v>0.84509804001425681</v>
      </c>
      <c r="M388">
        <f t="shared" si="102"/>
        <v>0</v>
      </c>
      <c r="N388">
        <v>70</v>
      </c>
      <c r="O388">
        <v>70</v>
      </c>
      <c r="P388">
        <v>89.8</v>
      </c>
      <c r="Q388" s="137">
        <f t="shared" si="106"/>
        <v>1.9532763366673043</v>
      </c>
      <c r="R388" s="34">
        <v>31.2</v>
      </c>
      <c r="S388" s="34">
        <f t="shared" si="107"/>
        <v>1.4941545940184429</v>
      </c>
      <c r="T388" s="42">
        <v>47.307367293927399</v>
      </c>
      <c r="U388" s="42">
        <f t="shared" si="108"/>
        <v>1.6749287797641836</v>
      </c>
      <c r="V388">
        <v>3.3438084825075891</v>
      </c>
      <c r="W388" s="14">
        <v>2</v>
      </c>
      <c r="X388">
        <v>3.8895205457872843</v>
      </c>
      <c r="Y388">
        <v>7.238046103128795</v>
      </c>
      <c r="Z388" s="80">
        <v>0.59890652592058635</v>
      </c>
      <c r="AA388">
        <v>9</v>
      </c>
      <c r="AB388">
        <f t="shared" si="109"/>
        <v>0</v>
      </c>
      <c r="AC388">
        <f t="shared" si="110"/>
        <v>0</v>
      </c>
      <c r="AD388">
        <f t="shared" si="111"/>
        <v>0</v>
      </c>
      <c r="AE388">
        <f t="shared" si="112"/>
        <v>0</v>
      </c>
      <c r="AF388">
        <f t="shared" si="113"/>
        <v>0</v>
      </c>
      <c r="AG388">
        <f t="shared" si="114"/>
        <v>0</v>
      </c>
      <c r="AH388">
        <f t="shared" si="115"/>
        <v>0</v>
      </c>
      <c r="AI388">
        <f t="shared" si="116"/>
        <v>0</v>
      </c>
      <c r="AJ388">
        <f t="shared" si="117"/>
        <v>1</v>
      </c>
      <c r="AK388">
        <f t="shared" si="118"/>
        <v>0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</row>
    <row r="389" spans="1:53" x14ac:dyDescent="0.35">
      <c r="A389">
        <v>0.33871328580219212</v>
      </c>
      <c r="C389">
        <v>5.1726027397260275</v>
      </c>
      <c r="D389" s="137">
        <f t="shared" si="103"/>
        <v>0.71370912550557541</v>
      </c>
      <c r="E389">
        <v>2.5542346870234227</v>
      </c>
      <c r="F389">
        <v>1.8633228601204559</v>
      </c>
      <c r="G389" s="45">
        <v>3.16</v>
      </c>
      <c r="H389" s="29">
        <f t="shared" si="104"/>
        <v>0.49968708261840383</v>
      </c>
      <c r="I389" s="9">
        <v>2.9876662649262746</v>
      </c>
      <c r="J389" s="34">
        <v>-3.1517051446064911E-2</v>
      </c>
      <c r="K389">
        <v>5</v>
      </c>
      <c r="L389" s="137">
        <f t="shared" si="105"/>
        <v>0.69897000433601886</v>
      </c>
      <c r="M389">
        <f t="shared" si="102"/>
        <v>1</v>
      </c>
      <c r="N389">
        <v>70</v>
      </c>
      <c r="O389">
        <v>90</v>
      </c>
      <c r="P389">
        <v>88.4</v>
      </c>
      <c r="Q389" s="137">
        <f t="shared" si="106"/>
        <v>1.9464522650130731</v>
      </c>
      <c r="R389" s="34">
        <v>35.700000000000003</v>
      </c>
      <c r="S389" s="34">
        <f t="shared" si="107"/>
        <v>1.5526682161121932</v>
      </c>
      <c r="T389" s="42">
        <v>42.337645557762798</v>
      </c>
      <c r="U389" s="42">
        <f t="shared" si="108"/>
        <v>1.6267267027692975</v>
      </c>
      <c r="V389">
        <v>3.3438084825075891</v>
      </c>
      <c r="W389" s="14">
        <v>2</v>
      </c>
      <c r="X389">
        <v>3.8895205457872843</v>
      </c>
      <c r="Y389">
        <v>7.9165592193011136</v>
      </c>
      <c r="Z389" s="80">
        <v>-0.10038612270378378</v>
      </c>
      <c r="AA389">
        <v>5</v>
      </c>
      <c r="AB389">
        <f t="shared" si="109"/>
        <v>0</v>
      </c>
      <c r="AC389">
        <f t="shared" si="110"/>
        <v>0</v>
      </c>
      <c r="AD389">
        <f t="shared" si="111"/>
        <v>0</v>
      </c>
      <c r="AE389">
        <f t="shared" si="112"/>
        <v>0</v>
      </c>
      <c r="AF389">
        <f t="shared" si="113"/>
        <v>1</v>
      </c>
      <c r="AG389">
        <f t="shared" si="114"/>
        <v>0</v>
      </c>
      <c r="AH389">
        <f t="shared" si="115"/>
        <v>0</v>
      </c>
      <c r="AI389">
        <f t="shared" si="116"/>
        <v>0</v>
      </c>
      <c r="AJ389">
        <f t="shared" si="117"/>
        <v>0</v>
      </c>
      <c r="AK389">
        <f t="shared" si="118"/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</row>
    <row r="390" spans="1:53" x14ac:dyDescent="0.35">
      <c r="A390">
        <v>0.95451372538741597</v>
      </c>
      <c r="C390">
        <v>10.575342465753424</v>
      </c>
      <c r="D390" s="137">
        <f t="shared" si="103"/>
        <v>1.0242944402152803</v>
      </c>
      <c r="E390">
        <v>0</v>
      </c>
      <c r="F390">
        <v>1.3979400086720377</v>
      </c>
      <c r="G390" s="45">
        <v>3.29</v>
      </c>
      <c r="H390" s="29">
        <f t="shared" si="104"/>
        <v>0.51719589794997434</v>
      </c>
      <c r="I390" s="9">
        <v>0</v>
      </c>
      <c r="J390" s="34">
        <v>0.2528530309798932</v>
      </c>
      <c r="K390">
        <v>5</v>
      </c>
      <c r="L390" s="137">
        <f t="shared" si="105"/>
        <v>0.69897000433601886</v>
      </c>
      <c r="M390">
        <f t="shared" si="102"/>
        <v>0</v>
      </c>
      <c r="N390">
        <v>70</v>
      </c>
      <c r="O390">
        <v>70</v>
      </c>
      <c r="P390">
        <v>91.2</v>
      </c>
      <c r="Q390" s="137">
        <f t="shared" si="106"/>
        <v>1.9599948383284163</v>
      </c>
      <c r="R390" s="34">
        <v>33</v>
      </c>
      <c r="S390" s="34">
        <f t="shared" si="107"/>
        <v>1.5185139398778875</v>
      </c>
      <c r="T390" s="42">
        <v>40.902544500539101</v>
      </c>
      <c r="U390" s="42">
        <f t="shared" si="108"/>
        <v>1.6117503258110162</v>
      </c>
      <c r="V390">
        <v>3.3438084825075891</v>
      </c>
      <c r="W390" s="14">
        <v>2</v>
      </c>
      <c r="X390">
        <v>3.8895205457872843</v>
      </c>
      <c r="Y390">
        <v>7.9464473521517798</v>
      </c>
      <c r="Z390" s="80">
        <v>0.2410263229537053</v>
      </c>
      <c r="AA390">
        <v>5</v>
      </c>
      <c r="AB390">
        <f t="shared" si="109"/>
        <v>0</v>
      </c>
      <c r="AC390">
        <f t="shared" si="110"/>
        <v>0</v>
      </c>
      <c r="AD390">
        <f t="shared" si="111"/>
        <v>0</v>
      </c>
      <c r="AE390">
        <f t="shared" si="112"/>
        <v>0</v>
      </c>
      <c r="AF390">
        <f t="shared" si="113"/>
        <v>1</v>
      </c>
      <c r="AG390">
        <f t="shared" si="114"/>
        <v>0</v>
      </c>
      <c r="AH390">
        <f t="shared" si="115"/>
        <v>0</v>
      </c>
      <c r="AI390">
        <f t="shared" si="116"/>
        <v>0</v>
      </c>
      <c r="AJ390">
        <f t="shared" si="117"/>
        <v>0</v>
      </c>
      <c r="AK390">
        <f t="shared" si="118"/>
        <v>0</v>
      </c>
      <c r="AL390">
        <v>0</v>
      </c>
      <c r="AM390">
        <v>1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</row>
    <row r="391" spans="1:53" x14ac:dyDescent="0.35">
      <c r="A391">
        <v>0.29550329383784157</v>
      </c>
      <c r="C391">
        <v>1.4</v>
      </c>
      <c r="D391" s="137">
        <f t="shared" si="103"/>
        <v>0.14612803567823801</v>
      </c>
      <c r="E391">
        <v>0</v>
      </c>
      <c r="F391">
        <v>1.0791812460476249</v>
      </c>
      <c r="G391" s="45">
        <v>3.29</v>
      </c>
      <c r="H391" s="29">
        <f t="shared" si="104"/>
        <v>0.51719589794997434</v>
      </c>
      <c r="I391" s="9">
        <v>0</v>
      </c>
      <c r="J391" s="34">
        <v>6.069784035361165E-2</v>
      </c>
      <c r="K391">
        <v>3</v>
      </c>
      <c r="L391" s="137">
        <f t="shared" si="105"/>
        <v>0.47712125471966244</v>
      </c>
      <c r="M391">
        <f t="shared" si="102"/>
        <v>0</v>
      </c>
      <c r="N391">
        <v>70</v>
      </c>
      <c r="O391">
        <v>70</v>
      </c>
      <c r="P391">
        <v>85</v>
      </c>
      <c r="Q391" s="137">
        <f t="shared" si="106"/>
        <v>1.9294189257142926</v>
      </c>
      <c r="R391" s="34">
        <v>32.700000000000003</v>
      </c>
      <c r="S391" s="34">
        <f t="shared" si="107"/>
        <v>1.5145477526602862</v>
      </c>
      <c r="T391" s="42">
        <v>41.286751495766303</v>
      </c>
      <c r="U391" s="42">
        <f t="shared" si="108"/>
        <v>1.6158107132703448</v>
      </c>
      <c r="V391">
        <v>3.3438084825075891</v>
      </c>
      <c r="W391" s="14">
        <v>2</v>
      </c>
      <c r="X391">
        <v>3.8895205457872843</v>
      </c>
      <c r="Y391">
        <v>8.4603715618346502</v>
      </c>
      <c r="Z391" s="80">
        <v>0.19666095230403835</v>
      </c>
      <c r="AA391">
        <v>6</v>
      </c>
      <c r="AB391">
        <f t="shared" si="109"/>
        <v>0</v>
      </c>
      <c r="AC391">
        <f t="shared" si="110"/>
        <v>0</v>
      </c>
      <c r="AD391">
        <f t="shared" si="111"/>
        <v>0</v>
      </c>
      <c r="AE391">
        <f t="shared" si="112"/>
        <v>0</v>
      </c>
      <c r="AF391">
        <f t="shared" si="113"/>
        <v>0</v>
      </c>
      <c r="AG391">
        <f t="shared" si="114"/>
        <v>1</v>
      </c>
      <c r="AH391">
        <f t="shared" si="115"/>
        <v>0</v>
      </c>
      <c r="AI391">
        <f t="shared" si="116"/>
        <v>0</v>
      </c>
      <c r="AJ391">
        <f t="shared" si="117"/>
        <v>0</v>
      </c>
      <c r="AK391">
        <f t="shared" si="118"/>
        <v>0</v>
      </c>
      <c r="AL391">
        <v>0</v>
      </c>
      <c r="AM391">
        <v>1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</row>
    <row r="392" spans="1:53" x14ac:dyDescent="0.35">
      <c r="A392">
        <v>0.50218365862222958</v>
      </c>
      <c r="C392">
        <v>1.9150684931506849</v>
      </c>
      <c r="D392" s="137">
        <f t="shared" si="103"/>
        <v>0.28218431128920668</v>
      </c>
      <c r="E392">
        <v>2.5542346870234227</v>
      </c>
      <c r="F392">
        <v>0.90308998699194354</v>
      </c>
      <c r="G392" s="45">
        <v>3.16</v>
      </c>
      <c r="H392" s="29">
        <f t="shared" si="104"/>
        <v>0.49968708261840383</v>
      </c>
      <c r="I392" s="9">
        <v>2.9876662649262746</v>
      </c>
      <c r="J392" s="34">
        <v>7.9181246047624818E-2</v>
      </c>
      <c r="K392">
        <v>3</v>
      </c>
      <c r="L392" s="137">
        <f t="shared" si="105"/>
        <v>0.47712125471966244</v>
      </c>
      <c r="M392">
        <f t="shared" si="102"/>
        <v>1</v>
      </c>
      <c r="N392">
        <v>95</v>
      </c>
      <c r="O392">
        <v>80</v>
      </c>
      <c r="P392">
        <v>70</v>
      </c>
      <c r="Q392" s="137">
        <f t="shared" si="106"/>
        <v>1.8450980400142569</v>
      </c>
      <c r="R392" s="34">
        <v>35</v>
      </c>
      <c r="S392" s="34">
        <f t="shared" si="107"/>
        <v>1.5440680443502757</v>
      </c>
      <c r="T392" s="42">
        <v>42.243452783984999</v>
      </c>
      <c r="U392" s="42">
        <f t="shared" si="108"/>
        <v>1.625759408194035</v>
      </c>
      <c r="V392">
        <v>3.3438084825075891</v>
      </c>
      <c r="W392" s="14">
        <v>2</v>
      </c>
      <c r="X392">
        <v>3.8895205457872843</v>
      </c>
      <c r="Y392">
        <v>7.4814426285023048</v>
      </c>
      <c r="Z392" s="80">
        <v>0.31847023418647091</v>
      </c>
      <c r="AA392">
        <v>6</v>
      </c>
      <c r="AB392">
        <f t="shared" si="109"/>
        <v>0</v>
      </c>
      <c r="AC392">
        <f t="shared" si="110"/>
        <v>0</v>
      </c>
      <c r="AD392">
        <f t="shared" si="111"/>
        <v>0</v>
      </c>
      <c r="AE392">
        <f t="shared" si="112"/>
        <v>0</v>
      </c>
      <c r="AF392">
        <f t="shared" si="113"/>
        <v>0</v>
      </c>
      <c r="AG392">
        <f t="shared" si="114"/>
        <v>1</v>
      </c>
      <c r="AH392">
        <f t="shared" si="115"/>
        <v>0</v>
      </c>
      <c r="AI392">
        <f t="shared" si="116"/>
        <v>0</v>
      </c>
      <c r="AJ392">
        <f t="shared" si="117"/>
        <v>0</v>
      </c>
      <c r="AK392">
        <f t="shared" si="118"/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</row>
    <row r="393" spans="1:53" x14ac:dyDescent="0.35">
      <c r="A393">
        <v>0.2338176423292847</v>
      </c>
      <c r="C393">
        <v>3.8273972602739725</v>
      </c>
      <c r="D393" s="137">
        <f t="shared" si="103"/>
        <v>0.58290354165770719</v>
      </c>
      <c r="E393">
        <v>0</v>
      </c>
      <c r="F393">
        <v>0.95424250943932487</v>
      </c>
      <c r="G393" s="45">
        <v>3.29</v>
      </c>
      <c r="H393" s="29">
        <f t="shared" si="104"/>
        <v>0.51719589794997434</v>
      </c>
      <c r="I393" s="9">
        <v>0</v>
      </c>
      <c r="J393" s="34">
        <v>9.691001300805642E-2</v>
      </c>
      <c r="K393">
        <v>2</v>
      </c>
      <c r="L393" s="137">
        <f t="shared" si="105"/>
        <v>0.3010299956639812</v>
      </c>
      <c r="M393">
        <f t="shared" si="102"/>
        <v>0</v>
      </c>
      <c r="N393">
        <v>70</v>
      </c>
      <c r="O393">
        <v>70</v>
      </c>
      <c r="P393">
        <v>85</v>
      </c>
      <c r="Q393" s="137">
        <f t="shared" si="106"/>
        <v>1.9294189257142926</v>
      </c>
      <c r="R393" s="34">
        <v>32.299999999999997</v>
      </c>
      <c r="S393" s="34">
        <f t="shared" si="107"/>
        <v>1.5092025223311027</v>
      </c>
      <c r="T393" s="42">
        <v>40.040400531970803</v>
      </c>
      <c r="U393" s="42">
        <f t="shared" si="108"/>
        <v>1.6024984131617945</v>
      </c>
      <c r="V393">
        <v>3.3438084825075891</v>
      </c>
      <c r="W393" s="14">
        <v>2</v>
      </c>
      <c r="X393">
        <v>3.8895205457872843</v>
      </c>
      <c r="Y393">
        <v>8.3164107107258101</v>
      </c>
      <c r="Z393" s="80">
        <v>0.46130586491177317</v>
      </c>
      <c r="AA393">
        <v>5</v>
      </c>
      <c r="AB393">
        <f t="shared" si="109"/>
        <v>0</v>
      </c>
      <c r="AC393">
        <f t="shared" si="110"/>
        <v>0</v>
      </c>
      <c r="AD393">
        <f t="shared" si="111"/>
        <v>0</v>
      </c>
      <c r="AE393">
        <f t="shared" si="112"/>
        <v>0</v>
      </c>
      <c r="AF393">
        <f t="shared" si="113"/>
        <v>1</v>
      </c>
      <c r="AG393">
        <f t="shared" si="114"/>
        <v>0</v>
      </c>
      <c r="AH393">
        <f t="shared" si="115"/>
        <v>0</v>
      </c>
      <c r="AI393">
        <f t="shared" si="116"/>
        <v>0</v>
      </c>
      <c r="AJ393">
        <f t="shared" si="117"/>
        <v>0</v>
      </c>
      <c r="AK393">
        <f t="shared" si="118"/>
        <v>0</v>
      </c>
      <c r="AL393">
        <v>0</v>
      </c>
      <c r="AM393">
        <v>1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</row>
    <row r="394" spans="1:53" x14ac:dyDescent="0.35">
      <c r="A394">
        <v>0.22834296728139425</v>
      </c>
      <c r="C394">
        <v>4.0849315068493155</v>
      </c>
      <c r="D394" s="137">
        <f t="shared" si="103"/>
        <v>0.61118477899651991</v>
      </c>
      <c r="E394">
        <v>3.7358167906061537</v>
      </c>
      <c r="F394">
        <v>1.7160033436347992</v>
      </c>
      <c r="G394" s="45">
        <v>2.81</v>
      </c>
      <c r="H394" s="29">
        <f t="shared" si="104"/>
        <v>0.44870631990507992</v>
      </c>
      <c r="I394" s="9">
        <v>2.103233406386928</v>
      </c>
      <c r="J394" s="34">
        <v>0.17609125905568124</v>
      </c>
      <c r="K394">
        <v>10</v>
      </c>
      <c r="L394" s="137">
        <f t="shared" si="105"/>
        <v>1</v>
      </c>
      <c r="M394">
        <f t="shared" si="102"/>
        <v>1</v>
      </c>
      <c r="N394">
        <v>70</v>
      </c>
      <c r="O394">
        <v>70</v>
      </c>
      <c r="P394">
        <v>90.5</v>
      </c>
      <c r="Q394" s="137">
        <f t="shared" si="106"/>
        <v>1.9566485792052033</v>
      </c>
      <c r="R394" s="34">
        <v>25.7</v>
      </c>
      <c r="S394" s="34">
        <f t="shared" si="107"/>
        <v>1.4099331233312946</v>
      </c>
      <c r="T394" s="42">
        <v>39.010023979360902</v>
      </c>
      <c r="U394" s="42">
        <f t="shared" si="108"/>
        <v>1.5911762172715689</v>
      </c>
      <c r="V394">
        <v>3.3884049978579722</v>
      </c>
      <c r="W394" s="14">
        <v>2</v>
      </c>
      <c r="X394">
        <v>3.8579486949156889</v>
      </c>
      <c r="Y394">
        <v>8.7143792229021759</v>
      </c>
      <c r="Z394" s="80">
        <v>0.18837171821958454</v>
      </c>
      <c r="AA394">
        <v>7</v>
      </c>
      <c r="AB394">
        <f t="shared" si="109"/>
        <v>0</v>
      </c>
      <c r="AC394">
        <f t="shared" si="110"/>
        <v>0</v>
      </c>
      <c r="AD394">
        <f t="shared" si="111"/>
        <v>0</v>
      </c>
      <c r="AE394">
        <f t="shared" si="112"/>
        <v>0</v>
      </c>
      <c r="AF394">
        <f t="shared" si="113"/>
        <v>0</v>
      </c>
      <c r="AG394">
        <f t="shared" si="114"/>
        <v>0</v>
      </c>
      <c r="AH394">
        <f t="shared" si="115"/>
        <v>1</v>
      </c>
      <c r="AI394">
        <f t="shared" si="116"/>
        <v>0</v>
      </c>
      <c r="AJ394">
        <f t="shared" si="117"/>
        <v>0</v>
      </c>
      <c r="AK394">
        <f t="shared" si="118"/>
        <v>0</v>
      </c>
      <c r="AL394">
        <v>1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</row>
    <row r="395" spans="1:53" x14ac:dyDescent="0.35">
      <c r="A395">
        <v>0.93175331002877337</v>
      </c>
      <c r="C395">
        <v>7.8876712328767127</v>
      </c>
      <c r="D395" s="137">
        <f t="shared" si="103"/>
        <v>0.8969488004216073</v>
      </c>
      <c r="E395">
        <v>3.7358167906061537</v>
      </c>
      <c r="F395">
        <v>0</v>
      </c>
      <c r="G395" s="45">
        <v>2.81</v>
      </c>
      <c r="H395" s="29">
        <f t="shared" si="104"/>
        <v>0.44870631990507992</v>
      </c>
      <c r="I395" s="9">
        <v>2.103233406386928</v>
      </c>
      <c r="J395" s="34">
        <v>0.42813479402878879</v>
      </c>
      <c r="K395">
        <v>7</v>
      </c>
      <c r="L395" s="137">
        <f t="shared" si="105"/>
        <v>0.84509804001425681</v>
      </c>
      <c r="M395">
        <f t="shared" si="102"/>
        <v>1</v>
      </c>
      <c r="N395">
        <v>70</v>
      </c>
      <c r="O395">
        <v>70</v>
      </c>
      <c r="P395">
        <v>91.3</v>
      </c>
      <c r="Q395" s="137">
        <f t="shared" si="106"/>
        <v>1.9604707775342989</v>
      </c>
      <c r="R395" s="34">
        <v>23.5</v>
      </c>
      <c r="S395" s="34">
        <f t="shared" si="107"/>
        <v>1.3710678622717363</v>
      </c>
      <c r="T395" s="42">
        <v>43.1672842383418</v>
      </c>
      <c r="U395" s="42">
        <f t="shared" si="108"/>
        <v>1.6351547269652249</v>
      </c>
      <c r="V395">
        <v>3.3884049978579722</v>
      </c>
      <c r="W395" s="14">
        <v>2</v>
      </c>
      <c r="X395">
        <v>3.8579486949156889</v>
      </c>
      <c r="Y395">
        <v>7.7861833455676335</v>
      </c>
      <c r="Z395" s="80">
        <v>0.55308822596830609</v>
      </c>
      <c r="AA395">
        <v>6</v>
      </c>
      <c r="AB395">
        <f t="shared" si="109"/>
        <v>0</v>
      </c>
      <c r="AC395">
        <f t="shared" si="110"/>
        <v>0</v>
      </c>
      <c r="AD395">
        <f t="shared" si="111"/>
        <v>0</v>
      </c>
      <c r="AE395">
        <f t="shared" si="112"/>
        <v>0</v>
      </c>
      <c r="AF395">
        <f t="shared" si="113"/>
        <v>0</v>
      </c>
      <c r="AG395">
        <f t="shared" si="114"/>
        <v>1</v>
      </c>
      <c r="AH395">
        <f t="shared" si="115"/>
        <v>0</v>
      </c>
      <c r="AI395">
        <f t="shared" si="116"/>
        <v>0</v>
      </c>
      <c r="AJ395">
        <f t="shared" si="117"/>
        <v>0</v>
      </c>
      <c r="AK395">
        <f t="shared" si="118"/>
        <v>0</v>
      </c>
      <c r="AL395">
        <v>1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</row>
    <row r="396" spans="1:53" x14ac:dyDescent="0.35">
      <c r="A396">
        <v>-2</v>
      </c>
      <c r="C396">
        <v>4.1753424657534248</v>
      </c>
      <c r="D396" s="137">
        <f t="shared" si="103"/>
        <v>0.62069210254710705</v>
      </c>
      <c r="E396">
        <v>3.7358167906061537</v>
      </c>
      <c r="F396">
        <v>1.7160033436347992</v>
      </c>
      <c r="G396" s="45">
        <v>2.81</v>
      </c>
      <c r="H396" s="29">
        <f t="shared" si="104"/>
        <v>0.44870631990507992</v>
      </c>
      <c r="I396" s="9">
        <v>2.103233406386928</v>
      </c>
      <c r="J396" s="34">
        <v>-3.1517051446064911E-2</v>
      </c>
      <c r="K396">
        <v>4</v>
      </c>
      <c r="L396" s="137">
        <f t="shared" si="105"/>
        <v>0.6020599913279624</v>
      </c>
      <c r="M396">
        <f t="shared" si="102"/>
        <v>1</v>
      </c>
      <c r="N396">
        <v>70</v>
      </c>
      <c r="O396">
        <v>70</v>
      </c>
      <c r="P396">
        <v>91.4</v>
      </c>
      <c r="Q396" s="137">
        <f t="shared" si="106"/>
        <v>1.9609461957338314</v>
      </c>
      <c r="R396" s="34">
        <v>26.7</v>
      </c>
      <c r="S396" s="34">
        <f t="shared" si="107"/>
        <v>1.4265112613645752</v>
      </c>
      <c r="T396" s="42">
        <v>37.425715444240403</v>
      </c>
      <c r="U396" s="42">
        <f t="shared" si="108"/>
        <v>1.5731701112332821</v>
      </c>
      <c r="V396">
        <v>3.3884049978579722</v>
      </c>
      <c r="W396" s="14">
        <v>2</v>
      </c>
      <c r="X396">
        <v>3.8579486949156889</v>
      </c>
      <c r="Y396">
        <v>8.653212513775344</v>
      </c>
      <c r="Z396" s="80">
        <v>-2.1785390143989058E-2</v>
      </c>
      <c r="AA396">
        <v>5</v>
      </c>
      <c r="AB396">
        <f t="shared" si="109"/>
        <v>0</v>
      </c>
      <c r="AC396">
        <f t="shared" si="110"/>
        <v>0</v>
      </c>
      <c r="AD396">
        <f t="shared" si="111"/>
        <v>0</v>
      </c>
      <c r="AE396">
        <f t="shared" si="112"/>
        <v>0</v>
      </c>
      <c r="AF396">
        <f t="shared" si="113"/>
        <v>1</v>
      </c>
      <c r="AG396">
        <f t="shared" si="114"/>
        <v>0</v>
      </c>
      <c r="AH396">
        <f t="shared" si="115"/>
        <v>0</v>
      </c>
      <c r="AI396">
        <f t="shared" si="116"/>
        <v>0</v>
      </c>
      <c r="AJ396">
        <f t="shared" si="117"/>
        <v>0</v>
      </c>
      <c r="AK396">
        <f t="shared" si="118"/>
        <v>0</v>
      </c>
      <c r="AL396">
        <v>1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</row>
    <row r="397" spans="1:53" x14ac:dyDescent="0.35">
      <c r="A397">
        <v>5.1338078733862841E-2</v>
      </c>
      <c r="C397">
        <v>7.0301369863013701</v>
      </c>
      <c r="D397" s="137">
        <f t="shared" si="103"/>
        <v>0.84696378758243496</v>
      </c>
      <c r="E397">
        <v>0</v>
      </c>
      <c r="F397">
        <v>0</v>
      </c>
      <c r="G397" s="45">
        <v>2.81</v>
      </c>
      <c r="H397" s="29">
        <f t="shared" si="104"/>
        <v>0.44870631990507992</v>
      </c>
      <c r="I397" s="9">
        <v>2.103233406386928</v>
      </c>
      <c r="J397" s="34">
        <v>5.6904851336472641E-2</v>
      </c>
      <c r="K397">
        <v>2</v>
      </c>
      <c r="L397" s="137">
        <f t="shared" si="105"/>
        <v>0.3010299956639812</v>
      </c>
      <c r="M397">
        <f t="shared" si="102"/>
        <v>0</v>
      </c>
      <c r="N397">
        <v>70</v>
      </c>
      <c r="O397">
        <v>70</v>
      </c>
      <c r="P397">
        <v>85</v>
      </c>
      <c r="Q397" s="137">
        <f t="shared" si="106"/>
        <v>1.9294189257142926</v>
      </c>
      <c r="R397" s="34">
        <v>25.9</v>
      </c>
      <c r="S397" s="34">
        <f t="shared" si="107"/>
        <v>1.4132997640812519</v>
      </c>
      <c r="T397" s="42">
        <v>36.959146749272797</v>
      </c>
      <c r="U397" s="42">
        <f t="shared" si="108"/>
        <v>1.5677219364019672</v>
      </c>
      <c r="V397">
        <v>3.3884049978579722</v>
      </c>
      <c r="W397" s="14">
        <v>2</v>
      </c>
      <c r="X397">
        <v>3.8579486949156889</v>
      </c>
      <c r="Y397">
        <v>8.7160033436347994</v>
      </c>
      <c r="Z397" s="80">
        <v>0.13523178905610567</v>
      </c>
      <c r="AA397">
        <v>4</v>
      </c>
      <c r="AB397">
        <f t="shared" si="109"/>
        <v>0</v>
      </c>
      <c r="AC397">
        <f t="shared" si="110"/>
        <v>0</v>
      </c>
      <c r="AD397">
        <f t="shared" si="111"/>
        <v>0</v>
      </c>
      <c r="AE397">
        <f t="shared" si="112"/>
        <v>1</v>
      </c>
      <c r="AF397">
        <f t="shared" si="113"/>
        <v>0</v>
      </c>
      <c r="AG397">
        <f t="shared" si="114"/>
        <v>0</v>
      </c>
      <c r="AH397">
        <f t="shared" si="115"/>
        <v>0</v>
      </c>
      <c r="AI397">
        <f t="shared" si="116"/>
        <v>0</v>
      </c>
      <c r="AJ397">
        <f t="shared" si="117"/>
        <v>0</v>
      </c>
      <c r="AK397">
        <f t="shared" si="118"/>
        <v>0</v>
      </c>
      <c r="AL397">
        <v>1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</row>
    <row r="398" spans="1:53" x14ac:dyDescent="0.35">
      <c r="A398">
        <v>0.9971862207753267</v>
      </c>
      <c r="C398">
        <v>4.0465753424657533</v>
      </c>
      <c r="D398" s="137">
        <f t="shared" si="103"/>
        <v>0.60708763085547479</v>
      </c>
      <c r="E398">
        <v>3.7358167906061537</v>
      </c>
      <c r="F398">
        <v>1.3010299956639813</v>
      </c>
      <c r="G398" s="45">
        <v>2.81</v>
      </c>
      <c r="H398" s="29">
        <f t="shared" si="104"/>
        <v>0.44870631990507992</v>
      </c>
      <c r="I398" s="9">
        <v>2.103233406386928</v>
      </c>
      <c r="J398" s="34">
        <v>6.445798922691845E-2</v>
      </c>
      <c r="K398">
        <v>0</v>
      </c>
      <c r="L398" s="137">
        <f t="shared" si="105"/>
        <v>0</v>
      </c>
      <c r="M398">
        <f t="shared" si="102"/>
        <v>1</v>
      </c>
      <c r="N398">
        <v>70</v>
      </c>
      <c r="O398">
        <v>70</v>
      </c>
      <c r="P398">
        <v>85</v>
      </c>
      <c r="Q398" s="137">
        <f t="shared" si="106"/>
        <v>1.9294189257142926</v>
      </c>
      <c r="R398" s="34">
        <v>24.9</v>
      </c>
      <c r="S398" s="34">
        <f t="shared" si="107"/>
        <v>1.3961993470957363</v>
      </c>
      <c r="T398" s="42">
        <v>36.710134890601303</v>
      </c>
      <c r="U398" s="42">
        <f t="shared" si="108"/>
        <v>1.564785980312654</v>
      </c>
      <c r="V398">
        <v>3.3884049978579722</v>
      </c>
      <c r="W398" s="14">
        <v>2</v>
      </c>
      <c r="X398">
        <v>3.8579486949156889</v>
      </c>
      <c r="Y398">
        <v>7.7809650296083168</v>
      </c>
      <c r="Z398" s="80">
        <v>0.13731526385401294</v>
      </c>
      <c r="AA398">
        <v>5</v>
      </c>
      <c r="AB398">
        <f t="shared" si="109"/>
        <v>0</v>
      </c>
      <c r="AC398">
        <f t="shared" si="110"/>
        <v>0</v>
      </c>
      <c r="AD398">
        <f t="shared" si="111"/>
        <v>0</v>
      </c>
      <c r="AE398">
        <f t="shared" si="112"/>
        <v>0</v>
      </c>
      <c r="AF398">
        <f t="shared" si="113"/>
        <v>1</v>
      </c>
      <c r="AG398">
        <f t="shared" si="114"/>
        <v>0</v>
      </c>
      <c r="AH398">
        <f t="shared" si="115"/>
        <v>0</v>
      </c>
      <c r="AI398">
        <f t="shared" si="116"/>
        <v>0</v>
      </c>
      <c r="AJ398">
        <f t="shared" si="117"/>
        <v>0</v>
      </c>
      <c r="AK398">
        <f t="shared" si="118"/>
        <v>0</v>
      </c>
      <c r="AL398">
        <v>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</row>
    <row r="399" spans="1:53" x14ac:dyDescent="0.35">
      <c r="A399">
        <v>0.77671186392993052</v>
      </c>
      <c r="C399">
        <v>2.6794520547945204</v>
      </c>
      <c r="D399" s="137">
        <f t="shared" si="103"/>
        <v>0.42804599033112672</v>
      </c>
      <c r="E399">
        <v>2.6674249329872439</v>
      </c>
      <c r="F399">
        <v>1.1760912590556813</v>
      </c>
      <c r="G399" s="45">
        <v>2.81</v>
      </c>
      <c r="H399" s="29">
        <f t="shared" si="104"/>
        <v>0.44870631990507992</v>
      </c>
      <c r="I399" s="9">
        <v>2.2881746749783951</v>
      </c>
      <c r="J399" s="34">
        <v>-3.6212172654444715E-2</v>
      </c>
      <c r="K399">
        <v>0</v>
      </c>
      <c r="L399" s="137">
        <f t="shared" si="105"/>
        <v>0</v>
      </c>
      <c r="M399">
        <f t="shared" si="102"/>
        <v>1</v>
      </c>
      <c r="N399">
        <v>70</v>
      </c>
      <c r="O399">
        <v>70</v>
      </c>
      <c r="P399">
        <v>85</v>
      </c>
      <c r="Q399" s="137">
        <f t="shared" si="106"/>
        <v>1.9294189257142926</v>
      </c>
      <c r="R399" s="34">
        <v>32.6</v>
      </c>
      <c r="S399" s="34">
        <f t="shared" si="107"/>
        <v>1.5132176000679389</v>
      </c>
      <c r="T399" s="42">
        <v>36.544739309553499</v>
      </c>
      <c r="U399" s="42">
        <f t="shared" si="108"/>
        <v>1.5628248682086028</v>
      </c>
      <c r="V399">
        <v>3.3884049978579722</v>
      </c>
      <c r="W399" s="14">
        <v>2</v>
      </c>
      <c r="X399">
        <v>3.8579486949156889</v>
      </c>
      <c r="Y399">
        <v>7.8325089127062366</v>
      </c>
      <c r="Z399" s="80">
        <v>-0.20233631850868972</v>
      </c>
      <c r="AA399">
        <v>5</v>
      </c>
      <c r="AB399">
        <f t="shared" si="109"/>
        <v>0</v>
      </c>
      <c r="AC399">
        <f t="shared" si="110"/>
        <v>0</v>
      </c>
      <c r="AD399">
        <f t="shared" si="111"/>
        <v>0</v>
      </c>
      <c r="AE399">
        <f t="shared" si="112"/>
        <v>0</v>
      </c>
      <c r="AF399">
        <f t="shared" si="113"/>
        <v>1</v>
      </c>
      <c r="AG399">
        <f t="shared" si="114"/>
        <v>0</v>
      </c>
      <c r="AH399">
        <f t="shared" si="115"/>
        <v>0</v>
      </c>
      <c r="AI399">
        <f t="shared" si="116"/>
        <v>0</v>
      </c>
      <c r="AJ399">
        <f t="shared" si="117"/>
        <v>0</v>
      </c>
      <c r="AK399">
        <f t="shared" si="118"/>
        <v>0</v>
      </c>
      <c r="AL399">
        <v>0</v>
      </c>
      <c r="AM399">
        <v>1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</row>
    <row r="400" spans="1:53" x14ac:dyDescent="0.35">
      <c r="A400">
        <v>0.12746371163880357</v>
      </c>
      <c r="C400">
        <v>3.2630136986301368</v>
      </c>
      <c r="D400" s="137">
        <f t="shared" si="103"/>
        <v>0.51361889702630281</v>
      </c>
      <c r="E400">
        <v>3.7358167906061537</v>
      </c>
      <c r="F400">
        <v>0.3010299956639812</v>
      </c>
      <c r="G400" s="45">
        <v>2.81</v>
      </c>
      <c r="H400" s="29">
        <f t="shared" si="104"/>
        <v>0.44870631990507992</v>
      </c>
      <c r="I400" s="9">
        <v>2.103233406386928</v>
      </c>
      <c r="J400" s="34">
        <v>-4.5757490560675115E-2</v>
      </c>
      <c r="K400">
        <v>0</v>
      </c>
      <c r="L400" s="137">
        <f t="shared" si="105"/>
        <v>0</v>
      </c>
      <c r="M400">
        <f t="shared" si="102"/>
        <v>1</v>
      </c>
      <c r="N400">
        <v>70</v>
      </c>
      <c r="O400">
        <v>70</v>
      </c>
      <c r="P400">
        <v>85</v>
      </c>
      <c r="Q400" s="137">
        <f t="shared" si="106"/>
        <v>1.9294189257142926</v>
      </c>
      <c r="R400" s="34">
        <v>27.2</v>
      </c>
      <c r="S400" s="34">
        <f t="shared" si="107"/>
        <v>1.4345689040341987</v>
      </c>
      <c r="T400" s="42">
        <v>35.608384832026097</v>
      </c>
      <c r="U400" s="42">
        <f t="shared" si="108"/>
        <v>1.5515522748692276</v>
      </c>
      <c r="V400">
        <v>3.3884049978579722</v>
      </c>
      <c r="W400" s="14">
        <v>2</v>
      </c>
      <c r="X400">
        <v>3.8579486949156889</v>
      </c>
      <c r="Y400">
        <v>9.1373541113707333</v>
      </c>
      <c r="Z400" s="80">
        <v>-0.23185026144663723</v>
      </c>
      <c r="AA400">
        <v>8</v>
      </c>
      <c r="AB400">
        <f t="shared" si="109"/>
        <v>0</v>
      </c>
      <c r="AC400">
        <f t="shared" si="110"/>
        <v>0</v>
      </c>
      <c r="AD400">
        <f t="shared" si="111"/>
        <v>0</v>
      </c>
      <c r="AE400">
        <f t="shared" si="112"/>
        <v>0</v>
      </c>
      <c r="AF400">
        <f t="shared" si="113"/>
        <v>0</v>
      </c>
      <c r="AG400">
        <f t="shared" si="114"/>
        <v>0</v>
      </c>
      <c r="AH400">
        <f t="shared" si="115"/>
        <v>0</v>
      </c>
      <c r="AI400">
        <f t="shared" si="116"/>
        <v>1</v>
      </c>
      <c r="AJ400">
        <f t="shared" si="117"/>
        <v>0</v>
      </c>
      <c r="AK400">
        <f t="shared" si="118"/>
        <v>0</v>
      </c>
      <c r="AL400">
        <v>1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</row>
    <row r="401" spans="1:53" x14ac:dyDescent="0.35">
      <c r="A401">
        <v>0.38394695043285532</v>
      </c>
      <c r="C401">
        <v>3.2630136986301368</v>
      </c>
      <c r="D401" s="137">
        <f t="shared" si="103"/>
        <v>0.51361889702630281</v>
      </c>
      <c r="E401">
        <v>3.7358167906061537</v>
      </c>
      <c r="F401">
        <v>2.0374264979406238</v>
      </c>
      <c r="G401" s="45">
        <v>2.81</v>
      </c>
      <c r="H401" s="29">
        <f t="shared" si="104"/>
        <v>0.44870631990507992</v>
      </c>
      <c r="I401" s="9">
        <v>2.103233406386928</v>
      </c>
      <c r="J401" s="34">
        <v>-6.5501548756432285E-2</v>
      </c>
      <c r="K401">
        <v>0</v>
      </c>
      <c r="L401" s="137">
        <f t="shared" si="105"/>
        <v>0</v>
      </c>
      <c r="M401">
        <f t="shared" si="102"/>
        <v>1</v>
      </c>
      <c r="N401">
        <v>70</v>
      </c>
      <c r="O401">
        <v>70</v>
      </c>
      <c r="P401">
        <v>85</v>
      </c>
      <c r="Q401" s="137">
        <f t="shared" si="106"/>
        <v>1.9294189257142926</v>
      </c>
      <c r="R401" s="34">
        <v>28.2</v>
      </c>
      <c r="S401" s="34">
        <f t="shared" si="107"/>
        <v>1.4502491083193612</v>
      </c>
      <c r="T401" s="42">
        <v>34.298950279384798</v>
      </c>
      <c r="U401" s="42">
        <f t="shared" si="108"/>
        <v>1.5352808286478177</v>
      </c>
      <c r="V401">
        <v>3.3884049978579722</v>
      </c>
      <c r="W401" s="14">
        <v>2</v>
      </c>
      <c r="X401">
        <v>3.8579486949156889</v>
      </c>
      <c r="Y401">
        <v>8.1760912590556813</v>
      </c>
      <c r="Z401" s="80">
        <v>-0.23388420416110145</v>
      </c>
      <c r="AA401" t="s">
        <v>1323</v>
      </c>
      <c r="AB401">
        <f t="shared" si="109"/>
        <v>0</v>
      </c>
      <c r="AC401">
        <f t="shared" si="110"/>
        <v>0</v>
      </c>
      <c r="AD401">
        <f t="shared" si="111"/>
        <v>0</v>
      </c>
      <c r="AE401">
        <f t="shared" si="112"/>
        <v>0</v>
      </c>
      <c r="AF401">
        <f t="shared" si="113"/>
        <v>0</v>
      </c>
      <c r="AG401">
        <f t="shared" si="114"/>
        <v>0</v>
      </c>
      <c r="AH401">
        <f t="shared" si="115"/>
        <v>0</v>
      </c>
      <c r="AI401">
        <f t="shared" si="116"/>
        <v>0</v>
      </c>
      <c r="AJ401">
        <f t="shared" si="117"/>
        <v>0</v>
      </c>
      <c r="AK401">
        <f t="shared" si="118"/>
        <v>0</v>
      </c>
      <c r="AL401">
        <v>1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</row>
    <row r="402" spans="1:53" x14ac:dyDescent="0.35">
      <c r="A402">
        <v>0.19092342405844648</v>
      </c>
      <c r="C402">
        <v>6.4958904109589044</v>
      </c>
      <c r="D402" s="137">
        <f t="shared" si="103"/>
        <v>0.81263868952171348</v>
      </c>
      <c r="E402">
        <v>2.6674249329872439</v>
      </c>
      <c r="F402">
        <v>1.7242758696007889</v>
      </c>
      <c r="G402" s="45">
        <v>2.81</v>
      </c>
      <c r="H402" s="29">
        <f t="shared" si="104"/>
        <v>0.44870631990507992</v>
      </c>
      <c r="I402" s="9">
        <v>2.2881746749783951</v>
      </c>
      <c r="J402" s="34">
        <v>-1.322826573375516E-2</v>
      </c>
      <c r="K402">
        <v>0</v>
      </c>
      <c r="L402" s="137">
        <f t="shared" si="105"/>
        <v>0</v>
      </c>
      <c r="M402">
        <f t="shared" si="102"/>
        <v>1</v>
      </c>
      <c r="N402">
        <v>70</v>
      </c>
      <c r="O402">
        <v>70</v>
      </c>
      <c r="P402">
        <v>85</v>
      </c>
      <c r="Q402" s="137">
        <f t="shared" si="106"/>
        <v>1.9294189257142926</v>
      </c>
      <c r="R402" s="34">
        <v>32.9</v>
      </c>
      <c r="S402" s="34">
        <f t="shared" si="107"/>
        <v>1.5171958979499742</v>
      </c>
      <c r="T402" s="42">
        <v>35.433808146393098</v>
      </c>
      <c r="U402" s="42">
        <f t="shared" si="108"/>
        <v>1.5494178293890581</v>
      </c>
      <c r="V402">
        <v>3.3884049978579722</v>
      </c>
      <c r="W402" s="14">
        <v>2</v>
      </c>
      <c r="X402">
        <v>3.8579486949156889</v>
      </c>
      <c r="Y402">
        <v>9.3531446202918289</v>
      </c>
      <c r="Z402" s="80">
        <v>2.5789312611018023E-2</v>
      </c>
      <c r="AA402">
        <v>7</v>
      </c>
      <c r="AB402">
        <f t="shared" si="109"/>
        <v>0</v>
      </c>
      <c r="AC402">
        <f t="shared" si="110"/>
        <v>0</v>
      </c>
      <c r="AD402">
        <f t="shared" si="111"/>
        <v>0</v>
      </c>
      <c r="AE402">
        <f t="shared" si="112"/>
        <v>0</v>
      </c>
      <c r="AF402">
        <f t="shared" si="113"/>
        <v>0</v>
      </c>
      <c r="AG402">
        <f t="shared" si="114"/>
        <v>0</v>
      </c>
      <c r="AH402">
        <f t="shared" si="115"/>
        <v>1</v>
      </c>
      <c r="AI402">
        <f t="shared" si="116"/>
        <v>0</v>
      </c>
      <c r="AJ402">
        <f t="shared" si="117"/>
        <v>0</v>
      </c>
      <c r="AK402">
        <f t="shared" si="118"/>
        <v>0</v>
      </c>
      <c r="AL402">
        <v>0</v>
      </c>
      <c r="AM402">
        <v>1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</row>
    <row r="403" spans="1:53" x14ac:dyDescent="0.35">
      <c r="A403">
        <v>0.3035644433514339</v>
      </c>
      <c r="C403">
        <v>2.8547945205479452</v>
      </c>
      <c r="D403" s="137">
        <f t="shared" si="103"/>
        <v>0.45557485450703095</v>
      </c>
      <c r="E403">
        <v>3.8584156743566731</v>
      </c>
      <c r="F403">
        <v>1.5314789170422551</v>
      </c>
      <c r="G403" s="45">
        <v>2.66</v>
      </c>
      <c r="H403" s="29">
        <f t="shared" si="104"/>
        <v>0.42488163663106698</v>
      </c>
      <c r="I403" s="9">
        <v>2.8134697878296753</v>
      </c>
      <c r="J403" s="34">
        <v>8.6359830674748214E-2</v>
      </c>
      <c r="K403">
        <v>12</v>
      </c>
      <c r="L403" s="137">
        <f t="shared" si="105"/>
        <v>1.0791812460476249</v>
      </c>
      <c r="M403">
        <f t="shared" si="102"/>
        <v>1</v>
      </c>
      <c r="N403">
        <v>90</v>
      </c>
      <c r="O403">
        <v>70</v>
      </c>
      <c r="P403">
        <v>76.900000000000006</v>
      </c>
      <c r="Q403" s="137">
        <f t="shared" si="106"/>
        <v>1.885926339801431</v>
      </c>
      <c r="R403" s="34">
        <v>44.05</v>
      </c>
      <c r="S403" s="34">
        <f t="shared" si="107"/>
        <v>1.6439459127480667</v>
      </c>
      <c r="T403" s="42">
        <v>51.064530698041601</v>
      </c>
      <c r="U403" s="42">
        <f t="shared" si="108"/>
        <v>1.7081193449348573</v>
      </c>
      <c r="V403">
        <v>3.1867416979308154</v>
      </c>
      <c r="W403" s="14">
        <v>2</v>
      </c>
      <c r="X403">
        <v>3.6572619512401316</v>
      </c>
      <c r="Y403">
        <v>8.0777311796523925</v>
      </c>
      <c r="Z403" s="80">
        <v>-6.0979289432544603E-2</v>
      </c>
      <c r="AA403">
        <v>9</v>
      </c>
      <c r="AB403">
        <f t="shared" si="109"/>
        <v>0</v>
      </c>
      <c r="AC403">
        <f t="shared" si="110"/>
        <v>0</v>
      </c>
      <c r="AD403">
        <f t="shared" si="111"/>
        <v>0</v>
      </c>
      <c r="AE403">
        <f t="shared" si="112"/>
        <v>0</v>
      </c>
      <c r="AF403">
        <f t="shared" si="113"/>
        <v>0</v>
      </c>
      <c r="AG403">
        <f t="shared" si="114"/>
        <v>0</v>
      </c>
      <c r="AH403">
        <f t="shared" si="115"/>
        <v>0</v>
      </c>
      <c r="AI403">
        <f t="shared" si="116"/>
        <v>0</v>
      </c>
      <c r="AJ403">
        <f t="shared" si="117"/>
        <v>1</v>
      </c>
      <c r="AK403">
        <f t="shared" si="118"/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</row>
    <row r="404" spans="1:53" x14ac:dyDescent="0.35">
      <c r="A404">
        <v>5.2714734498433974E-2</v>
      </c>
      <c r="C404">
        <v>1.1972602739726028</v>
      </c>
      <c r="D404" s="137">
        <f t="shared" si="103"/>
        <v>7.818857251394716E-2</v>
      </c>
      <c r="E404">
        <v>3.8584156743566731</v>
      </c>
      <c r="F404">
        <v>2.0681858617461617</v>
      </c>
      <c r="G404" s="45">
        <v>2.66</v>
      </c>
      <c r="H404" s="29">
        <f t="shared" si="104"/>
        <v>0.42488163663106698</v>
      </c>
      <c r="I404" s="9">
        <v>2.8134697878296753</v>
      </c>
      <c r="J404" s="34">
        <v>-3.6212172654444715E-2</v>
      </c>
      <c r="K404">
        <v>5</v>
      </c>
      <c r="L404" s="137">
        <f t="shared" si="105"/>
        <v>0.69897000433601886</v>
      </c>
      <c r="M404">
        <f t="shared" si="102"/>
        <v>1</v>
      </c>
      <c r="N404">
        <v>90</v>
      </c>
      <c r="O404">
        <v>70</v>
      </c>
      <c r="P404">
        <v>78.400000000000006</v>
      </c>
      <c r="Q404" s="137">
        <f t="shared" si="106"/>
        <v>1.8943160626844384</v>
      </c>
      <c r="R404" s="34">
        <v>40.57</v>
      </c>
      <c r="S404" s="34">
        <f t="shared" si="107"/>
        <v>1.6082050077043262</v>
      </c>
      <c r="T404" s="42">
        <v>47.629620244041597</v>
      </c>
      <c r="U404" s="42">
        <f t="shared" si="108"/>
        <v>1.6778771188499342</v>
      </c>
      <c r="V404">
        <v>3.1867416979308154</v>
      </c>
      <c r="W404" s="14">
        <v>2</v>
      </c>
      <c r="X404">
        <v>3.6572619512401316</v>
      </c>
      <c r="Y404">
        <v>8.8692317197309762</v>
      </c>
      <c r="Z404" s="80">
        <v>-7.69146153658119E-2</v>
      </c>
      <c r="AA404">
        <v>5</v>
      </c>
      <c r="AB404">
        <f t="shared" si="109"/>
        <v>0</v>
      </c>
      <c r="AC404">
        <f t="shared" si="110"/>
        <v>0</v>
      </c>
      <c r="AD404">
        <f t="shared" si="111"/>
        <v>0</v>
      </c>
      <c r="AE404">
        <f t="shared" si="112"/>
        <v>0</v>
      </c>
      <c r="AF404">
        <f t="shared" si="113"/>
        <v>1</v>
      </c>
      <c r="AG404">
        <f t="shared" si="114"/>
        <v>0</v>
      </c>
      <c r="AH404">
        <f t="shared" si="115"/>
        <v>0</v>
      </c>
      <c r="AI404">
        <f t="shared" si="116"/>
        <v>0</v>
      </c>
      <c r="AJ404">
        <f t="shared" si="117"/>
        <v>0</v>
      </c>
      <c r="AK404">
        <f t="shared" si="118"/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</row>
    <row r="405" spans="1:53" x14ac:dyDescent="0.35">
      <c r="A405">
        <v>0.36644217422112635</v>
      </c>
      <c r="C405">
        <v>3.0657534246575344</v>
      </c>
      <c r="D405" s="137">
        <f t="shared" si="103"/>
        <v>0.48653722207187539</v>
      </c>
      <c r="E405">
        <v>3.7899753459779522</v>
      </c>
      <c r="F405">
        <v>1.7781512503836436</v>
      </c>
      <c r="G405" s="45">
        <v>3.18</v>
      </c>
      <c r="H405" s="29">
        <f t="shared" si="104"/>
        <v>0.50242711998443268</v>
      </c>
      <c r="I405" s="9">
        <v>2.7670321178317625</v>
      </c>
      <c r="J405" s="34">
        <v>0.14612803567823801</v>
      </c>
      <c r="K405">
        <v>6</v>
      </c>
      <c r="L405" s="137">
        <f t="shared" si="105"/>
        <v>0.77815125038364363</v>
      </c>
      <c r="M405">
        <f t="shared" si="102"/>
        <v>1</v>
      </c>
      <c r="N405">
        <v>85</v>
      </c>
      <c r="O405">
        <v>80</v>
      </c>
      <c r="P405">
        <v>70</v>
      </c>
      <c r="Q405" s="137">
        <f t="shared" si="106"/>
        <v>1.8450980400142569</v>
      </c>
      <c r="R405" s="34">
        <v>42.4</v>
      </c>
      <c r="S405" s="34">
        <f t="shared" si="107"/>
        <v>1.6273658565927327</v>
      </c>
      <c r="T405" s="42">
        <v>52.984855215816303</v>
      </c>
      <c r="U405" s="42">
        <f t="shared" si="108"/>
        <v>1.7241517519382803</v>
      </c>
      <c r="V405">
        <v>3.7516212028445941</v>
      </c>
      <c r="W405" s="14">
        <v>1</v>
      </c>
      <c r="X405">
        <v>3.677201259573847</v>
      </c>
      <c r="Y405">
        <v>8.385606273598313</v>
      </c>
      <c r="Z405" s="80">
        <v>0.56814410147384664</v>
      </c>
      <c r="AA405">
        <v>8</v>
      </c>
      <c r="AB405">
        <f t="shared" si="109"/>
        <v>0</v>
      </c>
      <c r="AC405">
        <f t="shared" si="110"/>
        <v>0</v>
      </c>
      <c r="AD405">
        <f t="shared" si="111"/>
        <v>0</v>
      </c>
      <c r="AE405">
        <f t="shared" si="112"/>
        <v>0</v>
      </c>
      <c r="AF405">
        <f t="shared" si="113"/>
        <v>0</v>
      </c>
      <c r="AG405">
        <f t="shared" si="114"/>
        <v>0</v>
      </c>
      <c r="AH405">
        <f t="shared" si="115"/>
        <v>0</v>
      </c>
      <c r="AI405">
        <f t="shared" si="116"/>
        <v>1</v>
      </c>
      <c r="AJ405">
        <f t="shared" si="117"/>
        <v>0</v>
      </c>
      <c r="AK405">
        <f t="shared" si="118"/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1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</row>
    <row r="406" spans="1:53" x14ac:dyDescent="0.35">
      <c r="A406">
        <v>0.88303019306297537</v>
      </c>
      <c r="C406">
        <v>1.8356164383561644</v>
      </c>
      <c r="D406" s="137">
        <f t="shared" si="103"/>
        <v>0.26378193824435175</v>
      </c>
      <c r="E406">
        <v>3.8219626565950726</v>
      </c>
      <c r="F406">
        <v>0</v>
      </c>
      <c r="G406" s="45">
        <v>3.03</v>
      </c>
      <c r="H406" s="29">
        <f t="shared" si="104"/>
        <v>0.48144262850230496</v>
      </c>
      <c r="I406" s="9">
        <v>2.9079485216122722</v>
      </c>
      <c r="J406" s="34">
        <v>0.13672056715640679</v>
      </c>
      <c r="K406">
        <v>57</v>
      </c>
      <c r="L406" s="137">
        <f t="shared" si="105"/>
        <v>1.7558748556724915</v>
      </c>
      <c r="M406">
        <f t="shared" si="102"/>
        <v>1</v>
      </c>
      <c r="N406">
        <v>70</v>
      </c>
      <c r="O406">
        <v>50</v>
      </c>
      <c r="P406">
        <v>70</v>
      </c>
      <c r="Q406" s="137">
        <f t="shared" si="106"/>
        <v>1.8450980400142569</v>
      </c>
      <c r="R406" s="34">
        <v>48.8</v>
      </c>
      <c r="S406" s="34">
        <f t="shared" si="107"/>
        <v>1.6884198220027107</v>
      </c>
      <c r="T406" s="42">
        <v>40.994444916013499</v>
      </c>
      <c r="U406" s="42">
        <f t="shared" si="108"/>
        <v>1.61272501023744</v>
      </c>
      <c r="V406">
        <v>3.3779512479807074</v>
      </c>
      <c r="W406" s="14">
        <v>3</v>
      </c>
      <c r="X406">
        <v>3.7669888618571257</v>
      </c>
      <c r="Y406">
        <v>6.8573324964312681</v>
      </c>
      <c r="Z406" s="80" t="e">
        <v>#N/A</v>
      </c>
      <c r="AA406">
        <v>9</v>
      </c>
      <c r="AB406">
        <f t="shared" si="109"/>
        <v>0</v>
      </c>
      <c r="AC406">
        <f t="shared" si="110"/>
        <v>0</v>
      </c>
      <c r="AD406">
        <f t="shared" si="111"/>
        <v>0</v>
      </c>
      <c r="AE406">
        <f t="shared" si="112"/>
        <v>0</v>
      </c>
      <c r="AF406">
        <f t="shared" si="113"/>
        <v>0</v>
      </c>
      <c r="AG406">
        <f t="shared" si="114"/>
        <v>0</v>
      </c>
      <c r="AH406">
        <f t="shared" si="115"/>
        <v>0</v>
      </c>
      <c r="AI406">
        <f t="shared" si="116"/>
        <v>0</v>
      </c>
      <c r="AJ406">
        <f t="shared" si="117"/>
        <v>1</v>
      </c>
      <c r="AK406">
        <f t="shared" si="118"/>
        <v>0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</row>
    <row r="407" spans="1:53" x14ac:dyDescent="0.35">
      <c r="A407">
        <v>7.5720713938118342E-2</v>
      </c>
      <c r="C407">
        <v>4.3698630136986303</v>
      </c>
      <c r="D407" s="137">
        <f t="shared" si="103"/>
        <v>0.64046782293672522</v>
      </c>
      <c r="E407">
        <v>3.7707754512906644</v>
      </c>
      <c r="F407">
        <v>1.2304489213782739</v>
      </c>
      <c r="G407" s="45">
        <v>2.3199999999999998</v>
      </c>
      <c r="H407" s="29">
        <f t="shared" si="104"/>
        <v>0.36548798489089962</v>
      </c>
      <c r="I407" s="37">
        <v>2.1238516409670858</v>
      </c>
      <c r="J407" s="34">
        <v>0.2355284469075489</v>
      </c>
      <c r="K407">
        <v>79</v>
      </c>
      <c r="L407" s="137">
        <f t="shared" si="105"/>
        <v>1.8976270912904414</v>
      </c>
      <c r="M407">
        <f t="shared" si="102"/>
        <v>1</v>
      </c>
      <c r="N407">
        <v>70</v>
      </c>
      <c r="O407">
        <v>70</v>
      </c>
      <c r="P407">
        <v>94.9</v>
      </c>
      <c r="Q407" s="137">
        <f t="shared" si="106"/>
        <v>1.9772662124272926</v>
      </c>
      <c r="R407" s="34">
        <v>32.299999999999997</v>
      </c>
      <c r="S407" s="34">
        <f t="shared" si="107"/>
        <v>1.5092025223311027</v>
      </c>
      <c r="T407" s="42">
        <v>47.560703662314701</v>
      </c>
      <c r="U407" s="42">
        <f t="shared" si="108"/>
        <v>1.6772482713966061</v>
      </c>
      <c r="V407">
        <v>3.3779512479807074</v>
      </c>
      <c r="W407" s="14">
        <v>3</v>
      </c>
      <c r="X407">
        <v>3.7669888618571257</v>
      </c>
      <c r="Y407">
        <v>9.3222192947339195</v>
      </c>
      <c r="Z407" s="80">
        <v>0.27645560732373053</v>
      </c>
      <c r="AA407">
        <v>6</v>
      </c>
      <c r="AB407">
        <f t="shared" si="109"/>
        <v>0</v>
      </c>
      <c r="AC407">
        <f t="shared" si="110"/>
        <v>0</v>
      </c>
      <c r="AD407">
        <f t="shared" si="111"/>
        <v>0</v>
      </c>
      <c r="AE407">
        <f t="shared" si="112"/>
        <v>0</v>
      </c>
      <c r="AF407">
        <f t="shared" si="113"/>
        <v>0</v>
      </c>
      <c r="AG407">
        <f t="shared" si="114"/>
        <v>1</v>
      </c>
      <c r="AH407">
        <f t="shared" si="115"/>
        <v>0</v>
      </c>
      <c r="AI407">
        <f t="shared" si="116"/>
        <v>0</v>
      </c>
      <c r="AJ407">
        <f t="shared" si="117"/>
        <v>0</v>
      </c>
      <c r="AK407">
        <f t="shared" si="118"/>
        <v>0</v>
      </c>
      <c r="AL407">
        <v>0</v>
      </c>
      <c r="AM407">
        <v>1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</row>
    <row r="408" spans="1:53" x14ac:dyDescent="0.35">
      <c r="A408">
        <v>0.42241377805523822</v>
      </c>
      <c r="C408">
        <v>3.871232876712329</v>
      </c>
      <c r="D408" s="137">
        <f t="shared" si="103"/>
        <v>0.58784929739208391</v>
      </c>
      <c r="E408">
        <v>3.7707754512906644</v>
      </c>
      <c r="F408">
        <v>1.505149978319906</v>
      </c>
      <c r="G408" s="45">
        <v>2.3199999999999998</v>
      </c>
      <c r="H408" s="29">
        <f t="shared" si="104"/>
        <v>0.36548798489089962</v>
      </c>
      <c r="I408" s="37">
        <v>2.1238516409670858</v>
      </c>
      <c r="J408" s="34">
        <v>0.18184358794477254</v>
      </c>
      <c r="K408">
        <v>31</v>
      </c>
      <c r="L408" s="137">
        <f t="shared" si="105"/>
        <v>1.4913616938342726</v>
      </c>
      <c r="M408">
        <f t="shared" si="102"/>
        <v>1</v>
      </c>
      <c r="N408">
        <v>70</v>
      </c>
      <c r="O408">
        <v>70</v>
      </c>
      <c r="P408">
        <v>90.5</v>
      </c>
      <c r="Q408" s="137">
        <f t="shared" si="106"/>
        <v>1.9566485792052033</v>
      </c>
      <c r="R408" s="34">
        <v>25.7</v>
      </c>
      <c r="S408" s="34">
        <f t="shared" si="107"/>
        <v>1.4099331233312946</v>
      </c>
      <c r="T408" s="42">
        <v>39.010023979360902</v>
      </c>
      <c r="U408" s="42">
        <f t="shared" si="108"/>
        <v>1.5911762172715689</v>
      </c>
      <c r="V408">
        <v>3.4436974992327127</v>
      </c>
      <c r="W408" s="14">
        <v>2</v>
      </c>
      <c r="X408">
        <v>3.8586708472035309</v>
      </c>
      <c r="Y408">
        <v>8.1398790864012369</v>
      </c>
      <c r="Z408" s="80">
        <v>0.18292416171927628</v>
      </c>
      <c r="AA408">
        <v>6</v>
      </c>
      <c r="AB408">
        <f t="shared" si="109"/>
        <v>0</v>
      </c>
      <c r="AC408">
        <f t="shared" si="110"/>
        <v>0</v>
      </c>
      <c r="AD408">
        <f t="shared" si="111"/>
        <v>0</v>
      </c>
      <c r="AE408">
        <f t="shared" si="112"/>
        <v>0</v>
      </c>
      <c r="AF408">
        <f t="shared" si="113"/>
        <v>0</v>
      </c>
      <c r="AG408">
        <f t="shared" si="114"/>
        <v>1</v>
      </c>
      <c r="AH408">
        <f t="shared" si="115"/>
        <v>0</v>
      </c>
      <c r="AI408">
        <f t="shared" si="116"/>
        <v>0</v>
      </c>
      <c r="AJ408">
        <f t="shared" si="117"/>
        <v>0</v>
      </c>
      <c r="AK408">
        <f t="shared" si="118"/>
        <v>0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</row>
    <row r="409" spans="1:53" x14ac:dyDescent="0.35">
      <c r="A409">
        <v>0.54960935693524038</v>
      </c>
      <c r="C409">
        <v>3.1917808219178081</v>
      </c>
      <c r="D409" s="137">
        <f t="shared" si="103"/>
        <v>0.5040330609055631</v>
      </c>
      <c r="E409">
        <v>3.7707754512906644</v>
      </c>
      <c r="F409">
        <v>0.95424250943932487</v>
      </c>
      <c r="G409" s="45">
        <v>2.3199999999999998</v>
      </c>
      <c r="H409" s="29">
        <f t="shared" si="104"/>
        <v>0.36548798489089962</v>
      </c>
      <c r="I409" s="9">
        <v>2.1238516409670858</v>
      </c>
      <c r="J409" s="34">
        <v>-4.5757490560675115E-2</v>
      </c>
      <c r="K409">
        <v>23</v>
      </c>
      <c r="L409" s="137">
        <f t="shared" si="105"/>
        <v>1.3617278360175928</v>
      </c>
      <c r="M409">
        <f t="shared" si="102"/>
        <v>1</v>
      </c>
      <c r="N409">
        <v>70</v>
      </c>
      <c r="O409">
        <v>70</v>
      </c>
      <c r="P409">
        <v>85</v>
      </c>
      <c r="Q409" s="137">
        <f t="shared" si="106"/>
        <v>1.9294189257142926</v>
      </c>
      <c r="R409" s="34">
        <v>25.9</v>
      </c>
      <c r="S409" s="34">
        <f t="shared" si="107"/>
        <v>1.4132997640812519</v>
      </c>
      <c r="T409" s="42">
        <v>36.959146749272797</v>
      </c>
      <c r="U409" s="42">
        <f t="shared" si="108"/>
        <v>1.5677219364019672</v>
      </c>
      <c r="V409">
        <v>3.4436974992327127</v>
      </c>
      <c r="W409" s="14">
        <v>2</v>
      </c>
      <c r="X409">
        <v>3.8586708472035309</v>
      </c>
      <c r="Y409">
        <v>7.2504200023088936</v>
      </c>
      <c r="Z409" s="80">
        <v>-6.3833135380799488E-2</v>
      </c>
      <c r="AA409">
        <v>5</v>
      </c>
      <c r="AB409">
        <f t="shared" si="109"/>
        <v>0</v>
      </c>
      <c r="AC409">
        <f t="shared" si="110"/>
        <v>0</v>
      </c>
      <c r="AD409">
        <f t="shared" si="111"/>
        <v>0</v>
      </c>
      <c r="AE409">
        <f t="shared" si="112"/>
        <v>0</v>
      </c>
      <c r="AF409">
        <f t="shared" si="113"/>
        <v>1</v>
      </c>
      <c r="AG409">
        <f t="shared" si="114"/>
        <v>0</v>
      </c>
      <c r="AH409">
        <f t="shared" si="115"/>
        <v>0</v>
      </c>
      <c r="AI409">
        <f t="shared" si="116"/>
        <v>0</v>
      </c>
      <c r="AJ409">
        <f t="shared" si="117"/>
        <v>0</v>
      </c>
      <c r="AK409">
        <f t="shared" si="118"/>
        <v>0</v>
      </c>
      <c r="AL409">
        <v>1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</row>
    <row r="410" spans="1:53" x14ac:dyDescent="0.35">
      <c r="A410">
        <v>0.48060958256548381</v>
      </c>
      <c r="C410">
        <v>5.043835616438356</v>
      </c>
      <c r="D410" s="137">
        <f t="shared" si="103"/>
        <v>0.70276092404753998</v>
      </c>
      <c r="E410">
        <v>3.7707754512906644</v>
      </c>
      <c r="F410">
        <v>1.3222192947339193</v>
      </c>
      <c r="G410" s="45">
        <v>2.3199999999999998</v>
      </c>
      <c r="H410" s="29">
        <f t="shared" si="104"/>
        <v>0.36548798489089962</v>
      </c>
      <c r="I410" s="9">
        <v>2.1238516409670858</v>
      </c>
      <c r="J410" s="34">
        <v>0.22010808804005513</v>
      </c>
      <c r="K410">
        <v>18</v>
      </c>
      <c r="L410" s="137">
        <f t="shared" si="105"/>
        <v>1.255272505103306</v>
      </c>
      <c r="M410">
        <f t="shared" si="102"/>
        <v>1</v>
      </c>
      <c r="N410">
        <v>70</v>
      </c>
      <c r="O410">
        <v>70</v>
      </c>
      <c r="P410">
        <v>94.1</v>
      </c>
      <c r="Q410" s="137">
        <f t="shared" si="106"/>
        <v>1.973589623427257</v>
      </c>
      <c r="R410" s="34">
        <v>32.200000000000003</v>
      </c>
      <c r="S410" s="34">
        <f t="shared" si="107"/>
        <v>1.507855871695831</v>
      </c>
      <c r="T410" s="42">
        <v>43.9397801796012</v>
      </c>
      <c r="U410" s="42">
        <f t="shared" si="108"/>
        <v>1.6428578799166489</v>
      </c>
      <c r="V410">
        <v>3.17328398991646</v>
      </c>
      <c r="W410" s="14">
        <v>2</v>
      </c>
      <c r="X410">
        <v>3.8227937352435273</v>
      </c>
      <c r="Y410">
        <v>8.1726029312098607</v>
      </c>
      <c r="Z410" s="80">
        <v>0.12112422879634432</v>
      </c>
      <c r="AA410">
        <v>4</v>
      </c>
      <c r="AB410">
        <f t="shared" si="109"/>
        <v>0</v>
      </c>
      <c r="AC410">
        <f t="shared" si="110"/>
        <v>0</v>
      </c>
      <c r="AD410">
        <f t="shared" si="111"/>
        <v>0</v>
      </c>
      <c r="AE410">
        <f t="shared" si="112"/>
        <v>1</v>
      </c>
      <c r="AF410">
        <f t="shared" si="113"/>
        <v>0</v>
      </c>
      <c r="AG410">
        <f t="shared" si="114"/>
        <v>0</v>
      </c>
      <c r="AH410">
        <f t="shared" si="115"/>
        <v>0</v>
      </c>
      <c r="AI410">
        <f t="shared" si="116"/>
        <v>0</v>
      </c>
      <c r="AJ410">
        <f t="shared" si="117"/>
        <v>0</v>
      </c>
      <c r="AK410">
        <f t="shared" si="118"/>
        <v>0</v>
      </c>
      <c r="AL410">
        <v>0</v>
      </c>
      <c r="AM410">
        <v>1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</row>
    <row r="411" spans="1:53" x14ac:dyDescent="0.35">
      <c r="A411">
        <v>0.39120662601306921</v>
      </c>
      <c r="C411">
        <v>2.1698630136986301</v>
      </c>
      <c r="D411" s="137">
        <f t="shared" si="103"/>
        <v>0.3364323171330188</v>
      </c>
      <c r="E411">
        <v>3.7707754512906644</v>
      </c>
      <c r="F411">
        <v>1.1139433523068367</v>
      </c>
      <c r="G411" s="45">
        <v>2.3199999999999998</v>
      </c>
      <c r="H411" s="29">
        <f t="shared" si="104"/>
        <v>0.36548798489089962</v>
      </c>
      <c r="I411" s="9">
        <v>2.1238516409670858</v>
      </c>
      <c r="J411" s="34">
        <v>8.2785370316450071E-2</v>
      </c>
      <c r="K411">
        <v>16</v>
      </c>
      <c r="L411" s="137">
        <f t="shared" si="105"/>
        <v>1.2041199826559248</v>
      </c>
      <c r="M411">
        <f t="shared" si="102"/>
        <v>1</v>
      </c>
      <c r="N411">
        <v>70</v>
      </c>
      <c r="O411">
        <v>70</v>
      </c>
      <c r="P411">
        <v>94.6</v>
      </c>
      <c r="Q411" s="137">
        <f t="shared" si="106"/>
        <v>1.9758911364017928</v>
      </c>
      <c r="R411" s="34">
        <v>33.200000000000003</v>
      </c>
      <c r="S411" s="34">
        <f t="shared" si="107"/>
        <v>1.5211380837040362</v>
      </c>
      <c r="T411" s="42">
        <v>45.921427555082097</v>
      </c>
      <c r="U411" s="42">
        <f t="shared" si="108"/>
        <v>1.6620153804713207</v>
      </c>
      <c r="V411">
        <v>3.17328398991646</v>
      </c>
      <c r="W411" s="14">
        <v>2</v>
      </c>
      <c r="X411">
        <v>3.8227937352435273</v>
      </c>
      <c r="Y411">
        <v>7.8129133566428557</v>
      </c>
      <c r="Z411" s="80">
        <v>0.10316714726814435</v>
      </c>
      <c r="AA411">
        <v>8</v>
      </c>
      <c r="AB411">
        <f t="shared" si="109"/>
        <v>0</v>
      </c>
      <c r="AC411">
        <f t="shared" si="110"/>
        <v>0</v>
      </c>
      <c r="AD411">
        <f t="shared" si="111"/>
        <v>0</v>
      </c>
      <c r="AE411">
        <f t="shared" si="112"/>
        <v>0</v>
      </c>
      <c r="AF411">
        <f t="shared" si="113"/>
        <v>0</v>
      </c>
      <c r="AG411">
        <f t="shared" si="114"/>
        <v>0</v>
      </c>
      <c r="AH411">
        <f t="shared" si="115"/>
        <v>0</v>
      </c>
      <c r="AI411">
        <f t="shared" si="116"/>
        <v>1</v>
      </c>
      <c r="AJ411">
        <f t="shared" si="117"/>
        <v>0</v>
      </c>
      <c r="AK411">
        <f t="shared" si="118"/>
        <v>0</v>
      </c>
      <c r="AL411">
        <v>0</v>
      </c>
      <c r="AM411">
        <v>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</row>
    <row r="412" spans="1:53" x14ac:dyDescent="0.35">
      <c r="A412">
        <v>0.24900099565997116</v>
      </c>
      <c r="C412">
        <v>3.7561643835616438</v>
      </c>
      <c r="D412" s="137">
        <f t="shared" si="103"/>
        <v>0.57474459033303793</v>
      </c>
      <c r="E412">
        <v>3.7936074118204202</v>
      </c>
      <c r="F412">
        <v>0</v>
      </c>
      <c r="G412" s="45">
        <v>2.92</v>
      </c>
      <c r="H412" s="29">
        <f t="shared" si="104"/>
        <v>0.46538285144841829</v>
      </c>
      <c r="I412" s="9">
        <v>2.7370600539441581</v>
      </c>
      <c r="J412" s="34">
        <v>-2.6872146400301365E-2</v>
      </c>
      <c r="K412">
        <v>13</v>
      </c>
      <c r="L412" s="137">
        <f t="shared" si="105"/>
        <v>1.1139433523068367</v>
      </c>
      <c r="M412">
        <f t="shared" si="102"/>
        <v>1</v>
      </c>
      <c r="N412">
        <v>90</v>
      </c>
      <c r="O412">
        <v>80</v>
      </c>
      <c r="P412">
        <v>93.7</v>
      </c>
      <c r="Q412" s="137">
        <f t="shared" si="106"/>
        <v>1.9717395908877782</v>
      </c>
      <c r="R412" s="34">
        <v>43.3</v>
      </c>
      <c r="S412" s="34">
        <f t="shared" si="107"/>
        <v>1.6364878963533653</v>
      </c>
      <c r="T412" s="42">
        <v>50.280752820308301</v>
      </c>
      <c r="U412" s="42">
        <f t="shared" si="108"/>
        <v>1.7014017714653555</v>
      </c>
      <c r="V412">
        <v>3.17328398991646</v>
      </c>
      <c r="W412" s="14">
        <v>2</v>
      </c>
      <c r="X412">
        <v>3.8227937352435273</v>
      </c>
      <c r="Y412">
        <v>8.1903316981702918</v>
      </c>
      <c r="Z412" s="80">
        <v>-3.335618580640265E-2</v>
      </c>
      <c r="AA412">
        <v>1</v>
      </c>
      <c r="AB412">
        <f t="shared" si="109"/>
        <v>1</v>
      </c>
      <c r="AC412">
        <f t="shared" si="110"/>
        <v>0</v>
      </c>
      <c r="AD412">
        <f t="shared" si="111"/>
        <v>0</v>
      </c>
      <c r="AE412">
        <f t="shared" si="112"/>
        <v>0</v>
      </c>
      <c r="AF412">
        <f t="shared" si="113"/>
        <v>0</v>
      </c>
      <c r="AG412">
        <f t="shared" si="114"/>
        <v>0</v>
      </c>
      <c r="AH412">
        <f t="shared" si="115"/>
        <v>0</v>
      </c>
      <c r="AI412">
        <f t="shared" si="116"/>
        <v>0</v>
      </c>
      <c r="AJ412">
        <f t="shared" si="117"/>
        <v>0</v>
      </c>
      <c r="AK412">
        <f t="shared" si="118"/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1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</row>
    <row r="413" spans="1:53" x14ac:dyDescent="0.35">
      <c r="A413">
        <v>0.52917492333003802</v>
      </c>
      <c r="C413">
        <v>1.9178082191780821</v>
      </c>
      <c r="D413" s="137">
        <f t="shared" si="103"/>
        <v>0.28280517555778212</v>
      </c>
      <c r="E413">
        <v>3.8335760926148099</v>
      </c>
      <c r="F413">
        <v>2.0606978403536118</v>
      </c>
      <c r="G413" s="45">
        <v>2.85</v>
      </c>
      <c r="H413" s="29">
        <f t="shared" si="104"/>
        <v>0.45484486000851021</v>
      </c>
      <c r="I413" s="9">
        <v>2.9138138523837167</v>
      </c>
      <c r="J413" s="34">
        <v>5.3078443483419682E-2</v>
      </c>
      <c r="K413">
        <v>9</v>
      </c>
      <c r="L413" s="137">
        <f t="shared" si="105"/>
        <v>0.95424250943932487</v>
      </c>
      <c r="M413">
        <f t="shared" si="102"/>
        <v>1</v>
      </c>
      <c r="N413">
        <v>70</v>
      </c>
      <c r="O413">
        <v>70</v>
      </c>
      <c r="P413">
        <v>70</v>
      </c>
      <c r="Q413" s="137">
        <f t="shared" si="106"/>
        <v>1.8450980400142569</v>
      </c>
      <c r="R413" s="34">
        <v>33.9</v>
      </c>
      <c r="S413" s="34">
        <f t="shared" si="107"/>
        <v>1.5301996982030821</v>
      </c>
      <c r="T413" s="42">
        <v>46.312020505412598</v>
      </c>
      <c r="U413" s="42">
        <f t="shared" si="108"/>
        <v>1.6656937288498501</v>
      </c>
      <c r="V413">
        <v>3.17328398991646</v>
      </c>
      <c r="W413" s="14">
        <v>2</v>
      </c>
      <c r="X413">
        <v>3.8227937352435273</v>
      </c>
      <c r="Y413">
        <v>8.243286146083447</v>
      </c>
      <c r="Z413" s="80">
        <v>0.32416328144659734</v>
      </c>
      <c r="AA413">
        <v>1</v>
      </c>
      <c r="AB413">
        <f t="shared" si="109"/>
        <v>1</v>
      </c>
      <c r="AC413">
        <f t="shared" si="110"/>
        <v>0</v>
      </c>
      <c r="AD413">
        <f t="shared" si="111"/>
        <v>0</v>
      </c>
      <c r="AE413">
        <f t="shared" si="112"/>
        <v>0</v>
      </c>
      <c r="AF413">
        <f t="shared" si="113"/>
        <v>0</v>
      </c>
      <c r="AG413">
        <f t="shared" si="114"/>
        <v>0</v>
      </c>
      <c r="AH413">
        <f t="shared" si="115"/>
        <v>0</v>
      </c>
      <c r="AI413">
        <f t="shared" si="116"/>
        <v>0</v>
      </c>
      <c r="AJ413">
        <f t="shared" si="117"/>
        <v>0</v>
      </c>
      <c r="AK413">
        <f t="shared" si="118"/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1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</row>
    <row r="414" spans="1:53" x14ac:dyDescent="0.35">
      <c r="A414">
        <v>0.65402975999973634</v>
      </c>
      <c r="C414">
        <v>2.8904109589041096</v>
      </c>
      <c r="D414" s="137">
        <f t="shared" si="103"/>
        <v>0.46095959517723678</v>
      </c>
      <c r="E414" s="35">
        <v>3.7845345619950592</v>
      </c>
      <c r="F414" s="35">
        <v>1.6532125137753437</v>
      </c>
      <c r="G414" s="45">
        <v>2.81</v>
      </c>
      <c r="H414" s="29">
        <f t="shared" si="104"/>
        <v>0.44870631990507992</v>
      </c>
      <c r="I414" s="37">
        <v>2.9168924084376502</v>
      </c>
      <c r="J414" s="48">
        <v>0.11394335230683679</v>
      </c>
      <c r="K414" s="35">
        <v>27</v>
      </c>
      <c r="L414" s="137">
        <f t="shared" si="105"/>
        <v>1.4313637641589874</v>
      </c>
      <c r="M414">
        <f t="shared" si="102"/>
        <v>1</v>
      </c>
      <c r="N414" s="35">
        <v>70</v>
      </c>
      <c r="O414" s="35">
        <v>50</v>
      </c>
      <c r="P414" s="35">
        <v>77.5</v>
      </c>
      <c r="Q414" s="137">
        <f t="shared" si="106"/>
        <v>1.8893017025063104</v>
      </c>
      <c r="R414" s="48">
        <v>33.590000000000003</v>
      </c>
      <c r="S414" s="34">
        <f t="shared" si="107"/>
        <v>1.5262100038416644</v>
      </c>
      <c r="T414" s="43">
        <v>43.725055842540201</v>
      </c>
      <c r="U414" s="42">
        <f t="shared" si="108"/>
        <v>1.6407303728011791</v>
      </c>
      <c r="V414" s="35">
        <v>3.2302554789881364</v>
      </c>
      <c r="W414" s="14">
        <v>2</v>
      </c>
      <c r="X414" s="35">
        <v>3.7665752718932795</v>
      </c>
      <c r="Y414" s="35">
        <v>7.7815040572087328</v>
      </c>
      <c r="Z414" s="82">
        <v>0.10584907801098109</v>
      </c>
      <c r="AA414">
        <v>7</v>
      </c>
      <c r="AB414">
        <f t="shared" si="109"/>
        <v>0</v>
      </c>
      <c r="AC414">
        <f t="shared" si="110"/>
        <v>0</v>
      </c>
      <c r="AD414">
        <f t="shared" si="111"/>
        <v>0</v>
      </c>
      <c r="AE414">
        <f t="shared" si="112"/>
        <v>0</v>
      </c>
      <c r="AF414">
        <f t="shared" si="113"/>
        <v>0</v>
      </c>
      <c r="AG414">
        <f t="shared" si="114"/>
        <v>0</v>
      </c>
      <c r="AH414">
        <f t="shared" si="115"/>
        <v>1</v>
      </c>
      <c r="AI414">
        <f t="shared" si="116"/>
        <v>0</v>
      </c>
      <c r="AJ414">
        <f t="shared" si="117"/>
        <v>0</v>
      </c>
      <c r="AK414">
        <f t="shared" si="118"/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1</v>
      </c>
      <c r="AW414">
        <v>0</v>
      </c>
      <c r="AX414">
        <v>0</v>
      </c>
      <c r="AY414">
        <v>0</v>
      </c>
      <c r="AZ414">
        <v>0</v>
      </c>
      <c r="BA414">
        <v>0</v>
      </c>
    </row>
    <row r="415" spans="1:53" x14ac:dyDescent="0.35">
      <c r="A415">
        <v>0.27598931896671886</v>
      </c>
      <c r="C415">
        <v>3.6520547945205482</v>
      </c>
      <c r="D415" s="137">
        <f t="shared" si="103"/>
        <v>0.56253728495738453</v>
      </c>
      <c r="E415">
        <v>2.9808892467722719</v>
      </c>
      <c r="F415">
        <v>1.8260748027008264</v>
      </c>
      <c r="G415" s="45">
        <v>3.13</v>
      </c>
      <c r="H415" s="29">
        <f t="shared" si="104"/>
        <v>0.49554433754644844</v>
      </c>
      <c r="I415" s="9">
        <v>2.7343997425205671</v>
      </c>
      <c r="J415" s="34">
        <v>0.17026171539495738</v>
      </c>
      <c r="K415">
        <v>28</v>
      </c>
      <c r="L415" s="137">
        <f t="shared" si="105"/>
        <v>1.4471580313422192</v>
      </c>
      <c r="M415">
        <f t="shared" si="102"/>
        <v>1</v>
      </c>
      <c r="N415">
        <v>85</v>
      </c>
      <c r="O415">
        <v>70</v>
      </c>
      <c r="P415">
        <v>98.4</v>
      </c>
      <c r="Q415" s="137">
        <f t="shared" si="106"/>
        <v>1.9929950984313416</v>
      </c>
      <c r="R415" s="34">
        <v>45.9</v>
      </c>
      <c r="S415" s="34">
        <f t="shared" si="107"/>
        <v>1.6618126855372612</v>
      </c>
      <c r="T415" s="42">
        <v>55.820378229102602</v>
      </c>
      <c r="U415" s="42">
        <f t="shared" si="108"/>
        <v>1.7467927748658987</v>
      </c>
      <c r="V415">
        <v>3.3833706119727633</v>
      </c>
      <c r="W415" s="14">
        <v>1</v>
      </c>
      <c r="X415">
        <v>3.9798077985646683</v>
      </c>
      <c r="Y415">
        <v>8.2554895980755365</v>
      </c>
      <c r="Z415" s="80">
        <v>0.15243301171849732</v>
      </c>
      <c r="AA415" s="35">
        <v>1</v>
      </c>
      <c r="AB415">
        <f t="shared" si="109"/>
        <v>1</v>
      </c>
      <c r="AC415">
        <f t="shared" si="110"/>
        <v>0</v>
      </c>
      <c r="AD415">
        <f t="shared" si="111"/>
        <v>0</v>
      </c>
      <c r="AE415">
        <f t="shared" si="112"/>
        <v>0</v>
      </c>
      <c r="AF415">
        <f t="shared" si="113"/>
        <v>0</v>
      </c>
      <c r="AG415">
        <f t="shared" si="114"/>
        <v>0</v>
      </c>
      <c r="AH415">
        <f t="shared" si="115"/>
        <v>0</v>
      </c>
      <c r="AI415">
        <f t="shared" si="116"/>
        <v>0</v>
      </c>
      <c r="AJ415">
        <f t="shared" si="117"/>
        <v>0</v>
      </c>
      <c r="AK415">
        <f t="shared" si="118"/>
        <v>0</v>
      </c>
      <c r="AL415">
        <v>0</v>
      </c>
      <c r="AM415">
        <v>0</v>
      </c>
      <c r="AN415">
        <v>0</v>
      </c>
      <c r="AO415">
        <v>1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</row>
    <row r="416" spans="1:53" x14ac:dyDescent="0.35">
      <c r="A416">
        <v>0.10720996964786837</v>
      </c>
      <c r="C416">
        <v>4.9726027397260273</v>
      </c>
      <c r="D416" s="137">
        <f t="shared" si="103"/>
        <v>0.69658376491565666</v>
      </c>
      <c r="E416">
        <v>0</v>
      </c>
      <c r="F416">
        <v>1.4771212547196624</v>
      </c>
      <c r="G416" s="45">
        <v>3.29</v>
      </c>
      <c r="H416" s="29">
        <f t="shared" si="104"/>
        <v>0.51719589794997434</v>
      </c>
      <c r="I416" s="9">
        <v>0</v>
      </c>
      <c r="J416" s="34">
        <v>0.22788670461367352</v>
      </c>
      <c r="K416">
        <v>25</v>
      </c>
      <c r="L416" s="137">
        <f t="shared" si="105"/>
        <v>1.3979400086720377</v>
      </c>
      <c r="M416">
        <f t="shared" si="102"/>
        <v>0</v>
      </c>
      <c r="N416">
        <v>70</v>
      </c>
      <c r="O416">
        <v>70</v>
      </c>
      <c r="P416">
        <v>94.9</v>
      </c>
      <c r="Q416" s="137">
        <f t="shared" si="106"/>
        <v>1.9772662124272926</v>
      </c>
      <c r="R416" s="34">
        <v>32.299999999999997</v>
      </c>
      <c r="S416" s="34">
        <f t="shared" si="107"/>
        <v>1.5092025223311027</v>
      </c>
      <c r="T416" s="42">
        <v>47.560703662314701</v>
      </c>
      <c r="U416" s="42">
        <f t="shared" si="108"/>
        <v>1.6772482713966061</v>
      </c>
      <c r="V416">
        <v>3.3833706119727633</v>
      </c>
      <c r="W416" s="14">
        <v>1</v>
      </c>
      <c r="X416">
        <v>3.9798077985646683</v>
      </c>
      <c r="Y416">
        <v>8.3010299956639813</v>
      </c>
      <c r="Z416" s="80">
        <v>0.12080301114896641</v>
      </c>
      <c r="AA416">
        <v>6</v>
      </c>
      <c r="AB416">
        <f t="shared" si="109"/>
        <v>0</v>
      </c>
      <c r="AC416">
        <f t="shared" si="110"/>
        <v>0</v>
      </c>
      <c r="AD416">
        <f t="shared" si="111"/>
        <v>0</v>
      </c>
      <c r="AE416">
        <f t="shared" si="112"/>
        <v>0</v>
      </c>
      <c r="AF416">
        <f t="shared" si="113"/>
        <v>0</v>
      </c>
      <c r="AG416">
        <f t="shared" si="114"/>
        <v>1</v>
      </c>
      <c r="AH416">
        <f t="shared" si="115"/>
        <v>0</v>
      </c>
      <c r="AI416">
        <f t="shared" si="116"/>
        <v>0</v>
      </c>
      <c r="AJ416">
        <f t="shared" si="117"/>
        <v>0</v>
      </c>
      <c r="AK416">
        <f t="shared" si="118"/>
        <v>0</v>
      </c>
      <c r="AL416">
        <v>0</v>
      </c>
      <c r="AM416">
        <v>1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</row>
    <row r="417" spans="1:53" x14ac:dyDescent="0.35">
      <c r="A417">
        <v>0.32860990173839816</v>
      </c>
      <c r="C417">
        <v>6.8657534246575347</v>
      </c>
      <c r="D417" s="137">
        <f t="shared" si="103"/>
        <v>0.83668820220165652</v>
      </c>
      <c r="E417">
        <v>2.9629325585580042</v>
      </c>
      <c r="F417">
        <v>2.167317334748176</v>
      </c>
      <c r="G417" s="45">
        <v>2.62</v>
      </c>
      <c r="H417" s="29">
        <f t="shared" si="104"/>
        <v>0.41830129131974547</v>
      </c>
      <c r="I417" s="9">
        <v>2.9323046139517812</v>
      </c>
      <c r="J417" s="34">
        <v>0.31806333496276157</v>
      </c>
      <c r="K417">
        <v>24</v>
      </c>
      <c r="L417" s="137">
        <f t="shared" si="105"/>
        <v>1.3802112417116059</v>
      </c>
      <c r="M417">
        <f t="shared" si="102"/>
        <v>1</v>
      </c>
      <c r="N417">
        <v>70</v>
      </c>
      <c r="O417">
        <v>70</v>
      </c>
      <c r="P417">
        <v>90.3</v>
      </c>
      <c r="Q417" s="137">
        <f t="shared" si="106"/>
        <v>1.9556877503135057</v>
      </c>
      <c r="R417" s="34">
        <v>36.1</v>
      </c>
      <c r="S417" s="34">
        <f t="shared" si="107"/>
        <v>1.5575072019056579</v>
      </c>
      <c r="T417" s="42">
        <v>47.576210837790804</v>
      </c>
      <c r="U417" s="42">
        <f t="shared" si="108"/>
        <v>1.6773898501062838</v>
      </c>
      <c r="V417">
        <v>3.3833706119727633</v>
      </c>
      <c r="W417" s="14">
        <v>1</v>
      </c>
      <c r="X417">
        <v>3.9798077985646683</v>
      </c>
      <c r="Y417">
        <v>8.2858137595502335</v>
      </c>
      <c r="Z417" s="80">
        <v>0.43296099067395311</v>
      </c>
      <c r="AA417">
        <v>1</v>
      </c>
      <c r="AB417">
        <f t="shared" si="109"/>
        <v>1</v>
      </c>
      <c r="AC417">
        <f t="shared" si="110"/>
        <v>0</v>
      </c>
      <c r="AD417">
        <f t="shared" si="111"/>
        <v>0</v>
      </c>
      <c r="AE417">
        <f t="shared" si="112"/>
        <v>0</v>
      </c>
      <c r="AF417">
        <f t="shared" si="113"/>
        <v>0</v>
      </c>
      <c r="AG417">
        <f t="shared" si="114"/>
        <v>0</v>
      </c>
      <c r="AH417">
        <f t="shared" si="115"/>
        <v>0</v>
      </c>
      <c r="AI417">
        <f t="shared" si="116"/>
        <v>0</v>
      </c>
      <c r="AJ417">
        <f t="shared" si="117"/>
        <v>0</v>
      </c>
      <c r="AK417">
        <f t="shared" si="118"/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1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</row>
    <row r="418" spans="1:53" x14ac:dyDescent="0.35">
      <c r="A418">
        <v>0.18905623622004888</v>
      </c>
      <c r="C418">
        <v>6.5890410958904111</v>
      </c>
      <c r="D418" s="137">
        <f t="shared" si="103"/>
        <v>0.81882221625337592</v>
      </c>
      <c r="E418">
        <v>2.9629325585580042</v>
      </c>
      <c r="F418">
        <v>0</v>
      </c>
      <c r="G418" s="45">
        <v>2.62</v>
      </c>
      <c r="H418" s="29">
        <f t="shared" si="104"/>
        <v>0.41830129131974547</v>
      </c>
      <c r="I418" s="9">
        <v>2.9323046139517812</v>
      </c>
      <c r="J418" s="34">
        <v>8.2785370316450071E-2</v>
      </c>
      <c r="K418">
        <v>19</v>
      </c>
      <c r="L418" s="137">
        <f t="shared" si="105"/>
        <v>1.2787536009528289</v>
      </c>
      <c r="M418">
        <f t="shared" si="102"/>
        <v>1</v>
      </c>
      <c r="N418">
        <v>70</v>
      </c>
      <c r="O418">
        <v>70</v>
      </c>
      <c r="P418">
        <v>70</v>
      </c>
      <c r="Q418" s="137">
        <f t="shared" si="106"/>
        <v>1.8450980400142569</v>
      </c>
      <c r="R418" s="34">
        <v>33.9</v>
      </c>
      <c r="S418" s="34">
        <f t="shared" si="107"/>
        <v>1.5301996982030821</v>
      </c>
      <c r="T418" s="42">
        <v>46.312020505412598</v>
      </c>
      <c r="U418" s="42">
        <f t="shared" si="108"/>
        <v>1.6656937288498501</v>
      </c>
      <c r="V418">
        <v>3.3833706119727633</v>
      </c>
      <c r="W418" s="14">
        <v>1</v>
      </c>
      <c r="X418">
        <v>3.9798077985646683</v>
      </c>
      <c r="Y418">
        <v>8.0413926851582254</v>
      </c>
      <c r="Z418" s="80">
        <v>0.39040228817330647</v>
      </c>
      <c r="AA418">
        <v>2</v>
      </c>
      <c r="AB418">
        <f t="shared" si="109"/>
        <v>0</v>
      </c>
      <c r="AC418">
        <f t="shared" si="110"/>
        <v>1</v>
      </c>
      <c r="AD418">
        <f t="shared" si="111"/>
        <v>0</v>
      </c>
      <c r="AE418">
        <f t="shared" si="112"/>
        <v>0</v>
      </c>
      <c r="AF418">
        <f t="shared" si="113"/>
        <v>0</v>
      </c>
      <c r="AG418">
        <f t="shared" si="114"/>
        <v>0</v>
      </c>
      <c r="AH418">
        <f t="shared" si="115"/>
        <v>0</v>
      </c>
      <c r="AI418">
        <f t="shared" si="116"/>
        <v>0</v>
      </c>
      <c r="AJ418">
        <f t="shared" si="117"/>
        <v>0</v>
      </c>
      <c r="AK418">
        <f t="shared" si="118"/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</row>
    <row r="419" spans="1:53" x14ac:dyDescent="0.35">
      <c r="A419">
        <v>0.44944982812180406</v>
      </c>
      <c r="C419">
        <v>2.3452054794520549</v>
      </c>
      <c r="D419" s="137">
        <f t="shared" si="103"/>
        <v>0.37018090022067857</v>
      </c>
      <c r="E419">
        <v>0</v>
      </c>
      <c r="F419">
        <v>0.6020599913279624</v>
      </c>
      <c r="G419" s="45">
        <v>3.29</v>
      </c>
      <c r="H419" s="29">
        <f t="shared" si="104"/>
        <v>0.51719589794997434</v>
      </c>
      <c r="I419" s="9">
        <v>0</v>
      </c>
      <c r="J419" s="34">
        <v>-6.5501548756432285E-2</v>
      </c>
      <c r="K419">
        <v>16</v>
      </c>
      <c r="L419" s="137">
        <f t="shared" si="105"/>
        <v>1.2041199826559248</v>
      </c>
      <c r="M419">
        <f t="shared" si="102"/>
        <v>0</v>
      </c>
      <c r="N419">
        <v>70</v>
      </c>
      <c r="O419">
        <v>70</v>
      </c>
      <c r="P419">
        <v>85</v>
      </c>
      <c r="Q419" s="137">
        <f t="shared" si="106"/>
        <v>1.9294189257142926</v>
      </c>
      <c r="R419" s="34">
        <v>32.6</v>
      </c>
      <c r="S419" s="34">
        <f t="shared" si="107"/>
        <v>1.5132176000679389</v>
      </c>
      <c r="T419" s="42">
        <v>36.544739309553499</v>
      </c>
      <c r="U419" s="42">
        <f t="shared" si="108"/>
        <v>1.5628248682086028</v>
      </c>
      <c r="V419">
        <v>3.3833706119727633</v>
      </c>
      <c r="W419" s="14">
        <v>1</v>
      </c>
      <c r="X419">
        <v>3.9798077985646683</v>
      </c>
      <c r="Y419">
        <v>7.7323937598229682</v>
      </c>
      <c r="Z419" s="80">
        <v>-0.20005497022446184</v>
      </c>
      <c r="AA419">
        <v>5</v>
      </c>
      <c r="AB419">
        <f t="shared" si="109"/>
        <v>0</v>
      </c>
      <c r="AC419">
        <f t="shared" si="110"/>
        <v>0</v>
      </c>
      <c r="AD419">
        <f t="shared" si="111"/>
        <v>0</v>
      </c>
      <c r="AE419">
        <f t="shared" si="112"/>
        <v>0</v>
      </c>
      <c r="AF419">
        <f t="shared" si="113"/>
        <v>1</v>
      </c>
      <c r="AG419">
        <f t="shared" si="114"/>
        <v>0</v>
      </c>
      <c r="AH419">
        <f t="shared" si="115"/>
        <v>0</v>
      </c>
      <c r="AI419">
        <f t="shared" si="116"/>
        <v>0</v>
      </c>
      <c r="AJ419">
        <f t="shared" si="117"/>
        <v>0</v>
      </c>
      <c r="AK419">
        <f t="shared" si="118"/>
        <v>0</v>
      </c>
      <c r="AL419">
        <v>0</v>
      </c>
      <c r="AM419">
        <v>1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</row>
    <row r="420" spans="1:53" x14ac:dyDescent="0.35">
      <c r="A420">
        <v>1.3542755076172064</v>
      </c>
      <c r="C420">
        <v>4.2986301369863016</v>
      </c>
      <c r="D420" s="137">
        <f t="shared" si="103"/>
        <v>0.63333007913046202</v>
      </c>
      <c r="E420">
        <v>0</v>
      </c>
      <c r="F420">
        <v>2.1367205671564067</v>
      </c>
      <c r="G420" s="45">
        <v>3.29</v>
      </c>
      <c r="H420" s="29">
        <f t="shared" si="104"/>
        <v>0.51719589794997434</v>
      </c>
      <c r="I420" s="9">
        <v>0</v>
      </c>
      <c r="J420" s="34">
        <v>-6.0480747381381476E-2</v>
      </c>
      <c r="K420">
        <v>15</v>
      </c>
      <c r="L420" s="137">
        <f t="shared" si="105"/>
        <v>1.1760912590556813</v>
      </c>
      <c r="M420">
        <f t="shared" si="102"/>
        <v>0</v>
      </c>
      <c r="N420">
        <v>70</v>
      </c>
      <c r="O420">
        <v>70</v>
      </c>
      <c r="P420">
        <v>85</v>
      </c>
      <c r="Q420" s="137">
        <f t="shared" si="106"/>
        <v>1.9294189257142926</v>
      </c>
      <c r="R420" s="34">
        <v>32.9</v>
      </c>
      <c r="S420" s="34">
        <f t="shared" si="107"/>
        <v>1.5171958979499742</v>
      </c>
      <c r="T420" s="42">
        <v>35.433808146393098</v>
      </c>
      <c r="U420" s="42">
        <f t="shared" si="108"/>
        <v>1.5494178293890581</v>
      </c>
      <c r="V420">
        <v>3.3833706119727633</v>
      </c>
      <c r="W420" s="14">
        <v>1</v>
      </c>
      <c r="X420">
        <v>3.9798077985646683</v>
      </c>
      <c r="Y420">
        <v>7.3617278360175931</v>
      </c>
      <c r="Z420" s="80">
        <v>-0.19197799995400222</v>
      </c>
      <c r="AA420">
        <v>5</v>
      </c>
      <c r="AB420">
        <f t="shared" si="109"/>
        <v>0</v>
      </c>
      <c r="AC420">
        <f t="shared" si="110"/>
        <v>0</v>
      </c>
      <c r="AD420">
        <f t="shared" si="111"/>
        <v>0</v>
      </c>
      <c r="AE420">
        <f t="shared" si="112"/>
        <v>0</v>
      </c>
      <c r="AF420">
        <f t="shared" si="113"/>
        <v>1</v>
      </c>
      <c r="AG420">
        <f t="shared" si="114"/>
        <v>0</v>
      </c>
      <c r="AH420">
        <f t="shared" si="115"/>
        <v>0</v>
      </c>
      <c r="AI420">
        <f t="shared" si="116"/>
        <v>0</v>
      </c>
      <c r="AJ420">
        <f t="shared" si="117"/>
        <v>0</v>
      </c>
      <c r="AK420">
        <f t="shared" si="118"/>
        <v>0</v>
      </c>
      <c r="AL420">
        <v>0</v>
      </c>
      <c r="AM420">
        <v>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</row>
    <row r="421" spans="1:53" x14ac:dyDescent="0.35">
      <c r="A421">
        <v>0.71933128698372661</v>
      </c>
      <c r="C421">
        <v>4.9424657534246572</v>
      </c>
      <c r="D421" s="137">
        <f t="shared" si="103"/>
        <v>0.69394366874944824</v>
      </c>
      <c r="E421">
        <v>0</v>
      </c>
      <c r="F421">
        <v>0</v>
      </c>
      <c r="G421" s="45">
        <v>3.29</v>
      </c>
      <c r="H421" s="29">
        <f t="shared" si="104"/>
        <v>0.51719589794997434</v>
      </c>
      <c r="I421" s="9">
        <v>0</v>
      </c>
      <c r="J421" s="34">
        <v>-9.6910013008056392E-2</v>
      </c>
      <c r="K421">
        <v>15</v>
      </c>
      <c r="L421" s="137">
        <f t="shared" si="105"/>
        <v>1.1760912590556813</v>
      </c>
      <c r="M421">
        <f t="shared" si="102"/>
        <v>0</v>
      </c>
      <c r="N421">
        <v>70</v>
      </c>
      <c r="O421">
        <v>70</v>
      </c>
      <c r="P421">
        <v>85</v>
      </c>
      <c r="Q421" s="137">
        <f t="shared" si="106"/>
        <v>1.9294189257142926</v>
      </c>
      <c r="R421" s="34">
        <v>32.9</v>
      </c>
      <c r="S421" s="34">
        <f t="shared" si="107"/>
        <v>1.5171958979499742</v>
      </c>
      <c r="T421" s="42">
        <v>35.433808146393098</v>
      </c>
      <c r="U421" s="42">
        <f t="shared" si="108"/>
        <v>1.5494178293890581</v>
      </c>
      <c r="V421">
        <v>3.3833706119727633</v>
      </c>
      <c r="W421" s="14">
        <v>1</v>
      </c>
      <c r="X421">
        <v>3.9798077985646683</v>
      </c>
      <c r="Y421">
        <v>7.6989700043360187</v>
      </c>
      <c r="Z421" s="80">
        <v>-0.18461567739357143</v>
      </c>
      <c r="AA421">
        <v>5</v>
      </c>
      <c r="AB421">
        <f t="shared" si="109"/>
        <v>0</v>
      </c>
      <c r="AC421">
        <f t="shared" si="110"/>
        <v>0</v>
      </c>
      <c r="AD421">
        <f t="shared" si="111"/>
        <v>0</v>
      </c>
      <c r="AE421">
        <f t="shared" si="112"/>
        <v>0</v>
      </c>
      <c r="AF421">
        <f t="shared" si="113"/>
        <v>1</v>
      </c>
      <c r="AG421">
        <f t="shared" si="114"/>
        <v>0</v>
      </c>
      <c r="AH421">
        <f t="shared" si="115"/>
        <v>0</v>
      </c>
      <c r="AI421">
        <f t="shared" si="116"/>
        <v>0</v>
      </c>
      <c r="AJ421">
        <f t="shared" si="117"/>
        <v>0</v>
      </c>
      <c r="AK421">
        <f t="shared" si="118"/>
        <v>0</v>
      </c>
      <c r="AL421">
        <v>0</v>
      </c>
      <c r="AM421">
        <v>1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</row>
    <row r="422" spans="1:53" x14ac:dyDescent="0.35">
      <c r="A422">
        <v>0.71556926615548055</v>
      </c>
      <c r="C422">
        <v>2.6876712328767125</v>
      </c>
      <c r="D422" s="137">
        <f t="shared" si="103"/>
        <v>0.42937614292347381</v>
      </c>
      <c r="E422">
        <v>2.5362300726332561</v>
      </c>
      <c r="F422">
        <v>0</v>
      </c>
      <c r="G422" s="45">
        <v>2.3199999999999998</v>
      </c>
      <c r="H422" s="29">
        <f t="shared" si="104"/>
        <v>0.36548798489089962</v>
      </c>
      <c r="I422" s="9">
        <v>2.756001823801419</v>
      </c>
      <c r="J422" s="34">
        <v>-7.5720713938118356E-2</v>
      </c>
      <c r="K422">
        <v>14</v>
      </c>
      <c r="L422" s="137">
        <f t="shared" si="105"/>
        <v>1.146128035678238</v>
      </c>
      <c r="M422">
        <f t="shared" si="102"/>
        <v>1</v>
      </c>
      <c r="N422">
        <v>85</v>
      </c>
      <c r="O422">
        <v>80</v>
      </c>
      <c r="P422">
        <v>85</v>
      </c>
      <c r="Q422" s="137">
        <f t="shared" si="106"/>
        <v>1.9294189257142926</v>
      </c>
      <c r="R422" s="34">
        <v>44.2</v>
      </c>
      <c r="S422" s="34">
        <f t="shared" si="107"/>
        <v>1.6454222693490919</v>
      </c>
      <c r="T422" s="42">
        <v>52.629944775121203</v>
      </c>
      <c r="U422" s="42">
        <f t="shared" si="108"/>
        <v>1.7212329143100249</v>
      </c>
      <c r="V422">
        <v>3.3833706119727633</v>
      </c>
      <c r="W422" s="14">
        <v>1</v>
      </c>
      <c r="X422">
        <v>3.9798077985646683</v>
      </c>
      <c r="Y422">
        <v>7.8864907251724823</v>
      </c>
      <c r="Z422" s="80">
        <v>-0.13802076462362467</v>
      </c>
      <c r="AA422">
        <v>5</v>
      </c>
      <c r="AB422">
        <f t="shared" si="109"/>
        <v>0</v>
      </c>
      <c r="AC422">
        <f t="shared" si="110"/>
        <v>0</v>
      </c>
      <c r="AD422">
        <f t="shared" si="111"/>
        <v>0</v>
      </c>
      <c r="AE422">
        <f t="shared" si="112"/>
        <v>0</v>
      </c>
      <c r="AF422">
        <f t="shared" si="113"/>
        <v>1</v>
      </c>
      <c r="AG422">
        <f t="shared" si="114"/>
        <v>0</v>
      </c>
      <c r="AH422">
        <f t="shared" si="115"/>
        <v>0</v>
      </c>
      <c r="AI422">
        <f t="shared" si="116"/>
        <v>0</v>
      </c>
      <c r="AJ422">
        <f t="shared" si="117"/>
        <v>0</v>
      </c>
      <c r="AK422">
        <f t="shared" si="118"/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1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</row>
    <row r="423" spans="1:53" x14ac:dyDescent="0.35">
      <c r="A423">
        <v>5.5348637040989412E-2</v>
      </c>
      <c r="C423">
        <v>2.5232876712328767</v>
      </c>
      <c r="D423" s="137">
        <f t="shared" si="103"/>
        <v>0.40196676574037421</v>
      </c>
      <c r="E423">
        <v>0</v>
      </c>
      <c r="F423">
        <v>1.2041199826559248</v>
      </c>
      <c r="G423" s="45">
        <v>3.29</v>
      </c>
      <c r="H423" s="29">
        <f t="shared" si="104"/>
        <v>0.51719589794997434</v>
      </c>
      <c r="I423" s="9">
        <v>0</v>
      </c>
      <c r="J423" s="34">
        <v>-8.7739243075051505E-3</v>
      </c>
      <c r="K423">
        <v>13</v>
      </c>
      <c r="L423" s="137">
        <f t="shared" si="105"/>
        <v>1.1139433523068367</v>
      </c>
      <c r="M423">
        <f t="shared" si="102"/>
        <v>0</v>
      </c>
      <c r="N423">
        <v>70</v>
      </c>
      <c r="O423">
        <v>70</v>
      </c>
      <c r="P423">
        <v>85</v>
      </c>
      <c r="Q423" s="137">
        <f t="shared" si="106"/>
        <v>1.9294189257142926</v>
      </c>
      <c r="R423" s="34">
        <v>31.5</v>
      </c>
      <c r="S423" s="34">
        <f t="shared" si="107"/>
        <v>1.4983105537896004</v>
      </c>
      <c r="T423" s="42">
        <v>35.516899069648296</v>
      </c>
      <c r="U423" s="42">
        <f t="shared" si="108"/>
        <v>1.5504350411232082</v>
      </c>
      <c r="V423">
        <v>3.3833706119727633</v>
      </c>
      <c r="W423" s="14">
        <v>1</v>
      </c>
      <c r="X423">
        <v>3.9798077985646683</v>
      </c>
      <c r="Y423">
        <v>7.3138672203691533</v>
      </c>
      <c r="Z423" s="80">
        <v>-2.7031121499372368E-2</v>
      </c>
      <c r="AA423">
        <v>5</v>
      </c>
      <c r="AB423">
        <f t="shared" si="109"/>
        <v>0</v>
      </c>
      <c r="AC423">
        <f t="shared" si="110"/>
        <v>0</v>
      </c>
      <c r="AD423">
        <f t="shared" si="111"/>
        <v>0</v>
      </c>
      <c r="AE423">
        <f t="shared" si="112"/>
        <v>0</v>
      </c>
      <c r="AF423">
        <f t="shared" si="113"/>
        <v>1</v>
      </c>
      <c r="AG423">
        <f t="shared" si="114"/>
        <v>0</v>
      </c>
      <c r="AH423">
        <f t="shared" si="115"/>
        <v>0</v>
      </c>
      <c r="AI423">
        <f t="shared" si="116"/>
        <v>0</v>
      </c>
      <c r="AJ423">
        <f t="shared" si="117"/>
        <v>0</v>
      </c>
      <c r="AK423">
        <f t="shared" si="118"/>
        <v>0</v>
      </c>
      <c r="AL423">
        <v>0</v>
      </c>
      <c r="AM423">
        <v>1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</row>
    <row r="424" spans="1:53" x14ac:dyDescent="0.35">
      <c r="A424">
        <v>0.17720340942504884</v>
      </c>
      <c r="C424">
        <v>7.375342465753425</v>
      </c>
      <c r="D424" s="137">
        <f t="shared" si="103"/>
        <v>0.86778219109546451</v>
      </c>
      <c r="E424">
        <v>2.5362300726332561</v>
      </c>
      <c r="F424">
        <v>1.255272505103306</v>
      </c>
      <c r="G424" s="45">
        <v>2.3199999999999998</v>
      </c>
      <c r="H424" s="29">
        <f t="shared" si="104"/>
        <v>0.36548798489089962</v>
      </c>
      <c r="I424" s="9">
        <v>2.756001823801419</v>
      </c>
      <c r="J424" s="34">
        <v>2.1189299069938092E-2</v>
      </c>
      <c r="K424">
        <v>13</v>
      </c>
      <c r="L424" s="137">
        <f t="shared" si="105"/>
        <v>1.1139433523068367</v>
      </c>
      <c r="M424">
        <f t="shared" si="102"/>
        <v>1</v>
      </c>
      <c r="N424">
        <v>85</v>
      </c>
      <c r="O424">
        <v>80</v>
      </c>
      <c r="P424">
        <v>85</v>
      </c>
      <c r="Q424" s="137">
        <f t="shared" si="106"/>
        <v>1.9294189257142926</v>
      </c>
      <c r="R424" s="34">
        <v>43.5</v>
      </c>
      <c r="S424" s="34">
        <f t="shared" si="107"/>
        <v>1.6384892569546374</v>
      </c>
      <c r="T424" s="42">
        <v>52.924485315438503</v>
      </c>
      <c r="U424" s="42">
        <f t="shared" si="108"/>
        <v>1.7236566432478624</v>
      </c>
      <c r="V424">
        <v>3.3833706119727633</v>
      </c>
      <c r="W424" s="14">
        <v>1</v>
      </c>
      <c r="X424">
        <v>3.9798077985646683</v>
      </c>
      <c r="Y424">
        <v>7.8920946026904808</v>
      </c>
      <c r="Z424" s="80">
        <v>9.318775339422003E-2</v>
      </c>
      <c r="AA424">
        <v>1</v>
      </c>
      <c r="AB424">
        <f t="shared" si="109"/>
        <v>1</v>
      </c>
      <c r="AC424">
        <f t="shared" si="110"/>
        <v>0</v>
      </c>
      <c r="AD424">
        <f t="shared" si="111"/>
        <v>0</v>
      </c>
      <c r="AE424">
        <f t="shared" si="112"/>
        <v>0</v>
      </c>
      <c r="AF424">
        <f t="shared" si="113"/>
        <v>0</v>
      </c>
      <c r="AG424">
        <f t="shared" si="114"/>
        <v>0</v>
      </c>
      <c r="AH424">
        <f t="shared" si="115"/>
        <v>0</v>
      </c>
      <c r="AI424">
        <f t="shared" si="116"/>
        <v>0</v>
      </c>
      <c r="AJ424">
        <f t="shared" si="117"/>
        <v>0</v>
      </c>
      <c r="AK424">
        <f t="shared" si="118"/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1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</row>
    <row r="425" spans="1:53" x14ac:dyDescent="0.35">
      <c r="A425">
        <v>0.64781748188863753</v>
      </c>
      <c r="C425">
        <v>5.1068493150684935</v>
      </c>
      <c r="D425" s="137">
        <f t="shared" si="103"/>
        <v>0.70815304356148789</v>
      </c>
      <c r="E425">
        <v>0</v>
      </c>
      <c r="F425">
        <v>0</v>
      </c>
      <c r="G425" s="45">
        <v>3.29</v>
      </c>
      <c r="H425" s="29">
        <f t="shared" si="104"/>
        <v>0.51719589794997434</v>
      </c>
      <c r="I425" s="9">
        <v>0</v>
      </c>
      <c r="J425" s="34">
        <v>-7.0581074285707285E-2</v>
      </c>
      <c r="K425">
        <v>12</v>
      </c>
      <c r="L425" s="137">
        <f t="shared" si="105"/>
        <v>1.0791812460476249</v>
      </c>
      <c r="M425">
        <f t="shared" si="102"/>
        <v>0</v>
      </c>
      <c r="N425">
        <v>70</v>
      </c>
      <c r="O425">
        <v>70</v>
      </c>
      <c r="P425">
        <v>85</v>
      </c>
      <c r="Q425" s="137">
        <f t="shared" si="106"/>
        <v>1.9294189257142926</v>
      </c>
      <c r="R425" s="34">
        <v>30</v>
      </c>
      <c r="S425" s="34">
        <f t="shared" si="107"/>
        <v>1.4771212547196624</v>
      </c>
      <c r="T425" s="42">
        <v>35.807885111275297</v>
      </c>
      <c r="U425" s="42">
        <f t="shared" si="108"/>
        <v>1.5539786714272548</v>
      </c>
      <c r="V425">
        <v>3.3833706119727633</v>
      </c>
      <c r="W425" s="14">
        <v>1</v>
      </c>
      <c r="X425">
        <v>3.9798077985646683</v>
      </c>
      <c r="Y425">
        <v>8.4456042032735983</v>
      </c>
      <c r="Z425" s="80">
        <v>-0.2806742628539961</v>
      </c>
      <c r="AA425">
        <v>5</v>
      </c>
      <c r="AB425">
        <f t="shared" si="109"/>
        <v>0</v>
      </c>
      <c r="AC425">
        <f t="shared" si="110"/>
        <v>0</v>
      </c>
      <c r="AD425">
        <f t="shared" si="111"/>
        <v>0</v>
      </c>
      <c r="AE425">
        <f t="shared" si="112"/>
        <v>0</v>
      </c>
      <c r="AF425">
        <f t="shared" si="113"/>
        <v>1</v>
      </c>
      <c r="AG425">
        <f t="shared" si="114"/>
        <v>0</v>
      </c>
      <c r="AH425">
        <f t="shared" si="115"/>
        <v>0</v>
      </c>
      <c r="AI425">
        <f t="shared" si="116"/>
        <v>0</v>
      </c>
      <c r="AJ425">
        <f t="shared" si="117"/>
        <v>0</v>
      </c>
      <c r="AK425">
        <f t="shared" si="118"/>
        <v>0</v>
      </c>
      <c r="AL425">
        <v>0</v>
      </c>
      <c r="AM425">
        <v>1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</row>
    <row r="426" spans="1:53" x14ac:dyDescent="0.35">
      <c r="A426">
        <v>6.8033885271827341E-2</v>
      </c>
      <c r="C426">
        <v>3.8684931506849316</v>
      </c>
      <c r="D426" s="137">
        <f t="shared" si="103"/>
        <v>0.58754183225931023</v>
      </c>
      <c r="E426">
        <v>0</v>
      </c>
      <c r="F426">
        <v>0</v>
      </c>
      <c r="G426" s="45">
        <v>3.29</v>
      </c>
      <c r="H426" s="29">
        <f t="shared" si="104"/>
        <v>0.51719589794997434</v>
      </c>
      <c r="I426" s="9">
        <v>0</v>
      </c>
      <c r="J426" s="34">
        <v>0.26481782300953643</v>
      </c>
      <c r="K426">
        <v>11</v>
      </c>
      <c r="L426" s="137">
        <f t="shared" si="105"/>
        <v>1.0413926851582251</v>
      </c>
      <c r="M426">
        <f t="shared" si="102"/>
        <v>0</v>
      </c>
      <c r="N426">
        <v>70</v>
      </c>
      <c r="O426">
        <v>90</v>
      </c>
      <c r="P426">
        <v>85</v>
      </c>
      <c r="Q426" s="137">
        <f t="shared" si="106"/>
        <v>1.9294189257142926</v>
      </c>
      <c r="R426" s="34">
        <v>29.3</v>
      </c>
      <c r="S426" s="34">
        <f t="shared" si="107"/>
        <v>1.4668676203541096</v>
      </c>
      <c r="T426" s="42">
        <v>36.913126831903199</v>
      </c>
      <c r="U426" s="42">
        <f t="shared" si="108"/>
        <v>1.5671808349091383</v>
      </c>
      <c r="V426">
        <v>3.3833706119727633</v>
      </c>
      <c r="W426" s="14">
        <v>1</v>
      </c>
      <c r="X426">
        <v>3.9798077985646683</v>
      </c>
      <c r="Y426">
        <v>8.2329961103921541</v>
      </c>
      <c r="Z426" s="80" t="e">
        <v>#N/A</v>
      </c>
      <c r="AA426">
        <v>5</v>
      </c>
      <c r="AB426">
        <f t="shared" si="109"/>
        <v>0</v>
      </c>
      <c r="AC426">
        <f t="shared" si="110"/>
        <v>0</v>
      </c>
      <c r="AD426">
        <f t="shared" si="111"/>
        <v>0</v>
      </c>
      <c r="AE426">
        <f t="shared" si="112"/>
        <v>0</v>
      </c>
      <c r="AF426">
        <f t="shared" si="113"/>
        <v>1</v>
      </c>
      <c r="AG426">
        <f t="shared" si="114"/>
        <v>0</v>
      </c>
      <c r="AH426">
        <f t="shared" si="115"/>
        <v>0</v>
      </c>
      <c r="AI426">
        <f t="shared" si="116"/>
        <v>0</v>
      </c>
      <c r="AJ426">
        <f t="shared" si="117"/>
        <v>0</v>
      </c>
      <c r="AK426">
        <f t="shared" si="118"/>
        <v>0</v>
      </c>
      <c r="AL426">
        <v>0</v>
      </c>
      <c r="AM426">
        <v>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</row>
    <row r="427" spans="1:53" x14ac:dyDescent="0.35">
      <c r="A427">
        <v>1.0615180379192151</v>
      </c>
      <c r="C427">
        <v>3.8767123287671232</v>
      </c>
      <c r="D427" s="137">
        <f t="shared" si="103"/>
        <v>0.58846357540383432</v>
      </c>
      <c r="E427">
        <v>0</v>
      </c>
      <c r="F427">
        <v>1.0413926851582251</v>
      </c>
      <c r="G427" s="45">
        <v>3.29</v>
      </c>
      <c r="H427" s="29">
        <f t="shared" si="104"/>
        <v>0.51719589794997434</v>
      </c>
      <c r="I427" s="9">
        <v>0</v>
      </c>
      <c r="J427" s="34">
        <v>0.16731733474817609</v>
      </c>
      <c r="K427">
        <v>14</v>
      </c>
      <c r="L427" s="137">
        <f t="shared" si="105"/>
        <v>1.146128035678238</v>
      </c>
      <c r="M427">
        <f t="shared" si="102"/>
        <v>0</v>
      </c>
      <c r="N427">
        <v>70</v>
      </c>
      <c r="O427">
        <v>70</v>
      </c>
      <c r="P427">
        <v>85</v>
      </c>
      <c r="Q427" s="137">
        <f t="shared" si="106"/>
        <v>1.9294189257142926</v>
      </c>
      <c r="R427" s="34">
        <v>31.5</v>
      </c>
      <c r="S427" s="34">
        <f t="shared" si="107"/>
        <v>1.4983105537896004</v>
      </c>
      <c r="T427" s="42">
        <v>37.589394702761602</v>
      </c>
      <c r="U427" s="42">
        <f t="shared" si="108"/>
        <v>1.575065332381355</v>
      </c>
      <c r="V427">
        <v>3.2910873360265542</v>
      </c>
      <c r="W427" s="14">
        <v>1</v>
      </c>
      <c r="X427">
        <v>3.8371101975492712</v>
      </c>
      <c r="Y427">
        <v>7.3617278360175931</v>
      </c>
      <c r="Z427" s="80">
        <v>0.54367309586097812</v>
      </c>
      <c r="AA427">
        <v>3</v>
      </c>
      <c r="AB427">
        <f t="shared" si="109"/>
        <v>0</v>
      </c>
      <c r="AC427">
        <f t="shared" si="110"/>
        <v>0</v>
      </c>
      <c r="AD427">
        <f t="shared" si="111"/>
        <v>1</v>
      </c>
      <c r="AE427">
        <f t="shared" si="112"/>
        <v>0</v>
      </c>
      <c r="AF427">
        <f t="shared" si="113"/>
        <v>0</v>
      </c>
      <c r="AG427">
        <f t="shared" si="114"/>
        <v>0</v>
      </c>
      <c r="AH427">
        <f t="shared" si="115"/>
        <v>0</v>
      </c>
      <c r="AI427">
        <f t="shared" si="116"/>
        <v>0</v>
      </c>
      <c r="AJ427">
        <f t="shared" si="117"/>
        <v>0</v>
      </c>
      <c r="AK427">
        <f t="shared" si="118"/>
        <v>0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</row>
    <row r="428" spans="1:53" x14ac:dyDescent="0.35">
      <c r="A428">
        <v>-2</v>
      </c>
      <c r="C428">
        <v>3.2</v>
      </c>
      <c r="D428" s="137">
        <f t="shared" si="103"/>
        <v>0.50514997831990605</v>
      </c>
      <c r="E428" s="35">
        <v>0</v>
      </c>
      <c r="F428" s="35">
        <v>1.0413926851582251</v>
      </c>
      <c r="G428" s="45">
        <v>3.29</v>
      </c>
      <c r="H428" s="29">
        <f t="shared" si="104"/>
        <v>0.51719589794997434</v>
      </c>
      <c r="I428" s="37">
        <v>0</v>
      </c>
      <c r="J428" s="48">
        <v>0.16435285578443709</v>
      </c>
      <c r="K428" s="35">
        <v>24</v>
      </c>
      <c r="L428" s="137">
        <f t="shared" si="105"/>
        <v>1.3802112417116059</v>
      </c>
      <c r="M428">
        <f t="shared" si="102"/>
        <v>0</v>
      </c>
      <c r="N428" s="35">
        <v>70</v>
      </c>
      <c r="O428" s="35">
        <v>70</v>
      </c>
      <c r="P428" s="35">
        <v>94.7</v>
      </c>
      <c r="Q428" s="137">
        <f t="shared" si="106"/>
        <v>1.9763499790032735</v>
      </c>
      <c r="R428" s="48">
        <v>32.4</v>
      </c>
      <c r="S428" s="34">
        <f t="shared" si="107"/>
        <v>1.510545010206612</v>
      </c>
      <c r="T428" s="43">
        <v>45.737088331856903</v>
      </c>
      <c r="U428" s="42">
        <f t="shared" si="108"/>
        <v>1.6602685135357675</v>
      </c>
      <c r="V428" s="35">
        <v>3.5347454529897258</v>
      </c>
      <c r="W428" s="14">
        <v>2</v>
      </c>
      <c r="X428" s="35">
        <v>3.9695495619878729</v>
      </c>
      <c r="Y428" s="35">
        <v>7.6989700043360187</v>
      </c>
      <c r="Z428" s="82">
        <v>0.13751526310879925</v>
      </c>
      <c r="AA428">
        <v>5</v>
      </c>
      <c r="AB428">
        <f t="shared" si="109"/>
        <v>0</v>
      </c>
      <c r="AC428">
        <f t="shared" si="110"/>
        <v>0</v>
      </c>
      <c r="AD428">
        <f t="shared" si="111"/>
        <v>0</v>
      </c>
      <c r="AE428">
        <f t="shared" si="112"/>
        <v>0</v>
      </c>
      <c r="AF428">
        <f t="shared" si="113"/>
        <v>1</v>
      </c>
      <c r="AG428">
        <f t="shared" si="114"/>
        <v>0</v>
      </c>
      <c r="AH428">
        <f t="shared" si="115"/>
        <v>0</v>
      </c>
      <c r="AI428">
        <f t="shared" si="116"/>
        <v>0</v>
      </c>
      <c r="AJ428">
        <f t="shared" si="117"/>
        <v>0</v>
      </c>
      <c r="AK428">
        <f t="shared" si="118"/>
        <v>0</v>
      </c>
      <c r="AL428">
        <v>0</v>
      </c>
      <c r="AM428">
        <v>1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</row>
    <row r="429" spans="1:53" x14ac:dyDescent="0.35">
      <c r="A429">
        <v>0.41497334797081797</v>
      </c>
      <c r="C429">
        <v>7.6</v>
      </c>
      <c r="D429" s="137">
        <f t="shared" si="103"/>
        <v>0.88081359228079137</v>
      </c>
      <c r="E429" s="35">
        <v>0</v>
      </c>
      <c r="F429" s="35">
        <v>1.2041199826559248</v>
      </c>
      <c r="G429" s="45">
        <v>3.29</v>
      </c>
      <c r="H429" s="29">
        <f t="shared" si="104"/>
        <v>0.51719589794997434</v>
      </c>
      <c r="I429" s="37">
        <v>0</v>
      </c>
      <c r="J429" s="48">
        <v>0.30963016742589877</v>
      </c>
      <c r="K429" s="35">
        <v>23</v>
      </c>
      <c r="L429" s="137">
        <f t="shared" si="105"/>
        <v>1.3617278360175928</v>
      </c>
      <c r="M429">
        <f t="shared" si="102"/>
        <v>0</v>
      </c>
      <c r="N429" s="35">
        <v>70</v>
      </c>
      <c r="O429" s="35">
        <v>70</v>
      </c>
      <c r="P429" s="35">
        <v>94.6</v>
      </c>
      <c r="Q429" s="137">
        <f t="shared" si="106"/>
        <v>1.9758911364017928</v>
      </c>
      <c r="R429" s="48">
        <v>33.200000000000003</v>
      </c>
      <c r="S429" s="34">
        <f t="shared" si="107"/>
        <v>1.5211380837040362</v>
      </c>
      <c r="T429" s="43">
        <v>45.921427555082097</v>
      </c>
      <c r="U429" s="42">
        <f t="shared" si="108"/>
        <v>1.6620153804713207</v>
      </c>
      <c r="V429" s="35">
        <v>3.5347454529897258</v>
      </c>
      <c r="W429" s="14">
        <v>2</v>
      </c>
      <c r="X429" s="35">
        <v>3.9695495619878729</v>
      </c>
      <c r="Y429" s="35">
        <v>8.3324384599156058</v>
      </c>
      <c r="Z429" s="82">
        <v>0.24591435725659005</v>
      </c>
      <c r="AA429" s="35">
        <v>5</v>
      </c>
      <c r="AB429">
        <f t="shared" si="109"/>
        <v>0</v>
      </c>
      <c r="AC429">
        <f t="shared" si="110"/>
        <v>0</v>
      </c>
      <c r="AD429">
        <f t="shared" si="111"/>
        <v>0</v>
      </c>
      <c r="AE429">
        <f t="shared" si="112"/>
        <v>0</v>
      </c>
      <c r="AF429">
        <f t="shared" si="113"/>
        <v>1</v>
      </c>
      <c r="AG429">
        <f t="shared" si="114"/>
        <v>0</v>
      </c>
      <c r="AH429">
        <f t="shared" si="115"/>
        <v>0</v>
      </c>
      <c r="AI429">
        <f t="shared" si="116"/>
        <v>0</v>
      </c>
      <c r="AJ429">
        <f t="shared" si="117"/>
        <v>0</v>
      </c>
      <c r="AK429">
        <f t="shared" si="118"/>
        <v>0</v>
      </c>
      <c r="AL429">
        <v>0</v>
      </c>
      <c r="AM429">
        <v>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</row>
    <row r="430" spans="1:53" x14ac:dyDescent="0.35">
      <c r="A430">
        <v>0.15381486434452901</v>
      </c>
      <c r="C430">
        <v>3.0876712328767124</v>
      </c>
      <c r="D430" s="137">
        <f t="shared" si="103"/>
        <v>0.48963105158963183</v>
      </c>
      <c r="E430" s="35">
        <v>0</v>
      </c>
      <c r="F430" s="35">
        <v>0.84509804001425681</v>
      </c>
      <c r="G430" s="45">
        <v>3.29</v>
      </c>
      <c r="H430" s="29">
        <f t="shared" si="104"/>
        <v>0.51719589794997434</v>
      </c>
      <c r="I430" s="37">
        <v>0</v>
      </c>
      <c r="J430" s="48">
        <v>0.14921911265537988</v>
      </c>
      <c r="K430" s="35">
        <v>23</v>
      </c>
      <c r="L430" s="137">
        <f t="shared" si="105"/>
        <v>1.3617278360175928</v>
      </c>
      <c r="M430">
        <f t="shared" si="102"/>
        <v>0</v>
      </c>
      <c r="N430" s="35">
        <v>70</v>
      </c>
      <c r="O430" s="35">
        <v>70</v>
      </c>
      <c r="P430" s="35">
        <v>94.6</v>
      </c>
      <c r="Q430" s="137">
        <f t="shared" si="106"/>
        <v>1.9758911364017928</v>
      </c>
      <c r="R430" s="48">
        <v>33.200000000000003</v>
      </c>
      <c r="S430" s="34">
        <f t="shared" si="107"/>
        <v>1.5211380837040362</v>
      </c>
      <c r="T430" s="43">
        <v>45.921427555082097</v>
      </c>
      <c r="U430" s="42">
        <f t="shared" si="108"/>
        <v>1.6620153804713207</v>
      </c>
      <c r="V430" s="35">
        <v>3.5347454529897258</v>
      </c>
      <c r="W430" s="14">
        <v>2</v>
      </c>
      <c r="X430" s="35">
        <v>3.9695495619878729</v>
      </c>
      <c r="Y430" s="35">
        <v>7</v>
      </c>
      <c r="Z430" s="82">
        <v>0.1444390400378579</v>
      </c>
      <c r="AA430" s="35">
        <v>5</v>
      </c>
      <c r="AB430">
        <f t="shared" si="109"/>
        <v>0</v>
      </c>
      <c r="AC430">
        <f t="shared" si="110"/>
        <v>0</v>
      </c>
      <c r="AD430">
        <f t="shared" si="111"/>
        <v>0</v>
      </c>
      <c r="AE430">
        <f t="shared" si="112"/>
        <v>0</v>
      </c>
      <c r="AF430">
        <f t="shared" si="113"/>
        <v>1</v>
      </c>
      <c r="AG430">
        <f t="shared" si="114"/>
        <v>0</v>
      </c>
      <c r="AH430">
        <f t="shared" si="115"/>
        <v>0</v>
      </c>
      <c r="AI430">
        <f t="shared" si="116"/>
        <v>0</v>
      </c>
      <c r="AJ430">
        <f t="shared" si="117"/>
        <v>0</v>
      </c>
      <c r="AK430">
        <f t="shared" si="118"/>
        <v>0</v>
      </c>
      <c r="AL430">
        <v>0</v>
      </c>
      <c r="AM430">
        <v>1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</row>
    <row r="431" spans="1:53" x14ac:dyDescent="0.35">
      <c r="A431">
        <v>-0.43496105178239375</v>
      </c>
      <c r="C431">
        <v>5.6904109589041099</v>
      </c>
      <c r="D431" s="137">
        <f t="shared" si="103"/>
        <v>0.75514363207862445</v>
      </c>
      <c r="E431" s="35">
        <v>0</v>
      </c>
      <c r="F431" s="35">
        <v>1.3424226808222062</v>
      </c>
      <c r="G431" s="45">
        <v>3.29</v>
      </c>
      <c r="H431" s="29">
        <f t="shared" si="104"/>
        <v>0.51719589794997434</v>
      </c>
      <c r="I431" s="37">
        <v>0</v>
      </c>
      <c r="J431" s="48">
        <v>0.20951501454263097</v>
      </c>
      <c r="K431" s="35">
        <v>22</v>
      </c>
      <c r="L431" s="137">
        <f t="shared" si="105"/>
        <v>1.3424226808222062</v>
      </c>
      <c r="M431">
        <f t="shared" si="102"/>
        <v>0</v>
      </c>
      <c r="N431" s="35">
        <v>70</v>
      </c>
      <c r="O431" s="35">
        <v>70</v>
      </c>
      <c r="P431" s="35">
        <v>94.9</v>
      </c>
      <c r="Q431" s="137">
        <f t="shared" si="106"/>
        <v>1.9772662124272926</v>
      </c>
      <c r="R431" s="48">
        <v>32.299999999999997</v>
      </c>
      <c r="S431" s="34">
        <f t="shared" si="107"/>
        <v>1.5092025223311027</v>
      </c>
      <c r="T431" s="43">
        <v>47.560703662314701</v>
      </c>
      <c r="U431" s="42">
        <f t="shared" si="108"/>
        <v>1.6772482713966061</v>
      </c>
      <c r="V431" s="35">
        <v>3.5347454529897258</v>
      </c>
      <c r="W431" s="14">
        <v>2</v>
      </c>
      <c r="X431" s="35">
        <v>3.9695495619878729</v>
      </c>
      <c r="Y431" s="35">
        <v>7.9790290961326695</v>
      </c>
      <c r="Z431" s="82">
        <v>0.16266890087362396</v>
      </c>
      <c r="AA431" s="35">
        <v>5</v>
      </c>
      <c r="AB431">
        <f t="shared" si="109"/>
        <v>0</v>
      </c>
      <c r="AC431">
        <f t="shared" si="110"/>
        <v>0</v>
      </c>
      <c r="AD431">
        <f t="shared" si="111"/>
        <v>0</v>
      </c>
      <c r="AE431">
        <f t="shared" si="112"/>
        <v>0</v>
      </c>
      <c r="AF431">
        <f t="shared" si="113"/>
        <v>1</v>
      </c>
      <c r="AG431">
        <f t="shared" si="114"/>
        <v>0</v>
      </c>
      <c r="AH431">
        <f t="shared" si="115"/>
        <v>0</v>
      </c>
      <c r="AI431">
        <f t="shared" si="116"/>
        <v>0</v>
      </c>
      <c r="AJ431">
        <f t="shared" si="117"/>
        <v>0</v>
      </c>
      <c r="AK431">
        <f t="shared" si="118"/>
        <v>0</v>
      </c>
      <c r="AL431">
        <v>0</v>
      </c>
      <c r="AM431">
        <v>1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</row>
    <row r="432" spans="1:53" x14ac:dyDescent="0.35">
      <c r="A432">
        <v>0.2521295122717786</v>
      </c>
      <c r="C432">
        <v>5.5178082191780824</v>
      </c>
      <c r="D432" s="137">
        <f t="shared" si="103"/>
        <v>0.74176660176112452</v>
      </c>
      <c r="E432">
        <v>0</v>
      </c>
      <c r="F432">
        <v>1.0791812460476249</v>
      </c>
      <c r="G432" s="45">
        <v>3.29</v>
      </c>
      <c r="H432" s="29">
        <f t="shared" si="104"/>
        <v>0.51719589794997434</v>
      </c>
      <c r="I432" s="9">
        <v>0</v>
      </c>
      <c r="J432" s="34">
        <v>1.2837224705172217E-2</v>
      </c>
      <c r="K432">
        <v>19</v>
      </c>
      <c r="L432" s="137">
        <f t="shared" si="105"/>
        <v>1.2787536009528289</v>
      </c>
      <c r="M432">
        <f t="shared" si="102"/>
        <v>0</v>
      </c>
      <c r="N432">
        <v>70</v>
      </c>
      <c r="O432">
        <v>70</v>
      </c>
      <c r="P432">
        <v>91.2</v>
      </c>
      <c r="Q432" s="137">
        <f t="shared" si="106"/>
        <v>1.9599948383284163</v>
      </c>
      <c r="R432" s="34">
        <v>33</v>
      </c>
      <c r="S432" s="34">
        <f t="shared" si="107"/>
        <v>1.5185139398778875</v>
      </c>
      <c r="T432" s="42">
        <v>40.902544500539101</v>
      </c>
      <c r="U432" s="42">
        <f t="shared" si="108"/>
        <v>1.6117503258110162</v>
      </c>
      <c r="V432" s="35">
        <v>3.5347454529897258</v>
      </c>
      <c r="W432" s="14">
        <v>2</v>
      </c>
      <c r="X432" s="35">
        <v>3.9695495619878729</v>
      </c>
      <c r="Y432">
        <v>8.0881360887005513</v>
      </c>
      <c r="Z432" s="80">
        <v>3.3244848187053311E-2</v>
      </c>
      <c r="AA432" s="35">
        <v>2</v>
      </c>
      <c r="AB432">
        <f t="shared" si="109"/>
        <v>0</v>
      </c>
      <c r="AC432">
        <f t="shared" si="110"/>
        <v>1</v>
      </c>
      <c r="AD432">
        <f t="shared" si="111"/>
        <v>0</v>
      </c>
      <c r="AE432">
        <f t="shared" si="112"/>
        <v>0</v>
      </c>
      <c r="AF432">
        <f t="shared" si="113"/>
        <v>0</v>
      </c>
      <c r="AG432">
        <f t="shared" si="114"/>
        <v>0</v>
      </c>
      <c r="AH432">
        <f t="shared" si="115"/>
        <v>0</v>
      </c>
      <c r="AI432">
        <f t="shared" si="116"/>
        <v>0</v>
      </c>
      <c r="AJ432">
        <f t="shared" si="117"/>
        <v>0</v>
      </c>
      <c r="AK432">
        <f t="shared" si="118"/>
        <v>0</v>
      </c>
      <c r="AL432">
        <v>0</v>
      </c>
      <c r="AM432">
        <v>1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</row>
    <row r="433" spans="1:53" x14ac:dyDescent="0.35">
      <c r="A433">
        <v>0.24303804868629444</v>
      </c>
      <c r="C433">
        <v>2.5397260273972604</v>
      </c>
      <c r="D433" s="137">
        <f t="shared" si="103"/>
        <v>0.40478686968802241</v>
      </c>
      <c r="E433">
        <v>0</v>
      </c>
      <c r="F433">
        <v>1.8633228601204559</v>
      </c>
      <c r="G433" s="45">
        <v>3.29</v>
      </c>
      <c r="H433" s="29">
        <f t="shared" si="104"/>
        <v>0.51719589794997434</v>
      </c>
      <c r="I433" s="9">
        <v>0</v>
      </c>
      <c r="J433" s="34">
        <v>-0.11918640771920865</v>
      </c>
      <c r="K433">
        <v>19</v>
      </c>
      <c r="L433" s="137">
        <f t="shared" si="105"/>
        <v>1.2787536009528289</v>
      </c>
      <c r="M433">
        <f t="shared" si="102"/>
        <v>0</v>
      </c>
      <c r="N433">
        <v>70</v>
      </c>
      <c r="O433">
        <v>70</v>
      </c>
      <c r="P433">
        <v>91.2</v>
      </c>
      <c r="Q433" s="137">
        <f t="shared" si="106"/>
        <v>1.9599948383284163</v>
      </c>
      <c r="R433" s="34">
        <v>33</v>
      </c>
      <c r="S433" s="34">
        <f t="shared" si="107"/>
        <v>1.5185139398778875</v>
      </c>
      <c r="T433" s="42">
        <v>40.902544500539101</v>
      </c>
      <c r="U433" s="42">
        <f t="shared" si="108"/>
        <v>1.6117503258110162</v>
      </c>
      <c r="V433" s="35">
        <v>3.5347454529897258</v>
      </c>
      <c r="W433" s="14">
        <v>2</v>
      </c>
      <c r="X433" s="35">
        <v>3.9695495619878729</v>
      </c>
      <c r="Y433">
        <v>8.3010299956639813</v>
      </c>
      <c r="Z433" s="80">
        <v>-0.17759241196057984</v>
      </c>
      <c r="AA433">
        <v>7</v>
      </c>
      <c r="AB433">
        <f t="shared" si="109"/>
        <v>0</v>
      </c>
      <c r="AC433">
        <f t="shared" si="110"/>
        <v>0</v>
      </c>
      <c r="AD433">
        <f t="shared" si="111"/>
        <v>0</v>
      </c>
      <c r="AE433">
        <f t="shared" si="112"/>
        <v>0</v>
      </c>
      <c r="AF433">
        <f t="shared" si="113"/>
        <v>0</v>
      </c>
      <c r="AG433">
        <f t="shared" si="114"/>
        <v>0</v>
      </c>
      <c r="AH433">
        <f t="shared" si="115"/>
        <v>1</v>
      </c>
      <c r="AI433">
        <f t="shared" si="116"/>
        <v>0</v>
      </c>
      <c r="AJ433">
        <f t="shared" si="117"/>
        <v>0</v>
      </c>
      <c r="AK433">
        <f t="shared" si="118"/>
        <v>0</v>
      </c>
      <c r="AL433">
        <v>0</v>
      </c>
      <c r="AM433">
        <v>1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</row>
    <row r="434" spans="1:53" x14ac:dyDescent="0.35">
      <c r="A434">
        <v>0.18533191579059388</v>
      </c>
      <c r="C434">
        <v>4.8054794520547945</v>
      </c>
      <c r="D434" s="137">
        <f t="shared" si="103"/>
        <v>0.68173672457354706</v>
      </c>
      <c r="E434">
        <v>0</v>
      </c>
      <c r="F434">
        <v>0</v>
      </c>
      <c r="G434" s="45">
        <v>3.29</v>
      </c>
      <c r="H434" s="29">
        <f t="shared" si="104"/>
        <v>0.51719589794997434</v>
      </c>
      <c r="I434" s="9">
        <v>0</v>
      </c>
      <c r="J434" s="34">
        <v>-4.0958607678906384E-2</v>
      </c>
      <c r="K434">
        <v>17</v>
      </c>
      <c r="L434" s="137">
        <f t="shared" si="105"/>
        <v>1.2304489213782739</v>
      </c>
      <c r="M434">
        <f t="shared" si="102"/>
        <v>0</v>
      </c>
      <c r="N434">
        <v>70</v>
      </c>
      <c r="O434">
        <v>70</v>
      </c>
      <c r="P434">
        <v>85</v>
      </c>
      <c r="Q434" s="137">
        <f t="shared" si="106"/>
        <v>1.9294189257142926</v>
      </c>
      <c r="R434" s="34">
        <v>32.700000000000003</v>
      </c>
      <c r="S434" s="34">
        <f t="shared" si="107"/>
        <v>1.5145477526602862</v>
      </c>
      <c r="T434" s="42">
        <v>41.286751495766303</v>
      </c>
      <c r="U434" s="42">
        <f t="shared" si="108"/>
        <v>1.6158107132703448</v>
      </c>
      <c r="V434" s="35">
        <v>3.5347454529897258</v>
      </c>
      <c r="W434" s="14">
        <v>2</v>
      </c>
      <c r="X434" s="35">
        <v>3.9695495619878729</v>
      </c>
      <c r="Y434">
        <v>8.0934216851622356</v>
      </c>
      <c r="Z434" s="80">
        <v>7.2907621137723533E-2</v>
      </c>
      <c r="AA434">
        <v>5</v>
      </c>
      <c r="AB434">
        <f t="shared" si="109"/>
        <v>0</v>
      </c>
      <c r="AC434">
        <f t="shared" si="110"/>
        <v>0</v>
      </c>
      <c r="AD434">
        <f t="shared" si="111"/>
        <v>0</v>
      </c>
      <c r="AE434">
        <f t="shared" si="112"/>
        <v>0</v>
      </c>
      <c r="AF434">
        <f t="shared" si="113"/>
        <v>1</v>
      </c>
      <c r="AG434">
        <f t="shared" si="114"/>
        <v>0</v>
      </c>
      <c r="AH434">
        <f t="shared" si="115"/>
        <v>0</v>
      </c>
      <c r="AI434">
        <f t="shared" si="116"/>
        <v>0</v>
      </c>
      <c r="AJ434">
        <f t="shared" si="117"/>
        <v>0</v>
      </c>
      <c r="AK434">
        <f t="shared" si="118"/>
        <v>0</v>
      </c>
      <c r="AL434">
        <v>0</v>
      </c>
      <c r="AM434">
        <v>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</row>
    <row r="435" spans="1:53" x14ac:dyDescent="0.35">
      <c r="A435">
        <v>0.12493873660829993</v>
      </c>
      <c r="C435">
        <v>5.2136986301369861</v>
      </c>
      <c r="D435" s="137">
        <f t="shared" si="103"/>
        <v>0.71714592383054576</v>
      </c>
      <c r="E435">
        <v>0</v>
      </c>
      <c r="F435">
        <v>0.3010299956639812</v>
      </c>
      <c r="G435" s="45">
        <v>3.29</v>
      </c>
      <c r="H435" s="29">
        <f t="shared" si="104"/>
        <v>0.51719589794997434</v>
      </c>
      <c r="I435" s="9">
        <v>0</v>
      </c>
      <c r="J435" s="34">
        <v>-2.2276394711152253E-2</v>
      </c>
      <c r="K435">
        <v>16</v>
      </c>
      <c r="L435" s="137">
        <f t="shared" si="105"/>
        <v>1.2041199826559248</v>
      </c>
      <c r="M435">
        <f t="shared" si="102"/>
        <v>0</v>
      </c>
      <c r="N435">
        <v>70</v>
      </c>
      <c r="O435">
        <v>70</v>
      </c>
      <c r="P435">
        <v>85</v>
      </c>
      <c r="Q435" s="137">
        <f t="shared" si="106"/>
        <v>1.9294189257142926</v>
      </c>
      <c r="R435" s="34">
        <v>32.299999999999997</v>
      </c>
      <c r="S435" s="34">
        <f t="shared" si="107"/>
        <v>1.5092025223311027</v>
      </c>
      <c r="T435" s="42">
        <v>40.040400531970803</v>
      </c>
      <c r="U435" s="42">
        <f t="shared" si="108"/>
        <v>1.6024984131617945</v>
      </c>
      <c r="V435" s="35">
        <v>3.5347454529897258</v>
      </c>
      <c r="W435" s="14">
        <v>2</v>
      </c>
      <c r="X435" s="35">
        <v>3.9695495619878729</v>
      </c>
      <c r="Y435">
        <v>7.8750612633917001</v>
      </c>
      <c r="Z435" s="80">
        <v>0.19974004701970838</v>
      </c>
      <c r="AA435">
        <v>2</v>
      </c>
      <c r="AB435">
        <f t="shared" si="109"/>
        <v>0</v>
      </c>
      <c r="AC435">
        <f t="shared" si="110"/>
        <v>1</v>
      </c>
      <c r="AD435">
        <f t="shared" si="111"/>
        <v>0</v>
      </c>
      <c r="AE435">
        <f t="shared" si="112"/>
        <v>0</v>
      </c>
      <c r="AF435">
        <f t="shared" si="113"/>
        <v>0</v>
      </c>
      <c r="AG435">
        <f t="shared" si="114"/>
        <v>0</v>
      </c>
      <c r="AH435">
        <f t="shared" si="115"/>
        <v>0</v>
      </c>
      <c r="AI435">
        <f t="shared" si="116"/>
        <v>0</v>
      </c>
      <c r="AJ435">
        <f t="shared" si="117"/>
        <v>0</v>
      </c>
      <c r="AK435">
        <f t="shared" si="118"/>
        <v>0</v>
      </c>
      <c r="AL435">
        <v>0</v>
      </c>
      <c r="AM435">
        <v>1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</row>
    <row r="436" spans="1:53" x14ac:dyDescent="0.35">
      <c r="A436">
        <v>1.0004480078390166</v>
      </c>
      <c r="C436">
        <v>8.1863013698630134</v>
      </c>
      <c r="D436" s="137">
        <f t="shared" si="103"/>
        <v>0.91308772868688648</v>
      </c>
      <c r="E436">
        <v>2.5362300726332561</v>
      </c>
      <c r="F436">
        <v>1</v>
      </c>
      <c r="G436" s="45">
        <v>2.3199999999999998</v>
      </c>
      <c r="H436" s="29">
        <f t="shared" si="104"/>
        <v>0.36548798489089962</v>
      </c>
      <c r="I436" s="9">
        <v>2.756001823801419</v>
      </c>
      <c r="J436" s="34">
        <v>0.11727129565576427</v>
      </c>
      <c r="K436">
        <v>16</v>
      </c>
      <c r="L436" s="137">
        <f t="shared" si="105"/>
        <v>1.2041199826559248</v>
      </c>
      <c r="M436">
        <f t="shared" si="102"/>
        <v>1</v>
      </c>
      <c r="N436">
        <v>85</v>
      </c>
      <c r="O436">
        <v>80</v>
      </c>
      <c r="P436">
        <v>70</v>
      </c>
      <c r="Q436" s="137">
        <f t="shared" si="106"/>
        <v>1.8450980400142569</v>
      </c>
      <c r="R436" s="34">
        <v>42.4</v>
      </c>
      <c r="S436" s="34">
        <f t="shared" si="107"/>
        <v>1.6273658565927327</v>
      </c>
      <c r="T436" s="42">
        <v>52.984855215816303</v>
      </c>
      <c r="U436" s="42">
        <f t="shared" si="108"/>
        <v>1.7241517519382803</v>
      </c>
      <c r="V436" s="35">
        <v>3.5347454529897258</v>
      </c>
      <c r="W436" s="14">
        <v>2</v>
      </c>
      <c r="X436" s="35">
        <v>3.9695495619878729</v>
      </c>
      <c r="Y436">
        <v>7.8387546686297185</v>
      </c>
      <c r="Z436" s="80">
        <v>0.41076607356290729</v>
      </c>
      <c r="AA436">
        <v>5</v>
      </c>
      <c r="AB436">
        <f t="shared" si="109"/>
        <v>0</v>
      </c>
      <c r="AC436">
        <f t="shared" si="110"/>
        <v>0</v>
      </c>
      <c r="AD436">
        <f t="shared" si="111"/>
        <v>0</v>
      </c>
      <c r="AE436">
        <f t="shared" si="112"/>
        <v>0</v>
      </c>
      <c r="AF436">
        <f t="shared" si="113"/>
        <v>1</v>
      </c>
      <c r="AG436">
        <f t="shared" si="114"/>
        <v>0</v>
      </c>
      <c r="AH436">
        <f t="shared" si="115"/>
        <v>0</v>
      </c>
      <c r="AI436">
        <f t="shared" si="116"/>
        <v>0</v>
      </c>
      <c r="AJ436">
        <f t="shared" si="117"/>
        <v>0</v>
      </c>
      <c r="AK436">
        <f t="shared" si="118"/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1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</row>
    <row r="437" spans="1:53" x14ac:dyDescent="0.35">
      <c r="A437">
        <v>0.5561298209815333</v>
      </c>
      <c r="C437">
        <v>6.0739726027397261</v>
      </c>
      <c r="D437" s="137">
        <f t="shared" si="103"/>
        <v>0.78347282865801349</v>
      </c>
      <c r="E437">
        <v>0</v>
      </c>
      <c r="F437">
        <v>0.6020599913279624</v>
      </c>
      <c r="G437" s="45">
        <v>3.29</v>
      </c>
      <c r="H437" s="29">
        <f t="shared" si="104"/>
        <v>0.51719589794997434</v>
      </c>
      <c r="I437" s="9">
        <v>0</v>
      </c>
      <c r="J437" s="34">
        <v>2.5305865264770262E-2</v>
      </c>
      <c r="K437">
        <v>15</v>
      </c>
      <c r="L437" s="137">
        <f t="shared" si="105"/>
        <v>1.1760912590556813</v>
      </c>
      <c r="M437">
        <f t="shared" si="102"/>
        <v>0</v>
      </c>
      <c r="N437">
        <v>70</v>
      </c>
      <c r="O437">
        <v>70</v>
      </c>
      <c r="P437">
        <v>85</v>
      </c>
      <c r="Q437" s="137">
        <f t="shared" si="106"/>
        <v>1.9294189257142926</v>
      </c>
      <c r="R437" s="34">
        <v>31.3</v>
      </c>
      <c r="S437" s="34">
        <f t="shared" si="107"/>
        <v>1.4955443375464486</v>
      </c>
      <c r="T437" s="42">
        <v>38.7850112673514</v>
      </c>
      <c r="U437" s="42">
        <f t="shared" si="108"/>
        <v>1.5886639219461918</v>
      </c>
      <c r="V437" s="35">
        <v>3.5347454529897258</v>
      </c>
      <c r="W437" s="14">
        <v>2</v>
      </c>
      <c r="X437" s="35">
        <v>3.9695495619878729</v>
      </c>
      <c r="Y437">
        <v>8.3521825181113627</v>
      </c>
      <c r="Z437" s="80">
        <v>0.23264825869290684</v>
      </c>
      <c r="AA437">
        <v>7</v>
      </c>
      <c r="AB437">
        <f t="shared" si="109"/>
        <v>0</v>
      </c>
      <c r="AC437">
        <f t="shared" si="110"/>
        <v>0</v>
      </c>
      <c r="AD437">
        <f t="shared" si="111"/>
        <v>0</v>
      </c>
      <c r="AE437">
        <f t="shared" si="112"/>
        <v>0</v>
      </c>
      <c r="AF437">
        <f t="shared" si="113"/>
        <v>0</v>
      </c>
      <c r="AG437">
        <f t="shared" si="114"/>
        <v>0</v>
      </c>
      <c r="AH437">
        <f t="shared" si="115"/>
        <v>1</v>
      </c>
      <c r="AI437">
        <f t="shared" si="116"/>
        <v>0</v>
      </c>
      <c r="AJ437">
        <f t="shared" si="117"/>
        <v>0</v>
      </c>
      <c r="AK437">
        <f t="shared" si="118"/>
        <v>0</v>
      </c>
      <c r="AL437">
        <v>0</v>
      </c>
      <c r="AM437">
        <v>1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</row>
    <row r="438" spans="1:53" x14ac:dyDescent="0.35">
      <c r="A438">
        <v>0.27946274375238006</v>
      </c>
      <c r="C438">
        <v>1.9534246575342467</v>
      </c>
      <c r="D438" s="137">
        <f t="shared" si="103"/>
        <v>0.2907966653953909</v>
      </c>
      <c r="E438">
        <v>2.5362300726332561</v>
      </c>
      <c r="F438">
        <v>1.146128035678238</v>
      </c>
      <c r="G438" s="45">
        <v>2.3199999999999998</v>
      </c>
      <c r="H438" s="29">
        <f t="shared" si="104"/>
        <v>0.36548798489089962</v>
      </c>
      <c r="I438" s="9">
        <v>2.756001823801419</v>
      </c>
      <c r="J438" s="34">
        <v>9.3421685162235063E-2</v>
      </c>
      <c r="K438">
        <v>15</v>
      </c>
      <c r="L438" s="137">
        <f t="shared" si="105"/>
        <v>1.1760912590556813</v>
      </c>
      <c r="M438">
        <f t="shared" si="102"/>
        <v>1</v>
      </c>
      <c r="N438">
        <v>85</v>
      </c>
      <c r="O438">
        <v>80</v>
      </c>
      <c r="P438">
        <v>70</v>
      </c>
      <c r="Q438" s="137">
        <f t="shared" si="106"/>
        <v>1.8450980400142569</v>
      </c>
      <c r="R438" s="34">
        <v>42.2</v>
      </c>
      <c r="S438" s="34">
        <f t="shared" si="107"/>
        <v>1.6253124509616739</v>
      </c>
      <c r="T438" s="42">
        <v>53.270504198897903</v>
      </c>
      <c r="U438" s="42">
        <f t="shared" si="108"/>
        <v>1.7264868073491786</v>
      </c>
      <c r="V438" s="35">
        <v>3.5347454529897258</v>
      </c>
      <c r="W438" s="14">
        <v>2</v>
      </c>
      <c r="X438" s="35">
        <v>3.9695495619878729</v>
      </c>
      <c r="Y438">
        <v>8.1416127992102378</v>
      </c>
      <c r="Z438" s="80">
        <v>0.28217304131771548</v>
      </c>
      <c r="AA438">
        <v>5</v>
      </c>
      <c r="AB438">
        <f t="shared" si="109"/>
        <v>0</v>
      </c>
      <c r="AC438">
        <f t="shared" si="110"/>
        <v>0</v>
      </c>
      <c r="AD438">
        <f t="shared" si="111"/>
        <v>0</v>
      </c>
      <c r="AE438">
        <f t="shared" si="112"/>
        <v>0</v>
      </c>
      <c r="AF438">
        <f t="shared" si="113"/>
        <v>1</v>
      </c>
      <c r="AG438">
        <f t="shared" si="114"/>
        <v>0</v>
      </c>
      <c r="AH438">
        <f t="shared" si="115"/>
        <v>0</v>
      </c>
      <c r="AI438">
        <f t="shared" si="116"/>
        <v>0</v>
      </c>
      <c r="AJ438">
        <f t="shared" si="117"/>
        <v>0</v>
      </c>
      <c r="AK438">
        <f t="shared" si="118"/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1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</row>
    <row r="439" spans="1:53" x14ac:dyDescent="0.35">
      <c r="A439">
        <v>0.37473642885801178</v>
      </c>
      <c r="C439">
        <v>2.8410958904109589</v>
      </c>
      <c r="D439" s="137">
        <f t="shared" si="103"/>
        <v>0.45348589193256628</v>
      </c>
      <c r="E439">
        <v>0</v>
      </c>
      <c r="F439">
        <v>1</v>
      </c>
      <c r="G439" s="45">
        <v>3.29</v>
      </c>
      <c r="H439" s="29">
        <f t="shared" si="104"/>
        <v>0.51719589794997434</v>
      </c>
      <c r="I439" s="9">
        <v>0</v>
      </c>
      <c r="J439" s="34">
        <v>0.14612803567823801</v>
      </c>
      <c r="K439">
        <v>15</v>
      </c>
      <c r="L439" s="137">
        <f t="shared" si="105"/>
        <v>1.1760912590556813</v>
      </c>
      <c r="M439">
        <f t="shared" si="102"/>
        <v>0</v>
      </c>
      <c r="N439">
        <v>70</v>
      </c>
      <c r="O439">
        <v>70</v>
      </c>
      <c r="P439">
        <v>85</v>
      </c>
      <c r="Q439" s="137">
        <f t="shared" si="106"/>
        <v>1.9294189257142926</v>
      </c>
      <c r="R439" s="34">
        <v>31.3</v>
      </c>
      <c r="S439" s="34">
        <f t="shared" si="107"/>
        <v>1.4955443375464486</v>
      </c>
      <c r="T439" s="42">
        <v>38.7850112673514</v>
      </c>
      <c r="U439" s="42">
        <f t="shared" si="108"/>
        <v>1.5886639219461918</v>
      </c>
      <c r="V439" s="35">
        <v>3.5347454529897258</v>
      </c>
      <c r="W439" s="14">
        <v>2</v>
      </c>
      <c r="X439" s="35">
        <v>3.9695495619878729</v>
      </c>
      <c r="Y439">
        <v>7.5049327767740417</v>
      </c>
      <c r="Z439" s="80">
        <v>0.51315317437794827</v>
      </c>
      <c r="AA439">
        <v>5</v>
      </c>
      <c r="AB439">
        <f t="shared" si="109"/>
        <v>0</v>
      </c>
      <c r="AC439">
        <f t="shared" si="110"/>
        <v>0</v>
      </c>
      <c r="AD439">
        <f t="shared" si="111"/>
        <v>0</v>
      </c>
      <c r="AE439">
        <f t="shared" si="112"/>
        <v>0</v>
      </c>
      <c r="AF439">
        <f t="shared" si="113"/>
        <v>1</v>
      </c>
      <c r="AG439">
        <f t="shared" si="114"/>
        <v>0</v>
      </c>
      <c r="AH439">
        <f t="shared" si="115"/>
        <v>0</v>
      </c>
      <c r="AI439">
        <f t="shared" si="116"/>
        <v>0</v>
      </c>
      <c r="AJ439">
        <f t="shared" si="117"/>
        <v>0</v>
      </c>
      <c r="AK439">
        <f t="shared" si="118"/>
        <v>0</v>
      </c>
      <c r="AL439">
        <v>0</v>
      </c>
      <c r="AM439">
        <v>1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</row>
    <row r="440" spans="1:53" x14ac:dyDescent="0.35">
      <c r="A440">
        <v>0.73282827159698616</v>
      </c>
      <c r="C440">
        <v>4.1452054794520548</v>
      </c>
      <c r="D440" s="137">
        <f t="shared" si="103"/>
        <v>0.61754606356671204</v>
      </c>
      <c r="E440">
        <v>0</v>
      </c>
      <c r="F440">
        <v>2.167317334748176</v>
      </c>
      <c r="G440" s="45">
        <v>3.29</v>
      </c>
      <c r="H440" s="29">
        <f t="shared" si="104"/>
        <v>0.51719589794997434</v>
      </c>
      <c r="I440" s="9">
        <v>0</v>
      </c>
      <c r="J440" s="34">
        <v>-2.2276394711152253E-2</v>
      </c>
      <c r="K440">
        <v>12</v>
      </c>
      <c r="L440" s="137">
        <f t="shared" si="105"/>
        <v>1.0791812460476249</v>
      </c>
      <c r="M440">
        <f t="shared" si="102"/>
        <v>0</v>
      </c>
      <c r="N440">
        <v>70</v>
      </c>
      <c r="O440">
        <v>70</v>
      </c>
      <c r="P440">
        <v>85</v>
      </c>
      <c r="Q440" s="137">
        <f t="shared" si="106"/>
        <v>1.9294189257142926</v>
      </c>
      <c r="R440" s="34">
        <v>32.9</v>
      </c>
      <c r="S440" s="34">
        <f t="shared" si="107"/>
        <v>1.5171958979499742</v>
      </c>
      <c r="T440" s="42">
        <v>35.433808146393098</v>
      </c>
      <c r="U440" s="42">
        <f t="shared" si="108"/>
        <v>1.5494178293890581</v>
      </c>
      <c r="V440" s="35">
        <v>3.5347454529897258</v>
      </c>
      <c r="W440" s="14">
        <v>2</v>
      </c>
      <c r="X440" s="35">
        <v>3.9695495619878729</v>
      </c>
      <c r="Y440">
        <v>8.2448953336918613</v>
      </c>
      <c r="Z440" s="80">
        <v>-0.13851725279465521</v>
      </c>
      <c r="AA440">
        <v>5</v>
      </c>
      <c r="AB440">
        <f t="shared" si="109"/>
        <v>0</v>
      </c>
      <c r="AC440">
        <f t="shared" si="110"/>
        <v>0</v>
      </c>
      <c r="AD440">
        <f t="shared" si="111"/>
        <v>0</v>
      </c>
      <c r="AE440">
        <f t="shared" si="112"/>
        <v>0</v>
      </c>
      <c r="AF440">
        <f t="shared" si="113"/>
        <v>1</v>
      </c>
      <c r="AG440">
        <f t="shared" si="114"/>
        <v>0</v>
      </c>
      <c r="AH440">
        <f t="shared" si="115"/>
        <v>0</v>
      </c>
      <c r="AI440">
        <f t="shared" si="116"/>
        <v>0</v>
      </c>
      <c r="AJ440">
        <f t="shared" si="117"/>
        <v>0</v>
      </c>
      <c r="AK440">
        <f t="shared" si="118"/>
        <v>0</v>
      </c>
      <c r="AL440">
        <v>0</v>
      </c>
      <c r="AM440">
        <v>1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</row>
    <row r="441" spans="1:53" x14ac:dyDescent="0.35">
      <c r="A441">
        <v>0.26766945270390896</v>
      </c>
      <c r="C441">
        <v>6.021917808219178</v>
      </c>
      <c r="D441" s="137">
        <f t="shared" si="103"/>
        <v>0.779734823630997</v>
      </c>
      <c r="E441">
        <v>2.5362300726332561</v>
      </c>
      <c r="F441">
        <v>2.3909351071033793</v>
      </c>
      <c r="G441" s="45">
        <v>2.3199999999999998</v>
      </c>
      <c r="H441" s="29">
        <f t="shared" si="104"/>
        <v>0.36548798489089962</v>
      </c>
      <c r="I441" s="9">
        <v>2.756001823801419</v>
      </c>
      <c r="J441" s="34">
        <v>-7.0581074285707285E-2</v>
      </c>
      <c r="K441">
        <v>12</v>
      </c>
      <c r="L441" s="137">
        <f t="shared" si="105"/>
        <v>1.0791812460476249</v>
      </c>
      <c r="M441">
        <f t="shared" si="102"/>
        <v>1</v>
      </c>
      <c r="N441">
        <v>85</v>
      </c>
      <c r="O441">
        <v>80</v>
      </c>
      <c r="P441">
        <v>70</v>
      </c>
      <c r="Q441" s="137">
        <f t="shared" si="106"/>
        <v>1.8450980400142569</v>
      </c>
      <c r="R441" s="34">
        <v>43.4</v>
      </c>
      <c r="S441" s="34">
        <f t="shared" si="107"/>
        <v>1.6374897295125106</v>
      </c>
      <c r="T441" s="42">
        <v>51.652289181886701</v>
      </c>
      <c r="U441" s="42">
        <f t="shared" si="108"/>
        <v>1.7130895738136374</v>
      </c>
      <c r="V441" s="35">
        <v>3.5347454529897258</v>
      </c>
      <c r="W441" s="14">
        <v>2</v>
      </c>
      <c r="X441" s="35">
        <v>3.9695495619878729</v>
      </c>
      <c r="Y441">
        <v>8.0824622211686297</v>
      </c>
      <c r="Z441" s="80">
        <v>-1.151050973310519E-2</v>
      </c>
      <c r="AA441">
        <v>7</v>
      </c>
      <c r="AB441">
        <f t="shared" si="109"/>
        <v>0</v>
      </c>
      <c r="AC441">
        <f t="shared" si="110"/>
        <v>0</v>
      </c>
      <c r="AD441">
        <f t="shared" si="111"/>
        <v>0</v>
      </c>
      <c r="AE441">
        <f t="shared" si="112"/>
        <v>0</v>
      </c>
      <c r="AF441">
        <f t="shared" si="113"/>
        <v>0</v>
      </c>
      <c r="AG441">
        <f t="shared" si="114"/>
        <v>0</v>
      </c>
      <c r="AH441">
        <f t="shared" si="115"/>
        <v>1</v>
      </c>
      <c r="AI441">
        <f t="shared" si="116"/>
        <v>0</v>
      </c>
      <c r="AJ441">
        <f t="shared" si="117"/>
        <v>0</v>
      </c>
      <c r="AK441">
        <f t="shared" si="118"/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1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</row>
    <row r="442" spans="1:53" x14ac:dyDescent="0.35">
      <c r="A442">
        <v>-0.68554703136658657</v>
      </c>
      <c r="C442">
        <v>4.1589041095890407</v>
      </c>
      <c r="D442" s="137">
        <f t="shared" si="103"/>
        <v>0.61897890710298675</v>
      </c>
      <c r="E442">
        <v>0</v>
      </c>
      <c r="F442">
        <v>0</v>
      </c>
      <c r="G442" s="45">
        <v>3.29</v>
      </c>
      <c r="H442" s="29">
        <f t="shared" si="104"/>
        <v>0.51719589794997434</v>
      </c>
      <c r="I442" s="9">
        <v>0</v>
      </c>
      <c r="J442" s="34">
        <v>-0.10790539730951958</v>
      </c>
      <c r="K442">
        <v>11</v>
      </c>
      <c r="L442" s="137">
        <f t="shared" si="105"/>
        <v>1.0413926851582251</v>
      </c>
      <c r="M442">
        <f t="shared" si="102"/>
        <v>0</v>
      </c>
      <c r="N442">
        <v>70</v>
      </c>
      <c r="O442">
        <v>70</v>
      </c>
      <c r="P442">
        <v>85</v>
      </c>
      <c r="Q442" s="137">
        <f t="shared" si="106"/>
        <v>1.9294189257142926</v>
      </c>
      <c r="R442" s="34">
        <v>32.200000000000003</v>
      </c>
      <c r="S442" s="34">
        <f t="shared" si="107"/>
        <v>1.507855871695831</v>
      </c>
      <c r="T442" s="42">
        <v>35.326012114535303</v>
      </c>
      <c r="U442" s="42">
        <f t="shared" si="108"/>
        <v>1.548094613534351</v>
      </c>
      <c r="V442" s="35">
        <v>3.5347454529897258</v>
      </c>
      <c r="W442" s="14">
        <v>2</v>
      </c>
      <c r="X442" s="35">
        <v>3.9695495619878729</v>
      </c>
      <c r="Y442">
        <v>8.0472748673841803</v>
      </c>
      <c r="Z442" s="80">
        <v>-0.28434700551124859</v>
      </c>
      <c r="AA442">
        <v>5</v>
      </c>
      <c r="AB442">
        <f t="shared" si="109"/>
        <v>0</v>
      </c>
      <c r="AC442">
        <f t="shared" si="110"/>
        <v>0</v>
      </c>
      <c r="AD442">
        <f t="shared" si="111"/>
        <v>0</v>
      </c>
      <c r="AE442">
        <f t="shared" si="112"/>
        <v>0</v>
      </c>
      <c r="AF442">
        <f t="shared" si="113"/>
        <v>1</v>
      </c>
      <c r="AG442">
        <f t="shared" si="114"/>
        <v>0</v>
      </c>
      <c r="AH442">
        <f t="shared" si="115"/>
        <v>0</v>
      </c>
      <c r="AI442">
        <f t="shared" si="116"/>
        <v>0</v>
      </c>
      <c r="AJ442">
        <f t="shared" si="117"/>
        <v>0</v>
      </c>
      <c r="AK442">
        <f t="shared" si="118"/>
        <v>0</v>
      </c>
      <c r="AL442">
        <v>0</v>
      </c>
      <c r="AM442">
        <v>1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</row>
    <row r="443" spans="1:53" x14ac:dyDescent="0.35">
      <c r="A443">
        <v>0.51662979600333603</v>
      </c>
      <c r="C443">
        <v>2.1616438356164385</v>
      </c>
      <c r="D443" s="137">
        <f t="shared" si="103"/>
        <v>0.3347841387529456</v>
      </c>
      <c r="E443">
        <v>0</v>
      </c>
      <c r="F443">
        <v>0</v>
      </c>
      <c r="G443" s="45">
        <v>3.29</v>
      </c>
      <c r="H443" s="29">
        <f t="shared" si="104"/>
        <v>0.51719589794997434</v>
      </c>
      <c r="I443" s="9">
        <v>0</v>
      </c>
      <c r="J443" s="34">
        <v>0.11058971029924898</v>
      </c>
      <c r="K443">
        <v>10</v>
      </c>
      <c r="L443" s="137">
        <f t="shared" si="105"/>
        <v>1</v>
      </c>
      <c r="M443">
        <f t="shared" si="102"/>
        <v>0</v>
      </c>
      <c r="N443">
        <v>70</v>
      </c>
      <c r="O443">
        <v>70</v>
      </c>
      <c r="P443">
        <v>85</v>
      </c>
      <c r="Q443" s="137">
        <f t="shared" si="106"/>
        <v>1.9294189257142926</v>
      </c>
      <c r="R443" s="34">
        <v>31.5</v>
      </c>
      <c r="S443" s="34">
        <f t="shared" si="107"/>
        <v>1.4983105537896004</v>
      </c>
      <c r="T443" s="42">
        <v>35.516899069648296</v>
      </c>
      <c r="U443" s="42">
        <f t="shared" si="108"/>
        <v>1.5504350411232082</v>
      </c>
      <c r="V443" s="35">
        <v>3.5347454529897258</v>
      </c>
      <c r="W443" s="14">
        <v>2</v>
      </c>
      <c r="X443" s="35">
        <v>3.9695495619878729</v>
      </c>
      <c r="Y443">
        <v>7.8450980400142569</v>
      </c>
      <c r="Z443" s="80">
        <v>0.1017893013646729</v>
      </c>
      <c r="AA443">
        <v>5</v>
      </c>
      <c r="AB443">
        <f t="shared" si="109"/>
        <v>0</v>
      </c>
      <c r="AC443">
        <f t="shared" si="110"/>
        <v>0</v>
      </c>
      <c r="AD443">
        <f t="shared" si="111"/>
        <v>0</v>
      </c>
      <c r="AE443">
        <f t="shared" si="112"/>
        <v>0</v>
      </c>
      <c r="AF443">
        <f t="shared" si="113"/>
        <v>1</v>
      </c>
      <c r="AG443">
        <f t="shared" si="114"/>
        <v>0</v>
      </c>
      <c r="AH443">
        <f t="shared" si="115"/>
        <v>0</v>
      </c>
      <c r="AI443">
        <f t="shared" si="116"/>
        <v>0</v>
      </c>
      <c r="AJ443">
        <f t="shared" si="117"/>
        <v>0</v>
      </c>
      <c r="AK443">
        <f t="shared" si="118"/>
        <v>0</v>
      </c>
      <c r="AL443">
        <v>0</v>
      </c>
      <c r="AM443">
        <v>1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</row>
    <row r="444" spans="1:53" x14ac:dyDescent="0.35">
      <c r="A444">
        <v>0.8903780214758058</v>
      </c>
      <c r="C444">
        <v>3.5616438356164384</v>
      </c>
      <c r="D444" s="137">
        <f t="shared" si="103"/>
        <v>0.55165048785036208</v>
      </c>
      <c r="E444">
        <v>2.5362300726332561</v>
      </c>
      <c r="F444">
        <v>0.90308998699194354</v>
      </c>
      <c r="G444" s="45">
        <v>2.3199999999999998</v>
      </c>
      <c r="H444" s="29">
        <f t="shared" si="104"/>
        <v>0.36548798489089962</v>
      </c>
      <c r="I444" s="9">
        <v>2.756001823801419</v>
      </c>
      <c r="J444" s="34">
        <v>0.10720996964786837</v>
      </c>
      <c r="K444">
        <v>9</v>
      </c>
      <c r="L444" s="137">
        <f t="shared" si="105"/>
        <v>0.95424250943932487</v>
      </c>
      <c r="M444">
        <f t="shared" si="102"/>
        <v>1</v>
      </c>
      <c r="N444">
        <v>85</v>
      </c>
      <c r="O444">
        <v>80</v>
      </c>
      <c r="P444">
        <v>85</v>
      </c>
      <c r="Q444" s="137">
        <f t="shared" si="106"/>
        <v>1.9294189257142926</v>
      </c>
      <c r="R444" s="34">
        <v>43.7</v>
      </c>
      <c r="S444" s="34">
        <f t="shared" si="107"/>
        <v>1.6404814369704219</v>
      </c>
      <c r="T444" s="42">
        <v>54.530673116863902</v>
      </c>
      <c r="U444" s="42">
        <f t="shared" si="108"/>
        <v>1.7366408585732218</v>
      </c>
      <c r="V444" s="35">
        <v>3.5347454529897258</v>
      </c>
      <c r="W444" s="14">
        <v>2</v>
      </c>
      <c r="X444" s="35">
        <v>3.9695495619878729</v>
      </c>
      <c r="Y444">
        <v>7.1139433523068369</v>
      </c>
      <c r="Z444" s="80">
        <v>0.19465443226325063</v>
      </c>
      <c r="AA444">
        <v>8</v>
      </c>
      <c r="AB444">
        <f t="shared" si="109"/>
        <v>0</v>
      </c>
      <c r="AC444">
        <f t="shared" si="110"/>
        <v>0</v>
      </c>
      <c r="AD444">
        <f t="shared" si="111"/>
        <v>0</v>
      </c>
      <c r="AE444">
        <f t="shared" si="112"/>
        <v>0</v>
      </c>
      <c r="AF444">
        <f t="shared" si="113"/>
        <v>0</v>
      </c>
      <c r="AG444">
        <f t="shared" si="114"/>
        <v>0</v>
      </c>
      <c r="AH444">
        <f t="shared" si="115"/>
        <v>0</v>
      </c>
      <c r="AI444">
        <f t="shared" si="116"/>
        <v>1</v>
      </c>
      <c r="AJ444">
        <f t="shared" si="117"/>
        <v>0</v>
      </c>
      <c r="AK444">
        <f t="shared" si="118"/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1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</row>
    <row r="445" spans="1:53" x14ac:dyDescent="0.35">
      <c r="A445">
        <v>0.29623111278221248</v>
      </c>
      <c r="C445">
        <v>1.8054794520547945</v>
      </c>
      <c r="D445" s="137">
        <f t="shared" si="103"/>
        <v>0.25659255013753518</v>
      </c>
      <c r="E445">
        <v>0</v>
      </c>
      <c r="F445">
        <v>0.3010299956639812</v>
      </c>
      <c r="G445" s="45">
        <v>3.29</v>
      </c>
      <c r="H445" s="29">
        <f t="shared" si="104"/>
        <v>0.51719589794997434</v>
      </c>
      <c r="I445" s="9">
        <v>0</v>
      </c>
      <c r="J445" s="34">
        <v>0.21748394421390627</v>
      </c>
      <c r="K445">
        <v>9</v>
      </c>
      <c r="L445" s="137">
        <f t="shared" si="105"/>
        <v>0.95424250943932487</v>
      </c>
      <c r="M445">
        <f t="shared" si="102"/>
        <v>0</v>
      </c>
      <c r="N445">
        <v>70</v>
      </c>
      <c r="O445">
        <v>70</v>
      </c>
      <c r="P445">
        <v>85</v>
      </c>
      <c r="Q445" s="137">
        <f t="shared" si="106"/>
        <v>1.9294189257142926</v>
      </c>
      <c r="R445" s="34">
        <v>30</v>
      </c>
      <c r="S445" s="34">
        <f t="shared" si="107"/>
        <v>1.4771212547196624</v>
      </c>
      <c r="T445" s="42">
        <v>35.807885111275297</v>
      </c>
      <c r="U445" s="42">
        <f t="shared" si="108"/>
        <v>1.5539786714272548</v>
      </c>
      <c r="V445" s="35">
        <v>3.5347454529897258</v>
      </c>
      <c r="W445" s="14">
        <v>2</v>
      </c>
      <c r="X445" s="35">
        <v>3.9695495619878729</v>
      </c>
      <c r="Y445">
        <v>7.9590413923210939</v>
      </c>
      <c r="Z445" s="80">
        <v>0.12782945983401572</v>
      </c>
      <c r="AA445">
        <v>5</v>
      </c>
      <c r="AB445">
        <f t="shared" si="109"/>
        <v>0</v>
      </c>
      <c r="AC445">
        <f t="shared" si="110"/>
        <v>0</v>
      </c>
      <c r="AD445">
        <f t="shared" si="111"/>
        <v>0</v>
      </c>
      <c r="AE445">
        <f t="shared" si="112"/>
        <v>0</v>
      </c>
      <c r="AF445">
        <f t="shared" si="113"/>
        <v>1</v>
      </c>
      <c r="AG445">
        <f t="shared" si="114"/>
        <v>0</v>
      </c>
      <c r="AH445">
        <f t="shared" si="115"/>
        <v>0</v>
      </c>
      <c r="AI445">
        <f t="shared" si="116"/>
        <v>0</v>
      </c>
      <c r="AJ445">
        <f t="shared" si="117"/>
        <v>0</v>
      </c>
      <c r="AK445">
        <f t="shared" si="118"/>
        <v>0</v>
      </c>
      <c r="AL445">
        <v>0</v>
      </c>
      <c r="AM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</row>
    <row r="446" spans="1:53" x14ac:dyDescent="0.35">
      <c r="A446">
        <v>0.23674696107305315</v>
      </c>
      <c r="C446">
        <v>2.1643835616438358</v>
      </c>
      <c r="D446" s="137">
        <f t="shared" si="103"/>
        <v>0.33533422683396674</v>
      </c>
      <c r="E446">
        <v>3.0625406208792199</v>
      </c>
      <c r="F446">
        <v>1.4471580313422192</v>
      </c>
      <c r="G446" s="45">
        <v>3.06</v>
      </c>
      <c r="H446" s="29">
        <f t="shared" si="104"/>
        <v>0.48572142648158001</v>
      </c>
      <c r="I446" s="9">
        <v>2.8714756364568856</v>
      </c>
      <c r="J446" s="34">
        <v>0.22788670461367352</v>
      </c>
      <c r="K446">
        <v>8</v>
      </c>
      <c r="L446" s="137">
        <f t="shared" si="105"/>
        <v>0.90308998699194354</v>
      </c>
      <c r="M446">
        <f t="shared" si="102"/>
        <v>1</v>
      </c>
      <c r="N446">
        <v>70</v>
      </c>
      <c r="O446">
        <v>90</v>
      </c>
      <c r="P446">
        <v>70</v>
      </c>
      <c r="Q446" s="137">
        <f t="shared" si="106"/>
        <v>1.8450980400142569</v>
      </c>
      <c r="R446" s="34">
        <v>40</v>
      </c>
      <c r="S446" s="34">
        <f t="shared" si="107"/>
        <v>1.6020599913279623</v>
      </c>
      <c r="T446" s="42">
        <v>47.867790191502998</v>
      </c>
      <c r="U446" s="42">
        <f t="shared" si="108"/>
        <v>1.6800433788128795</v>
      </c>
      <c r="V446" s="35">
        <v>3.5347454529897258</v>
      </c>
      <c r="W446" s="14">
        <v>2</v>
      </c>
      <c r="X446" s="35">
        <v>3.9695495619878729</v>
      </c>
      <c r="Y446">
        <v>7.0413926851582254</v>
      </c>
      <c r="Z446" s="80" t="e">
        <v>#N/A</v>
      </c>
      <c r="AA446">
        <v>5</v>
      </c>
      <c r="AB446">
        <f t="shared" si="109"/>
        <v>0</v>
      </c>
      <c r="AC446">
        <f t="shared" si="110"/>
        <v>0</v>
      </c>
      <c r="AD446">
        <f t="shared" si="111"/>
        <v>0</v>
      </c>
      <c r="AE446">
        <f t="shared" si="112"/>
        <v>0</v>
      </c>
      <c r="AF446">
        <f t="shared" si="113"/>
        <v>1</v>
      </c>
      <c r="AG446">
        <f t="shared" si="114"/>
        <v>0</v>
      </c>
      <c r="AH446">
        <f t="shared" si="115"/>
        <v>0</v>
      </c>
      <c r="AI446">
        <f t="shared" si="116"/>
        <v>0</v>
      </c>
      <c r="AJ446">
        <f t="shared" si="117"/>
        <v>0</v>
      </c>
      <c r="AK446">
        <f t="shared" si="118"/>
        <v>0</v>
      </c>
      <c r="AL446">
        <v>0</v>
      </c>
      <c r="AM446">
        <v>0</v>
      </c>
      <c r="AN446">
        <v>1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</row>
    <row r="447" spans="1:53" x14ac:dyDescent="0.35">
      <c r="A447">
        <v>5.2852307325275676E-2</v>
      </c>
      <c r="C447">
        <v>2.6876712328767125</v>
      </c>
      <c r="D447" s="137">
        <f t="shared" si="103"/>
        <v>0.42937614292347381</v>
      </c>
      <c r="E447">
        <v>3.1016130541812235</v>
      </c>
      <c r="F447">
        <v>0</v>
      </c>
      <c r="G447" s="45">
        <v>2.4700000000000002</v>
      </c>
      <c r="H447" s="29">
        <f t="shared" si="104"/>
        <v>0.39269695325966575</v>
      </c>
      <c r="I447" s="9">
        <v>2.9811387826406603</v>
      </c>
      <c r="J447" s="34">
        <v>0.19865708695442263</v>
      </c>
      <c r="K447">
        <v>7</v>
      </c>
      <c r="L447" s="137">
        <f t="shared" si="105"/>
        <v>0.84509804001425681</v>
      </c>
      <c r="M447">
        <f t="shared" si="102"/>
        <v>1</v>
      </c>
      <c r="N447">
        <v>70</v>
      </c>
      <c r="O447">
        <v>50</v>
      </c>
      <c r="P447">
        <v>70</v>
      </c>
      <c r="Q447" s="137">
        <f t="shared" si="106"/>
        <v>1.8450980400142569</v>
      </c>
      <c r="R447" s="34">
        <v>31.23</v>
      </c>
      <c r="S447" s="34">
        <f t="shared" si="107"/>
        <v>1.4945719842301985</v>
      </c>
      <c r="T447" s="42">
        <v>44.330850769696298</v>
      </c>
      <c r="U447" s="42">
        <f t="shared" si="108"/>
        <v>1.6467060660847843</v>
      </c>
      <c r="V447" s="35">
        <v>3.5347454529897258</v>
      </c>
      <c r="W447" s="14">
        <v>2</v>
      </c>
      <c r="X447" s="35">
        <v>3.9695495619878729</v>
      </c>
      <c r="Y447">
        <v>7.9294189257142929</v>
      </c>
      <c r="Z447" s="80" t="e">
        <v>#N/A</v>
      </c>
      <c r="AA447">
        <v>1</v>
      </c>
      <c r="AB447">
        <f t="shared" si="109"/>
        <v>1</v>
      </c>
      <c r="AC447">
        <f t="shared" si="110"/>
        <v>0</v>
      </c>
      <c r="AD447">
        <f t="shared" si="111"/>
        <v>0</v>
      </c>
      <c r="AE447">
        <f t="shared" si="112"/>
        <v>0</v>
      </c>
      <c r="AF447">
        <f t="shared" si="113"/>
        <v>0</v>
      </c>
      <c r="AG447">
        <f t="shared" si="114"/>
        <v>0</v>
      </c>
      <c r="AH447">
        <f t="shared" si="115"/>
        <v>0</v>
      </c>
      <c r="AI447">
        <f t="shared" si="116"/>
        <v>0</v>
      </c>
      <c r="AJ447">
        <f t="shared" si="117"/>
        <v>0</v>
      </c>
      <c r="AK447">
        <f t="shared" si="118"/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1</v>
      </c>
      <c r="AW447">
        <v>0</v>
      </c>
      <c r="AX447">
        <v>0</v>
      </c>
      <c r="AY447">
        <v>0</v>
      </c>
      <c r="AZ447">
        <v>0</v>
      </c>
      <c r="BA447">
        <v>0</v>
      </c>
    </row>
    <row r="448" spans="1:53" x14ac:dyDescent="0.35">
      <c r="A448">
        <v>0.70560058323503183</v>
      </c>
      <c r="C448">
        <v>2.9205479452054797</v>
      </c>
      <c r="D448" s="137">
        <f t="shared" si="103"/>
        <v>0.46546434023407879</v>
      </c>
      <c r="E448">
        <v>0</v>
      </c>
      <c r="F448">
        <v>1.5314789170422551</v>
      </c>
      <c r="G448" s="45">
        <v>3.29</v>
      </c>
      <c r="H448" s="29">
        <f t="shared" si="104"/>
        <v>0.51719589794997434</v>
      </c>
      <c r="I448" s="9">
        <v>0</v>
      </c>
      <c r="J448" s="34">
        <v>0.21484384804769791</v>
      </c>
      <c r="K448">
        <v>7</v>
      </c>
      <c r="L448" s="137">
        <f t="shared" si="105"/>
        <v>0.84509804001425681</v>
      </c>
      <c r="M448">
        <f t="shared" si="102"/>
        <v>0</v>
      </c>
      <c r="N448">
        <v>70</v>
      </c>
      <c r="O448">
        <v>70</v>
      </c>
      <c r="P448">
        <v>100</v>
      </c>
      <c r="Q448" s="137">
        <f t="shared" si="106"/>
        <v>2</v>
      </c>
      <c r="R448" s="34">
        <v>29.5</v>
      </c>
      <c r="S448" s="34">
        <f t="shared" si="107"/>
        <v>1.469822015978163</v>
      </c>
      <c r="T448" s="42">
        <v>38.538703610951003</v>
      </c>
      <c r="U448" s="42">
        <f t="shared" si="108"/>
        <v>1.5858971014953607</v>
      </c>
      <c r="V448" s="35">
        <v>3.5347454529897258</v>
      </c>
      <c r="W448" s="14">
        <v>2</v>
      </c>
      <c r="X448" s="35">
        <v>3.9695495619878729</v>
      </c>
      <c r="Y448">
        <v>7.5118833609788744</v>
      </c>
      <c r="Z448" s="80" t="e">
        <v>#N/A</v>
      </c>
      <c r="AA448">
        <v>4</v>
      </c>
      <c r="AB448">
        <f t="shared" si="109"/>
        <v>0</v>
      </c>
      <c r="AC448">
        <f t="shared" si="110"/>
        <v>0</v>
      </c>
      <c r="AD448">
        <f t="shared" si="111"/>
        <v>0</v>
      </c>
      <c r="AE448">
        <f t="shared" si="112"/>
        <v>1</v>
      </c>
      <c r="AF448">
        <f t="shared" si="113"/>
        <v>0</v>
      </c>
      <c r="AG448">
        <f t="shared" si="114"/>
        <v>0</v>
      </c>
      <c r="AH448">
        <f t="shared" si="115"/>
        <v>0</v>
      </c>
      <c r="AI448">
        <f t="shared" si="116"/>
        <v>0</v>
      </c>
      <c r="AJ448">
        <f t="shared" si="117"/>
        <v>0</v>
      </c>
      <c r="AK448">
        <f t="shared" si="118"/>
        <v>0</v>
      </c>
      <c r="AL448">
        <v>0</v>
      </c>
      <c r="AM448">
        <v>1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</row>
    <row r="449" spans="1:53" x14ac:dyDescent="0.35">
      <c r="A449">
        <v>4.1392685158225077E-2</v>
      </c>
      <c r="C449">
        <v>5.8493150684931505</v>
      </c>
      <c r="D449" s="137">
        <f t="shared" si="103"/>
        <v>0.76710501490456795</v>
      </c>
      <c r="E449">
        <v>3.7707754512906644</v>
      </c>
      <c r="F449">
        <v>1.0791812460476249</v>
      </c>
      <c r="G449" s="45">
        <v>2.3199999999999998</v>
      </c>
      <c r="H449" s="29">
        <f t="shared" si="104"/>
        <v>0.36548798489089962</v>
      </c>
      <c r="I449" s="9">
        <v>2.1238516409670858</v>
      </c>
      <c r="J449" s="34">
        <v>0.24797326636180664</v>
      </c>
      <c r="K449">
        <v>6</v>
      </c>
      <c r="L449" s="137">
        <f t="shared" si="105"/>
        <v>0.77815125038364363</v>
      </c>
      <c r="M449">
        <f t="shared" si="102"/>
        <v>1</v>
      </c>
      <c r="N449">
        <v>70</v>
      </c>
      <c r="O449">
        <v>70</v>
      </c>
      <c r="P449">
        <v>91.3</v>
      </c>
      <c r="Q449" s="137">
        <f t="shared" si="106"/>
        <v>1.9604707775342989</v>
      </c>
      <c r="R449" s="34">
        <v>23.5</v>
      </c>
      <c r="S449" s="34">
        <f t="shared" si="107"/>
        <v>1.3710678622717363</v>
      </c>
      <c r="T449" s="42">
        <v>43.1672842383418</v>
      </c>
      <c r="U449" s="42">
        <f t="shared" si="108"/>
        <v>1.6351547269652249</v>
      </c>
      <c r="V449">
        <v>3.1185638922971846</v>
      </c>
      <c r="W449" s="14">
        <v>2</v>
      </c>
      <c r="X449">
        <v>3.4832528165335011</v>
      </c>
      <c r="Y449">
        <v>8.3979400086720375</v>
      </c>
      <c r="Z449" s="80">
        <v>0.20346434339466213</v>
      </c>
      <c r="AA449">
        <v>9</v>
      </c>
      <c r="AB449">
        <f t="shared" si="109"/>
        <v>0</v>
      </c>
      <c r="AC449">
        <f t="shared" si="110"/>
        <v>0</v>
      </c>
      <c r="AD449">
        <f t="shared" si="111"/>
        <v>0</v>
      </c>
      <c r="AE449">
        <f t="shared" si="112"/>
        <v>0</v>
      </c>
      <c r="AF449">
        <f t="shared" si="113"/>
        <v>0</v>
      </c>
      <c r="AG449">
        <f t="shared" si="114"/>
        <v>0</v>
      </c>
      <c r="AH449">
        <f t="shared" si="115"/>
        <v>0</v>
      </c>
      <c r="AI449">
        <f t="shared" si="116"/>
        <v>0</v>
      </c>
      <c r="AJ449">
        <f t="shared" si="117"/>
        <v>1</v>
      </c>
      <c r="AK449">
        <f t="shared" si="118"/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</row>
    <row r="450" spans="1:53" x14ac:dyDescent="0.35">
      <c r="A450">
        <v>0.61995582675819938</v>
      </c>
      <c r="C450">
        <v>3.8465753424657536</v>
      </c>
      <c r="D450" s="137">
        <f t="shared" si="103"/>
        <v>0.58507424333731184</v>
      </c>
      <c r="E450">
        <v>3.8335760926148099</v>
      </c>
      <c r="F450">
        <v>2.287801729930226</v>
      </c>
      <c r="G450" s="45">
        <v>2.85</v>
      </c>
      <c r="H450" s="29">
        <f t="shared" si="104"/>
        <v>0.45484486000851021</v>
      </c>
      <c r="I450" s="9">
        <v>2.9138138523837167</v>
      </c>
      <c r="J450" s="34">
        <v>0.17897694729316943</v>
      </c>
      <c r="K450">
        <v>44</v>
      </c>
      <c r="L450" s="137">
        <f t="shared" si="105"/>
        <v>1.6434526764861874</v>
      </c>
      <c r="M450">
        <f t="shared" ref="M450:M513" si="119">IF(E450=0,0,1)</f>
        <v>1</v>
      </c>
      <c r="N450">
        <v>70</v>
      </c>
      <c r="O450">
        <v>70</v>
      </c>
      <c r="P450">
        <v>90.5</v>
      </c>
      <c r="Q450" s="137">
        <f t="shared" si="106"/>
        <v>1.9566485792052033</v>
      </c>
      <c r="R450" s="34">
        <v>36.4</v>
      </c>
      <c r="S450" s="34">
        <f t="shared" si="107"/>
        <v>1.5611013836490559</v>
      </c>
      <c r="T450" s="42">
        <v>44.295389122127702</v>
      </c>
      <c r="U450" s="42">
        <f t="shared" si="108"/>
        <v>1.6463585211883986</v>
      </c>
      <c r="V450">
        <v>3.3418755036276071</v>
      </c>
      <c r="W450" s="14">
        <v>4</v>
      </c>
      <c r="X450">
        <v>3.8872244231830928</v>
      </c>
      <c r="Y450">
        <v>8.8919275342206756</v>
      </c>
      <c r="Z450" s="80">
        <v>0.20161201040019949</v>
      </c>
      <c r="AA450">
        <v>1</v>
      </c>
      <c r="AB450">
        <f t="shared" si="109"/>
        <v>1</v>
      </c>
      <c r="AC450">
        <f t="shared" si="110"/>
        <v>0</v>
      </c>
      <c r="AD450">
        <f t="shared" si="111"/>
        <v>0</v>
      </c>
      <c r="AE450">
        <f t="shared" si="112"/>
        <v>0</v>
      </c>
      <c r="AF450">
        <f t="shared" si="113"/>
        <v>0</v>
      </c>
      <c r="AG450">
        <f t="shared" si="114"/>
        <v>0</v>
      </c>
      <c r="AH450">
        <f t="shared" si="115"/>
        <v>0</v>
      </c>
      <c r="AI450">
        <f t="shared" si="116"/>
        <v>0</v>
      </c>
      <c r="AJ450">
        <f t="shared" si="117"/>
        <v>0</v>
      </c>
      <c r="AK450">
        <f t="shared" si="118"/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1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</row>
    <row r="451" spans="1:53" x14ac:dyDescent="0.35">
      <c r="A451">
        <v>-5.7845990168414053E-2</v>
      </c>
      <c r="C451">
        <v>4.2712328767123289</v>
      </c>
      <c r="D451" s="137">
        <f t="shared" ref="D451:D514" si="120">LOG(C451)</f>
        <v>0.63055325073236701</v>
      </c>
      <c r="E451">
        <v>0</v>
      </c>
      <c r="F451">
        <v>0</v>
      </c>
      <c r="G451" s="45">
        <v>2.95</v>
      </c>
      <c r="H451" s="29">
        <f t="shared" ref="H451:H514" si="121">LOG(G451)</f>
        <v>0.46982201597816303</v>
      </c>
      <c r="I451" s="9">
        <v>0</v>
      </c>
      <c r="J451" s="34">
        <v>-8.7739243075051505E-3</v>
      </c>
      <c r="K451">
        <v>3</v>
      </c>
      <c r="L451" s="137">
        <f t="shared" ref="L451:L514" si="122">IF(K451=0,0,LOG(K451))</f>
        <v>0.47712125471966244</v>
      </c>
      <c r="M451">
        <f t="shared" si="119"/>
        <v>0</v>
      </c>
      <c r="N451">
        <v>70</v>
      </c>
      <c r="O451">
        <v>70</v>
      </c>
      <c r="P451">
        <v>92.6</v>
      </c>
      <c r="Q451" s="137">
        <f t="shared" ref="Q451:Q514" si="123">LOG(P451)</f>
        <v>1.9666109866819343</v>
      </c>
      <c r="R451" s="34">
        <v>25.7</v>
      </c>
      <c r="S451" s="34">
        <f t="shared" ref="S451:S514" si="124">LOG(R451)</f>
        <v>1.4099331233312946</v>
      </c>
      <c r="T451" s="42">
        <v>39.823361151429197</v>
      </c>
      <c r="U451" s="42">
        <f t="shared" ref="U451:U514" si="125">LOG(T451)</f>
        <v>1.6001379123442065</v>
      </c>
      <c r="V451">
        <v>3.3481258369969185</v>
      </c>
      <c r="W451" s="14">
        <v>4</v>
      </c>
      <c r="X451">
        <v>3.8736689739586678</v>
      </c>
      <c r="Y451">
        <v>8.6283889300503116</v>
      </c>
      <c r="Z451" s="80">
        <v>-6.7007204690699762E-2</v>
      </c>
      <c r="AA451">
        <v>2</v>
      </c>
      <c r="AB451">
        <f t="shared" ref="AB451:AB514" si="126">IF(AA451=1,1,0)</f>
        <v>0</v>
      </c>
      <c r="AC451">
        <f t="shared" ref="AC451:AC514" si="127">IF(AA451=2,1,0)</f>
        <v>1</v>
      </c>
      <c r="AD451">
        <f t="shared" ref="AD451:AD514" si="128">IF(AA451=3,1,0)</f>
        <v>0</v>
      </c>
      <c r="AE451">
        <f t="shared" ref="AE451:AE514" si="129">IF(AA451=4,1,0)</f>
        <v>0</v>
      </c>
      <c r="AF451">
        <f t="shared" ref="AF451:AF514" si="130">IF(AA451=5,1,0)</f>
        <v>0</v>
      </c>
      <c r="AG451">
        <f t="shared" ref="AG451:AG514" si="131">IF(AA451=6,1,0)</f>
        <v>0</v>
      </c>
      <c r="AH451">
        <f t="shared" ref="AH451:AH514" si="132">IF(AA451=7,1,0)</f>
        <v>0</v>
      </c>
      <c r="AI451">
        <f t="shared" ref="AI451:AI514" si="133">IF(AA451=8,1,0)</f>
        <v>0</v>
      </c>
      <c r="AJ451">
        <f t="shared" ref="AJ451:AJ514" si="134">IF(AA451=9,1,0)</f>
        <v>0</v>
      </c>
      <c r="AK451">
        <f t="shared" ref="AK451:AK514" si="135">IF(AA451=10,1,0)</f>
        <v>0</v>
      </c>
      <c r="AL451">
        <v>1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</row>
    <row r="452" spans="1:53" x14ac:dyDescent="0.35">
      <c r="A452">
        <v>0.22184874961635639</v>
      </c>
      <c r="C452">
        <v>4.8082191780821919</v>
      </c>
      <c r="D452" s="137">
        <f t="shared" si="120"/>
        <v>0.68198425634536819</v>
      </c>
      <c r="E452">
        <v>0</v>
      </c>
      <c r="F452">
        <v>1.7853298350107671</v>
      </c>
      <c r="G452" s="45">
        <v>2.95</v>
      </c>
      <c r="H452" s="29">
        <f t="shared" si="121"/>
        <v>0.46982201597816303</v>
      </c>
      <c r="I452" s="9">
        <v>0</v>
      </c>
      <c r="J452" s="34">
        <v>-4.0958607678906384E-2</v>
      </c>
      <c r="K452">
        <v>2</v>
      </c>
      <c r="L452" s="137">
        <f t="shared" si="122"/>
        <v>0.3010299956639812</v>
      </c>
      <c r="M452">
        <f t="shared" si="119"/>
        <v>0</v>
      </c>
      <c r="N452">
        <v>70</v>
      </c>
      <c r="O452">
        <v>70</v>
      </c>
      <c r="P452">
        <v>91.4</v>
      </c>
      <c r="Q452" s="137">
        <f t="shared" si="123"/>
        <v>1.9609461957338314</v>
      </c>
      <c r="R452" s="34">
        <v>26.7</v>
      </c>
      <c r="S452" s="34">
        <f t="shared" si="124"/>
        <v>1.4265112613645752</v>
      </c>
      <c r="T452" s="42">
        <v>37.425715444240403</v>
      </c>
      <c r="U452" s="42">
        <f t="shared" si="125"/>
        <v>1.5731701112332821</v>
      </c>
      <c r="V452">
        <v>3.3481258369969185</v>
      </c>
      <c r="W452" s="14">
        <v>4</v>
      </c>
      <c r="X452">
        <v>3.8736689739586678</v>
      </c>
      <c r="Y452">
        <v>8.3222192947339195</v>
      </c>
      <c r="Z452" s="80">
        <v>-0.11544028986105415</v>
      </c>
      <c r="AA452">
        <v>2</v>
      </c>
      <c r="AB452">
        <f t="shared" si="126"/>
        <v>0</v>
      </c>
      <c r="AC452">
        <f t="shared" si="127"/>
        <v>1</v>
      </c>
      <c r="AD452">
        <f t="shared" si="128"/>
        <v>0</v>
      </c>
      <c r="AE452">
        <f t="shared" si="129"/>
        <v>0</v>
      </c>
      <c r="AF452">
        <f t="shared" si="130"/>
        <v>0</v>
      </c>
      <c r="AG452">
        <f t="shared" si="131"/>
        <v>0</v>
      </c>
      <c r="AH452">
        <f t="shared" si="132"/>
        <v>0</v>
      </c>
      <c r="AI452">
        <f t="shared" si="133"/>
        <v>0</v>
      </c>
      <c r="AJ452">
        <f t="shared" si="134"/>
        <v>0</v>
      </c>
      <c r="AK452">
        <f t="shared" si="135"/>
        <v>0</v>
      </c>
      <c r="AL452">
        <v>1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</row>
    <row r="453" spans="1:53" x14ac:dyDescent="0.35">
      <c r="A453">
        <v>0.56820172406699498</v>
      </c>
      <c r="C453">
        <v>2.6136986301369864</v>
      </c>
      <c r="D453" s="137">
        <f t="shared" si="120"/>
        <v>0.41725551024762042</v>
      </c>
      <c r="E453">
        <v>0</v>
      </c>
      <c r="F453">
        <v>0.6020599913279624</v>
      </c>
      <c r="G453" s="45">
        <v>2.95</v>
      </c>
      <c r="H453" s="29">
        <f t="shared" si="121"/>
        <v>0.46982201597816303</v>
      </c>
      <c r="I453" s="9">
        <v>0</v>
      </c>
      <c r="J453" s="34">
        <v>-0.17392519729917361</v>
      </c>
      <c r="K453">
        <v>1</v>
      </c>
      <c r="L453" s="137">
        <f t="shared" si="122"/>
        <v>0</v>
      </c>
      <c r="M453">
        <f t="shared" si="119"/>
        <v>0</v>
      </c>
      <c r="N453">
        <v>70</v>
      </c>
      <c r="O453">
        <v>70</v>
      </c>
      <c r="P453">
        <v>93.2</v>
      </c>
      <c r="Q453" s="137">
        <f t="shared" si="123"/>
        <v>1.9694159123539814</v>
      </c>
      <c r="R453" s="34">
        <v>26.7</v>
      </c>
      <c r="S453" s="34">
        <f t="shared" si="124"/>
        <v>1.4265112613645752</v>
      </c>
      <c r="T453" s="42">
        <v>36.669158714517401</v>
      </c>
      <c r="U453" s="42">
        <f t="shared" si="125"/>
        <v>1.5643009462345601</v>
      </c>
      <c r="V453">
        <v>3.3481258369969185</v>
      </c>
      <c r="W453" s="14">
        <v>4</v>
      </c>
      <c r="X453">
        <v>3.8736689739586678</v>
      </c>
      <c r="Y453">
        <v>7.6989700043360187</v>
      </c>
      <c r="Z453" s="80">
        <v>-0.26475316248936676</v>
      </c>
      <c r="AA453">
        <v>1</v>
      </c>
      <c r="AB453">
        <f t="shared" si="126"/>
        <v>1</v>
      </c>
      <c r="AC453">
        <f t="shared" si="127"/>
        <v>0</v>
      </c>
      <c r="AD453">
        <f t="shared" si="128"/>
        <v>0</v>
      </c>
      <c r="AE453">
        <f t="shared" si="129"/>
        <v>0</v>
      </c>
      <c r="AF453">
        <f t="shared" si="130"/>
        <v>0</v>
      </c>
      <c r="AG453">
        <f t="shared" si="131"/>
        <v>0</v>
      </c>
      <c r="AH453">
        <f t="shared" si="132"/>
        <v>0</v>
      </c>
      <c r="AI453">
        <f t="shared" si="133"/>
        <v>0</v>
      </c>
      <c r="AJ453">
        <f t="shared" si="134"/>
        <v>0</v>
      </c>
      <c r="AK453">
        <f t="shared" si="135"/>
        <v>0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</row>
    <row r="454" spans="1:53" x14ac:dyDescent="0.35">
      <c r="A454">
        <v>0.52636707312615894</v>
      </c>
      <c r="C454">
        <v>3.3150684931506849</v>
      </c>
      <c r="D454" s="137">
        <f t="shared" si="120"/>
        <v>0.52049250585997542</v>
      </c>
      <c r="E454">
        <v>3.7916829312790057</v>
      </c>
      <c r="F454">
        <v>0.95424250943932487</v>
      </c>
      <c r="G454" s="45">
        <v>2.72</v>
      </c>
      <c r="H454" s="29">
        <f t="shared" si="121"/>
        <v>0.43456890403419873</v>
      </c>
      <c r="I454" s="9">
        <v>3.0355618076671913</v>
      </c>
      <c r="J454" s="34">
        <v>0.11394335230683679</v>
      </c>
      <c r="K454">
        <v>9</v>
      </c>
      <c r="L454" s="137">
        <f t="shared" si="122"/>
        <v>0.95424250943932487</v>
      </c>
      <c r="M454">
        <f t="shared" si="119"/>
        <v>1</v>
      </c>
      <c r="N454">
        <v>70</v>
      </c>
      <c r="O454">
        <v>70</v>
      </c>
      <c r="P454">
        <v>89.2</v>
      </c>
      <c r="Q454" s="137">
        <f t="shared" si="123"/>
        <v>1.9503648543761232</v>
      </c>
      <c r="R454" s="34">
        <v>26</v>
      </c>
      <c r="S454" s="34">
        <f t="shared" si="124"/>
        <v>1.414973347970818</v>
      </c>
      <c r="T454" s="42">
        <v>38.344872802923099</v>
      </c>
      <c r="U454" s="42">
        <f t="shared" si="125"/>
        <v>1.5837073014724459</v>
      </c>
      <c r="V454">
        <v>3.8659974508347341</v>
      </c>
      <c r="W454" s="14">
        <v>1</v>
      </c>
      <c r="X454">
        <v>3.8302925433451809</v>
      </c>
      <c r="Y454">
        <v>7.5705429398818973</v>
      </c>
      <c r="Z454" s="80">
        <v>0.13129159350577035</v>
      </c>
      <c r="AA454">
        <v>2</v>
      </c>
      <c r="AB454">
        <f t="shared" si="126"/>
        <v>0</v>
      </c>
      <c r="AC454">
        <f t="shared" si="127"/>
        <v>1</v>
      </c>
      <c r="AD454">
        <f t="shared" si="128"/>
        <v>0</v>
      </c>
      <c r="AE454">
        <f t="shared" si="129"/>
        <v>0</v>
      </c>
      <c r="AF454">
        <f t="shared" si="130"/>
        <v>0</v>
      </c>
      <c r="AG454">
        <f t="shared" si="131"/>
        <v>0</v>
      </c>
      <c r="AH454">
        <f t="shared" si="132"/>
        <v>0</v>
      </c>
      <c r="AI454">
        <f t="shared" si="133"/>
        <v>0</v>
      </c>
      <c r="AJ454">
        <f t="shared" si="134"/>
        <v>0</v>
      </c>
      <c r="AK454">
        <f t="shared" si="135"/>
        <v>0</v>
      </c>
      <c r="AL454">
        <v>1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</row>
    <row r="455" spans="1:53" x14ac:dyDescent="0.35">
      <c r="A455">
        <v>1.1870866433571445</v>
      </c>
      <c r="C455">
        <v>3.2383561643835614</v>
      </c>
      <c r="D455" s="137">
        <f t="shared" si="120"/>
        <v>0.51032461208876179</v>
      </c>
      <c r="E455">
        <v>2.8258673289207414</v>
      </c>
      <c r="F455">
        <v>0</v>
      </c>
      <c r="G455" s="45">
        <v>2.84</v>
      </c>
      <c r="H455" s="29">
        <f t="shared" si="121"/>
        <v>0.45331834004703764</v>
      </c>
      <c r="I455" s="9">
        <v>2.0400878434698808</v>
      </c>
      <c r="J455" s="34">
        <v>0.18184358794477254</v>
      </c>
      <c r="K455">
        <v>6</v>
      </c>
      <c r="L455" s="137">
        <f t="shared" si="122"/>
        <v>0.77815125038364363</v>
      </c>
      <c r="M455">
        <f t="shared" si="119"/>
        <v>1</v>
      </c>
      <c r="N455">
        <v>70</v>
      </c>
      <c r="O455">
        <v>70</v>
      </c>
      <c r="P455">
        <v>89.6</v>
      </c>
      <c r="Q455" s="137">
        <f t="shared" si="123"/>
        <v>1.9523080096621253</v>
      </c>
      <c r="R455" s="34">
        <v>35.700000000000003</v>
      </c>
      <c r="S455" s="34">
        <f t="shared" si="124"/>
        <v>1.5526682161121932</v>
      </c>
      <c r="T455" s="42">
        <v>44.7100017757258</v>
      </c>
      <c r="U455" s="42">
        <f t="shared" si="125"/>
        <v>1.6504046871166989</v>
      </c>
      <c r="V455">
        <v>3.8659974508347341</v>
      </c>
      <c r="W455" s="14">
        <v>1</v>
      </c>
      <c r="X455">
        <v>3.8302925433451809</v>
      </c>
      <c r="Y455">
        <v>7.1139433523068369</v>
      </c>
      <c r="Z455" s="80">
        <v>0.17473946704323096</v>
      </c>
      <c r="AA455">
        <v>2</v>
      </c>
      <c r="AB455">
        <f t="shared" si="126"/>
        <v>0</v>
      </c>
      <c r="AC455">
        <f t="shared" si="127"/>
        <v>1</v>
      </c>
      <c r="AD455">
        <f t="shared" si="128"/>
        <v>0</v>
      </c>
      <c r="AE455">
        <f t="shared" si="129"/>
        <v>0</v>
      </c>
      <c r="AF455">
        <f t="shared" si="130"/>
        <v>0</v>
      </c>
      <c r="AG455">
        <f t="shared" si="131"/>
        <v>0</v>
      </c>
      <c r="AH455">
        <f t="shared" si="132"/>
        <v>0</v>
      </c>
      <c r="AI455">
        <f t="shared" si="133"/>
        <v>0</v>
      </c>
      <c r="AJ455">
        <f t="shared" si="134"/>
        <v>0</v>
      </c>
      <c r="AK455">
        <f t="shared" si="135"/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1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</row>
    <row r="456" spans="1:53" x14ac:dyDescent="0.35">
      <c r="A456">
        <v>0.74472749489669388</v>
      </c>
      <c r="C456">
        <v>2.0575342465753423</v>
      </c>
      <c r="D456" s="137">
        <f t="shared" si="120"/>
        <v>0.31334707254769367</v>
      </c>
      <c r="E456">
        <v>2.2426159575692655</v>
      </c>
      <c r="F456">
        <v>0.77815125038364363</v>
      </c>
      <c r="G456" s="45">
        <v>2.84</v>
      </c>
      <c r="H456" s="29">
        <f t="shared" si="121"/>
        <v>0.45331834004703764</v>
      </c>
      <c r="I456" s="9">
        <v>2.0400878434698808</v>
      </c>
      <c r="J456" s="34">
        <v>2.9383777685209667E-2</v>
      </c>
      <c r="K456">
        <v>1</v>
      </c>
      <c r="L456" s="137">
        <f t="shared" si="122"/>
        <v>0</v>
      </c>
      <c r="M456">
        <f t="shared" si="119"/>
        <v>1</v>
      </c>
      <c r="N456">
        <v>70</v>
      </c>
      <c r="O456">
        <v>70</v>
      </c>
      <c r="P456">
        <v>89.1</v>
      </c>
      <c r="Q456" s="137">
        <f t="shared" si="123"/>
        <v>1.9498777040368747</v>
      </c>
      <c r="R456" s="34">
        <v>34.5</v>
      </c>
      <c r="S456" s="34">
        <f t="shared" si="124"/>
        <v>1.5378190950732742</v>
      </c>
      <c r="T456" s="42">
        <v>44.696333437793797</v>
      </c>
      <c r="U456" s="42">
        <f t="shared" si="125"/>
        <v>1.6502718982315996</v>
      </c>
      <c r="V456">
        <v>3.8659974508347341</v>
      </c>
      <c r="W456" s="14">
        <v>1</v>
      </c>
      <c r="X456">
        <v>3.8302925433451809</v>
      </c>
      <c r="Y456">
        <v>7.4313637641589869</v>
      </c>
      <c r="Z456" s="80">
        <v>2.055871518333241E-2</v>
      </c>
      <c r="AA456">
        <v>2</v>
      </c>
      <c r="AB456">
        <f t="shared" si="126"/>
        <v>0</v>
      </c>
      <c r="AC456">
        <f t="shared" si="127"/>
        <v>1</v>
      </c>
      <c r="AD456">
        <f t="shared" si="128"/>
        <v>0</v>
      </c>
      <c r="AE456">
        <f t="shared" si="129"/>
        <v>0</v>
      </c>
      <c r="AF456">
        <f t="shared" si="130"/>
        <v>0</v>
      </c>
      <c r="AG456">
        <f t="shared" si="131"/>
        <v>0</v>
      </c>
      <c r="AH456">
        <f t="shared" si="132"/>
        <v>0</v>
      </c>
      <c r="AI456">
        <f t="shared" si="133"/>
        <v>0</v>
      </c>
      <c r="AJ456">
        <f t="shared" si="134"/>
        <v>0</v>
      </c>
      <c r="AK456">
        <f t="shared" si="135"/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1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</row>
    <row r="457" spans="1:53" x14ac:dyDescent="0.35">
      <c r="A457">
        <v>1.2652875845284624</v>
      </c>
      <c r="C457">
        <v>2.8986301369863012</v>
      </c>
      <c r="D457" s="137">
        <f t="shared" si="120"/>
        <v>0.46219280324269224</v>
      </c>
      <c r="E457">
        <v>3.7707754512906644</v>
      </c>
      <c r="F457">
        <v>0.95424250943932487</v>
      </c>
      <c r="G457" s="45">
        <v>2.3199999999999998</v>
      </c>
      <c r="H457" s="29">
        <f t="shared" si="121"/>
        <v>0.36548798489089962</v>
      </c>
      <c r="I457" s="9">
        <v>2.1238516409670858</v>
      </c>
      <c r="J457" s="34">
        <v>0.14612803567823801</v>
      </c>
      <c r="K457">
        <v>14</v>
      </c>
      <c r="L457" s="137">
        <f t="shared" si="122"/>
        <v>1.146128035678238</v>
      </c>
      <c r="M457">
        <f t="shared" si="119"/>
        <v>1</v>
      </c>
      <c r="N457">
        <v>70</v>
      </c>
      <c r="O457">
        <v>70</v>
      </c>
      <c r="P457">
        <v>91</v>
      </c>
      <c r="Q457" s="137">
        <f t="shared" si="123"/>
        <v>1.9590413923210936</v>
      </c>
      <c r="R457" s="34">
        <v>23.9</v>
      </c>
      <c r="S457" s="34">
        <f t="shared" si="124"/>
        <v>1.3783979009481377</v>
      </c>
      <c r="T457" s="42">
        <v>42.048698215007001</v>
      </c>
      <c r="U457" s="42">
        <f t="shared" si="125"/>
        <v>1.6237525550259535</v>
      </c>
      <c r="V457">
        <v>3.6410631547392063</v>
      </c>
      <c r="W457" s="14">
        <v>2</v>
      </c>
      <c r="X457">
        <v>3.7013464506591722</v>
      </c>
      <c r="Y457">
        <v>7.1417632302757879</v>
      </c>
      <c r="Z457" s="80">
        <v>0.18394157741607131</v>
      </c>
      <c r="AA457">
        <v>9</v>
      </c>
      <c r="AB457">
        <f t="shared" si="126"/>
        <v>0</v>
      </c>
      <c r="AC457">
        <f t="shared" si="127"/>
        <v>0</v>
      </c>
      <c r="AD457">
        <f t="shared" si="128"/>
        <v>0</v>
      </c>
      <c r="AE457">
        <f t="shared" si="129"/>
        <v>0</v>
      </c>
      <c r="AF457">
        <f t="shared" si="130"/>
        <v>0</v>
      </c>
      <c r="AG457">
        <f t="shared" si="131"/>
        <v>0</v>
      </c>
      <c r="AH457">
        <f t="shared" si="132"/>
        <v>0</v>
      </c>
      <c r="AI457">
        <f t="shared" si="133"/>
        <v>0</v>
      </c>
      <c r="AJ457">
        <f t="shared" si="134"/>
        <v>1</v>
      </c>
      <c r="AK457">
        <f t="shared" si="135"/>
        <v>0</v>
      </c>
      <c r="AL457">
        <v>1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</row>
    <row r="458" spans="1:53" x14ac:dyDescent="0.35">
      <c r="A458">
        <v>1.1725131174401462</v>
      </c>
      <c r="C458">
        <v>1.8575342465753424</v>
      </c>
      <c r="D458" s="137">
        <f t="shared" si="120"/>
        <v>0.26893682941058861</v>
      </c>
      <c r="E458">
        <v>0</v>
      </c>
      <c r="F458">
        <v>0.69897000433601886</v>
      </c>
      <c r="G458" s="45">
        <v>3.29</v>
      </c>
      <c r="H458" s="29">
        <f t="shared" si="121"/>
        <v>0.51719589794997434</v>
      </c>
      <c r="I458" s="9">
        <v>0</v>
      </c>
      <c r="J458" s="34">
        <v>0.20411998265592479</v>
      </c>
      <c r="K458">
        <v>12</v>
      </c>
      <c r="L458" s="137">
        <f t="shared" si="122"/>
        <v>1.0791812460476249</v>
      </c>
      <c r="M458">
        <f t="shared" si="119"/>
        <v>0</v>
      </c>
      <c r="N458">
        <v>70</v>
      </c>
      <c r="O458">
        <v>70</v>
      </c>
      <c r="P458">
        <v>89.8</v>
      </c>
      <c r="Q458" s="137">
        <f t="shared" si="123"/>
        <v>1.9532763366673043</v>
      </c>
      <c r="R458" s="34">
        <v>31.2</v>
      </c>
      <c r="S458" s="34">
        <f t="shared" si="124"/>
        <v>1.4941545940184429</v>
      </c>
      <c r="T458" s="42">
        <v>47.307367293927399</v>
      </c>
      <c r="U458" s="42">
        <f t="shared" si="125"/>
        <v>1.6749287797641836</v>
      </c>
      <c r="V458">
        <v>3.6410631547392063</v>
      </c>
      <c r="W458" s="14">
        <v>2</v>
      </c>
      <c r="X458">
        <v>3.7013464506591722</v>
      </c>
      <c r="Y458">
        <v>6.8129133566428557</v>
      </c>
      <c r="Z458" s="80">
        <v>0.53218532993597933</v>
      </c>
      <c r="AA458">
        <v>4</v>
      </c>
      <c r="AB458">
        <f t="shared" si="126"/>
        <v>0</v>
      </c>
      <c r="AC458">
        <f t="shared" si="127"/>
        <v>0</v>
      </c>
      <c r="AD458">
        <f t="shared" si="128"/>
        <v>0</v>
      </c>
      <c r="AE458">
        <f t="shared" si="129"/>
        <v>1</v>
      </c>
      <c r="AF458">
        <f t="shared" si="130"/>
        <v>0</v>
      </c>
      <c r="AG458">
        <f t="shared" si="131"/>
        <v>0</v>
      </c>
      <c r="AH458">
        <f t="shared" si="132"/>
        <v>0</v>
      </c>
      <c r="AI458">
        <f t="shared" si="133"/>
        <v>0</v>
      </c>
      <c r="AJ458">
        <f t="shared" si="134"/>
        <v>0</v>
      </c>
      <c r="AK458">
        <f t="shared" si="135"/>
        <v>0</v>
      </c>
      <c r="AL458">
        <v>0</v>
      </c>
      <c r="AM458">
        <v>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</row>
    <row r="459" spans="1:53" x14ac:dyDescent="0.35">
      <c r="A459">
        <v>1.3135294062027159</v>
      </c>
      <c r="C459">
        <v>7.7890410958904113</v>
      </c>
      <c r="D459" s="137">
        <f t="shared" si="120"/>
        <v>0.89148399523396749</v>
      </c>
      <c r="E459">
        <v>3.7707754512906644</v>
      </c>
      <c r="F459">
        <v>0.95424250943932487</v>
      </c>
      <c r="G459" s="45">
        <v>2.3199999999999998</v>
      </c>
      <c r="H459" s="29">
        <f t="shared" si="121"/>
        <v>0.36548798489089962</v>
      </c>
      <c r="I459" s="9">
        <v>2.1238516409670858</v>
      </c>
      <c r="J459" s="34">
        <v>0.33845649360460478</v>
      </c>
      <c r="K459">
        <v>11</v>
      </c>
      <c r="L459" s="137">
        <f t="shared" si="122"/>
        <v>1.0413926851582251</v>
      </c>
      <c r="M459">
        <f t="shared" si="119"/>
        <v>1</v>
      </c>
      <c r="N459">
        <v>70</v>
      </c>
      <c r="O459">
        <v>70</v>
      </c>
      <c r="P459">
        <v>92.6</v>
      </c>
      <c r="Q459" s="137">
        <f t="shared" si="123"/>
        <v>1.9666109866819343</v>
      </c>
      <c r="R459" s="34">
        <v>25.7</v>
      </c>
      <c r="S459" s="34">
        <f t="shared" si="124"/>
        <v>1.4099331233312946</v>
      </c>
      <c r="T459" s="42">
        <v>39.823361151429197</v>
      </c>
      <c r="U459" s="42">
        <f t="shared" si="125"/>
        <v>1.6001379123442065</v>
      </c>
      <c r="V459">
        <v>3.6410631547392063</v>
      </c>
      <c r="W459" s="14">
        <v>2</v>
      </c>
      <c r="X459">
        <v>3.7013464506591722</v>
      </c>
      <c r="Y459">
        <v>6.7418603940652639</v>
      </c>
      <c r="Z459" s="80">
        <v>0.55154011516179691</v>
      </c>
      <c r="AA459">
        <v>9</v>
      </c>
      <c r="AB459">
        <f t="shared" si="126"/>
        <v>0</v>
      </c>
      <c r="AC459">
        <f t="shared" si="127"/>
        <v>0</v>
      </c>
      <c r="AD459">
        <f t="shared" si="128"/>
        <v>0</v>
      </c>
      <c r="AE459">
        <f t="shared" si="129"/>
        <v>0</v>
      </c>
      <c r="AF459">
        <f t="shared" si="130"/>
        <v>0</v>
      </c>
      <c r="AG459">
        <f t="shared" si="131"/>
        <v>0</v>
      </c>
      <c r="AH459">
        <f t="shared" si="132"/>
        <v>0</v>
      </c>
      <c r="AI459">
        <f t="shared" si="133"/>
        <v>0</v>
      </c>
      <c r="AJ459">
        <f t="shared" si="134"/>
        <v>1</v>
      </c>
      <c r="AK459">
        <f t="shared" si="135"/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</row>
    <row r="460" spans="1:53" x14ac:dyDescent="0.35">
      <c r="A460">
        <v>1.0881360887005513</v>
      </c>
      <c r="C460">
        <v>2.2821917808219179</v>
      </c>
      <c r="D460" s="137">
        <f t="shared" si="120"/>
        <v>0.35835213695031287</v>
      </c>
      <c r="E460">
        <v>3.2005167179274112</v>
      </c>
      <c r="F460">
        <v>0.95424250943932487</v>
      </c>
      <c r="G460" s="45">
        <v>2.4700000000000002</v>
      </c>
      <c r="H460" s="29">
        <f t="shared" si="121"/>
        <v>0.39269695325966575</v>
      </c>
      <c r="I460" s="9">
        <v>3.2929933027247387</v>
      </c>
      <c r="J460" s="34">
        <v>0.10037054511756291</v>
      </c>
      <c r="K460">
        <v>8</v>
      </c>
      <c r="L460" s="137">
        <f t="shared" si="122"/>
        <v>0.90308998699194354</v>
      </c>
      <c r="M460">
        <f t="shared" si="119"/>
        <v>1</v>
      </c>
      <c r="N460">
        <v>70</v>
      </c>
      <c r="O460">
        <v>50</v>
      </c>
      <c r="P460">
        <v>70</v>
      </c>
      <c r="Q460" s="137">
        <f t="shared" si="123"/>
        <v>1.8450980400142569</v>
      </c>
      <c r="R460" s="34">
        <v>30.8</v>
      </c>
      <c r="S460" s="34">
        <f t="shared" si="124"/>
        <v>1.4885507165004443</v>
      </c>
      <c r="T460" s="42">
        <v>46.676832990761902</v>
      </c>
      <c r="U460" s="42">
        <f t="shared" si="125"/>
        <v>1.6691013816214919</v>
      </c>
      <c r="V460">
        <v>3.6410631547392063</v>
      </c>
      <c r="W460" s="14">
        <v>2</v>
      </c>
      <c r="X460">
        <v>3.7013464506591722</v>
      </c>
      <c r="Y460">
        <v>7.0791812460476251</v>
      </c>
      <c r="Z460" s="80">
        <v>0.2925601891832994</v>
      </c>
      <c r="AA460">
        <v>9</v>
      </c>
      <c r="AB460">
        <f t="shared" si="126"/>
        <v>0</v>
      </c>
      <c r="AC460">
        <f t="shared" si="127"/>
        <v>0</v>
      </c>
      <c r="AD460">
        <f t="shared" si="128"/>
        <v>0</v>
      </c>
      <c r="AE460">
        <f t="shared" si="129"/>
        <v>0</v>
      </c>
      <c r="AF460">
        <f t="shared" si="130"/>
        <v>0</v>
      </c>
      <c r="AG460">
        <f t="shared" si="131"/>
        <v>0</v>
      </c>
      <c r="AH460">
        <f t="shared" si="132"/>
        <v>0</v>
      </c>
      <c r="AI460">
        <f t="shared" si="133"/>
        <v>0</v>
      </c>
      <c r="AJ460">
        <f t="shared" si="134"/>
        <v>1</v>
      </c>
      <c r="AK460">
        <f t="shared" si="135"/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1</v>
      </c>
      <c r="AY460">
        <v>0</v>
      </c>
      <c r="AZ460">
        <v>0</v>
      </c>
      <c r="BA460">
        <v>0</v>
      </c>
    </row>
    <row r="461" spans="1:53" x14ac:dyDescent="0.35">
      <c r="A461">
        <v>0.4130575410367584</v>
      </c>
      <c r="C461">
        <v>8.4328767123287669</v>
      </c>
      <c r="D461" s="137">
        <f t="shared" si="120"/>
        <v>0.92597575103898522</v>
      </c>
      <c r="E461">
        <v>0</v>
      </c>
      <c r="F461">
        <v>0.90308998699194354</v>
      </c>
      <c r="G461" s="45">
        <v>3.29</v>
      </c>
      <c r="H461" s="29">
        <f t="shared" si="121"/>
        <v>0.51719589794997434</v>
      </c>
      <c r="I461" s="9">
        <v>0</v>
      </c>
      <c r="J461" s="34">
        <v>0.14301480025409513</v>
      </c>
      <c r="K461">
        <v>8</v>
      </c>
      <c r="L461" s="137">
        <f t="shared" si="122"/>
        <v>0.90308998699194354</v>
      </c>
      <c r="M461">
        <f t="shared" si="119"/>
        <v>0</v>
      </c>
      <c r="N461">
        <v>70</v>
      </c>
      <c r="O461">
        <v>70</v>
      </c>
      <c r="P461">
        <v>85</v>
      </c>
      <c r="Q461" s="137">
        <f t="shared" si="123"/>
        <v>1.9294189257142926</v>
      </c>
      <c r="R461" s="34">
        <v>32.700000000000003</v>
      </c>
      <c r="S461" s="34">
        <f t="shared" si="124"/>
        <v>1.5145477526602862</v>
      </c>
      <c r="T461" s="42">
        <v>41.286751495766303</v>
      </c>
      <c r="U461" s="42">
        <f t="shared" si="125"/>
        <v>1.6158107132703448</v>
      </c>
      <c r="V461">
        <v>3.6410631547392063</v>
      </c>
      <c r="W461" s="14">
        <v>2</v>
      </c>
      <c r="X461">
        <v>3.7013464506591722</v>
      </c>
      <c r="Y461">
        <v>7.2636360685881085</v>
      </c>
      <c r="Z461" s="80">
        <v>0.40129040536338745</v>
      </c>
      <c r="AA461">
        <v>9</v>
      </c>
      <c r="AB461">
        <f t="shared" si="126"/>
        <v>0</v>
      </c>
      <c r="AC461">
        <f t="shared" si="127"/>
        <v>0</v>
      </c>
      <c r="AD461">
        <f t="shared" si="128"/>
        <v>0</v>
      </c>
      <c r="AE461">
        <f t="shared" si="129"/>
        <v>0</v>
      </c>
      <c r="AF461">
        <f t="shared" si="130"/>
        <v>0</v>
      </c>
      <c r="AG461">
        <f t="shared" si="131"/>
        <v>0</v>
      </c>
      <c r="AH461">
        <f t="shared" si="132"/>
        <v>0</v>
      </c>
      <c r="AI461">
        <f t="shared" si="133"/>
        <v>0</v>
      </c>
      <c r="AJ461">
        <f t="shared" si="134"/>
        <v>1</v>
      </c>
      <c r="AK461">
        <f t="shared" si="135"/>
        <v>0</v>
      </c>
      <c r="AL461">
        <v>0</v>
      </c>
      <c r="AM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</row>
    <row r="462" spans="1:53" x14ac:dyDescent="0.35">
      <c r="A462">
        <v>0.37471163866504298</v>
      </c>
      <c r="C462">
        <v>0.33424657534246577</v>
      </c>
      <c r="D462" s="137">
        <f t="shared" si="120"/>
        <v>-0.47593303378172647</v>
      </c>
      <c r="E462">
        <v>2.5075455505094206</v>
      </c>
      <c r="F462">
        <v>1</v>
      </c>
      <c r="G462" s="45">
        <v>2.91</v>
      </c>
      <c r="H462" s="29">
        <f t="shared" si="121"/>
        <v>0.46389298898590731</v>
      </c>
      <c r="I462" s="9">
        <v>2.6517624473801109</v>
      </c>
      <c r="J462" s="34">
        <v>-1.7728766960431602E-2</v>
      </c>
      <c r="K462">
        <v>7</v>
      </c>
      <c r="L462" s="137">
        <f t="shared" si="122"/>
        <v>0.84509804001425681</v>
      </c>
      <c r="M462">
        <f t="shared" si="119"/>
        <v>1</v>
      </c>
      <c r="N462">
        <v>90</v>
      </c>
      <c r="O462">
        <v>70</v>
      </c>
      <c r="P462">
        <v>70</v>
      </c>
      <c r="Q462" s="137">
        <f t="shared" si="123"/>
        <v>1.8450980400142569</v>
      </c>
      <c r="R462" s="34">
        <v>43.2</v>
      </c>
      <c r="S462" s="34">
        <f t="shared" si="124"/>
        <v>1.6354837468149122</v>
      </c>
      <c r="T462" s="42">
        <v>48.933014808972402</v>
      </c>
      <c r="U462" s="42">
        <f t="shared" si="125"/>
        <v>1.6896019738749151</v>
      </c>
      <c r="V462">
        <v>3.6410631547392063</v>
      </c>
      <c r="W462" s="14">
        <v>2</v>
      </c>
      <c r="X462">
        <v>3.7013464506591722</v>
      </c>
      <c r="Y462">
        <v>7.1132746924643504</v>
      </c>
      <c r="Z462" s="80">
        <v>-7.1331928579350112E-3</v>
      </c>
      <c r="AA462">
        <v>9</v>
      </c>
      <c r="AB462">
        <f t="shared" si="126"/>
        <v>0</v>
      </c>
      <c r="AC462">
        <f t="shared" si="127"/>
        <v>0</v>
      </c>
      <c r="AD462">
        <f t="shared" si="128"/>
        <v>0</v>
      </c>
      <c r="AE462">
        <f t="shared" si="129"/>
        <v>0</v>
      </c>
      <c r="AF462">
        <f t="shared" si="130"/>
        <v>0</v>
      </c>
      <c r="AG462">
        <f t="shared" si="131"/>
        <v>0</v>
      </c>
      <c r="AH462">
        <f t="shared" si="132"/>
        <v>0</v>
      </c>
      <c r="AI462">
        <f t="shared" si="133"/>
        <v>0</v>
      </c>
      <c r="AJ462">
        <f t="shared" si="134"/>
        <v>1</v>
      </c>
      <c r="AK462">
        <f t="shared" si="135"/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1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</row>
    <row r="463" spans="1:53" x14ac:dyDescent="0.35">
      <c r="A463">
        <v>0.4607308385314931</v>
      </c>
      <c r="C463">
        <v>2.3808219178082193</v>
      </c>
      <c r="D463" s="137">
        <f t="shared" si="120"/>
        <v>0.37672691199219177</v>
      </c>
      <c r="E463">
        <v>3.7707754512906644</v>
      </c>
      <c r="F463">
        <v>0.47712125471966244</v>
      </c>
      <c r="G463" s="45">
        <v>2.3199999999999998</v>
      </c>
      <c r="H463" s="29">
        <f t="shared" si="121"/>
        <v>0.36548798489089962</v>
      </c>
      <c r="I463" s="9">
        <v>2.1238516409670858</v>
      </c>
      <c r="J463" s="34">
        <v>8.9905111439397931E-2</v>
      </c>
      <c r="K463">
        <v>6</v>
      </c>
      <c r="L463" s="137">
        <f t="shared" si="122"/>
        <v>0.77815125038364363</v>
      </c>
      <c r="M463">
        <f t="shared" si="119"/>
        <v>1</v>
      </c>
      <c r="N463">
        <v>70</v>
      </c>
      <c r="O463">
        <v>70</v>
      </c>
      <c r="P463">
        <v>85</v>
      </c>
      <c r="Q463" s="137">
        <f t="shared" si="123"/>
        <v>1.9294189257142926</v>
      </c>
      <c r="R463" s="34">
        <v>24.4</v>
      </c>
      <c r="S463" s="34">
        <f t="shared" si="124"/>
        <v>1.3873898263387294</v>
      </c>
      <c r="T463" s="42">
        <v>37.256914365427299</v>
      </c>
      <c r="U463" s="42">
        <f t="shared" si="125"/>
        <v>1.5712068835833228</v>
      </c>
      <c r="V463">
        <v>3.6410631547392063</v>
      </c>
      <c r="W463" s="14">
        <v>2</v>
      </c>
      <c r="X463">
        <v>3.7013464506591722</v>
      </c>
      <c r="Y463">
        <v>7.1303337684950066</v>
      </c>
      <c r="Z463" s="80">
        <v>0.44167934953998889</v>
      </c>
      <c r="AA463">
        <v>9</v>
      </c>
      <c r="AB463">
        <f t="shared" si="126"/>
        <v>0</v>
      </c>
      <c r="AC463">
        <f t="shared" si="127"/>
        <v>0</v>
      </c>
      <c r="AD463">
        <f t="shared" si="128"/>
        <v>0</v>
      </c>
      <c r="AE463">
        <f t="shared" si="129"/>
        <v>0</v>
      </c>
      <c r="AF463">
        <f t="shared" si="130"/>
        <v>0</v>
      </c>
      <c r="AG463">
        <f t="shared" si="131"/>
        <v>0</v>
      </c>
      <c r="AH463">
        <f t="shared" si="132"/>
        <v>0</v>
      </c>
      <c r="AI463">
        <f t="shared" si="133"/>
        <v>0</v>
      </c>
      <c r="AJ463">
        <f t="shared" si="134"/>
        <v>1</v>
      </c>
      <c r="AK463">
        <f t="shared" si="135"/>
        <v>0</v>
      </c>
      <c r="AL463">
        <v>1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</row>
    <row r="464" spans="1:53" x14ac:dyDescent="0.35">
      <c r="A464">
        <v>0.31138296353143335</v>
      </c>
      <c r="C464">
        <v>4.2547945205479456</v>
      </c>
      <c r="D464" s="137">
        <f t="shared" si="120"/>
        <v>0.6288785912720839</v>
      </c>
      <c r="E464">
        <v>3.8335760926148099</v>
      </c>
      <c r="F464">
        <v>1.8512583487190752</v>
      </c>
      <c r="G464" s="45">
        <v>2.85</v>
      </c>
      <c r="H464" s="29">
        <f t="shared" si="121"/>
        <v>0.45484486000851021</v>
      </c>
      <c r="I464" s="9">
        <v>2.9138138523837167</v>
      </c>
      <c r="J464" s="34">
        <v>0.18469143081759881</v>
      </c>
      <c r="K464">
        <v>29</v>
      </c>
      <c r="L464" s="137">
        <f t="shared" si="122"/>
        <v>1.4623979978989561</v>
      </c>
      <c r="M464">
        <f t="shared" si="119"/>
        <v>1</v>
      </c>
      <c r="N464">
        <v>70</v>
      </c>
      <c r="O464">
        <v>70</v>
      </c>
      <c r="P464">
        <v>92.1</v>
      </c>
      <c r="Q464" s="137">
        <f t="shared" si="123"/>
        <v>1.9642596301968489</v>
      </c>
      <c r="R464" s="34">
        <v>36.799999999999997</v>
      </c>
      <c r="S464" s="34">
        <f t="shared" si="124"/>
        <v>1.5658478186735176</v>
      </c>
      <c r="T464" s="42">
        <v>44.688349184782602</v>
      </c>
      <c r="U464" s="42">
        <f t="shared" si="125"/>
        <v>1.6501943118503011</v>
      </c>
      <c r="V464">
        <v>3.20911860699078</v>
      </c>
      <c r="W464" s="14">
        <v>2</v>
      </c>
      <c r="X464">
        <v>3.5849986651910224</v>
      </c>
      <c r="Y464">
        <v>8.6020599913279625</v>
      </c>
      <c r="Z464" s="80">
        <v>0.16525335772859084</v>
      </c>
      <c r="AA464">
        <v>5</v>
      </c>
      <c r="AB464">
        <f t="shared" si="126"/>
        <v>0</v>
      </c>
      <c r="AC464">
        <f t="shared" si="127"/>
        <v>0</v>
      </c>
      <c r="AD464">
        <f t="shared" si="128"/>
        <v>0</v>
      </c>
      <c r="AE464">
        <f t="shared" si="129"/>
        <v>0</v>
      </c>
      <c r="AF464">
        <f t="shared" si="130"/>
        <v>1</v>
      </c>
      <c r="AG464">
        <f t="shared" si="131"/>
        <v>0</v>
      </c>
      <c r="AH464">
        <f t="shared" si="132"/>
        <v>0</v>
      </c>
      <c r="AI464">
        <f t="shared" si="133"/>
        <v>0</v>
      </c>
      <c r="AJ464">
        <f t="shared" si="134"/>
        <v>0</v>
      </c>
      <c r="AK464">
        <f t="shared" si="135"/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1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</row>
    <row r="465" spans="1:53" x14ac:dyDescent="0.35">
      <c r="A465">
        <v>-3.6684488613888719E-2</v>
      </c>
      <c r="C465">
        <v>2.6547945205479451</v>
      </c>
      <c r="D465" s="137">
        <f t="shared" si="120"/>
        <v>0.4240309125942906</v>
      </c>
      <c r="E465">
        <v>3.8335760926148099</v>
      </c>
      <c r="F465">
        <v>1.4771212547196624</v>
      </c>
      <c r="G465" s="45">
        <v>2.85</v>
      </c>
      <c r="H465" s="29">
        <f t="shared" si="121"/>
        <v>0.45484486000851021</v>
      </c>
      <c r="I465" s="9">
        <v>2.9138138523837167</v>
      </c>
      <c r="J465" s="34">
        <v>-9.6910013008056392E-2</v>
      </c>
      <c r="K465">
        <v>23</v>
      </c>
      <c r="L465" s="137">
        <f t="shared" si="122"/>
        <v>1.3617278360175928</v>
      </c>
      <c r="M465">
        <f t="shared" si="119"/>
        <v>1</v>
      </c>
      <c r="N465">
        <v>70</v>
      </c>
      <c r="O465">
        <v>70</v>
      </c>
      <c r="P465">
        <v>88.9</v>
      </c>
      <c r="Q465" s="137">
        <f t="shared" si="123"/>
        <v>1.9489017609702137</v>
      </c>
      <c r="R465" s="34">
        <v>34.9</v>
      </c>
      <c r="S465" s="34">
        <f t="shared" si="124"/>
        <v>1.5428254269591799</v>
      </c>
      <c r="T465" s="42">
        <v>42.817370475444001</v>
      </c>
      <c r="U465" s="42">
        <f t="shared" si="125"/>
        <v>1.6316199926391717</v>
      </c>
      <c r="V465">
        <v>3.20911860699078</v>
      </c>
      <c r="W465" s="14">
        <v>2</v>
      </c>
      <c r="X465">
        <v>3.5849986651910224</v>
      </c>
      <c r="Y465">
        <v>9</v>
      </c>
      <c r="Z465" s="80">
        <v>-0.10531528162166204</v>
      </c>
      <c r="AA465">
        <v>1</v>
      </c>
      <c r="AB465">
        <f t="shared" si="126"/>
        <v>1</v>
      </c>
      <c r="AC465">
        <f t="shared" si="127"/>
        <v>0</v>
      </c>
      <c r="AD465">
        <f t="shared" si="128"/>
        <v>0</v>
      </c>
      <c r="AE465">
        <f t="shared" si="129"/>
        <v>0</v>
      </c>
      <c r="AF465">
        <f t="shared" si="130"/>
        <v>0</v>
      </c>
      <c r="AG465">
        <f t="shared" si="131"/>
        <v>0</v>
      </c>
      <c r="AH465">
        <f t="shared" si="132"/>
        <v>0</v>
      </c>
      <c r="AI465">
        <f t="shared" si="133"/>
        <v>0</v>
      </c>
      <c r="AJ465">
        <f t="shared" si="134"/>
        <v>0</v>
      </c>
      <c r="AK465">
        <f t="shared" si="135"/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1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</row>
    <row r="466" spans="1:53" x14ac:dyDescent="0.35">
      <c r="A466">
        <v>0.29196006238313771</v>
      </c>
      <c r="C466">
        <v>2.7260273972602738</v>
      </c>
      <c r="D466" s="137">
        <f t="shared" si="120"/>
        <v>0.4355302162892507</v>
      </c>
      <c r="E466">
        <v>3.8335760926148099</v>
      </c>
      <c r="F466">
        <v>1.3424226808222062</v>
      </c>
      <c r="G466" s="45">
        <v>2.85</v>
      </c>
      <c r="H466" s="29">
        <f t="shared" si="121"/>
        <v>0.45484486000851021</v>
      </c>
      <c r="I466" s="9">
        <v>2.9138138523837167</v>
      </c>
      <c r="J466" s="34">
        <v>0.12057393120584989</v>
      </c>
      <c r="K466">
        <v>18</v>
      </c>
      <c r="L466" s="137">
        <f t="shared" si="122"/>
        <v>1.255272505103306</v>
      </c>
      <c r="M466">
        <f t="shared" si="119"/>
        <v>1</v>
      </c>
      <c r="N466">
        <v>70</v>
      </c>
      <c r="O466">
        <v>70</v>
      </c>
      <c r="P466">
        <v>70</v>
      </c>
      <c r="Q466" s="137">
        <f t="shared" si="123"/>
        <v>1.8450980400142569</v>
      </c>
      <c r="R466" s="34">
        <v>34.4</v>
      </c>
      <c r="S466" s="34">
        <f t="shared" si="124"/>
        <v>1.5365584425715302</v>
      </c>
      <c r="T466" s="42">
        <v>47.264053157349203</v>
      </c>
      <c r="U466" s="42">
        <f t="shared" si="125"/>
        <v>1.6745309620782511</v>
      </c>
      <c r="V466">
        <v>3.20911860699078</v>
      </c>
      <c r="W466" s="14">
        <v>2</v>
      </c>
      <c r="X466">
        <v>3.5849986651910224</v>
      </c>
      <c r="Y466">
        <v>7.7986506454452691</v>
      </c>
      <c r="Z466" s="80">
        <v>0.25698760079943517</v>
      </c>
      <c r="AA466">
        <v>5</v>
      </c>
      <c r="AB466">
        <f t="shared" si="126"/>
        <v>0</v>
      </c>
      <c r="AC466">
        <f t="shared" si="127"/>
        <v>0</v>
      </c>
      <c r="AD466">
        <f t="shared" si="128"/>
        <v>0</v>
      </c>
      <c r="AE466">
        <f t="shared" si="129"/>
        <v>0</v>
      </c>
      <c r="AF466">
        <f t="shared" si="130"/>
        <v>1</v>
      </c>
      <c r="AG466">
        <f t="shared" si="131"/>
        <v>0</v>
      </c>
      <c r="AH466">
        <f t="shared" si="132"/>
        <v>0</v>
      </c>
      <c r="AI466">
        <f t="shared" si="133"/>
        <v>0</v>
      </c>
      <c r="AJ466">
        <f t="shared" si="134"/>
        <v>0</v>
      </c>
      <c r="AK466">
        <f t="shared" si="135"/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1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</row>
    <row r="467" spans="1:53" x14ac:dyDescent="0.35">
      <c r="A467">
        <v>0.20114482427160621</v>
      </c>
      <c r="C467">
        <v>1.9369863013698629</v>
      </c>
      <c r="D467" s="137">
        <f t="shared" si="120"/>
        <v>0.2871265493404247</v>
      </c>
      <c r="E467">
        <v>3.7947040944998616</v>
      </c>
      <c r="F467">
        <v>2.173186268412274</v>
      </c>
      <c r="G467" s="45">
        <v>2.93</v>
      </c>
      <c r="H467" s="29">
        <f t="shared" si="121"/>
        <v>0.4668676203541095</v>
      </c>
      <c r="I467" s="9">
        <v>2.7962273140294389</v>
      </c>
      <c r="J467" s="34">
        <v>6.069784035361165E-2</v>
      </c>
      <c r="K467">
        <v>29</v>
      </c>
      <c r="L467" s="137">
        <f t="shared" si="122"/>
        <v>1.4623979978989561</v>
      </c>
      <c r="M467">
        <f t="shared" si="119"/>
        <v>1</v>
      </c>
      <c r="N467">
        <v>70</v>
      </c>
      <c r="O467">
        <v>50</v>
      </c>
      <c r="P467">
        <v>92.6</v>
      </c>
      <c r="Q467" s="137">
        <f t="shared" si="123"/>
        <v>1.9666109866819343</v>
      </c>
      <c r="R467" s="34">
        <v>39.9</v>
      </c>
      <c r="S467" s="34">
        <f t="shared" si="124"/>
        <v>1.6009728956867482</v>
      </c>
      <c r="T467" s="42">
        <v>43.966315241865303</v>
      </c>
      <c r="U467" s="42">
        <f t="shared" si="125"/>
        <v>1.6431200695045953</v>
      </c>
      <c r="V467">
        <v>3.20911860699078</v>
      </c>
      <c r="W467" s="14">
        <v>2</v>
      </c>
      <c r="X467">
        <v>3.5849986651910224</v>
      </c>
      <c r="Y467">
        <v>8.9291889442233998</v>
      </c>
      <c r="Z467" s="80">
        <v>-3.0202659207520188E-2</v>
      </c>
      <c r="AA467">
        <v>7</v>
      </c>
      <c r="AB467">
        <f t="shared" si="126"/>
        <v>0</v>
      </c>
      <c r="AC467">
        <f t="shared" si="127"/>
        <v>0</v>
      </c>
      <c r="AD467">
        <f t="shared" si="128"/>
        <v>0</v>
      </c>
      <c r="AE467">
        <f t="shared" si="129"/>
        <v>0</v>
      </c>
      <c r="AF467">
        <f t="shared" si="130"/>
        <v>0</v>
      </c>
      <c r="AG467">
        <f t="shared" si="131"/>
        <v>0</v>
      </c>
      <c r="AH467">
        <f t="shared" si="132"/>
        <v>1</v>
      </c>
      <c r="AI467">
        <f t="shared" si="133"/>
        <v>0</v>
      </c>
      <c r="AJ467">
        <f t="shared" si="134"/>
        <v>0</v>
      </c>
      <c r="AK467">
        <f t="shared" si="135"/>
        <v>0</v>
      </c>
      <c r="AL467">
        <v>0</v>
      </c>
      <c r="AM467">
        <v>0</v>
      </c>
      <c r="AN467">
        <v>1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</row>
    <row r="468" spans="1:53" x14ac:dyDescent="0.35">
      <c r="A468">
        <v>0.11778629856151522</v>
      </c>
      <c r="C468">
        <v>5.2712328767123289</v>
      </c>
      <c r="D468" s="137">
        <f t="shared" si="120"/>
        <v>0.72191220324531946</v>
      </c>
      <c r="E468">
        <v>3.7916829312790057</v>
      </c>
      <c r="F468">
        <v>1.2041199826559248</v>
      </c>
      <c r="G468" s="45">
        <v>2.72</v>
      </c>
      <c r="H468" s="29">
        <f t="shared" si="121"/>
        <v>0.43456890403419873</v>
      </c>
      <c r="I468" s="9">
        <v>3.0355631414974997</v>
      </c>
      <c r="J468" s="34">
        <v>0.21748394421390627</v>
      </c>
      <c r="K468">
        <v>26</v>
      </c>
      <c r="L468" s="137">
        <f t="shared" si="122"/>
        <v>1.414973347970818</v>
      </c>
      <c r="M468">
        <f t="shared" si="119"/>
        <v>1</v>
      </c>
      <c r="N468">
        <v>70</v>
      </c>
      <c r="O468">
        <v>90</v>
      </c>
      <c r="P468">
        <v>82.6</v>
      </c>
      <c r="Q468" s="137">
        <f t="shared" si="123"/>
        <v>1.9169800473203822</v>
      </c>
      <c r="R468" s="34">
        <v>35.700000000000003</v>
      </c>
      <c r="S468" s="34">
        <f t="shared" si="124"/>
        <v>1.5526682161121932</v>
      </c>
      <c r="T468" s="42">
        <v>47.863614247473699</v>
      </c>
      <c r="U468" s="42">
        <f t="shared" si="125"/>
        <v>1.6800054896904866</v>
      </c>
      <c r="V468">
        <v>3.20911860699078</v>
      </c>
      <c r="W468" s="14">
        <v>2</v>
      </c>
      <c r="X468">
        <v>3.5849986651910224</v>
      </c>
      <c r="Y468">
        <v>8.8129133566428557</v>
      </c>
      <c r="Z468" s="80">
        <v>0.10514723779438206</v>
      </c>
      <c r="AA468">
        <v>8</v>
      </c>
      <c r="AB468">
        <f t="shared" si="126"/>
        <v>0</v>
      </c>
      <c r="AC468">
        <f t="shared" si="127"/>
        <v>0</v>
      </c>
      <c r="AD468">
        <f t="shared" si="128"/>
        <v>0</v>
      </c>
      <c r="AE468">
        <f t="shared" si="129"/>
        <v>0</v>
      </c>
      <c r="AF468">
        <f t="shared" si="130"/>
        <v>0</v>
      </c>
      <c r="AG468">
        <f t="shared" si="131"/>
        <v>0</v>
      </c>
      <c r="AH468">
        <f t="shared" si="132"/>
        <v>0</v>
      </c>
      <c r="AI468">
        <f t="shared" si="133"/>
        <v>1</v>
      </c>
      <c r="AJ468">
        <f t="shared" si="134"/>
        <v>0</v>
      </c>
      <c r="AK468">
        <f t="shared" si="135"/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1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</row>
    <row r="469" spans="1:53" x14ac:dyDescent="0.35">
      <c r="A469">
        <v>0.34242268082220628</v>
      </c>
      <c r="C469">
        <v>4.8301369863013699</v>
      </c>
      <c r="D469" s="137">
        <f t="shared" si="120"/>
        <v>0.68395944784284735</v>
      </c>
      <c r="E469">
        <v>3.7916829312790057</v>
      </c>
      <c r="F469">
        <v>1.919078092376074</v>
      </c>
      <c r="G469" s="45">
        <v>2.72</v>
      </c>
      <c r="H469" s="29">
        <f t="shared" si="121"/>
        <v>0.43456890403419873</v>
      </c>
      <c r="I469" s="9">
        <v>3.0355631414974997</v>
      </c>
      <c r="J469" s="34">
        <v>0.24551266781414982</v>
      </c>
      <c r="K469">
        <v>19</v>
      </c>
      <c r="L469" s="137">
        <f t="shared" si="122"/>
        <v>1.2787536009528289</v>
      </c>
      <c r="M469">
        <f t="shared" si="119"/>
        <v>1</v>
      </c>
      <c r="N469">
        <v>95</v>
      </c>
      <c r="O469">
        <v>80</v>
      </c>
      <c r="P469">
        <v>70</v>
      </c>
      <c r="Q469" s="137">
        <f t="shared" si="123"/>
        <v>1.8450980400142569</v>
      </c>
      <c r="R469" s="34">
        <v>34.799999999999997</v>
      </c>
      <c r="S469" s="34">
        <f t="shared" si="124"/>
        <v>1.541579243946581</v>
      </c>
      <c r="T469" s="42">
        <v>44.539498059710198</v>
      </c>
      <c r="U469" s="42">
        <f t="shared" si="125"/>
        <v>1.6487453184203718</v>
      </c>
      <c r="V469">
        <v>3.20911860699078</v>
      </c>
      <c r="W469" s="14">
        <v>2</v>
      </c>
      <c r="X469">
        <v>3.5849986651910224</v>
      </c>
      <c r="Y469">
        <v>9</v>
      </c>
      <c r="Z469" s="80">
        <v>0.9032990219839756</v>
      </c>
      <c r="AA469">
        <v>8</v>
      </c>
      <c r="AB469">
        <f t="shared" si="126"/>
        <v>0</v>
      </c>
      <c r="AC469">
        <f t="shared" si="127"/>
        <v>0</v>
      </c>
      <c r="AD469">
        <f t="shared" si="128"/>
        <v>0</v>
      </c>
      <c r="AE469">
        <f t="shared" si="129"/>
        <v>0</v>
      </c>
      <c r="AF469">
        <f t="shared" si="130"/>
        <v>0</v>
      </c>
      <c r="AG469">
        <f t="shared" si="131"/>
        <v>0</v>
      </c>
      <c r="AH469">
        <f t="shared" si="132"/>
        <v>0</v>
      </c>
      <c r="AI469">
        <f t="shared" si="133"/>
        <v>1</v>
      </c>
      <c r="AJ469">
        <f t="shared" si="134"/>
        <v>0</v>
      </c>
      <c r="AK469">
        <f t="shared" si="135"/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1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</row>
    <row r="470" spans="1:53" x14ac:dyDescent="0.35">
      <c r="A470">
        <v>-0.45526052387525323</v>
      </c>
      <c r="C470">
        <v>6.1698630136986301</v>
      </c>
      <c r="D470" s="137">
        <f t="shared" si="120"/>
        <v>0.79027552172283388</v>
      </c>
      <c r="E470">
        <v>3.7358167906061537</v>
      </c>
      <c r="F470">
        <v>1.4623979978989561</v>
      </c>
      <c r="G470" s="45">
        <v>2.91</v>
      </c>
      <c r="H470" s="29">
        <f t="shared" si="121"/>
        <v>0.46389298898590731</v>
      </c>
      <c r="I470" s="9">
        <v>2.103233406386928</v>
      </c>
      <c r="J470" s="34">
        <v>4.5322978786657475E-2</v>
      </c>
      <c r="K470">
        <v>21</v>
      </c>
      <c r="L470" s="137">
        <f t="shared" si="122"/>
        <v>1.3222192947339193</v>
      </c>
      <c r="M470">
        <f t="shared" si="119"/>
        <v>1</v>
      </c>
      <c r="N470">
        <v>70</v>
      </c>
      <c r="O470">
        <v>70</v>
      </c>
      <c r="P470">
        <v>85</v>
      </c>
      <c r="Q470" s="137">
        <f t="shared" si="123"/>
        <v>1.9294189257142926</v>
      </c>
      <c r="R470" s="34">
        <v>29.4</v>
      </c>
      <c r="S470" s="34">
        <f t="shared" si="124"/>
        <v>1.4683473304121573</v>
      </c>
      <c r="T470" s="42">
        <v>33.3433362985758</v>
      </c>
      <c r="U470" s="42">
        <f t="shared" si="125"/>
        <v>1.5230090527076294</v>
      </c>
      <c r="V470">
        <v>3.20911860699078</v>
      </c>
      <c r="W470" s="14">
        <v>2</v>
      </c>
      <c r="X470">
        <v>3.5849986651910224</v>
      </c>
      <c r="Y470">
        <v>9.4664078846510513</v>
      </c>
      <c r="Z470" s="80">
        <v>0.28995031515896308</v>
      </c>
      <c r="AA470">
        <v>2</v>
      </c>
      <c r="AB470">
        <f t="shared" si="126"/>
        <v>0</v>
      </c>
      <c r="AC470">
        <f t="shared" si="127"/>
        <v>1</v>
      </c>
      <c r="AD470">
        <f t="shared" si="128"/>
        <v>0</v>
      </c>
      <c r="AE470">
        <f t="shared" si="129"/>
        <v>0</v>
      </c>
      <c r="AF470">
        <f t="shared" si="130"/>
        <v>0</v>
      </c>
      <c r="AG470">
        <f t="shared" si="131"/>
        <v>0</v>
      </c>
      <c r="AH470">
        <f t="shared" si="132"/>
        <v>0</v>
      </c>
      <c r="AI470">
        <f t="shared" si="133"/>
        <v>0</v>
      </c>
      <c r="AJ470">
        <f t="shared" si="134"/>
        <v>0</v>
      </c>
      <c r="AK470">
        <f t="shared" si="135"/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1</v>
      </c>
      <c r="BA470">
        <v>0</v>
      </c>
    </row>
    <row r="471" spans="1:53" x14ac:dyDescent="0.35">
      <c r="A471">
        <v>0.55208601636612376</v>
      </c>
      <c r="C471">
        <v>2.8356164383561642</v>
      </c>
      <c r="D471" s="137">
        <f t="shared" si="120"/>
        <v>0.45264748533646182</v>
      </c>
      <c r="E471">
        <v>3.7707754512906644</v>
      </c>
      <c r="F471">
        <v>1.7781512503836436</v>
      </c>
      <c r="G471" s="45">
        <v>2.3199999999999998</v>
      </c>
      <c r="H471" s="29">
        <f t="shared" si="121"/>
        <v>0.36548798489089962</v>
      </c>
      <c r="I471" s="9">
        <v>2.1238516409670858</v>
      </c>
      <c r="J471" s="34">
        <v>8.2785370316450071E-2</v>
      </c>
      <c r="K471">
        <v>29</v>
      </c>
      <c r="L471" s="137">
        <f t="shared" si="122"/>
        <v>1.4623979978989561</v>
      </c>
      <c r="M471">
        <f t="shared" si="119"/>
        <v>1</v>
      </c>
      <c r="N471">
        <v>70</v>
      </c>
      <c r="O471">
        <v>70</v>
      </c>
      <c r="P471">
        <v>94.1</v>
      </c>
      <c r="Q471" s="137">
        <f t="shared" si="123"/>
        <v>1.973589623427257</v>
      </c>
      <c r="R471" s="34">
        <v>32.200000000000003</v>
      </c>
      <c r="S471" s="34">
        <f t="shared" si="124"/>
        <v>1.507855871695831</v>
      </c>
      <c r="T471" s="42">
        <v>43.9397801796012</v>
      </c>
      <c r="U471" s="42">
        <f t="shared" si="125"/>
        <v>1.6428578799166489</v>
      </c>
      <c r="V471">
        <v>3.20911860699078</v>
      </c>
      <c r="W471" s="14">
        <v>2</v>
      </c>
      <c r="X471">
        <v>3.5849986651910224</v>
      </c>
      <c r="Y471">
        <v>8.3617278360175931</v>
      </c>
      <c r="Z471" s="80">
        <v>-3.9916510087930401E-2</v>
      </c>
      <c r="AA471">
        <v>2</v>
      </c>
      <c r="AB471">
        <f t="shared" si="126"/>
        <v>0</v>
      </c>
      <c r="AC471">
        <f t="shared" si="127"/>
        <v>1</v>
      </c>
      <c r="AD471">
        <f t="shared" si="128"/>
        <v>0</v>
      </c>
      <c r="AE471">
        <f t="shared" si="129"/>
        <v>0</v>
      </c>
      <c r="AF471">
        <f t="shared" si="130"/>
        <v>0</v>
      </c>
      <c r="AG471">
        <f t="shared" si="131"/>
        <v>0</v>
      </c>
      <c r="AH471">
        <f t="shared" si="132"/>
        <v>0</v>
      </c>
      <c r="AI471">
        <f t="shared" si="133"/>
        <v>0</v>
      </c>
      <c r="AJ471">
        <f t="shared" si="134"/>
        <v>0</v>
      </c>
      <c r="AK471">
        <f t="shared" si="135"/>
        <v>0</v>
      </c>
      <c r="AL471">
        <v>0</v>
      </c>
      <c r="AM471">
        <v>1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</row>
    <row r="472" spans="1:53" x14ac:dyDescent="0.35">
      <c r="A472">
        <v>0.22622304257923964</v>
      </c>
      <c r="C472">
        <v>8.8520547945205479</v>
      </c>
      <c r="D472" s="137">
        <f t="shared" si="120"/>
        <v>0.94704409356116936</v>
      </c>
      <c r="E472">
        <v>3.7707754512906644</v>
      </c>
      <c r="F472">
        <v>1.6989700043360187</v>
      </c>
      <c r="G472" s="45">
        <v>2.3199999999999998</v>
      </c>
      <c r="H472" s="29">
        <f t="shared" si="121"/>
        <v>0.36548798489089962</v>
      </c>
      <c r="I472" s="9">
        <v>2.1238516409670858</v>
      </c>
      <c r="J472" s="34">
        <v>0.15228834438305647</v>
      </c>
      <c r="K472">
        <v>23</v>
      </c>
      <c r="L472" s="137">
        <f t="shared" si="122"/>
        <v>1.3617278360175928</v>
      </c>
      <c r="M472">
        <f t="shared" si="119"/>
        <v>1</v>
      </c>
      <c r="N472">
        <v>70</v>
      </c>
      <c r="O472">
        <v>70</v>
      </c>
      <c r="P472">
        <v>91.2</v>
      </c>
      <c r="Q472" s="137">
        <f t="shared" si="123"/>
        <v>1.9599948383284163</v>
      </c>
      <c r="R472" s="34">
        <v>33</v>
      </c>
      <c r="S472" s="34">
        <f t="shared" si="124"/>
        <v>1.5185139398778875</v>
      </c>
      <c r="T472" s="42">
        <v>40.902544500539101</v>
      </c>
      <c r="U472" s="42">
        <f t="shared" si="125"/>
        <v>1.6117503258110162</v>
      </c>
      <c r="V472">
        <v>3.20911860699078</v>
      </c>
      <c r="W472" s="14">
        <v>2</v>
      </c>
      <c r="X472">
        <v>3.5849986651910224</v>
      </c>
      <c r="Y472">
        <v>9.1139433523068369</v>
      </c>
      <c r="Z472" s="80">
        <v>7.7977374916301079E-2</v>
      </c>
      <c r="AA472">
        <v>5</v>
      </c>
      <c r="AB472">
        <f t="shared" si="126"/>
        <v>0</v>
      </c>
      <c r="AC472">
        <f t="shared" si="127"/>
        <v>0</v>
      </c>
      <c r="AD472">
        <f t="shared" si="128"/>
        <v>0</v>
      </c>
      <c r="AE472">
        <f t="shared" si="129"/>
        <v>0</v>
      </c>
      <c r="AF472">
        <f t="shared" si="130"/>
        <v>1</v>
      </c>
      <c r="AG472">
        <f t="shared" si="131"/>
        <v>0</v>
      </c>
      <c r="AH472">
        <f t="shared" si="132"/>
        <v>0</v>
      </c>
      <c r="AI472">
        <f t="shared" si="133"/>
        <v>0</v>
      </c>
      <c r="AJ472">
        <f t="shared" si="134"/>
        <v>0</v>
      </c>
      <c r="AK472">
        <f t="shared" si="135"/>
        <v>0</v>
      </c>
      <c r="AL472">
        <v>0</v>
      </c>
      <c r="AM472">
        <v>1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</row>
    <row r="473" spans="1:53" x14ac:dyDescent="0.35">
      <c r="A473">
        <v>7.9181246047624818E-2</v>
      </c>
      <c r="C473">
        <v>8.0493150684931507</v>
      </c>
      <c r="D473" s="137">
        <f t="shared" si="120"/>
        <v>0.90575892699776295</v>
      </c>
      <c r="E473">
        <v>3.7899753459779522</v>
      </c>
      <c r="F473">
        <v>0</v>
      </c>
      <c r="G473" s="45">
        <v>3.18</v>
      </c>
      <c r="H473" s="29">
        <f t="shared" si="121"/>
        <v>0.50242711998443268</v>
      </c>
      <c r="I473" s="9">
        <v>2.7670321178317625</v>
      </c>
      <c r="J473" s="34">
        <v>0.14921911265537988</v>
      </c>
      <c r="K473">
        <v>19</v>
      </c>
      <c r="L473" s="137">
        <f t="shared" si="122"/>
        <v>1.2787536009528289</v>
      </c>
      <c r="M473">
        <f t="shared" si="119"/>
        <v>1</v>
      </c>
      <c r="N473">
        <v>85</v>
      </c>
      <c r="O473">
        <v>80</v>
      </c>
      <c r="P473">
        <v>70</v>
      </c>
      <c r="Q473" s="137">
        <f t="shared" si="123"/>
        <v>1.8450980400142569</v>
      </c>
      <c r="R473" s="34">
        <v>42.2</v>
      </c>
      <c r="S473" s="34">
        <f t="shared" si="124"/>
        <v>1.6253124509616739</v>
      </c>
      <c r="T473" s="42">
        <v>53.270504198897903</v>
      </c>
      <c r="U473" s="42">
        <f t="shared" si="125"/>
        <v>1.7264868073491786</v>
      </c>
      <c r="V473">
        <v>3.20911860699078</v>
      </c>
      <c r="W473" s="14">
        <v>2</v>
      </c>
      <c r="X473">
        <v>3.5849986651910224</v>
      </c>
      <c r="Y473">
        <v>8.3010299956639813</v>
      </c>
      <c r="Z473" s="80">
        <v>0.60997247641198027</v>
      </c>
      <c r="AA473">
        <v>8</v>
      </c>
      <c r="AB473">
        <f t="shared" si="126"/>
        <v>0</v>
      </c>
      <c r="AC473">
        <f t="shared" si="127"/>
        <v>0</v>
      </c>
      <c r="AD473">
        <f t="shared" si="128"/>
        <v>0</v>
      </c>
      <c r="AE473">
        <f t="shared" si="129"/>
        <v>0</v>
      </c>
      <c r="AF473">
        <f t="shared" si="130"/>
        <v>0</v>
      </c>
      <c r="AG473">
        <f t="shared" si="131"/>
        <v>0</v>
      </c>
      <c r="AH473">
        <f t="shared" si="132"/>
        <v>0</v>
      </c>
      <c r="AI473">
        <f t="shared" si="133"/>
        <v>1</v>
      </c>
      <c r="AJ473">
        <f t="shared" si="134"/>
        <v>0</v>
      </c>
      <c r="AK473">
        <f t="shared" si="135"/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</row>
    <row r="474" spans="1:53" x14ac:dyDescent="0.35">
      <c r="A474">
        <v>0.28851248880774655</v>
      </c>
      <c r="C474">
        <v>4.183561643835616</v>
      </c>
      <c r="D474" s="137">
        <f t="shared" si="120"/>
        <v>0.62154617259994649</v>
      </c>
      <c r="E474">
        <v>3.8584156743566731</v>
      </c>
      <c r="F474">
        <v>1.5440680443502757</v>
      </c>
      <c r="G474" s="45">
        <v>2.66</v>
      </c>
      <c r="H474" s="29">
        <f t="shared" si="121"/>
        <v>0.42488163663106698</v>
      </c>
      <c r="I474" s="9">
        <v>2.8134697878296753</v>
      </c>
      <c r="J474" s="34">
        <v>0.24054924828259971</v>
      </c>
      <c r="K474">
        <v>24</v>
      </c>
      <c r="L474" s="137">
        <f t="shared" si="122"/>
        <v>1.3802112417116059</v>
      </c>
      <c r="M474">
        <f t="shared" si="119"/>
        <v>1</v>
      </c>
      <c r="N474">
        <v>90</v>
      </c>
      <c r="O474">
        <v>70</v>
      </c>
      <c r="P474">
        <v>77</v>
      </c>
      <c r="Q474" s="137">
        <f t="shared" si="123"/>
        <v>1.8864907251724818</v>
      </c>
      <c r="R474" s="34">
        <v>41.72</v>
      </c>
      <c r="S474" s="34">
        <f t="shared" si="124"/>
        <v>1.6203442997544932</v>
      </c>
      <c r="T474" s="42">
        <v>47.830384300274197</v>
      </c>
      <c r="U474" s="42">
        <f t="shared" si="125"/>
        <v>1.6797038702890243</v>
      </c>
      <c r="V474">
        <v>3.20911860699078</v>
      </c>
      <c r="W474" s="14">
        <v>2</v>
      </c>
      <c r="X474">
        <v>3.5849986651910224</v>
      </c>
      <c r="Y474">
        <v>8.7283537820212285</v>
      </c>
      <c r="Z474" s="80">
        <v>0.57737559485070444</v>
      </c>
      <c r="AA474">
        <v>4</v>
      </c>
      <c r="AB474">
        <f t="shared" si="126"/>
        <v>0</v>
      </c>
      <c r="AC474">
        <f t="shared" si="127"/>
        <v>0</v>
      </c>
      <c r="AD474">
        <f t="shared" si="128"/>
        <v>0</v>
      </c>
      <c r="AE474">
        <f t="shared" si="129"/>
        <v>1</v>
      </c>
      <c r="AF474">
        <f t="shared" si="130"/>
        <v>0</v>
      </c>
      <c r="AG474">
        <f t="shared" si="131"/>
        <v>0</v>
      </c>
      <c r="AH474">
        <f t="shared" si="132"/>
        <v>0</v>
      </c>
      <c r="AI474">
        <f t="shared" si="133"/>
        <v>0</v>
      </c>
      <c r="AJ474">
        <f t="shared" si="134"/>
        <v>0</v>
      </c>
      <c r="AK474">
        <f t="shared" si="135"/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</row>
    <row r="475" spans="1:53" x14ac:dyDescent="0.35">
      <c r="A475">
        <v>0.37120259555558283</v>
      </c>
      <c r="C475">
        <v>5.7726027397260271</v>
      </c>
      <c r="D475" s="137">
        <f t="shared" si="120"/>
        <v>0.76137167115162541</v>
      </c>
      <c r="E475">
        <v>3.8584156743566731</v>
      </c>
      <c r="F475">
        <v>1.414973347970818</v>
      </c>
      <c r="G475" s="45">
        <v>2.66</v>
      </c>
      <c r="H475" s="29">
        <f t="shared" si="121"/>
        <v>0.42488163663106698</v>
      </c>
      <c r="I475" s="9">
        <v>2.8134697878296753</v>
      </c>
      <c r="J475" s="34">
        <v>-2.2276394711152253E-2</v>
      </c>
      <c r="K475">
        <v>20</v>
      </c>
      <c r="L475" s="137">
        <f t="shared" si="122"/>
        <v>1.3010299956639813</v>
      </c>
      <c r="M475">
        <f t="shared" si="119"/>
        <v>1</v>
      </c>
      <c r="N475">
        <v>90</v>
      </c>
      <c r="O475">
        <v>70</v>
      </c>
      <c r="P475">
        <v>70</v>
      </c>
      <c r="Q475" s="137">
        <f t="shared" si="123"/>
        <v>1.8450980400142569</v>
      </c>
      <c r="R475" s="34">
        <v>39.33</v>
      </c>
      <c r="S475" s="34">
        <f t="shared" si="124"/>
        <v>1.5947239464097467</v>
      </c>
      <c r="T475" s="42">
        <v>46.838198746764199</v>
      </c>
      <c r="U475" s="42">
        <f t="shared" si="125"/>
        <v>1.6706001850898524</v>
      </c>
      <c r="V475">
        <v>3.20911860699078</v>
      </c>
      <c r="W475" s="14">
        <v>2</v>
      </c>
      <c r="X475">
        <v>3.5849986651910224</v>
      </c>
      <c r="Y475">
        <v>8.3010299956639813</v>
      </c>
      <c r="Z475" s="80">
        <v>0.20882002383790232</v>
      </c>
      <c r="AA475">
        <v>9</v>
      </c>
      <c r="AB475">
        <f t="shared" si="126"/>
        <v>0</v>
      </c>
      <c r="AC475">
        <f t="shared" si="127"/>
        <v>0</v>
      </c>
      <c r="AD475">
        <f t="shared" si="128"/>
        <v>0</v>
      </c>
      <c r="AE475">
        <f t="shared" si="129"/>
        <v>0</v>
      </c>
      <c r="AF475">
        <f t="shared" si="130"/>
        <v>0</v>
      </c>
      <c r="AG475">
        <f t="shared" si="131"/>
        <v>0</v>
      </c>
      <c r="AH475">
        <f t="shared" si="132"/>
        <v>0</v>
      </c>
      <c r="AI475">
        <f t="shared" si="133"/>
        <v>0</v>
      </c>
      <c r="AJ475">
        <f t="shared" si="134"/>
        <v>1</v>
      </c>
      <c r="AK475">
        <f t="shared" si="135"/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</row>
    <row r="476" spans="1:53" x14ac:dyDescent="0.35">
      <c r="A476">
        <v>-2</v>
      </c>
      <c r="C476">
        <v>4.161643835616438</v>
      </c>
      <c r="D476" s="137">
        <f t="shared" si="120"/>
        <v>0.61926490940631163</v>
      </c>
      <c r="E476">
        <v>0</v>
      </c>
      <c r="F476">
        <v>1.6720978579357175</v>
      </c>
      <c r="G476" s="45">
        <v>2.95</v>
      </c>
      <c r="H476" s="29">
        <f t="shared" si="121"/>
        <v>0.46982201597816303</v>
      </c>
      <c r="I476" s="9">
        <v>0</v>
      </c>
      <c r="J476" s="34">
        <v>-4.5757490560675115E-2</v>
      </c>
      <c r="K476">
        <v>1</v>
      </c>
      <c r="L476" s="137">
        <f t="shared" si="122"/>
        <v>0</v>
      </c>
      <c r="M476">
        <f t="shared" si="119"/>
        <v>0</v>
      </c>
      <c r="N476">
        <v>70</v>
      </c>
      <c r="O476">
        <v>70</v>
      </c>
      <c r="P476">
        <v>93.2</v>
      </c>
      <c r="Q476" s="137">
        <f t="shared" si="123"/>
        <v>1.9694159123539814</v>
      </c>
      <c r="R476" s="34">
        <v>26.7</v>
      </c>
      <c r="S476" s="34">
        <f t="shared" si="124"/>
        <v>1.4265112613645752</v>
      </c>
      <c r="T476" s="42">
        <v>36.669158714517401</v>
      </c>
      <c r="U476" s="42">
        <f t="shared" si="125"/>
        <v>1.5643009462345601</v>
      </c>
      <c r="V476">
        <v>3.3481258369969185</v>
      </c>
      <c r="W476" s="14">
        <v>2</v>
      </c>
      <c r="X476">
        <v>3.8736689739586678</v>
      </c>
      <c r="Y476">
        <v>8.1139433523068369</v>
      </c>
      <c r="Z476" s="80">
        <v>-2.5477453976051945E-2</v>
      </c>
      <c r="AA476">
        <v>4</v>
      </c>
      <c r="AB476">
        <f t="shared" si="126"/>
        <v>0</v>
      </c>
      <c r="AC476">
        <f t="shared" si="127"/>
        <v>0</v>
      </c>
      <c r="AD476">
        <f t="shared" si="128"/>
        <v>0</v>
      </c>
      <c r="AE476">
        <f t="shared" si="129"/>
        <v>1</v>
      </c>
      <c r="AF476">
        <f t="shared" si="130"/>
        <v>0</v>
      </c>
      <c r="AG476">
        <f t="shared" si="131"/>
        <v>0</v>
      </c>
      <c r="AH476">
        <f t="shared" si="132"/>
        <v>0</v>
      </c>
      <c r="AI476">
        <f t="shared" si="133"/>
        <v>0</v>
      </c>
      <c r="AJ476">
        <f t="shared" si="134"/>
        <v>0</v>
      </c>
      <c r="AK476">
        <f t="shared" si="135"/>
        <v>0</v>
      </c>
      <c r="AL476">
        <v>1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</row>
    <row r="477" spans="1:53" x14ac:dyDescent="0.35">
      <c r="A477">
        <v>0.28118837093097543</v>
      </c>
      <c r="C477">
        <v>8.3835616438356162</v>
      </c>
      <c r="D477" s="137">
        <f t="shared" si="120"/>
        <v>0.92342856202510526</v>
      </c>
      <c r="E477">
        <v>3.7707754512906644</v>
      </c>
      <c r="F477">
        <v>1.4471580313422192</v>
      </c>
      <c r="G477" s="45">
        <v>2.3199999999999998</v>
      </c>
      <c r="H477" s="29">
        <f t="shared" si="121"/>
        <v>0.36548798489089962</v>
      </c>
      <c r="I477" s="9">
        <v>2.1238516409670858</v>
      </c>
      <c r="J477" s="34">
        <v>7.1882007306125359E-2</v>
      </c>
      <c r="K477">
        <v>33</v>
      </c>
      <c r="L477" s="137">
        <f t="shared" si="122"/>
        <v>1.5185139398778875</v>
      </c>
      <c r="M477">
        <f t="shared" si="119"/>
        <v>1</v>
      </c>
      <c r="N477">
        <v>70</v>
      </c>
      <c r="O477">
        <v>70</v>
      </c>
      <c r="P477">
        <v>85</v>
      </c>
      <c r="Q477" s="137">
        <f t="shared" si="123"/>
        <v>1.9294189257142926</v>
      </c>
      <c r="R477" s="34">
        <v>31.5</v>
      </c>
      <c r="S477" s="34">
        <f t="shared" si="124"/>
        <v>1.4983105537896004</v>
      </c>
      <c r="T477" s="42">
        <v>35.516899069648296</v>
      </c>
      <c r="U477" s="42">
        <f t="shared" si="125"/>
        <v>1.5504350411232082</v>
      </c>
      <c r="V477">
        <v>3.3211431557469533</v>
      </c>
      <c r="W477" s="14">
        <v>1</v>
      </c>
      <c r="X477">
        <v>3.9264410940169014</v>
      </c>
      <c r="Y477">
        <v>7.6434526764861879</v>
      </c>
      <c r="Z477" s="80">
        <v>9.3086675588942125E-2</v>
      </c>
      <c r="AA477">
        <v>1</v>
      </c>
      <c r="AB477">
        <f t="shared" si="126"/>
        <v>1</v>
      </c>
      <c r="AC477">
        <f t="shared" si="127"/>
        <v>0</v>
      </c>
      <c r="AD477">
        <f t="shared" si="128"/>
        <v>0</v>
      </c>
      <c r="AE477">
        <f t="shared" si="129"/>
        <v>0</v>
      </c>
      <c r="AF477">
        <f t="shared" si="130"/>
        <v>0</v>
      </c>
      <c r="AG477">
        <f t="shared" si="131"/>
        <v>0</v>
      </c>
      <c r="AH477">
        <f t="shared" si="132"/>
        <v>0</v>
      </c>
      <c r="AI477">
        <f t="shared" si="133"/>
        <v>0</v>
      </c>
      <c r="AJ477">
        <f t="shared" si="134"/>
        <v>0</v>
      </c>
      <c r="AK477">
        <f t="shared" si="135"/>
        <v>0</v>
      </c>
      <c r="AL477">
        <v>0</v>
      </c>
      <c r="AM477">
        <v>1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</row>
    <row r="478" spans="1:53" x14ac:dyDescent="0.35">
      <c r="A478">
        <v>0.17274634950008499</v>
      </c>
      <c r="C478">
        <v>1.9561643835616438</v>
      </c>
      <c r="D478" s="137">
        <f t="shared" si="120"/>
        <v>0.29140534731969969</v>
      </c>
      <c r="E478">
        <v>3.7707754512906644</v>
      </c>
      <c r="F478">
        <v>1.414973347970818</v>
      </c>
      <c r="G478" s="45">
        <v>2.3199999999999998</v>
      </c>
      <c r="H478" s="29">
        <f t="shared" si="121"/>
        <v>0.36548798489089962</v>
      </c>
      <c r="I478" s="9">
        <v>2.1238516409670858</v>
      </c>
      <c r="J478" s="34">
        <v>7.554696139253074E-2</v>
      </c>
      <c r="K478">
        <v>18</v>
      </c>
      <c r="L478" s="137">
        <f t="shared" si="122"/>
        <v>1.255272505103306</v>
      </c>
      <c r="M478">
        <f t="shared" si="119"/>
        <v>1</v>
      </c>
      <c r="N478">
        <v>70</v>
      </c>
      <c r="O478">
        <v>70</v>
      </c>
      <c r="P478">
        <v>85</v>
      </c>
      <c r="Q478" s="137">
        <f t="shared" si="123"/>
        <v>1.9294189257142926</v>
      </c>
      <c r="R478" s="34">
        <v>32.700000000000003</v>
      </c>
      <c r="S478" s="34">
        <f t="shared" si="124"/>
        <v>1.5145477526602862</v>
      </c>
      <c r="T478" s="42">
        <v>41.286751495766303</v>
      </c>
      <c r="U478" s="42">
        <f t="shared" si="125"/>
        <v>1.6158107132703448</v>
      </c>
      <c r="V478">
        <v>3.3151244779693188</v>
      </c>
      <c r="W478" s="14">
        <v>2</v>
      </c>
      <c r="X478">
        <v>3.8475683751239629</v>
      </c>
      <c r="Y478">
        <v>8.46686762035411</v>
      </c>
      <c r="Z478" s="80">
        <v>0.17007144718156098</v>
      </c>
      <c r="AA478">
        <v>5</v>
      </c>
      <c r="AB478">
        <f t="shared" si="126"/>
        <v>0</v>
      </c>
      <c r="AC478">
        <f t="shared" si="127"/>
        <v>0</v>
      </c>
      <c r="AD478">
        <f t="shared" si="128"/>
        <v>0</v>
      </c>
      <c r="AE478">
        <f t="shared" si="129"/>
        <v>0</v>
      </c>
      <c r="AF478">
        <f t="shared" si="130"/>
        <v>1</v>
      </c>
      <c r="AG478">
        <f t="shared" si="131"/>
        <v>0</v>
      </c>
      <c r="AH478">
        <f t="shared" si="132"/>
        <v>0</v>
      </c>
      <c r="AI478">
        <f t="shared" si="133"/>
        <v>0</v>
      </c>
      <c r="AJ478">
        <f t="shared" si="134"/>
        <v>0</v>
      </c>
      <c r="AK478">
        <f t="shared" si="135"/>
        <v>0</v>
      </c>
      <c r="AL478">
        <v>0</v>
      </c>
      <c r="AM478">
        <v>1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</row>
    <row r="479" spans="1:53" x14ac:dyDescent="0.35">
      <c r="A479">
        <v>0.15490195998574319</v>
      </c>
      <c r="C479">
        <v>5.2438356164383562</v>
      </c>
      <c r="D479" s="137">
        <f t="shared" si="120"/>
        <v>0.7196490689843501</v>
      </c>
      <c r="E479">
        <v>3.7916829312790057</v>
      </c>
      <c r="F479">
        <v>0</v>
      </c>
      <c r="G479" s="45">
        <v>2.72</v>
      </c>
      <c r="H479" s="29">
        <f t="shared" si="121"/>
        <v>0.43456890403419873</v>
      </c>
      <c r="I479" s="9">
        <v>3.0355631414974997</v>
      </c>
      <c r="J479" s="34">
        <v>0.16435285578443709</v>
      </c>
      <c r="K479">
        <v>9</v>
      </c>
      <c r="L479" s="137">
        <f t="shared" si="122"/>
        <v>0.95424250943932487</v>
      </c>
      <c r="M479">
        <f t="shared" si="119"/>
        <v>1</v>
      </c>
      <c r="N479">
        <v>95</v>
      </c>
      <c r="O479">
        <v>80</v>
      </c>
      <c r="P479">
        <v>85</v>
      </c>
      <c r="Q479" s="137">
        <f t="shared" si="123"/>
        <v>1.9294189257142926</v>
      </c>
      <c r="R479" s="34">
        <v>37.299999999999997</v>
      </c>
      <c r="S479" s="34">
        <f t="shared" si="124"/>
        <v>1.5717088318086876</v>
      </c>
      <c r="T479" s="42">
        <v>46.9693144722524</v>
      </c>
      <c r="U479" s="42">
        <f t="shared" si="125"/>
        <v>1.6718142216035041</v>
      </c>
      <c r="V479">
        <v>3.3151244779693188</v>
      </c>
      <c r="W479" s="14">
        <v>2</v>
      </c>
      <c r="X479">
        <v>3.8475683751239629</v>
      </c>
      <c r="Y479">
        <v>8.3222192947339195</v>
      </c>
      <c r="Z479" s="80" t="e">
        <v>#N/A</v>
      </c>
      <c r="AA479">
        <v>1</v>
      </c>
      <c r="AB479">
        <f t="shared" si="126"/>
        <v>1</v>
      </c>
      <c r="AC479">
        <f t="shared" si="127"/>
        <v>0</v>
      </c>
      <c r="AD479">
        <f t="shared" si="128"/>
        <v>0</v>
      </c>
      <c r="AE479">
        <f t="shared" si="129"/>
        <v>0</v>
      </c>
      <c r="AF479">
        <f t="shared" si="130"/>
        <v>0</v>
      </c>
      <c r="AG479">
        <f t="shared" si="131"/>
        <v>0</v>
      </c>
      <c r="AH479">
        <f t="shared" si="132"/>
        <v>0</v>
      </c>
      <c r="AI479">
        <f t="shared" si="133"/>
        <v>0</v>
      </c>
      <c r="AJ479">
        <f t="shared" si="134"/>
        <v>0</v>
      </c>
      <c r="AK479">
        <f t="shared" si="135"/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</row>
    <row r="480" spans="1:53" x14ac:dyDescent="0.35">
      <c r="A480">
        <v>0.70626924307751826</v>
      </c>
      <c r="C480">
        <v>4.5041095890410956</v>
      </c>
      <c r="D480" s="137">
        <f t="shared" si="120"/>
        <v>0.65360894874755682</v>
      </c>
      <c r="E480">
        <v>3.7707754512906644</v>
      </c>
      <c r="F480">
        <v>0.69897000433601886</v>
      </c>
      <c r="G480" s="45">
        <v>2.3199999999999998</v>
      </c>
      <c r="H480" s="29">
        <f t="shared" si="121"/>
        <v>0.36548798489089962</v>
      </c>
      <c r="I480" s="9">
        <v>2.1238516409670858</v>
      </c>
      <c r="J480" s="34">
        <v>0.20139712432045145</v>
      </c>
      <c r="K480">
        <v>29</v>
      </c>
      <c r="L480" s="137">
        <f t="shared" si="122"/>
        <v>1.4623979978989561</v>
      </c>
      <c r="M480">
        <f t="shared" si="119"/>
        <v>1</v>
      </c>
      <c r="N480">
        <v>70</v>
      </c>
      <c r="O480">
        <v>70</v>
      </c>
      <c r="P480">
        <v>94.1</v>
      </c>
      <c r="Q480" s="137">
        <f t="shared" si="123"/>
        <v>1.973589623427257</v>
      </c>
      <c r="R480" s="34">
        <v>32.200000000000003</v>
      </c>
      <c r="S480" s="34">
        <f t="shared" si="124"/>
        <v>1.507855871695831</v>
      </c>
      <c r="T480" s="42">
        <v>43.9397801796012</v>
      </c>
      <c r="U480" s="42">
        <f t="shared" si="125"/>
        <v>1.6428578799166489</v>
      </c>
      <c r="V480">
        <v>3.1134603742158462</v>
      </c>
      <c r="W480" s="14">
        <v>2</v>
      </c>
      <c r="X480">
        <v>3.7799945853255905</v>
      </c>
      <c r="Y480">
        <v>8.0718820073061259</v>
      </c>
      <c r="Z480" s="80">
        <v>0.19496203293856396</v>
      </c>
      <c r="AA480">
        <v>5</v>
      </c>
      <c r="AB480">
        <f t="shared" si="126"/>
        <v>0</v>
      </c>
      <c r="AC480">
        <f t="shared" si="127"/>
        <v>0</v>
      </c>
      <c r="AD480">
        <f t="shared" si="128"/>
        <v>0</v>
      </c>
      <c r="AE480">
        <f t="shared" si="129"/>
        <v>0</v>
      </c>
      <c r="AF480">
        <f t="shared" si="130"/>
        <v>1</v>
      </c>
      <c r="AG480">
        <f t="shared" si="131"/>
        <v>0</v>
      </c>
      <c r="AH480">
        <f t="shared" si="132"/>
        <v>0</v>
      </c>
      <c r="AI480">
        <f t="shared" si="133"/>
        <v>0</v>
      </c>
      <c r="AJ480">
        <f t="shared" si="134"/>
        <v>0</v>
      </c>
      <c r="AK480">
        <f t="shared" si="135"/>
        <v>0</v>
      </c>
      <c r="AL480">
        <v>0</v>
      </c>
      <c r="AM480">
        <v>1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</row>
    <row r="481" spans="1:53" x14ac:dyDescent="0.35">
      <c r="A481">
        <v>0.15065113272112132</v>
      </c>
      <c r="C481">
        <v>6.4438356164383563</v>
      </c>
      <c r="D481" s="137">
        <f t="shared" si="120"/>
        <v>0.80914445294762616</v>
      </c>
      <c r="E481">
        <v>3.7707754512906644</v>
      </c>
      <c r="F481">
        <v>1.1139433523068367</v>
      </c>
      <c r="G481" s="45">
        <v>2.3199999999999998</v>
      </c>
      <c r="H481" s="29">
        <f t="shared" si="121"/>
        <v>0.36548798489089962</v>
      </c>
      <c r="I481" s="9">
        <v>2.1238516409670858</v>
      </c>
      <c r="J481" s="34">
        <v>6.8185861746161619E-2</v>
      </c>
      <c r="K481">
        <v>23</v>
      </c>
      <c r="L481" s="137">
        <f t="shared" si="122"/>
        <v>1.3617278360175928</v>
      </c>
      <c r="M481">
        <f t="shared" si="119"/>
        <v>1</v>
      </c>
      <c r="N481">
        <v>70</v>
      </c>
      <c r="O481">
        <v>70</v>
      </c>
      <c r="P481">
        <v>91.2</v>
      </c>
      <c r="Q481" s="137">
        <f t="shared" si="123"/>
        <v>1.9599948383284163</v>
      </c>
      <c r="R481" s="34">
        <v>33</v>
      </c>
      <c r="S481" s="34">
        <f t="shared" si="124"/>
        <v>1.5185139398778875</v>
      </c>
      <c r="T481" s="42">
        <v>40.902544500539101</v>
      </c>
      <c r="U481" s="42">
        <f t="shared" si="125"/>
        <v>1.6117503258110162</v>
      </c>
      <c r="V481">
        <v>3.1134603742158462</v>
      </c>
      <c r="W481" s="14">
        <v>2</v>
      </c>
      <c r="X481">
        <v>3.7799945853255905</v>
      </c>
      <c r="Y481">
        <v>8.8356905714924263</v>
      </c>
      <c r="Z481" s="80">
        <v>6.6018329809519383E-2</v>
      </c>
      <c r="AA481">
        <v>1</v>
      </c>
      <c r="AB481">
        <f t="shared" si="126"/>
        <v>1</v>
      </c>
      <c r="AC481">
        <f t="shared" si="127"/>
        <v>0</v>
      </c>
      <c r="AD481">
        <f t="shared" si="128"/>
        <v>0</v>
      </c>
      <c r="AE481">
        <f t="shared" si="129"/>
        <v>0</v>
      </c>
      <c r="AF481">
        <f t="shared" si="130"/>
        <v>0</v>
      </c>
      <c r="AG481">
        <f t="shared" si="131"/>
        <v>0</v>
      </c>
      <c r="AH481">
        <f t="shared" si="132"/>
        <v>0</v>
      </c>
      <c r="AI481">
        <f t="shared" si="133"/>
        <v>0</v>
      </c>
      <c r="AJ481">
        <f t="shared" si="134"/>
        <v>0</v>
      </c>
      <c r="AK481">
        <f t="shared" si="135"/>
        <v>0</v>
      </c>
      <c r="AL481">
        <v>0</v>
      </c>
      <c r="AM481">
        <v>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</row>
    <row r="482" spans="1:53" x14ac:dyDescent="0.35">
      <c r="A482">
        <v>0.36355068188178347</v>
      </c>
      <c r="C482">
        <v>4.9397260273972599</v>
      </c>
      <c r="D482" s="137">
        <f t="shared" si="120"/>
        <v>0.69370286226592726</v>
      </c>
      <c r="E482">
        <v>3.7707754512906644</v>
      </c>
      <c r="F482">
        <v>1.6532125137753437</v>
      </c>
      <c r="G482" s="45">
        <v>2.3199999999999998</v>
      </c>
      <c r="H482" s="29">
        <f t="shared" si="121"/>
        <v>0.36548798489089962</v>
      </c>
      <c r="I482" s="9">
        <v>2.1238516409670858</v>
      </c>
      <c r="J482" s="34">
        <v>0.24797326636180664</v>
      </c>
      <c r="K482">
        <v>2</v>
      </c>
      <c r="L482" s="137">
        <f t="shared" si="122"/>
        <v>0.3010299956639812</v>
      </c>
      <c r="M482">
        <f t="shared" si="119"/>
        <v>1</v>
      </c>
      <c r="N482">
        <v>70</v>
      </c>
      <c r="O482">
        <v>70</v>
      </c>
      <c r="P482">
        <v>85</v>
      </c>
      <c r="Q482" s="137">
        <f t="shared" si="123"/>
        <v>1.9294189257142926</v>
      </c>
      <c r="R482" s="34">
        <v>31.5</v>
      </c>
      <c r="S482" s="34">
        <f t="shared" si="124"/>
        <v>1.4983105537896004</v>
      </c>
      <c r="T482" s="42">
        <v>37.589394702761602</v>
      </c>
      <c r="U482" s="42">
        <f t="shared" si="125"/>
        <v>1.575065332381355</v>
      </c>
      <c r="V482">
        <v>3.348721986001856</v>
      </c>
      <c r="W482" s="14">
        <v>5</v>
      </c>
      <c r="X482">
        <v>3.7520876635386311</v>
      </c>
      <c r="Y482">
        <v>8.7503926704250539</v>
      </c>
      <c r="Z482" s="80">
        <v>0.78592359569929537</v>
      </c>
      <c r="AA482">
        <v>7</v>
      </c>
      <c r="AB482">
        <f t="shared" si="126"/>
        <v>0</v>
      </c>
      <c r="AC482">
        <f t="shared" si="127"/>
        <v>0</v>
      </c>
      <c r="AD482">
        <f t="shared" si="128"/>
        <v>0</v>
      </c>
      <c r="AE482">
        <f t="shared" si="129"/>
        <v>0</v>
      </c>
      <c r="AF482">
        <f t="shared" si="130"/>
        <v>0</v>
      </c>
      <c r="AG482">
        <f t="shared" si="131"/>
        <v>0</v>
      </c>
      <c r="AH482">
        <f t="shared" si="132"/>
        <v>1</v>
      </c>
      <c r="AI482">
        <f t="shared" si="133"/>
        <v>0</v>
      </c>
      <c r="AJ482">
        <f t="shared" si="134"/>
        <v>0</v>
      </c>
      <c r="AK482">
        <f t="shared" si="135"/>
        <v>0</v>
      </c>
      <c r="AL482">
        <v>0</v>
      </c>
      <c r="AM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</row>
    <row r="483" spans="1:53" x14ac:dyDescent="0.35">
      <c r="A483">
        <v>0.14780161956780419</v>
      </c>
      <c r="C483">
        <v>5.6849315068493151</v>
      </c>
      <c r="D483" s="137">
        <f t="shared" si="120"/>
        <v>0.75472523659163682</v>
      </c>
      <c r="E483">
        <v>3.8335760926148099</v>
      </c>
      <c r="F483">
        <v>1.568201724066995</v>
      </c>
      <c r="G483" s="45">
        <v>2.85</v>
      </c>
      <c r="H483" s="29">
        <f t="shared" si="121"/>
        <v>0.45484486000851021</v>
      </c>
      <c r="I483" s="9">
        <v>2.9138138523837167</v>
      </c>
      <c r="J483" s="34">
        <v>0.13987908640123647</v>
      </c>
      <c r="K483">
        <v>1</v>
      </c>
      <c r="L483" s="137">
        <f t="shared" si="122"/>
        <v>0</v>
      </c>
      <c r="M483">
        <f t="shared" si="119"/>
        <v>1</v>
      </c>
      <c r="N483">
        <v>70</v>
      </c>
      <c r="O483">
        <v>70</v>
      </c>
      <c r="P483">
        <v>70</v>
      </c>
      <c r="Q483" s="137">
        <f t="shared" si="123"/>
        <v>1.8450980400142569</v>
      </c>
      <c r="R483" s="34">
        <v>35</v>
      </c>
      <c r="S483" s="34">
        <f t="shared" si="124"/>
        <v>1.5440680443502757</v>
      </c>
      <c r="T483" s="42">
        <v>46.908044131476899</v>
      </c>
      <c r="U483" s="42">
        <f t="shared" si="125"/>
        <v>1.6712473250679141</v>
      </c>
      <c r="V483">
        <v>3.348721986001856</v>
      </c>
      <c r="W483" s="14">
        <v>5</v>
      </c>
      <c r="X483">
        <v>3.7520876635386311</v>
      </c>
      <c r="Y483">
        <v>8.9661417327390325</v>
      </c>
      <c r="Z483" s="80">
        <v>0.38773446564393454</v>
      </c>
      <c r="AA483">
        <v>8</v>
      </c>
      <c r="AB483">
        <f t="shared" si="126"/>
        <v>0</v>
      </c>
      <c r="AC483">
        <f t="shared" si="127"/>
        <v>0</v>
      </c>
      <c r="AD483">
        <f t="shared" si="128"/>
        <v>0</v>
      </c>
      <c r="AE483">
        <f t="shared" si="129"/>
        <v>0</v>
      </c>
      <c r="AF483">
        <f t="shared" si="130"/>
        <v>0</v>
      </c>
      <c r="AG483">
        <f t="shared" si="131"/>
        <v>0</v>
      </c>
      <c r="AH483">
        <f t="shared" si="132"/>
        <v>0</v>
      </c>
      <c r="AI483">
        <f t="shared" si="133"/>
        <v>1</v>
      </c>
      <c r="AJ483">
        <f t="shared" si="134"/>
        <v>0</v>
      </c>
      <c r="AK483">
        <f t="shared" si="135"/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1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</row>
    <row r="484" spans="1:53" x14ac:dyDescent="0.35">
      <c r="A484">
        <v>0</v>
      </c>
      <c r="C484">
        <v>3.106849315068493</v>
      </c>
      <c r="D484" s="137">
        <f t="shared" si="120"/>
        <v>0.49232019010041306</v>
      </c>
      <c r="E484">
        <v>3.7707754512906644</v>
      </c>
      <c r="F484">
        <v>0.69897000433601886</v>
      </c>
      <c r="G484" s="45">
        <v>2.3199999999999998</v>
      </c>
      <c r="H484" s="29">
        <f t="shared" si="121"/>
        <v>0.36548798489089962</v>
      </c>
      <c r="I484" s="9">
        <v>2.1238516409670858</v>
      </c>
      <c r="J484" s="34">
        <v>0.12057393120584989</v>
      </c>
      <c r="K484">
        <v>3</v>
      </c>
      <c r="L484" s="137">
        <f t="shared" si="122"/>
        <v>0.47712125471966244</v>
      </c>
      <c r="M484">
        <f t="shared" si="119"/>
        <v>1</v>
      </c>
      <c r="N484">
        <v>70</v>
      </c>
      <c r="O484">
        <v>70</v>
      </c>
      <c r="P484">
        <v>85</v>
      </c>
      <c r="Q484" s="137">
        <f t="shared" si="123"/>
        <v>1.9294189257142926</v>
      </c>
      <c r="R484" s="34">
        <v>31.3</v>
      </c>
      <c r="S484" s="34">
        <f t="shared" si="124"/>
        <v>1.4955443375464486</v>
      </c>
      <c r="T484" s="42">
        <v>38.7850112673514</v>
      </c>
      <c r="U484" s="42">
        <f t="shared" si="125"/>
        <v>1.5886639219461918</v>
      </c>
      <c r="V484">
        <v>3.4436974992327127</v>
      </c>
      <c r="W484" s="14">
        <v>5</v>
      </c>
      <c r="X484">
        <v>3.848103550153982</v>
      </c>
      <c r="Y484">
        <v>8.5440680443502757</v>
      </c>
      <c r="Z484" s="80">
        <v>0.48007195117021695</v>
      </c>
      <c r="AA484">
        <v>5</v>
      </c>
      <c r="AB484">
        <f t="shared" si="126"/>
        <v>0</v>
      </c>
      <c r="AC484">
        <f t="shared" si="127"/>
        <v>0</v>
      </c>
      <c r="AD484">
        <f t="shared" si="128"/>
        <v>0</v>
      </c>
      <c r="AE484">
        <f t="shared" si="129"/>
        <v>0</v>
      </c>
      <c r="AF484">
        <f t="shared" si="130"/>
        <v>1</v>
      </c>
      <c r="AG484">
        <f t="shared" si="131"/>
        <v>0</v>
      </c>
      <c r="AH484">
        <f t="shared" si="132"/>
        <v>0</v>
      </c>
      <c r="AI484">
        <f t="shared" si="133"/>
        <v>0</v>
      </c>
      <c r="AJ484">
        <f t="shared" si="134"/>
        <v>0</v>
      </c>
      <c r="AK484">
        <f t="shared" si="135"/>
        <v>0</v>
      </c>
      <c r="AL484">
        <v>0</v>
      </c>
      <c r="AM484">
        <v>1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</row>
    <row r="485" spans="1:53" x14ac:dyDescent="0.35">
      <c r="A485">
        <v>4.1392685158225077E-2</v>
      </c>
      <c r="C485">
        <v>4.6684931506849319</v>
      </c>
      <c r="D485" s="137">
        <f t="shared" si="120"/>
        <v>0.66917672597420663</v>
      </c>
      <c r="E485">
        <v>3.7707754512906644</v>
      </c>
      <c r="F485">
        <v>1.0413926851582251</v>
      </c>
      <c r="G485" s="45">
        <v>2.3199999999999998</v>
      </c>
      <c r="H485" s="29">
        <f t="shared" si="121"/>
        <v>0.36548798489089962</v>
      </c>
      <c r="I485" s="9">
        <v>2.1238516409670858</v>
      </c>
      <c r="J485" s="34">
        <v>0.22788670461367352</v>
      </c>
      <c r="K485">
        <v>21</v>
      </c>
      <c r="L485" s="137">
        <f t="shared" si="122"/>
        <v>1.3222192947339193</v>
      </c>
      <c r="M485">
        <f t="shared" si="119"/>
        <v>1</v>
      </c>
      <c r="N485">
        <v>70</v>
      </c>
      <c r="O485">
        <v>70</v>
      </c>
      <c r="P485">
        <v>94.1</v>
      </c>
      <c r="Q485" s="137">
        <f t="shared" si="123"/>
        <v>1.973589623427257</v>
      </c>
      <c r="R485" s="34">
        <v>32.200000000000003</v>
      </c>
      <c r="S485" s="34">
        <f t="shared" si="124"/>
        <v>1.507855871695831</v>
      </c>
      <c r="T485" s="42">
        <v>43.9397801796012</v>
      </c>
      <c r="U485" s="42">
        <f t="shared" si="125"/>
        <v>1.6428578799166489</v>
      </c>
      <c r="V485">
        <v>3.3265688034989269</v>
      </c>
      <c r="W485" s="14">
        <v>2</v>
      </c>
      <c r="X485">
        <v>3.64990043303693</v>
      </c>
      <c r="Y485">
        <v>8.3010299956639813</v>
      </c>
      <c r="Z485" s="80">
        <v>0.26297557440471619</v>
      </c>
      <c r="AA485">
        <v>5</v>
      </c>
      <c r="AB485">
        <f t="shared" si="126"/>
        <v>0</v>
      </c>
      <c r="AC485">
        <f t="shared" si="127"/>
        <v>0</v>
      </c>
      <c r="AD485">
        <f t="shared" si="128"/>
        <v>0</v>
      </c>
      <c r="AE485">
        <f t="shared" si="129"/>
        <v>0</v>
      </c>
      <c r="AF485">
        <f t="shared" si="130"/>
        <v>1</v>
      </c>
      <c r="AG485">
        <f t="shared" si="131"/>
        <v>0</v>
      </c>
      <c r="AH485">
        <f t="shared" si="132"/>
        <v>0</v>
      </c>
      <c r="AI485">
        <f t="shared" si="133"/>
        <v>0</v>
      </c>
      <c r="AJ485">
        <f t="shared" si="134"/>
        <v>0</v>
      </c>
      <c r="AK485">
        <f t="shared" si="135"/>
        <v>0</v>
      </c>
      <c r="AL485">
        <v>0</v>
      </c>
      <c r="AM485">
        <v>1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</row>
    <row r="486" spans="1:53" x14ac:dyDescent="0.35">
      <c r="A486">
        <v>-2</v>
      </c>
      <c r="C486">
        <v>3.7095890410958905</v>
      </c>
      <c r="D486" s="137">
        <f t="shared" si="120"/>
        <v>0.56932579989265086</v>
      </c>
      <c r="E486">
        <v>3.7707754512906644</v>
      </c>
      <c r="F486">
        <v>0.6020599913279624</v>
      </c>
      <c r="G486" s="45">
        <v>2.3199999999999998</v>
      </c>
      <c r="H486" s="29">
        <f t="shared" si="121"/>
        <v>0.36548798489089962</v>
      </c>
      <c r="I486" s="9">
        <v>2.1238516409670858</v>
      </c>
      <c r="J486" s="34">
        <v>-1.322826573375516E-2</v>
      </c>
      <c r="K486">
        <v>15</v>
      </c>
      <c r="L486" s="137">
        <f t="shared" si="122"/>
        <v>1.1760912590556813</v>
      </c>
      <c r="M486">
        <f t="shared" si="119"/>
        <v>1</v>
      </c>
      <c r="N486">
        <v>70</v>
      </c>
      <c r="O486">
        <v>70</v>
      </c>
      <c r="P486">
        <v>91.2</v>
      </c>
      <c r="Q486" s="137">
        <f t="shared" si="123"/>
        <v>1.9599948383284163</v>
      </c>
      <c r="R486" s="34">
        <v>33</v>
      </c>
      <c r="S486" s="34">
        <f t="shared" si="124"/>
        <v>1.5185139398778875</v>
      </c>
      <c r="T486" s="42">
        <v>40.902544500539101</v>
      </c>
      <c r="U486" s="42">
        <f t="shared" si="125"/>
        <v>1.6117503258110162</v>
      </c>
      <c r="V486">
        <v>3.3265688034989269</v>
      </c>
      <c r="W486" s="14">
        <v>2</v>
      </c>
      <c r="X486">
        <v>3.64990043303693</v>
      </c>
      <c r="Y486">
        <v>8.4574276929464851</v>
      </c>
      <c r="Z486" s="80">
        <v>4.86542476677847E-2</v>
      </c>
      <c r="AA486">
        <v>5</v>
      </c>
      <c r="AB486">
        <f t="shared" si="126"/>
        <v>0</v>
      </c>
      <c r="AC486">
        <f t="shared" si="127"/>
        <v>0</v>
      </c>
      <c r="AD486">
        <f t="shared" si="128"/>
        <v>0</v>
      </c>
      <c r="AE486">
        <f t="shared" si="129"/>
        <v>0</v>
      </c>
      <c r="AF486">
        <f t="shared" si="130"/>
        <v>1</v>
      </c>
      <c r="AG486">
        <f t="shared" si="131"/>
        <v>0</v>
      </c>
      <c r="AH486">
        <f t="shared" si="132"/>
        <v>0</v>
      </c>
      <c r="AI486">
        <f t="shared" si="133"/>
        <v>0</v>
      </c>
      <c r="AJ486">
        <f t="shared" si="134"/>
        <v>0</v>
      </c>
      <c r="AK486">
        <f t="shared" si="135"/>
        <v>0</v>
      </c>
      <c r="AL486">
        <v>0</v>
      </c>
      <c r="AM486">
        <v>1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</row>
    <row r="487" spans="1:53" x14ac:dyDescent="0.35">
      <c r="A487">
        <v>0.22788670461367352</v>
      </c>
      <c r="C487">
        <v>1.7205479452054795</v>
      </c>
      <c r="D487" s="137">
        <f t="shared" si="120"/>
        <v>0.23566677928072144</v>
      </c>
      <c r="E487">
        <v>3.8335760926148099</v>
      </c>
      <c r="F487">
        <v>0.90308998699194354</v>
      </c>
      <c r="G487" s="45">
        <v>2.85</v>
      </c>
      <c r="H487" s="29">
        <f t="shared" si="121"/>
        <v>0.45484486000851021</v>
      </c>
      <c r="I487" s="9">
        <v>2.9138138523837167</v>
      </c>
      <c r="J487" s="34">
        <v>7.1882007306125359E-2</v>
      </c>
      <c r="K487">
        <v>13</v>
      </c>
      <c r="L487" s="137">
        <f t="shared" si="122"/>
        <v>1.1139433523068367</v>
      </c>
      <c r="M487">
        <f t="shared" si="119"/>
        <v>1</v>
      </c>
      <c r="N487">
        <v>70</v>
      </c>
      <c r="O487">
        <v>70</v>
      </c>
      <c r="P487">
        <v>70</v>
      </c>
      <c r="Q487" s="137">
        <f t="shared" si="123"/>
        <v>1.8450980400142569</v>
      </c>
      <c r="R487" s="34">
        <v>33.9</v>
      </c>
      <c r="S487" s="34">
        <f t="shared" si="124"/>
        <v>1.5301996982030821</v>
      </c>
      <c r="T487" s="42">
        <v>46.200073016176603</v>
      </c>
      <c r="U487" s="42">
        <f t="shared" si="125"/>
        <v>1.664642661930531</v>
      </c>
      <c r="V487">
        <v>3.3265688034989269</v>
      </c>
      <c r="W487" s="14">
        <v>2</v>
      </c>
      <c r="X487">
        <v>3.64990043303693</v>
      </c>
      <c r="Y487">
        <v>9</v>
      </c>
      <c r="Z487" s="80">
        <v>0.20520050916093013</v>
      </c>
      <c r="AA487">
        <v>6</v>
      </c>
      <c r="AB487">
        <f t="shared" si="126"/>
        <v>0</v>
      </c>
      <c r="AC487">
        <f t="shared" si="127"/>
        <v>0</v>
      </c>
      <c r="AD487">
        <f t="shared" si="128"/>
        <v>0</v>
      </c>
      <c r="AE487">
        <f t="shared" si="129"/>
        <v>0</v>
      </c>
      <c r="AF487">
        <f t="shared" si="130"/>
        <v>0</v>
      </c>
      <c r="AG487">
        <f t="shared" si="131"/>
        <v>1</v>
      </c>
      <c r="AH487">
        <f t="shared" si="132"/>
        <v>0</v>
      </c>
      <c r="AI487">
        <f t="shared" si="133"/>
        <v>0</v>
      </c>
      <c r="AJ487">
        <f t="shared" si="134"/>
        <v>0</v>
      </c>
      <c r="AK487">
        <f t="shared" si="135"/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1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</row>
    <row r="488" spans="1:53" x14ac:dyDescent="0.35">
      <c r="A488">
        <v>-0.44973627637745167</v>
      </c>
      <c r="C488">
        <v>7.6410958904109592</v>
      </c>
      <c r="D488" s="137">
        <f t="shared" si="120"/>
        <v>0.88315564980957517</v>
      </c>
      <c r="E488">
        <v>3.8335760926148099</v>
      </c>
      <c r="F488">
        <v>1.9084850188786497</v>
      </c>
      <c r="G488" s="45">
        <v>2.85</v>
      </c>
      <c r="H488" s="29">
        <f t="shared" si="121"/>
        <v>0.45484486000851021</v>
      </c>
      <c r="I488" s="9">
        <v>2.9138138523837167</v>
      </c>
      <c r="J488" s="34">
        <v>7.1882007306125359E-2</v>
      </c>
      <c r="K488">
        <v>12</v>
      </c>
      <c r="L488" s="137">
        <f t="shared" si="122"/>
        <v>1.0791812460476249</v>
      </c>
      <c r="M488">
        <f t="shared" si="119"/>
        <v>1</v>
      </c>
      <c r="N488">
        <v>70</v>
      </c>
      <c r="O488">
        <v>70</v>
      </c>
      <c r="P488">
        <v>70</v>
      </c>
      <c r="Q488" s="137">
        <f t="shared" si="123"/>
        <v>1.8450980400142569</v>
      </c>
      <c r="R488" s="34">
        <v>33.9</v>
      </c>
      <c r="S488" s="34">
        <f t="shared" si="124"/>
        <v>1.5301996982030821</v>
      </c>
      <c r="T488" s="42">
        <v>46.312020505412598</v>
      </c>
      <c r="U488" s="42">
        <f t="shared" si="125"/>
        <v>1.6656937288498501</v>
      </c>
      <c r="V488">
        <v>3.3265688034989269</v>
      </c>
      <c r="W488" s="14">
        <v>2</v>
      </c>
      <c r="X488">
        <v>3.64990043303693</v>
      </c>
      <c r="Y488">
        <v>9.2944662261615925</v>
      </c>
      <c r="Z488" s="80">
        <v>0.33169955812114371</v>
      </c>
      <c r="AA488">
        <v>6</v>
      </c>
      <c r="AB488">
        <f t="shared" si="126"/>
        <v>0</v>
      </c>
      <c r="AC488">
        <f t="shared" si="127"/>
        <v>0</v>
      </c>
      <c r="AD488">
        <f t="shared" si="128"/>
        <v>0</v>
      </c>
      <c r="AE488">
        <f t="shared" si="129"/>
        <v>0</v>
      </c>
      <c r="AF488">
        <f t="shared" si="130"/>
        <v>0</v>
      </c>
      <c r="AG488">
        <f t="shared" si="131"/>
        <v>1</v>
      </c>
      <c r="AH488">
        <f t="shared" si="132"/>
        <v>0</v>
      </c>
      <c r="AI488">
        <f t="shared" si="133"/>
        <v>0</v>
      </c>
      <c r="AJ488">
        <f t="shared" si="134"/>
        <v>0</v>
      </c>
      <c r="AK488">
        <f t="shared" si="135"/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1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</row>
    <row r="489" spans="1:53" x14ac:dyDescent="0.35">
      <c r="A489">
        <v>0.51766733770540363</v>
      </c>
      <c r="C489">
        <v>1.8958904109589041</v>
      </c>
      <c r="D489" s="137">
        <f t="shared" si="120"/>
        <v>0.27781323000028307</v>
      </c>
      <c r="E489">
        <v>3.7707754512906644</v>
      </c>
      <c r="F489">
        <v>1.5563025007672873</v>
      </c>
      <c r="G489" s="45">
        <v>2.3199999999999998</v>
      </c>
      <c r="H489" s="29">
        <f t="shared" si="121"/>
        <v>0.36548798489089962</v>
      </c>
      <c r="I489" s="9">
        <v>2.1238516409670858</v>
      </c>
      <c r="J489" s="34">
        <v>0.12057393120584989</v>
      </c>
      <c r="K489">
        <v>35</v>
      </c>
      <c r="L489" s="137">
        <f t="shared" si="122"/>
        <v>1.5440680443502757</v>
      </c>
      <c r="M489">
        <f t="shared" si="119"/>
        <v>1</v>
      </c>
      <c r="N489">
        <v>70</v>
      </c>
      <c r="O489">
        <v>70</v>
      </c>
      <c r="P489">
        <v>94.1</v>
      </c>
      <c r="Q489" s="137">
        <f t="shared" si="123"/>
        <v>1.973589623427257</v>
      </c>
      <c r="R489" s="34">
        <v>32.200000000000003</v>
      </c>
      <c r="S489" s="34">
        <f t="shared" si="124"/>
        <v>1.507855871695831</v>
      </c>
      <c r="T489" s="42">
        <v>43.9397801796012</v>
      </c>
      <c r="U489" s="42">
        <f t="shared" si="125"/>
        <v>1.6428578799166489</v>
      </c>
      <c r="V489">
        <v>3.3075667315086759</v>
      </c>
      <c r="W489" s="14">
        <v>2</v>
      </c>
      <c r="X489">
        <v>3.8308810053047755</v>
      </c>
      <c r="Y489">
        <v>8.653212513775344</v>
      </c>
      <c r="Z489" s="80">
        <v>7.7754333136157427E-2</v>
      </c>
      <c r="AA489">
        <v>7</v>
      </c>
      <c r="AB489">
        <f t="shared" si="126"/>
        <v>0</v>
      </c>
      <c r="AC489">
        <f t="shared" si="127"/>
        <v>0</v>
      </c>
      <c r="AD489">
        <f t="shared" si="128"/>
        <v>0</v>
      </c>
      <c r="AE489">
        <f t="shared" si="129"/>
        <v>0</v>
      </c>
      <c r="AF489">
        <f t="shared" si="130"/>
        <v>0</v>
      </c>
      <c r="AG489">
        <f t="shared" si="131"/>
        <v>0</v>
      </c>
      <c r="AH489">
        <f t="shared" si="132"/>
        <v>1</v>
      </c>
      <c r="AI489">
        <f t="shared" si="133"/>
        <v>0</v>
      </c>
      <c r="AJ489">
        <f t="shared" si="134"/>
        <v>0</v>
      </c>
      <c r="AK489">
        <f t="shared" si="135"/>
        <v>0</v>
      </c>
      <c r="AL489">
        <v>0</v>
      </c>
      <c r="AM489">
        <v>1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</row>
    <row r="490" spans="1:53" x14ac:dyDescent="0.35">
      <c r="A490">
        <v>0.25440374209725269</v>
      </c>
      <c r="C490">
        <v>8.706849315068494</v>
      </c>
      <c r="D490" s="137">
        <f t="shared" si="120"/>
        <v>0.93986102841488606</v>
      </c>
      <c r="E490">
        <v>3.7707754512906644</v>
      </c>
      <c r="F490">
        <v>0</v>
      </c>
      <c r="G490" s="45">
        <v>2.3199999999999998</v>
      </c>
      <c r="H490" s="29">
        <f t="shared" si="121"/>
        <v>0.36548798489089962</v>
      </c>
      <c r="I490" s="9">
        <v>2.1238516409670858</v>
      </c>
      <c r="J490" s="34">
        <v>0.41161970596323016</v>
      </c>
      <c r="K490">
        <v>30</v>
      </c>
      <c r="L490" s="137">
        <f t="shared" si="122"/>
        <v>1.4771212547196624</v>
      </c>
      <c r="M490">
        <f t="shared" si="119"/>
        <v>1</v>
      </c>
      <c r="N490">
        <v>70</v>
      </c>
      <c r="O490">
        <v>70</v>
      </c>
      <c r="P490">
        <v>90.8</v>
      </c>
      <c r="Q490" s="137">
        <f t="shared" si="123"/>
        <v>1.958085848521085</v>
      </c>
      <c r="R490" s="34">
        <v>32.299999999999997</v>
      </c>
      <c r="S490" s="34">
        <f t="shared" si="124"/>
        <v>1.5092025223311027</v>
      </c>
      <c r="T490" s="42">
        <v>44.4007960521485</v>
      </c>
      <c r="U490" s="42">
        <f t="shared" si="125"/>
        <v>1.6473907565550749</v>
      </c>
      <c r="V490">
        <v>3.3075667315086759</v>
      </c>
      <c r="W490" s="14">
        <v>2</v>
      </c>
      <c r="X490">
        <v>3.8308810053047755</v>
      </c>
      <c r="Y490">
        <v>8.6201360549737576</v>
      </c>
      <c r="Z490" s="80">
        <v>0.93396655738643153</v>
      </c>
      <c r="AA490">
        <v>5</v>
      </c>
      <c r="AB490">
        <f t="shared" si="126"/>
        <v>0</v>
      </c>
      <c r="AC490">
        <f t="shared" si="127"/>
        <v>0</v>
      </c>
      <c r="AD490">
        <f t="shared" si="128"/>
        <v>0</v>
      </c>
      <c r="AE490">
        <f t="shared" si="129"/>
        <v>0</v>
      </c>
      <c r="AF490">
        <f t="shared" si="130"/>
        <v>1</v>
      </c>
      <c r="AG490">
        <f t="shared" si="131"/>
        <v>0</v>
      </c>
      <c r="AH490">
        <f t="shared" si="132"/>
        <v>0</v>
      </c>
      <c r="AI490">
        <f t="shared" si="133"/>
        <v>0</v>
      </c>
      <c r="AJ490">
        <f t="shared" si="134"/>
        <v>0</v>
      </c>
      <c r="AK490">
        <f t="shared" si="135"/>
        <v>0</v>
      </c>
      <c r="AL490">
        <v>0</v>
      </c>
      <c r="AM490">
        <v>1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</row>
    <row r="491" spans="1:53" x14ac:dyDescent="0.35">
      <c r="A491">
        <v>0.36355068188178347</v>
      </c>
      <c r="C491">
        <v>4.9397260273972599</v>
      </c>
      <c r="D491" s="137">
        <f t="shared" si="120"/>
        <v>0.69370286226592726</v>
      </c>
      <c r="E491">
        <v>3.7707754512906644</v>
      </c>
      <c r="F491">
        <v>1.6532125137753437</v>
      </c>
      <c r="G491" s="45">
        <v>2.3199999999999998</v>
      </c>
      <c r="H491" s="29">
        <f t="shared" si="121"/>
        <v>0.36548798489089962</v>
      </c>
      <c r="I491" s="9">
        <v>2.1238516409670858</v>
      </c>
      <c r="J491" s="34">
        <v>0.24797326636180664</v>
      </c>
      <c r="K491">
        <v>24</v>
      </c>
      <c r="L491" s="137">
        <f t="shared" si="122"/>
        <v>1.3802112417116059</v>
      </c>
      <c r="M491">
        <f t="shared" si="119"/>
        <v>1</v>
      </c>
      <c r="N491">
        <v>70</v>
      </c>
      <c r="O491">
        <v>70</v>
      </c>
      <c r="P491">
        <v>85</v>
      </c>
      <c r="Q491" s="137">
        <f t="shared" si="123"/>
        <v>1.9294189257142926</v>
      </c>
      <c r="R491" s="34">
        <v>31.5</v>
      </c>
      <c r="S491" s="34">
        <f t="shared" si="124"/>
        <v>1.4983105537896004</v>
      </c>
      <c r="T491" s="42">
        <v>37.589394702761602</v>
      </c>
      <c r="U491" s="42">
        <f t="shared" si="125"/>
        <v>1.575065332381355</v>
      </c>
      <c r="V491">
        <v>3.3075667315086759</v>
      </c>
      <c r="W491" s="14">
        <v>2</v>
      </c>
      <c r="X491">
        <v>3.8308810053047755</v>
      </c>
      <c r="Y491">
        <v>8.7503926704250539</v>
      </c>
      <c r="Z491" s="80">
        <v>0.78592359569929537</v>
      </c>
      <c r="AA491">
        <v>7</v>
      </c>
      <c r="AB491">
        <f t="shared" si="126"/>
        <v>0</v>
      </c>
      <c r="AC491">
        <f t="shared" si="127"/>
        <v>0</v>
      </c>
      <c r="AD491">
        <f t="shared" si="128"/>
        <v>0</v>
      </c>
      <c r="AE491">
        <f t="shared" si="129"/>
        <v>0</v>
      </c>
      <c r="AF491">
        <f t="shared" si="130"/>
        <v>0</v>
      </c>
      <c r="AG491">
        <f t="shared" si="131"/>
        <v>0</v>
      </c>
      <c r="AH491">
        <f t="shared" si="132"/>
        <v>1</v>
      </c>
      <c r="AI491">
        <f t="shared" si="133"/>
        <v>0</v>
      </c>
      <c r="AJ491">
        <f t="shared" si="134"/>
        <v>0</v>
      </c>
      <c r="AK491">
        <f t="shared" si="135"/>
        <v>0</v>
      </c>
      <c r="AL491">
        <v>0</v>
      </c>
      <c r="AM491">
        <v>1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</row>
    <row r="492" spans="1:53" x14ac:dyDescent="0.35">
      <c r="A492">
        <v>0.13127891463931898</v>
      </c>
      <c r="C492">
        <v>2.6657534246575341</v>
      </c>
      <c r="D492" s="137">
        <f t="shared" si="120"/>
        <v>0.42581997581187719</v>
      </c>
      <c r="E492">
        <v>3.7916829312790057</v>
      </c>
      <c r="F492">
        <v>0</v>
      </c>
      <c r="G492" s="45">
        <v>2.72</v>
      </c>
      <c r="H492" s="29">
        <f t="shared" si="121"/>
        <v>0.43456890403419873</v>
      </c>
      <c r="I492" s="9">
        <v>3.0355631414974997</v>
      </c>
      <c r="J492" s="34">
        <v>8.6359830674748214E-2</v>
      </c>
      <c r="K492">
        <v>36</v>
      </c>
      <c r="L492" s="137">
        <f t="shared" si="122"/>
        <v>1.5563025007672873</v>
      </c>
      <c r="M492">
        <f t="shared" si="119"/>
        <v>1</v>
      </c>
      <c r="N492">
        <v>70</v>
      </c>
      <c r="O492">
        <v>90</v>
      </c>
      <c r="P492">
        <v>89.7</v>
      </c>
      <c r="Q492" s="137">
        <f t="shared" si="123"/>
        <v>1.9527924430440922</v>
      </c>
      <c r="R492" s="34">
        <v>37</v>
      </c>
      <c r="S492" s="34">
        <f t="shared" si="124"/>
        <v>1.568201724066995</v>
      </c>
      <c r="T492" s="42">
        <v>45.741556971826803</v>
      </c>
      <c r="U492" s="42">
        <f t="shared" si="125"/>
        <v>1.660310943234538</v>
      </c>
      <c r="V492">
        <v>3.3075667315086759</v>
      </c>
      <c r="W492" s="14">
        <v>2</v>
      </c>
      <c r="X492">
        <v>3.8308810053047755</v>
      </c>
      <c r="Y492">
        <v>9.2304489213782741</v>
      </c>
      <c r="Z492" s="80">
        <v>0.11229724666058472</v>
      </c>
      <c r="AA492">
        <v>8</v>
      </c>
      <c r="AB492">
        <f t="shared" si="126"/>
        <v>0</v>
      </c>
      <c r="AC492">
        <f t="shared" si="127"/>
        <v>0</v>
      </c>
      <c r="AD492">
        <f t="shared" si="128"/>
        <v>0</v>
      </c>
      <c r="AE492">
        <f t="shared" si="129"/>
        <v>0</v>
      </c>
      <c r="AF492">
        <f t="shared" si="130"/>
        <v>0</v>
      </c>
      <c r="AG492">
        <f t="shared" si="131"/>
        <v>0</v>
      </c>
      <c r="AH492">
        <f t="shared" si="132"/>
        <v>0</v>
      </c>
      <c r="AI492">
        <f t="shared" si="133"/>
        <v>1</v>
      </c>
      <c r="AJ492">
        <f t="shared" si="134"/>
        <v>0</v>
      </c>
      <c r="AK492">
        <f t="shared" si="135"/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</row>
    <row r="493" spans="1:53" x14ac:dyDescent="0.35">
      <c r="A493">
        <v>-2</v>
      </c>
      <c r="C493">
        <v>2.3232876712328765</v>
      </c>
      <c r="D493" s="137">
        <f t="shared" si="120"/>
        <v>0.36610298780023909</v>
      </c>
      <c r="E493">
        <v>3.8335760926148099</v>
      </c>
      <c r="F493">
        <v>1.8260748027008264</v>
      </c>
      <c r="G493" s="45">
        <v>2.85</v>
      </c>
      <c r="H493" s="29">
        <f t="shared" si="121"/>
        <v>0.45484486000851021</v>
      </c>
      <c r="I493" s="9">
        <v>2.9138138523837167</v>
      </c>
      <c r="J493" s="34">
        <v>-0.13076828026902382</v>
      </c>
      <c r="K493">
        <v>22</v>
      </c>
      <c r="L493" s="137">
        <f t="shared" si="122"/>
        <v>1.3424226808222062</v>
      </c>
      <c r="M493">
        <f t="shared" si="119"/>
        <v>1</v>
      </c>
      <c r="N493">
        <v>70</v>
      </c>
      <c r="O493">
        <v>70</v>
      </c>
      <c r="P493">
        <v>70</v>
      </c>
      <c r="Q493" s="137">
        <f t="shared" si="123"/>
        <v>1.8450980400142569</v>
      </c>
      <c r="R493" s="34">
        <v>36.200000000000003</v>
      </c>
      <c r="S493" s="34">
        <f t="shared" si="124"/>
        <v>1.5587085705331658</v>
      </c>
      <c r="T493" s="42">
        <v>44.748733746598099</v>
      </c>
      <c r="U493" s="42">
        <f t="shared" si="125"/>
        <v>1.6507807506095689</v>
      </c>
      <c r="V493">
        <v>3.3075667315086759</v>
      </c>
      <c r="W493" s="14">
        <v>2</v>
      </c>
      <c r="X493">
        <v>3.8308810053047755</v>
      </c>
      <c r="Y493">
        <v>9.0791812460476251</v>
      </c>
      <c r="Z493" s="80">
        <v>-0.2026840173880079</v>
      </c>
      <c r="AA493">
        <v>1</v>
      </c>
      <c r="AB493">
        <f t="shared" si="126"/>
        <v>1</v>
      </c>
      <c r="AC493">
        <f t="shared" si="127"/>
        <v>0</v>
      </c>
      <c r="AD493">
        <f t="shared" si="128"/>
        <v>0</v>
      </c>
      <c r="AE493">
        <f t="shared" si="129"/>
        <v>0</v>
      </c>
      <c r="AF493">
        <f t="shared" si="130"/>
        <v>0</v>
      </c>
      <c r="AG493">
        <f t="shared" si="131"/>
        <v>0</v>
      </c>
      <c r="AH493">
        <f t="shared" si="132"/>
        <v>0</v>
      </c>
      <c r="AI493">
        <f t="shared" si="133"/>
        <v>0</v>
      </c>
      <c r="AJ493">
        <f t="shared" si="134"/>
        <v>0</v>
      </c>
      <c r="AK493">
        <f t="shared" si="135"/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1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</row>
    <row r="494" spans="1:53" x14ac:dyDescent="0.35">
      <c r="A494">
        <v>-1.6020599913279621</v>
      </c>
      <c r="C494">
        <v>17.032876712328768</v>
      </c>
      <c r="D494" s="137">
        <f t="shared" si="120"/>
        <v>1.2312880029116811</v>
      </c>
      <c r="E494">
        <v>3.8584156743566731</v>
      </c>
      <c r="F494">
        <v>1.9030899869919435</v>
      </c>
      <c r="G494" s="45">
        <v>2.66</v>
      </c>
      <c r="H494" s="29">
        <f t="shared" si="121"/>
        <v>0.42488163663106698</v>
      </c>
      <c r="I494" s="9">
        <v>2.8134697878296753</v>
      </c>
      <c r="J494" s="34">
        <v>0.29885307640970665</v>
      </c>
      <c r="K494">
        <v>22</v>
      </c>
      <c r="L494" s="137">
        <f t="shared" si="122"/>
        <v>1.3424226808222062</v>
      </c>
      <c r="M494">
        <f t="shared" si="119"/>
        <v>1</v>
      </c>
      <c r="N494">
        <v>90</v>
      </c>
      <c r="O494">
        <v>70</v>
      </c>
      <c r="P494">
        <v>70</v>
      </c>
      <c r="Q494" s="137">
        <f t="shared" si="123"/>
        <v>1.8450980400142569</v>
      </c>
      <c r="R494" s="34">
        <v>40.57</v>
      </c>
      <c r="S494" s="34">
        <f t="shared" si="124"/>
        <v>1.6082050077043262</v>
      </c>
      <c r="T494" s="42">
        <v>46.612741748887998</v>
      </c>
      <c r="U494" s="42">
        <f t="shared" si="125"/>
        <v>1.6685046487680937</v>
      </c>
      <c r="V494">
        <v>3.3075667315086759</v>
      </c>
      <c r="W494" s="14">
        <v>2</v>
      </c>
      <c r="X494">
        <v>3.8308810053047755</v>
      </c>
      <c r="Y494">
        <v>9</v>
      </c>
      <c r="Z494" s="80">
        <v>0.3680181396783555</v>
      </c>
      <c r="AA494">
        <v>9</v>
      </c>
      <c r="AB494">
        <f t="shared" si="126"/>
        <v>0</v>
      </c>
      <c r="AC494">
        <f t="shared" si="127"/>
        <v>0</v>
      </c>
      <c r="AD494">
        <f t="shared" si="128"/>
        <v>0</v>
      </c>
      <c r="AE494">
        <f t="shared" si="129"/>
        <v>0</v>
      </c>
      <c r="AF494">
        <f t="shared" si="130"/>
        <v>0</v>
      </c>
      <c r="AG494">
        <f t="shared" si="131"/>
        <v>0</v>
      </c>
      <c r="AH494">
        <f t="shared" si="132"/>
        <v>0</v>
      </c>
      <c r="AI494">
        <f t="shared" si="133"/>
        <v>0</v>
      </c>
      <c r="AJ494">
        <f t="shared" si="134"/>
        <v>1</v>
      </c>
      <c r="AK494">
        <f t="shared" si="135"/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</row>
    <row r="495" spans="1:53" x14ac:dyDescent="0.35">
      <c r="A495">
        <v>0.13120336988464582</v>
      </c>
      <c r="C495">
        <v>9.6465753424657539</v>
      </c>
      <c r="D495" s="137">
        <f t="shared" si="120"/>
        <v>0.9843731606137095</v>
      </c>
      <c r="E495">
        <v>0</v>
      </c>
      <c r="F495">
        <v>2.1875207208364631</v>
      </c>
      <c r="G495" s="45">
        <v>2.95</v>
      </c>
      <c r="H495" s="29">
        <f t="shared" si="121"/>
        <v>0.46982201597816303</v>
      </c>
      <c r="I495" s="9">
        <v>0</v>
      </c>
      <c r="J495" s="34">
        <v>0.16136800223497488</v>
      </c>
      <c r="K495">
        <v>17</v>
      </c>
      <c r="L495" s="137">
        <f t="shared" si="122"/>
        <v>1.2304489213782739</v>
      </c>
      <c r="M495">
        <f t="shared" si="119"/>
        <v>0</v>
      </c>
      <c r="N495">
        <v>70</v>
      </c>
      <c r="O495">
        <v>70</v>
      </c>
      <c r="P495">
        <v>85</v>
      </c>
      <c r="Q495" s="137">
        <f t="shared" si="123"/>
        <v>1.9294189257142926</v>
      </c>
      <c r="R495" s="34">
        <v>24.9</v>
      </c>
      <c r="S495" s="34">
        <f t="shared" si="124"/>
        <v>1.3961993470957363</v>
      </c>
      <c r="T495" s="42">
        <v>36.710134890601303</v>
      </c>
      <c r="U495" s="42">
        <f t="shared" si="125"/>
        <v>1.564785980312654</v>
      </c>
      <c r="V495">
        <v>3.4636820971642801</v>
      </c>
      <c r="W495" s="14">
        <v>2</v>
      </c>
      <c r="X495">
        <v>3.6703795027080157</v>
      </c>
      <c r="Y495">
        <v>9.052066473798158</v>
      </c>
      <c r="Z495" s="80">
        <v>0.43668681888438865</v>
      </c>
      <c r="AA495">
        <v>2</v>
      </c>
      <c r="AB495">
        <f t="shared" si="126"/>
        <v>0</v>
      </c>
      <c r="AC495">
        <f t="shared" si="127"/>
        <v>1</v>
      </c>
      <c r="AD495">
        <f t="shared" si="128"/>
        <v>0</v>
      </c>
      <c r="AE495">
        <f t="shared" si="129"/>
        <v>0</v>
      </c>
      <c r="AF495">
        <f t="shared" si="130"/>
        <v>0</v>
      </c>
      <c r="AG495">
        <f t="shared" si="131"/>
        <v>0</v>
      </c>
      <c r="AH495">
        <f t="shared" si="132"/>
        <v>0</v>
      </c>
      <c r="AI495">
        <f t="shared" si="133"/>
        <v>0</v>
      </c>
      <c r="AJ495">
        <f t="shared" si="134"/>
        <v>0</v>
      </c>
      <c r="AK495">
        <f t="shared" si="135"/>
        <v>0</v>
      </c>
      <c r="AL495">
        <v>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</row>
    <row r="496" spans="1:53" x14ac:dyDescent="0.35">
      <c r="A496">
        <v>1.085692621382691</v>
      </c>
      <c r="C496">
        <v>8.8328767123287673</v>
      </c>
      <c r="D496" s="137">
        <f t="shared" si="120"/>
        <v>0.94610216867657837</v>
      </c>
      <c r="E496">
        <v>3.8229763963637051</v>
      </c>
      <c r="F496">
        <v>2.1105897102992488</v>
      </c>
      <c r="G496" s="45">
        <v>3.03</v>
      </c>
      <c r="H496" s="29">
        <f t="shared" si="121"/>
        <v>0.48144262850230496</v>
      </c>
      <c r="I496" s="9">
        <v>2.7113853790984517</v>
      </c>
      <c r="J496" s="34">
        <v>8.2785370316450071E-2</v>
      </c>
      <c r="K496">
        <v>17</v>
      </c>
      <c r="L496" s="137">
        <f t="shared" si="122"/>
        <v>1.2304489213782739</v>
      </c>
      <c r="M496">
        <f t="shared" si="119"/>
        <v>1</v>
      </c>
      <c r="N496">
        <v>70</v>
      </c>
      <c r="O496">
        <v>70</v>
      </c>
      <c r="P496">
        <v>70</v>
      </c>
      <c r="Q496" s="137">
        <f t="shared" si="123"/>
        <v>1.8450980400142569</v>
      </c>
      <c r="R496" s="34">
        <v>27.63</v>
      </c>
      <c r="S496" s="34">
        <f t="shared" si="124"/>
        <v>1.4413808849165113</v>
      </c>
      <c r="T496" s="42">
        <v>49.329709120205997</v>
      </c>
      <c r="U496" s="42">
        <f t="shared" si="125"/>
        <v>1.6931085545892062</v>
      </c>
      <c r="V496">
        <v>3.4636820971642801</v>
      </c>
      <c r="W496" s="14">
        <v>2</v>
      </c>
      <c r="X496">
        <v>3.6703795027080157</v>
      </c>
      <c r="Y496">
        <v>9.052066473798158</v>
      </c>
      <c r="Z496" s="80">
        <v>0.32634364422531359</v>
      </c>
      <c r="AA496">
        <v>2</v>
      </c>
      <c r="AB496">
        <f t="shared" si="126"/>
        <v>0</v>
      </c>
      <c r="AC496">
        <f t="shared" si="127"/>
        <v>1</v>
      </c>
      <c r="AD496">
        <f t="shared" si="128"/>
        <v>0</v>
      </c>
      <c r="AE496">
        <f t="shared" si="129"/>
        <v>0</v>
      </c>
      <c r="AF496">
        <f t="shared" si="130"/>
        <v>0</v>
      </c>
      <c r="AG496">
        <f t="shared" si="131"/>
        <v>0</v>
      </c>
      <c r="AH496">
        <f t="shared" si="132"/>
        <v>0</v>
      </c>
      <c r="AI496">
        <f t="shared" si="133"/>
        <v>0</v>
      </c>
      <c r="AJ496">
        <f t="shared" si="134"/>
        <v>0</v>
      </c>
      <c r="AK496">
        <f t="shared" si="135"/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1</v>
      </c>
      <c r="AZ496">
        <v>0</v>
      </c>
      <c r="BA496">
        <v>0</v>
      </c>
    </row>
    <row r="497" spans="1:53" x14ac:dyDescent="0.35">
      <c r="A497">
        <v>0.29559965097806595</v>
      </c>
      <c r="C497">
        <v>3.0657534246575344</v>
      </c>
      <c r="D497" s="137">
        <f t="shared" si="120"/>
        <v>0.48653722207187539</v>
      </c>
      <c r="E497">
        <v>3.7916829312790057</v>
      </c>
      <c r="F497">
        <v>2.0492180226701815</v>
      </c>
      <c r="G497" s="45">
        <v>2.72</v>
      </c>
      <c r="H497" s="29">
        <f t="shared" si="121"/>
        <v>0.43456890403419873</v>
      </c>
      <c r="I497" s="9">
        <v>3.0355631414974997</v>
      </c>
      <c r="J497" s="34">
        <v>-6.0480747381381476E-2</v>
      </c>
      <c r="K497">
        <v>16</v>
      </c>
      <c r="L497" s="137">
        <f t="shared" si="122"/>
        <v>1.2041199826559248</v>
      </c>
      <c r="M497">
        <f t="shared" si="119"/>
        <v>1</v>
      </c>
      <c r="N497">
        <v>95</v>
      </c>
      <c r="O497">
        <v>80</v>
      </c>
      <c r="P497">
        <v>70</v>
      </c>
      <c r="Q497" s="137">
        <f t="shared" si="123"/>
        <v>1.8450980400142569</v>
      </c>
      <c r="R497" s="34">
        <v>36.9</v>
      </c>
      <c r="S497" s="34">
        <f t="shared" si="124"/>
        <v>1.5670263661590604</v>
      </c>
      <c r="T497" s="42">
        <v>42.177001683602199</v>
      </c>
      <c r="U497" s="42">
        <f t="shared" si="125"/>
        <v>1.6250757029864513</v>
      </c>
      <c r="V497">
        <v>3.6224784109972026</v>
      </c>
      <c r="W497" s="14">
        <v>2</v>
      </c>
      <c r="X497">
        <v>3.7852505485064163</v>
      </c>
      <c r="Y497">
        <v>7.8704463376399296</v>
      </c>
      <c r="Z497" s="80">
        <v>-0.25666720330657811</v>
      </c>
      <c r="AA497">
        <v>1</v>
      </c>
      <c r="AB497">
        <f t="shared" si="126"/>
        <v>1</v>
      </c>
      <c r="AC497">
        <f t="shared" si="127"/>
        <v>0</v>
      </c>
      <c r="AD497">
        <f t="shared" si="128"/>
        <v>0</v>
      </c>
      <c r="AE497">
        <f t="shared" si="129"/>
        <v>0</v>
      </c>
      <c r="AF497">
        <f t="shared" si="130"/>
        <v>0</v>
      </c>
      <c r="AG497">
        <f t="shared" si="131"/>
        <v>0</v>
      </c>
      <c r="AH497">
        <f t="shared" si="132"/>
        <v>0</v>
      </c>
      <c r="AI497">
        <f t="shared" si="133"/>
        <v>0</v>
      </c>
      <c r="AJ497">
        <f t="shared" si="134"/>
        <v>0</v>
      </c>
      <c r="AK497">
        <f t="shared" si="135"/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</row>
    <row r="498" spans="1:53" x14ac:dyDescent="0.35">
      <c r="A498">
        <v>0.12860590118784496</v>
      </c>
      <c r="C498">
        <v>2.5671232876712327</v>
      </c>
      <c r="D498" s="137">
        <f t="shared" si="120"/>
        <v>0.40944672643130353</v>
      </c>
      <c r="E498">
        <v>3.8584156743566731</v>
      </c>
      <c r="F498">
        <v>2.2013971243204513</v>
      </c>
      <c r="G498" s="45">
        <v>2.66</v>
      </c>
      <c r="H498" s="29">
        <f t="shared" si="121"/>
        <v>0.42488163663106698</v>
      </c>
      <c r="I498" s="9">
        <v>2.8134697878296753</v>
      </c>
      <c r="J498" s="34">
        <v>0.13353890837021748</v>
      </c>
      <c r="K498">
        <v>27</v>
      </c>
      <c r="L498" s="137">
        <f t="shared" si="122"/>
        <v>1.4313637641589874</v>
      </c>
      <c r="M498">
        <f t="shared" si="119"/>
        <v>1</v>
      </c>
      <c r="N498">
        <v>90</v>
      </c>
      <c r="O498">
        <v>70</v>
      </c>
      <c r="P498">
        <v>77.3</v>
      </c>
      <c r="Q498" s="137">
        <f t="shared" si="123"/>
        <v>1.888179493918325</v>
      </c>
      <c r="R498" s="34">
        <v>41.91</v>
      </c>
      <c r="S498" s="34">
        <f t="shared" si="124"/>
        <v>1.6223176608338443</v>
      </c>
      <c r="T498" s="42">
        <v>49.378950814702399</v>
      </c>
      <c r="U498" s="42">
        <f t="shared" si="125"/>
        <v>1.6935418579688173</v>
      </c>
      <c r="V498">
        <v>3.6224784109972026</v>
      </c>
      <c r="W498" s="14">
        <v>2</v>
      </c>
      <c r="X498">
        <v>3.7852505485064163</v>
      </c>
      <c r="Y498">
        <v>8.7618151176130699</v>
      </c>
      <c r="Z498" s="80">
        <v>0.14005789713118988</v>
      </c>
      <c r="AA498">
        <v>3</v>
      </c>
      <c r="AB498">
        <f t="shared" si="126"/>
        <v>0</v>
      </c>
      <c r="AC498">
        <f t="shared" si="127"/>
        <v>0</v>
      </c>
      <c r="AD498">
        <f t="shared" si="128"/>
        <v>1</v>
      </c>
      <c r="AE498">
        <f t="shared" si="129"/>
        <v>0</v>
      </c>
      <c r="AF498">
        <f t="shared" si="130"/>
        <v>0</v>
      </c>
      <c r="AG498">
        <f t="shared" si="131"/>
        <v>0</v>
      </c>
      <c r="AH498">
        <f t="shared" si="132"/>
        <v>0</v>
      </c>
      <c r="AI498">
        <f t="shared" si="133"/>
        <v>0</v>
      </c>
      <c r="AJ498">
        <f t="shared" si="134"/>
        <v>0</v>
      </c>
      <c r="AK498">
        <f t="shared" si="135"/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</row>
    <row r="499" spans="1:53" x14ac:dyDescent="0.35">
      <c r="A499">
        <v>0.84764212996104238</v>
      </c>
      <c r="C499">
        <v>3.3506849315068492</v>
      </c>
      <c r="D499" s="137">
        <f t="shared" si="120"/>
        <v>0.52513359257981074</v>
      </c>
      <c r="E499">
        <v>3.7899753459779522</v>
      </c>
      <c r="F499">
        <v>0</v>
      </c>
      <c r="G499" s="45">
        <v>3.18</v>
      </c>
      <c r="H499" s="29">
        <f t="shared" si="121"/>
        <v>0.50242711998443268</v>
      </c>
      <c r="I499" s="9">
        <v>2.7670321178317625</v>
      </c>
      <c r="J499" s="34">
        <v>0.24551266781414982</v>
      </c>
      <c r="K499">
        <v>12</v>
      </c>
      <c r="L499" s="137">
        <f t="shared" si="122"/>
        <v>1.0791812460476249</v>
      </c>
      <c r="M499">
        <f t="shared" si="119"/>
        <v>1</v>
      </c>
      <c r="N499">
        <v>85</v>
      </c>
      <c r="O499">
        <v>80</v>
      </c>
      <c r="P499">
        <v>85.6</v>
      </c>
      <c r="Q499" s="137">
        <f t="shared" si="123"/>
        <v>1.9324737646771533</v>
      </c>
      <c r="R499" s="34">
        <v>43.3</v>
      </c>
      <c r="S499" s="34">
        <f t="shared" si="124"/>
        <v>1.6364878963533653</v>
      </c>
      <c r="T499" s="42">
        <v>56.2907330998475</v>
      </c>
      <c r="U499" s="42">
        <f t="shared" si="125"/>
        <v>1.750436904711814</v>
      </c>
      <c r="V499">
        <v>3.754643753838935</v>
      </c>
      <c r="W499" s="14">
        <v>1</v>
      </c>
      <c r="X499">
        <v>3.8024607474309908</v>
      </c>
      <c r="Y499">
        <v>7.4998244958395794</v>
      </c>
      <c r="Z499" s="80">
        <v>0.38904658192951591</v>
      </c>
      <c r="AA499">
        <v>9</v>
      </c>
      <c r="AB499">
        <f t="shared" si="126"/>
        <v>0</v>
      </c>
      <c r="AC499">
        <f t="shared" si="127"/>
        <v>0</v>
      </c>
      <c r="AD499">
        <f t="shared" si="128"/>
        <v>0</v>
      </c>
      <c r="AE499">
        <f t="shared" si="129"/>
        <v>0</v>
      </c>
      <c r="AF499">
        <f t="shared" si="130"/>
        <v>0</v>
      </c>
      <c r="AG499">
        <f t="shared" si="131"/>
        <v>0</v>
      </c>
      <c r="AH499">
        <f t="shared" si="132"/>
        <v>0</v>
      </c>
      <c r="AI499">
        <f t="shared" si="133"/>
        <v>0</v>
      </c>
      <c r="AJ499">
        <f t="shared" si="134"/>
        <v>1</v>
      </c>
      <c r="AK499">
        <f t="shared" si="135"/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1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</row>
    <row r="500" spans="1:53" x14ac:dyDescent="0.35">
      <c r="A500">
        <v>0.43805723188001999</v>
      </c>
      <c r="C500">
        <v>2.0301369863013701</v>
      </c>
      <c r="D500" s="137">
        <f t="shared" si="120"/>
        <v>0.30752534352285349</v>
      </c>
      <c r="E500">
        <v>3.7707754512906644</v>
      </c>
      <c r="F500">
        <v>1.3222192947339193</v>
      </c>
      <c r="G500" s="45">
        <v>2.3199999999999998</v>
      </c>
      <c r="H500" s="29">
        <f t="shared" si="121"/>
        <v>0.36548798489089962</v>
      </c>
      <c r="I500" s="9">
        <v>2.1238516409670858</v>
      </c>
      <c r="J500" s="34">
        <v>4.3213737826425782E-3</v>
      </c>
      <c r="K500">
        <v>7</v>
      </c>
      <c r="L500" s="137">
        <f t="shared" si="122"/>
        <v>0.84509804001425681</v>
      </c>
      <c r="M500">
        <f t="shared" si="119"/>
        <v>1</v>
      </c>
      <c r="N500">
        <v>70</v>
      </c>
      <c r="O500">
        <v>70</v>
      </c>
      <c r="P500">
        <v>91.5</v>
      </c>
      <c r="Q500" s="137">
        <f t="shared" si="123"/>
        <v>1.9614210940664483</v>
      </c>
      <c r="R500" s="34">
        <v>32.9</v>
      </c>
      <c r="S500" s="34">
        <f t="shared" si="124"/>
        <v>1.5171958979499742</v>
      </c>
      <c r="T500" s="42">
        <v>40.767390998852598</v>
      </c>
      <c r="U500" s="42">
        <f t="shared" si="125"/>
        <v>1.6103129186864549</v>
      </c>
      <c r="V500">
        <v>3.754643753838935</v>
      </c>
      <c r="W500" s="14">
        <v>1</v>
      </c>
      <c r="X500">
        <v>3.8024607474309908</v>
      </c>
      <c r="Y500">
        <v>7.7923916894982534</v>
      </c>
      <c r="Z500" s="80">
        <v>-6.4540264740006292E-2</v>
      </c>
      <c r="AA500">
        <v>9</v>
      </c>
      <c r="AB500">
        <f t="shared" si="126"/>
        <v>0</v>
      </c>
      <c r="AC500">
        <f t="shared" si="127"/>
        <v>0</v>
      </c>
      <c r="AD500">
        <f t="shared" si="128"/>
        <v>0</v>
      </c>
      <c r="AE500">
        <f t="shared" si="129"/>
        <v>0</v>
      </c>
      <c r="AF500">
        <f t="shared" si="130"/>
        <v>0</v>
      </c>
      <c r="AG500">
        <f t="shared" si="131"/>
        <v>0</v>
      </c>
      <c r="AH500">
        <f t="shared" si="132"/>
        <v>0</v>
      </c>
      <c r="AI500">
        <f t="shared" si="133"/>
        <v>0</v>
      </c>
      <c r="AJ500">
        <f t="shared" si="134"/>
        <v>1</v>
      </c>
      <c r="AK500">
        <f t="shared" si="135"/>
        <v>0</v>
      </c>
      <c r="AL500">
        <v>0</v>
      </c>
      <c r="AM500">
        <v>1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</row>
    <row r="501" spans="1:53" x14ac:dyDescent="0.35">
      <c r="A501">
        <v>0.61729995788469927</v>
      </c>
      <c r="C501">
        <v>6.0739726027397261</v>
      </c>
      <c r="D501" s="137">
        <f t="shared" si="120"/>
        <v>0.78347282865801349</v>
      </c>
      <c r="E501">
        <v>3.7707754512906644</v>
      </c>
      <c r="F501">
        <v>0.90308998699194354</v>
      </c>
      <c r="G501" s="45">
        <v>2.3199999999999998</v>
      </c>
      <c r="H501" s="29">
        <f t="shared" si="121"/>
        <v>0.36548798489089962</v>
      </c>
      <c r="I501" s="9">
        <v>2.1238516409670858</v>
      </c>
      <c r="J501" s="34">
        <v>8.6001717619175692E-3</v>
      </c>
      <c r="K501">
        <v>24</v>
      </c>
      <c r="L501" s="137">
        <f t="shared" si="122"/>
        <v>1.3802112417116059</v>
      </c>
      <c r="M501">
        <f t="shared" si="119"/>
        <v>1</v>
      </c>
      <c r="N501">
        <v>70</v>
      </c>
      <c r="O501">
        <v>70</v>
      </c>
      <c r="P501">
        <v>85</v>
      </c>
      <c r="Q501" s="137">
        <f t="shared" si="123"/>
        <v>1.9294189257142926</v>
      </c>
      <c r="R501" s="34">
        <v>32.299999999999997</v>
      </c>
      <c r="S501" s="34">
        <f t="shared" si="124"/>
        <v>1.5092025223311027</v>
      </c>
      <c r="T501" s="42">
        <v>40.040400531970803</v>
      </c>
      <c r="U501" s="42">
        <f t="shared" si="125"/>
        <v>1.6024984131617945</v>
      </c>
      <c r="V501">
        <v>3.3348710074773962</v>
      </c>
      <c r="W501" s="14">
        <v>5</v>
      </c>
      <c r="X501">
        <v>3.5008426709709495</v>
      </c>
      <c r="Y501">
        <v>7.5862496388660423</v>
      </c>
      <c r="Z501" s="80">
        <v>0.2221437349004789</v>
      </c>
      <c r="AA501">
        <v>9</v>
      </c>
      <c r="AB501">
        <f t="shared" si="126"/>
        <v>0</v>
      </c>
      <c r="AC501">
        <f t="shared" si="127"/>
        <v>0</v>
      </c>
      <c r="AD501">
        <f t="shared" si="128"/>
        <v>0</v>
      </c>
      <c r="AE501">
        <f t="shared" si="129"/>
        <v>0</v>
      </c>
      <c r="AF501">
        <f t="shared" si="130"/>
        <v>0</v>
      </c>
      <c r="AG501">
        <f t="shared" si="131"/>
        <v>0</v>
      </c>
      <c r="AH501">
        <f t="shared" si="132"/>
        <v>0</v>
      </c>
      <c r="AI501">
        <f t="shared" si="133"/>
        <v>0</v>
      </c>
      <c r="AJ501">
        <f t="shared" si="134"/>
        <v>1</v>
      </c>
      <c r="AK501">
        <f t="shared" si="135"/>
        <v>0</v>
      </c>
      <c r="AL501">
        <v>0</v>
      </c>
      <c r="AM501">
        <v>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</row>
    <row r="502" spans="1:53" x14ac:dyDescent="0.35">
      <c r="A502">
        <v>0.56544893688616582</v>
      </c>
      <c r="C502">
        <v>4.6630136986301371</v>
      </c>
      <c r="D502" s="137">
        <f t="shared" si="120"/>
        <v>0.66866669129209433</v>
      </c>
      <c r="E502">
        <v>3.7707754512906644</v>
      </c>
      <c r="F502">
        <v>1</v>
      </c>
      <c r="G502" s="45">
        <v>2.3199999999999998</v>
      </c>
      <c r="H502" s="29">
        <f t="shared" si="121"/>
        <v>0.36548798489089962</v>
      </c>
      <c r="I502" s="9">
        <v>2.1238516409670858</v>
      </c>
      <c r="J502" s="34">
        <v>0.26245108973042947</v>
      </c>
      <c r="K502">
        <v>23</v>
      </c>
      <c r="L502" s="137">
        <f t="shared" si="122"/>
        <v>1.3617278360175928</v>
      </c>
      <c r="M502">
        <f t="shared" si="119"/>
        <v>1</v>
      </c>
      <c r="N502">
        <v>70</v>
      </c>
      <c r="O502">
        <v>70</v>
      </c>
      <c r="P502">
        <v>85</v>
      </c>
      <c r="Q502" s="137">
        <f t="shared" si="123"/>
        <v>1.9294189257142926</v>
      </c>
      <c r="R502" s="34">
        <v>31.3</v>
      </c>
      <c r="S502" s="34">
        <f t="shared" si="124"/>
        <v>1.4955443375464486</v>
      </c>
      <c r="T502" s="42">
        <v>38.7850112673514</v>
      </c>
      <c r="U502" s="42">
        <f t="shared" si="125"/>
        <v>1.5886639219461918</v>
      </c>
      <c r="V502">
        <v>3.3348710074773962</v>
      </c>
      <c r="W502" s="14">
        <v>5</v>
      </c>
      <c r="X502">
        <v>3.5008426709709495</v>
      </c>
      <c r="Y502">
        <v>7.8692317197309762</v>
      </c>
      <c r="Z502" s="80">
        <v>0.91934541526115043</v>
      </c>
      <c r="AA502">
        <v>9</v>
      </c>
      <c r="AB502">
        <f t="shared" si="126"/>
        <v>0</v>
      </c>
      <c r="AC502">
        <f t="shared" si="127"/>
        <v>0</v>
      </c>
      <c r="AD502">
        <f t="shared" si="128"/>
        <v>0</v>
      </c>
      <c r="AE502">
        <f t="shared" si="129"/>
        <v>0</v>
      </c>
      <c r="AF502">
        <f t="shared" si="130"/>
        <v>0</v>
      </c>
      <c r="AG502">
        <f t="shared" si="131"/>
        <v>0</v>
      </c>
      <c r="AH502">
        <f t="shared" si="132"/>
        <v>0</v>
      </c>
      <c r="AI502">
        <f t="shared" si="133"/>
        <v>0</v>
      </c>
      <c r="AJ502">
        <f t="shared" si="134"/>
        <v>1</v>
      </c>
      <c r="AK502">
        <f t="shared" si="135"/>
        <v>0</v>
      </c>
      <c r="AL502">
        <v>0</v>
      </c>
      <c r="AM502">
        <v>1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</row>
    <row r="503" spans="1:53" x14ac:dyDescent="0.35">
      <c r="A503">
        <v>0.64341739841377443</v>
      </c>
      <c r="C503">
        <v>3.8219178082191783</v>
      </c>
      <c r="D503" s="137">
        <f t="shared" si="120"/>
        <v>0.58228134315314173</v>
      </c>
      <c r="E503">
        <v>3.8335760926148099</v>
      </c>
      <c r="F503">
        <v>0</v>
      </c>
      <c r="G503" s="45">
        <v>2.85</v>
      </c>
      <c r="H503" s="29">
        <f t="shared" si="121"/>
        <v>0.45484486000851021</v>
      </c>
      <c r="I503" s="9">
        <v>2.9138138523837167</v>
      </c>
      <c r="J503" s="34">
        <v>0.18184358794477254</v>
      </c>
      <c r="K503">
        <v>32</v>
      </c>
      <c r="L503" s="137">
        <f t="shared" si="122"/>
        <v>1.505149978319906</v>
      </c>
      <c r="M503">
        <f t="shared" si="119"/>
        <v>1</v>
      </c>
      <c r="N503">
        <v>70</v>
      </c>
      <c r="O503">
        <v>70</v>
      </c>
      <c r="P503">
        <v>90.5</v>
      </c>
      <c r="Q503" s="137">
        <f t="shared" si="123"/>
        <v>1.9566485792052033</v>
      </c>
      <c r="R503" s="34">
        <v>36.4</v>
      </c>
      <c r="S503" s="34">
        <f t="shared" si="124"/>
        <v>1.5611013836490559</v>
      </c>
      <c r="T503" s="42">
        <v>44.295389122127702</v>
      </c>
      <c r="U503" s="42">
        <f t="shared" si="125"/>
        <v>1.6463585211883986</v>
      </c>
      <c r="V503">
        <v>3.3348710074773962</v>
      </c>
      <c r="W503" s="14">
        <v>5</v>
      </c>
      <c r="X503">
        <v>3.5008426709709495</v>
      </c>
      <c r="Y503">
        <v>8.3747483460101044</v>
      </c>
      <c r="Z503" s="80">
        <v>0.14471590208076734</v>
      </c>
      <c r="AA503">
        <v>4</v>
      </c>
      <c r="AB503">
        <f t="shared" si="126"/>
        <v>0</v>
      </c>
      <c r="AC503">
        <f t="shared" si="127"/>
        <v>0</v>
      </c>
      <c r="AD503">
        <f t="shared" si="128"/>
        <v>0</v>
      </c>
      <c r="AE503">
        <f t="shared" si="129"/>
        <v>1</v>
      </c>
      <c r="AF503">
        <f t="shared" si="130"/>
        <v>0</v>
      </c>
      <c r="AG503">
        <f t="shared" si="131"/>
        <v>0</v>
      </c>
      <c r="AH503">
        <f t="shared" si="132"/>
        <v>0</v>
      </c>
      <c r="AI503">
        <f t="shared" si="133"/>
        <v>0</v>
      </c>
      <c r="AJ503">
        <f t="shared" si="134"/>
        <v>0</v>
      </c>
      <c r="AK503">
        <f t="shared" si="135"/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1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</row>
    <row r="504" spans="1:53" x14ac:dyDescent="0.35">
      <c r="A504">
        <v>6.8835171269757328E-2</v>
      </c>
      <c r="C504">
        <v>1.5342465753424657</v>
      </c>
      <c r="D504" s="137">
        <f t="shared" si="120"/>
        <v>0.18589516254972568</v>
      </c>
      <c r="E504">
        <v>3.8335760926148099</v>
      </c>
      <c r="F504">
        <v>0.95424250943932487</v>
      </c>
      <c r="G504" s="45">
        <v>2.85</v>
      </c>
      <c r="H504" s="29">
        <f t="shared" si="121"/>
        <v>0.45484486000851021</v>
      </c>
      <c r="I504" s="9">
        <v>2.9138138523837167</v>
      </c>
      <c r="J504" s="34">
        <v>0.11058971029924898</v>
      </c>
      <c r="K504">
        <v>22</v>
      </c>
      <c r="L504" s="137">
        <f t="shared" si="122"/>
        <v>1.3424226808222062</v>
      </c>
      <c r="M504">
        <f t="shared" si="119"/>
        <v>1</v>
      </c>
      <c r="N504">
        <v>70</v>
      </c>
      <c r="O504">
        <v>70</v>
      </c>
      <c r="P504">
        <v>70</v>
      </c>
      <c r="Q504" s="137">
        <f t="shared" si="123"/>
        <v>1.8450980400142569</v>
      </c>
      <c r="R504" s="34">
        <v>34.4</v>
      </c>
      <c r="S504" s="34">
        <f t="shared" si="124"/>
        <v>1.5365584425715302</v>
      </c>
      <c r="T504" s="42">
        <v>47.264053157349203</v>
      </c>
      <c r="U504" s="42">
        <f t="shared" si="125"/>
        <v>1.6745309620782511</v>
      </c>
      <c r="V504">
        <v>3.3348710074773962</v>
      </c>
      <c r="W504" s="14">
        <v>5</v>
      </c>
      <c r="X504">
        <v>3.5008426709709495</v>
      </c>
      <c r="Y504">
        <v>7.4661258704181996</v>
      </c>
      <c r="Z504" s="80">
        <v>8.4118058097361281E-2</v>
      </c>
      <c r="AA504">
        <v>9</v>
      </c>
      <c r="AB504">
        <f t="shared" si="126"/>
        <v>0</v>
      </c>
      <c r="AC504">
        <f t="shared" si="127"/>
        <v>0</v>
      </c>
      <c r="AD504">
        <f t="shared" si="128"/>
        <v>0</v>
      </c>
      <c r="AE504">
        <f t="shared" si="129"/>
        <v>0</v>
      </c>
      <c r="AF504">
        <f t="shared" si="130"/>
        <v>0</v>
      </c>
      <c r="AG504">
        <f t="shared" si="131"/>
        <v>0</v>
      </c>
      <c r="AH504">
        <f t="shared" si="132"/>
        <v>0</v>
      </c>
      <c r="AI504">
        <f t="shared" si="133"/>
        <v>0</v>
      </c>
      <c r="AJ504">
        <f t="shared" si="134"/>
        <v>1</v>
      </c>
      <c r="AK504">
        <f t="shared" si="135"/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1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</row>
    <row r="505" spans="1:53" x14ac:dyDescent="0.35">
      <c r="A505">
        <v>-0.33175447161478105</v>
      </c>
      <c r="C505">
        <v>8.0273972602739718</v>
      </c>
      <c r="D505" s="137">
        <f t="shared" si="120"/>
        <v>0.9045747558976347</v>
      </c>
      <c r="E505">
        <v>3.7707754512906644</v>
      </c>
      <c r="F505">
        <v>0</v>
      </c>
      <c r="G505" s="45">
        <v>2.3199999999999998</v>
      </c>
      <c r="H505" s="29">
        <f t="shared" si="121"/>
        <v>0.36548798489089962</v>
      </c>
      <c r="I505" s="9">
        <v>2.1238516409670858</v>
      </c>
      <c r="J505" s="34">
        <v>0.18752072083646307</v>
      </c>
      <c r="K505">
        <v>5</v>
      </c>
      <c r="L505" s="137">
        <f t="shared" si="122"/>
        <v>0.69897000433601886</v>
      </c>
      <c r="M505">
        <f t="shared" si="119"/>
        <v>1</v>
      </c>
      <c r="N505">
        <v>70</v>
      </c>
      <c r="O505">
        <v>70</v>
      </c>
      <c r="P505">
        <v>91.5</v>
      </c>
      <c r="Q505" s="137">
        <f t="shared" si="123"/>
        <v>1.9614210940664483</v>
      </c>
      <c r="R505" s="34">
        <v>32.9</v>
      </c>
      <c r="S505" s="34">
        <f t="shared" si="124"/>
        <v>1.5171958979499742</v>
      </c>
      <c r="T505" s="42">
        <v>40.767390998852598</v>
      </c>
      <c r="U505" s="42">
        <f t="shared" si="125"/>
        <v>1.6103129186864549</v>
      </c>
      <c r="V505">
        <v>3.3130759152940494</v>
      </c>
      <c r="W505" s="14">
        <v>5</v>
      </c>
      <c r="X505">
        <v>3.7917344972186413</v>
      </c>
      <c r="Y505">
        <v>8.7566361082458481</v>
      </c>
      <c r="Z505" s="80">
        <v>0.27700395465035732</v>
      </c>
      <c r="AA505">
        <v>5</v>
      </c>
      <c r="AB505">
        <f t="shared" si="126"/>
        <v>0</v>
      </c>
      <c r="AC505">
        <f t="shared" si="127"/>
        <v>0</v>
      </c>
      <c r="AD505">
        <f t="shared" si="128"/>
        <v>0</v>
      </c>
      <c r="AE505">
        <f t="shared" si="129"/>
        <v>0</v>
      </c>
      <c r="AF505">
        <f t="shared" si="130"/>
        <v>1</v>
      </c>
      <c r="AG505">
        <f t="shared" si="131"/>
        <v>0</v>
      </c>
      <c r="AH505">
        <f t="shared" si="132"/>
        <v>0</v>
      </c>
      <c r="AI505">
        <f t="shared" si="133"/>
        <v>0</v>
      </c>
      <c r="AJ505">
        <f t="shared" si="134"/>
        <v>0</v>
      </c>
      <c r="AK505">
        <f t="shared" si="135"/>
        <v>0</v>
      </c>
      <c r="AL505">
        <v>0</v>
      </c>
      <c r="AM505">
        <v>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</row>
    <row r="506" spans="1:53" x14ac:dyDescent="0.35">
      <c r="A506">
        <v>0.33686842089268865</v>
      </c>
      <c r="C506">
        <v>0.9452054794520548</v>
      </c>
      <c r="D506" s="137">
        <f t="shared" si="120"/>
        <v>-2.4473769383200585E-2</v>
      </c>
      <c r="E506">
        <v>3.7707754512906644</v>
      </c>
      <c r="F506">
        <v>2.0827853703164503</v>
      </c>
      <c r="G506" s="45">
        <v>2.3199999999999998</v>
      </c>
      <c r="H506" s="29">
        <f t="shared" si="121"/>
        <v>0.36548798489089962</v>
      </c>
      <c r="I506" s="9">
        <v>2.1238516409670858</v>
      </c>
      <c r="J506" s="34">
        <v>2.1189299069938092E-2</v>
      </c>
      <c r="K506">
        <v>3</v>
      </c>
      <c r="L506" s="137">
        <f t="shared" si="122"/>
        <v>0.47712125471966244</v>
      </c>
      <c r="M506">
        <f t="shared" si="119"/>
        <v>1</v>
      </c>
      <c r="N506">
        <v>70</v>
      </c>
      <c r="O506">
        <v>70</v>
      </c>
      <c r="P506">
        <v>85</v>
      </c>
      <c r="Q506" s="137">
        <f t="shared" si="123"/>
        <v>1.9294189257142926</v>
      </c>
      <c r="R506" s="34">
        <v>32.299999999999997</v>
      </c>
      <c r="S506" s="34">
        <f t="shared" si="124"/>
        <v>1.5092025223311027</v>
      </c>
      <c r="T506" s="42">
        <v>40.040400531970803</v>
      </c>
      <c r="U506" s="42">
        <f t="shared" si="125"/>
        <v>1.6024984131617945</v>
      </c>
      <c r="V506">
        <v>3.3130759152940494</v>
      </c>
      <c r="W506" s="14">
        <v>5</v>
      </c>
      <c r="X506">
        <v>3.7917344972186413</v>
      </c>
      <c r="Y506">
        <v>7.9684829485539348</v>
      </c>
      <c r="Z506" s="80">
        <v>0.1099964801126363</v>
      </c>
      <c r="AA506">
        <v>5</v>
      </c>
      <c r="AB506">
        <f t="shared" si="126"/>
        <v>0</v>
      </c>
      <c r="AC506">
        <f t="shared" si="127"/>
        <v>0</v>
      </c>
      <c r="AD506">
        <f t="shared" si="128"/>
        <v>0</v>
      </c>
      <c r="AE506">
        <f t="shared" si="129"/>
        <v>0</v>
      </c>
      <c r="AF506">
        <f t="shared" si="130"/>
        <v>1</v>
      </c>
      <c r="AG506">
        <f t="shared" si="131"/>
        <v>0</v>
      </c>
      <c r="AH506">
        <f t="shared" si="132"/>
        <v>0</v>
      </c>
      <c r="AI506">
        <f t="shared" si="133"/>
        <v>0</v>
      </c>
      <c r="AJ506">
        <f t="shared" si="134"/>
        <v>0</v>
      </c>
      <c r="AK506">
        <f t="shared" si="135"/>
        <v>0</v>
      </c>
      <c r="AL506">
        <v>0</v>
      </c>
      <c r="AM506">
        <v>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</row>
    <row r="507" spans="1:53" x14ac:dyDescent="0.35">
      <c r="A507">
        <v>-0.68983793479554678</v>
      </c>
      <c r="C507">
        <v>1.4931506849315068</v>
      </c>
      <c r="D507" s="137">
        <f t="shared" si="120"/>
        <v>0.17410363782016772</v>
      </c>
      <c r="E507">
        <v>3.7899753459779522</v>
      </c>
      <c r="F507">
        <v>0.84509804001425681</v>
      </c>
      <c r="G507" s="45">
        <v>3.18</v>
      </c>
      <c r="H507" s="29">
        <f t="shared" si="121"/>
        <v>0.50242711998443268</v>
      </c>
      <c r="I507" s="9">
        <v>2.7670321178317625</v>
      </c>
      <c r="J507" s="34">
        <v>4.1392685158225077E-2</v>
      </c>
      <c r="K507">
        <v>17</v>
      </c>
      <c r="L507" s="137">
        <f t="shared" si="122"/>
        <v>1.2304489213782739</v>
      </c>
      <c r="M507">
        <f t="shared" si="119"/>
        <v>1</v>
      </c>
      <c r="N507">
        <v>85</v>
      </c>
      <c r="O507">
        <v>80</v>
      </c>
      <c r="P507">
        <v>70</v>
      </c>
      <c r="Q507" s="137">
        <f t="shared" si="123"/>
        <v>1.8450980400142569</v>
      </c>
      <c r="R507" s="34">
        <v>42.4</v>
      </c>
      <c r="S507" s="34">
        <f t="shared" si="124"/>
        <v>1.6273658565927327</v>
      </c>
      <c r="T507" s="42">
        <v>52.984855215816303</v>
      </c>
      <c r="U507" s="42">
        <f t="shared" si="125"/>
        <v>1.7241517519382803</v>
      </c>
      <c r="V507">
        <v>3.4269037046073545</v>
      </c>
      <c r="W507" s="14">
        <v>1</v>
      </c>
      <c r="X507">
        <v>3.857855755812408</v>
      </c>
      <c r="Y507">
        <v>7.9030899869919438</v>
      </c>
      <c r="Z507" s="80">
        <v>0.2436007144204988</v>
      </c>
      <c r="AA507">
        <v>5</v>
      </c>
      <c r="AB507">
        <f t="shared" si="126"/>
        <v>0</v>
      </c>
      <c r="AC507">
        <f t="shared" si="127"/>
        <v>0</v>
      </c>
      <c r="AD507">
        <f t="shared" si="128"/>
        <v>0</v>
      </c>
      <c r="AE507">
        <f t="shared" si="129"/>
        <v>0</v>
      </c>
      <c r="AF507">
        <f t="shared" si="130"/>
        <v>1</v>
      </c>
      <c r="AG507">
        <f t="shared" si="131"/>
        <v>0</v>
      </c>
      <c r="AH507">
        <f t="shared" si="132"/>
        <v>0</v>
      </c>
      <c r="AI507">
        <f t="shared" si="133"/>
        <v>0</v>
      </c>
      <c r="AJ507">
        <f t="shared" si="134"/>
        <v>0</v>
      </c>
      <c r="AK507">
        <f t="shared" si="135"/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1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</row>
    <row r="508" spans="1:53" x14ac:dyDescent="0.35">
      <c r="A508">
        <v>-0.29039087892735133</v>
      </c>
      <c r="C508">
        <v>7.4821917808219176</v>
      </c>
      <c r="D508" s="137">
        <f t="shared" si="120"/>
        <v>0.87402883568325862</v>
      </c>
      <c r="E508">
        <v>3.8335760926148099</v>
      </c>
      <c r="F508">
        <v>0</v>
      </c>
      <c r="G508" s="45">
        <v>2.85</v>
      </c>
      <c r="H508" s="29">
        <f t="shared" si="121"/>
        <v>0.45484486000851021</v>
      </c>
      <c r="I508" s="9">
        <v>2.9138138523837167</v>
      </c>
      <c r="J508" s="34">
        <v>0.16731733474817609</v>
      </c>
      <c r="K508">
        <v>21</v>
      </c>
      <c r="L508" s="137">
        <f t="shared" si="122"/>
        <v>1.3222192947339193</v>
      </c>
      <c r="M508">
        <f t="shared" si="119"/>
        <v>1</v>
      </c>
      <c r="N508">
        <v>70</v>
      </c>
      <c r="O508">
        <v>70</v>
      </c>
      <c r="P508">
        <v>89.9</v>
      </c>
      <c r="Q508" s="137">
        <f t="shared" si="123"/>
        <v>1.9537596917332287</v>
      </c>
      <c r="R508" s="34">
        <v>35.4</v>
      </c>
      <c r="S508" s="34">
        <f t="shared" si="124"/>
        <v>1.5490032620257879</v>
      </c>
      <c r="T508" s="42">
        <v>43.572845019400901</v>
      </c>
      <c r="U508" s="42">
        <f t="shared" si="125"/>
        <v>1.6392159174268797</v>
      </c>
      <c r="V508">
        <v>3.4269037046073545</v>
      </c>
      <c r="W508" s="14">
        <v>1</v>
      </c>
      <c r="X508">
        <v>3.857855755812408</v>
      </c>
      <c r="Y508">
        <v>8.5440680443502757</v>
      </c>
      <c r="Z508" s="80">
        <v>0.14691086798550868</v>
      </c>
      <c r="AA508">
        <v>9</v>
      </c>
      <c r="AB508">
        <f t="shared" si="126"/>
        <v>0</v>
      </c>
      <c r="AC508">
        <f t="shared" si="127"/>
        <v>0</v>
      </c>
      <c r="AD508">
        <f t="shared" si="128"/>
        <v>0</v>
      </c>
      <c r="AE508">
        <f t="shared" si="129"/>
        <v>0</v>
      </c>
      <c r="AF508">
        <f t="shared" si="130"/>
        <v>0</v>
      </c>
      <c r="AG508">
        <f t="shared" si="131"/>
        <v>0</v>
      </c>
      <c r="AH508">
        <f t="shared" si="132"/>
        <v>0</v>
      </c>
      <c r="AI508">
        <f t="shared" si="133"/>
        <v>0</v>
      </c>
      <c r="AJ508">
        <f t="shared" si="134"/>
        <v>1</v>
      </c>
      <c r="AK508">
        <f t="shared" si="135"/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1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</row>
    <row r="509" spans="1:53" x14ac:dyDescent="0.35">
      <c r="A509">
        <v>0.39755231136672903</v>
      </c>
      <c r="C509">
        <v>8.3890410958904109</v>
      </c>
      <c r="D509" s="137">
        <f t="shared" si="120"/>
        <v>0.92371232190576746</v>
      </c>
      <c r="E509">
        <v>3.8229763963637051</v>
      </c>
      <c r="F509">
        <v>1.6232492903979006</v>
      </c>
      <c r="G509" s="45">
        <v>3.03</v>
      </c>
      <c r="H509" s="29">
        <f t="shared" si="121"/>
        <v>0.48144262850230496</v>
      </c>
      <c r="I509" s="9">
        <v>2.7113853790984517</v>
      </c>
      <c r="J509" s="34">
        <v>0.12057393120584989</v>
      </c>
      <c r="K509">
        <v>14</v>
      </c>
      <c r="L509" s="137">
        <f t="shared" si="122"/>
        <v>1.146128035678238</v>
      </c>
      <c r="M509">
        <f t="shared" si="119"/>
        <v>1</v>
      </c>
      <c r="N509">
        <v>70</v>
      </c>
      <c r="O509">
        <v>70</v>
      </c>
      <c r="P509">
        <v>70</v>
      </c>
      <c r="Q509" s="137">
        <f t="shared" si="123"/>
        <v>1.8450980400142569</v>
      </c>
      <c r="R509" s="34">
        <v>26.36</v>
      </c>
      <c r="S509" s="34">
        <f t="shared" si="124"/>
        <v>1.4209454059219722</v>
      </c>
      <c r="T509" s="42">
        <v>49.329709120205997</v>
      </c>
      <c r="U509" s="42">
        <f t="shared" si="125"/>
        <v>1.6931085545892062</v>
      </c>
      <c r="V509">
        <v>3.1611681223374744</v>
      </c>
      <c r="W509" s="14">
        <v>4</v>
      </c>
      <c r="X509">
        <v>3.6619163036888955</v>
      </c>
      <c r="Y509">
        <v>8.1139433523068369</v>
      </c>
      <c r="Z509" s="80">
        <v>0.25454538484833367</v>
      </c>
      <c r="AA509">
        <v>9</v>
      </c>
      <c r="AB509">
        <f t="shared" si="126"/>
        <v>0</v>
      </c>
      <c r="AC509">
        <f t="shared" si="127"/>
        <v>0</v>
      </c>
      <c r="AD509">
        <f t="shared" si="128"/>
        <v>0</v>
      </c>
      <c r="AE509">
        <f t="shared" si="129"/>
        <v>0</v>
      </c>
      <c r="AF509">
        <f t="shared" si="130"/>
        <v>0</v>
      </c>
      <c r="AG509">
        <f t="shared" si="131"/>
        <v>0</v>
      </c>
      <c r="AH509">
        <f t="shared" si="132"/>
        <v>0</v>
      </c>
      <c r="AI509">
        <f t="shared" si="133"/>
        <v>0</v>
      </c>
      <c r="AJ509">
        <f t="shared" si="134"/>
        <v>1</v>
      </c>
      <c r="AK509">
        <f t="shared" si="135"/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1</v>
      </c>
      <c r="AZ509">
        <v>0</v>
      </c>
      <c r="BA509">
        <v>0</v>
      </c>
    </row>
    <row r="510" spans="1:53" x14ac:dyDescent="0.35">
      <c r="A510">
        <v>0.5831746471675886</v>
      </c>
      <c r="C510">
        <v>3.4</v>
      </c>
      <c r="D510" s="137">
        <f t="shared" si="120"/>
        <v>0.53147891704225514</v>
      </c>
      <c r="E510">
        <v>3.8584156743566731</v>
      </c>
      <c r="F510">
        <v>1.3979400086720377</v>
      </c>
      <c r="G510" s="45">
        <v>2.66</v>
      </c>
      <c r="H510" s="29">
        <f t="shared" si="121"/>
        <v>0.42488163663106698</v>
      </c>
      <c r="I510" s="9">
        <v>2.8134697878296753</v>
      </c>
      <c r="J510" s="34">
        <v>0.11727129565576427</v>
      </c>
      <c r="K510">
        <v>12</v>
      </c>
      <c r="L510" s="137">
        <f t="shared" si="122"/>
        <v>1.0791812460476249</v>
      </c>
      <c r="M510">
        <f t="shared" si="119"/>
        <v>1</v>
      </c>
      <c r="N510">
        <v>90</v>
      </c>
      <c r="O510">
        <v>70</v>
      </c>
      <c r="P510">
        <v>76.900000000000006</v>
      </c>
      <c r="Q510" s="137">
        <f t="shared" si="123"/>
        <v>1.885926339801431</v>
      </c>
      <c r="R510" s="34">
        <v>44.05</v>
      </c>
      <c r="S510" s="34">
        <f t="shared" si="124"/>
        <v>1.6439459127480667</v>
      </c>
      <c r="T510" s="42">
        <v>51.064530698041601</v>
      </c>
      <c r="U510" s="42">
        <f t="shared" si="125"/>
        <v>1.7081193449348573</v>
      </c>
      <c r="V510">
        <v>3.792430514795639</v>
      </c>
      <c r="W510" s="14">
        <v>2</v>
      </c>
      <c r="X510">
        <v>3.5446460310848829</v>
      </c>
      <c r="Y510">
        <v>7.6720978579357171</v>
      </c>
      <c r="Z510" s="80">
        <v>0.11938197091478098</v>
      </c>
      <c r="AA510">
        <v>6</v>
      </c>
      <c r="AB510">
        <f t="shared" si="126"/>
        <v>0</v>
      </c>
      <c r="AC510">
        <f t="shared" si="127"/>
        <v>0</v>
      </c>
      <c r="AD510">
        <f t="shared" si="128"/>
        <v>0</v>
      </c>
      <c r="AE510">
        <f t="shared" si="129"/>
        <v>0</v>
      </c>
      <c r="AF510">
        <f t="shared" si="130"/>
        <v>0</v>
      </c>
      <c r="AG510">
        <f t="shared" si="131"/>
        <v>1</v>
      </c>
      <c r="AH510">
        <f t="shared" si="132"/>
        <v>0</v>
      </c>
      <c r="AI510">
        <f t="shared" si="133"/>
        <v>0</v>
      </c>
      <c r="AJ510">
        <f t="shared" si="134"/>
        <v>0</v>
      </c>
      <c r="AK510">
        <f t="shared" si="135"/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</row>
    <row r="511" spans="1:53" x14ac:dyDescent="0.35">
      <c r="A511">
        <v>0.19634405574552369</v>
      </c>
      <c r="C511">
        <v>4.5342465753424657</v>
      </c>
      <c r="D511" s="137">
        <f t="shared" si="120"/>
        <v>0.65650513365526286</v>
      </c>
      <c r="E511">
        <v>0</v>
      </c>
      <c r="F511">
        <v>1.7403626894942439</v>
      </c>
      <c r="G511" s="45">
        <v>2.95</v>
      </c>
      <c r="H511" s="29">
        <f t="shared" si="121"/>
        <v>0.46982201597816303</v>
      </c>
      <c r="I511" s="9">
        <v>0</v>
      </c>
      <c r="J511" s="34">
        <v>-7.0581074285707285E-2</v>
      </c>
      <c r="K511">
        <v>6</v>
      </c>
      <c r="L511" s="137">
        <f t="shared" si="122"/>
        <v>0.77815125038364363</v>
      </c>
      <c r="M511">
        <f t="shared" si="119"/>
        <v>0</v>
      </c>
      <c r="N511">
        <v>70</v>
      </c>
      <c r="O511">
        <v>70</v>
      </c>
      <c r="P511">
        <v>91.4</v>
      </c>
      <c r="Q511" s="137">
        <f t="shared" si="123"/>
        <v>1.9609461957338314</v>
      </c>
      <c r="R511" s="34">
        <v>26.7</v>
      </c>
      <c r="S511" s="34">
        <f t="shared" si="124"/>
        <v>1.4265112613645752</v>
      </c>
      <c r="T511" s="42">
        <v>37.425715444240403</v>
      </c>
      <c r="U511" s="42">
        <f t="shared" si="125"/>
        <v>1.5731701112332821</v>
      </c>
      <c r="V511">
        <v>3.792430514795639</v>
      </c>
      <c r="W511" s="14">
        <v>2</v>
      </c>
      <c r="X511">
        <v>3.5446460310848829</v>
      </c>
      <c r="Y511">
        <v>7.7476448193282481</v>
      </c>
      <c r="Z511" s="80">
        <v>-0.14525373151777132</v>
      </c>
      <c r="AA511">
        <v>6</v>
      </c>
      <c r="AB511">
        <f t="shared" si="126"/>
        <v>0</v>
      </c>
      <c r="AC511">
        <f t="shared" si="127"/>
        <v>0</v>
      </c>
      <c r="AD511">
        <f t="shared" si="128"/>
        <v>0</v>
      </c>
      <c r="AE511">
        <f t="shared" si="129"/>
        <v>0</v>
      </c>
      <c r="AF511">
        <f t="shared" si="130"/>
        <v>0</v>
      </c>
      <c r="AG511">
        <f t="shared" si="131"/>
        <v>1</v>
      </c>
      <c r="AH511">
        <f t="shared" si="132"/>
        <v>0</v>
      </c>
      <c r="AI511">
        <f t="shared" si="133"/>
        <v>0</v>
      </c>
      <c r="AJ511">
        <f t="shared" si="134"/>
        <v>0</v>
      </c>
      <c r="AK511">
        <f t="shared" si="135"/>
        <v>0</v>
      </c>
      <c r="AL511">
        <v>1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</row>
    <row r="512" spans="1:53" x14ac:dyDescent="0.35">
      <c r="A512">
        <v>-2.9999301058829555E-2</v>
      </c>
      <c r="C512">
        <v>14.665753424657535</v>
      </c>
      <c r="D512" s="137">
        <f t="shared" si="120"/>
        <v>1.1663043789269569</v>
      </c>
      <c r="E512">
        <v>3.8219626565950726</v>
      </c>
      <c r="F512">
        <v>1.954242509439325</v>
      </c>
      <c r="G512" s="45">
        <v>3.03</v>
      </c>
      <c r="H512" s="29">
        <f t="shared" si="121"/>
        <v>0.48144262850230496</v>
      </c>
      <c r="I512" s="9">
        <v>2.9079485216122722</v>
      </c>
      <c r="J512" s="34">
        <v>0.34635297445063856</v>
      </c>
      <c r="K512">
        <v>7</v>
      </c>
      <c r="L512" s="137">
        <f t="shared" si="122"/>
        <v>0.84509804001425681</v>
      </c>
      <c r="M512">
        <f t="shared" si="119"/>
        <v>1</v>
      </c>
      <c r="N512">
        <v>70</v>
      </c>
      <c r="O512">
        <v>70</v>
      </c>
      <c r="P512">
        <v>70</v>
      </c>
      <c r="Q512" s="137">
        <f t="shared" si="123"/>
        <v>1.8450980400142569</v>
      </c>
      <c r="R512" s="34">
        <v>45.2</v>
      </c>
      <c r="S512" s="34">
        <f t="shared" si="124"/>
        <v>1.6551384348113822</v>
      </c>
      <c r="T512" s="42">
        <v>53.8530722517336</v>
      </c>
      <c r="U512" s="42">
        <f t="shared" si="125"/>
        <v>1.7312104843083773</v>
      </c>
      <c r="V512">
        <v>3.4646002676582905</v>
      </c>
      <c r="W512" s="14">
        <v>1</v>
      </c>
      <c r="X512">
        <v>3.9695495619878729</v>
      </c>
      <c r="Y512">
        <v>8.5159051925510969</v>
      </c>
      <c r="Z512" s="80">
        <v>0.59976118173659065</v>
      </c>
      <c r="AA512">
        <v>5</v>
      </c>
      <c r="AB512">
        <f t="shared" si="126"/>
        <v>0</v>
      </c>
      <c r="AC512">
        <f t="shared" si="127"/>
        <v>0</v>
      </c>
      <c r="AD512">
        <f t="shared" si="128"/>
        <v>0</v>
      </c>
      <c r="AE512">
        <f t="shared" si="129"/>
        <v>0</v>
      </c>
      <c r="AF512">
        <f t="shared" si="130"/>
        <v>1</v>
      </c>
      <c r="AG512">
        <f t="shared" si="131"/>
        <v>0</v>
      </c>
      <c r="AH512">
        <f t="shared" si="132"/>
        <v>0</v>
      </c>
      <c r="AI512">
        <f t="shared" si="133"/>
        <v>0</v>
      </c>
      <c r="AJ512">
        <f t="shared" si="134"/>
        <v>0</v>
      </c>
      <c r="AK512">
        <f t="shared" si="135"/>
        <v>0</v>
      </c>
      <c r="AL512">
        <v>0</v>
      </c>
      <c r="AM512">
        <v>0</v>
      </c>
      <c r="AN512">
        <v>0</v>
      </c>
      <c r="AO512">
        <v>0</v>
      </c>
      <c r="AP512">
        <v>1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</row>
    <row r="513" spans="1:53" x14ac:dyDescent="0.35">
      <c r="A513">
        <v>0.59470324156447552</v>
      </c>
      <c r="C513">
        <v>2.9753424657534246</v>
      </c>
      <c r="D513" s="137">
        <f t="shared" si="120"/>
        <v>0.47353696079635343</v>
      </c>
      <c r="E513">
        <v>3.8335760926148099</v>
      </c>
      <c r="F513">
        <v>0.3010299956639812</v>
      </c>
      <c r="G513" s="45">
        <v>2.85</v>
      </c>
      <c r="H513" s="29">
        <f t="shared" si="121"/>
        <v>0.45484486000851021</v>
      </c>
      <c r="I513" s="9">
        <v>2.9138138523837167</v>
      </c>
      <c r="J513" s="34">
        <v>0.11058971029924898</v>
      </c>
      <c r="K513">
        <v>43</v>
      </c>
      <c r="L513" s="137">
        <f t="shared" si="122"/>
        <v>1.6334684555795864</v>
      </c>
      <c r="M513">
        <f t="shared" si="119"/>
        <v>1</v>
      </c>
      <c r="N513">
        <v>70</v>
      </c>
      <c r="O513">
        <v>70</v>
      </c>
      <c r="P513">
        <v>88.2</v>
      </c>
      <c r="Q513" s="137">
        <f t="shared" si="123"/>
        <v>1.9454685851318196</v>
      </c>
      <c r="R513" s="34">
        <v>37</v>
      </c>
      <c r="S513" s="34">
        <f t="shared" si="124"/>
        <v>1.568201724066995</v>
      </c>
      <c r="T513" s="42">
        <v>43.709255262622698</v>
      </c>
      <c r="U513" s="42">
        <f t="shared" si="125"/>
        <v>1.6405734068536693</v>
      </c>
      <c r="V513">
        <v>3.3900400165248765</v>
      </c>
      <c r="W513" s="14">
        <v>5</v>
      </c>
      <c r="X513">
        <v>3.8670608679422993</v>
      </c>
      <c r="Y513">
        <v>7.8061799739838875</v>
      </c>
      <c r="Z513" s="80">
        <v>9.0103576823838294E-2</v>
      </c>
      <c r="AA513">
        <v>9</v>
      </c>
      <c r="AB513">
        <f t="shared" si="126"/>
        <v>0</v>
      </c>
      <c r="AC513">
        <f t="shared" si="127"/>
        <v>0</v>
      </c>
      <c r="AD513">
        <f t="shared" si="128"/>
        <v>0</v>
      </c>
      <c r="AE513">
        <f t="shared" si="129"/>
        <v>0</v>
      </c>
      <c r="AF513">
        <f t="shared" si="130"/>
        <v>0</v>
      </c>
      <c r="AG513">
        <f t="shared" si="131"/>
        <v>0</v>
      </c>
      <c r="AH513">
        <f t="shared" si="132"/>
        <v>0</v>
      </c>
      <c r="AI513">
        <f t="shared" si="133"/>
        <v>0</v>
      </c>
      <c r="AJ513">
        <f t="shared" si="134"/>
        <v>1</v>
      </c>
      <c r="AK513">
        <f t="shared" si="135"/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1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</row>
    <row r="514" spans="1:53" x14ac:dyDescent="0.35">
      <c r="A514">
        <v>0.75379478743384321</v>
      </c>
      <c r="C514">
        <v>5.087671232876712</v>
      </c>
      <c r="D514" s="137">
        <f t="shared" si="120"/>
        <v>0.70651903928330573</v>
      </c>
      <c r="E514">
        <v>3.7899753459779522</v>
      </c>
      <c r="F514">
        <v>2.3961993470957363</v>
      </c>
      <c r="G514" s="45">
        <v>3.18</v>
      </c>
      <c r="H514" s="29">
        <f t="shared" si="121"/>
        <v>0.50242711998443268</v>
      </c>
      <c r="I514" s="9">
        <v>2.7670321178317625</v>
      </c>
      <c r="J514" s="34">
        <v>0.24054924828259971</v>
      </c>
      <c r="K514">
        <v>23</v>
      </c>
      <c r="L514" s="137">
        <f t="shared" si="122"/>
        <v>1.3617278360175928</v>
      </c>
      <c r="M514">
        <f t="shared" ref="M514:M577" si="136">IF(E514=0,0,1)</f>
        <v>1</v>
      </c>
      <c r="N514">
        <v>85</v>
      </c>
      <c r="O514">
        <v>80</v>
      </c>
      <c r="P514">
        <v>83.7</v>
      </c>
      <c r="Q514" s="137">
        <f t="shared" si="123"/>
        <v>1.92272545799326</v>
      </c>
      <c r="R514" s="34">
        <v>44.4</v>
      </c>
      <c r="S514" s="34">
        <f t="shared" si="124"/>
        <v>1.6473829701146199</v>
      </c>
      <c r="T514" s="42">
        <v>57.107272870025099</v>
      </c>
      <c r="U514" s="42">
        <f t="shared" si="125"/>
        <v>1.7566914211387032</v>
      </c>
      <c r="V514">
        <v>3.4625325554497</v>
      </c>
      <c r="W514" s="14">
        <v>2</v>
      </c>
      <c r="X514">
        <v>3.6240114106526287</v>
      </c>
      <c r="Y514">
        <v>7.461948495203762</v>
      </c>
      <c r="Z514" s="80">
        <v>0.36766701563724968</v>
      </c>
      <c r="AA514">
        <v>5</v>
      </c>
      <c r="AB514">
        <f t="shared" si="126"/>
        <v>0</v>
      </c>
      <c r="AC514">
        <f t="shared" si="127"/>
        <v>0</v>
      </c>
      <c r="AD514">
        <f t="shared" si="128"/>
        <v>0</v>
      </c>
      <c r="AE514">
        <f t="shared" si="129"/>
        <v>0</v>
      </c>
      <c r="AF514">
        <f t="shared" si="130"/>
        <v>1</v>
      </c>
      <c r="AG514">
        <f t="shared" si="131"/>
        <v>0</v>
      </c>
      <c r="AH514">
        <f t="shared" si="132"/>
        <v>0</v>
      </c>
      <c r="AI514">
        <f t="shared" si="133"/>
        <v>0</v>
      </c>
      <c r="AJ514">
        <f t="shared" si="134"/>
        <v>0</v>
      </c>
      <c r="AK514">
        <f t="shared" si="135"/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1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</row>
    <row r="515" spans="1:53" x14ac:dyDescent="0.35">
      <c r="A515">
        <v>0.24667233334138849</v>
      </c>
      <c r="C515">
        <v>4.3506849315068497</v>
      </c>
      <c r="D515" s="137">
        <f t="shared" ref="D515:D578" si="137">LOG(C515)</f>
        <v>0.63855763363460283</v>
      </c>
      <c r="E515">
        <v>3.7707754512906644</v>
      </c>
      <c r="F515">
        <v>1.3617278360175928</v>
      </c>
      <c r="G515" s="45">
        <v>2.3199999999999998</v>
      </c>
      <c r="H515" s="29">
        <f t="shared" ref="H515:H578" si="138">LOG(G515)</f>
        <v>0.36548798489089962</v>
      </c>
      <c r="I515" s="9">
        <v>2.1238516409670858</v>
      </c>
      <c r="J515" s="34">
        <v>4.1392685158225077E-2</v>
      </c>
      <c r="K515">
        <v>15</v>
      </c>
      <c r="L515" s="137">
        <f t="shared" ref="L515:L578" si="139">IF(K515=0,0,LOG(K515))</f>
        <v>1.1760912590556813</v>
      </c>
      <c r="M515">
        <f t="shared" si="136"/>
        <v>1</v>
      </c>
      <c r="N515">
        <v>70</v>
      </c>
      <c r="O515">
        <v>70</v>
      </c>
      <c r="P515">
        <v>90.8</v>
      </c>
      <c r="Q515" s="137">
        <f t="shared" ref="Q515:Q578" si="140">LOG(P515)</f>
        <v>1.958085848521085</v>
      </c>
      <c r="R515" s="34">
        <v>32.299999999999997</v>
      </c>
      <c r="S515" s="34">
        <f t="shared" ref="S515:S578" si="141">LOG(R515)</f>
        <v>1.5092025223311027</v>
      </c>
      <c r="T515" s="42">
        <v>44.4007960521485</v>
      </c>
      <c r="U515" s="42">
        <f t="shared" ref="U515:U578" si="142">LOG(T515)</f>
        <v>1.6473907565550749</v>
      </c>
      <c r="V515">
        <v>3.5314789170422549</v>
      </c>
      <c r="W515" s="14">
        <v>4</v>
      </c>
      <c r="X515">
        <v>3.9474994335880176</v>
      </c>
      <c r="Y515">
        <v>8.2304489213782741</v>
      </c>
      <c r="Z515" s="80">
        <v>0.11380813287716118</v>
      </c>
      <c r="AA515">
        <v>9</v>
      </c>
      <c r="AB515">
        <f t="shared" ref="AB515:AB578" si="143">IF(AA515=1,1,0)</f>
        <v>0</v>
      </c>
      <c r="AC515">
        <f t="shared" ref="AC515:AC578" si="144">IF(AA515=2,1,0)</f>
        <v>0</v>
      </c>
      <c r="AD515">
        <f t="shared" ref="AD515:AD578" si="145">IF(AA515=3,1,0)</f>
        <v>0</v>
      </c>
      <c r="AE515">
        <f t="shared" ref="AE515:AE578" si="146">IF(AA515=4,1,0)</f>
        <v>0</v>
      </c>
      <c r="AF515">
        <f t="shared" ref="AF515:AF578" si="147">IF(AA515=5,1,0)</f>
        <v>0</v>
      </c>
      <c r="AG515">
        <f t="shared" ref="AG515:AG578" si="148">IF(AA515=6,1,0)</f>
        <v>0</v>
      </c>
      <c r="AH515">
        <f t="shared" ref="AH515:AH578" si="149">IF(AA515=7,1,0)</f>
        <v>0</v>
      </c>
      <c r="AI515">
        <f t="shared" ref="AI515:AI578" si="150">IF(AA515=8,1,0)</f>
        <v>0</v>
      </c>
      <c r="AJ515">
        <f t="shared" ref="AJ515:AJ578" si="151">IF(AA515=9,1,0)</f>
        <v>1</v>
      </c>
      <c r="AK515">
        <f t="shared" ref="AK515:AK578" si="152">IF(AA515=10,1,0)</f>
        <v>0</v>
      </c>
      <c r="AL515">
        <v>0</v>
      </c>
      <c r="AM515">
        <v>1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</row>
    <row r="516" spans="1:53" x14ac:dyDescent="0.35">
      <c r="A516">
        <v>-0.15050885164204009</v>
      </c>
      <c r="C516">
        <v>5.0383561643835613</v>
      </c>
      <c r="D516" s="137">
        <f t="shared" si="137"/>
        <v>0.70228886478160268</v>
      </c>
      <c r="E516">
        <v>3.7916829312790057</v>
      </c>
      <c r="F516">
        <v>0.77815125038364363</v>
      </c>
      <c r="G516" s="45">
        <v>2.72</v>
      </c>
      <c r="H516" s="29">
        <f t="shared" si="138"/>
        <v>0.43456890403419873</v>
      </c>
      <c r="I516" s="9">
        <v>3.0355631414974997</v>
      </c>
      <c r="J516" s="34">
        <v>0.22271647114758325</v>
      </c>
      <c r="K516">
        <v>12</v>
      </c>
      <c r="L516" s="137">
        <f t="shared" si="139"/>
        <v>1.0791812460476249</v>
      </c>
      <c r="M516">
        <f t="shared" si="136"/>
        <v>1</v>
      </c>
      <c r="N516">
        <v>70</v>
      </c>
      <c r="O516">
        <v>90</v>
      </c>
      <c r="P516">
        <v>83</v>
      </c>
      <c r="Q516" s="137">
        <f t="shared" si="140"/>
        <v>1.919078092376074</v>
      </c>
      <c r="R516" s="34">
        <v>36.1</v>
      </c>
      <c r="S516" s="34">
        <f t="shared" si="141"/>
        <v>1.5575072019056579</v>
      </c>
      <c r="T516" s="42">
        <v>46.521758221126703</v>
      </c>
      <c r="U516" s="42">
        <f t="shared" si="142"/>
        <v>1.6676561198849535</v>
      </c>
      <c r="V516">
        <v>3.1630287862164392</v>
      </c>
      <c r="W516" s="14">
        <v>1</v>
      </c>
      <c r="X516">
        <v>3.8199093495153855</v>
      </c>
      <c r="Y516">
        <v>8.3408405498123308</v>
      </c>
      <c r="Z516" s="80">
        <v>0.22959131124676158</v>
      </c>
      <c r="AA516">
        <v>3</v>
      </c>
      <c r="AB516">
        <f t="shared" si="143"/>
        <v>0</v>
      </c>
      <c r="AC516">
        <f t="shared" si="144"/>
        <v>0</v>
      </c>
      <c r="AD516">
        <f t="shared" si="145"/>
        <v>1</v>
      </c>
      <c r="AE516">
        <f t="shared" si="146"/>
        <v>0</v>
      </c>
      <c r="AF516">
        <f t="shared" si="147"/>
        <v>0</v>
      </c>
      <c r="AG516">
        <f t="shared" si="148"/>
        <v>0</v>
      </c>
      <c r="AH516">
        <f t="shared" si="149"/>
        <v>0</v>
      </c>
      <c r="AI516">
        <f t="shared" si="150"/>
        <v>0</v>
      </c>
      <c r="AJ516">
        <f t="shared" si="151"/>
        <v>0</v>
      </c>
      <c r="AK516">
        <f t="shared" si="152"/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1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</row>
    <row r="517" spans="1:53" x14ac:dyDescent="0.35">
      <c r="A517">
        <v>-0.36768611887009245</v>
      </c>
      <c r="C517">
        <v>2.0767123287671234</v>
      </c>
      <c r="D517" s="137">
        <f t="shared" si="137"/>
        <v>0.31737634117557884</v>
      </c>
      <c r="E517">
        <v>3.8335760926148099</v>
      </c>
      <c r="F517">
        <v>2</v>
      </c>
      <c r="G517" s="45">
        <v>2.85</v>
      </c>
      <c r="H517" s="29">
        <f t="shared" si="138"/>
        <v>0.45484486000851021</v>
      </c>
      <c r="I517" s="9">
        <v>2.9138138523837167</v>
      </c>
      <c r="J517" s="34">
        <v>9.3421685162235063E-2</v>
      </c>
      <c r="K517">
        <v>4</v>
      </c>
      <c r="L517" s="137">
        <f t="shared" si="139"/>
        <v>0.6020599913279624</v>
      </c>
      <c r="M517">
        <f t="shared" si="136"/>
        <v>1</v>
      </c>
      <c r="N517">
        <v>70</v>
      </c>
      <c r="O517">
        <v>70</v>
      </c>
      <c r="P517">
        <v>70</v>
      </c>
      <c r="Q517" s="137">
        <f t="shared" si="140"/>
        <v>1.8450980400142569</v>
      </c>
      <c r="R517" s="34">
        <v>33.9</v>
      </c>
      <c r="S517" s="34">
        <f t="shared" si="141"/>
        <v>1.5301996982030821</v>
      </c>
      <c r="T517" s="42">
        <v>46.200073016176603</v>
      </c>
      <c r="U517" s="42">
        <f t="shared" si="142"/>
        <v>1.664642661930531</v>
      </c>
      <c r="V517">
        <v>3.1630287862164392</v>
      </c>
      <c r="W517" s="14">
        <v>1</v>
      </c>
      <c r="X517">
        <v>3.8199093495153855</v>
      </c>
      <c r="Y517">
        <v>9.0863598306747484</v>
      </c>
      <c r="Z517" s="80">
        <v>0.35108180801180588</v>
      </c>
      <c r="AA517">
        <v>8</v>
      </c>
      <c r="AB517">
        <f t="shared" si="143"/>
        <v>0</v>
      </c>
      <c r="AC517">
        <f t="shared" si="144"/>
        <v>0</v>
      </c>
      <c r="AD517">
        <f t="shared" si="145"/>
        <v>0</v>
      </c>
      <c r="AE517">
        <f t="shared" si="146"/>
        <v>0</v>
      </c>
      <c r="AF517">
        <f t="shared" si="147"/>
        <v>0</v>
      </c>
      <c r="AG517">
        <f t="shared" si="148"/>
        <v>0</v>
      </c>
      <c r="AH517">
        <f t="shared" si="149"/>
        <v>0</v>
      </c>
      <c r="AI517">
        <f t="shared" si="150"/>
        <v>1</v>
      </c>
      <c r="AJ517">
        <f t="shared" si="151"/>
        <v>0</v>
      </c>
      <c r="AK517">
        <f t="shared" si="152"/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1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</row>
    <row r="518" spans="1:53" x14ac:dyDescent="0.35">
      <c r="A518">
        <v>0.66216735642827007</v>
      </c>
      <c r="C518">
        <v>2.419178082191781</v>
      </c>
      <c r="D518" s="137">
        <f t="shared" si="137"/>
        <v>0.38366783912109392</v>
      </c>
      <c r="E518">
        <v>3.7845345619950592</v>
      </c>
      <c r="F518">
        <v>1.3424226808222062</v>
      </c>
      <c r="G518" s="45">
        <v>2.81</v>
      </c>
      <c r="H518" s="29">
        <f t="shared" si="138"/>
        <v>0.44870631990507992</v>
      </c>
      <c r="I518" s="9">
        <v>2.9168924084376502</v>
      </c>
      <c r="J518" s="34">
        <v>-1.322826573375516E-2</v>
      </c>
      <c r="K518">
        <v>70</v>
      </c>
      <c r="L518" s="137">
        <f t="shared" si="139"/>
        <v>1.8450980400142569</v>
      </c>
      <c r="M518">
        <f t="shared" si="136"/>
        <v>1</v>
      </c>
      <c r="N518">
        <v>70</v>
      </c>
      <c r="O518">
        <v>50</v>
      </c>
      <c r="P518">
        <v>70</v>
      </c>
      <c r="Q518" s="137">
        <f t="shared" si="140"/>
        <v>1.8450980400142569</v>
      </c>
      <c r="R518" s="34">
        <v>32.840000000000003</v>
      </c>
      <c r="S518" s="34">
        <f t="shared" si="141"/>
        <v>1.5164031484474032</v>
      </c>
      <c r="T518" s="42">
        <v>38.458217540970502</v>
      </c>
      <c r="U518" s="42">
        <f t="shared" si="142"/>
        <v>1.5849891517157813</v>
      </c>
      <c r="V518">
        <v>3.3779512479807074</v>
      </c>
      <c r="W518" s="14">
        <v>3</v>
      </c>
      <c r="X518">
        <v>3.7669888618571257</v>
      </c>
      <c r="Y518">
        <v>7.9965116721541785</v>
      </c>
      <c r="Z518" s="80">
        <v>-0.11408870754232148</v>
      </c>
      <c r="AA518">
        <v>6</v>
      </c>
      <c r="AB518">
        <f t="shared" si="143"/>
        <v>0</v>
      </c>
      <c r="AC518">
        <f t="shared" si="144"/>
        <v>0</v>
      </c>
      <c r="AD518">
        <f t="shared" si="145"/>
        <v>0</v>
      </c>
      <c r="AE518">
        <f t="shared" si="146"/>
        <v>0</v>
      </c>
      <c r="AF518">
        <f t="shared" si="147"/>
        <v>0</v>
      </c>
      <c r="AG518">
        <f t="shared" si="148"/>
        <v>1</v>
      </c>
      <c r="AH518">
        <f t="shared" si="149"/>
        <v>0</v>
      </c>
      <c r="AI518">
        <f t="shared" si="150"/>
        <v>0</v>
      </c>
      <c r="AJ518">
        <f t="shared" si="151"/>
        <v>0</v>
      </c>
      <c r="AK518">
        <f t="shared" si="152"/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1</v>
      </c>
      <c r="AW518">
        <v>0</v>
      </c>
      <c r="AX518">
        <v>0</v>
      </c>
      <c r="AY518">
        <v>0</v>
      </c>
      <c r="AZ518">
        <v>0</v>
      </c>
      <c r="BA518">
        <v>0</v>
      </c>
    </row>
    <row r="519" spans="1:53" x14ac:dyDescent="0.35">
      <c r="A519">
        <v>0.34733625860207795</v>
      </c>
      <c r="C519">
        <v>9.1452054794520556</v>
      </c>
      <c r="D519" s="137">
        <f t="shared" si="137"/>
        <v>0.96119346788675319</v>
      </c>
      <c r="E519">
        <v>3.7845345619950592</v>
      </c>
      <c r="F519">
        <v>1.2041199826559248</v>
      </c>
      <c r="G519" s="45">
        <v>2.81</v>
      </c>
      <c r="H519" s="29">
        <f t="shared" si="138"/>
        <v>0.44870631990507992</v>
      </c>
      <c r="I519" s="9">
        <v>2.9168924084376502</v>
      </c>
      <c r="J519" s="34">
        <v>3.7426497940623665E-2</v>
      </c>
      <c r="K519">
        <v>68</v>
      </c>
      <c r="L519" s="137">
        <f t="shared" si="139"/>
        <v>1.8325089127062364</v>
      </c>
      <c r="M519">
        <f t="shared" si="136"/>
        <v>1</v>
      </c>
      <c r="N519">
        <v>70</v>
      </c>
      <c r="O519">
        <v>50</v>
      </c>
      <c r="P519">
        <v>70</v>
      </c>
      <c r="Q519" s="137">
        <f t="shared" si="140"/>
        <v>1.8450980400142569</v>
      </c>
      <c r="R519" s="34">
        <v>33.08</v>
      </c>
      <c r="S519" s="34">
        <f t="shared" si="141"/>
        <v>1.5195655008805091</v>
      </c>
      <c r="T519" s="42">
        <v>39.934142779262203</v>
      </c>
      <c r="U519" s="42">
        <f t="shared" si="142"/>
        <v>1.6013443663637854</v>
      </c>
      <c r="V519">
        <v>3.3779512479807074</v>
      </c>
      <c r="W519" s="14">
        <v>3</v>
      </c>
      <c r="X519">
        <v>3.7669888618571257</v>
      </c>
      <c r="Y519">
        <v>8.6005481897240834</v>
      </c>
      <c r="Z519" s="80">
        <v>8.3075094144041239E-2</v>
      </c>
      <c r="AA519">
        <v>5</v>
      </c>
      <c r="AB519">
        <f t="shared" si="143"/>
        <v>0</v>
      </c>
      <c r="AC519">
        <f t="shared" si="144"/>
        <v>0</v>
      </c>
      <c r="AD519">
        <f t="shared" si="145"/>
        <v>0</v>
      </c>
      <c r="AE519">
        <f t="shared" si="146"/>
        <v>0</v>
      </c>
      <c r="AF519">
        <f t="shared" si="147"/>
        <v>1</v>
      </c>
      <c r="AG519">
        <f t="shared" si="148"/>
        <v>0</v>
      </c>
      <c r="AH519">
        <f t="shared" si="149"/>
        <v>0</v>
      </c>
      <c r="AI519">
        <f t="shared" si="150"/>
        <v>0</v>
      </c>
      <c r="AJ519">
        <f t="shared" si="151"/>
        <v>0</v>
      </c>
      <c r="AK519">
        <f t="shared" si="152"/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1</v>
      </c>
      <c r="AW519">
        <v>0</v>
      </c>
      <c r="AX519">
        <v>0</v>
      </c>
      <c r="AY519">
        <v>0</v>
      </c>
      <c r="AZ519">
        <v>0</v>
      </c>
      <c r="BA519">
        <v>0</v>
      </c>
    </row>
    <row r="520" spans="1:53" x14ac:dyDescent="0.35">
      <c r="A520">
        <v>-1.6531584835935944E-2</v>
      </c>
      <c r="C520">
        <v>2.1643835616438358</v>
      </c>
      <c r="D520" s="137">
        <f t="shared" si="137"/>
        <v>0.33533422683396674</v>
      </c>
      <c r="E520">
        <v>3.8335760926148099</v>
      </c>
      <c r="F520">
        <v>0.95424250943932487</v>
      </c>
      <c r="G520" s="45">
        <v>2.85</v>
      </c>
      <c r="H520" s="29">
        <f t="shared" si="138"/>
        <v>0.45484486000851021</v>
      </c>
      <c r="I520" s="9">
        <v>2.9138138523837167</v>
      </c>
      <c r="J520" s="34">
        <v>-9.1514981121350217E-2</v>
      </c>
      <c r="K520">
        <v>77</v>
      </c>
      <c r="L520" s="137">
        <f t="shared" si="139"/>
        <v>1.8864907251724818</v>
      </c>
      <c r="M520">
        <f t="shared" si="136"/>
        <v>1</v>
      </c>
      <c r="N520">
        <v>70</v>
      </c>
      <c r="O520">
        <v>70</v>
      </c>
      <c r="P520">
        <v>89.9</v>
      </c>
      <c r="Q520" s="137">
        <f t="shared" si="140"/>
        <v>1.9537596917332287</v>
      </c>
      <c r="R520" s="34">
        <v>35.4</v>
      </c>
      <c r="S520" s="34">
        <f t="shared" si="141"/>
        <v>1.5490032620257879</v>
      </c>
      <c r="T520" s="42">
        <v>43.572845019400901</v>
      </c>
      <c r="U520" s="42">
        <f t="shared" si="142"/>
        <v>1.6392159174268797</v>
      </c>
      <c r="V520">
        <v>3.3779512479807074</v>
      </c>
      <c r="W520" s="14">
        <v>3</v>
      </c>
      <c r="X520">
        <v>3.7669888618571257</v>
      </c>
      <c r="Y520">
        <v>8.7781512503836439</v>
      </c>
      <c r="Z520" s="80">
        <v>-0.11330069005136967</v>
      </c>
      <c r="AA520">
        <v>5</v>
      </c>
      <c r="AB520">
        <f t="shared" si="143"/>
        <v>0</v>
      </c>
      <c r="AC520">
        <f t="shared" si="144"/>
        <v>0</v>
      </c>
      <c r="AD520">
        <f t="shared" si="145"/>
        <v>0</v>
      </c>
      <c r="AE520">
        <f t="shared" si="146"/>
        <v>0</v>
      </c>
      <c r="AF520">
        <f t="shared" si="147"/>
        <v>1</v>
      </c>
      <c r="AG520">
        <f t="shared" si="148"/>
        <v>0</v>
      </c>
      <c r="AH520">
        <f t="shared" si="149"/>
        <v>0</v>
      </c>
      <c r="AI520">
        <f t="shared" si="150"/>
        <v>0</v>
      </c>
      <c r="AJ520">
        <f t="shared" si="151"/>
        <v>0</v>
      </c>
      <c r="AK520">
        <f t="shared" si="152"/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1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</row>
    <row r="521" spans="1:53" x14ac:dyDescent="0.35">
      <c r="A521">
        <v>-0.32057210338788111</v>
      </c>
      <c r="C521">
        <v>4.3698630136986303</v>
      </c>
      <c r="D521" s="137">
        <f t="shared" si="137"/>
        <v>0.64046782293672522</v>
      </c>
      <c r="E521">
        <v>3.7899753459779522</v>
      </c>
      <c r="F521">
        <v>2.1003705451175629</v>
      </c>
      <c r="G521" s="45">
        <v>3.18</v>
      </c>
      <c r="H521" s="29">
        <f t="shared" si="138"/>
        <v>0.50242711998443268</v>
      </c>
      <c r="I521" s="9">
        <v>2.7670321178317625</v>
      </c>
      <c r="J521" s="34">
        <v>-4.3648054024500883E-3</v>
      </c>
      <c r="K521">
        <v>4</v>
      </c>
      <c r="L521" s="137">
        <f t="shared" si="139"/>
        <v>0.6020599913279624</v>
      </c>
      <c r="M521">
        <f t="shared" si="136"/>
        <v>1</v>
      </c>
      <c r="N521">
        <v>85</v>
      </c>
      <c r="O521">
        <v>80</v>
      </c>
      <c r="P521">
        <v>88</v>
      </c>
      <c r="Q521" s="137">
        <f t="shared" si="140"/>
        <v>1.9444826721501687</v>
      </c>
      <c r="R521" s="34">
        <v>43.3</v>
      </c>
      <c r="S521" s="34">
        <f t="shared" si="141"/>
        <v>1.6364878963533653</v>
      </c>
      <c r="T521" s="42">
        <v>52.875711995394298</v>
      </c>
      <c r="U521" s="42">
        <f t="shared" si="142"/>
        <v>1.7232562283942385</v>
      </c>
      <c r="V521">
        <v>3.2986404739170001</v>
      </c>
      <c r="W521" s="14">
        <v>2</v>
      </c>
      <c r="X521">
        <v>3.7777539086524472</v>
      </c>
      <c r="Y521">
        <v>8.0413926851582254</v>
      </c>
      <c r="Z521" s="80">
        <v>4.7181798879579295E-2</v>
      </c>
      <c r="AA521">
        <v>5</v>
      </c>
      <c r="AB521">
        <f t="shared" si="143"/>
        <v>0</v>
      </c>
      <c r="AC521">
        <f t="shared" si="144"/>
        <v>0</v>
      </c>
      <c r="AD521">
        <f t="shared" si="145"/>
        <v>0</v>
      </c>
      <c r="AE521">
        <f t="shared" si="146"/>
        <v>0</v>
      </c>
      <c r="AF521">
        <f t="shared" si="147"/>
        <v>1</v>
      </c>
      <c r="AG521">
        <f t="shared" si="148"/>
        <v>0</v>
      </c>
      <c r="AH521">
        <f t="shared" si="149"/>
        <v>0</v>
      </c>
      <c r="AI521">
        <f t="shared" si="150"/>
        <v>0</v>
      </c>
      <c r="AJ521">
        <f t="shared" si="151"/>
        <v>0</v>
      </c>
      <c r="AK521">
        <f t="shared" si="152"/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1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</row>
    <row r="522" spans="1:53" x14ac:dyDescent="0.35">
      <c r="A522">
        <v>6.7848283429978257E-2</v>
      </c>
      <c r="C522">
        <v>4.0602739726027401</v>
      </c>
      <c r="D522" s="137">
        <f t="shared" si="137"/>
        <v>0.60855533918683469</v>
      </c>
      <c r="E522">
        <v>3.8052737966880943</v>
      </c>
      <c r="F522">
        <v>0.3010299956639812</v>
      </c>
      <c r="G522" s="45">
        <v>2.99</v>
      </c>
      <c r="H522" s="29">
        <f t="shared" si="138"/>
        <v>0.47567118832442967</v>
      </c>
      <c r="I522" s="9">
        <v>2.8414637553591628</v>
      </c>
      <c r="J522" s="34">
        <v>7.1882007306125359E-2</v>
      </c>
      <c r="K522">
        <v>152</v>
      </c>
      <c r="L522" s="137">
        <f t="shared" si="139"/>
        <v>2.1818435879447726</v>
      </c>
      <c r="M522">
        <f t="shared" si="136"/>
        <v>1</v>
      </c>
      <c r="N522">
        <v>90</v>
      </c>
      <c r="O522">
        <v>70</v>
      </c>
      <c r="P522">
        <v>85</v>
      </c>
      <c r="Q522" s="137">
        <f t="shared" si="140"/>
        <v>1.9294189257142926</v>
      </c>
      <c r="R522" s="34">
        <v>37.4</v>
      </c>
      <c r="S522" s="34">
        <f t="shared" si="141"/>
        <v>1.5728716022004801</v>
      </c>
      <c r="T522" s="42">
        <v>41.359233027230303</v>
      </c>
      <c r="U522" s="42">
        <f t="shared" si="142"/>
        <v>1.6165724765285823</v>
      </c>
      <c r="V522">
        <v>3.2986404739170001</v>
      </c>
      <c r="W522" s="14">
        <v>2</v>
      </c>
      <c r="X522">
        <v>3.7777539086524472</v>
      </c>
      <c r="Y522">
        <v>8.7403626894942441</v>
      </c>
      <c r="Z522" s="80">
        <v>0.21652900969141631</v>
      </c>
      <c r="AA522">
        <v>6</v>
      </c>
      <c r="AB522">
        <f t="shared" si="143"/>
        <v>0</v>
      </c>
      <c r="AC522">
        <f t="shared" si="144"/>
        <v>0</v>
      </c>
      <c r="AD522">
        <f t="shared" si="145"/>
        <v>0</v>
      </c>
      <c r="AE522">
        <f t="shared" si="146"/>
        <v>0</v>
      </c>
      <c r="AF522">
        <f t="shared" si="147"/>
        <v>0</v>
      </c>
      <c r="AG522">
        <f t="shared" si="148"/>
        <v>1</v>
      </c>
      <c r="AH522">
        <f t="shared" si="149"/>
        <v>0</v>
      </c>
      <c r="AI522">
        <f t="shared" si="150"/>
        <v>0</v>
      </c>
      <c r="AJ522">
        <f t="shared" si="151"/>
        <v>0</v>
      </c>
      <c r="AK522">
        <f t="shared" si="152"/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1</v>
      </c>
      <c r="AX522">
        <v>0</v>
      </c>
      <c r="AY522">
        <v>0</v>
      </c>
      <c r="AZ522">
        <v>0</v>
      </c>
      <c r="BA522">
        <v>0</v>
      </c>
    </row>
    <row r="523" spans="1:53" x14ac:dyDescent="0.35">
      <c r="A523">
        <v>0.21048150024803425</v>
      </c>
      <c r="C523">
        <v>4.7589041095890412</v>
      </c>
      <c r="D523" s="137">
        <f t="shared" si="137"/>
        <v>0.67750695399062388</v>
      </c>
      <c r="E523">
        <v>3.7899753459779522</v>
      </c>
      <c r="F523">
        <v>0</v>
      </c>
      <c r="G523" s="45">
        <v>3.18</v>
      </c>
      <c r="H523" s="29">
        <f t="shared" si="138"/>
        <v>0.50242711998443268</v>
      </c>
      <c r="I523" s="9">
        <v>2.7670321178317625</v>
      </c>
      <c r="J523" s="34">
        <v>-1.7728766960431602E-2</v>
      </c>
      <c r="K523">
        <v>0</v>
      </c>
      <c r="L523" s="137">
        <f t="shared" si="139"/>
        <v>0</v>
      </c>
      <c r="M523">
        <f t="shared" si="136"/>
        <v>1</v>
      </c>
      <c r="N523">
        <v>85</v>
      </c>
      <c r="O523">
        <v>80</v>
      </c>
      <c r="P523">
        <v>88</v>
      </c>
      <c r="Q523" s="137">
        <f t="shared" si="140"/>
        <v>1.9444826721501687</v>
      </c>
      <c r="R523" s="34">
        <v>43.3</v>
      </c>
      <c r="S523" s="34">
        <f t="shared" si="141"/>
        <v>1.6364878963533653</v>
      </c>
      <c r="T523" s="42">
        <v>52.875711995394298</v>
      </c>
      <c r="U523" s="42">
        <f t="shared" si="142"/>
        <v>1.7232562283942385</v>
      </c>
      <c r="V523">
        <v>3.1948131122613166</v>
      </c>
      <c r="W523" s="14">
        <v>4</v>
      </c>
      <c r="X523">
        <v>3.8305239132290598</v>
      </c>
      <c r="Y523">
        <v>8.6220274124582019</v>
      </c>
      <c r="Z523" s="80">
        <v>1.3417854236819515E-2</v>
      </c>
      <c r="AA523">
        <v>7</v>
      </c>
      <c r="AB523">
        <f t="shared" si="143"/>
        <v>0</v>
      </c>
      <c r="AC523">
        <f t="shared" si="144"/>
        <v>0</v>
      </c>
      <c r="AD523">
        <f t="shared" si="145"/>
        <v>0</v>
      </c>
      <c r="AE523">
        <f t="shared" si="146"/>
        <v>0</v>
      </c>
      <c r="AF523">
        <f t="shared" si="147"/>
        <v>0</v>
      </c>
      <c r="AG523">
        <f t="shared" si="148"/>
        <v>0</v>
      </c>
      <c r="AH523">
        <f t="shared" si="149"/>
        <v>1</v>
      </c>
      <c r="AI523">
        <f t="shared" si="150"/>
        <v>0</v>
      </c>
      <c r="AJ523">
        <f t="shared" si="151"/>
        <v>0</v>
      </c>
      <c r="AK523">
        <f t="shared" si="152"/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1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</row>
    <row r="524" spans="1:53" x14ac:dyDescent="0.35">
      <c r="A524">
        <v>0.28183944852207177</v>
      </c>
      <c r="C524">
        <v>2.1917808219178081</v>
      </c>
      <c r="D524" s="137">
        <f t="shared" si="137"/>
        <v>0.34079712253546884</v>
      </c>
      <c r="E524">
        <v>0</v>
      </c>
      <c r="F524">
        <v>1.7781512503836436</v>
      </c>
      <c r="G524" s="45">
        <v>3.18</v>
      </c>
      <c r="H524" s="29">
        <f t="shared" si="138"/>
        <v>0.50242711998443268</v>
      </c>
      <c r="I524" s="9">
        <v>0</v>
      </c>
      <c r="J524" s="34">
        <v>0.11394335230683679</v>
      </c>
      <c r="K524">
        <v>11</v>
      </c>
      <c r="L524" s="137">
        <f t="shared" si="139"/>
        <v>1.0413926851582251</v>
      </c>
      <c r="M524">
        <f t="shared" si="136"/>
        <v>0</v>
      </c>
      <c r="N524">
        <v>85</v>
      </c>
      <c r="O524">
        <v>80</v>
      </c>
      <c r="P524">
        <v>70</v>
      </c>
      <c r="Q524" s="137">
        <f t="shared" si="140"/>
        <v>1.8450980400142569</v>
      </c>
      <c r="R524" s="34">
        <v>42.9</v>
      </c>
      <c r="S524" s="34">
        <f t="shared" si="141"/>
        <v>1.6324572921847242</v>
      </c>
      <c r="T524" s="42">
        <v>53.2941466273667</v>
      </c>
      <c r="U524" s="42">
        <f t="shared" si="142"/>
        <v>1.7266795124593939</v>
      </c>
      <c r="V524">
        <v>3.0840515907405019</v>
      </c>
      <c r="W524" s="14">
        <v>2</v>
      </c>
      <c r="X524">
        <v>3.9050357126538633</v>
      </c>
      <c r="Y524">
        <v>8.1903316981702918</v>
      </c>
      <c r="Z524" s="80">
        <v>0.40824820279984886</v>
      </c>
      <c r="AA524">
        <v>8</v>
      </c>
      <c r="AB524">
        <f t="shared" si="143"/>
        <v>0</v>
      </c>
      <c r="AC524">
        <f t="shared" si="144"/>
        <v>0</v>
      </c>
      <c r="AD524">
        <f t="shared" si="145"/>
        <v>0</v>
      </c>
      <c r="AE524">
        <f t="shared" si="146"/>
        <v>0</v>
      </c>
      <c r="AF524">
        <f t="shared" si="147"/>
        <v>0</v>
      </c>
      <c r="AG524">
        <f t="shared" si="148"/>
        <v>0</v>
      </c>
      <c r="AH524">
        <f t="shared" si="149"/>
        <v>0</v>
      </c>
      <c r="AI524">
        <f t="shared" si="150"/>
        <v>1</v>
      </c>
      <c r="AJ524">
        <f t="shared" si="151"/>
        <v>0</v>
      </c>
      <c r="AK524">
        <f t="shared" si="152"/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1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</row>
    <row r="525" spans="1:53" x14ac:dyDescent="0.35">
      <c r="A525">
        <v>0.15053715458329311</v>
      </c>
      <c r="C525">
        <v>3.3178082191780822</v>
      </c>
      <c r="D525" s="137">
        <f t="shared" si="137"/>
        <v>0.52085127868657755</v>
      </c>
      <c r="E525">
        <v>0</v>
      </c>
      <c r="F525">
        <v>2.0644579892269186</v>
      </c>
      <c r="G525" s="45">
        <v>3.18</v>
      </c>
      <c r="H525" s="29">
        <f t="shared" si="138"/>
        <v>0.50242711998443268</v>
      </c>
      <c r="I525" s="9">
        <v>0</v>
      </c>
      <c r="J525" s="34">
        <v>0.13987908640123647</v>
      </c>
      <c r="K525">
        <v>19</v>
      </c>
      <c r="L525" s="137">
        <f t="shared" si="139"/>
        <v>1.2787536009528289</v>
      </c>
      <c r="M525">
        <f t="shared" si="136"/>
        <v>0</v>
      </c>
      <c r="N525">
        <v>85</v>
      </c>
      <c r="O525">
        <v>80</v>
      </c>
      <c r="P525">
        <v>84</v>
      </c>
      <c r="Q525" s="137">
        <f t="shared" si="140"/>
        <v>1.9242792860618816</v>
      </c>
      <c r="R525" s="34">
        <v>45.4</v>
      </c>
      <c r="S525" s="34">
        <f t="shared" si="141"/>
        <v>1.657055852857104</v>
      </c>
      <c r="T525" s="42">
        <v>57.2278620378247</v>
      </c>
      <c r="U525" s="42">
        <f t="shared" si="142"/>
        <v>1.7576075215065206</v>
      </c>
      <c r="V525">
        <v>3.0840515907405019</v>
      </c>
      <c r="W525" s="14">
        <v>2</v>
      </c>
      <c r="X525">
        <v>3.9050357126538633</v>
      </c>
      <c r="Y525">
        <v>8.5440680443502757</v>
      </c>
      <c r="Z525" s="80">
        <v>0.14021026469675513</v>
      </c>
      <c r="AA525">
        <v>7</v>
      </c>
      <c r="AB525">
        <f t="shared" si="143"/>
        <v>0</v>
      </c>
      <c r="AC525">
        <f t="shared" si="144"/>
        <v>0</v>
      </c>
      <c r="AD525">
        <f t="shared" si="145"/>
        <v>0</v>
      </c>
      <c r="AE525">
        <f t="shared" si="146"/>
        <v>0</v>
      </c>
      <c r="AF525">
        <f t="shared" si="147"/>
        <v>0</v>
      </c>
      <c r="AG525">
        <f t="shared" si="148"/>
        <v>0</v>
      </c>
      <c r="AH525">
        <f t="shared" si="149"/>
        <v>1</v>
      </c>
      <c r="AI525">
        <f t="shared" si="150"/>
        <v>0</v>
      </c>
      <c r="AJ525">
        <f t="shared" si="151"/>
        <v>0</v>
      </c>
      <c r="AK525">
        <f t="shared" si="152"/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1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</row>
    <row r="526" spans="1:53" x14ac:dyDescent="0.35">
      <c r="A526">
        <v>0.2107296090219849</v>
      </c>
      <c r="C526">
        <v>2.5890410958904111</v>
      </c>
      <c r="D526" s="137">
        <f t="shared" si="137"/>
        <v>0.41313894405278828</v>
      </c>
      <c r="E526">
        <v>0</v>
      </c>
      <c r="F526">
        <v>2.012837224705172</v>
      </c>
      <c r="G526" s="45">
        <v>3.18</v>
      </c>
      <c r="H526" s="29">
        <f t="shared" si="138"/>
        <v>0.50242711998443268</v>
      </c>
      <c r="I526" s="9">
        <v>0</v>
      </c>
      <c r="J526" s="34">
        <v>0.14301480025409513</v>
      </c>
      <c r="K526">
        <v>9</v>
      </c>
      <c r="L526" s="137">
        <f t="shared" si="139"/>
        <v>0.95424250943932487</v>
      </c>
      <c r="M526">
        <f t="shared" si="136"/>
        <v>0</v>
      </c>
      <c r="N526">
        <v>85</v>
      </c>
      <c r="O526">
        <v>80</v>
      </c>
      <c r="P526">
        <v>70</v>
      </c>
      <c r="Q526" s="137">
        <f t="shared" si="140"/>
        <v>1.8450980400142569</v>
      </c>
      <c r="R526" s="34">
        <v>42.2</v>
      </c>
      <c r="S526" s="34">
        <f t="shared" si="141"/>
        <v>1.6253124509616739</v>
      </c>
      <c r="T526" s="42">
        <v>53.270504198897903</v>
      </c>
      <c r="U526" s="42">
        <f t="shared" si="142"/>
        <v>1.7264868073491786</v>
      </c>
      <c r="V526">
        <v>3.0840515907405019</v>
      </c>
      <c r="W526" s="14">
        <v>2</v>
      </c>
      <c r="X526">
        <v>3.9050357126538633</v>
      </c>
      <c r="Y526">
        <v>8.187210399650052</v>
      </c>
      <c r="Z526" s="80">
        <v>0.46069553942993369</v>
      </c>
      <c r="AA526">
        <v>1</v>
      </c>
      <c r="AB526">
        <f t="shared" si="143"/>
        <v>1</v>
      </c>
      <c r="AC526">
        <f t="shared" si="144"/>
        <v>0</v>
      </c>
      <c r="AD526">
        <f t="shared" si="145"/>
        <v>0</v>
      </c>
      <c r="AE526">
        <f t="shared" si="146"/>
        <v>0</v>
      </c>
      <c r="AF526">
        <f t="shared" si="147"/>
        <v>0</v>
      </c>
      <c r="AG526">
        <f t="shared" si="148"/>
        <v>0</v>
      </c>
      <c r="AH526">
        <f t="shared" si="149"/>
        <v>0</v>
      </c>
      <c r="AI526">
        <f t="shared" si="150"/>
        <v>0</v>
      </c>
      <c r="AJ526">
        <f t="shared" si="151"/>
        <v>0</v>
      </c>
      <c r="AK526">
        <f t="shared" si="152"/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1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</row>
    <row r="527" spans="1:53" x14ac:dyDescent="0.35">
      <c r="A527">
        <v>0.37281998167896813</v>
      </c>
      <c r="C527">
        <v>4.4821917808219176</v>
      </c>
      <c r="D527" s="137">
        <f t="shared" si="137"/>
        <v>0.65149043487882952</v>
      </c>
      <c r="E527">
        <v>0</v>
      </c>
      <c r="F527">
        <v>0.95424250943932487</v>
      </c>
      <c r="G527" s="45">
        <v>3.18</v>
      </c>
      <c r="H527" s="29">
        <f t="shared" si="138"/>
        <v>0.50242711998443268</v>
      </c>
      <c r="I527" s="9">
        <v>0</v>
      </c>
      <c r="J527" s="34">
        <v>0.2253092817258629</v>
      </c>
      <c r="K527">
        <v>17</v>
      </c>
      <c r="L527" s="137">
        <f t="shared" si="139"/>
        <v>1.2304489213782739</v>
      </c>
      <c r="M527">
        <f t="shared" si="136"/>
        <v>0</v>
      </c>
      <c r="N527">
        <v>85</v>
      </c>
      <c r="O527">
        <v>80</v>
      </c>
      <c r="P527">
        <v>85.6</v>
      </c>
      <c r="Q527" s="137">
        <f t="shared" si="140"/>
        <v>1.9324737646771533</v>
      </c>
      <c r="R527" s="34">
        <v>43.3</v>
      </c>
      <c r="S527" s="34">
        <f t="shared" si="141"/>
        <v>1.6364878963533653</v>
      </c>
      <c r="T527" s="42">
        <v>56.2907330998475</v>
      </c>
      <c r="U527" s="42">
        <f t="shared" si="142"/>
        <v>1.750436904711814</v>
      </c>
      <c r="V527">
        <v>3.0840515907405019</v>
      </c>
      <c r="W527" s="14">
        <v>2</v>
      </c>
      <c r="X527">
        <v>3.9050357126538633</v>
      </c>
      <c r="Y527">
        <v>8.3802112417116064</v>
      </c>
      <c r="Z527" s="80">
        <v>0.20822300909115765</v>
      </c>
      <c r="AA527">
        <v>8</v>
      </c>
      <c r="AB527">
        <f t="shared" si="143"/>
        <v>0</v>
      </c>
      <c r="AC527">
        <f t="shared" si="144"/>
        <v>0</v>
      </c>
      <c r="AD527">
        <f t="shared" si="145"/>
        <v>0</v>
      </c>
      <c r="AE527">
        <f t="shared" si="146"/>
        <v>0</v>
      </c>
      <c r="AF527">
        <f t="shared" si="147"/>
        <v>0</v>
      </c>
      <c r="AG527">
        <f t="shared" si="148"/>
        <v>0</v>
      </c>
      <c r="AH527">
        <f t="shared" si="149"/>
        <v>0</v>
      </c>
      <c r="AI527">
        <f t="shared" si="150"/>
        <v>1</v>
      </c>
      <c r="AJ527">
        <f t="shared" si="151"/>
        <v>0</v>
      </c>
      <c r="AK527">
        <f t="shared" si="152"/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1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</row>
    <row r="528" spans="1:53" x14ac:dyDescent="0.35">
      <c r="A528">
        <v>0.44773747703445277</v>
      </c>
      <c r="C528">
        <v>6.7342465753424658</v>
      </c>
      <c r="D528" s="137">
        <f t="shared" si="137"/>
        <v>0.82828901409396061</v>
      </c>
      <c r="E528">
        <v>0</v>
      </c>
      <c r="F528">
        <v>1.505149978319906</v>
      </c>
      <c r="G528" s="45">
        <v>3.18</v>
      </c>
      <c r="H528" s="29">
        <f t="shared" si="138"/>
        <v>0.50242711998443268</v>
      </c>
      <c r="I528" s="9">
        <v>0</v>
      </c>
      <c r="J528" s="34">
        <v>0.31386722036915343</v>
      </c>
      <c r="K528">
        <v>13</v>
      </c>
      <c r="L528" s="137">
        <f t="shared" si="139"/>
        <v>1.1139433523068367</v>
      </c>
      <c r="M528">
        <f t="shared" si="136"/>
        <v>0</v>
      </c>
      <c r="N528">
        <v>85</v>
      </c>
      <c r="O528">
        <v>80</v>
      </c>
      <c r="P528">
        <v>85.6</v>
      </c>
      <c r="Q528" s="137">
        <f t="shared" si="140"/>
        <v>1.9324737646771533</v>
      </c>
      <c r="R528" s="34">
        <v>43.3</v>
      </c>
      <c r="S528" s="34">
        <f t="shared" si="141"/>
        <v>1.6364878963533653</v>
      </c>
      <c r="T528" s="42">
        <v>56.2907330998475</v>
      </c>
      <c r="U528" s="42">
        <f t="shared" si="142"/>
        <v>1.750436904711814</v>
      </c>
      <c r="V528">
        <v>3.2258683344006376</v>
      </c>
      <c r="W528" s="14">
        <v>1</v>
      </c>
      <c r="X528">
        <v>3.9615291321450066</v>
      </c>
      <c r="Y528">
        <v>8.7283537820212285</v>
      </c>
      <c r="Z528" s="80">
        <v>0.27954079403681642</v>
      </c>
      <c r="AA528">
        <v>1</v>
      </c>
      <c r="AB528">
        <f t="shared" si="143"/>
        <v>1</v>
      </c>
      <c r="AC528">
        <f t="shared" si="144"/>
        <v>0</v>
      </c>
      <c r="AD528">
        <f t="shared" si="145"/>
        <v>0</v>
      </c>
      <c r="AE528">
        <f t="shared" si="146"/>
        <v>0</v>
      </c>
      <c r="AF528">
        <f t="shared" si="147"/>
        <v>0</v>
      </c>
      <c r="AG528">
        <f t="shared" si="148"/>
        <v>0</v>
      </c>
      <c r="AH528">
        <f t="shared" si="149"/>
        <v>0</v>
      </c>
      <c r="AI528">
        <f t="shared" si="150"/>
        <v>0</v>
      </c>
      <c r="AJ528">
        <f t="shared" si="151"/>
        <v>0</v>
      </c>
      <c r="AK528">
        <f t="shared" si="152"/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1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</row>
    <row r="529" spans="1:53" x14ac:dyDescent="0.35">
      <c r="A529">
        <v>0.30518595543513888</v>
      </c>
      <c r="C529">
        <v>5.095890410958904</v>
      </c>
      <c r="D529" s="137">
        <f t="shared" si="137"/>
        <v>0.70722007976144163</v>
      </c>
      <c r="E529">
        <v>0</v>
      </c>
      <c r="F529">
        <v>2.0293837776852097</v>
      </c>
      <c r="G529" s="45">
        <v>3.18</v>
      </c>
      <c r="H529" s="29">
        <f t="shared" si="138"/>
        <v>0.50242711998443268</v>
      </c>
      <c r="I529" s="9">
        <v>0</v>
      </c>
      <c r="J529" s="34">
        <v>-1.7728766960431602E-2</v>
      </c>
      <c r="K529">
        <v>8</v>
      </c>
      <c r="L529" s="137">
        <f t="shared" si="139"/>
        <v>0.90308998699194354</v>
      </c>
      <c r="M529">
        <f t="shared" si="136"/>
        <v>0</v>
      </c>
      <c r="N529">
        <v>85</v>
      </c>
      <c r="O529">
        <v>80</v>
      </c>
      <c r="P529">
        <v>88</v>
      </c>
      <c r="Q529" s="137">
        <f t="shared" si="140"/>
        <v>1.9444826721501687</v>
      </c>
      <c r="R529" s="34">
        <v>43.3</v>
      </c>
      <c r="S529" s="34">
        <f t="shared" si="141"/>
        <v>1.6364878963533653</v>
      </c>
      <c r="T529" s="42">
        <v>52.875711995394298</v>
      </c>
      <c r="U529" s="42">
        <f t="shared" si="142"/>
        <v>1.7232562283942385</v>
      </c>
      <c r="V529">
        <v>3.2258683344006376</v>
      </c>
      <c r="W529" s="14">
        <v>1</v>
      </c>
      <c r="X529">
        <v>3.9615291321450066</v>
      </c>
      <c r="Y529">
        <v>9.0170333392987807</v>
      </c>
      <c r="Z529" s="80">
        <v>-8.7981023700770322E-2</v>
      </c>
      <c r="AA529">
        <v>1</v>
      </c>
      <c r="AB529">
        <f t="shared" si="143"/>
        <v>1</v>
      </c>
      <c r="AC529">
        <f t="shared" si="144"/>
        <v>0</v>
      </c>
      <c r="AD529">
        <f t="shared" si="145"/>
        <v>0</v>
      </c>
      <c r="AE529">
        <f t="shared" si="146"/>
        <v>0</v>
      </c>
      <c r="AF529">
        <f t="shared" si="147"/>
        <v>0</v>
      </c>
      <c r="AG529">
        <f t="shared" si="148"/>
        <v>0</v>
      </c>
      <c r="AH529">
        <f t="shared" si="149"/>
        <v>0</v>
      </c>
      <c r="AI529">
        <f t="shared" si="150"/>
        <v>0</v>
      </c>
      <c r="AJ529">
        <f t="shared" si="151"/>
        <v>0</v>
      </c>
      <c r="AK529">
        <f t="shared" si="152"/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1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</row>
    <row r="530" spans="1:53" x14ac:dyDescent="0.35">
      <c r="A530">
        <v>0.47001521451749351</v>
      </c>
      <c r="C530">
        <v>2.7945205479452055</v>
      </c>
      <c r="D530" s="137">
        <f t="shared" si="137"/>
        <v>0.44630730730544288</v>
      </c>
      <c r="E530">
        <v>0</v>
      </c>
      <c r="F530">
        <v>0.6020599913279624</v>
      </c>
      <c r="G530" s="45">
        <v>3.18</v>
      </c>
      <c r="H530" s="29">
        <f t="shared" si="138"/>
        <v>0.50242711998443268</v>
      </c>
      <c r="I530" s="9">
        <v>0</v>
      </c>
      <c r="J530" s="34">
        <v>0.10037054511756291</v>
      </c>
      <c r="K530">
        <v>6</v>
      </c>
      <c r="L530" s="137">
        <f t="shared" si="139"/>
        <v>0.77815125038364363</v>
      </c>
      <c r="M530">
        <f t="shared" si="136"/>
        <v>0</v>
      </c>
      <c r="N530">
        <v>85</v>
      </c>
      <c r="O530">
        <v>80</v>
      </c>
      <c r="P530">
        <v>70</v>
      </c>
      <c r="Q530" s="137">
        <f t="shared" si="140"/>
        <v>1.8450980400142569</v>
      </c>
      <c r="R530" s="34">
        <v>42.4</v>
      </c>
      <c r="S530" s="34">
        <f t="shared" si="141"/>
        <v>1.6273658565927327</v>
      </c>
      <c r="T530" s="42">
        <v>52.984855215816303</v>
      </c>
      <c r="U530" s="42">
        <f t="shared" si="142"/>
        <v>1.7241517519382803</v>
      </c>
      <c r="V530">
        <v>3.2258683344006376</v>
      </c>
      <c r="W530" s="14">
        <v>1</v>
      </c>
      <c r="X530">
        <v>3.9615291321450066</v>
      </c>
      <c r="Y530">
        <v>9.0740528298327821</v>
      </c>
      <c r="Z530" s="80">
        <v>0.45272378314900186</v>
      </c>
      <c r="AA530">
        <v>5</v>
      </c>
      <c r="AB530">
        <f t="shared" si="143"/>
        <v>0</v>
      </c>
      <c r="AC530">
        <f t="shared" si="144"/>
        <v>0</v>
      </c>
      <c r="AD530">
        <f t="shared" si="145"/>
        <v>0</v>
      </c>
      <c r="AE530">
        <f t="shared" si="146"/>
        <v>0</v>
      </c>
      <c r="AF530">
        <f t="shared" si="147"/>
        <v>1</v>
      </c>
      <c r="AG530">
        <f t="shared" si="148"/>
        <v>0</v>
      </c>
      <c r="AH530">
        <f t="shared" si="149"/>
        <v>0</v>
      </c>
      <c r="AI530">
        <f t="shared" si="150"/>
        <v>0</v>
      </c>
      <c r="AJ530">
        <f t="shared" si="151"/>
        <v>0</v>
      </c>
      <c r="AK530">
        <f t="shared" si="152"/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1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</row>
    <row r="531" spans="1:53" x14ac:dyDescent="0.35">
      <c r="A531">
        <v>0.35495284653698561</v>
      </c>
      <c r="C531">
        <v>4.3863013698630136</v>
      </c>
      <c r="D531" s="137">
        <f t="shared" si="137"/>
        <v>0.64209846746282506</v>
      </c>
      <c r="E531">
        <v>0</v>
      </c>
      <c r="F531">
        <v>1.8808135922807914</v>
      </c>
      <c r="G531" s="45">
        <v>3.18</v>
      </c>
      <c r="H531" s="29">
        <f t="shared" si="138"/>
        <v>0.50242711998443268</v>
      </c>
      <c r="I531" s="9">
        <v>0</v>
      </c>
      <c r="J531" s="34">
        <v>0.19589965240923368</v>
      </c>
      <c r="K531">
        <v>4</v>
      </c>
      <c r="L531" s="137">
        <f t="shared" si="139"/>
        <v>0.6020599913279624</v>
      </c>
      <c r="M531">
        <f t="shared" si="136"/>
        <v>0</v>
      </c>
      <c r="N531">
        <v>85</v>
      </c>
      <c r="O531">
        <v>80</v>
      </c>
      <c r="P531">
        <v>70</v>
      </c>
      <c r="Q531" s="137">
        <f t="shared" si="140"/>
        <v>1.8450980400142569</v>
      </c>
      <c r="R531" s="34">
        <v>42.4</v>
      </c>
      <c r="S531" s="34">
        <f t="shared" si="141"/>
        <v>1.6273658565927327</v>
      </c>
      <c r="T531" s="42">
        <v>52.795294707427601</v>
      </c>
      <c r="U531" s="42">
        <f t="shared" si="142"/>
        <v>1.7225952184872551</v>
      </c>
      <c r="V531">
        <v>3.2258683344006376</v>
      </c>
      <c r="W531" s="14">
        <v>1</v>
      </c>
      <c r="X531">
        <v>3.9615291321450066</v>
      </c>
      <c r="Y531">
        <v>8.40823996531185</v>
      </c>
      <c r="Z531" s="80">
        <v>0.66123454381386737</v>
      </c>
      <c r="AA531">
        <v>7</v>
      </c>
      <c r="AB531">
        <f t="shared" si="143"/>
        <v>0</v>
      </c>
      <c r="AC531">
        <f t="shared" si="144"/>
        <v>0</v>
      </c>
      <c r="AD531">
        <f t="shared" si="145"/>
        <v>0</v>
      </c>
      <c r="AE531">
        <f t="shared" si="146"/>
        <v>0</v>
      </c>
      <c r="AF531">
        <f t="shared" si="147"/>
        <v>0</v>
      </c>
      <c r="AG531">
        <f t="shared" si="148"/>
        <v>0</v>
      </c>
      <c r="AH531">
        <f t="shared" si="149"/>
        <v>1</v>
      </c>
      <c r="AI531">
        <f t="shared" si="150"/>
        <v>0</v>
      </c>
      <c r="AJ531">
        <f t="shared" si="151"/>
        <v>0</v>
      </c>
      <c r="AK531">
        <f t="shared" si="152"/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1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</row>
    <row r="532" spans="1:53" x14ac:dyDescent="0.35">
      <c r="A532">
        <v>6.1207875035723926E-2</v>
      </c>
      <c r="C532">
        <v>2.6164383561643834</v>
      </c>
      <c r="D532" s="137">
        <f t="shared" si="137"/>
        <v>0.41771050712727159</v>
      </c>
      <c r="E532">
        <v>0</v>
      </c>
      <c r="F532">
        <v>1.7242758696007889</v>
      </c>
      <c r="G532" s="45">
        <v>3.18</v>
      </c>
      <c r="H532" s="29">
        <f t="shared" si="138"/>
        <v>0.50242711998443268</v>
      </c>
      <c r="I532" s="9">
        <v>0</v>
      </c>
      <c r="J532" s="34">
        <v>0.11727129565576427</v>
      </c>
      <c r="K532">
        <v>4</v>
      </c>
      <c r="L532" s="137">
        <f t="shared" si="139"/>
        <v>0.6020599913279624</v>
      </c>
      <c r="M532">
        <f t="shared" si="136"/>
        <v>0</v>
      </c>
      <c r="N532">
        <v>85</v>
      </c>
      <c r="O532">
        <v>80</v>
      </c>
      <c r="P532">
        <v>70</v>
      </c>
      <c r="Q532" s="137">
        <f t="shared" si="140"/>
        <v>1.8450980400142569</v>
      </c>
      <c r="R532" s="34">
        <v>42.4</v>
      </c>
      <c r="S532" s="34">
        <f t="shared" si="141"/>
        <v>1.6273658565927327</v>
      </c>
      <c r="T532" s="42">
        <v>52.795294707427601</v>
      </c>
      <c r="U532" s="42">
        <f t="shared" si="142"/>
        <v>1.7225952184872551</v>
      </c>
      <c r="V532">
        <v>3.2258683344006376</v>
      </c>
      <c r="W532" s="14">
        <v>1</v>
      </c>
      <c r="X532">
        <v>3.9615291321450066</v>
      </c>
      <c r="Y532">
        <v>8.7442929831226763</v>
      </c>
      <c r="Z532" s="80">
        <v>0.24840559137836427</v>
      </c>
      <c r="AA532">
        <v>7</v>
      </c>
      <c r="AB532">
        <f t="shared" si="143"/>
        <v>0</v>
      </c>
      <c r="AC532">
        <f t="shared" si="144"/>
        <v>0</v>
      </c>
      <c r="AD532">
        <f t="shared" si="145"/>
        <v>0</v>
      </c>
      <c r="AE532">
        <f t="shared" si="146"/>
        <v>0</v>
      </c>
      <c r="AF532">
        <f t="shared" si="147"/>
        <v>0</v>
      </c>
      <c r="AG532">
        <f t="shared" si="148"/>
        <v>0</v>
      </c>
      <c r="AH532">
        <f t="shared" si="149"/>
        <v>1</v>
      </c>
      <c r="AI532">
        <f t="shared" si="150"/>
        <v>0</v>
      </c>
      <c r="AJ532">
        <f t="shared" si="151"/>
        <v>0</v>
      </c>
      <c r="AK532">
        <f t="shared" si="152"/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1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</row>
    <row r="533" spans="1:53" x14ac:dyDescent="0.35">
      <c r="A533">
        <v>0.18184358794477254</v>
      </c>
      <c r="C533">
        <v>5.2219178082191782</v>
      </c>
      <c r="D533" s="137">
        <f t="shared" si="137"/>
        <v>0.71783003184583294</v>
      </c>
      <c r="E533">
        <v>0</v>
      </c>
      <c r="F533">
        <v>1.5314789170422551</v>
      </c>
      <c r="G533" s="45">
        <v>3.18</v>
      </c>
      <c r="H533" s="29">
        <f t="shared" si="138"/>
        <v>0.50242711998443268</v>
      </c>
      <c r="I533" s="9">
        <v>0</v>
      </c>
      <c r="J533" s="34">
        <v>0.23299611039215382</v>
      </c>
      <c r="K533">
        <v>4</v>
      </c>
      <c r="L533" s="137">
        <f t="shared" si="139"/>
        <v>0.6020599913279624</v>
      </c>
      <c r="M533">
        <f t="shared" si="136"/>
        <v>0</v>
      </c>
      <c r="N533">
        <v>85</v>
      </c>
      <c r="O533">
        <v>80</v>
      </c>
      <c r="P533">
        <v>70</v>
      </c>
      <c r="Q533" s="137">
        <f t="shared" si="140"/>
        <v>1.8450980400142569</v>
      </c>
      <c r="R533" s="34">
        <v>42.4</v>
      </c>
      <c r="S533" s="34">
        <f t="shared" si="141"/>
        <v>1.6273658565927327</v>
      </c>
      <c r="T533" s="42">
        <v>52.795294707427601</v>
      </c>
      <c r="U533" s="42">
        <f t="shared" si="142"/>
        <v>1.7225952184872551</v>
      </c>
      <c r="V533">
        <v>3.2258683344006376</v>
      </c>
      <c r="W533" s="14">
        <v>1</v>
      </c>
      <c r="X533">
        <v>3.9615291321450066</v>
      </c>
      <c r="Y533">
        <v>9.1760912590556813</v>
      </c>
      <c r="Z533" s="80">
        <v>0.71306342550713908</v>
      </c>
      <c r="AA533">
        <v>5</v>
      </c>
      <c r="AB533">
        <f t="shared" si="143"/>
        <v>0</v>
      </c>
      <c r="AC533">
        <f t="shared" si="144"/>
        <v>0</v>
      </c>
      <c r="AD533">
        <f t="shared" si="145"/>
        <v>0</v>
      </c>
      <c r="AE533">
        <f t="shared" si="146"/>
        <v>0</v>
      </c>
      <c r="AF533">
        <f t="shared" si="147"/>
        <v>1</v>
      </c>
      <c r="AG533">
        <f t="shared" si="148"/>
        <v>0</v>
      </c>
      <c r="AH533">
        <f t="shared" si="149"/>
        <v>0</v>
      </c>
      <c r="AI533">
        <f t="shared" si="150"/>
        <v>0</v>
      </c>
      <c r="AJ533">
        <f t="shared" si="151"/>
        <v>0</v>
      </c>
      <c r="AK533">
        <f t="shared" si="152"/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1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</row>
    <row r="534" spans="1:53" x14ac:dyDescent="0.35">
      <c r="A534">
        <v>-0.29803370142006214</v>
      </c>
      <c r="C534">
        <v>3.010958904109589</v>
      </c>
      <c r="D534" s="137">
        <f t="shared" si="137"/>
        <v>0.47870482796701586</v>
      </c>
      <c r="E534">
        <v>0</v>
      </c>
      <c r="F534">
        <v>1.7075701760979363</v>
      </c>
      <c r="G534" s="45">
        <v>3.18</v>
      </c>
      <c r="H534" s="29">
        <f t="shared" si="138"/>
        <v>0.50242711998443268</v>
      </c>
      <c r="I534" s="9">
        <v>0</v>
      </c>
      <c r="J534" s="34">
        <v>-8.7739243075051505E-3</v>
      </c>
      <c r="K534">
        <v>3</v>
      </c>
      <c r="L534" s="137">
        <f t="shared" si="139"/>
        <v>0.47712125471966244</v>
      </c>
      <c r="M534">
        <f t="shared" si="136"/>
        <v>0</v>
      </c>
      <c r="N534">
        <v>85</v>
      </c>
      <c r="O534">
        <v>80</v>
      </c>
      <c r="P534">
        <v>70</v>
      </c>
      <c r="Q534" s="137">
        <f t="shared" si="140"/>
        <v>1.8450980400142569</v>
      </c>
      <c r="R534" s="34">
        <v>43.1</v>
      </c>
      <c r="S534" s="34">
        <f t="shared" si="141"/>
        <v>1.6344772701607315</v>
      </c>
      <c r="T534" s="42">
        <v>51.718307112209096</v>
      </c>
      <c r="U534" s="42">
        <f t="shared" si="142"/>
        <v>1.7136443007431839</v>
      </c>
      <c r="V534">
        <v>3.2258683344006376</v>
      </c>
      <c r="W534" s="14">
        <v>1</v>
      </c>
      <c r="X534">
        <v>3.9615291321450066</v>
      </c>
      <c r="Y534">
        <v>8.7160033436347994</v>
      </c>
      <c r="Z534" s="80">
        <v>-0.18961680998029062</v>
      </c>
      <c r="AA534">
        <v>3</v>
      </c>
      <c r="AB534">
        <f t="shared" si="143"/>
        <v>0</v>
      </c>
      <c r="AC534">
        <f t="shared" si="144"/>
        <v>0</v>
      </c>
      <c r="AD534">
        <f t="shared" si="145"/>
        <v>1</v>
      </c>
      <c r="AE534">
        <f t="shared" si="146"/>
        <v>0</v>
      </c>
      <c r="AF534">
        <f t="shared" si="147"/>
        <v>0</v>
      </c>
      <c r="AG534">
        <f t="shared" si="148"/>
        <v>0</v>
      </c>
      <c r="AH534">
        <f t="shared" si="149"/>
        <v>0</v>
      </c>
      <c r="AI534">
        <f t="shared" si="150"/>
        <v>0</v>
      </c>
      <c r="AJ534">
        <f t="shared" si="151"/>
        <v>0</v>
      </c>
      <c r="AK534">
        <f t="shared" si="152"/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1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</row>
    <row r="535" spans="1:53" x14ac:dyDescent="0.35">
      <c r="A535">
        <v>5.9997929675285368E-2</v>
      </c>
      <c r="C535">
        <v>8.0684931506849313</v>
      </c>
      <c r="D535" s="137">
        <f t="shared" si="137"/>
        <v>0.90679243466664572</v>
      </c>
      <c r="E535">
        <v>0</v>
      </c>
      <c r="F535">
        <v>1.7923916894982539</v>
      </c>
      <c r="G535" s="45">
        <v>3.18</v>
      </c>
      <c r="H535" s="29">
        <f t="shared" si="138"/>
        <v>0.50242711998443268</v>
      </c>
      <c r="I535" s="9">
        <v>0</v>
      </c>
      <c r="J535" s="34">
        <v>0.13033376849500614</v>
      </c>
      <c r="K535">
        <v>0</v>
      </c>
      <c r="L535" s="137">
        <f t="shared" si="139"/>
        <v>0</v>
      </c>
      <c r="M535">
        <f t="shared" si="136"/>
        <v>0</v>
      </c>
      <c r="N535">
        <v>85</v>
      </c>
      <c r="O535">
        <v>80</v>
      </c>
      <c r="P535">
        <v>85</v>
      </c>
      <c r="Q535" s="137">
        <f t="shared" si="140"/>
        <v>1.9294189257142926</v>
      </c>
      <c r="R535" s="34">
        <v>43.5</v>
      </c>
      <c r="S535" s="34">
        <f t="shared" si="141"/>
        <v>1.6384892569546374</v>
      </c>
      <c r="T535" s="42">
        <v>52.924485315438503</v>
      </c>
      <c r="U535" s="42">
        <f t="shared" si="142"/>
        <v>1.7236566432478624</v>
      </c>
      <c r="V535">
        <v>3.2258683344006376</v>
      </c>
      <c r="W535" s="14">
        <v>1</v>
      </c>
      <c r="X535">
        <v>3.9615291321450066</v>
      </c>
      <c r="Y535">
        <v>8.4313637641589878</v>
      </c>
      <c r="Z535" s="80">
        <v>0.32711690007562222</v>
      </c>
      <c r="AA535">
        <v>5</v>
      </c>
      <c r="AB535">
        <f t="shared" si="143"/>
        <v>0</v>
      </c>
      <c r="AC535">
        <f t="shared" si="144"/>
        <v>0</v>
      </c>
      <c r="AD535">
        <f t="shared" si="145"/>
        <v>0</v>
      </c>
      <c r="AE535">
        <f t="shared" si="146"/>
        <v>0</v>
      </c>
      <c r="AF535">
        <f t="shared" si="147"/>
        <v>1</v>
      </c>
      <c r="AG535">
        <f t="shared" si="148"/>
        <v>0</v>
      </c>
      <c r="AH535">
        <f t="shared" si="149"/>
        <v>0</v>
      </c>
      <c r="AI535">
        <f t="shared" si="150"/>
        <v>0</v>
      </c>
      <c r="AJ535">
        <f t="shared" si="151"/>
        <v>0</v>
      </c>
      <c r="AK535">
        <f t="shared" si="152"/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1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</row>
    <row r="536" spans="1:53" x14ac:dyDescent="0.35">
      <c r="A536">
        <v>0.23657200643706269</v>
      </c>
      <c r="C536">
        <v>2.3890410958904109</v>
      </c>
      <c r="D536" s="137">
        <f t="shared" si="137"/>
        <v>0.37822362047609248</v>
      </c>
      <c r="E536">
        <v>0</v>
      </c>
      <c r="F536">
        <v>1.7781512503836436</v>
      </c>
      <c r="G536" s="45">
        <v>3.5</v>
      </c>
      <c r="H536" s="29">
        <f t="shared" si="138"/>
        <v>0.54406804435027567</v>
      </c>
      <c r="I536" s="9">
        <v>2.9323046139517808</v>
      </c>
      <c r="J536" s="34">
        <v>7.1882007306125359E-2</v>
      </c>
      <c r="K536">
        <v>12</v>
      </c>
      <c r="L536" s="137">
        <f t="shared" si="139"/>
        <v>1.0791812460476249</v>
      </c>
      <c r="M536">
        <f t="shared" si="136"/>
        <v>0</v>
      </c>
      <c r="N536">
        <v>70</v>
      </c>
      <c r="O536">
        <v>70</v>
      </c>
      <c r="P536">
        <v>90.3</v>
      </c>
      <c r="Q536" s="137">
        <f t="shared" si="140"/>
        <v>1.9556877503135057</v>
      </c>
      <c r="R536" s="34">
        <v>36.1</v>
      </c>
      <c r="S536" s="34">
        <f t="shared" si="141"/>
        <v>1.5575072019056579</v>
      </c>
      <c r="T536" s="42">
        <v>47.576210837790804</v>
      </c>
      <c r="U536" s="42">
        <f t="shared" si="142"/>
        <v>1.6773898501062838</v>
      </c>
      <c r="V536">
        <v>3.359479897098526</v>
      </c>
      <c r="W536" s="14">
        <v>2</v>
      </c>
      <c r="X536">
        <v>3.9336135634448146</v>
      </c>
      <c r="Y536">
        <v>8.1613680022349744</v>
      </c>
      <c r="Z536" s="80">
        <v>-3.0279098922347814E-3</v>
      </c>
      <c r="AA536">
        <v>1</v>
      </c>
      <c r="AB536">
        <f t="shared" si="143"/>
        <v>1</v>
      </c>
      <c r="AC536">
        <f t="shared" si="144"/>
        <v>0</v>
      </c>
      <c r="AD536">
        <f t="shared" si="145"/>
        <v>0</v>
      </c>
      <c r="AE536">
        <f t="shared" si="146"/>
        <v>0</v>
      </c>
      <c r="AF536">
        <f t="shared" si="147"/>
        <v>0</v>
      </c>
      <c r="AG536">
        <f t="shared" si="148"/>
        <v>0</v>
      </c>
      <c r="AH536">
        <f t="shared" si="149"/>
        <v>0</v>
      </c>
      <c r="AI536">
        <f t="shared" si="150"/>
        <v>0</v>
      </c>
      <c r="AJ536">
        <f t="shared" si="151"/>
        <v>0</v>
      </c>
      <c r="AK536">
        <f t="shared" si="152"/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1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</row>
    <row r="537" spans="1:53" x14ac:dyDescent="0.35">
      <c r="A537">
        <v>-2</v>
      </c>
      <c r="C537">
        <v>2.1808219178082191</v>
      </c>
      <c r="D537" s="137">
        <f t="shared" si="137"/>
        <v>0.3386202032811943</v>
      </c>
      <c r="E537">
        <v>0</v>
      </c>
      <c r="F537">
        <v>1.3617278360175928</v>
      </c>
      <c r="G537" s="45">
        <v>3.5</v>
      </c>
      <c r="H537" s="29">
        <f t="shared" si="138"/>
        <v>0.54406804435027567</v>
      </c>
      <c r="I537" s="133">
        <v>2.9323046139517808</v>
      </c>
      <c r="J537" s="34">
        <v>-0.29242982390206362</v>
      </c>
      <c r="K537">
        <v>10</v>
      </c>
      <c r="L537" s="137">
        <f t="shared" si="139"/>
        <v>1</v>
      </c>
      <c r="M537">
        <f t="shared" si="136"/>
        <v>0</v>
      </c>
      <c r="N537">
        <v>70</v>
      </c>
      <c r="O537">
        <v>70</v>
      </c>
      <c r="P537">
        <v>88.9</v>
      </c>
      <c r="Q537" s="137">
        <f t="shared" si="140"/>
        <v>1.9489017609702137</v>
      </c>
      <c r="R537" s="34">
        <v>34.9</v>
      </c>
      <c r="S537" s="34">
        <f t="shared" si="141"/>
        <v>1.5428254269591799</v>
      </c>
      <c r="T537" s="42">
        <v>42.817370475444001</v>
      </c>
      <c r="U537" s="42">
        <f t="shared" si="142"/>
        <v>1.6316199926391717</v>
      </c>
      <c r="V537">
        <v>3.359479897098526</v>
      </c>
      <c r="W537" s="14">
        <v>2</v>
      </c>
      <c r="X537">
        <v>3.9336135634448146</v>
      </c>
      <c r="Y537">
        <v>7.4802944600030061</v>
      </c>
      <c r="Z537" s="80">
        <v>-0.41475442895642234</v>
      </c>
      <c r="AA537">
        <v>5</v>
      </c>
      <c r="AB537">
        <f t="shared" si="143"/>
        <v>0</v>
      </c>
      <c r="AC537">
        <f t="shared" si="144"/>
        <v>0</v>
      </c>
      <c r="AD537">
        <f t="shared" si="145"/>
        <v>0</v>
      </c>
      <c r="AE537">
        <f t="shared" si="146"/>
        <v>0</v>
      </c>
      <c r="AF537">
        <f t="shared" si="147"/>
        <v>1</v>
      </c>
      <c r="AG537">
        <f t="shared" si="148"/>
        <v>0</v>
      </c>
      <c r="AH537">
        <f t="shared" si="149"/>
        <v>0</v>
      </c>
      <c r="AI537">
        <f t="shared" si="150"/>
        <v>0</v>
      </c>
      <c r="AJ537">
        <f t="shared" si="151"/>
        <v>0</v>
      </c>
      <c r="AK537">
        <f t="shared" si="152"/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1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</row>
    <row r="538" spans="1:53" x14ac:dyDescent="0.35">
      <c r="A538">
        <v>0.18756410473159962</v>
      </c>
      <c r="C538">
        <v>6.183561643835616</v>
      </c>
      <c r="D538" s="137">
        <f t="shared" si="137"/>
        <v>0.79123869462128726</v>
      </c>
      <c r="E538">
        <v>0</v>
      </c>
      <c r="F538">
        <v>1.3617278360175928</v>
      </c>
      <c r="G538" s="45">
        <v>3.5</v>
      </c>
      <c r="H538" s="29">
        <f t="shared" si="138"/>
        <v>0.54406804435027567</v>
      </c>
      <c r="I538" s="9">
        <v>0</v>
      </c>
      <c r="J538" s="34">
        <v>0.250420002308894</v>
      </c>
      <c r="K538">
        <v>46</v>
      </c>
      <c r="L538" s="137">
        <f t="shared" si="139"/>
        <v>1.6627578316815741</v>
      </c>
      <c r="M538">
        <f t="shared" si="136"/>
        <v>0</v>
      </c>
      <c r="N538">
        <v>70</v>
      </c>
      <c r="O538">
        <v>70</v>
      </c>
      <c r="P538">
        <v>89.6</v>
      </c>
      <c r="Q538" s="137">
        <f t="shared" si="140"/>
        <v>1.9523080096621253</v>
      </c>
      <c r="R538" s="34">
        <v>35.700000000000003</v>
      </c>
      <c r="S538" s="34">
        <f t="shared" si="141"/>
        <v>1.5526682161121932</v>
      </c>
      <c r="T538" s="42">
        <v>44.7100017757258</v>
      </c>
      <c r="U538" s="42">
        <f t="shared" si="142"/>
        <v>1.6504046871166989</v>
      </c>
      <c r="V538">
        <v>3.1748092491298348</v>
      </c>
      <c r="W538" s="14">
        <v>2</v>
      </c>
      <c r="X538">
        <v>3.5756423396072652</v>
      </c>
      <c r="Y538">
        <v>7.8129133566428557</v>
      </c>
      <c r="Z538" s="80">
        <v>0.26690348313644718</v>
      </c>
      <c r="AA538">
        <v>8</v>
      </c>
      <c r="AB538">
        <f t="shared" si="143"/>
        <v>0</v>
      </c>
      <c r="AC538">
        <f t="shared" si="144"/>
        <v>0</v>
      </c>
      <c r="AD538">
        <f t="shared" si="145"/>
        <v>0</v>
      </c>
      <c r="AE538">
        <f t="shared" si="146"/>
        <v>0</v>
      </c>
      <c r="AF538">
        <f t="shared" si="147"/>
        <v>0</v>
      </c>
      <c r="AG538">
        <f t="shared" si="148"/>
        <v>0</v>
      </c>
      <c r="AH538">
        <f t="shared" si="149"/>
        <v>0</v>
      </c>
      <c r="AI538">
        <f t="shared" si="150"/>
        <v>1</v>
      </c>
      <c r="AJ538">
        <f t="shared" si="151"/>
        <v>0</v>
      </c>
      <c r="AK538">
        <f t="shared" si="152"/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1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</row>
    <row r="539" spans="1:53" x14ac:dyDescent="0.35">
      <c r="A539">
        <v>0.13353890837021754</v>
      </c>
      <c r="C539">
        <v>5.624657534246575</v>
      </c>
      <c r="D539" s="137">
        <f t="shared" si="137"/>
        <v>0.75009608491411717</v>
      </c>
      <c r="E539">
        <v>0</v>
      </c>
      <c r="F539">
        <v>2.1105897102992488</v>
      </c>
      <c r="G539" s="45">
        <v>3.5</v>
      </c>
      <c r="H539" s="29">
        <f t="shared" si="138"/>
        <v>0.54406804435027567</v>
      </c>
      <c r="I539" s="9">
        <v>0</v>
      </c>
      <c r="J539" s="34">
        <v>-2.2276394711152253E-2</v>
      </c>
      <c r="K539">
        <v>42</v>
      </c>
      <c r="L539" s="137">
        <f t="shared" si="139"/>
        <v>1.6232492903979006</v>
      </c>
      <c r="M539">
        <f t="shared" si="136"/>
        <v>0</v>
      </c>
      <c r="N539">
        <v>70</v>
      </c>
      <c r="O539">
        <v>70</v>
      </c>
      <c r="P539">
        <v>88.9</v>
      </c>
      <c r="Q539" s="137">
        <f t="shared" si="140"/>
        <v>1.9489017609702137</v>
      </c>
      <c r="R539" s="34">
        <v>34.9</v>
      </c>
      <c r="S539" s="34">
        <f t="shared" si="141"/>
        <v>1.5428254269591799</v>
      </c>
      <c r="T539" s="42">
        <v>42.817370475444001</v>
      </c>
      <c r="U539" s="42">
        <f t="shared" si="142"/>
        <v>1.6316199926391717</v>
      </c>
      <c r="V539">
        <v>3.1748092491298348</v>
      </c>
      <c r="W539" s="14">
        <v>2</v>
      </c>
      <c r="X539">
        <v>3.5756423396072652</v>
      </c>
      <c r="Y539">
        <v>8.4771212547196626</v>
      </c>
      <c r="Z539" s="80">
        <v>-8.501502790897375E-2</v>
      </c>
      <c r="AA539">
        <v>1</v>
      </c>
      <c r="AB539">
        <f t="shared" si="143"/>
        <v>1</v>
      </c>
      <c r="AC539">
        <f t="shared" si="144"/>
        <v>0</v>
      </c>
      <c r="AD539">
        <f t="shared" si="145"/>
        <v>0</v>
      </c>
      <c r="AE539">
        <f t="shared" si="146"/>
        <v>0</v>
      </c>
      <c r="AF539">
        <f t="shared" si="147"/>
        <v>0</v>
      </c>
      <c r="AG539">
        <f t="shared" si="148"/>
        <v>0</v>
      </c>
      <c r="AH539">
        <f t="shared" si="149"/>
        <v>0</v>
      </c>
      <c r="AI539">
        <f t="shared" si="150"/>
        <v>0</v>
      </c>
      <c r="AJ539">
        <f t="shared" si="151"/>
        <v>0</v>
      </c>
      <c r="AK539">
        <f t="shared" si="152"/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1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</row>
    <row r="540" spans="1:53" x14ac:dyDescent="0.35">
      <c r="A540">
        <v>0.51450379065407925</v>
      </c>
      <c r="C540">
        <v>10.893150684931507</v>
      </c>
      <c r="D540" s="137">
        <f t="shared" si="137"/>
        <v>1.0371535112688011</v>
      </c>
      <c r="E540">
        <v>0</v>
      </c>
      <c r="F540">
        <v>1</v>
      </c>
      <c r="G540" s="45">
        <v>3.5</v>
      </c>
      <c r="H540" s="29">
        <f t="shared" si="138"/>
        <v>0.54406804435027567</v>
      </c>
      <c r="I540" s="9">
        <v>0</v>
      </c>
      <c r="J540" s="34">
        <v>0.24303804868629444</v>
      </c>
      <c r="K540">
        <v>40</v>
      </c>
      <c r="L540" s="137">
        <f t="shared" si="139"/>
        <v>1.6020599913279623</v>
      </c>
      <c r="M540">
        <f t="shared" si="136"/>
        <v>0</v>
      </c>
      <c r="N540">
        <v>70</v>
      </c>
      <c r="O540">
        <v>70</v>
      </c>
      <c r="P540">
        <v>70</v>
      </c>
      <c r="Q540" s="137">
        <f t="shared" si="140"/>
        <v>1.8450980400142569</v>
      </c>
      <c r="R540" s="34">
        <v>33.9</v>
      </c>
      <c r="S540" s="34">
        <f t="shared" si="141"/>
        <v>1.5301996982030821</v>
      </c>
      <c r="T540" s="42">
        <v>46.200073016176603</v>
      </c>
      <c r="U540" s="42">
        <f t="shared" si="142"/>
        <v>1.664642661930531</v>
      </c>
      <c r="V540">
        <v>3.1748092491298348</v>
      </c>
      <c r="W540" s="14">
        <v>2</v>
      </c>
      <c r="X540">
        <v>3.5756423396072652</v>
      </c>
      <c r="Y540">
        <v>8.0347792104435261</v>
      </c>
      <c r="Z540" s="80">
        <v>0.39487379389557553</v>
      </c>
      <c r="AA540">
        <v>1</v>
      </c>
      <c r="AB540">
        <f t="shared" si="143"/>
        <v>1</v>
      </c>
      <c r="AC540">
        <f t="shared" si="144"/>
        <v>0</v>
      </c>
      <c r="AD540">
        <f t="shared" si="145"/>
        <v>0</v>
      </c>
      <c r="AE540">
        <f t="shared" si="146"/>
        <v>0</v>
      </c>
      <c r="AF540">
        <f t="shared" si="147"/>
        <v>0</v>
      </c>
      <c r="AG540">
        <f t="shared" si="148"/>
        <v>0</v>
      </c>
      <c r="AH540">
        <f t="shared" si="149"/>
        <v>0</v>
      </c>
      <c r="AI540">
        <f t="shared" si="150"/>
        <v>0</v>
      </c>
      <c r="AJ540">
        <f t="shared" si="151"/>
        <v>0</v>
      </c>
      <c r="AK540">
        <f t="shared" si="152"/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1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</row>
    <row r="541" spans="1:53" x14ac:dyDescent="0.35">
      <c r="A541">
        <v>0.17197168911921767</v>
      </c>
      <c r="C541">
        <v>3.7095890410958905</v>
      </c>
      <c r="D541" s="137">
        <f t="shared" si="137"/>
        <v>0.56932579989265086</v>
      </c>
      <c r="E541">
        <v>0</v>
      </c>
      <c r="F541">
        <v>1.146128035678238</v>
      </c>
      <c r="G541" s="45">
        <v>3.29</v>
      </c>
      <c r="H541" s="29">
        <f t="shared" si="138"/>
        <v>0.51719589794997434</v>
      </c>
      <c r="I541" s="9">
        <v>0</v>
      </c>
      <c r="J541" s="34">
        <v>0.22788670461367352</v>
      </c>
      <c r="K541">
        <v>30</v>
      </c>
      <c r="L541" s="137">
        <f t="shared" si="139"/>
        <v>1.4771212547196624</v>
      </c>
      <c r="M541">
        <f t="shared" si="136"/>
        <v>0</v>
      </c>
      <c r="N541">
        <v>70</v>
      </c>
      <c r="O541">
        <v>70</v>
      </c>
      <c r="P541">
        <v>94.6</v>
      </c>
      <c r="Q541" s="137">
        <f t="shared" si="140"/>
        <v>1.9758911364017928</v>
      </c>
      <c r="R541" s="34">
        <v>33.200000000000003</v>
      </c>
      <c r="S541" s="34">
        <f t="shared" si="141"/>
        <v>1.5211380837040362</v>
      </c>
      <c r="T541" s="42">
        <v>45.921427555082097</v>
      </c>
      <c r="U541" s="42">
        <f t="shared" si="142"/>
        <v>1.6620153804713207</v>
      </c>
      <c r="V541">
        <v>3.2224645332922388</v>
      </c>
      <c r="W541" s="14">
        <v>3</v>
      </c>
      <c r="X541">
        <v>3.707126713924402</v>
      </c>
      <c r="Y541">
        <v>8.6618126855372619</v>
      </c>
      <c r="Z541" s="80">
        <v>0.28521588009567744</v>
      </c>
      <c r="AA541">
        <v>5</v>
      </c>
      <c r="AB541">
        <f t="shared" si="143"/>
        <v>0</v>
      </c>
      <c r="AC541">
        <f t="shared" si="144"/>
        <v>0</v>
      </c>
      <c r="AD541">
        <f t="shared" si="145"/>
        <v>0</v>
      </c>
      <c r="AE541">
        <f t="shared" si="146"/>
        <v>0</v>
      </c>
      <c r="AF541">
        <f t="shared" si="147"/>
        <v>1</v>
      </c>
      <c r="AG541">
        <f t="shared" si="148"/>
        <v>0</v>
      </c>
      <c r="AH541">
        <f t="shared" si="149"/>
        <v>0</v>
      </c>
      <c r="AI541">
        <f t="shared" si="150"/>
        <v>0</v>
      </c>
      <c r="AJ541">
        <f t="shared" si="151"/>
        <v>0</v>
      </c>
      <c r="AK541">
        <f t="shared" si="152"/>
        <v>0</v>
      </c>
      <c r="AL541">
        <v>0</v>
      </c>
      <c r="AM541">
        <v>1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</row>
    <row r="542" spans="1:53" x14ac:dyDescent="0.35">
      <c r="A542">
        <v>-0.46757593681343196</v>
      </c>
      <c r="C542">
        <v>6.1013698630136988</v>
      </c>
      <c r="D542" s="137">
        <f t="shared" si="137"/>
        <v>0.78542735257756346</v>
      </c>
      <c r="E542">
        <v>0</v>
      </c>
      <c r="F542">
        <v>0</v>
      </c>
      <c r="G542" s="45">
        <v>3.29</v>
      </c>
      <c r="H542" s="29">
        <f t="shared" si="138"/>
        <v>0.51719589794997434</v>
      </c>
      <c r="I542" s="9">
        <v>0</v>
      </c>
      <c r="J542" s="34">
        <v>-4.3648054024500883E-3</v>
      </c>
      <c r="K542">
        <v>17</v>
      </c>
      <c r="L542" s="137">
        <f t="shared" si="139"/>
        <v>1.2304489213782739</v>
      </c>
      <c r="M542">
        <f t="shared" si="136"/>
        <v>0</v>
      </c>
      <c r="N542">
        <v>70</v>
      </c>
      <c r="O542">
        <v>70</v>
      </c>
      <c r="P542">
        <v>85</v>
      </c>
      <c r="Q542" s="137">
        <f t="shared" si="140"/>
        <v>1.9294189257142926</v>
      </c>
      <c r="R542" s="34">
        <v>31.5</v>
      </c>
      <c r="S542" s="34">
        <f t="shared" si="141"/>
        <v>1.4983105537896004</v>
      </c>
      <c r="T542" s="42">
        <v>35.516899069648296</v>
      </c>
      <c r="U542" s="42">
        <f t="shared" si="142"/>
        <v>1.5504350411232082</v>
      </c>
      <c r="V542">
        <v>3.2224645332922388</v>
      </c>
      <c r="W542" s="14">
        <v>3</v>
      </c>
      <c r="X542">
        <v>3.707126713924402</v>
      </c>
      <c r="Y542">
        <v>8.1303337684950066</v>
      </c>
      <c r="Z542" s="80">
        <v>-0.21968192939531639</v>
      </c>
      <c r="AA542">
        <v>1</v>
      </c>
      <c r="AB542">
        <f t="shared" si="143"/>
        <v>1</v>
      </c>
      <c r="AC542">
        <f t="shared" si="144"/>
        <v>0</v>
      </c>
      <c r="AD542">
        <f t="shared" si="145"/>
        <v>0</v>
      </c>
      <c r="AE542">
        <f t="shared" si="146"/>
        <v>0</v>
      </c>
      <c r="AF542">
        <f t="shared" si="147"/>
        <v>0</v>
      </c>
      <c r="AG542">
        <f t="shared" si="148"/>
        <v>0</v>
      </c>
      <c r="AH542">
        <f t="shared" si="149"/>
        <v>0</v>
      </c>
      <c r="AI542">
        <f t="shared" si="150"/>
        <v>0</v>
      </c>
      <c r="AJ542">
        <f t="shared" si="151"/>
        <v>0</v>
      </c>
      <c r="AK542">
        <f t="shared" si="152"/>
        <v>0</v>
      </c>
      <c r="AL542">
        <v>0</v>
      </c>
      <c r="AM542">
        <v>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</row>
    <row r="543" spans="1:53" x14ac:dyDescent="0.35">
      <c r="A543">
        <v>-0.3953586931471641</v>
      </c>
      <c r="C543">
        <v>4.9616438356164387</v>
      </c>
      <c r="D543" s="137">
        <f t="shared" si="137"/>
        <v>0.69562558585758372</v>
      </c>
      <c r="E543">
        <v>0</v>
      </c>
      <c r="F543">
        <v>0</v>
      </c>
      <c r="G543" s="45">
        <v>3.29</v>
      </c>
      <c r="H543" s="29">
        <f t="shared" si="138"/>
        <v>0.51719589794997434</v>
      </c>
      <c r="I543" s="9">
        <v>0</v>
      </c>
      <c r="J543" s="34">
        <v>-2.6872146400301365E-2</v>
      </c>
      <c r="K543">
        <v>16</v>
      </c>
      <c r="L543" s="137">
        <f t="shared" si="139"/>
        <v>1.2041199826559248</v>
      </c>
      <c r="M543">
        <f t="shared" si="136"/>
        <v>0</v>
      </c>
      <c r="N543">
        <v>70</v>
      </c>
      <c r="O543">
        <v>70</v>
      </c>
      <c r="P543">
        <v>85</v>
      </c>
      <c r="Q543" s="137">
        <f t="shared" si="140"/>
        <v>1.9294189257142926</v>
      </c>
      <c r="R543" s="34">
        <v>30</v>
      </c>
      <c r="S543" s="34">
        <f t="shared" si="141"/>
        <v>1.4771212547196624</v>
      </c>
      <c r="T543" s="42">
        <v>35.807885111275297</v>
      </c>
      <c r="U543" s="42">
        <f t="shared" si="142"/>
        <v>1.5539786714272548</v>
      </c>
      <c r="V543">
        <v>3.2224645332922388</v>
      </c>
      <c r="W543" s="14">
        <v>3</v>
      </c>
      <c r="X543">
        <v>3.707126713924402</v>
      </c>
      <c r="Y543">
        <v>8.082887654361798</v>
      </c>
      <c r="Z543" s="80">
        <v>-0.2075265421151089</v>
      </c>
      <c r="AA543">
        <v>6</v>
      </c>
      <c r="AB543">
        <f t="shared" si="143"/>
        <v>0</v>
      </c>
      <c r="AC543">
        <f t="shared" si="144"/>
        <v>0</v>
      </c>
      <c r="AD543">
        <f t="shared" si="145"/>
        <v>0</v>
      </c>
      <c r="AE543">
        <f t="shared" si="146"/>
        <v>0</v>
      </c>
      <c r="AF543">
        <f t="shared" si="147"/>
        <v>0</v>
      </c>
      <c r="AG543">
        <f t="shared" si="148"/>
        <v>1</v>
      </c>
      <c r="AH543">
        <f t="shared" si="149"/>
        <v>0</v>
      </c>
      <c r="AI543">
        <f t="shared" si="150"/>
        <v>0</v>
      </c>
      <c r="AJ543">
        <f t="shared" si="151"/>
        <v>0</v>
      </c>
      <c r="AK543">
        <f t="shared" si="152"/>
        <v>0</v>
      </c>
      <c r="AL543">
        <v>0</v>
      </c>
      <c r="AM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</row>
    <row r="544" spans="1:53" x14ac:dyDescent="0.35">
      <c r="A544">
        <v>-0.74686876610010333</v>
      </c>
      <c r="C544">
        <v>13.641095890410959</v>
      </c>
      <c r="D544" s="137">
        <f t="shared" si="137"/>
        <v>1.1348492618189847</v>
      </c>
      <c r="E544">
        <v>0</v>
      </c>
      <c r="F544">
        <v>1</v>
      </c>
      <c r="G544" s="45">
        <v>3.29</v>
      </c>
      <c r="H544" s="29">
        <f t="shared" si="138"/>
        <v>0.51719589794997434</v>
      </c>
      <c r="I544" s="9">
        <v>0</v>
      </c>
      <c r="J544" s="34">
        <v>3.342375548694973E-2</v>
      </c>
      <c r="K544">
        <v>18</v>
      </c>
      <c r="L544" s="137">
        <f t="shared" si="139"/>
        <v>1.255272505103306</v>
      </c>
      <c r="M544">
        <f t="shared" si="136"/>
        <v>0</v>
      </c>
      <c r="N544">
        <v>70</v>
      </c>
      <c r="O544">
        <v>70</v>
      </c>
      <c r="P544">
        <v>85</v>
      </c>
      <c r="Q544" s="137">
        <f t="shared" si="140"/>
        <v>1.9294189257142926</v>
      </c>
      <c r="R544" s="34">
        <v>32.200000000000003</v>
      </c>
      <c r="S544" s="34">
        <f t="shared" si="141"/>
        <v>1.507855871695831</v>
      </c>
      <c r="T544" s="42">
        <v>35.326012114535303</v>
      </c>
      <c r="U544" s="42">
        <f t="shared" si="142"/>
        <v>1.548094613534351</v>
      </c>
      <c r="V544">
        <v>3.2224645332922388</v>
      </c>
      <c r="W544" s="14">
        <v>3</v>
      </c>
      <c r="X544">
        <v>3.707126713924402</v>
      </c>
      <c r="Y544">
        <v>8.1033442200910457</v>
      </c>
      <c r="Z544" s="80">
        <v>4.3610780709342434E-2</v>
      </c>
      <c r="AA544">
        <v>5</v>
      </c>
      <c r="AB544">
        <f t="shared" si="143"/>
        <v>0</v>
      </c>
      <c r="AC544">
        <f t="shared" si="144"/>
        <v>0</v>
      </c>
      <c r="AD544">
        <f t="shared" si="145"/>
        <v>0</v>
      </c>
      <c r="AE544">
        <f t="shared" si="146"/>
        <v>0</v>
      </c>
      <c r="AF544">
        <f t="shared" si="147"/>
        <v>1</v>
      </c>
      <c r="AG544">
        <f t="shared" si="148"/>
        <v>0</v>
      </c>
      <c r="AH544">
        <f t="shared" si="149"/>
        <v>0</v>
      </c>
      <c r="AI544">
        <f t="shared" si="150"/>
        <v>0</v>
      </c>
      <c r="AJ544">
        <f t="shared" si="151"/>
        <v>0</v>
      </c>
      <c r="AK544">
        <f t="shared" si="152"/>
        <v>0</v>
      </c>
      <c r="AL544">
        <v>0</v>
      </c>
      <c r="AM544">
        <v>1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</row>
    <row r="545" spans="1:53" x14ac:dyDescent="0.35">
      <c r="A545">
        <v>0.36159750417725695</v>
      </c>
      <c r="C545">
        <v>5.6383561643835618</v>
      </c>
      <c r="D545" s="137">
        <f t="shared" si="137"/>
        <v>0.75115250596993943</v>
      </c>
      <c r="E545">
        <v>0</v>
      </c>
      <c r="F545">
        <v>2.143014800254095</v>
      </c>
      <c r="G545" s="45">
        <v>3.29</v>
      </c>
      <c r="H545" s="29">
        <f t="shared" si="138"/>
        <v>0.51719589794997434</v>
      </c>
      <c r="I545" s="9">
        <v>0</v>
      </c>
      <c r="J545" s="34">
        <v>-2.6872146400301365E-2</v>
      </c>
      <c r="K545">
        <v>18</v>
      </c>
      <c r="L545" s="137">
        <f t="shared" si="139"/>
        <v>1.255272505103306</v>
      </c>
      <c r="M545">
        <f t="shared" si="136"/>
        <v>0</v>
      </c>
      <c r="N545">
        <v>70</v>
      </c>
      <c r="O545">
        <v>70</v>
      </c>
      <c r="P545">
        <v>85</v>
      </c>
      <c r="Q545" s="137">
        <f t="shared" si="140"/>
        <v>1.9294189257142926</v>
      </c>
      <c r="R545" s="34">
        <v>32.299999999999997</v>
      </c>
      <c r="S545" s="34">
        <f t="shared" si="141"/>
        <v>1.5092025223311027</v>
      </c>
      <c r="T545" s="42">
        <v>40.040400531970803</v>
      </c>
      <c r="U545" s="42">
        <f t="shared" si="142"/>
        <v>1.6024984131617945</v>
      </c>
      <c r="V545">
        <v>3.2188268626467691</v>
      </c>
      <c r="W545" s="14">
        <v>2</v>
      </c>
      <c r="X545">
        <v>3.7570580283396975</v>
      </c>
      <c r="Y545">
        <v>8.8211858826088463</v>
      </c>
      <c r="Z545" s="80">
        <v>0.19104123140658213</v>
      </c>
      <c r="AA545">
        <v>1</v>
      </c>
      <c r="AB545">
        <f t="shared" si="143"/>
        <v>1</v>
      </c>
      <c r="AC545">
        <f t="shared" si="144"/>
        <v>0</v>
      </c>
      <c r="AD545">
        <f t="shared" si="145"/>
        <v>0</v>
      </c>
      <c r="AE545">
        <f t="shared" si="146"/>
        <v>0</v>
      </c>
      <c r="AF545">
        <f t="shared" si="147"/>
        <v>0</v>
      </c>
      <c r="AG545">
        <f t="shared" si="148"/>
        <v>0</v>
      </c>
      <c r="AH545">
        <f t="shared" si="149"/>
        <v>0</v>
      </c>
      <c r="AI545">
        <f t="shared" si="150"/>
        <v>0</v>
      </c>
      <c r="AJ545">
        <f t="shared" si="151"/>
        <v>0</v>
      </c>
      <c r="AK545">
        <f t="shared" si="152"/>
        <v>0</v>
      </c>
      <c r="AL545">
        <v>0</v>
      </c>
      <c r="AM545">
        <v>1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</row>
    <row r="546" spans="1:53" x14ac:dyDescent="0.35">
      <c r="A546">
        <v>0.22847932851536945</v>
      </c>
      <c r="C546">
        <v>5.6958904109589037</v>
      </c>
      <c r="D546" s="137">
        <f t="shared" si="137"/>
        <v>0.75556162487499445</v>
      </c>
      <c r="E546">
        <v>0</v>
      </c>
      <c r="F546">
        <v>0.90308998699194354</v>
      </c>
      <c r="G546" s="45">
        <v>3.29</v>
      </c>
      <c r="H546" s="29">
        <f t="shared" si="138"/>
        <v>0.51719589794997434</v>
      </c>
      <c r="I546" s="9">
        <v>0</v>
      </c>
      <c r="J546" s="34">
        <v>-7.0581074285707285E-2</v>
      </c>
      <c r="K546">
        <v>14</v>
      </c>
      <c r="L546" s="137">
        <f t="shared" si="139"/>
        <v>1.146128035678238</v>
      </c>
      <c r="M546">
        <f t="shared" si="136"/>
        <v>0</v>
      </c>
      <c r="N546">
        <v>70</v>
      </c>
      <c r="O546">
        <v>70</v>
      </c>
      <c r="P546">
        <v>85</v>
      </c>
      <c r="Q546" s="137">
        <f t="shared" si="140"/>
        <v>1.9294189257142926</v>
      </c>
      <c r="R546" s="34">
        <v>32.9</v>
      </c>
      <c r="S546" s="34">
        <f t="shared" si="141"/>
        <v>1.5171958979499742</v>
      </c>
      <c r="T546" s="42">
        <v>35.433808146393098</v>
      </c>
      <c r="U546" s="42">
        <f t="shared" si="142"/>
        <v>1.5494178293890581</v>
      </c>
      <c r="V546">
        <v>3.2188268626467691</v>
      </c>
      <c r="W546" s="14">
        <v>2</v>
      </c>
      <c r="X546">
        <v>3.7570580283396975</v>
      </c>
      <c r="Y546">
        <v>9.1139433523068369</v>
      </c>
      <c r="Z546" s="80">
        <v>-7.4498705365207418E-2</v>
      </c>
      <c r="AA546">
        <v>2</v>
      </c>
      <c r="AB546">
        <f t="shared" si="143"/>
        <v>0</v>
      </c>
      <c r="AC546">
        <f t="shared" si="144"/>
        <v>1</v>
      </c>
      <c r="AD546">
        <f t="shared" si="145"/>
        <v>0</v>
      </c>
      <c r="AE546">
        <f t="shared" si="146"/>
        <v>0</v>
      </c>
      <c r="AF546">
        <f t="shared" si="147"/>
        <v>0</v>
      </c>
      <c r="AG546">
        <f t="shared" si="148"/>
        <v>0</v>
      </c>
      <c r="AH546">
        <f t="shared" si="149"/>
        <v>0</v>
      </c>
      <c r="AI546">
        <f t="shared" si="150"/>
        <v>0</v>
      </c>
      <c r="AJ546">
        <f t="shared" si="151"/>
        <v>0</v>
      </c>
      <c r="AK546">
        <f t="shared" si="152"/>
        <v>0</v>
      </c>
      <c r="AL546">
        <v>0</v>
      </c>
      <c r="AM546">
        <v>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</row>
    <row r="547" spans="1:53" x14ac:dyDescent="0.35">
      <c r="A547">
        <v>0.27847943003314923</v>
      </c>
      <c r="C547">
        <v>4.8356164383561646</v>
      </c>
      <c r="D547" s="137">
        <f t="shared" si="137"/>
        <v>0.68445184526736669</v>
      </c>
      <c r="E547">
        <v>0</v>
      </c>
      <c r="F547">
        <v>1.3802112417116059</v>
      </c>
      <c r="G547" s="45">
        <v>3.29</v>
      </c>
      <c r="H547" s="29">
        <f t="shared" si="138"/>
        <v>0.51719589794997434</v>
      </c>
      <c r="I547" s="9">
        <v>0</v>
      </c>
      <c r="J547" s="34">
        <v>-7.0581074285707285E-2</v>
      </c>
      <c r="K547">
        <v>12</v>
      </c>
      <c r="L547" s="137">
        <f t="shared" si="139"/>
        <v>1.0791812460476249</v>
      </c>
      <c r="M547">
        <f t="shared" si="136"/>
        <v>0</v>
      </c>
      <c r="N547">
        <v>70</v>
      </c>
      <c r="O547">
        <v>70</v>
      </c>
      <c r="P547">
        <v>85</v>
      </c>
      <c r="Q547" s="137">
        <f t="shared" si="140"/>
        <v>1.9294189257142926</v>
      </c>
      <c r="R547" s="34">
        <v>31.5</v>
      </c>
      <c r="S547" s="34">
        <f t="shared" si="141"/>
        <v>1.4983105537896004</v>
      </c>
      <c r="T547" s="42">
        <v>35.516899069648296</v>
      </c>
      <c r="U547" s="42">
        <f t="shared" si="142"/>
        <v>1.5504350411232082</v>
      </c>
      <c r="V547">
        <v>3.2188268626467691</v>
      </c>
      <c r="W547" s="14">
        <v>2</v>
      </c>
      <c r="X547">
        <v>3.7570580283396975</v>
      </c>
      <c r="Y547">
        <v>8.6454222693490923</v>
      </c>
      <c r="Z547" s="80">
        <v>-0.22004718001991086</v>
      </c>
      <c r="AA547">
        <v>4</v>
      </c>
      <c r="AB547">
        <f t="shared" si="143"/>
        <v>0</v>
      </c>
      <c r="AC547">
        <f t="shared" si="144"/>
        <v>0</v>
      </c>
      <c r="AD547">
        <f t="shared" si="145"/>
        <v>0</v>
      </c>
      <c r="AE547">
        <f t="shared" si="146"/>
        <v>1</v>
      </c>
      <c r="AF547">
        <f t="shared" si="147"/>
        <v>0</v>
      </c>
      <c r="AG547">
        <f t="shared" si="148"/>
        <v>0</v>
      </c>
      <c r="AH547">
        <f t="shared" si="149"/>
        <v>0</v>
      </c>
      <c r="AI547">
        <f t="shared" si="150"/>
        <v>0</v>
      </c>
      <c r="AJ547">
        <f t="shared" si="151"/>
        <v>0</v>
      </c>
      <c r="AK547">
        <f t="shared" si="152"/>
        <v>0</v>
      </c>
      <c r="AL547">
        <v>0</v>
      </c>
      <c r="AM547">
        <v>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</row>
    <row r="548" spans="1:53" x14ac:dyDescent="0.35">
      <c r="A548">
        <v>0.68777185185419265</v>
      </c>
      <c r="C548">
        <v>3.484931506849315</v>
      </c>
      <c r="D548" s="137">
        <f t="shared" si="137"/>
        <v>0.54219424685592033</v>
      </c>
      <c r="E548">
        <v>0</v>
      </c>
      <c r="F548">
        <v>1.3424226808222062</v>
      </c>
      <c r="G548" s="45">
        <v>3.29</v>
      </c>
      <c r="H548" s="29">
        <f t="shared" si="138"/>
        <v>0.51719589794997434</v>
      </c>
      <c r="I548" s="9">
        <v>0</v>
      </c>
      <c r="J548" s="34">
        <v>0.21218760440395779</v>
      </c>
      <c r="K548">
        <v>24</v>
      </c>
      <c r="L548" s="137">
        <f t="shared" si="139"/>
        <v>1.3802112417116059</v>
      </c>
      <c r="M548">
        <f t="shared" si="136"/>
        <v>0</v>
      </c>
      <c r="N548">
        <v>70</v>
      </c>
      <c r="O548">
        <v>70</v>
      </c>
      <c r="P548">
        <v>89.8</v>
      </c>
      <c r="Q548" s="137">
        <f t="shared" si="140"/>
        <v>1.9532763366673043</v>
      </c>
      <c r="R548" s="34">
        <v>31.2</v>
      </c>
      <c r="S548" s="34">
        <f t="shared" si="141"/>
        <v>1.4941545940184429</v>
      </c>
      <c r="T548" s="42">
        <v>47.307367293927399</v>
      </c>
      <c r="U548" s="42">
        <f t="shared" si="142"/>
        <v>1.6749287797641836</v>
      </c>
      <c r="V548">
        <v>3.2699236952309465</v>
      </c>
      <c r="W548" s="14">
        <v>2</v>
      </c>
      <c r="X548">
        <v>3.6984415808994222</v>
      </c>
      <c r="Y548">
        <v>9.0111981524818265</v>
      </c>
      <c r="Z548" s="80">
        <v>0.37595122377381229</v>
      </c>
      <c r="AA548">
        <v>9</v>
      </c>
      <c r="AB548">
        <f t="shared" si="143"/>
        <v>0</v>
      </c>
      <c r="AC548">
        <f t="shared" si="144"/>
        <v>0</v>
      </c>
      <c r="AD548">
        <f t="shared" si="145"/>
        <v>0</v>
      </c>
      <c r="AE548">
        <f t="shared" si="146"/>
        <v>0</v>
      </c>
      <c r="AF548">
        <f t="shared" si="147"/>
        <v>0</v>
      </c>
      <c r="AG548">
        <f t="shared" si="148"/>
        <v>0</v>
      </c>
      <c r="AH548">
        <f t="shared" si="149"/>
        <v>0</v>
      </c>
      <c r="AI548">
        <f t="shared" si="150"/>
        <v>0</v>
      </c>
      <c r="AJ548">
        <f t="shared" si="151"/>
        <v>1</v>
      </c>
      <c r="AK548">
        <f t="shared" si="152"/>
        <v>0</v>
      </c>
      <c r="AL548">
        <v>0</v>
      </c>
      <c r="AM548">
        <v>1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</row>
    <row r="549" spans="1:53" x14ac:dyDescent="0.35">
      <c r="A549">
        <v>-0.61867209278975244</v>
      </c>
      <c r="C549">
        <v>8.6219178082191785</v>
      </c>
      <c r="D549" s="137">
        <f t="shared" si="137"/>
        <v>0.93560387845674564</v>
      </c>
      <c r="E549">
        <v>0</v>
      </c>
      <c r="F549">
        <v>1.6901960800285136</v>
      </c>
      <c r="G549" s="45">
        <v>3.29</v>
      </c>
      <c r="H549" s="29">
        <f t="shared" si="138"/>
        <v>0.51719589794997434</v>
      </c>
      <c r="I549" s="9">
        <v>0</v>
      </c>
      <c r="J549" s="34">
        <v>0.15836249209524964</v>
      </c>
      <c r="K549">
        <v>22</v>
      </c>
      <c r="L549" s="137">
        <f t="shared" si="139"/>
        <v>1.3424226808222062</v>
      </c>
      <c r="M549">
        <f t="shared" si="136"/>
        <v>0</v>
      </c>
      <c r="N549">
        <v>70</v>
      </c>
      <c r="O549">
        <v>70</v>
      </c>
      <c r="P549">
        <v>91.2</v>
      </c>
      <c r="Q549" s="137">
        <f t="shared" si="140"/>
        <v>1.9599948383284163</v>
      </c>
      <c r="R549" s="34">
        <v>33</v>
      </c>
      <c r="S549" s="34">
        <f t="shared" si="141"/>
        <v>1.5185139398778875</v>
      </c>
      <c r="T549" s="42">
        <v>40.902544500539101</v>
      </c>
      <c r="U549" s="42">
        <f t="shared" si="142"/>
        <v>1.6117503258110162</v>
      </c>
      <c r="V549">
        <v>3.2699236952309465</v>
      </c>
      <c r="W549" s="14">
        <v>2</v>
      </c>
      <c r="X549">
        <v>3.6984415808994222</v>
      </c>
      <c r="Y549">
        <v>9.7888751157754168</v>
      </c>
      <c r="Z549" s="80">
        <v>8.7131638170746095E-2</v>
      </c>
      <c r="AA549">
        <v>6</v>
      </c>
      <c r="AB549">
        <f t="shared" si="143"/>
        <v>0</v>
      </c>
      <c r="AC549">
        <f t="shared" si="144"/>
        <v>0</v>
      </c>
      <c r="AD549">
        <f t="shared" si="145"/>
        <v>0</v>
      </c>
      <c r="AE549">
        <f t="shared" si="146"/>
        <v>0</v>
      </c>
      <c r="AF549">
        <f t="shared" si="147"/>
        <v>0</v>
      </c>
      <c r="AG549">
        <f t="shared" si="148"/>
        <v>1</v>
      </c>
      <c r="AH549">
        <f t="shared" si="149"/>
        <v>0</v>
      </c>
      <c r="AI549">
        <f t="shared" si="150"/>
        <v>0</v>
      </c>
      <c r="AJ549">
        <f t="shared" si="151"/>
        <v>0</v>
      </c>
      <c r="AK549">
        <f t="shared" si="152"/>
        <v>0</v>
      </c>
      <c r="AL549">
        <v>0</v>
      </c>
      <c r="AM549">
        <v>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</row>
    <row r="550" spans="1:53" x14ac:dyDescent="0.35">
      <c r="A550">
        <v>0.21994454276156311</v>
      </c>
      <c r="C550">
        <v>8.5123287671232877</v>
      </c>
      <c r="D550" s="137">
        <f t="shared" si="137"/>
        <v>0.93004838879849971</v>
      </c>
      <c r="E550">
        <v>0</v>
      </c>
      <c r="F550">
        <v>1.0413926851582251</v>
      </c>
      <c r="G550" s="45">
        <v>3.29</v>
      </c>
      <c r="H550" s="29">
        <f t="shared" si="138"/>
        <v>0.51719589794997434</v>
      </c>
      <c r="I550" s="9">
        <v>0</v>
      </c>
      <c r="J550" s="34">
        <v>0.18184358794477254</v>
      </c>
      <c r="K550">
        <v>21</v>
      </c>
      <c r="L550" s="137">
        <f t="shared" si="139"/>
        <v>1.3222192947339193</v>
      </c>
      <c r="M550">
        <f t="shared" si="136"/>
        <v>0</v>
      </c>
      <c r="N550">
        <v>70</v>
      </c>
      <c r="O550">
        <v>70</v>
      </c>
      <c r="P550">
        <v>91.5</v>
      </c>
      <c r="Q550" s="137">
        <f t="shared" si="140"/>
        <v>1.9614210940664483</v>
      </c>
      <c r="R550" s="34">
        <v>32.9</v>
      </c>
      <c r="S550" s="34">
        <f t="shared" si="141"/>
        <v>1.5171958979499742</v>
      </c>
      <c r="T550" s="42">
        <v>40.767390998852598</v>
      </c>
      <c r="U550" s="42">
        <f t="shared" si="142"/>
        <v>1.6103129186864549</v>
      </c>
      <c r="V550">
        <v>3.2699236952309465</v>
      </c>
      <c r="W550" s="14">
        <v>2</v>
      </c>
      <c r="X550">
        <v>3.6984415808994222</v>
      </c>
      <c r="Y550">
        <v>8.5051499783199063</v>
      </c>
      <c r="Z550" s="80">
        <v>0.16289580475837728</v>
      </c>
      <c r="AA550">
        <v>4</v>
      </c>
      <c r="AB550">
        <f t="shared" si="143"/>
        <v>0</v>
      </c>
      <c r="AC550">
        <f t="shared" si="144"/>
        <v>0</v>
      </c>
      <c r="AD550">
        <f t="shared" si="145"/>
        <v>0</v>
      </c>
      <c r="AE550">
        <f t="shared" si="146"/>
        <v>1</v>
      </c>
      <c r="AF550">
        <f t="shared" si="147"/>
        <v>0</v>
      </c>
      <c r="AG550">
        <f t="shared" si="148"/>
        <v>0</v>
      </c>
      <c r="AH550">
        <f t="shared" si="149"/>
        <v>0</v>
      </c>
      <c r="AI550">
        <f t="shared" si="150"/>
        <v>0</v>
      </c>
      <c r="AJ550">
        <f t="shared" si="151"/>
        <v>0</v>
      </c>
      <c r="AK550">
        <f t="shared" si="152"/>
        <v>0</v>
      </c>
      <c r="AL550">
        <v>0</v>
      </c>
      <c r="AM550">
        <v>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</row>
    <row r="551" spans="1:53" x14ac:dyDescent="0.35">
      <c r="A551">
        <v>-0.1290816677404292</v>
      </c>
      <c r="C551">
        <v>11.789041095890411</v>
      </c>
      <c r="D551" s="137">
        <f t="shared" si="137"/>
        <v>1.0714784816260807</v>
      </c>
      <c r="E551">
        <v>0</v>
      </c>
      <c r="F551">
        <v>2</v>
      </c>
      <c r="G551" s="45">
        <v>3.29</v>
      </c>
      <c r="H551" s="29">
        <f t="shared" si="138"/>
        <v>0.51719589794997434</v>
      </c>
      <c r="I551" s="9">
        <v>0</v>
      </c>
      <c r="J551" s="34">
        <v>0.27875360095282892</v>
      </c>
      <c r="K551">
        <v>19</v>
      </c>
      <c r="L551" s="137">
        <f t="shared" si="139"/>
        <v>1.2787536009528289</v>
      </c>
      <c r="M551">
        <f t="shared" si="136"/>
        <v>0</v>
      </c>
      <c r="N551">
        <v>70</v>
      </c>
      <c r="O551">
        <v>70</v>
      </c>
      <c r="P551">
        <v>85</v>
      </c>
      <c r="Q551" s="137">
        <f t="shared" si="140"/>
        <v>1.9294189257142926</v>
      </c>
      <c r="R551" s="34">
        <v>32.299999999999997</v>
      </c>
      <c r="S551" s="34">
        <f t="shared" si="141"/>
        <v>1.5092025223311027</v>
      </c>
      <c r="T551" s="42">
        <v>40.040400531970803</v>
      </c>
      <c r="U551" s="42">
        <f t="shared" si="142"/>
        <v>1.6024984131617945</v>
      </c>
      <c r="V551">
        <v>3.2699236952309465</v>
      </c>
      <c r="W551" s="14">
        <v>2</v>
      </c>
      <c r="X551">
        <v>3.6984415808994222</v>
      </c>
      <c r="Y551">
        <v>9.2430380486862944</v>
      </c>
      <c r="Z551" s="80">
        <v>0.55683547605605099</v>
      </c>
      <c r="AA551">
        <v>5</v>
      </c>
      <c r="AB551">
        <f t="shared" si="143"/>
        <v>0</v>
      </c>
      <c r="AC551">
        <f t="shared" si="144"/>
        <v>0</v>
      </c>
      <c r="AD551">
        <f t="shared" si="145"/>
        <v>0</v>
      </c>
      <c r="AE551">
        <f t="shared" si="146"/>
        <v>0</v>
      </c>
      <c r="AF551">
        <f t="shared" si="147"/>
        <v>1</v>
      </c>
      <c r="AG551">
        <f t="shared" si="148"/>
        <v>0</v>
      </c>
      <c r="AH551">
        <f t="shared" si="149"/>
        <v>0</v>
      </c>
      <c r="AI551">
        <f t="shared" si="150"/>
        <v>0</v>
      </c>
      <c r="AJ551">
        <f t="shared" si="151"/>
        <v>0</v>
      </c>
      <c r="AK551">
        <f t="shared" si="152"/>
        <v>0</v>
      </c>
      <c r="AL551">
        <v>0</v>
      </c>
      <c r="AM551">
        <v>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</row>
    <row r="552" spans="1:53" x14ac:dyDescent="0.35">
      <c r="A552">
        <v>0.43122980346359274</v>
      </c>
      <c r="C552">
        <v>11.224657534246575</v>
      </c>
      <c r="D552" s="137">
        <f t="shared" si="137"/>
        <v>1.0501730994966676</v>
      </c>
      <c r="E552">
        <v>0</v>
      </c>
      <c r="F552">
        <v>1.5563025007672873</v>
      </c>
      <c r="G552" s="45">
        <v>3.29</v>
      </c>
      <c r="H552" s="29">
        <f t="shared" si="138"/>
        <v>0.51719589794997434</v>
      </c>
      <c r="I552" s="9">
        <v>0</v>
      </c>
      <c r="J552" s="34">
        <v>0.26481782300953643</v>
      </c>
      <c r="K552">
        <v>19</v>
      </c>
      <c r="L552" s="137">
        <f t="shared" si="139"/>
        <v>1.2787536009528289</v>
      </c>
      <c r="M552">
        <f t="shared" si="136"/>
        <v>0</v>
      </c>
      <c r="N552">
        <v>70</v>
      </c>
      <c r="O552">
        <v>70</v>
      </c>
      <c r="P552">
        <v>85</v>
      </c>
      <c r="Q552" s="137">
        <f t="shared" si="140"/>
        <v>1.9294189257142926</v>
      </c>
      <c r="R552" s="34">
        <v>32.299999999999997</v>
      </c>
      <c r="S552" s="34">
        <f t="shared" si="141"/>
        <v>1.5092025223311027</v>
      </c>
      <c r="T552" s="42">
        <v>40.040400531970803</v>
      </c>
      <c r="U552" s="42">
        <f t="shared" si="142"/>
        <v>1.6024984131617945</v>
      </c>
      <c r="V552">
        <v>3.2699236952309465</v>
      </c>
      <c r="W552" s="14">
        <v>2</v>
      </c>
      <c r="X552">
        <v>3.6984415808994222</v>
      </c>
      <c r="Y552">
        <v>8.8198728219505469</v>
      </c>
      <c r="Z552" s="80">
        <v>0.6476696576542873</v>
      </c>
      <c r="AA552">
        <v>5</v>
      </c>
      <c r="AB552">
        <f t="shared" si="143"/>
        <v>0</v>
      </c>
      <c r="AC552">
        <f t="shared" si="144"/>
        <v>0</v>
      </c>
      <c r="AD552">
        <f t="shared" si="145"/>
        <v>0</v>
      </c>
      <c r="AE552">
        <f t="shared" si="146"/>
        <v>0</v>
      </c>
      <c r="AF552">
        <f t="shared" si="147"/>
        <v>1</v>
      </c>
      <c r="AG552">
        <f t="shared" si="148"/>
        <v>0</v>
      </c>
      <c r="AH552">
        <f t="shared" si="149"/>
        <v>0</v>
      </c>
      <c r="AI552">
        <f t="shared" si="150"/>
        <v>0</v>
      </c>
      <c r="AJ552">
        <f t="shared" si="151"/>
        <v>0</v>
      </c>
      <c r="AK552">
        <f t="shared" si="152"/>
        <v>0</v>
      </c>
      <c r="AL552">
        <v>0</v>
      </c>
      <c r="AM552">
        <v>1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</row>
    <row r="553" spans="1:53" x14ac:dyDescent="0.35">
      <c r="A553">
        <v>-0.6127113446665251</v>
      </c>
      <c r="C553">
        <v>2.0739726027397261</v>
      </c>
      <c r="D553" s="137">
        <f t="shared" si="137"/>
        <v>0.31680301504359804</v>
      </c>
      <c r="E553">
        <v>0</v>
      </c>
      <c r="F553">
        <v>1.3979400086720377</v>
      </c>
      <c r="G553" s="45">
        <v>3.29</v>
      </c>
      <c r="H553" s="29">
        <f t="shared" si="138"/>
        <v>0.51719589794997434</v>
      </c>
      <c r="I553" s="9">
        <v>0</v>
      </c>
      <c r="J553" s="34">
        <v>7.554696139253074E-2</v>
      </c>
      <c r="K553">
        <v>18</v>
      </c>
      <c r="L553" s="137">
        <f t="shared" si="139"/>
        <v>1.255272505103306</v>
      </c>
      <c r="M553">
        <f t="shared" si="136"/>
        <v>0</v>
      </c>
      <c r="N553">
        <v>70</v>
      </c>
      <c r="O553">
        <v>70</v>
      </c>
      <c r="P553">
        <v>85</v>
      </c>
      <c r="Q553" s="137">
        <f t="shared" si="140"/>
        <v>1.9294189257142926</v>
      </c>
      <c r="R553" s="34">
        <v>31.3</v>
      </c>
      <c r="S553" s="34">
        <f t="shared" si="141"/>
        <v>1.4955443375464486</v>
      </c>
      <c r="T553" s="42">
        <v>38.7850112673514</v>
      </c>
      <c r="U553" s="42">
        <f t="shared" si="142"/>
        <v>1.5886639219461918</v>
      </c>
      <c r="V553">
        <v>3.2699236952309465</v>
      </c>
      <c r="W553" s="14">
        <v>2</v>
      </c>
      <c r="X553">
        <v>3.6984415808994222</v>
      </c>
      <c r="Y553">
        <v>8.9895254566347216</v>
      </c>
      <c r="Z553" s="80">
        <v>0.35105502594700866</v>
      </c>
      <c r="AA553">
        <v>4</v>
      </c>
      <c r="AB553">
        <f t="shared" si="143"/>
        <v>0</v>
      </c>
      <c r="AC553">
        <f t="shared" si="144"/>
        <v>0</v>
      </c>
      <c r="AD553">
        <f t="shared" si="145"/>
        <v>0</v>
      </c>
      <c r="AE553">
        <f t="shared" si="146"/>
        <v>1</v>
      </c>
      <c r="AF553">
        <f t="shared" si="147"/>
        <v>0</v>
      </c>
      <c r="AG553">
        <f t="shared" si="148"/>
        <v>0</v>
      </c>
      <c r="AH553">
        <f t="shared" si="149"/>
        <v>0</v>
      </c>
      <c r="AI553">
        <f t="shared" si="150"/>
        <v>0</v>
      </c>
      <c r="AJ553">
        <f t="shared" si="151"/>
        <v>0</v>
      </c>
      <c r="AK553">
        <f t="shared" si="152"/>
        <v>0</v>
      </c>
      <c r="AL553">
        <v>0</v>
      </c>
      <c r="AM553">
        <v>1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</row>
    <row r="554" spans="1:53" x14ac:dyDescent="0.35">
      <c r="A554">
        <v>-2.3176220805831468E-2</v>
      </c>
      <c r="C554">
        <v>3.5890410958904111</v>
      </c>
      <c r="D554" s="137">
        <f t="shared" si="137"/>
        <v>0.55497843119928958</v>
      </c>
      <c r="E554">
        <v>0</v>
      </c>
      <c r="F554">
        <v>1.6627578316815741</v>
      </c>
      <c r="G554" s="45">
        <v>3.29</v>
      </c>
      <c r="H554" s="29">
        <f t="shared" si="138"/>
        <v>0.51719589794997434</v>
      </c>
      <c r="I554" s="9">
        <v>0</v>
      </c>
      <c r="J554" s="34">
        <v>0.18469143081759881</v>
      </c>
      <c r="K554">
        <v>18</v>
      </c>
      <c r="L554" s="137">
        <f t="shared" si="139"/>
        <v>1.255272505103306</v>
      </c>
      <c r="M554">
        <f t="shared" si="136"/>
        <v>0</v>
      </c>
      <c r="N554">
        <v>70</v>
      </c>
      <c r="O554">
        <v>70</v>
      </c>
      <c r="P554">
        <v>85</v>
      </c>
      <c r="Q554" s="137">
        <f t="shared" si="140"/>
        <v>1.9294189257142926</v>
      </c>
      <c r="R554" s="34">
        <v>31.3</v>
      </c>
      <c r="S554" s="34">
        <f t="shared" si="141"/>
        <v>1.4955443375464486</v>
      </c>
      <c r="T554" s="42">
        <v>38.7850112673514</v>
      </c>
      <c r="U554" s="42">
        <f t="shared" si="142"/>
        <v>1.5886639219461918</v>
      </c>
      <c r="V554">
        <v>3.2699236952309465</v>
      </c>
      <c r="W554" s="14">
        <v>2</v>
      </c>
      <c r="X554">
        <v>3.6984415808994222</v>
      </c>
      <c r="Y554">
        <v>8.852479993636857</v>
      </c>
      <c r="Z554" s="80">
        <v>0.73622987182309219</v>
      </c>
      <c r="AA554">
        <v>5</v>
      </c>
      <c r="AB554">
        <f t="shared" si="143"/>
        <v>0</v>
      </c>
      <c r="AC554">
        <f t="shared" si="144"/>
        <v>0</v>
      </c>
      <c r="AD554">
        <f t="shared" si="145"/>
        <v>0</v>
      </c>
      <c r="AE554">
        <f t="shared" si="146"/>
        <v>0</v>
      </c>
      <c r="AF554">
        <f t="shared" si="147"/>
        <v>1</v>
      </c>
      <c r="AG554">
        <f t="shared" si="148"/>
        <v>0</v>
      </c>
      <c r="AH554">
        <f t="shared" si="149"/>
        <v>0</v>
      </c>
      <c r="AI554">
        <f t="shared" si="150"/>
        <v>0</v>
      </c>
      <c r="AJ554">
        <f t="shared" si="151"/>
        <v>0</v>
      </c>
      <c r="AK554">
        <f t="shared" si="152"/>
        <v>0</v>
      </c>
      <c r="AL554">
        <v>0</v>
      </c>
      <c r="AM554">
        <v>1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</row>
    <row r="555" spans="1:53" x14ac:dyDescent="0.35">
      <c r="A555">
        <v>-7.0049015686584892E-3</v>
      </c>
      <c r="C555">
        <v>1.9945205479452055</v>
      </c>
      <c r="D555" s="137">
        <f t="shared" si="137"/>
        <v>0.29983851485656249</v>
      </c>
      <c r="E555">
        <v>0</v>
      </c>
      <c r="F555">
        <v>1.3424226808222062</v>
      </c>
      <c r="G555" s="45">
        <v>3.29</v>
      </c>
      <c r="H555" s="29">
        <f t="shared" si="138"/>
        <v>0.51719589794997434</v>
      </c>
      <c r="I555" s="9">
        <v>0</v>
      </c>
      <c r="J555" s="34">
        <v>-0.16115090926274472</v>
      </c>
      <c r="K555">
        <v>15</v>
      </c>
      <c r="L555" s="137">
        <f t="shared" si="139"/>
        <v>1.1760912590556813</v>
      </c>
      <c r="M555">
        <f t="shared" si="136"/>
        <v>0</v>
      </c>
      <c r="N555">
        <v>70</v>
      </c>
      <c r="O555">
        <v>70</v>
      </c>
      <c r="P555">
        <v>85</v>
      </c>
      <c r="Q555" s="137">
        <f t="shared" si="140"/>
        <v>1.9294189257142926</v>
      </c>
      <c r="R555" s="34">
        <v>32.9</v>
      </c>
      <c r="S555" s="34">
        <f t="shared" si="141"/>
        <v>1.5171958979499742</v>
      </c>
      <c r="T555" s="42">
        <v>35.433808146393098</v>
      </c>
      <c r="U555" s="42">
        <f t="shared" si="142"/>
        <v>1.5494178293890581</v>
      </c>
      <c r="V555">
        <v>3.2699236952309465</v>
      </c>
      <c r="W555" s="14">
        <v>2</v>
      </c>
      <c r="X555">
        <v>3.6984415808994222</v>
      </c>
      <c r="Y555">
        <v>8.8750612633917001</v>
      </c>
      <c r="Z555" s="80">
        <v>-0.35890692734959695</v>
      </c>
      <c r="AA555">
        <v>5</v>
      </c>
      <c r="AB555">
        <f t="shared" si="143"/>
        <v>0</v>
      </c>
      <c r="AC555">
        <f t="shared" si="144"/>
        <v>0</v>
      </c>
      <c r="AD555">
        <f t="shared" si="145"/>
        <v>0</v>
      </c>
      <c r="AE555">
        <f t="shared" si="146"/>
        <v>0</v>
      </c>
      <c r="AF555">
        <f t="shared" si="147"/>
        <v>1</v>
      </c>
      <c r="AG555">
        <f t="shared" si="148"/>
        <v>0</v>
      </c>
      <c r="AH555">
        <f t="shared" si="149"/>
        <v>0</v>
      </c>
      <c r="AI555">
        <f t="shared" si="150"/>
        <v>0</v>
      </c>
      <c r="AJ555">
        <f t="shared" si="151"/>
        <v>0</v>
      </c>
      <c r="AK555">
        <f t="shared" si="152"/>
        <v>0</v>
      </c>
      <c r="AL555">
        <v>0</v>
      </c>
      <c r="AM555">
        <v>1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</row>
    <row r="556" spans="1:53" x14ac:dyDescent="0.35">
      <c r="A556">
        <v>-0.59183834003113434</v>
      </c>
      <c r="C556">
        <v>4.7178082191780826</v>
      </c>
      <c r="D556" s="137">
        <f t="shared" si="137"/>
        <v>0.67374028266116126</v>
      </c>
      <c r="E556">
        <v>0</v>
      </c>
      <c r="F556">
        <v>0</v>
      </c>
      <c r="G556" s="45">
        <v>3.29</v>
      </c>
      <c r="H556" s="29">
        <f t="shared" si="138"/>
        <v>0.51719589794997434</v>
      </c>
      <c r="I556" s="9">
        <v>0</v>
      </c>
      <c r="J556" s="34">
        <v>-5.0609993355087209E-2</v>
      </c>
      <c r="K556">
        <v>15</v>
      </c>
      <c r="L556" s="137">
        <f t="shared" si="139"/>
        <v>1.1760912590556813</v>
      </c>
      <c r="M556">
        <f t="shared" si="136"/>
        <v>0</v>
      </c>
      <c r="N556">
        <v>70</v>
      </c>
      <c r="O556">
        <v>70</v>
      </c>
      <c r="P556">
        <v>85</v>
      </c>
      <c r="Q556" s="137">
        <f t="shared" si="140"/>
        <v>1.9294189257142926</v>
      </c>
      <c r="R556" s="34">
        <v>32.9</v>
      </c>
      <c r="S556" s="34">
        <f t="shared" si="141"/>
        <v>1.5171958979499742</v>
      </c>
      <c r="T556" s="42">
        <v>35.433808146393098</v>
      </c>
      <c r="U556" s="42">
        <f t="shared" si="142"/>
        <v>1.5494178293890581</v>
      </c>
      <c r="V556">
        <v>3.2699236952309465</v>
      </c>
      <c r="W556" s="14">
        <v>2</v>
      </c>
      <c r="X556">
        <v>3.6984415808994222</v>
      </c>
      <c r="Y556">
        <v>9.4149733479708182</v>
      </c>
      <c r="Z556" s="80">
        <v>-0.12758222163518684</v>
      </c>
      <c r="AA556">
        <v>9</v>
      </c>
      <c r="AB556">
        <f t="shared" si="143"/>
        <v>0</v>
      </c>
      <c r="AC556">
        <f t="shared" si="144"/>
        <v>0</v>
      </c>
      <c r="AD556">
        <f t="shared" si="145"/>
        <v>0</v>
      </c>
      <c r="AE556">
        <f t="shared" si="146"/>
        <v>0</v>
      </c>
      <c r="AF556">
        <f t="shared" si="147"/>
        <v>0</v>
      </c>
      <c r="AG556">
        <f t="shared" si="148"/>
        <v>0</v>
      </c>
      <c r="AH556">
        <f t="shared" si="149"/>
        <v>0</v>
      </c>
      <c r="AI556">
        <f t="shared" si="150"/>
        <v>0</v>
      </c>
      <c r="AJ556">
        <f t="shared" si="151"/>
        <v>1</v>
      </c>
      <c r="AK556">
        <f t="shared" si="152"/>
        <v>0</v>
      </c>
      <c r="AL556">
        <v>0</v>
      </c>
      <c r="AM556">
        <v>1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</row>
    <row r="557" spans="1:53" x14ac:dyDescent="0.35">
      <c r="A557">
        <v>-0.36974580803344115</v>
      </c>
      <c r="C557">
        <v>8.8876712328767127</v>
      </c>
      <c r="D557" s="137">
        <f t="shared" si="137"/>
        <v>0.94878798108264373</v>
      </c>
      <c r="E557">
        <v>0</v>
      </c>
      <c r="F557">
        <v>0</v>
      </c>
      <c r="G557" s="45">
        <v>3.29</v>
      </c>
      <c r="H557" s="29">
        <f t="shared" si="138"/>
        <v>0.51719589794997434</v>
      </c>
      <c r="I557" s="9">
        <v>0</v>
      </c>
      <c r="J557" s="34">
        <v>0.11394335230683679</v>
      </c>
      <c r="K557">
        <v>13</v>
      </c>
      <c r="L557" s="137">
        <f t="shared" si="139"/>
        <v>1.1139433523068367</v>
      </c>
      <c r="M557">
        <f t="shared" si="136"/>
        <v>0</v>
      </c>
      <c r="N557">
        <v>70</v>
      </c>
      <c r="O557">
        <v>70</v>
      </c>
      <c r="P557">
        <v>85</v>
      </c>
      <c r="Q557" s="137">
        <f t="shared" si="140"/>
        <v>1.9294189257142926</v>
      </c>
      <c r="R557" s="34">
        <v>31.5</v>
      </c>
      <c r="S557" s="34">
        <f t="shared" si="141"/>
        <v>1.4983105537896004</v>
      </c>
      <c r="T557" s="42">
        <v>35.516899069648296</v>
      </c>
      <c r="U557" s="42">
        <f t="shared" si="142"/>
        <v>1.5504350411232082</v>
      </c>
      <c r="V557">
        <v>3.2699236952309465</v>
      </c>
      <c r="W557" s="14">
        <v>2</v>
      </c>
      <c r="X557">
        <v>3.6984415808994222</v>
      </c>
      <c r="Y557">
        <v>7.9138138523837167</v>
      </c>
      <c r="Z557" s="80">
        <v>0.25707234818604863</v>
      </c>
      <c r="AA557">
        <v>5</v>
      </c>
      <c r="AB557">
        <f t="shared" si="143"/>
        <v>0</v>
      </c>
      <c r="AC557">
        <f t="shared" si="144"/>
        <v>0</v>
      </c>
      <c r="AD557">
        <f t="shared" si="145"/>
        <v>0</v>
      </c>
      <c r="AE557">
        <f t="shared" si="146"/>
        <v>0</v>
      </c>
      <c r="AF557">
        <f t="shared" si="147"/>
        <v>1</v>
      </c>
      <c r="AG557">
        <f t="shared" si="148"/>
        <v>0</v>
      </c>
      <c r="AH557">
        <f t="shared" si="149"/>
        <v>0</v>
      </c>
      <c r="AI557">
        <f t="shared" si="150"/>
        <v>0</v>
      </c>
      <c r="AJ557">
        <f t="shared" si="151"/>
        <v>0</v>
      </c>
      <c r="AK557">
        <f t="shared" si="152"/>
        <v>0</v>
      </c>
      <c r="AL557">
        <v>0</v>
      </c>
      <c r="AM557">
        <v>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</row>
    <row r="558" spans="1:53" x14ac:dyDescent="0.35">
      <c r="A558">
        <v>0.58142087451127222</v>
      </c>
      <c r="C558">
        <v>3.8684931506849316</v>
      </c>
      <c r="D558" s="137">
        <f t="shared" si="137"/>
        <v>0.58754183225931023</v>
      </c>
      <c r="E558">
        <v>0</v>
      </c>
      <c r="F558">
        <v>1.8061799739838871</v>
      </c>
      <c r="G558" s="45">
        <v>3.29</v>
      </c>
      <c r="H558" s="29">
        <f t="shared" si="138"/>
        <v>0.51719589794997434</v>
      </c>
      <c r="I558" s="9">
        <v>0</v>
      </c>
      <c r="J558" s="34">
        <v>0.17026171539495738</v>
      </c>
      <c r="K558">
        <v>29</v>
      </c>
      <c r="L558" s="137">
        <f t="shared" si="139"/>
        <v>1.4623979978989561</v>
      </c>
      <c r="M558">
        <f t="shared" si="136"/>
        <v>0</v>
      </c>
      <c r="N558">
        <v>70</v>
      </c>
      <c r="O558">
        <v>70</v>
      </c>
      <c r="P558">
        <v>94.1</v>
      </c>
      <c r="Q558" s="137">
        <f t="shared" si="140"/>
        <v>1.973589623427257</v>
      </c>
      <c r="R558" s="34">
        <v>32.200000000000003</v>
      </c>
      <c r="S558" s="34">
        <f t="shared" si="141"/>
        <v>1.507855871695831</v>
      </c>
      <c r="T558" s="42">
        <v>43.9397801796012</v>
      </c>
      <c r="U558" s="42">
        <f t="shared" si="142"/>
        <v>1.6428578799166489</v>
      </c>
      <c r="V558">
        <v>3.2555397552391718</v>
      </c>
      <c r="W558" s="14">
        <v>2</v>
      </c>
      <c r="X558">
        <v>3.9251377713585649</v>
      </c>
      <c r="Y558">
        <v>8.3402656009723302</v>
      </c>
      <c r="Z558" s="80">
        <v>0.14847420600582795</v>
      </c>
      <c r="AA558">
        <v>2</v>
      </c>
      <c r="AB558">
        <f t="shared" si="143"/>
        <v>0</v>
      </c>
      <c r="AC558">
        <f t="shared" si="144"/>
        <v>1</v>
      </c>
      <c r="AD558">
        <f t="shared" si="145"/>
        <v>0</v>
      </c>
      <c r="AE558">
        <f t="shared" si="146"/>
        <v>0</v>
      </c>
      <c r="AF558">
        <f t="shared" si="147"/>
        <v>0</v>
      </c>
      <c r="AG558">
        <f t="shared" si="148"/>
        <v>0</v>
      </c>
      <c r="AH558">
        <f t="shared" si="149"/>
        <v>0</v>
      </c>
      <c r="AI558">
        <f t="shared" si="150"/>
        <v>0</v>
      </c>
      <c r="AJ558">
        <f t="shared" si="151"/>
        <v>0</v>
      </c>
      <c r="AK558">
        <f t="shared" si="152"/>
        <v>0</v>
      </c>
      <c r="AL558">
        <v>0</v>
      </c>
      <c r="AM558">
        <v>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</row>
    <row r="559" spans="1:53" x14ac:dyDescent="0.35">
      <c r="A559">
        <v>0.60090341412802017</v>
      </c>
      <c r="C559">
        <v>6.5424657534246577</v>
      </c>
      <c r="D559" s="137">
        <f t="shared" si="137"/>
        <v>0.81574145800085673</v>
      </c>
      <c r="E559">
        <v>0</v>
      </c>
      <c r="F559">
        <v>0</v>
      </c>
      <c r="G559" s="45">
        <v>3.29</v>
      </c>
      <c r="H559" s="29">
        <f t="shared" si="138"/>
        <v>0.51719589794997434</v>
      </c>
      <c r="I559" s="9">
        <v>0</v>
      </c>
      <c r="J559" s="34">
        <v>0.12710479836480765</v>
      </c>
      <c r="K559">
        <v>0</v>
      </c>
      <c r="L559" s="137">
        <f t="shared" si="139"/>
        <v>0</v>
      </c>
      <c r="M559">
        <f t="shared" si="136"/>
        <v>0</v>
      </c>
      <c r="N559">
        <v>70</v>
      </c>
      <c r="O559">
        <v>70</v>
      </c>
      <c r="P559">
        <v>91.2</v>
      </c>
      <c r="Q559" s="137">
        <f t="shared" si="140"/>
        <v>1.9599948383284163</v>
      </c>
      <c r="R559" s="34">
        <v>33</v>
      </c>
      <c r="S559" s="34">
        <f t="shared" si="141"/>
        <v>1.5185139398778875</v>
      </c>
      <c r="T559" s="42">
        <v>40.902544500539101</v>
      </c>
      <c r="U559" s="42">
        <f t="shared" si="142"/>
        <v>1.6117503258110162</v>
      </c>
      <c r="V559">
        <v>3.2555397552391718</v>
      </c>
      <c r="W559" s="14">
        <v>2</v>
      </c>
      <c r="X559">
        <v>3.9251377713585649</v>
      </c>
      <c r="Y559">
        <v>7.2741578492636796</v>
      </c>
      <c r="Z559" s="80">
        <v>8.4264156881149521E-2</v>
      </c>
      <c r="AA559">
        <v>5</v>
      </c>
      <c r="AB559">
        <f t="shared" si="143"/>
        <v>0</v>
      </c>
      <c r="AC559">
        <f t="shared" si="144"/>
        <v>0</v>
      </c>
      <c r="AD559">
        <f t="shared" si="145"/>
        <v>0</v>
      </c>
      <c r="AE559">
        <f t="shared" si="146"/>
        <v>0</v>
      </c>
      <c r="AF559">
        <f t="shared" si="147"/>
        <v>1</v>
      </c>
      <c r="AG559">
        <f t="shared" si="148"/>
        <v>0</v>
      </c>
      <c r="AH559">
        <f t="shared" si="149"/>
        <v>0</v>
      </c>
      <c r="AI559">
        <f t="shared" si="150"/>
        <v>0</v>
      </c>
      <c r="AJ559">
        <f t="shared" si="151"/>
        <v>0</v>
      </c>
      <c r="AK559">
        <f t="shared" si="152"/>
        <v>0</v>
      </c>
      <c r="AL559">
        <v>0</v>
      </c>
      <c r="AM559">
        <v>1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</row>
    <row r="560" spans="1:53" x14ac:dyDescent="0.35">
      <c r="A560">
        <v>0.17955968750028012</v>
      </c>
      <c r="C560">
        <v>10.468493150684932</v>
      </c>
      <c r="D560" s="137">
        <f t="shared" si="137"/>
        <v>1.0198841732319341</v>
      </c>
      <c r="E560">
        <v>0</v>
      </c>
      <c r="F560">
        <v>1.8864907251724818</v>
      </c>
      <c r="G560" s="45">
        <v>3.29</v>
      </c>
      <c r="H560" s="29">
        <f t="shared" si="138"/>
        <v>0.51719589794997434</v>
      </c>
      <c r="I560" s="9">
        <v>0</v>
      </c>
      <c r="J560" s="34">
        <v>0.23044892137827391</v>
      </c>
      <c r="K560">
        <v>23</v>
      </c>
      <c r="L560" s="137">
        <f t="shared" si="139"/>
        <v>1.3617278360175928</v>
      </c>
      <c r="M560">
        <f t="shared" si="136"/>
        <v>0</v>
      </c>
      <c r="N560">
        <v>70</v>
      </c>
      <c r="O560">
        <v>70</v>
      </c>
      <c r="P560">
        <v>91.2</v>
      </c>
      <c r="Q560" s="137">
        <f t="shared" si="140"/>
        <v>1.9599948383284163</v>
      </c>
      <c r="R560" s="34">
        <v>33</v>
      </c>
      <c r="S560" s="34">
        <f t="shared" si="141"/>
        <v>1.5185139398778875</v>
      </c>
      <c r="T560" s="42">
        <v>40.902544500539101</v>
      </c>
      <c r="U560" s="42">
        <f t="shared" si="142"/>
        <v>1.6117503258110162</v>
      </c>
      <c r="V560">
        <v>3.2555397552391718</v>
      </c>
      <c r="W560" s="14">
        <v>2</v>
      </c>
      <c r="X560">
        <v>3.9251377713585649</v>
      </c>
      <c r="Y560">
        <v>8.1628629933219266</v>
      </c>
      <c r="Z560" s="80">
        <v>0.21458199042240467</v>
      </c>
      <c r="AA560">
        <v>5</v>
      </c>
      <c r="AB560">
        <f t="shared" si="143"/>
        <v>0</v>
      </c>
      <c r="AC560">
        <f t="shared" si="144"/>
        <v>0</v>
      </c>
      <c r="AD560">
        <f t="shared" si="145"/>
        <v>0</v>
      </c>
      <c r="AE560">
        <f t="shared" si="146"/>
        <v>0</v>
      </c>
      <c r="AF560">
        <f t="shared" si="147"/>
        <v>1</v>
      </c>
      <c r="AG560">
        <f t="shared" si="148"/>
        <v>0</v>
      </c>
      <c r="AH560">
        <f t="shared" si="149"/>
        <v>0</v>
      </c>
      <c r="AI560">
        <f t="shared" si="150"/>
        <v>0</v>
      </c>
      <c r="AJ560">
        <f t="shared" si="151"/>
        <v>0</v>
      </c>
      <c r="AK560">
        <f t="shared" si="152"/>
        <v>0</v>
      </c>
      <c r="AL560">
        <v>0</v>
      </c>
      <c r="AM560">
        <v>1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</row>
    <row r="561" spans="1:53" x14ac:dyDescent="0.35">
      <c r="A561">
        <v>0.35878060088391328</v>
      </c>
      <c r="C561">
        <v>2.4712328767123286</v>
      </c>
      <c r="D561" s="137">
        <f t="shared" si="137"/>
        <v>0.39291367308546699</v>
      </c>
      <c r="E561">
        <v>0</v>
      </c>
      <c r="F561">
        <v>1.6901960800285136</v>
      </c>
      <c r="G561" s="45">
        <v>3.29</v>
      </c>
      <c r="H561" s="29">
        <f t="shared" si="138"/>
        <v>0.51719589794997434</v>
      </c>
      <c r="I561" s="9">
        <v>0</v>
      </c>
      <c r="J561" s="34">
        <v>3.7426497940623665E-2</v>
      </c>
      <c r="K561">
        <v>21</v>
      </c>
      <c r="L561" s="137">
        <f t="shared" si="139"/>
        <v>1.3222192947339193</v>
      </c>
      <c r="M561">
        <f t="shared" si="136"/>
        <v>0</v>
      </c>
      <c r="N561">
        <v>70</v>
      </c>
      <c r="O561">
        <v>70</v>
      </c>
      <c r="P561">
        <v>85</v>
      </c>
      <c r="Q561" s="137">
        <f t="shared" si="140"/>
        <v>1.9294189257142926</v>
      </c>
      <c r="R561" s="34">
        <v>32.700000000000003</v>
      </c>
      <c r="S561" s="34">
        <f t="shared" si="141"/>
        <v>1.5145477526602862</v>
      </c>
      <c r="T561" s="42">
        <v>41.286751495766303</v>
      </c>
      <c r="U561" s="42">
        <f t="shared" si="142"/>
        <v>1.6158107132703448</v>
      </c>
      <c r="V561">
        <v>3.2555397552391718</v>
      </c>
      <c r="W561" s="14">
        <v>2</v>
      </c>
      <c r="X561">
        <v>3.9251377713585649</v>
      </c>
      <c r="Y561">
        <v>8.3521825181113627</v>
      </c>
      <c r="Z561" s="80">
        <v>0.11394979137337091</v>
      </c>
      <c r="AA561">
        <v>1</v>
      </c>
      <c r="AB561">
        <f t="shared" si="143"/>
        <v>1</v>
      </c>
      <c r="AC561">
        <f t="shared" si="144"/>
        <v>0</v>
      </c>
      <c r="AD561">
        <f t="shared" si="145"/>
        <v>0</v>
      </c>
      <c r="AE561">
        <f t="shared" si="146"/>
        <v>0</v>
      </c>
      <c r="AF561">
        <f t="shared" si="147"/>
        <v>0</v>
      </c>
      <c r="AG561">
        <f t="shared" si="148"/>
        <v>0</v>
      </c>
      <c r="AH561">
        <f t="shared" si="149"/>
        <v>0</v>
      </c>
      <c r="AI561">
        <f t="shared" si="150"/>
        <v>0</v>
      </c>
      <c r="AJ561">
        <f t="shared" si="151"/>
        <v>0</v>
      </c>
      <c r="AK561">
        <f t="shared" si="152"/>
        <v>0</v>
      </c>
      <c r="AL561">
        <v>0</v>
      </c>
      <c r="AM561">
        <v>1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</row>
    <row r="562" spans="1:53" x14ac:dyDescent="0.35">
      <c r="A562">
        <v>0.25661085587556831</v>
      </c>
      <c r="C562">
        <v>12.295890410958904</v>
      </c>
      <c r="D562" s="137">
        <f t="shared" si="137"/>
        <v>1.0897599837916303</v>
      </c>
      <c r="E562">
        <v>0</v>
      </c>
      <c r="F562">
        <v>0</v>
      </c>
      <c r="G562" s="45">
        <v>3.29</v>
      </c>
      <c r="H562" s="29">
        <f t="shared" si="138"/>
        <v>0.51719589794997434</v>
      </c>
      <c r="I562" s="9">
        <v>0</v>
      </c>
      <c r="J562" s="34">
        <v>0.31597034545691782</v>
      </c>
      <c r="K562">
        <v>20</v>
      </c>
      <c r="L562" s="137">
        <f t="shared" si="139"/>
        <v>1.3010299956639813</v>
      </c>
      <c r="M562">
        <f t="shared" si="136"/>
        <v>0</v>
      </c>
      <c r="N562">
        <v>70</v>
      </c>
      <c r="O562">
        <v>70</v>
      </c>
      <c r="P562">
        <v>85</v>
      </c>
      <c r="Q562" s="137">
        <f t="shared" si="140"/>
        <v>1.9294189257142926</v>
      </c>
      <c r="R562" s="34">
        <v>32.299999999999997</v>
      </c>
      <c r="S562" s="34">
        <f t="shared" si="141"/>
        <v>1.5092025223311027</v>
      </c>
      <c r="T562" s="42">
        <v>40.040400531970803</v>
      </c>
      <c r="U562" s="42">
        <f t="shared" si="142"/>
        <v>1.6024984131617945</v>
      </c>
      <c r="V562">
        <v>3.2555397552391718</v>
      </c>
      <c r="W562" s="14">
        <v>2</v>
      </c>
      <c r="X562">
        <v>3.9251377713585649</v>
      </c>
      <c r="Y562">
        <v>7.8573324964312681</v>
      </c>
      <c r="Z562" s="80">
        <v>0.69888778316005951</v>
      </c>
      <c r="AA562">
        <v>6</v>
      </c>
      <c r="AB562">
        <f t="shared" si="143"/>
        <v>0</v>
      </c>
      <c r="AC562">
        <f t="shared" si="144"/>
        <v>0</v>
      </c>
      <c r="AD562">
        <f t="shared" si="145"/>
        <v>0</v>
      </c>
      <c r="AE562">
        <f t="shared" si="146"/>
        <v>0</v>
      </c>
      <c r="AF562">
        <f t="shared" si="147"/>
        <v>0</v>
      </c>
      <c r="AG562">
        <f t="shared" si="148"/>
        <v>1</v>
      </c>
      <c r="AH562">
        <f t="shared" si="149"/>
        <v>0</v>
      </c>
      <c r="AI562">
        <f t="shared" si="150"/>
        <v>0</v>
      </c>
      <c r="AJ562">
        <f t="shared" si="151"/>
        <v>0</v>
      </c>
      <c r="AK562">
        <f t="shared" si="152"/>
        <v>0</v>
      </c>
      <c r="AL562">
        <v>0</v>
      </c>
      <c r="AM562">
        <v>1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</row>
    <row r="563" spans="1:53" x14ac:dyDescent="0.35">
      <c r="A563">
        <v>-4.6324331383241914E-2</v>
      </c>
      <c r="C563">
        <v>5.536986301369863</v>
      </c>
      <c r="D563" s="137">
        <f t="shared" si="137"/>
        <v>0.74327344905882931</v>
      </c>
      <c r="E563">
        <v>0</v>
      </c>
      <c r="F563">
        <v>1.146128035678238</v>
      </c>
      <c r="G563" s="45">
        <v>3.29</v>
      </c>
      <c r="H563" s="29">
        <f t="shared" si="138"/>
        <v>0.51719589794997434</v>
      </c>
      <c r="I563" s="9">
        <v>0</v>
      </c>
      <c r="J563" s="34">
        <v>-1.322826573375516E-2</v>
      </c>
      <c r="K563">
        <v>20</v>
      </c>
      <c r="L563" s="137">
        <f t="shared" si="139"/>
        <v>1.3010299956639813</v>
      </c>
      <c r="M563">
        <f t="shared" si="136"/>
        <v>0</v>
      </c>
      <c r="N563">
        <v>70</v>
      </c>
      <c r="O563">
        <v>70</v>
      </c>
      <c r="P563">
        <v>85</v>
      </c>
      <c r="Q563" s="137">
        <f t="shared" si="140"/>
        <v>1.9294189257142926</v>
      </c>
      <c r="R563" s="34">
        <v>32.299999999999997</v>
      </c>
      <c r="S563" s="34">
        <f t="shared" si="141"/>
        <v>1.5092025223311027</v>
      </c>
      <c r="T563" s="42">
        <v>40.040400531970803</v>
      </c>
      <c r="U563" s="42">
        <f t="shared" si="142"/>
        <v>1.6024984131617945</v>
      </c>
      <c r="V563">
        <v>3.2555397552391718</v>
      </c>
      <c r="W563" s="14">
        <v>2</v>
      </c>
      <c r="X563">
        <v>3.9251377713585649</v>
      </c>
      <c r="Y563">
        <v>8.3617278360175931</v>
      </c>
      <c r="Z563" s="80">
        <v>0.23480002907346487</v>
      </c>
      <c r="AA563">
        <v>5</v>
      </c>
      <c r="AB563">
        <f t="shared" si="143"/>
        <v>0</v>
      </c>
      <c r="AC563">
        <f t="shared" si="144"/>
        <v>0</v>
      </c>
      <c r="AD563">
        <f t="shared" si="145"/>
        <v>0</v>
      </c>
      <c r="AE563">
        <f t="shared" si="146"/>
        <v>0</v>
      </c>
      <c r="AF563">
        <f t="shared" si="147"/>
        <v>1</v>
      </c>
      <c r="AG563">
        <f t="shared" si="148"/>
        <v>0</v>
      </c>
      <c r="AH563">
        <f t="shared" si="149"/>
        <v>0</v>
      </c>
      <c r="AI563">
        <f t="shared" si="150"/>
        <v>0</v>
      </c>
      <c r="AJ563">
        <f t="shared" si="151"/>
        <v>0</v>
      </c>
      <c r="AK563">
        <f t="shared" si="152"/>
        <v>0</v>
      </c>
      <c r="AL563">
        <v>0</v>
      </c>
      <c r="AM563">
        <v>1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</row>
    <row r="564" spans="1:53" x14ac:dyDescent="0.35">
      <c r="A564">
        <v>0.20411998265592479</v>
      </c>
      <c r="C564">
        <v>2.3835616438356166</v>
      </c>
      <c r="D564" s="137">
        <f t="shared" si="137"/>
        <v>0.37722638816214388</v>
      </c>
      <c r="E564">
        <v>0</v>
      </c>
      <c r="F564">
        <v>0</v>
      </c>
      <c r="G564" s="45">
        <v>3.29</v>
      </c>
      <c r="H564" s="29">
        <f t="shared" si="138"/>
        <v>0.51719589794997434</v>
      </c>
      <c r="I564" s="9">
        <v>0</v>
      </c>
      <c r="J564" s="34">
        <v>9.3421685162235063E-2</v>
      </c>
      <c r="K564">
        <v>19</v>
      </c>
      <c r="L564" s="137">
        <f t="shared" si="139"/>
        <v>1.2787536009528289</v>
      </c>
      <c r="M564">
        <f t="shared" si="136"/>
        <v>0</v>
      </c>
      <c r="N564">
        <v>70</v>
      </c>
      <c r="O564">
        <v>70</v>
      </c>
      <c r="P564">
        <v>85</v>
      </c>
      <c r="Q564" s="137">
        <f t="shared" si="140"/>
        <v>1.9294189257142926</v>
      </c>
      <c r="R564" s="34">
        <v>31.3</v>
      </c>
      <c r="S564" s="34">
        <f t="shared" si="141"/>
        <v>1.4955443375464486</v>
      </c>
      <c r="T564" s="42">
        <v>38.7850112673514</v>
      </c>
      <c r="U564" s="42">
        <f t="shared" si="142"/>
        <v>1.5886639219461918</v>
      </c>
      <c r="V564">
        <v>3.2555397552391718</v>
      </c>
      <c r="W564" s="14">
        <v>2</v>
      </c>
      <c r="X564">
        <v>3.9251377713585649</v>
      </c>
      <c r="Y564">
        <v>7.6989700043360187</v>
      </c>
      <c r="Z564" s="80">
        <v>0.37408834617047293</v>
      </c>
      <c r="AA564">
        <v>5</v>
      </c>
      <c r="AB564">
        <f t="shared" si="143"/>
        <v>0</v>
      </c>
      <c r="AC564">
        <f t="shared" si="144"/>
        <v>0</v>
      </c>
      <c r="AD564">
        <f t="shared" si="145"/>
        <v>0</v>
      </c>
      <c r="AE564">
        <f t="shared" si="146"/>
        <v>0</v>
      </c>
      <c r="AF564">
        <f t="shared" si="147"/>
        <v>1</v>
      </c>
      <c r="AG564">
        <f t="shared" si="148"/>
        <v>0</v>
      </c>
      <c r="AH564">
        <f t="shared" si="149"/>
        <v>0</v>
      </c>
      <c r="AI564">
        <f t="shared" si="150"/>
        <v>0</v>
      </c>
      <c r="AJ564">
        <f t="shared" si="151"/>
        <v>0</v>
      </c>
      <c r="AK564">
        <f t="shared" si="152"/>
        <v>0</v>
      </c>
      <c r="AL564">
        <v>0</v>
      </c>
      <c r="AM564">
        <v>1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</row>
    <row r="565" spans="1:53" x14ac:dyDescent="0.35">
      <c r="A565">
        <v>0.79928626603598674</v>
      </c>
      <c r="C565">
        <v>2.5671232876712327</v>
      </c>
      <c r="D565" s="137">
        <f t="shared" si="137"/>
        <v>0.40944672643130353</v>
      </c>
      <c r="E565">
        <v>0</v>
      </c>
      <c r="F565">
        <v>1.2041199826559248</v>
      </c>
      <c r="G565" s="45">
        <v>3.29</v>
      </c>
      <c r="H565" s="29">
        <f t="shared" si="138"/>
        <v>0.51719589794997434</v>
      </c>
      <c r="I565" s="9">
        <v>0</v>
      </c>
      <c r="J565" s="34">
        <v>0.11394335230683679</v>
      </c>
      <c r="K565">
        <v>19</v>
      </c>
      <c r="L565" s="137">
        <f t="shared" si="139"/>
        <v>1.2787536009528289</v>
      </c>
      <c r="M565">
        <f t="shared" si="136"/>
        <v>0</v>
      </c>
      <c r="N565">
        <v>70</v>
      </c>
      <c r="O565">
        <v>70</v>
      </c>
      <c r="P565">
        <v>85</v>
      </c>
      <c r="Q565" s="137">
        <f t="shared" si="140"/>
        <v>1.9294189257142926</v>
      </c>
      <c r="R565" s="34">
        <v>31.3</v>
      </c>
      <c r="S565" s="34">
        <f t="shared" si="141"/>
        <v>1.4955443375464486</v>
      </c>
      <c r="T565" s="42">
        <v>38.7850112673514</v>
      </c>
      <c r="U565" s="42">
        <f t="shared" si="142"/>
        <v>1.5886639219461918</v>
      </c>
      <c r="V565">
        <v>3.2555397552391718</v>
      </c>
      <c r="W565" s="14">
        <v>2</v>
      </c>
      <c r="X565">
        <v>3.9251377713585649</v>
      </c>
      <c r="Y565">
        <v>7.7058637122839189</v>
      </c>
      <c r="Z565" s="80">
        <v>0.47414575572490203</v>
      </c>
      <c r="AA565">
        <v>5</v>
      </c>
      <c r="AB565">
        <f t="shared" si="143"/>
        <v>0</v>
      </c>
      <c r="AC565">
        <f t="shared" si="144"/>
        <v>0</v>
      </c>
      <c r="AD565">
        <f t="shared" si="145"/>
        <v>0</v>
      </c>
      <c r="AE565">
        <f t="shared" si="146"/>
        <v>0</v>
      </c>
      <c r="AF565">
        <f t="shared" si="147"/>
        <v>1</v>
      </c>
      <c r="AG565">
        <f t="shared" si="148"/>
        <v>0</v>
      </c>
      <c r="AH565">
        <f t="shared" si="149"/>
        <v>0</v>
      </c>
      <c r="AI565">
        <f t="shared" si="150"/>
        <v>0</v>
      </c>
      <c r="AJ565">
        <f t="shared" si="151"/>
        <v>0</v>
      </c>
      <c r="AK565">
        <f t="shared" si="152"/>
        <v>0</v>
      </c>
      <c r="AL565">
        <v>0</v>
      </c>
      <c r="AM565">
        <v>1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</row>
    <row r="566" spans="1:53" x14ac:dyDescent="0.35">
      <c r="A566">
        <v>0.36712606125781805</v>
      </c>
      <c r="C566">
        <v>1.8849315068493151</v>
      </c>
      <c r="D566" s="137">
        <f t="shared" si="137"/>
        <v>0.27529557377903663</v>
      </c>
      <c r="E566">
        <v>0</v>
      </c>
      <c r="F566">
        <v>1.4913616938342726</v>
      </c>
      <c r="G566" s="45">
        <v>3.29</v>
      </c>
      <c r="H566" s="29">
        <f t="shared" si="138"/>
        <v>0.51719589794997434</v>
      </c>
      <c r="I566" s="9">
        <v>0</v>
      </c>
      <c r="J566" s="34">
        <v>8.9905111439397931E-2</v>
      </c>
      <c r="K566">
        <v>19</v>
      </c>
      <c r="L566" s="137">
        <f t="shared" si="139"/>
        <v>1.2787536009528289</v>
      </c>
      <c r="M566">
        <f t="shared" si="136"/>
        <v>0</v>
      </c>
      <c r="N566">
        <v>70</v>
      </c>
      <c r="O566">
        <v>70</v>
      </c>
      <c r="P566">
        <v>85</v>
      </c>
      <c r="Q566" s="137">
        <f t="shared" si="140"/>
        <v>1.9294189257142926</v>
      </c>
      <c r="R566" s="34">
        <v>31.3</v>
      </c>
      <c r="S566" s="34">
        <f t="shared" si="141"/>
        <v>1.4955443375464486</v>
      </c>
      <c r="T566" s="42">
        <v>38.7850112673514</v>
      </c>
      <c r="U566" s="42">
        <f t="shared" si="142"/>
        <v>1.5886639219461918</v>
      </c>
      <c r="V566">
        <v>3.2555397552391718</v>
      </c>
      <c r="W566" s="14">
        <v>2</v>
      </c>
      <c r="X566">
        <v>3.9251377713585649</v>
      </c>
      <c r="Y566">
        <v>7.8633228601204559</v>
      </c>
      <c r="Z566" s="80">
        <v>0.25656947911309103</v>
      </c>
      <c r="AA566">
        <v>7</v>
      </c>
      <c r="AB566">
        <f t="shared" si="143"/>
        <v>0</v>
      </c>
      <c r="AC566">
        <f t="shared" si="144"/>
        <v>0</v>
      </c>
      <c r="AD566">
        <f t="shared" si="145"/>
        <v>0</v>
      </c>
      <c r="AE566">
        <f t="shared" si="146"/>
        <v>0</v>
      </c>
      <c r="AF566">
        <f t="shared" si="147"/>
        <v>0</v>
      </c>
      <c r="AG566">
        <f t="shared" si="148"/>
        <v>0</v>
      </c>
      <c r="AH566">
        <f t="shared" si="149"/>
        <v>1</v>
      </c>
      <c r="AI566">
        <f t="shared" si="150"/>
        <v>0</v>
      </c>
      <c r="AJ566">
        <f t="shared" si="151"/>
        <v>0</v>
      </c>
      <c r="AK566">
        <f t="shared" si="152"/>
        <v>0</v>
      </c>
      <c r="AL566">
        <v>0</v>
      </c>
      <c r="AM566">
        <v>1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</row>
    <row r="567" spans="1:53" x14ac:dyDescent="0.35">
      <c r="A567">
        <v>-0.34515172353039719</v>
      </c>
      <c r="C567">
        <v>1.8520547945205479</v>
      </c>
      <c r="D567" s="137">
        <f t="shared" si="137"/>
        <v>0.2676538314851612</v>
      </c>
      <c r="E567">
        <v>0</v>
      </c>
      <c r="F567">
        <v>1.3617278360175928</v>
      </c>
      <c r="G567" s="45">
        <v>3.29</v>
      </c>
      <c r="H567" s="29">
        <f t="shared" si="138"/>
        <v>0.51719589794997434</v>
      </c>
      <c r="I567" s="9">
        <v>0</v>
      </c>
      <c r="J567" s="34">
        <v>0.12057393120584989</v>
      </c>
      <c r="K567">
        <v>18</v>
      </c>
      <c r="L567" s="137">
        <f t="shared" si="139"/>
        <v>1.255272505103306</v>
      </c>
      <c r="M567">
        <f t="shared" si="136"/>
        <v>0</v>
      </c>
      <c r="N567">
        <v>70</v>
      </c>
      <c r="O567">
        <v>70</v>
      </c>
      <c r="P567">
        <v>85</v>
      </c>
      <c r="Q567" s="137">
        <f t="shared" si="140"/>
        <v>1.9294189257142926</v>
      </c>
      <c r="R567" s="34">
        <v>31.5</v>
      </c>
      <c r="S567" s="34">
        <f t="shared" si="141"/>
        <v>1.4983105537896004</v>
      </c>
      <c r="T567" s="42">
        <v>37.589394702761602</v>
      </c>
      <c r="U567" s="42">
        <f t="shared" si="142"/>
        <v>1.575065332381355</v>
      </c>
      <c r="V567">
        <v>3.2555397552391718</v>
      </c>
      <c r="W567" s="14">
        <v>2</v>
      </c>
      <c r="X567">
        <v>3.9251377713585649</v>
      </c>
      <c r="Y567">
        <v>7.7242758696007892</v>
      </c>
      <c r="Z567" s="80">
        <v>0.20250048479886229</v>
      </c>
      <c r="AA567">
        <v>7</v>
      </c>
      <c r="AB567">
        <f t="shared" si="143"/>
        <v>0</v>
      </c>
      <c r="AC567">
        <f t="shared" si="144"/>
        <v>0</v>
      </c>
      <c r="AD567">
        <f t="shared" si="145"/>
        <v>0</v>
      </c>
      <c r="AE567">
        <f t="shared" si="146"/>
        <v>0</v>
      </c>
      <c r="AF567">
        <f t="shared" si="147"/>
        <v>0</v>
      </c>
      <c r="AG567">
        <f t="shared" si="148"/>
        <v>0</v>
      </c>
      <c r="AH567">
        <f t="shared" si="149"/>
        <v>1</v>
      </c>
      <c r="AI567">
        <f t="shared" si="150"/>
        <v>0</v>
      </c>
      <c r="AJ567">
        <f t="shared" si="151"/>
        <v>0</v>
      </c>
      <c r="AK567">
        <f t="shared" si="152"/>
        <v>0</v>
      </c>
      <c r="AL567">
        <v>0</v>
      </c>
      <c r="AM567">
        <v>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</row>
    <row r="568" spans="1:53" x14ac:dyDescent="0.35">
      <c r="A568">
        <v>7.9155415173775334E-2</v>
      </c>
      <c r="C568">
        <v>3.5178082191780824</v>
      </c>
      <c r="D568" s="137">
        <f t="shared" si="137"/>
        <v>0.54627215927635975</v>
      </c>
      <c r="E568">
        <v>0</v>
      </c>
      <c r="F568">
        <v>0.69897000433601886</v>
      </c>
      <c r="G568" s="45">
        <v>3.29</v>
      </c>
      <c r="H568" s="29">
        <f t="shared" si="138"/>
        <v>0.51719589794997434</v>
      </c>
      <c r="I568" s="9">
        <v>0</v>
      </c>
      <c r="J568" s="34">
        <v>1.703333929878037E-2</v>
      </c>
      <c r="K568">
        <v>18</v>
      </c>
      <c r="L568" s="137">
        <f t="shared" si="139"/>
        <v>1.255272505103306</v>
      </c>
      <c r="M568">
        <f t="shared" si="136"/>
        <v>0</v>
      </c>
      <c r="N568">
        <v>70</v>
      </c>
      <c r="O568">
        <v>70</v>
      </c>
      <c r="P568">
        <v>85</v>
      </c>
      <c r="Q568" s="137">
        <f t="shared" si="140"/>
        <v>1.9294189257142926</v>
      </c>
      <c r="R568" s="34">
        <v>31.5</v>
      </c>
      <c r="S568" s="34">
        <f t="shared" si="141"/>
        <v>1.4983105537896004</v>
      </c>
      <c r="T568" s="42">
        <v>37.589394702761602</v>
      </c>
      <c r="U568" s="42">
        <f t="shared" si="142"/>
        <v>1.575065332381355</v>
      </c>
      <c r="V568">
        <v>3.2555397552391718</v>
      </c>
      <c r="W568" s="14">
        <v>2</v>
      </c>
      <c r="X568">
        <v>3.9251377713585649</v>
      </c>
      <c r="Y568">
        <v>8.0495668691646518</v>
      </c>
      <c r="Z568" s="80">
        <v>6.2263152242286512E-2</v>
      </c>
      <c r="AA568">
        <v>5</v>
      </c>
      <c r="AB568">
        <f t="shared" si="143"/>
        <v>0</v>
      </c>
      <c r="AC568">
        <f t="shared" si="144"/>
        <v>0</v>
      </c>
      <c r="AD568">
        <f t="shared" si="145"/>
        <v>0</v>
      </c>
      <c r="AE568">
        <f t="shared" si="146"/>
        <v>0</v>
      </c>
      <c r="AF568">
        <f t="shared" si="147"/>
        <v>1</v>
      </c>
      <c r="AG568">
        <f t="shared" si="148"/>
        <v>0</v>
      </c>
      <c r="AH568">
        <f t="shared" si="149"/>
        <v>0</v>
      </c>
      <c r="AI568">
        <f t="shared" si="150"/>
        <v>0</v>
      </c>
      <c r="AJ568">
        <f t="shared" si="151"/>
        <v>0</v>
      </c>
      <c r="AK568">
        <f t="shared" si="152"/>
        <v>0</v>
      </c>
      <c r="AL568">
        <v>0</v>
      </c>
      <c r="AM568">
        <v>1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</row>
    <row r="569" spans="1:53" x14ac:dyDescent="0.35">
      <c r="A569">
        <v>0.84921460620908895</v>
      </c>
      <c r="C569">
        <v>4.0273972602739727</v>
      </c>
      <c r="D569" s="137">
        <f t="shared" si="137"/>
        <v>0.60502447029170137</v>
      </c>
      <c r="E569">
        <v>0</v>
      </c>
      <c r="F569">
        <v>0.84509804001425681</v>
      </c>
      <c r="G569" s="45">
        <v>3.29</v>
      </c>
      <c r="H569" s="29">
        <f t="shared" si="138"/>
        <v>0.51719589794997434</v>
      </c>
      <c r="I569" s="9">
        <v>0</v>
      </c>
      <c r="J569" s="34">
        <v>5.3078443483419682E-2</v>
      </c>
      <c r="K569">
        <v>18</v>
      </c>
      <c r="L569" s="137">
        <f t="shared" si="139"/>
        <v>1.255272505103306</v>
      </c>
      <c r="M569">
        <f t="shared" si="136"/>
        <v>0</v>
      </c>
      <c r="N569">
        <v>70</v>
      </c>
      <c r="O569">
        <v>70</v>
      </c>
      <c r="P569">
        <v>85</v>
      </c>
      <c r="Q569" s="137">
        <f t="shared" si="140"/>
        <v>1.9294189257142926</v>
      </c>
      <c r="R569" s="34">
        <v>31.5</v>
      </c>
      <c r="S569" s="34">
        <f t="shared" si="141"/>
        <v>1.4983105537896004</v>
      </c>
      <c r="T569" s="42">
        <v>37.589394702761602</v>
      </c>
      <c r="U569" s="42">
        <f t="shared" si="142"/>
        <v>1.575065332381355</v>
      </c>
      <c r="V569">
        <v>3.2555397552391718</v>
      </c>
      <c r="W569" s="14">
        <v>2</v>
      </c>
      <c r="X569">
        <v>3.9251377713585649</v>
      </c>
      <c r="Y569">
        <v>7.1760912590556813</v>
      </c>
      <c r="Z569" s="80">
        <v>0.19495315284244397</v>
      </c>
      <c r="AA569">
        <v>6</v>
      </c>
      <c r="AB569">
        <f t="shared" si="143"/>
        <v>0</v>
      </c>
      <c r="AC569">
        <f t="shared" si="144"/>
        <v>0</v>
      </c>
      <c r="AD569">
        <f t="shared" si="145"/>
        <v>0</v>
      </c>
      <c r="AE569">
        <f t="shared" si="146"/>
        <v>0</v>
      </c>
      <c r="AF569">
        <f t="shared" si="147"/>
        <v>0</v>
      </c>
      <c r="AG569">
        <f t="shared" si="148"/>
        <v>1</v>
      </c>
      <c r="AH569">
        <f t="shared" si="149"/>
        <v>0</v>
      </c>
      <c r="AI569">
        <f t="shared" si="150"/>
        <v>0</v>
      </c>
      <c r="AJ569">
        <f t="shared" si="151"/>
        <v>0</v>
      </c>
      <c r="AK569">
        <f t="shared" si="152"/>
        <v>0</v>
      </c>
      <c r="AL569">
        <v>0</v>
      </c>
      <c r="AM569">
        <v>1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</row>
    <row r="570" spans="1:53" x14ac:dyDescent="0.35">
      <c r="A570">
        <v>0.73282827159698616</v>
      </c>
      <c r="C570">
        <v>6.7945205479452051</v>
      </c>
      <c r="D570" s="137">
        <f t="shared" si="137"/>
        <v>0.83215881636974154</v>
      </c>
      <c r="E570">
        <v>0</v>
      </c>
      <c r="F570">
        <v>1.1139433523068367</v>
      </c>
      <c r="G570" s="45">
        <v>3.29</v>
      </c>
      <c r="H570" s="29">
        <f t="shared" si="138"/>
        <v>0.51719589794997434</v>
      </c>
      <c r="I570" s="9">
        <v>0</v>
      </c>
      <c r="J570" s="34">
        <v>4.1392685158225077E-2</v>
      </c>
      <c r="K570">
        <v>17</v>
      </c>
      <c r="L570" s="137">
        <f t="shared" si="139"/>
        <v>1.2304489213782739</v>
      </c>
      <c r="M570">
        <f t="shared" si="136"/>
        <v>0</v>
      </c>
      <c r="N570">
        <v>70</v>
      </c>
      <c r="O570">
        <v>70</v>
      </c>
      <c r="P570">
        <v>85</v>
      </c>
      <c r="Q570" s="137">
        <f t="shared" si="140"/>
        <v>1.9294189257142926</v>
      </c>
      <c r="R570" s="34">
        <v>32.6</v>
      </c>
      <c r="S570" s="34">
        <f t="shared" si="141"/>
        <v>1.5132176000679389</v>
      </c>
      <c r="T570" s="42">
        <v>36.544739309553499</v>
      </c>
      <c r="U570" s="42">
        <f t="shared" si="142"/>
        <v>1.5628248682086028</v>
      </c>
      <c r="V570">
        <v>3.2555397552391718</v>
      </c>
      <c r="W570" s="14">
        <v>2</v>
      </c>
      <c r="X570">
        <v>3.9251377713585649</v>
      </c>
      <c r="Y570">
        <v>8.0453229787866576</v>
      </c>
      <c r="Z570" s="80">
        <v>9.4024670681404077E-2</v>
      </c>
      <c r="AA570">
        <v>2</v>
      </c>
      <c r="AB570">
        <f t="shared" si="143"/>
        <v>0</v>
      </c>
      <c r="AC570">
        <f t="shared" si="144"/>
        <v>1</v>
      </c>
      <c r="AD570">
        <f t="shared" si="145"/>
        <v>0</v>
      </c>
      <c r="AE570">
        <f t="shared" si="146"/>
        <v>0</v>
      </c>
      <c r="AF570">
        <f t="shared" si="147"/>
        <v>0</v>
      </c>
      <c r="AG570">
        <f t="shared" si="148"/>
        <v>0</v>
      </c>
      <c r="AH570">
        <f t="shared" si="149"/>
        <v>0</v>
      </c>
      <c r="AI570">
        <f t="shared" si="150"/>
        <v>0</v>
      </c>
      <c r="AJ570">
        <f t="shared" si="151"/>
        <v>0</v>
      </c>
      <c r="AK570">
        <f t="shared" si="152"/>
        <v>0</v>
      </c>
      <c r="AL570">
        <v>0</v>
      </c>
      <c r="AM570">
        <v>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</row>
    <row r="571" spans="1:53" x14ac:dyDescent="0.35">
      <c r="A571">
        <v>0.51850866474122814</v>
      </c>
      <c r="C571">
        <v>4</v>
      </c>
      <c r="D571" s="137">
        <f t="shared" si="137"/>
        <v>0.6020599913279624</v>
      </c>
      <c r="E571">
        <v>2.5542346870234227</v>
      </c>
      <c r="F571">
        <v>1.0791812460476249</v>
      </c>
      <c r="G571" s="45">
        <v>3.16</v>
      </c>
      <c r="H571" s="29">
        <f t="shared" si="138"/>
        <v>0.49968708261840383</v>
      </c>
      <c r="I571" s="9">
        <v>2.9876662649262746</v>
      </c>
      <c r="J571" s="34">
        <v>-6.5501548756432285E-2</v>
      </c>
      <c r="K571">
        <v>16</v>
      </c>
      <c r="L571" s="137">
        <f t="shared" si="139"/>
        <v>1.2041199826559248</v>
      </c>
      <c r="M571">
        <f t="shared" si="136"/>
        <v>1</v>
      </c>
      <c r="N571">
        <v>95</v>
      </c>
      <c r="O571">
        <v>80</v>
      </c>
      <c r="P571">
        <v>70</v>
      </c>
      <c r="Q571" s="137">
        <f t="shared" si="140"/>
        <v>1.8450980400142569</v>
      </c>
      <c r="R571" s="34">
        <v>36.9</v>
      </c>
      <c r="S571" s="34">
        <f t="shared" si="141"/>
        <v>1.5670263661590604</v>
      </c>
      <c r="T571" s="42">
        <v>42.177001683602199</v>
      </c>
      <c r="U571" s="42">
        <f t="shared" si="142"/>
        <v>1.6250757029864513</v>
      </c>
      <c r="V571">
        <v>3.2555397552391718</v>
      </c>
      <c r="W571" s="14">
        <v>2</v>
      </c>
      <c r="X571">
        <v>3.9251377713585649</v>
      </c>
      <c r="Y571">
        <v>7.8588378514285857</v>
      </c>
      <c r="Z571" s="80">
        <v>-0.23112363168061811</v>
      </c>
      <c r="AA571">
        <v>9</v>
      </c>
      <c r="AB571">
        <f t="shared" si="143"/>
        <v>0</v>
      </c>
      <c r="AC571">
        <f t="shared" si="144"/>
        <v>0</v>
      </c>
      <c r="AD571">
        <f t="shared" si="145"/>
        <v>0</v>
      </c>
      <c r="AE571">
        <f t="shared" si="146"/>
        <v>0</v>
      </c>
      <c r="AF571">
        <f t="shared" si="147"/>
        <v>0</v>
      </c>
      <c r="AG571">
        <f t="shared" si="148"/>
        <v>0</v>
      </c>
      <c r="AH571">
        <f t="shared" si="149"/>
        <v>0</v>
      </c>
      <c r="AI571">
        <f t="shared" si="150"/>
        <v>0</v>
      </c>
      <c r="AJ571">
        <f t="shared" si="151"/>
        <v>1</v>
      </c>
      <c r="AK571">
        <f t="shared" si="152"/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</row>
    <row r="572" spans="1:53" x14ac:dyDescent="0.35">
      <c r="A572">
        <v>-2</v>
      </c>
      <c r="C572">
        <v>5.3589041095890408</v>
      </c>
      <c r="D572" s="137">
        <f t="shared" si="137"/>
        <v>0.72907598599510792</v>
      </c>
      <c r="E572">
        <v>0</v>
      </c>
      <c r="F572">
        <v>1.6127838567197355</v>
      </c>
      <c r="G572" s="45">
        <v>3.29</v>
      </c>
      <c r="H572" s="29">
        <f t="shared" si="138"/>
        <v>0.51719589794997434</v>
      </c>
      <c r="I572">
        <v>0</v>
      </c>
      <c r="J572" s="34">
        <v>4.3213737826425782E-3</v>
      </c>
      <c r="K572">
        <v>20</v>
      </c>
      <c r="L572" s="137">
        <f t="shared" si="139"/>
        <v>1.3010299956639813</v>
      </c>
      <c r="M572">
        <f t="shared" si="136"/>
        <v>0</v>
      </c>
      <c r="N572">
        <v>70</v>
      </c>
      <c r="O572">
        <v>70</v>
      </c>
      <c r="P572">
        <v>85</v>
      </c>
      <c r="Q572" s="137">
        <f t="shared" si="140"/>
        <v>1.9294189257142926</v>
      </c>
      <c r="R572" s="34">
        <v>32.299999999999997</v>
      </c>
      <c r="S572" s="34">
        <f t="shared" si="141"/>
        <v>1.5092025223311027</v>
      </c>
      <c r="T572" s="42">
        <v>40.040400531970803</v>
      </c>
      <c r="U572" s="42">
        <f t="shared" si="142"/>
        <v>1.6024984131617945</v>
      </c>
      <c r="V572">
        <v>3.2555397552391718</v>
      </c>
      <c r="W572" s="14">
        <v>2</v>
      </c>
      <c r="X572">
        <v>3.9251377713585649</v>
      </c>
      <c r="Y572">
        <v>7.8061799739838875</v>
      </c>
      <c r="Z572" s="80">
        <v>0.23703279464130067</v>
      </c>
      <c r="AA572">
        <v>5</v>
      </c>
      <c r="AB572">
        <f t="shared" si="143"/>
        <v>0</v>
      </c>
      <c r="AC572">
        <f t="shared" si="144"/>
        <v>0</v>
      </c>
      <c r="AD572">
        <f t="shared" si="145"/>
        <v>0</v>
      </c>
      <c r="AE572">
        <f t="shared" si="146"/>
        <v>0</v>
      </c>
      <c r="AF572">
        <f t="shared" si="147"/>
        <v>1</v>
      </c>
      <c r="AG572">
        <f t="shared" si="148"/>
        <v>0</v>
      </c>
      <c r="AH572">
        <f t="shared" si="149"/>
        <v>0</v>
      </c>
      <c r="AI572">
        <f t="shared" si="150"/>
        <v>0</v>
      </c>
      <c r="AJ572">
        <f t="shared" si="151"/>
        <v>0</v>
      </c>
      <c r="AK572">
        <f t="shared" si="152"/>
        <v>0</v>
      </c>
      <c r="AL572">
        <v>0</v>
      </c>
      <c r="AM572">
        <v>1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</row>
    <row r="573" spans="1:53" x14ac:dyDescent="0.35">
      <c r="A573">
        <v>0.3127683989352254</v>
      </c>
      <c r="C573">
        <v>3.8301369863013699</v>
      </c>
      <c r="D573" s="137">
        <f t="shared" si="137"/>
        <v>0.58321430695318788</v>
      </c>
      <c r="E573">
        <v>2.5542346870234227</v>
      </c>
      <c r="F573">
        <v>1.505149978319906</v>
      </c>
      <c r="G573" s="45">
        <v>3.16</v>
      </c>
      <c r="H573" s="29">
        <f t="shared" si="138"/>
        <v>0.49968708261840383</v>
      </c>
      <c r="I573">
        <v>2.9876662649262746</v>
      </c>
      <c r="J573" s="34">
        <v>0.12710479836480765</v>
      </c>
      <c r="K573">
        <v>46</v>
      </c>
      <c r="L573" s="137">
        <f t="shared" si="139"/>
        <v>1.6627578316815741</v>
      </c>
      <c r="M573">
        <f t="shared" si="136"/>
        <v>1</v>
      </c>
      <c r="N573">
        <v>70</v>
      </c>
      <c r="O573">
        <v>90</v>
      </c>
      <c r="P573">
        <v>84.3</v>
      </c>
      <c r="Q573" s="137">
        <f t="shared" si="140"/>
        <v>1.9258275746247424</v>
      </c>
      <c r="R573" s="34">
        <v>37</v>
      </c>
      <c r="S573" s="34">
        <f t="shared" si="141"/>
        <v>1.568201724066995</v>
      </c>
      <c r="T573" s="42">
        <v>44.611946528156203</v>
      </c>
      <c r="U573" s="42">
        <f t="shared" si="142"/>
        <v>1.6494511729836956</v>
      </c>
      <c r="V573">
        <v>3.2528486942934638</v>
      </c>
      <c r="W573" s="14">
        <v>2</v>
      </c>
      <c r="X573">
        <v>3.6102804432713853</v>
      </c>
      <c r="Y573">
        <v>8.8633228601204568</v>
      </c>
      <c r="Z573" s="80">
        <v>3.9819900060036106E-2</v>
      </c>
      <c r="AA573">
        <v>9</v>
      </c>
      <c r="AB573">
        <f t="shared" si="143"/>
        <v>0</v>
      </c>
      <c r="AC573">
        <f t="shared" si="144"/>
        <v>0</v>
      </c>
      <c r="AD573">
        <f t="shared" si="145"/>
        <v>0</v>
      </c>
      <c r="AE573">
        <f t="shared" si="146"/>
        <v>0</v>
      </c>
      <c r="AF573">
        <f t="shared" si="147"/>
        <v>0</v>
      </c>
      <c r="AG573">
        <f t="shared" si="148"/>
        <v>0</v>
      </c>
      <c r="AH573">
        <f t="shared" si="149"/>
        <v>0</v>
      </c>
      <c r="AI573">
        <f t="shared" si="150"/>
        <v>0</v>
      </c>
      <c r="AJ573">
        <f t="shared" si="151"/>
        <v>1</v>
      </c>
      <c r="AK573">
        <f t="shared" si="152"/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</row>
    <row r="574" spans="1:53" x14ac:dyDescent="0.35">
      <c r="A574">
        <v>-2</v>
      </c>
      <c r="C574">
        <v>3.8136986301369862</v>
      </c>
      <c r="D574" s="137">
        <f t="shared" si="137"/>
        <v>0.58134637081806861</v>
      </c>
      <c r="E574">
        <v>0</v>
      </c>
      <c r="F574">
        <v>0.84509804001425681</v>
      </c>
      <c r="G574" s="45">
        <v>2.95</v>
      </c>
      <c r="H574" s="29">
        <f t="shared" si="138"/>
        <v>0.46982201597816303</v>
      </c>
      <c r="I574">
        <v>0</v>
      </c>
      <c r="J574" s="34">
        <v>-0.11918640771920865</v>
      </c>
      <c r="K574">
        <v>0</v>
      </c>
      <c r="L574" s="137">
        <f t="shared" si="139"/>
        <v>0</v>
      </c>
      <c r="M574">
        <f t="shared" si="136"/>
        <v>0</v>
      </c>
      <c r="N574">
        <v>70</v>
      </c>
      <c r="O574">
        <v>70</v>
      </c>
      <c r="P574">
        <v>91.4</v>
      </c>
      <c r="Q574" s="137">
        <f t="shared" si="140"/>
        <v>1.9609461957338314</v>
      </c>
      <c r="R574" s="34">
        <v>26.7</v>
      </c>
      <c r="S574" s="34">
        <f t="shared" si="141"/>
        <v>1.4265112613645752</v>
      </c>
      <c r="T574" s="42">
        <v>37.425715444240403</v>
      </c>
      <c r="U574" s="42">
        <f t="shared" si="142"/>
        <v>1.5731701112332821</v>
      </c>
      <c r="V574">
        <v>3.3647319780710983</v>
      </c>
      <c r="W574" s="14">
        <v>2</v>
      </c>
      <c r="X574">
        <v>3.5686596122879011</v>
      </c>
      <c r="Y574">
        <v>7.8388490907372557</v>
      </c>
      <c r="Z574" s="80">
        <v>-0.1789219768714605</v>
      </c>
      <c r="AA574">
        <v>2</v>
      </c>
      <c r="AB574">
        <f t="shared" si="143"/>
        <v>0</v>
      </c>
      <c r="AC574">
        <f t="shared" si="144"/>
        <v>1</v>
      </c>
      <c r="AD574">
        <f t="shared" si="145"/>
        <v>0</v>
      </c>
      <c r="AE574">
        <f t="shared" si="146"/>
        <v>0</v>
      </c>
      <c r="AF574">
        <f t="shared" si="147"/>
        <v>0</v>
      </c>
      <c r="AG574">
        <f t="shared" si="148"/>
        <v>0</v>
      </c>
      <c r="AH574">
        <f t="shared" si="149"/>
        <v>0</v>
      </c>
      <c r="AI574">
        <f t="shared" si="150"/>
        <v>0</v>
      </c>
      <c r="AJ574">
        <f t="shared" si="151"/>
        <v>0</v>
      </c>
      <c r="AK574">
        <f t="shared" si="152"/>
        <v>0</v>
      </c>
      <c r="AL574">
        <v>1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</row>
    <row r="575" spans="1:53" x14ac:dyDescent="0.35">
      <c r="A575">
        <v>-8.7739243075051505E-3</v>
      </c>
      <c r="C575">
        <v>2.1150684931506851</v>
      </c>
      <c r="D575" s="137">
        <f t="shared" si="137"/>
        <v>0.32532443587926146</v>
      </c>
      <c r="E575">
        <v>0</v>
      </c>
      <c r="F575">
        <v>0</v>
      </c>
      <c r="G575" s="45">
        <v>2.95</v>
      </c>
      <c r="H575" s="29">
        <f t="shared" si="138"/>
        <v>0.46982201597816303</v>
      </c>
      <c r="I575">
        <v>0</v>
      </c>
      <c r="J575" s="34">
        <v>5.6904851336472641E-2</v>
      </c>
      <c r="K575">
        <v>5</v>
      </c>
      <c r="L575" s="137">
        <f t="shared" si="139"/>
        <v>0.69897000433601886</v>
      </c>
      <c r="M575">
        <f t="shared" si="136"/>
        <v>0</v>
      </c>
      <c r="N575">
        <v>70</v>
      </c>
      <c r="O575">
        <v>70</v>
      </c>
      <c r="P575">
        <v>85</v>
      </c>
      <c r="Q575" s="137">
        <f t="shared" si="140"/>
        <v>1.9294189257142926</v>
      </c>
      <c r="R575" s="34">
        <v>25.7</v>
      </c>
      <c r="S575" s="34">
        <f t="shared" si="141"/>
        <v>1.4099331233312946</v>
      </c>
      <c r="T575" s="42">
        <v>39.367752568237798</v>
      </c>
      <c r="U575" s="42">
        <f t="shared" si="142"/>
        <v>1.5951406224338005</v>
      </c>
      <c r="V575">
        <v>3.0958500844125241</v>
      </c>
      <c r="W575" s="14">
        <v>3</v>
      </c>
      <c r="X575">
        <v>3.5078178355445662</v>
      </c>
      <c r="Y575">
        <v>8</v>
      </c>
      <c r="Z575" s="80" t="e">
        <v>#N/A</v>
      </c>
      <c r="AA575">
        <v>9</v>
      </c>
      <c r="AB575">
        <f t="shared" si="143"/>
        <v>0</v>
      </c>
      <c r="AC575">
        <f t="shared" si="144"/>
        <v>0</v>
      </c>
      <c r="AD575">
        <f t="shared" si="145"/>
        <v>0</v>
      </c>
      <c r="AE575">
        <f t="shared" si="146"/>
        <v>0</v>
      </c>
      <c r="AF575">
        <f t="shared" si="147"/>
        <v>0</v>
      </c>
      <c r="AG575">
        <f t="shared" si="148"/>
        <v>0</v>
      </c>
      <c r="AH575">
        <f t="shared" si="149"/>
        <v>0</v>
      </c>
      <c r="AI575">
        <f t="shared" si="150"/>
        <v>0</v>
      </c>
      <c r="AJ575">
        <f t="shared" si="151"/>
        <v>1</v>
      </c>
      <c r="AK575">
        <f t="shared" si="152"/>
        <v>0</v>
      </c>
      <c r="AL575">
        <v>1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</row>
    <row r="576" spans="1:53" x14ac:dyDescent="0.35">
      <c r="A576">
        <v>-0.2896005338831994</v>
      </c>
      <c r="C576">
        <v>3.1095890410958904</v>
      </c>
      <c r="D576" s="137">
        <f t="shared" si="137"/>
        <v>0.49270299707266679</v>
      </c>
      <c r="E576">
        <v>0</v>
      </c>
      <c r="F576">
        <v>0</v>
      </c>
      <c r="G576" s="45">
        <v>2.95</v>
      </c>
      <c r="H576" s="29">
        <f t="shared" si="138"/>
        <v>0.46982201597816303</v>
      </c>
      <c r="I576">
        <v>0</v>
      </c>
      <c r="J576" s="34">
        <v>0.30535136944662378</v>
      </c>
      <c r="K576">
        <v>8</v>
      </c>
      <c r="L576" s="137">
        <f t="shared" si="139"/>
        <v>0.90308998699194354</v>
      </c>
      <c r="M576">
        <f t="shared" si="136"/>
        <v>0</v>
      </c>
      <c r="N576">
        <v>70</v>
      </c>
      <c r="O576">
        <v>70</v>
      </c>
      <c r="P576">
        <v>85</v>
      </c>
      <c r="Q576" s="137">
        <f t="shared" si="140"/>
        <v>1.9294189257142926</v>
      </c>
      <c r="R576" s="34">
        <v>26.5</v>
      </c>
      <c r="S576" s="34">
        <f t="shared" si="141"/>
        <v>1.4232458739368079</v>
      </c>
      <c r="T576" s="42">
        <v>37.808596853116498</v>
      </c>
      <c r="U576" s="42">
        <f t="shared" si="142"/>
        <v>1.577590560190987</v>
      </c>
      <c r="V576">
        <v>3.0958500844125241</v>
      </c>
      <c r="W576" s="14">
        <v>3</v>
      </c>
      <c r="X576">
        <v>3.5078178355445662</v>
      </c>
      <c r="Y576">
        <v>8.8750612633917001</v>
      </c>
      <c r="Z576" s="80" t="e">
        <v>#N/A</v>
      </c>
      <c r="AA576">
        <v>1</v>
      </c>
      <c r="AB576">
        <f t="shared" si="143"/>
        <v>1</v>
      </c>
      <c r="AC576">
        <f t="shared" si="144"/>
        <v>0</v>
      </c>
      <c r="AD576">
        <f t="shared" si="145"/>
        <v>0</v>
      </c>
      <c r="AE576">
        <f t="shared" si="146"/>
        <v>0</v>
      </c>
      <c r="AF576">
        <f t="shared" si="147"/>
        <v>0</v>
      </c>
      <c r="AG576">
        <f t="shared" si="148"/>
        <v>0</v>
      </c>
      <c r="AH576">
        <f t="shared" si="149"/>
        <v>0</v>
      </c>
      <c r="AI576">
        <f t="shared" si="150"/>
        <v>0</v>
      </c>
      <c r="AJ576">
        <f t="shared" si="151"/>
        <v>0</v>
      </c>
      <c r="AK576">
        <f t="shared" si="152"/>
        <v>0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</row>
    <row r="577" spans="1:53" x14ac:dyDescent="0.35">
      <c r="A577">
        <v>0.63682209758717434</v>
      </c>
      <c r="C577">
        <v>8.912328767123288</v>
      </c>
      <c r="D577" s="137">
        <f t="shared" si="137"/>
        <v>0.94999119882537886</v>
      </c>
      <c r="E577">
        <v>0</v>
      </c>
      <c r="F577">
        <v>2.0253058652647704</v>
      </c>
      <c r="G577" s="45">
        <v>2.95</v>
      </c>
      <c r="H577" s="29">
        <f t="shared" si="138"/>
        <v>0.46982201597816303</v>
      </c>
      <c r="I577">
        <v>0</v>
      </c>
      <c r="J577" s="34">
        <v>-4.3648054024500883E-3</v>
      </c>
      <c r="K577">
        <v>12</v>
      </c>
      <c r="L577" s="137">
        <f t="shared" si="139"/>
        <v>1.0791812460476249</v>
      </c>
      <c r="M577">
        <f t="shared" si="136"/>
        <v>0</v>
      </c>
      <c r="N577">
        <v>70</v>
      </c>
      <c r="O577">
        <v>70</v>
      </c>
      <c r="P577">
        <v>85</v>
      </c>
      <c r="Q577" s="137">
        <f t="shared" si="140"/>
        <v>1.9294189257142926</v>
      </c>
      <c r="R577" s="34">
        <v>27.8</v>
      </c>
      <c r="S577" s="34">
        <f t="shared" si="141"/>
        <v>1.4440447959180762</v>
      </c>
      <c r="T577" s="42">
        <v>34.656907836978597</v>
      </c>
      <c r="U577" s="42">
        <f t="shared" si="142"/>
        <v>1.5397898114291337</v>
      </c>
      <c r="V577">
        <v>3.0958500844125241</v>
      </c>
      <c r="W577" s="14">
        <v>3</v>
      </c>
      <c r="X577">
        <v>3.5078178355445662</v>
      </c>
      <c r="Y577">
        <v>8.0791812460476251</v>
      </c>
      <c r="Z577" s="80">
        <v>2.8070295404813983E-3</v>
      </c>
      <c r="AA577">
        <v>1</v>
      </c>
      <c r="AB577">
        <f t="shared" si="143"/>
        <v>1</v>
      </c>
      <c r="AC577">
        <f t="shared" si="144"/>
        <v>0</v>
      </c>
      <c r="AD577">
        <f t="shared" si="145"/>
        <v>0</v>
      </c>
      <c r="AE577">
        <f t="shared" si="146"/>
        <v>0</v>
      </c>
      <c r="AF577">
        <f t="shared" si="147"/>
        <v>0</v>
      </c>
      <c r="AG577">
        <f t="shared" si="148"/>
        <v>0</v>
      </c>
      <c r="AH577">
        <f t="shared" si="149"/>
        <v>0</v>
      </c>
      <c r="AI577">
        <f t="shared" si="150"/>
        <v>0</v>
      </c>
      <c r="AJ577">
        <f t="shared" si="151"/>
        <v>0</v>
      </c>
      <c r="AK577">
        <f t="shared" si="152"/>
        <v>0</v>
      </c>
      <c r="AL577">
        <v>1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</row>
    <row r="578" spans="1:53" x14ac:dyDescent="0.35">
      <c r="A578">
        <v>0.1075961808622074</v>
      </c>
      <c r="C578">
        <v>3.3178082191780822</v>
      </c>
      <c r="D578" s="137">
        <f t="shared" si="137"/>
        <v>0.52085127868657755</v>
      </c>
      <c r="E578">
        <v>0</v>
      </c>
      <c r="F578">
        <v>1.5797835966168101</v>
      </c>
      <c r="G578" s="45">
        <v>2.95</v>
      </c>
      <c r="H578" s="29">
        <f t="shared" si="138"/>
        <v>0.46982201597816303</v>
      </c>
      <c r="I578">
        <v>0</v>
      </c>
      <c r="J578" s="34">
        <v>-0.20065945054641829</v>
      </c>
      <c r="K578">
        <v>12</v>
      </c>
      <c r="L578" s="137">
        <f t="shared" si="139"/>
        <v>1.0791812460476249</v>
      </c>
      <c r="M578">
        <f t="shared" ref="M578:M641" si="153">IF(E578=0,0,1)</f>
        <v>0</v>
      </c>
      <c r="N578">
        <v>70</v>
      </c>
      <c r="O578">
        <v>70</v>
      </c>
      <c r="P578">
        <v>85</v>
      </c>
      <c r="Q578" s="137">
        <f t="shared" si="140"/>
        <v>1.9294189257142926</v>
      </c>
      <c r="R578" s="34">
        <v>27.8</v>
      </c>
      <c r="S578" s="34">
        <f t="shared" si="141"/>
        <v>1.4440447959180762</v>
      </c>
      <c r="T578" s="42">
        <v>34.656907836978597</v>
      </c>
      <c r="U578" s="42">
        <f t="shared" si="142"/>
        <v>1.5397898114291337</v>
      </c>
      <c r="V578">
        <v>3.0958500844125241</v>
      </c>
      <c r="W578" s="14">
        <v>3</v>
      </c>
      <c r="X578">
        <v>3.5078178355445662</v>
      </c>
      <c r="Y578">
        <v>8.4487063199050798</v>
      </c>
      <c r="Z578" s="80">
        <v>-0.41828643493339646</v>
      </c>
      <c r="AA578">
        <v>4</v>
      </c>
      <c r="AB578">
        <f t="shared" si="143"/>
        <v>0</v>
      </c>
      <c r="AC578">
        <f t="shared" si="144"/>
        <v>0</v>
      </c>
      <c r="AD578">
        <f t="shared" si="145"/>
        <v>0</v>
      </c>
      <c r="AE578">
        <f t="shared" si="146"/>
        <v>1</v>
      </c>
      <c r="AF578">
        <f t="shared" si="147"/>
        <v>0</v>
      </c>
      <c r="AG578">
        <f t="shared" si="148"/>
        <v>0</v>
      </c>
      <c r="AH578">
        <f t="shared" si="149"/>
        <v>0</v>
      </c>
      <c r="AI578">
        <f t="shared" si="150"/>
        <v>0</v>
      </c>
      <c r="AJ578">
        <f t="shared" si="151"/>
        <v>0</v>
      </c>
      <c r="AK578">
        <f t="shared" si="152"/>
        <v>0</v>
      </c>
      <c r="AL578">
        <v>1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</row>
    <row r="579" spans="1:53" x14ac:dyDescent="0.35">
      <c r="A579">
        <v>0.3010299956639812</v>
      </c>
      <c r="C579">
        <v>2.9972602739726026</v>
      </c>
      <c r="D579" s="137">
        <f t="shared" ref="D579:D642" si="154">LOG(C579)</f>
        <v>0.47672445754093723</v>
      </c>
      <c r="E579">
        <v>0</v>
      </c>
      <c r="F579">
        <v>1</v>
      </c>
      <c r="G579" s="45">
        <v>2.95</v>
      </c>
      <c r="H579" s="29">
        <f t="shared" ref="H579:H642" si="155">LOG(G579)</f>
        <v>0.46982201597816303</v>
      </c>
      <c r="I579">
        <v>0</v>
      </c>
      <c r="J579" s="34">
        <v>-0.14874165128092473</v>
      </c>
      <c r="K579">
        <v>12</v>
      </c>
      <c r="L579" s="137">
        <f t="shared" ref="L579:L642" si="156">IF(K579=0,0,LOG(K579))</f>
        <v>1.0791812460476249</v>
      </c>
      <c r="M579">
        <f t="shared" si="153"/>
        <v>0</v>
      </c>
      <c r="N579">
        <v>70</v>
      </c>
      <c r="O579">
        <v>70</v>
      </c>
      <c r="P579">
        <v>85</v>
      </c>
      <c r="Q579" s="137">
        <f t="shared" ref="Q579:Q642" si="157">LOG(P579)</f>
        <v>1.9294189257142926</v>
      </c>
      <c r="R579" s="34">
        <v>27.8</v>
      </c>
      <c r="S579" s="34">
        <f t="shared" ref="S579:S642" si="158">LOG(R579)</f>
        <v>1.4440447959180762</v>
      </c>
      <c r="T579" s="42">
        <v>34.656907836978597</v>
      </c>
      <c r="U579" s="42">
        <f t="shared" ref="U579:U642" si="159">LOG(T579)</f>
        <v>1.5397898114291337</v>
      </c>
      <c r="V579">
        <v>3.0958500844125241</v>
      </c>
      <c r="W579" s="14">
        <v>3</v>
      </c>
      <c r="X579">
        <v>3.5078178355445662</v>
      </c>
      <c r="Y579">
        <v>8.3979400086720375</v>
      </c>
      <c r="Z579" s="80">
        <v>-0.28121950498270099</v>
      </c>
      <c r="AA579">
        <v>1</v>
      </c>
      <c r="AB579">
        <f t="shared" ref="AB579:AB642" si="160">IF(AA579=1,1,0)</f>
        <v>1</v>
      </c>
      <c r="AC579">
        <f t="shared" ref="AC579:AC642" si="161">IF(AA579=2,1,0)</f>
        <v>0</v>
      </c>
      <c r="AD579">
        <f t="shared" ref="AD579:AD642" si="162">IF(AA579=3,1,0)</f>
        <v>0</v>
      </c>
      <c r="AE579">
        <f t="shared" ref="AE579:AE642" si="163">IF(AA579=4,1,0)</f>
        <v>0</v>
      </c>
      <c r="AF579">
        <f t="shared" ref="AF579:AF642" si="164">IF(AA579=5,1,0)</f>
        <v>0</v>
      </c>
      <c r="AG579">
        <f t="shared" ref="AG579:AG642" si="165">IF(AA579=6,1,0)</f>
        <v>0</v>
      </c>
      <c r="AH579">
        <f t="shared" ref="AH579:AH642" si="166">IF(AA579=7,1,0)</f>
        <v>0</v>
      </c>
      <c r="AI579">
        <f t="shared" ref="AI579:AI642" si="167">IF(AA579=8,1,0)</f>
        <v>0</v>
      </c>
      <c r="AJ579">
        <f t="shared" ref="AJ579:AJ642" si="168">IF(AA579=9,1,0)</f>
        <v>0</v>
      </c>
      <c r="AK579">
        <f t="shared" ref="AK579:AK642" si="169">IF(AA579=10,1,0)</f>
        <v>0</v>
      </c>
      <c r="AL579">
        <v>1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</row>
    <row r="580" spans="1:53" x14ac:dyDescent="0.35">
      <c r="A580">
        <v>0.51452289435065757</v>
      </c>
      <c r="C580">
        <v>5.0986301369863014</v>
      </c>
      <c r="D580" s="137">
        <f t="shared" si="154"/>
        <v>0.70745350867429235</v>
      </c>
      <c r="E580">
        <v>0</v>
      </c>
      <c r="F580">
        <v>1.7242758696007889</v>
      </c>
      <c r="G580" s="45">
        <v>2.95</v>
      </c>
      <c r="H580" s="29">
        <f t="shared" si="155"/>
        <v>0.46982201597816303</v>
      </c>
      <c r="I580">
        <v>0</v>
      </c>
      <c r="J580" s="34">
        <v>-7.0581074285707285E-2</v>
      </c>
      <c r="K580">
        <v>12</v>
      </c>
      <c r="L580" s="137">
        <f t="shared" si="156"/>
        <v>1.0791812460476249</v>
      </c>
      <c r="M580">
        <f t="shared" si="153"/>
        <v>0</v>
      </c>
      <c r="N580">
        <v>70</v>
      </c>
      <c r="O580">
        <v>70</v>
      </c>
      <c r="P580">
        <v>85</v>
      </c>
      <c r="Q580" s="137">
        <f t="shared" si="157"/>
        <v>1.9294189257142926</v>
      </c>
      <c r="R580" s="34">
        <v>27.8</v>
      </c>
      <c r="S580" s="34">
        <f t="shared" si="158"/>
        <v>1.4440447959180762</v>
      </c>
      <c r="T580" s="42">
        <v>34.656907836978597</v>
      </c>
      <c r="U580" s="42">
        <f t="shared" si="159"/>
        <v>1.5397898114291337</v>
      </c>
      <c r="V580">
        <v>3.0958500844125241</v>
      </c>
      <c r="W580" s="14">
        <v>3</v>
      </c>
      <c r="X580">
        <v>3.5078178355445662</v>
      </c>
      <c r="Y580">
        <v>8.2092200230649937</v>
      </c>
      <c r="Z580" s="80">
        <v>-0.21509178775833349</v>
      </c>
      <c r="AA580">
        <v>2</v>
      </c>
      <c r="AB580">
        <f t="shared" si="160"/>
        <v>0</v>
      </c>
      <c r="AC580">
        <f t="shared" si="161"/>
        <v>1</v>
      </c>
      <c r="AD580">
        <f t="shared" si="162"/>
        <v>0</v>
      </c>
      <c r="AE580">
        <f t="shared" si="163"/>
        <v>0</v>
      </c>
      <c r="AF580">
        <f t="shared" si="164"/>
        <v>0</v>
      </c>
      <c r="AG580">
        <f t="shared" si="165"/>
        <v>0</v>
      </c>
      <c r="AH580">
        <f t="shared" si="166"/>
        <v>0</v>
      </c>
      <c r="AI580">
        <f t="shared" si="167"/>
        <v>0</v>
      </c>
      <c r="AJ580">
        <f t="shared" si="168"/>
        <v>0</v>
      </c>
      <c r="AK580">
        <f t="shared" si="169"/>
        <v>0</v>
      </c>
      <c r="AL580">
        <v>1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</row>
    <row r="581" spans="1:53" x14ac:dyDescent="0.35">
      <c r="A581">
        <v>-9.7924009457260819E-2</v>
      </c>
      <c r="C581">
        <v>5.7643835616438359</v>
      </c>
      <c r="D581" s="137">
        <f t="shared" si="154"/>
        <v>0.76075287102522682</v>
      </c>
      <c r="E581">
        <v>0</v>
      </c>
      <c r="F581">
        <v>1.3617278360175928</v>
      </c>
      <c r="G581" s="45">
        <v>2.95</v>
      </c>
      <c r="H581" s="29">
        <f t="shared" si="155"/>
        <v>0.46982201597816303</v>
      </c>
      <c r="I581">
        <v>0</v>
      </c>
      <c r="J581" s="34">
        <v>-8.092190762392612E-2</v>
      </c>
      <c r="K581">
        <v>12</v>
      </c>
      <c r="L581" s="137">
        <f t="shared" si="156"/>
        <v>1.0791812460476249</v>
      </c>
      <c r="M581">
        <f t="shared" si="153"/>
        <v>0</v>
      </c>
      <c r="N581">
        <v>70</v>
      </c>
      <c r="O581">
        <v>70</v>
      </c>
      <c r="P581">
        <v>85</v>
      </c>
      <c r="Q581" s="137">
        <f t="shared" si="157"/>
        <v>1.9294189257142926</v>
      </c>
      <c r="R581" s="34">
        <v>27.8</v>
      </c>
      <c r="S581" s="34">
        <f t="shared" si="158"/>
        <v>1.4440447959180762</v>
      </c>
      <c r="T581" s="42">
        <v>34.656907836978597</v>
      </c>
      <c r="U581" s="42">
        <f t="shared" si="159"/>
        <v>1.5397898114291337</v>
      </c>
      <c r="V581">
        <v>3.0958500844125241</v>
      </c>
      <c r="W581" s="14">
        <v>3</v>
      </c>
      <c r="X581">
        <v>3.5078178355445662</v>
      </c>
      <c r="Y581">
        <v>8.6042260530844707</v>
      </c>
      <c r="Z581" s="80">
        <v>-0.15740749090012829</v>
      </c>
      <c r="AA581">
        <v>5</v>
      </c>
      <c r="AB581">
        <f t="shared" si="160"/>
        <v>0</v>
      </c>
      <c r="AC581">
        <f t="shared" si="161"/>
        <v>0</v>
      </c>
      <c r="AD581">
        <f t="shared" si="162"/>
        <v>0</v>
      </c>
      <c r="AE581">
        <f t="shared" si="163"/>
        <v>0</v>
      </c>
      <c r="AF581">
        <f t="shared" si="164"/>
        <v>1</v>
      </c>
      <c r="AG581">
        <f t="shared" si="165"/>
        <v>0</v>
      </c>
      <c r="AH581">
        <f t="shared" si="166"/>
        <v>0</v>
      </c>
      <c r="AI581">
        <f t="shared" si="167"/>
        <v>0</v>
      </c>
      <c r="AJ581">
        <f t="shared" si="168"/>
        <v>0</v>
      </c>
      <c r="AK581">
        <f t="shared" si="169"/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</row>
    <row r="582" spans="1:53" x14ac:dyDescent="0.35">
      <c r="A582">
        <v>0.13448405451453033</v>
      </c>
      <c r="C582">
        <v>6.6739726027397257</v>
      </c>
      <c r="D582" s="137">
        <f t="shared" si="154"/>
        <v>0.82438441950436303</v>
      </c>
      <c r="E582">
        <v>0</v>
      </c>
      <c r="F582">
        <v>1.0791812460476249</v>
      </c>
      <c r="G582" s="45">
        <v>2.95</v>
      </c>
      <c r="H582" s="29">
        <f t="shared" si="155"/>
        <v>0.46982201597816303</v>
      </c>
      <c r="I582">
        <v>0</v>
      </c>
      <c r="J582" s="34">
        <v>3.7426497940623665E-2</v>
      </c>
      <c r="K582">
        <v>13</v>
      </c>
      <c r="L582" s="137">
        <f t="shared" si="156"/>
        <v>1.1139433523068367</v>
      </c>
      <c r="M582">
        <f t="shared" si="153"/>
        <v>0</v>
      </c>
      <c r="N582">
        <v>70</v>
      </c>
      <c r="O582">
        <v>70</v>
      </c>
      <c r="P582">
        <v>85</v>
      </c>
      <c r="Q582" s="137">
        <f t="shared" si="157"/>
        <v>1.9294189257142926</v>
      </c>
      <c r="R582" s="34">
        <v>28.2</v>
      </c>
      <c r="S582" s="34">
        <f t="shared" si="158"/>
        <v>1.4502491083193612</v>
      </c>
      <c r="T582" s="42">
        <v>34.298950279384798</v>
      </c>
      <c r="U582" s="42">
        <f t="shared" si="159"/>
        <v>1.5352808286478177</v>
      </c>
      <c r="V582">
        <v>3.0958500844125241</v>
      </c>
      <c r="W582" s="14">
        <v>3</v>
      </c>
      <c r="X582">
        <v>3.5078178355445662</v>
      </c>
      <c r="Y582">
        <v>7.8293037728310253</v>
      </c>
      <c r="Z582" s="80">
        <v>0.10835571557386792</v>
      </c>
      <c r="AA582">
        <v>5</v>
      </c>
      <c r="AB582">
        <f t="shared" si="160"/>
        <v>0</v>
      </c>
      <c r="AC582">
        <f t="shared" si="161"/>
        <v>0</v>
      </c>
      <c r="AD582">
        <f t="shared" si="162"/>
        <v>0</v>
      </c>
      <c r="AE582">
        <f t="shared" si="163"/>
        <v>0</v>
      </c>
      <c r="AF582">
        <f t="shared" si="164"/>
        <v>1</v>
      </c>
      <c r="AG582">
        <f t="shared" si="165"/>
        <v>0</v>
      </c>
      <c r="AH582">
        <f t="shared" si="166"/>
        <v>0</v>
      </c>
      <c r="AI582">
        <f t="shared" si="167"/>
        <v>0</v>
      </c>
      <c r="AJ582">
        <f t="shared" si="168"/>
        <v>0</v>
      </c>
      <c r="AK582">
        <f t="shared" si="169"/>
        <v>0</v>
      </c>
      <c r="AL582">
        <v>1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</row>
    <row r="583" spans="1:53" x14ac:dyDescent="0.35">
      <c r="A583">
        <v>0.28940640628560588</v>
      </c>
      <c r="C583">
        <v>5.8931506849315065</v>
      </c>
      <c r="D583" s="137">
        <f t="shared" si="154"/>
        <v>0.77034754593098786</v>
      </c>
      <c r="E583">
        <v>0</v>
      </c>
      <c r="F583">
        <v>0</v>
      </c>
      <c r="G583" s="45">
        <v>2.95</v>
      </c>
      <c r="H583" s="29">
        <f t="shared" si="155"/>
        <v>0.46982201597816303</v>
      </c>
      <c r="I583">
        <v>0</v>
      </c>
      <c r="J583" s="34">
        <v>0.14921911265537988</v>
      </c>
      <c r="K583">
        <v>14</v>
      </c>
      <c r="L583" s="137">
        <f t="shared" si="156"/>
        <v>1.146128035678238</v>
      </c>
      <c r="M583">
        <f t="shared" si="153"/>
        <v>0</v>
      </c>
      <c r="N583">
        <v>70</v>
      </c>
      <c r="O583">
        <v>70</v>
      </c>
      <c r="P583">
        <v>85</v>
      </c>
      <c r="Q583" s="137">
        <f t="shared" si="157"/>
        <v>1.9294189257142926</v>
      </c>
      <c r="R583" s="34">
        <v>27.2</v>
      </c>
      <c r="S583" s="34">
        <f t="shared" si="158"/>
        <v>1.4345689040341987</v>
      </c>
      <c r="T583" s="42">
        <v>35.608384832026097</v>
      </c>
      <c r="U583" s="42">
        <f t="shared" si="159"/>
        <v>1.5515522748692276</v>
      </c>
      <c r="V583">
        <v>3.0958500844125241</v>
      </c>
      <c r="W583" s="14">
        <v>3</v>
      </c>
      <c r="X583">
        <v>3.5078178355445662</v>
      </c>
      <c r="Y583">
        <v>8.6106601630898805</v>
      </c>
      <c r="Z583" s="80">
        <v>0.38648948423702079</v>
      </c>
      <c r="AA583">
        <v>2</v>
      </c>
      <c r="AB583">
        <f t="shared" si="160"/>
        <v>0</v>
      </c>
      <c r="AC583">
        <f t="shared" si="161"/>
        <v>1</v>
      </c>
      <c r="AD583">
        <f t="shared" si="162"/>
        <v>0</v>
      </c>
      <c r="AE583">
        <f t="shared" si="163"/>
        <v>0</v>
      </c>
      <c r="AF583">
        <f t="shared" si="164"/>
        <v>0</v>
      </c>
      <c r="AG583">
        <f t="shared" si="165"/>
        <v>0</v>
      </c>
      <c r="AH583">
        <f t="shared" si="166"/>
        <v>0</v>
      </c>
      <c r="AI583">
        <f t="shared" si="167"/>
        <v>0</v>
      </c>
      <c r="AJ583">
        <f t="shared" si="168"/>
        <v>0</v>
      </c>
      <c r="AK583">
        <f t="shared" si="169"/>
        <v>0</v>
      </c>
      <c r="AL583">
        <v>1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</row>
    <row r="584" spans="1:53" x14ac:dyDescent="0.35">
      <c r="A584">
        <v>-2</v>
      </c>
      <c r="C584">
        <v>7.6219178082191785</v>
      </c>
      <c r="D584" s="137">
        <f t="shared" si="154"/>
        <v>0.88206426119955295</v>
      </c>
      <c r="E584">
        <v>0</v>
      </c>
      <c r="F584">
        <v>1.2041199826559248</v>
      </c>
      <c r="G584" s="45">
        <v>2.95</v>
      </c>
      <c r="H584" s="29">
        <f t="shared" si="155"/>
        <v>0.46982201597816303</v>
      </c>
      <c r="I584">
        <v>0</v>
      </c>
      <c r="J584" s="34">
        <v>-0.16115090926274472</v>
      </c>
      <c r="K584">
        <v>14</v>
      </c>
      <c r="L584" s="137">
        <f t="shared" si="156"/>
        <v>1.146128035678238</v>
      </c>
      <c r="M584">
        <f t="shared" si="153"/>
        <v>0</v>
      </c>
      <c r="N584">
        <v>70</v>
      </c>
      <c r="O584">
        <v>70</v>
      </c>
      <c r="P584">
        <v>85</v>
      </c>
      <c r="Q584" s="137">
        <f t="shared" si="157"/>
        <v>1.9294189257142926</v>
      </c>
      <c r="R584" s="34">
        <v>27.2</v>
      </c>
      <c r="S584" s="34">
        <f t="shared" si="158"/>
        <v>1.4345689040341987</v>
      </c>
      <c r="T584" s="42">
        <v>35.608384832026097</v>
      </c>
      <c r="U584" s="42">
        <f t="shared" si="159"/>
        <v>1.5515522748692276</v>
      </c>
      <c r="V584">
        <v>3.0958500844125241</v>
      </c>
      <c r="W584" s="14">
        <v>3</v>
      </c>
      <c r="X584">
        <v>3.5078178355445662</v>
      </c>
      <c r="Y584">
        <v>8.2787536009528289</v>
      </c>
      <c r="Z584" s="80">
        <v>-0.24145490057556052</v>
      </c>
      <c r="AA584">
        <v>5</v>
      </c>
      <c r="AB584">
        <f t="shared" si="160"/>
        <v>0</v>
      </c>
      <c r="AC584">
        <f t="shared" si="161"/>
        <v>0</v>
      </c>
      <c r="AD584">
        <f t="shared" si="162"/>
        <v>0</v>
      </c>
      <c r="AE584">
        <f t="shared" si="163"/>
        <v>0</v>
      </c>
      <c r="AF584">
        <f t="shared" si="164"/>
        <v>1</v>
      </c>
      <c r="AG584">
        <f t="shared" si="165"/>
        <v>0</v>
      </c>
      <c r="AH584">
        <f t="shared" si="166"/>
        <v>0</v>
      </c>
      <c r="AI584">
        <f t="shared" si="167"/>
        <v>0</v>
      </c>
      <c r="AJ584">
        <f t="shared" si="168"/>
        <v>0</v>
      </c>
      <c r="AK584">
        <f t="shared" si="169"/>
        <v>0</v>
      </c>
      <c r="AL584">
        <v>1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</row>
    <row r="585" spans="1:53" x14ac:dyDescent="0.35">
      <c r="A585">
        <v>-2</v>
      </c>
      <c r="C585">
        <v>4.956164383561644</v>
      </c>
      <c r="D585" s="137">
        <f t="shared" si="154"/>
        <v>0.69514570240333906</v>
      </c>
      <c r="E585">
        <v>0</v>
      </c>
      <c r="F585">
        <v>0.6020599913279624</v>
      </c>
      <c r="G585" s="45">
        <v>2.95</v>
      </c>
      <c r="H585" s="29">
        <f t="shared" si="155"/>
        <v>0.46982201597816303</v>
      </c>
      <c r="I585">
        <v>0</v>
      </c>
      <c r="J585" s="34">
        <v>1.703333929878037E-2</v>
      </c>
      <c r="K585">
        <v>14</v>
      </c>
      <c r="L585" s="137">
        <f t="shared" si="156"/>
        <v>1.146128035678238</v>
      </c>
      <c r="M585">
        <f t="shared" si="153"/>
        <v>0</v>
      </c>
      <c r="N585">
        <v>70</v>
      </c>
      <c r="O585">
        <v>70</v>
      </c>
      <c r="P585">
        <v>85</v>
      </c>
      <c r="Q585" s="137">
        <f t="shared" si="157"/>
        <v>1.9294189257142926</v>
      </c>
      <c r="R585" s="34">
        <v>27.2</v>
      </c>
      <c r="S585" s="34">
        <f t="shared" si="158"/>
        <v>1.4345689040341987</v>
      </c>
      <c r="T585" s="42">
        <v>35.608384832026097</v>
      </c>
      <c r="U585" s="42">
        <f t="shared" si="159"/>
        <v>1.5515522748692276</v>
      </c>
      <c r="V585">
        <v>3.0958500844125241</v>
      </c>
      <c r="W585" s="14">
        <v>3</v>
      </c>
      <c r="X585">
        <v>3.5078178355445662</v>
      </c>
      <c r="Y585">
        <v>7.3010299956639813</v>
      </c>
      <c r="Z585" s="80">
        <v>9.4497173192843009E-2</v>
      </c>
      <c r="AA585">
        <v>9</v>
      </c>
      <c r="AB585">
        <f t="shared" si="160"/>
        <v>0</v>
      </c>
      <c r="AC585">
        <f t="shared" si="161"/>
        <v>0</v>
      </c>
      <c r="AD585">
        <f t="shared" si="162"/>
        <v>0</v>
      </c>
      <c r="AE585">
        <f t="shared" si="163"/>
        <v>0</v>
      </c>
      <c r="AF585">
        <f t="shared" si="164"/>
        <v>0</v>
      </c>
      <c r="AG585">
        <f t="shared" si="165"/>
        <v>0</v>
      </c>
      <c r="AH585">
        <f t="shared" si="166"/>
        <v>0</v>
      </c>
      <c r="AI585">
        <f t="shared" si="167"/>
        <v>0</v>
      </c>
      <c r="AJ585">
        <f t="shared" si="168"/>
        <v>1</v>
      </c>
      <c r="AK585">
        <f t="shared" si="169"/>
        <v>0</v>
      </c>
      <c r="AL585">
        <v>1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</row>
    <row r="586" spans="1:53" x14ac:dyDescent="0.35">
      <c r="A586">
        <v>0.30023115302562903</v>
      </c>
      <c r="C586">
        <v>3.8493150684931505</v>
      </c>
      <c r="D586" s="137">
        <f t="shared" si="154"/>
        <v>0.58538345978462403</v>
      </c>
      <c r="E586">
        <v>0</v>
      </c>
      <c r="F586">
        <v>0</v>
      </c>
      <c r="G586" s="45">
        <v>2.95</v>
      </c>
      <c r="H586" s="29">
        <f t="shared" si="155"/>
        <v>0.46982201597816303</v>
      </c>
      <c r="I586">
        <v>0</v>
      </c>
      <c r="J586" s="34">
        <v>0.1553360374650618</v>
      </c>
      <c r="K586">
        <v>15</v>
      </c>
      <c r="L586" s="137">
        <f t="shared" si="156"/>
        <v>1.1760912590556813</v>
      </c>
      <c r="M586">
        <f t="shared" si="153"/>
        <v>0</v>
      </c>
      <c r="N586">
        <v>70</v>
      </c>
      <c r="O586">
        <v>70</v>
      </c>
      <c r="P586">
        <v>85</v>
      </c>
      <c r="Q586" s="137">
        <f t="shared" si="157"/>
        <v>1.9294189257142926</v>
      </c>
      <c r="R586" s="34">
        <v>24.9</v>
      </c>
      <c r="S586" s="34">
        <f t="shared" si="158"/>
        <v>1.3961993470957363</v>
      </c>
      <c r="T586" s="42">
        <v>36.710134890601303</v>
      </c>
      <c r="U586" s="42">
        <f t="shared" si="159"/>
        <v>1.564785980312654</v>
      </c>
      <c r="V586">
        <v>3.0958500844125241</v>
      </c>
      <c r="W586" s="14">
        <v>3</v>
      </c>
      <c r="X586">
        <v>3.5078178355445662</v>
      </c>
      <c r="Y586">
        <v>8.9610317157668646</v>
      </c>
      <c r="Z586" s="80">
        <v>0.53162951594676344</v>
      </c>
      <c r="AA586">
        <v>1</v>
      </c>
      <c r="AB586">
        <f t="shared" si="160"/>
        <v>1</v>
      </c>
      <c r="AC586">
        <f t="shared" si="161"/>
        <v>0</v>
      </c>
      <c r="AD586">
        <f t="shared" si="162"/>
        <v>0</v>
      </c>
      <c r="AE586">
        <f t="shared" si="163"/>
        <v>0</v>
      </c>
      <c r="AF586">
        <f t="shared" si="164"/>
        <v>0</v>
      </c>
      <c r="AG586">
        <f t="shared" si="165"/>
        <v>0</v>
      </c>
      <c r="AH586">
        <f t="shared" si="166"/>
        <v>0</v>
      </c>
      <c r="AI586">
        <f t="shared" si="167"/>
        <v>0</v>
      </c>
      <c r="AJ586">
        <f t="shared" si="168"/>
        <v>0</v>
      </c>
      <c r="AK586">
        <f t="shared" si="169"/>
        <v>0</v>
      </c>
      <c r="AL586">
        <v>1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</row>
    <row r="587" spans="1:53" x14ac:dyDescent="0.35">
      <c r="A587">
        <v>0.69897000433601886</v>
      </c>
      <c r="C587">
        <v>4.978082191780822</v>
      </c>
      <c r="D587" s="137">
        <f t="shared" si="154"/>
        <v>0.69706206285155958</v>
      </c>
      <c r="E587">
        <v>0</v>
      </c>
      <c r="F587">
        <v>0</v>
      </c>
      <c r="G587" s="45">
        <v>2.95</v>
      </c>
      <c r="H587" s="29">
        <f t="shared" si="155"/>
        <v>0.46982201597816303</v>
      </c>
      <c r="I587">
        <v>0</v>
      </c>
      <c r="J587" s="34">
        <v>0.11058971029924898</v>
      </c>
      <c r="K587">
        <v>15</v>
      </c>
      <c r="L587" s="137">
        <f t="shared" si="156"/>
        <v>1.1760912590556813</v>
      </c>
      <c r="M587">
        <f t="shared" si="153"/>
        <v>0</v>
      </c>
      <c r="N587">
        <v>70</v>
      </c>
      <c r="O587">
        <v>70</v>
      </c>
      <c r="P587">
        <v>85</v>
      </c>
      <c r="Q587" s="137">
        <f t="shared" si="157"/>
        <v>1.9294189257142926</v>
      </c>
      <c r="R587" s="34">
        <v>24.9</v>
      </c>
      <c r="S587" s="34">
        <f t="shared" si="158"/>
        <v>1.3961993470957363</v>
      </c>
      <c r="T587" s="42">
        <v>36.710134890601303</v>
      </c>
      <c r="U587" s="42">
        <f t="shared" si="159"/>
        <v>1.564785980312654</v>
      </c>
      <c r="V587">
        <v>3.0958500844125241</v>
      </c>
      <c r="W587" s="14">
        <v>3</v>
      </c>
      <c r="X587">
        <v>3.5078178355445662</v>
      </c>
      <c r="Y587">
        <v>7.7160033436347994</v>
      </c>
      <c r="Z587" s="80">
        <v>0.3222337530105146</v>
      </c>
      <c r="AA587">
        <v>9</v>
      </c>
      <c r="AB587">
        <f t="shared" si="160"/>
        <v>0</v>
      </c>
      <c r="AC587">
        <f t="shared" si="161"/>
        <v>0</v>
      </c>
      <c r="AD587">
        <f t="shared" si="162"/>
        <v>0</v>
      </c>
      <c r="AE587">
        <f t="shared" si="163"/>
        <v>0</v>
      </c>
      <c r="AF587">
        <f t="shared" si="164"/>
        <v>0</v>
      </c>
      <c r="AG587">
        <f t="shared" si="165"/>
        <v>0</v>
      </c>
      <c r="AH587">
        <f t="shared" si="166"/>
        <v>0</v>
      </c>
      <c r="AI587">
        <f t="shared" si="167"/>
        <v>0</v>
      </c>
      <c r="AJ587">
        <f t="shared" si="168"/>
        <v>1</v>
      </c>
      <c r="AK587">
        <f t="shared" si="169"/>
        <v>0</v>
      </c>
      <c r="AL587">
        <v>1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</row>
    <row r="588" spans="1:53" x14ac:dyDescent="0.35">
      <c r="A588">
        <v>0.33579210192319309</v>
      </c>
      <c r="C588">
        <v>1.3616438356164384</v>
      </c>
      <c r="D588" s="137">
        <f t="shared" si="154"/>
        <v>0.13406352427685744</v>
      </c>
      <c r="E588">
        <v>0</v>
      </c>
      <c r="F588">
        <v>1.6812412373755872</v>
      </c>
      <c r="G588" s="45">
        <v>2.95</v>
      </c>
      <c r="H588" s="29">
        <f t="shared" si="155"/>
        <v>0.46982201597816303</v>
      </c>
      <c r="I588">
        <v>0</v>
      </c>
      <c r="J588" s="34">
        <v>0.12057393120584989</v>
      </c>
      <c r="K588">
        <v>16</v>
      </c>
      <c r="L588" s="137">
        <f t="shared" si="156"/>
        <v>1.2041199826559248</v>
      </c>
      <c r="M588">
        <f t="shared" si="153"/>
        <v>0</v>
      </c>
      <c r="N588">
        <v>70</v>
      </c>
      <c r="O588">
        <v>70</v>
      </c>
      <c r="P588">
        <v>85</v>
      </c>
      <c r="Q588" s="137">
        <f t="shared" si="157"/>
        <v>1.9294189257142926</v>
      </c>
      <c r="R588" s="34">
        <v>24.4</v>
      </c>
      <c r="S588" s="34">
        <f t="shared" si="158"/>
        <v>1.3873898263387294</v>
      </c>
      <c r="T588" s="42">
        <v>37.256914365427299</v>
      </c>
      <c r="U588" s="42">
        <f t="shared" si="159"/>
        <v>1.5712068835833228</v>
      </c>
      <c r="V588">
        <v>3.0958500844125241</v>
      </c>
      <c r="W588" s="14">
        <v>3</v>
      </c>
      <c r="X588">
        <v>3.5078178355445662</v>
      </c>
      <c r="Y588">
        <v>8.4771212547196626</v>
      </c>
      <c r="Z588" s="80">
        <v>0.26203974051646739</v>
      </c>
      <c r="AA588">
        <v>1</v>
      </c>
      <c r="AB588">
        <f t="shared" si="160"/>
        <v>1</v>
      </c>
      <c r="AC588">
        <f t="shared" si="161"/>
        <v>0</v>
      </c>
      <c r="AD588">
        <f t="shared" si="162"/>
        <v>0</v>
      </c>
      <c r="AE588">
        <f t="shared" si="163"/>
        <v>0</v>
      </c>
      <c r="AF588">
        <f t="shared" si="164"/>
        <v>0</v>
      </c>
      <c r="AG588">
        <f t="shared" si="165"/>
        <v>0</v>
      </c>
      <c r="AH588">
        <f t="shared" si="166"/>
        <v>0</v>
      </c>
      <c r="AI588">
        <f t="shared" si="167"/>
        <v>0</v>
      </c>
      <c r="AJ588">
        <f t="shared" si="168"/>
        <v>0</v>
      </c>
      <c r="AK588">
        <f t="shared" si="169"/>
        <v>0</v>
      </c>
      <c r="AL588">
        <v>1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</row>
    <row r="589" spans="1:53" x14ac:dyDescent="0.35">
      <c r="A589">
        <v>8.8136088700551299E-2</v>
      </c>
      <c r="C589">
        <v>7.7808219178082192</v>
      </c>
      <c r="D589" s="137">
        <f t="shared" si="154"/>
        <v>0.891025475590563</v>
      </c>
      <c r="E589">
        <v>0</v>
      </c>
      <c r="F589">
        <v>1.6627578316815741</v>
      </c>
      <c r="G589" s="45">
        <v>2.95</v>
      </c>
      <c r="H589" s="29">
        <f t="shared" si="155"/>
        <v>0.46982201597816303</v>
      </c>
      <c r="I589">
        <v>0</v>
      </c>
      <c r="J589" s="34">
        <v>0.12385164096708581</v>
      </c>
      <c r="K589">
        <v>16</v>
      </c>
      <c r="L589" s="137">
        <f t="shared" si="156"/>
        <v>1.2041199826559248</v>
      </c>
      <c r="M589">
        <f t="shared" si="153"/>
        <v>0</v>
      </c>
      <c r="N589">
        <v>70</v>
      </c>
      <c r="O589">
        <v>70</v>
      </c>
      <c r="P589">
        <v>85</v>
      </c>
      <c r="Q589" s="137">
        <f t="shared" si="157"/>
        <v>1.9294189257142926</v>
      </c>
      <c r="R589" s="34">
        <v>24.4</v>
      </c>
      <c r="S589" s="34">
        <f t="shared" si="158"/>
        <v>1.3873898263387294</v>
      </c>
      <c r="T589" s="42">
        <v>37.256914365427299</v>
      </c>
      <c r="U589" s="42">
        <f t="shared" si="159"/>
        <v>1.5712068835833228</v>
      </c>
      <c r="V589">
        <v>3.0958500844125241</v>
      </c>
      <c r="W589" s="14">
        <v>3</v>
      </c>
      <c r="X589">
        <v>3.5078178355445662</v>
      </c>
      <c r="Y589">
        <v>8.9030899869919438</v>
      </c>
      <c r="Z589" s="80">
        <v>0.52333664828957893</v>
      </c>
      <c r="AA589">
        <v>5</v>
      </c>
      <c r="AB589">
        <f t="shared" si="160"/>
        <v>0</v>
      </c>
      <c r="AC589">
        <f t="shared" si="161"/>
        <v>0</v>
      </c>
      <c r="AD589">
        <f t="shared" si="162"/>
        <v>0</v>
      </c>
      <c r="AE589">
        <f t="shared" si="163"/>
        <v>0</v>
      </c>
      <c r="AF589">
        <f t="shared" si="164"/>
        <v>1</v>
      </c>
      <c r="AG589">
        <f t="shared" si="165"/>
        <v>0</v>
      </c>
      <c r="AH589">
        <f t="shared" si="166"/>
        <v>0</v>
      </c>
      <c r="AI589">
        <f t="shared" si="167"/>
        <v>0</v>
      </c>
      <c r="AJ589">
        <f t="shared" si="168"/>
        <v>0</v>
      </c>
      <c r="AK589">
        <f t="shared" si="169"/>
        <v>0</v>
      </c>
      <c r="AL589">
        <v>1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</row>
    <row r="590" spans="1:53" x14ac:dyDescent="0.35">
      <c r="A590">
        <v>-2</v>
      </c>
      <c r="C590">
        <v>3.6356164383561644</v>
      </c>
      <c r="D590" s="137">
        <f t="shared" si="154"/>
        <v>0.56057805840796082</v>
      </c>
      <c r="E590">
        <v>0</v>
      </c>
      <c r="F590">
        <v>2.0899051114393981</v>
      </c>
      <c r="G590" s="45">
        <v>2.95</v>
      </c>
      <c r="H590" s="29">
        <f t="shared" si="155"/>
        <v>0.46982201597816303</v>
      </c>
      <c r="I590">
        <v>0</v>
      </c>
      <c r="J590" s="34">
        <v>-0.15490195998574319</v>
      </c>
      <c r="K590">
        <v>18</v>
      </c>
      <c r="L590" s="137">
        <f t="shared" si="156"/>
        <v>1.255272505103306</v>
      </c>
      <c r="M590">
        <f t="shared" si="153"/>
        <v>0</v>
      </c>
      <c r="N590">
        <v>70</v>
      </c>
      <c r="O590">
        <v>70</v>
      </c>
      <c r="P590">
        <v>85</v>
      </c>
      <c r="Q590" s="137">
        <f t="shared" si="157"/>
        <v>1.9294189257142926</v>
      </c>
      <c r="R590" s="34">
        <v>25.9</v>
      </c>
      <c r="S590" s="34">
        <f t="shared" si="158"/>
        <v>1.4132997640812519</v>
      </c>
      <c r="T590" s="42">
        <v>36.959146749272797</v>
      </c>
      <c r="U590" s="42">
        <f t="shared" si="159"/>
        <v>1.5677219364019672</v>
      </c>
      <c r="V590">
        <v>3.0958500844125241</v>
      </c>
      <c r="W590" s="14">
        <v>3</v>
      </c>
      <c r="X590">
        <v>3.5078178355445662</v>
      </c>
      <c r="Y590">
        <v>9.2174839442139067</v>
      </c>
      <c r="Z590" s="80">
        <v>-0.17576149174687239</v>
      </c>
      <c r="AA590">
        <v>4</v>
      </c>
      <c r="AB590">
        <f t="shared" si="160"/>
        <v>0</v>
      </c>
      <c r="AC590">
        <f t="shared" si="161"/>
        <v>0</v>
      </c>
      <c r="AD590">
        <f t="shared" si="162"/>
        <v>0</v>
      </c>
      <c r="AE590">
        <f t="shared" si="163"/>
        <v>1</v>
      </c>
      <c r="AF590">
        <f t="shared" si="164"/>
        <v>0</v>
      </c>
      <c r="AG590">
        <f t="shared" si="165"/>
        <v>0</v>
      </c>
      <c r="AH590">
        <f t="shared" si="166"/>
        <v>0</v>
      </c>
      <c r="AI590">
        <f t="shared" si="167"/>
        <v>0</v>
      </c>
      <c r="AJ590">
        <f t="shared" si="168"/>
        <v>0</v>
      </c>
      <c r="AK590">
        <f t="shared" si="169"/>
        <v>0</v>
      </c>
      <c r="AL590">
        <v>1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</row>
    <row r="591" spans="1:53" x14ac:dyDescent="0.35">
      <c r="A591">
        <v>-2</v>
      </c>
      <c r="C591">
        <v>3.7643835616438355</v>
      </c>
      <c r="D591" s="137">
        <f t="shared" si="154"/>
        <v>0.57569386826705693</v>
      </c>
      <c r="E591">
        <v>0</v>
      </c>
      <c r="F591">
        <v>0</v>
      </c>
      <c r="G591" s="45">
        <v>2.95</v>
      </c>
      <c r="H591" s="29">
        <f t="shared" si="155"/>
        <v>0.46982201597816303</v>
      </c>
      <c r="I591">
        <v>0</v>
      </c>
      <c r="J591" s="34">
        <v>-0.14266750356873156</v>
      </c>
      <c r="K591">
        <v>39</v>
      </c>
      <c r="L591" s="137">
        <f t="shared" si="156"/>
        <v>1.5910646070264991</v>
      </c>
      <c r="M591">
        <f t="shared" si="153"/>
        <v>0</v>
      </c>
      <c r="N591">
        <v>70</v>
      </c>
      <c r="O591">
        <v>70</v>
      </c>
      <c r="P591">
        <v>85</v>
      </c>
      <c r="Q591" s="137">
        <f t="shared" si="157"/>
        <v>1.9294189257142926</v>
      </c>
      <c r="R591" s="34">
        <v>25.9</v>
      </c>
      <c r="S591" s="34">
        <f t="shared" si="158"/>
        <v>1.4132997640812519</v>
      </c>
      <c r="T591" s="42">
        <v>36.959146749272797</v>
      </c>
      <c r="U591" s="42">
        <f t="shared" si="159"/>
        <v>1.5677219364019672</v>
      </c>
      <c r="V591">
        <v>3.1527645837352773</v>
      </c>
      <c r="W591" s="14">
        <v>2</v>
      </c>
      <c r="X591">
        <v>3.5411223705253856</v>
      </c>
      <c r="Y591">
        <v>8.5563025007672877</v>
      </c>
      <c r="Z591" s="80">
        <v>-0.22927566396282095</v>
      </c>
      <c r="AA591">
        <v>2</v>
      </c>
      <c r="AB591">
        <f t="shared" si="160"/>
        <v>0</v>
      </c>
      <c r="AC591">
        <f t="shared" si="161"/>
        <v>1</v>
      </c>
      <c r="AD591">
        <f t="shared" si="162"/>
        <v>0</v>
      </c>
      <c r="AE591">
        <f t="shared" si="163"/>
        <v>0</v>
      </c>
      <c r="AF591">
        <f t="shared" si="164"/>
        <v>0</v>
      </c>
      <c r="AG591">
        <f t="shared" si="165"/>
        <v>0</v>
      </c>
      <c r="AH591">
        <f t="shared" si="166"/>
        <v>0</v>
      </c>
      <c r="AI591">
        <f t="shared" si="167"/>
        <v>0</v>
      </c>
      <c r="AJ591">
        <f t="shared" si="168"/>
        <v>0</v>
      </c>
      <c r="AK591">
        <f t="shared" si="169"/>
        <v>0</v>
      </c>
      <c r="AL591">
        <v>1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</row>
    <row r="592" spans="1:53" x14ac:dyDescent="0.35">
      <c r="A592">
        <v>-2</v>
      </c>
      <c r="C592">
        <v>3.7643835616438355</v>
      </c>
      <c r="D592" s="137">
        <f t="shared" si="154"/>
        <v>0.57569386826705693</v>
      </c>
      <c r="E592">
        <v>0</v>
      </c>
      <c r="F592">
        <v>1.2041199826559248</v>
      </c>
      <c r="G592" s="45">
        <v>2.95</v>
      </c>
      <c r="H592" s="29">
        <f t="shared" si="155"/>
        <v>0.46982201597816303</v>
      </c>
      <c r="I592">
        <v>0</v>
      </c>
      <c r="J592" s="34">
        <v>-0.14266750356873156</v>
      </c>
      <c r="K592">
        <v>39</v>
      </c>
      <c r="L592" s="137">
        <f t="shared" si="156"/>
        <v>1.5910646070264991</v>
      </c>
      <c r="M592">
        <f t="shared" si="153"/>
        <v>0</v>
      </c>
      <c r="N592">
        <v>70</v>
      </c>
      <c r="O592">
        <v>70</v>
      </c>
      <c r="P592">
        <v>85</v>
      </c>
      <c r="Q592" s="137">
        <f t="shared" si="157"/>
        <v>1.9294189257142926</v>
      </c>
      <c r="R592" s="34">
        <v>25.9</v>
      </c>
      <c r="S592" s="34">
        <f t="shared" si="158"/>
        <v>1.4132997640812519</v>
      </c>
      <c r="T592" s="42">
        <v>36.959146749272797</v>
      </c>
      <c r="U592" s="42">
        <f t="shared" si="159"/>
        <v>1.5677219364019672</v>
      </c>
      <c r="V592">
        <v>3.1527645837352773</v>
      </c>
      <c r="W592" s="14">
        <v>2</v>
      </c>
      <c r="X592">
        <v>3.5411223705253856</v>
      </c>
      <c r="Y592">
        <v>8.4313637641589878</v>
      </c>
      <c r="Z592" s="80">
        <v>-0.22927566396282095</v>
      </c>
      <c r="AA592">
        <v>2</v>
      </c>
      <c r="AB592">
        <f t="shared" si="160"/>
        <v>0</v>
      </c>
      <c r="AC592">
        <f t="shared" si="161"/>
        <v>1</v>
      </c>
      <c r="AD592">
        <f t="shared" si="162"/>
        <v>0</v>
      </c>
      <c r="AE592">
        <f t="shared" si="163"/>
        <v>0</v>
      </c>
      <c r="AF592">
        <f t="shared" si="164"/>
        <v>0</v>
      </c>
      <c r="AG592">
        <f t="shared" si="165"/>
        <v>0</v>
      </c>
      <c r="AH592">
        <f t="shared" si="166"/>
        <v>0</v>
      </c>
      <c r="AI592">
        <f t="shared" si="167"/>
        <v>0</v>
      </c>
      <c r="AJ592">
        <f t="shared" si="168"/>
        <v>0</v>
      </c>
      <c r="AK592">
        <f t="shared" si="169"/>
        <v>0</v>
      </c>
      <c r="AL592">
        <v>1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</row>
    <row r="593" spans="1:53" x14ac:dyDescent="0.35">
      <c r="A593">
        <v>-2</v>
      </c>
      <c r="C593">
        <v>1.1123287671232878</v>
      </c>
      <c r="D593" s="137">
        <f t="shared" si="154"/>
        <v>4.6233169120719446E-2</v>
      </c>
      <c r="E593">
        <v>0</v>
      </c>
      <c r="F593">
        <v>0</v>
      </c>
      <c r="G593" s="45">
        <v>2.95</v>
      </c>
      <c r="H593" s="29">
        <f t="shared" si="155"/>
        <v>0.46982201597816303</v>
      </c>
      <c r="I593">
        <v>0</v>
      </c>
      <c r="J593" s="34">
        <v>-8.6186147616283279E-2</v>
      </c>
      <c r="K593">
        <v>34</v>
      </c>
      <c r="L593" s="137">
        <f t="shared" si="156"/>
        <v>1.5314789170422551</v>
      </c>
      <c r="M593">
        <f t="shared" si="153"/>
        <v>0</v>
      </c>
      <c r="N593">
        <v>70</v>
      </c>
      <c r="O593">
        <v>70</v>
      </c>
      <c r="P593">
        <v>85</v>
      </c>
      <c r="Q593" s="137">
        <f t="shared" si="157"/>
        <v>1.9294189257142926</v>
      </c>
      <c r="R593" s="34">
        <v>28.2</v>
      </c>
      <c r="S593" s="34">
        <f t="shared" si="158"/>
        <v>1.4502491083193612</v>
      </c>
      <c r="T593" s="42">
        <v>34.298950279384798</v>
      </c>
      <c r="U593" s="42">
        <f t="shared" si="159"/>
        <v>1.5352808286478177</v>
      </c>
      <c r="V593">
        <v>3.1527645837352773</v>
      </c>
      <c r="W593" s="14">
        <v>2</v>
      </c>
      <c r="X593">
        <v>3.5411223705253856</v>
      </c>
      <c r="Y593">
        <v>7.3979400086720375</v>
      </c>
      <c r="Z593" s="80">
        <v>-0.11098978458457842</v>
      </c>
      <c r="AA593">
        <v>2</v>
      </c>
      <c r="AB593">
        <f t="shared" si="160"/>
        <v>0</v>
      </c>
      <c r="AC593">
        <f t="shared" si="161"/>
        <v>1</v>
      </c>
      <c r="AD593">
        <f t="shared" si="162"/>
        <v>0</v>
      </c>
      <c r="AE593">
        <f t="shared" si="163"/>
        <v>0</v>
      </c>
      <c r="AF593">
        <f t="shared" si="164"/>
        <v>0</v>
      </c>
      <c r="AG593">
        <f t="shared" si="165"/>
        <v>0</v>
      </c>
      <c r="AH593">
        <f t="shared" si="166"/>
        <v>0</v>
      </c>
      <c r="AI593">
        <f t="shared" si="167"/>
        <v>0</v>
      </c>
      <c r="AJ593">
        <f t="shared" si="168"/>
        <v>0</v>
      </c>
      <c r="AK593">
        <f t="shared" si="169"/>
        <v>0</v>
      </c>
      <c r="AL593">
        <v>1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</row>
    <row r="594" spans="1:53" x14ac:dyDescent="0.35">
      <c r="A594">
        <v>0.76042248342321206</v>
      </c>
      <c r="C594">
        <v>11.517808219178082</v>
      </c>
      <c r="D594" s="137">
        <f t="shared" si="154"/>
        <v>1.06136984289973</v>
      </c>
      <c r="E594">
        <v>0</v>
      </c>
      <c r="F594">
        <v>1.4623979978989561</v>
      </c>
      <c r="G594" s="45">
        <v>2.95</v>
      </c>
      <c r="H594" s="29">
        <f t="shared" si="155"/>
        <v>0.46982201597816303</v>
      </c>
      <c r="I594">
        <v>0</v>
      </c>
      <c r="J594" s="34">
        <v>0.26717172840301384</v>
      </c>
      <c r="K594">
        <v>12</v>
      </c>
      <c r="L594" s="137">
        <f t="shared" si="156"/>
        <v>1.0791812460476249</v>
      </c>
      <c r="M594">
        <f t="shared" si="153"/>
        <v>0</v>
      </c>
      <c r="N594">
        <v>70</v>
      </c>
      <c r="O594">
        <v>70</v>
      </c>
      <c r="P594">
        <v>85</v>
      </c>
      <c r="Q594" s="137">
        <f t="shared" si="157"/>
        <v>1.9294189257142926</v>
      </c>
      <c r="R594" s="34">
        <v>24.6</v>
      </c>
      <c r="S594" s="34">
        <f t="shared" si="158"/>
        <v>1.3909351071033791</v>
      </c>
      <c r="T594" s="42">
        <v>36.876470987978301</v>
      </c>
      <c r="U594" s="42">
        <f t="shared" si="159"/>
        <v>1.5667493531684615</v>
      </c>
      <c r="V594">
        <v>3.1628765880980758</v>
      </c>
      <c r="W594" s="14">
        <v>2</v>
      </c>
      <c r="X594">
        <v>3.6087947386421786</v>
      </c>
      <c r="Y594">
        <v>8.0211892990699383</v>
      </c>
      <c r="Z594" s="80">
        <v>0.48590927451938049</v>
      </c>
      <c r="AA594">
        <v>2</v>
      </c>
      <c r="AB594">
        <f t="shared" si="160"/>
        <v>0</v>
      </c>
      <c r="AC594">
        <f t="shared" si="161"/>
        <v>1</v>
      </c>
      <c r="AD594">
        <f t="shared" si="162"/>
        <v>0</v>
      </c>
      <c r="AE594">
        <f t="shared" si="163"/>
        <v>0</v>
      </c>
      <c r="AF594">
        <f t="shared" si="164"/>
        <v>0</v>
      </c>
      <c r="AG594">
        <f t="shared" si="165"/>
        <v>0</v>
      </c>
      <c r="AH594">
        <f t="shared" si="166"/>
        <v>0</v>
      </c>
      <c r="AI594">
        <f t="shared" si="167"/>
        <v>0</v>
      </c>
      <c r="AJ594">
        <f t="shared" si="168"/>
        <v>0</v>
      </c>
      <c r="AK594">
        <f t="shared" si="169"/>
        <v>0</v>
      </c>
      <c r="AL594">
        <v>1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</row>
    <row r="595" spans="1:53" x14ac:dyDescent="0.35">
      <c r="A595">
        <v>0.26890642937415743</v>
      </c>
      <c r="C595">
        <v>2.1424657534246574</v>
      </c>
      <c r="D595" s="137">
        <f t="shared" si="154"/>
        <v>0.33091388860337329</v>
      </c>
      <c r="E595">
        <v>0</v>
      </c>
      <c r="F595">
        <v>0</v>
      </c>
      <c r="G595" s="45">
        <v>2.95</v>
      </c>
      <c r="H595" s="29">
        <f t="shared" si="155"/>
        <v>0.46982201597816303</v>
      </c>
      <c r="I595">
        <v>0</v>
      </c>
      <c r="J595" s="34">
        <v>0.22010808804005513</v>
      </c>
      <c r="K595">
        <v>12</v>
      </c>
      <c r="L595" s="137">
        <f t="shared" si="156"/>
        <v>1.0791812460476249</v>
      </c>
      <c r="M595">
        <f t="shared" si="153"/>
        <v>0</v>
      </c>
      <c r="N595">
        <v>70</v>
      </c>
      <c r="O595">
        <v>70</v>
      </c>
      <c r="P595">
        <v>85</v>
      </c>
      <c r="Q595" s="137">
        <f t="shared" si="157"/>
        <v>1.9294189257142926</v>
      </c>
      <c r="R595" s="34">
        <v>27.4</v>
      </c>
      <c r="S595" s="34">
        <f t="shared" si="158"/>
        <v>1.4377505628203879</v>
      </c>
      <c r="T595" s="42">
        <v>35.968444143503902</v>
      </c>
      <c r="U595" s="42">
        <f t="shared" si="159"/>
        <v>1.5559216523165715</v>
      </c>
      <c r="V595">
        <v>3.3647319918335836</v>
      </c>
      <c r="W595" s="14">
        <v>4</v>
      </c>
      <c r="X595">
        <v>3.568659604598353</v>
      </c>
      <c r="Y595">
        <v>8.8549190878308881</v>
      </c>
      <c r="Z595" s="80">
        <v>0.24155343517530303</v>
      </c>
      <c r="AA595">
        <v>4</v>
      </c>
      <c r="AB595">
        <f t="shared" si="160"/>
        <v>0</v>
      </c>
      <c r="AC595">
        <f t="shared" si="161"/>
        <v>0</v>
      </c>
      <c r="AD595">
        <f t="shared" si="162"/>
        <v>0</v>
      </c>
      <c r="AE595">
        <f t="shared" si="163"/>
        <v>1</v>
      </c>
      <c r="AF595">
        <f t="shared" si="164"/>
        <v>0</v>
      </c>
      <c r="AG595">
        <f t="shared" si="165"/>
        <v>0</v>
      </c>
      <c r="AH595">
        <f t="shared" si="166"/>
        <v>0</v>
      </c>
      <c r="AI595">
        <f t="shared" si="167"/>
        <v>0</v>
      </c>
      <c r="AJ595">
        <f t="shared" si="168"/>
        <v>0</v>
      </c>
      <c r="AK595">
        <f t="shared" si="169"/>
        <v>0</v>
      </c>
      <c r="AL595">
        <v>1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</row>
    <row r="596" spans="1:53" x14ac:dyDescent="0.35">
      <c r="A596">
        <v>0.14727191996175543</v>
      </c>
      <c r="C596">
        <v>6.1780821917808222</v>
      </c>
      <c r="D596" s="137">
        <f t="shared" si="154"/>
        <v>0.7908536817575047</v>
      </c>
      <c r="E596">
        <v>0</v>
      </c>
      <c r="F596">
        <v>0.6020599913279624</v>
      </c>
      <c r="G596" s="45">
        <v>2.95</v>
      </c>
      <c r="H596" s="29">
        <f t="shared" si="155"/>
        <v>0.46982201597816303</v>
      </c>
      <c r="I596">
        <v>0</v>
      </c>
      <c r="J596" s="34">
        <v>4.9218022670181653E-2</v>
      </c>
      <c r="K596">
        <v>12</v>
      </c>
      <c r="L596" s="137">
        <f t="shared" si="156"/>
        <v>1.0791812460476249</v>
      </c>
      <c r="M596">
        <f t="shared" si="153"/>
        <v>0</v>
      </c>
      <c r="N596">
        <v>70</v>
      </c>
      <c r="O596">
        <v>70</v>
      </c>
      <c r="P596">
        <v>85</v>
      </c>
      <c r="Q596" s="137">
        <f t="shared" si="157"/>
        <v>1.9294189257142926</v>
      </c>
      <c r="R596" s="34">
        <v>27.4</v>
      </c>
      <c r="S596" s="34">
        <f t="shared" si="158"/>
        <v>1.4377505628203879</v>
      </c>
      <c r="T596" s="42">
        <v>35.968444143503902</v>
      </c>
      <c r="U596" s="42">
        <f t="shared" si="159"/>
        <v>1.5559216523165715</v>
      </c>
      <c r="V596">
        <v>3.3647319918335836</v>
      </c>
      <c r="W596" s="14">
        <v>4</v>
      </c>
      <c r="X596">
        <v>3.568659604598353</v>
      </c>
      <c r="Y596">
        <v>8.8129133566428557</v>
      </c>
      <c r="Z596" s="80">
        <v>-0.12193558150277972</v>
      </c>
      <c r="AA596">
        <v>5</v>
      </c>
      <c r="AB596">
        <f t="shared" si="160"/>
        <v>0</v>
      </c>
      <c r="AC596">
        <f t="shared" si="161"/>
        <v>0</v>
      </c>
      <c r="AD596">
        <f t="shared" si="162"/>
        <v>0</v>
      </c>
      <c r="AE596">
        <f t="shared" si="163"/>
        <v>0</v>
      </c>
      <c r="AF596">
        <f t="shared" si="164"/>
        <v>1</v>
      </c>
      <c r="AG596">
        <f t="shared" si="165"/>
        <v>0</v>
      </c>
      <c r="AH596">
        <f t="shared" si="166"/>
        <v>0</v>
      </c>
      <c r="AI596">
        <f t="shared" si="167"/>
        <v>0</v>
      </c>
      <c r="AJ596">
        <f t="shared" si="168"/>
        <v>0</v>
      </c>
      <c r="AK596">
        <f t="shared" si="169"/>
        <v>0</v>
      </c>
      <c r="AL596">
        <v>1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</row>
    <row r="597" spans="1:53" x14ac:dyDescent="0.35">
      <c r="A597">
        <v>-0.21588482779645182</v>
      </c>
      <c r="C597">
        <v>10.435616438356165</v>
      </c>
      <c r="D597" s="137">
        <f t="shared" si="154"/>
        <v>1.0185181082044716</v>
      </c>
      <c r="E597">
        <v>0</v>
      </c>
      <c r="F597">
        <v>2</v>
      </c>
      <c r="G597" s="45">
        <v>2.95</v>
      </c>
      <c r="H597" s="29">
        <f t="shared" si="155"/>
        <v>0.46982201597816303</v>
      </c>
      <c r="I597">
        <v>0</v>
      </c>
      <c r="J597" s="34">
        <v>0.30749603791321295</v>
      </c>
      <c r="K597">
        <v>18</v>
      </c>
      <c r="L597" s="137">
        <f t="shared" si="156"/>
        <v>1.255272505103306</v>
      </c>
      <c r="M597">
        <f t="shared" si="153"/>
        <v>0</v>
      </c>
      <c r="N597">
        <v>70</v>
      </c>
      <c r="O597">
        <v>70</v>
      </c>
      <c r="P597">
        <v>85</v>
      </c>
      <c r="Q597" s="137">
        <f t="shared" si="157"/>
        <v>1.9294189257142926</v>
      </c>
      <c r="R597" s="34">
        <v>24.4</v>
      </c>
      <c r="S597" s="34">
        <f t="shared" si="158"/>
        <v>1.3873898263387294</v>
      </c>
      <c r="T597" s="42">
        <v>37.256914365427299</v>
      </c>
      <c r="U597" s="42">
        <f t="shared" si="159"/>
        <v>1.5712068835833228</v>
      </c>
      <c r="V597">
        <v>3.3647319918335836</v>
      </c>
      <c r="W597" s="14">
        <v>4</v>
      </c>
      <c r="X597">
        <v>3.568659604598353</v>
      </c>
      <c r="Y597">
        <v>9.6744018128452822</v>
      </c>
      <c r="Z597" s="80">
        <v>0.97263776245673217</v>
      </c>
      <c r="AA597">
        <v>5</v>
      </c>
      <c r="AB597">
        <f t="shared" si="160"/>
        <v>0</v>
      </c>
      <c r="AC597">
        <f t="shared" si="161"/>
        <v>0</v>
      </c>
      <c r="AD597">
        <f t="shared" si="162"/>
        <v>0</v>
      </c>
      <c r="AE597">
        <f t="shared" si="163"/>
        <v>0</v>
      </c>
      <c r="AF597">
        <f t="shared" si="164"/>
        <v>1</v>
      </c>
      <c r="AG597">
        <f t="shared" si="165"/>
        <v>0</v>
      </c>
      <c r="AH597">
        <f t="shared" si="166"/>
        <v>0</v>
      </c>
      <c r="AI597">
        <f t="shared" si="167"/>
        <v>0</v>
      </c>
      <c r="AJ597">
        <f t="shared" si="168"/>
        <v>0</v>
      </c>
      <c r="AK597">
        <f t="shared" si="169"/>
        <v>0</v>
      </c>
      <c r="AL597">
        <v>1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</row>
    <row r="598" spans="1:53" x14ac:dyDescent="0.35">
      <c r="A598">
        <v>0.369313416884544</v>
      </c>
      <c r="C598">
        <v>9.0273972602739718</v>
      </c>
      <c r="D598" s="137">
        <f t="shared" si="154"/>
        <v>0.95556255447355387</v>
      </c>
      <c r="E598">
        <v>0</v>
      </c>
      <c r="F598">
        <v>0.90308998699194354</v>
      </c>
      <c r="G598" s="45">
        <v>2.95</v>
      </c>
      <c r="H598" s="29">
        <f t="shared" si="155"/>
        <v>0.46982201597816303</v>
      </c>
      <c r="I598">
        <v>0</v>
      </c>
      <c r="J598" s="34">
        <v>0.18469143081759881</v>
      </c>
      <c r="K598">
        <v>19</v>
      </c>
      <c r="L598" s="137">
        <f t="shared" si="156"/>
        <v>1.2787536009528289</v>
      </c>
      <c r="M598">
        <f t="shared" si="153"/>
        <v>0</v>
      </c>
      <c r="N598">
        <v>70</v>
      </c>
      <c r="O598">
        <v>70</v>
      </c>
      <c r="P598">
        <v>85</v>
      </c>
      <c r="Q598" s="137">
        <f t="shared" si="157"/>
        <v>1.9294189257142926</v>
      </c>
      <c r="R598" s="34">
        <v>24.6</v>
      </c>
      <c r="S598" s="34">
        <f t="shared" si="158"/>
        <v>1.3909351071033791</v>
      </c>
      <c r="T598" s="42">
        <v>36.876470987978301</v>
      </c>
      <c r="U598" s="42">
        <f t="shared" si="159"/>
        <v>1.5667493531684615</v>
      </c>
      <c r="V598">
        <v>3.3647319918335836</v>
      </c>
      <c r="W598" s="14">
        <v>4</v>
      </c>
      <c r="X598">
        <v>3.568659604598353</v>
      </c>
      <c r="Y598">
        <v>9.2430380486862944</v>
      </c>
      <c r="Z598" s="80">
        <v>0.51862355624069001</v>
      </c>
      <c r="AA598">
        <v>2</v>
      </c>
      <c r="AB598">
        <f t="shared" si="160"/>
        <v>0</v>
      </c>
      <c r="AC598">
        <f t="shared" si="161"/>
        <v>1</v>
      </c>
      <c r="AD598">
        <f t="shared" si="162"/>
        <v>0</v>
      </c>
      <c r="AE598">
        <f t="shared" si="163"/>
        <v>0</v>
      </c>
      <c r="AF598">
        <f t="shared" si="164"/>
        <v>0</v>
      </c>
      <c r="AG598">
        <f t="shared" si="165"/>
        <v>0</v>
      </c>
      <c r="AH598">
        <f t="shared" si="166"/>
        <v>0</v>
      </c>
      <c r="AI598">
        <f t="shared" si="167"/>
        <v>0</v>
      </c>
      <c r="AJ598">
        <f t="shared" si="168"/>
        <v>0</v>
      </c>
      <c r="AK598">
        <f t="shared" si="169"/>
        <v>0</v>
      </c>
      <c r="AL598">
        <v>1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</row>
    <row r="599" spans="1:53" x14ac:dyDescent="0.35">
      <c r="A599">
        <v>-2</v>
      </c>
      <c r="C599">
        <v>5.8876712328767127</v>
      </c>
      <c r="D599" s="137">
        <f t="shared" si="154"/>
        <v>0.76994355103496859</v>
      </c>
      <c r="E599">
        <v>0</v>
      </c>
      <c r="F599">
        <v>1.7323937598229686</v>
      </c>
      <c r="G599" s="45">
        <v>2.95</v>
      </c>
      <c r="H599" s="29">
        <f t="shared" si="155"/>
        <v>0.46982201597816303</v>
      </c>
      <c r="I599">
        <v>0</v>
      </c>
      <c r="J599" s="34">
        <v>-2.2276394711152253E-2</v>
      </c>
      <c r="K599">
        <v>18</v>
      </c>
      <c r="L599" s="137">
        <f t="shared" si="156"/>
        <v>1.255272505103306</v>
      </c>
      <c r="M599">
        <f t="shared" si="153"/>
        <v>0</v>
      </c>
      <c r="N599">
        <v>70</v>
      </c>
      <c r="O599">
        <v>70</v>
      </c>
      <c r="P599">
        <v>85</v>
      </c>
      <c r="Q599" s="137">
        <f t="shared" si="157"/>
        <v>1.9294189257142926</v>
      </c>
      <c r="R599" s="34">
        <v>24.4</v>
      </c>
      <c r="S599" s="34">
        <f t="shared" si="158"/>
        <v>1.3873898263387294</v>
      </c>
      <c r="T599" s="42">
        <v>37.256914365427299</v>
      </c>
      <c r="U599" s="42">
        <f t="shared" si="159"/>
        <v>1.5712068835833228</v>
      </c>
      <c r="V599">
        <v>3.3647319918335836</v>
      </c>
      <c r="W599" s="14">
        <v>4</v>
      </c>
      <c r="X599">
        <v>3.568659604598353</v>
      </c>
      <c r="Y599">
        <v>9.1766439089168497</v>
      </c>
      <c r="Z599" s="80">
        <v>0.15565273876725749</v>
      </c>
      <c r="AA599">
        <v>4</v>
      </c>
      <c r="AB599">
        <f t="shared" si="160"/>
        <v>0</v>
      </c>
      <c r="AC599">
        <f t="shared" si="161"/>
        <v>0</v>
      </c>
      <c r="AD599">
        <f t="shared" si="162"/>
        <v>0</v>
      </c>
      <c r="AE599">
        <f t="shared" si="163"/>
        <v>1</v>
      </c>
      <c r="AF599">
        <f t="shared" si="164"/>
        <v>0</v>
      </c>
      <c r="AG599">
        <f t="shared" si="165"/>
        <v>0</v>
      </c>
      <c r="AH599">
        <f t="shared" si="166"/>
        <v>0</v>
      </c>
      <c r="AI599">
        <f t="shared" si="167"/>
        <v>0</v>
      </c>
      <c r="AJ599">
        <f t="shared" si="168"/>
        <v>0</v>
      </c>
      <c r="AK599">
        <f t="shared" si="169"/>
        <v>0</v>
      </c>
      <c r="AL599">
        <v>1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</row>
    <row r="600" spans="1:53" x14ac:dyDescent="0.35">
      <c r="A600">
        <v>0.37675070960209955</v>
      </c>
      <c r="C600">
        <v>1.263013698630137</v>
      </c>
      <c r="D600" s="137">
        <f t="shared" si="154"/>
        <v>0.10140806093317345</v>
      </c>
      <c r="E600">
        <v>3.7707754512906644</v>
      </c>
      <c r="F600">
        <v>1.2787536009528289</v>
      </c>
      <c r="G600" s="45">
        <v>2.3199999999999998</v>
      </c>
      <c r="H600" s="29">
        <f t="shared" si="155"/>
        <v>0.36548798489089962</v>
      </c>
      <c r="I600">
        <v>2.1238516409670858</v>
      </c>
      <c r="J600" s="34">
        <v>5.6904851336472641E-2</v>
      </c>
      <c r="K600">
        <v>38</v>
      </c>
      <c r="L600" s="137">
        <f t="shared" si="156"/>
        <v>1.5797835966168101</v>
      </c>
      <c r="M600">
        <f t="shared" si="153"/>
        <v>1</v>
      </c>
      <c r="N600">
        <v>70</v>
      </c>
      <c r="O600">
        <v>70</v>
      </c>
      <c r="P600">
        <v>91.5</v>
      </c>
      <c r="Q600" s="137">
        <f t="shared" si="157"/>
        <v>1.9614210940664483</v>
      </c>
      <c r="R600" s="34">
        <v>32.9</v>
      </c>
      <c r="S600" s="34">
        <f t="shared" si="158"/>
        <v>1.5171958979499742</v>
      </c>
      <c r="T600" s="42">
        <v>40.767390998852598</v>
      </c>
      <c r="U600" s="42">
        <f t="shared" si="159"/>
        <v>1.6103129186864549</v>
      </c>
      <c r="V600">
        <v>3.3885364494891754</v>
      </c>
      <c r="W600" s="14">
        <v>2</v>
      </c>
      <c r="X600">
        <v>3.818148300254375</v>
      </c>
      <c r="Y600">
        <v>7.924279286061882</v>
      </c>
      <c r="Z600" s="80">
        <v>0.10252584357323991</v>
      </c>
      <c r="AA600">
        <v>9</v>
      </c>
      <c r="AB600">
        <f t="shared" si="160"/>
        <v>0</v>
      </c>
      <c r="AC600">
        <f t="shared" si="161"/>
        <v>0</v>
      </c>
      <c r="AD600">
        <f t="shared" si="162"/>
        <v>0</v>
      </c>
      <c r="AE600">
        <f t="shared" si="163"/>
        <v>0</v>
      </c>
      <c r="AF600">
        <f t="shared" si="164"/>
        <v>0</v>
      </c>
      <c r="AG600">
        <f t="shared" si="165"/>
        <v>0</v>
      </c>
      <c r="AH600">
        <f t="shared" si="166"/>
        <v>0</v>
      </c>
      <c r="AI600">
        <f t="shared" si="167"/>
        <v>0</v>
      </c>
      <c r="AJ600">
        <f t="shared" si="168"/>
        <v>1</v>
      </c>
      <c r="AK600">
        <f t="shared" si="169"/>
        <v>0</v>
      </c>
      <c r="AL600">
        <v>0</v>
      </c>
      <c r="AM600">
        <v>1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</row>
    <row r="601" spans="1:53" x14ac:dyDescent="0.35">
      <c r="A601">
        <v>0.43439130751080973</v>
      </c>
      <c r="C601">
        <v>3.0712328767123287</v>
      </c>
      <c r="D601" s="137">
        <f t="shared" si="154"/>
        <v>0.48731274813849845</v>
      </c>
      <c r="E601">
        <v>3.7707754512906644</v>
      </c>
      <c r="F601">
        <v>1.1139433523068367</v>
      </c>
      <c r="G601" s="45">
        <v>2.3199999999999998</v>
      </c>
      <c r="H601" s="29">
        <f t="shared" si="155"/>
        <v>0.36548798489089962</v>
      </c>
      <c r="I601">
        <v>2.1238516409670858</v>
      </c>
      <c r="J601" s="34">
        <v>0.10720996964786837</v>
      </c>
      <c r="K601">
        <v>36</v>
      </c>
      <c r="L601" s="137">
        <f t="shared" si="156"/>
        <v>1.5563025007672873</v>
      </c>
      <c r="M601">
        <f t="shared" si="153"/>
        <v>1</v>
      </c>
      <c r="N601">
        <v>70</v>
      </c>
      <c r="O601">
        <v>70</v>
      </c>
      <c r="P601">
        <v>85</v>
      </c>
      <c r="Q601" s="137">
        <f t="shared" si="157"/>
        <v>1.9294189257142926</v>
      </c>
      <c r="R601" s="34">
        <v>32.299999999999997</v>
      </c>
      <c r="S601" s="34">
        <f t="shared" si="158"/>
        <v>1.5092025223311027</v>
      </c>
      <c r="T601" s="42">
        <v>40.040400531970803</v>
      </c>
      <c r="U601" s="42">
        <f t="shared" si="159"/>
        <v>1.6024984131617945</v>
      </c>
      <c r="V601">
        <v>3.3885364494891754</v>
      </c>
      <c r="W601" s="14">
        <v>2</v>
      </c>
      <c r="X601">
        <v>3.818148300254375</v>
      </c>
      <c r="Y601">
        <v>7.9637878273455556</v>
      </c>
      <c r="Z601" s="80">
        <v>0.46819115541604051</v>
      </c>
      <c r="AA601">
        <v>5</v>
      </c>
      <c r="AB601">
        <f t="shared" si="160"/>
        <v>0</v>
      </c>
      <c r="AC601">
        <f t="shared" si="161"/>
        <v>0</v>
      </c>
      <c r="AD601">
        <f t="shared" si="162"/>
        <v>0</v>
      </c>
      <c r="AE601">
        <f t="shared" si="163"/>
        <v>0</v>
      </c>
      <c r="AF601">
        <f t="shared" si="164"/>
        <v>1</v>
      </c>
      <c r="AG601">
        <f t="shared" si="165"/>
        <v>0</v>
      </c>
      <c r="AH601">
        <f t="shared" si="166"/>
        <v>0</v>
      </c>
      <c r="AI601">
        <f t="shared" si="167"/>
        <v>0</v>
      </c>
      <c r="AJ601">
        <f t="shared" si="168"/>
        <v>0</v>
      </c>
      <c r="AK601">
        <f t="shared" si="169"/>
        <v>0</v>
      </c>
      <c r="AL601">
        <v>0</v>
      </c>
      <c r="AM601">
        <v>1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</row>
    <row r="602" spans="1:53" x14ac:dyDescent="0.35">
      <c r="A602">
        <v>0.41630541559290174</v>
      </c>
      <c r="C602">
        <v>7.441095890410959</v>
      </c>
      <c r="D602" s="137">
        <f t="shared" si="154"/>
        <v>0.87163690115198933</v>
      </c>
      <c r="E602">
        <v>3.7707754512906644</v>
      </c>
      <c r="F602">
        <v>0.6020599913279624</v>
      </c>
      <c r="G602" s="45">
        <v>2.3199999999999998</v>
      </c>
      <c r="H602" s="29">
        <f t="shared" si="155"/>
        <v>0.36548798489089962</v>
      </c>
      <c r="I602">
        <v>2.1238516409670858</v>
      </c>
      <c r="J602" s="34">
        <v>9.691001300805642E-2</v>
      </c>
      <c r="K602">
        <v>35</v>
      </c>
      <c r="L602" s="137">
        <f t="shared" si="156"/>
        <v>1.5440680443502757</v>
      </c>
      <c r="M602">
        <f t="shared" si="153"/>
        <v>1</v>
      </c>
      <c r="N602">
        <v>70</v>
      </c>
      <c r="O602">
        <v>70</v>
      </c>
      <c r="P602">
        <v>85</v>
      </c>
      <c r="Q602" s="137">
        <f t="shared" si="157"/>
        <v>1.9294189257142926</v>
      </c>
      <c r="R602" s="34">
        <v>31.3</v>
      </c>
      <c r="S602" s="34">
        <f t="shared" si="158"/>
        <v>1.4955443375464486</v>
      </c>
      <c r="T602" s="42">
        <v>38.7850112673514</v>
      </c>
      <c r="U602" s="42">
        <f t="shared" si="159"/>
        <v>1.5886639219461918</v>
      </c>
      <c r="V602">
        <v>3.3885364494891754</v>
      </c>
      <c r="W602" s="14">
        <v>2</v>
      </c>
      <c r="X602">
        <v>3.818148300254375</v>
      </c>
      <c r="Y602">
        <v>7.690904554054967</v>
      </c>
      <c r="Z602" s="80">
        <v>0.42539750472167692</v>
      </c>
      <c r="AA602">
        <v>6</v>
      </c>
      <c r="AB602">
        <f t="shared" si="160"/>
        <v>0</v>
      </c>
      <c r="AC602">
        <f t="shared" si="161"/>
        <v>0</v>
      </c>
      <c r="AD602">
        <f t="shared" si="162"/>
        <v>0</v>
      </c>
      <c r="AE602">
        <f t="shared" si="163"/>
        <v>0</v>
      </c>
      <c r="AF602">
        <f t="shared" si="164"/>
        <v>0</v>
      </c>
      <c r="AG602">
        <f t="shared" si="165"/>
        <v>1</v>
      </c>
      <c r="AH602">
        <f t="shared" si="166"/>
        <v>0</v>
      </c>
      <c r="AI602">
        <f t="shared" si="167"/>
        <v>0</v>
      </c>
      <c r="AJ602">
        <f t="shared" si="168"/>
        <v>0</v>
      </c>
      <c r="AK602">
        <f t="shared" si="169"/>
        <v>0</v>
      </c>
      <c r="AL602">
        <v>0</v>
      </c>
      <c r="AM602">
        <v>1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</row>
    <row r="603" spans="1:53" x14ac:dyDescent="0.35">
      <c r="A603">
        <v>0.83346575027523784</v>
      </c>
      <c r="C603">
        <v>3.2301369863013698</v>
      </c>
      <c r="D603" s="137">
        <f t="shared" si="154"/>
        <v>0.50922094063861445</v>
      </c>
      <c r="E603">
        <v>3.7936074118204202</v>
      </c>
      <c r="F603">
        <v>1.4771212547196624</v>
      </c>
      <c r="G603" s="45">
        <v>2.92</v>
      </c>
      <c r="H603" s="29">
        <f t="shared" si="155"/>
        <v>0.46538285144841829</v>
      </c>
      <c r="I603">
        <v>2.7370600539441581</v>
      </c>
      <c r="J603" s="34">
        <v>0.11727129565576427</v>
      </c>
      <c r="K603">
        <v>47</v>
      </c>
      <c r="L603" s="137">
        <f t="shared" si="156"/>
        <v>1.6720978579357175</v>
      </c>
      <c r="M603">
        <f t="shared" si="153"/>
        <v>1</v>
      </c>
      <c r="N603">
        <v>80</v>
      </c>
      <c r="O603">
        <v>70</v>
      </c>
      <c r="P603">
        <v>90.7</v>
      </c>
      <c r="Q603" s="137">
        <f t="shared" si="157"/>
        <v>1.9576072870600953</v>
      </c>
      <c r="R603" s="34">
        <v>44.8</v>
      </c>
      <c r="S603" s="34">
        <f t="shared" si="158"/>
        <v>1.651278013998144</v>
      </c>
      <c r="T603" s="42">
        <v>53.736888616883299</v>
      </c>
      <c r="U603" s="42">
        <f t="shared" si="159"/>
        <v>1.7302725170350541</v>
      </c>
      <c r="V603">
        <v>3.3885364494891754</v>
      </c>
      <c r="W603" s="14">
        <v>2</v>
      </c>
      <c r="X603">
        <v>3.818148300254375</v>
      </c>
      <c r="Y603">
        <v>7.4381080904060948</v>
      </c>
      <c r="Z603" s="80">
        <v>0.11327644102723511</v>
      </c>
      <c r="AA603">
        <v>2</v>
      </c>
      <c r="AB603">
        <f t="shared" si="160"/>
        <v>0</v>
      </c>
      <c r="AC603">
        <f t="shared" si="161"/>
        <v>1</v>
      </c>
      <c r="AD603">
        <f t="shared" si="162"/>
        <v>0</v>
      </c>
      <c r="AE603">
        <f t="shared" si="163"/>
        <v>0</v>
      </c>
      <c r="AF603">
        <f t="shared" si="164"/>
        <v>0</v>
      </c>
      <c r="AG603">
        <f t="shared" si="165"/>
        <v>0</v>
      </c>
      <c r="AH603">
        <f t="shared" si="166"/>
        <v>0</v>
      </c>
      <c r="AI603">
        <f t="shared" si="167"/>
        <v>0</v>
      </c>
      <c r="AJ603">
        <f t="shared" si="168"/>
        <v>0</v>
      </c>
      <c r="AK603">
        <f t="shared" si="169"/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1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</row>
    <row r="604" spans="1:53" x14ac:dyDescent="0.35">
      <c r="A604">
        <v>0.32679085780840267</v>
      </c>
      <c r="C604">
        <v>3.7643835616438355</v>
      </c>
      <c r="D604" s="137">
        <f t="shared" si="154"/>
        <v>0.57569386826705693</v>
      </c>
      <c r="E604">
        <v>3.7845345619950592</v>
      </c>
      <c r="F604">
        <v>0.90308998699194354</v>
      </c>
      <c r="G604" s="45">
        <v>2.81</v>
      </c>
      <c r="H604" s="29">
        <f t="shared" si="155"/>
        <v>0.44870631990507992</v>
      </c>
      <c r="I604">
        <v>2.9168924084376502</v>
      </c>
      <c r="J604" s="34">
        <v>-9.1514981121350217E-2</v>
      </c>
      <c r="K604">
        <v>38</v>
      </c>
      <c r="L604" s="137">
        <f t="shared" si="156"/>
        <v>1.5797835966168101</v>
      </c>
      <c r="M604">
        <f t="shared" si="153"/>
        <v>1</v>
      </c>
      <c r="N604">
        <v>70</v>
      </c>
      <c r="O604">
        <v>50</v>
      </c>
      <c r="P604">
        <v>78.7</v>
      </c>
      <c r="Q604" s="137">
        <f t="shared" si="157"/>
        <v>1.8959747323590646</v>
      </c>
      <c r="R604" s="34">
        <v>35.93</v>
      </c>
      <c r="S604" s="34">
        <f t="shared" si="158"/>
        <v>1.5554572172046495</v>
      </c>
      <c r="T604" s="42">
        <v>38.284221616827402</v>
      </c>
      <c r="U604" s="42">
        <f t="shared" si="159"/>
        <v>1.5830198215761455</v>
      </c>
      <c r="V604">
        <v>3.3885364494891754</v>
      </c>
      <c r="W604" s="14">
        <v>2</v>
      </c>
      <c r="X604">
        <v>3.818148300254375</v>
      </c>
      <c r="Y604">
        <v>8.1846914308175993</v>
      </c>
      <c r="Z604" s="80">
        <v>-0.10821328086324977</v>
      </c>
      <c r="AA604">
        <v>5</v>
      </c>
      <c r="AB604">
        <f t="shared" si="160"/>
        <v>0</v>
      </c>
      <c r="AC604">
        <f t="shared" si="161"/>
        <v>0</v>
      </c>
      <c r="AD604">
        <f t="shared" si="162"/>
        <v>0</v>
      </c>
      <c r="AE604">
        <f t="shared" si="163"/>
        <v>0</v>
      </c>
      <c r="AF604">
        <f t="shared" si="164"/>
        <v>1</v>
      </c>
      <c r="AG604">
        <f t="shared" si="165"/>
        <v>0</v>
      </c>
      <c r="AH604">
        <f t="shared" si="166"/>
        <v>0</v>
      </c>
      <c r="AI604">
        <f t="shared" si="167"/>
        <v>0</v>
      </c>
      <c r="AJ604">
        <f t="shared" si="168"/>
        <v>0</v>
      </c>
      <c r="AK604">
        <f t="shared" si="169"/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1</v>
      </c>
      <c r="AW604">
        <v>0</v>
      </c>
      <c r="AX604">
        <v>0</v>
      </c>
      <c r="AY604">
        <v>0</v>
      </c>
      <c r="AZ604">
        <v>0</v>
      </c>
      <c r="BA604">
        <v>0</v>
      </c>
    </row>
    <row r="605" spans="1:53" x14ac:dyDescent="0.35">
      <c r="A605">
        <v>0.16408235158266582</v>
      </c>
      <c r="C605">
        <v>2.3698630136986303</v>
      </c>
      <c r="D605" s="137">
        <f t="shared" si="154"/>
        <v>0.37472324300833953</v>
      </c>
      <c r="E605">
        <v>3.8584156743566731</v>
      </c>
      <c r="F605">
        <v>0.6020599913279624</v>
      </c>
      <c r="G605" s="45">
        <v>2.66</v>
      </c>
      <c r="H605" s="29">
        <f t="shared" si="155"/>
        <v>0.42488163663106698</v>
      </c>
      <c r="I605">
        <v>2.8134697878296753</v>
      </c>
      <c r="J605" s="34">
        <v>0.20951501454263097</v>
      </c>
      <c r="K605">
        <v>40</v>
      </c>
      <c r="L605" s="137">
        <f t="shared" si="156"/>
        <v>1.6020599913279623</v>
      </c>
      <c r="M605">
        <f t="shared" si="153"/>
        <v>1</v>
      </c>
      <c r="N605">
        <v>90</v>
      </c>
      <c r="O605">
        <v>70</v>
      </c>
      <c r="P605">
        <v>77</v>
      </c>
      <c r="Q605" s="137">
        <f t="shared" si="157"/>
        <v>1.8864907251724818</v>
      </c>
      <c r="R605" s="34">
        <v>41.72</v>
      </c>
      <c r="S605" s="34">
        <f t="shared" si="158"/>
        <v>1.6203442997544932</v>
      </c>
      <c r="T605" s="42">
        <v>47.830384300274197</v>
      </c>
      <c r="U605" s="42">
        <f t="shared" si="159"/>
        <v>1.6797038702890243</v>
      </c>
      <c r="V605">
        <v>3.3885364494891754</v>
      </c>
      <c r="W605" s="14">
        <v>2</v>
      </c>
      <c r="X605">
        <v>3.818148300254375</v>
      </c>
      <c r="Y605">
        <v>9.0413926851582254</v>
      </c>
      <c r="Z605" s="80">
        <v>0.52818029231131791</v>
      </c>
      <c r="AA605">
        <v>4</v>
      </c>
      <c r="AB605">
        <f t="shared" si="160"/>
        <v>0</v>
      </c>
      <c r="AC605">
        <f t="shared" si="161"/>
        <v>0</v>
      </c>
      <c r="AD605">
        <f t="shared" si="162"/>
        <v>0</v>
      </c>
      <c r="AE605">
        <f t="shared" si="163"/>
        <v>1</v>
      </c>
      <c r="AF605">
        <f t="shared" si="164"/>
        <v>0</v>
      </c>
      <c r="AG605">
        <f t="shared" si="165"/>
        <v>0</v>
      </c>
      <c r="AH605">
        <f t="shared" si="166"/>
        <v>0</v>
      </c>
      <c r="AI605">
        <f t="shared" si="167"/>
        <v>0</v>
      </c>
      <c r="AJ605">
        <f t="shared" si="168"/>
        <v>0</v>
      </c>
      <c r="AK605">
        <f t="shared" si="169"/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1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</row>
    <row r="606" spans="1:53" x14ac:dyDescent="0.35">
      <c r="A606">
        <v>0.27988245367132186</v>
      </c>
      <c r="C606">
        <v>0.9452054794520548</v>
      </c>
      <c r="D606" s="137">
        <f t="shared" si="154"/>
        <v>-2.4473769383200585E-2</v>
      </c>
      <c r="E606">
        <v>2.8358680570524939</v>
      </c>
      <c r="F606">
        <v>1.1139433523068367</v>
      </c>
      <c r="G606" s="45">
        <v>2.85</v>
      </c>
      <c r="H606" s="29">
        <f t="shared" si="155"/>
        <v>0.45484486000851021</v>
      </c>
      <c r="I606" s="9">
        <v>3.1502958128255383</v>
      </c>
      <c r="J606" s="34">
        <v>7.1882007306125359E-2</v>
      </c>
      <c r="K606">
        <v>17</v>
      </c>
      <c r="L606" s="137">
        <f t="shared" si="156"/>
        <v>1.2304489213782739</v>
      </c>
      <c r="M606">
        <f t="shared" si="153"/>
        <v>1</v>
      </c>
      <c r="N606">
        <v>85</v>
      </c>
      <c r="O606">
        <v>80</v>
      </c>
      <c r="P606">
        <v>84</v>
      </c>
      <c r="Q606" s="137">
        <f t="shared" si="157"/>
        <v>1.9242792860618816</v>
      </c>
      <c r="R606" s="34">
        <v>45.4</v>
      </c>
      <c r="S606" s="34">
        <f t="shared" si="158"/>
        <v>1.657055852857104</v>
      </c>
      <c r="T606" s="42">
        <v>57.2278620378247</v>
      </c>
      <c r="U606" s="42">
        <f t="shared" si="159"/>
        <v>1.7576075215065206</v>
      </c>
      <c r="V606">
        <v>3.4006741243771632</v>
      </c>
      <c r="W606" s="14">
        <v>2</v>
      </c>
      <c r="X606">
        <v>3.8325618860191688</v>
      </c>
      <c r="Y606">
        <v>7.2600713879850751</v>
      </c>
      <c r="Z606" s="80">
        <v>6.0820705942256525E-2</v>
      </c>
      <c r="AA606">
        <v>2</v>
      </c>
      <c r="AB606">
        <f t="shared" si="160"/>
        <v>0</v>
      </c>
      <c r="AC606">
        <f t="shared" si="161"/>
        <v>1</v>
      </c>
      <c r="AD606">
        <f t="shared" si="162"/>
        <v>0</v>
      </c>
      <c r="AE606">
        <f t="shared" si="163"/>
        <v>0</v>
      </c>
      <c r="AF606">
        <f t="shared" si="164"/>
        <v>0</v>
      </c>
      <c r="AG606">
        <f t="shared" si="165"/>
        <v>0</v>
      </c>
      <c r="AH606">
        <f t="shared" si="166"/>
        <v>0</v>
      </c>
      <c r="AI606">
        <f t="shared" si="167"/>
        <v>0</v>
      </c>
      <c r="AJ606">
        <f t="shared" si="168"/>
        <v>0</v>
      </c>
      <c r="AK606">
        <f t="shared" si="169"/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1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</row>
    <row r="607" spans="1:53" x14ac:dyDescent="0.35">
      <c r="A607">
        <v>0.82390874094431876</v>
      </c>
      <c r="C607">
        <v>2.2246575342465755</v>
      </c>
      <c r="D607" s="137">
        <f t="shared" si="154"/>
        <v>0.34726316478470065</v>
      </c>
      <c r="E607">
        <v>3.8335760926148099</v>
      </c>
      <c r="F607">
        <v>1</v>
      </c>
      <c r="G607" s="45">
        <v>2.85</v>
      </c>
      <c r="H607" s="29">
        <f t="shared" si="155"/>
        <v>0.45484486000851021</v>
      </c>
      <c r="I607">
        <v>2.9138138523837167</v>
      </c>
      <c r="J607" s="34">
        <v>0.250420002308894</v>
      </c>
      <c r="K607">
        <v>13</v>
      </c>
      <c r="L607" s="137">
        <f t="shared" si="156"/>
        <v>1.1139433523068367</v>
      </c>
      <c r="M607">
        <f t="shared" si="153"/>
        <v>1</v>
      </c>
      <c r="N607">
        <v>70</v>
      </c>
      <c r="O607">
        <v>70</v>
      </c>
      <c r="P607">
        <v>91.9</v>
      </c>
      <c r="Q607" s="137">
        <f t="shared" si="157"/>
        <v>1.9633155113861114</v>
      </c>
      <c r="R607" s="34">
        <v>23</v>
      </c>
      <c r="S607" s="34">
        <f t="shared" si="158"/>
        <v>1.3617278360175928</v>
      </c>
      <c r="T607" s="42">
        <v>43.262530407091703</v>
      </c>
      <c r="U607" s="42">
        <f t="shared" si="159"/>
        <v>1.636111917546391</v>
      </c>
      <c r="V607">
        <v>3.4006741243771632</v>
      </c>
      <c r="W607" s="14">
        <v>2</v>
      </c>
      <c r="X607">
        <v>3.8325618860191688</v>
      </c>
      <c r="Y607">
        <v>6.7781512503836439</v>
      </c>
      <c r="Z607" s="80">
        <v>0.56859194165293592</v>
      </c>
      <c r="AA607">
        <v>9</v>
      </c>
      <c r="AB607">
        <f t="shared" si="160"/>
        <v>0</v>
      </c>
      <c r="AC607">
        <f t="shared" si="161"/>
        <v>0</v>
      </c>
      <c r="AD607">
        <f t="shared" si="162"/>
        <v>0</v>
      </c>
      <c r="AE607">
        <f t="shared" si="163"/>
        <v>0</v>
      </c>
      <c r="AF607">
        <f t="shared" si="164"/>
        <v>0</v>
      </c>
      <c r="AG607">
        <f t="shared" si="165"/>
        <v>0</v>
      </c>
      <c r="AH607">
        <f t="shared" si="166"/>
        <v>0</v>
      </c>
      <c r="AI607">
        <f t="shared" si="167"/>
        <v>0</v>
      </c>
      <c r="AJ607">
        <f t="shared" si="168"/>
        <v>1</v>
      </c>
      <c r="AK607">
        <f t="shared" si="169"/>
        <v>0</v>
      </c>
      <c r="AL607">
        <v>1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</row>
    <row r="608" spans="1:53" x14ac:dyDescent="0.35">
      <c r="A608">
        <v>0.26717172840301384</v>
      </c>
      <c r="C608">
        <v>6.0712328767123287</v>
      </c>
      <c r="D608" s="137">
        <f t="shared" si="154"/>
        <v>0.78327689159991742</v>
      </c>
      <c r="E608">
        <v>3.0625406208792199</v>
      </c>
      <c r="F608">
        <v>0.77815125038364363</v>
      </c>
      <c r="G608" s="45">
        <v>2.69</v>
      </c>
      <c r="H608" s="29">
        <f t="shared" si="155"/>
        <v>0.42975228000240795</v>
      </c>
      <c r="I608" s="9">
        <v>2.9323063057851897</v>
      </c>
      <c r="J608" s="34">
        <v>6.8185861746161619E-2</v>
      </c>
      <c r="K608">
        <v>11</v>
      </c>
      <c r="L608" s="137">
        <f t="shared" si="156"/>
        <v>1.0413926851582251</v>
      </c>
      <c r="M608">
        <f t="shared" si="153"/>
        <v>1</v>
      </c>
      <c r="N608">
        <v>70</v>
      </c>
      <c r="O608">
        <v>70</v>
      </c>
      <c r="P608">
        <v>91.2</v>
      </c>
      <c r="Q608" s="137">
        <f t="shared" si="157"/>
        <v>1.9599948383284163</v>
      </c>
      <c r="R608" s="34">
        <v>33</v>
      </c>
      <c r="S608" s="34">
        <f t="shared" si="158"/>
        <v>1.5185139398778875</v>
      </c>
      <c r="T608" s="42">
        <v>40.902544500539101</v>
      </c>
      <c r="U608" s="42">
        <f t="shared" si="159"/>
        <v>1.6117503258110162</v>
      </c>
      <c r="V608">
        <v>3.4006741243771632</v>
      </c>
      <c r="W608" s="14">
        <v>2</v>
      </c>
      <c r="X608">
        <v>3.8325618860191688</v>
      </c>
      <c r="Y608">
        <v>7.6020599913279625</v>
      </c>
      <c r="Z608" s="80">
        <v>3.0618021417306629E-2</v>
      </c>
      <c r="AA608">
        <v>2</v>
      </c>
      <c r="AB608">
        <f t="shared" si="160"/>
        <v>0</v>
      </c>
      <c r="AC608">
        <f t="shared" si="161"/>
        <v>1</v>
      </c>
      <c r="AD608">
        <f t="shared" si="162"/>
        <v>0</v>
      </c>
      <c r="AE608">
        <f t="shared" si="163"/>
        <v>0</v>
      </c>
      <c r="AF608">
        <f t="shared" si="164"/>
        <v>0</v>
      </c>
      <c r="AG608">
        <f t="shared" si="165"/>
        <v>0</v>
      </c>
      <c r="AH608">
        <f t="shared" si="166"/>
        <v>0</v>
      </c>
      <c r="AI608">
        <f t="shared" si="167"/>
        <v>0</v>
      </c>
      <c r="AJ608">
        <f t="shared" si="168"/>
        <v>0</v>
      </c>
      <c r="AK608">
        <f t="shared" si="169"/>
        <v>0</v>
      </c>
      <c r="AL608">
        <v>0</v>
      </c>
      <c r="AM608">
        <v>1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</row>
    <row r="609" spans="1:53" x14ac:dyDescent="0.35">
      <c r="A609">
        <v>0.24850094438779657</v>
      </c>
      <c r="C609">
        <v>5.5013698630136982</v>
      </c>
      <c r="D609" s="137">
        <f t="shared" si="154"/>
        <v>0.74047084401650698</v>
      </c>
      <c r="E609">
        <v>3.0625406208792199</v>
      </c>
      <c r="F609">
        <v>1.7993405494535817</v>
      </c>
      <c r="G609" s="45">
        <v>3.06</v>
      </c>
      <c r="H609" s="29">
        <f t="shared" si="155"/>
        <v>0.48572142648158001</v>
      </c>
      <c r="I609">
        <v>2.8714756364568856</v>
      </c>
      <c r="J609" s="34">
        <v>8.9905111439397931E-2</v>
      </c>
      <c r="K609">
        <v>63</v>
      </c>
      <c r="L609" s="137">
        <f t="shared" si="156"/>
        <v>1.7993405494535817</v>
      </c>
      <c r="M609">
        <f t="shared" si="153"/>
        <v>1</v>
      </c>
      <c r="N609">
        <v>70</v>
      </c>
      <c r="O609">
        <v>50</v>
      </c>
      <c r="P609">
        <v>89.1</v>
      </c>
      <c r="Q609" s="137">
        <f t="shared" si="157"/>
        <v>1.9498777040368747</v>
      </c>
      <c r="R609" s="34">
        <v>41.4</v>
      </c>
      <c r="S609" s="34">
        <f t="shared" si="158"/>
        <v>1.6170003411208989</v>
      </c>
      <c r="T609" s="42">
        <v>40.193544405546298</v>
      </c>
      <c r="U609" s="42">
        <f t="shared" si="159"/>
        <v>1.6041563054679069</v>
      </c>
      <c r="V609">
        <v>3.1990556451691736</v>
      </c>
      <c r="W609" s="14">
        <v>2</v>
      </c>
      <c r="X609">
        <v>3.7784953823207492</v>
      </c>
      <c r="Y609">
        <v>8.5965970956264606</v>
      </c>
      <c r="Z609" s="80">
        <v>0.14221662050418304</v>
      </c>
      <c r="AA609">
        <v>2</v>
      </c>
      <c r="AB609">
        <f t="shared" si="160"/>
        <v>0</v>
      </c>
      <c r="AC609">
        <f t="shared" si="161"/>
        <v>1</v>
      </c>
      <c r="AD609">
        <f t="shared" si="162"/>
        <v>0</v>
      </c>
      <c r="AE609">
        <f t="shared" si="163"/>
        <v>0</v>
      </c>
      <c r="AF609">
        <f t="shared" si="164"/>
        <v>0</v>
      </c>
      <c r="AG609">
        <f t="shared" si="165"/>
        <v>0</v>
      </c>
      <c r="AH609">
        <f t="shared" si="166"/>
        <v>0</v>
      </c>
      <c r="AI609">
        <f t="shared" si="167"/>
        <v>0</v>
      </c>
      <c r="AJ609">
        <f t="shared" si="168"/>
        <v>0</v>
      </c>
      <c r="AK609">
        <f t="shared" si="169"/>
        <v>0</v>
      </c>
      <c r="AL609">
        <v>0</v>
      </c>
      <c r="AM609">
        <v>0</v>
      </c>
      <c r="AN609">
        <v>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</row>
    <row r="610" spans="1:53" x14ac:dyDescent="0.35">
      <c r="A610">
        <v>-0.50046355716177571</v>
      </c>
      <c r="C610">
        <v>2.2383561643835614</v>
      </c>
      <c r="D610" s="137">
        <f t="shared" si="154"/>
        <v>0.34992919207594075</v>
      </c>
      <c r="E610">
        <v>3.1566248585544785</v>
      </c>
      <c r="F610">
        <v>1.7242758696007889</v>
      </c>
      <c r="G610" s="45">
        <v>3.03</v>
      </c>
      <c r="H610" s="29">
        <f t="shared" si="155"/>
        <v>0.48144262850230496</v>
      </c>
      <c r="I610">
        <v>2.8438554226231609</v>
      </c>
      <c r="J610" s="34">
        <v>-0.10790539730951958</v>
      </c>
      <c r="K610">
        <v>62</v>
      </c>
      <c r="L610" s="137">
        <f t="shared" si="156"/>
        <v>1.7923916894982539</v>
      </c>
      <c r="M610">
        <f t="shared" si="153"/>
        <v>1</v>
      </c>
      <c r="N610">
        <v>70</v>
      </c>
      <c r="O610">
        <v>70</v>
      </c>
      <c r="P610">
        <v>94.2</v>
      </c>
      <c r="Q610" s="137">
        <f t="shared" si="157"/>
        <v>1.9740509027928774</v>
      </c>
      <c r="R610" s="34">
        <v>45</v>
      </c>
      <c r="S610" s="34">
        <f t="shared" si="158"/>
        <v>1.6532125137753437</v>
      </c>
      <c r="T610" s="42">
        <v>49.278563385512697</v>
      </c>
      <c r="U610" s="42">
        <f t="shared" si="159"/>
        <v>1.6926580383844774</v>
      </c>
      <c r="V610">
        <v>3.1990556451691736</v>
      </c>
      <c r="W610" s="14">
        <v>2</v>
      </c>
      <c r="X610">
        <v>3.7784953823207492</v>
      </c>
      <c r="Y610">
        <v>8.8633228601204568</v>
      </c>
      <c r="Z610" s="80">
        <v>-0.11152458922539643</v>
      </c>
      <c r="AA610">
        <v>1</v>
      </c>
      <c r="AB610">
        <f t="shared" si="160"/>
        <v>1</v>
      </c>
      <c r="AC610">
        <f t="shared" si="161"/>
        <v>0</v>
      </c>
      <c r="AD610">
        <f t="shared" si="162"/>
        <v>0</v>
      </c>
      <c r="AE610">
        <f t="shared" si="163"/>
        <v>0</v>
      </c>
      <c r="AF610">
        <f t="shared" si="164"/>
        <v>0</v>
      </c>
      <c r="AG610">
        <f t="shared" si="165"/>
        <v>0</v>
      </c>
      <c r="AH610">
        <f t="shared" si="166"/>
        <v>0</v>
      </c>
      <c r="AI610">
        <f t="shared" si="167"/>
        <v>0</v>
      </c>
      <c r="AJ610">
        <f t="shared" si="168"/>
        <v>0</v>
      </c>
      <c r="AK610">
        <f t="shared" si="169"/>
        <v>0</v>
      </c>
      <c r="AL610">
        <v>0</v>
      </c>
      <c r="AM610">
        <v>0</v>
      </c>
      <c r="AN610">
        <v>0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</row>
    <row r="611" spans="1:53" x14ac:dyDescent="0.35">
      <c r="A611">
        <v>-0.47639682672533018</v>
      </c>
      <c r="C611">
        <v>4.9095890410958907</v>
      </c>
      <c r="D611" s="137">
        <f t="shared" si="154"/>
        <v>0.69104514086963176</v>
      </c>
      <c r="E611">
        <v>3.8335760926148099</v>
      </c>
      <c r="F611">
        <v>1</v>
      </c>
      <c r="G611" s="45">
        <v>2.85</v>
      </c>
      <c r="H611" s="29">
        <f t="shared" si="155"/>
        <v>0.45484486000851021</v>
      </c>
      <c r="I611">
        <v>2.9138138523837167</v>
      </c>
      <c r="J611" s="34">
        <v>0.18184358794477254</v>
      </c>
      <c r="K611">
        <v>43</v>
      </c>
      <c r="L611" s="137">
        <f t="shared" si="156"/>
        <v>1.6334684555795864</v>
      </c>
      <c r="M611">
        <f t="shared" si="153"/>
        <v>1</v>
      </c>
      <c r="N611">
        <v>70</v>
      </c>
      <c r="O611">
        <v>70</v>
      </c>
      <c r="P611">
        <v>89.6</v>
      </c>
      <c r="Q611" s="137">
        <f t="shared" si="157"/>
        <v>1.9523080096621253</v>
      </c>
      <c r="R611" s="34">
        <v>35.700000000000003</v>
      </c>
      <c r="S611" s="34">
        <f t="shared" si="158"/>
        <v>1.5526682161121932</v>
      </c>
      <c r="T611" s="42">
        <v>44.7100017757258</v>
      </c>
      <c r="U611" s="42">
        <f t="shared" si="159"/>
        <v>1.6504046871166989</v>
      </c>
      <c r="V611">
        <v>3.3885364494891754</v>
      </c>
      <c r="W611" s="14">
        <v>2</v>
      </c>
      <c r="X611">
        <v>3.818148300254375</v>
      </c>
      <c r="Y611">
        <v>8.3794868137172731</v>
      </c>
      <c r="Z611" s="80">
        <v>7.2962737767626962E-2</v>
      </c>
      <c r="AA611">
        <v>9</v>
      </c>
      <c r="AB611">
        <f t="shared" si="160"/>
        <v>0</v>
      </c>
      <c r="AC611">
        <f t="shared" si="161"/>
        <v>0</v>
      </c>
      <c r="AD611">
        <f t="shared" si="162"/>
        <v>0</v>
      </c>
      <c r="AE611">
        <f t="shared" si="163"/>
        <v>0</v>
      </c>
      <c r="AF611">
        <f t="shared" si="164"/>
        <v>0</v>
      </c>
      <c r="AG611">
        <f t="shared" si="165"/>
        <v>0</v>
      </c>
      <c r="AH611">
        <f t="shared" si="166"/>
        <v>0</v>
      </c>
      <c r="AI611">
        <f t="shared" si="167"/>
        <v>0</v>
      </c>
      <c r="AJ611">
        <f t="shared" si="168"/>
        <v>1</v>
      </c>
      <c r="AK611">
        <f t="shared" si="169"/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1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</row>
    <row r="612" spans="1:53" x14ac:dyDescent="0.35">
      <c r="A612">
        <v>-2</v>
      </c>
      <c r="C612">
        <v>5.5671232876712331</v>
      </c>
      <c r="D612" s="137">
        <f t="shared" si="154"/>
        <v>0.74563083915540695</v>
      </c>
      <c r="E612">
        <v>0</v>
      </c>
      <c r="F612">
        <v>1.9138138523837167</v>
      </c>
      <c r="G612" s="45">
        <v>2.95</v>
      </c>
      <c r="H612" s="29">
        <f t="shared" si="155"/>
        <v>0.46982201597816303</v>
      </c>
      <c r="I612">
        <v>0</v>
      </c>
      <c r="J612" s="34">
        <v>4.3213737826425782E-3</v>
      </c>
      <c r="K612">
        <v>13</v>
      </c>
      <c r="L612" s="137">
        <f t="shared" si="156"/>
        <v>1.1139433523068367</v>
      </c>
      <c r="M612">
        <f t="shared" si="153"/>
        <v>0</v>
      </c>
      <c r="N612">
        <v>70</v>
      </c>
      <c r="O612">
        <v>70</v>
      </c>
      <c r="P612">
        <v>85</v>
      </c>
      <c r="Q612" s="137">
        <f t="shared" si="157"/>
        <v>1.9294189257142926</v>
      </c>
      <c r="R612" s="34">
        <v>25.9</v>
      </c>
      <c r="S612" s="34">
        <f t="shared" si="158"/>
        <v>1.4132997640812519</v>
      </c>
      <c r="T612" s="42">
        <v>36.959146749272797</v>
      </c>
      <c r="U612" s="42">
        <f t="shared" si="159"/>
        <v>1.5677219364019672</v>
      </c>
      <c r="V612">
        <v>3.1628767233771686</v>
      </c>
      <c r="W612" s="14">
        <v>2</v>
      </c>
      <c r="X612">
        <v>3.6087947637270492</v>
      </c>
      <c r="Y612">
        <v>9.6823319362888824</v>
      </c>
      <c r="Z612" s="80">
        <v>0.19548528641371354</v>
      </c>
      <c r="AA612">
        <v>4</v>
      </c>
      <c r="AB612">
        <f t="shared" si="160"/>
        <v>0</v>
      </c>
      <c r="AC612">
        <f t="shared" si="161"/>
        <v>0</v>
      </c>
      <c r="AD612">
        <f t="shared" si="162"/>
        <v>0</v>
      </c>
      <c r="AE612">
        <f t="shared" si="163"/>
        <v>1</v>
      </c>
      <c r="AF612">
        <f t="shared" si="164"/>
        <v>0</v>
      </c>
      <c r="AG612">
        <f t="shared" si="165"/>
        <v>0</v>
      </c>
      <c r="AH612">
        <f t="shared" si="166"/>
        <v>0</v>
      </c>
      <c r="AI612">
        <f t="shared" si="167"/>
        <v>0</v>
      </c>
      <c r="AJ612">
        <f t="shared" si="168"/>
        <v>0</v>
      </c>
      <c r="AK612">
        <f t="shared" si="169"/>
        <v>0</v>
      </c>
      <c r="AL612">
        <v>1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</row>
    <row r="613" spans="1:53" x14ac:dyDescent="0.35">
      <c r="A613">
        <v>-2</v>
      </c>
      <c r="C613">
        <v>2.0821917808219177</v>
      </c>
      <c r="D613" s="137">
        <f t="shared" si="154"/>
        <v>0.31852072782431662</v>
      </c>
      <c r="E613">
        <v>0</v>
      </c>
      <c r="F613">
        <v>0</v>
      </c>
      <c r="G613" s="45">
        <v>2.95</v>
      </c>
      <c r="H613" s="29">
        <f t="shared" si="155"/>
        <v>0.46982201597816303</v>
      </c>
      <c r="I613">
        <v>0</v>
      </c>
      <c r="J613" s="34">
        <v>-0.19382002601611281</v>
      </c>
      <c r="K613">
        <v>8</v>
      </c>
      <c r="L613" s="137">
        <f t="shared" si="156"/>
        <v>0.90308998699194354</v>
      </c>
      <c r="M613">
        <f t="shared" si="153"/>
        <v>0</v>
      </c>
      <c r="N613">
        <v>70</v>
      </c>
      <c r="O613">
        <v>70</v>
      </c>
      <c r="P613">
        <v>85</v>
      </c>
      <c r="Q613" s="137">
        <f t="shared" si="157"/>
        <v>1.9294189257142926</v>
      </c>
      <c r="R613" s="34">
        <v>28.2</v>
      </c>
      <c r="S613" s="34">
        <f t="shared" si="158"/>
        <v>1.4502491083193612</v>
      </c>
      <c r="T613" s="42">
        <v>34.298950279384798</v>
      </c>
      <c r="U613" s="42">
        <f t="shared" si="159"/>
        <v>1.5352808286478177</v>
      </c>
      <c r="V613">
        <v>3.1628767233771686</v>
      </c>
      <c r="W613" s="14">
        <v>2</v>
      </c>
      <c r="X613">
        <v>3.6087947637270492</v>
      </c>
      <c r="Y613">
        <v>7.5563025007672868</v>
      </c>
      <c r="Z613" s="80">
        <v>-0.33026815016409194</v>
      </c>
      <c r="AA613">
        <v>9</v>
      </c>
      <c r="AB613">
        <f t="shared" si="160"/>
        <v>0</v>
      </c>
      <c r="AC613">
        <f t="shared" si="161"/>
        <v>0</v>
      </c>
      <c r="AD613">
        <f t="shared" si="162"/>
        <v>0</v>
      </c>
      <c r="AE613">
        <f t="shared" si="163"/>
        <v>0</v>
      </c>
      <c r="AF613">
        <f t="shared" si="164"/>
        <v>0</v>
      </c>
      <c r="AG613">
        <f t="shared" si="165"/>
        <v>0</v>
      </c>
      <c r="AH613">
        <f t="shared" si="166"/>
        <v>0</v>
      </c>
      <c r="AI613">
        <f t="shared" si="167"/>
        <v>0</v>
      </c>
      <c r="AJ613">
        <f t="shared" si="168"/>
        <v>1</v>
      </c>
      <c r="AK613">
        <f t="shared" si="169"/>
        <v>0</v>
      </c>
      <c r="AL613">
        <v>1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</row>
    <row r="614" spans="1:53" x14ac:dyDescent="0.35">
      <c r="A614">
        <v>-2</v>
      </c>
      <c r="C614">
        <v>3.9808219178082194</v>
      </c>
      <c r="D614" s="137">
        <f t="shared" si="154"/>
        <v>0.5999727498415468</v>
      </c>
      <c r="E614">
        <v>0</v>
      </c>
      <c r="F614">
        <v>1.146128035678238</v>
      </c>
      <c r="G614" s="45">
        <v>2.95</v>
      </c>
      <c r="H614" s="29">
        <f t="shared" si="155"/>
        <v>0.46982201597816303</v>
      </c>
      <c r="I614">
        <v>0</v>
      </c>
      <c r="J614" s="34">
        <v>3.7426497940623665E-2</v>
      </c>
      <c r="K614">
        <v>5</v>
      </c>
      <c r="L614" s="137">
        <f t="shared" si="156"/>
        <v>0.69897000433601886</v>
      </c>
      <c r="M614">
        <f t="shared" si="153"/>
        <v>0</v>
      </c>
      <c r="N614">
        <v>70</v>
      </c>
      <c r="O614">
        <v>70</v>
      </c>
      <c r="P614">
        <v>85</v>
      </c>
      <c r="Q614" s="137">
        <f t="shared" si="157"/>
        <v>1.9294189257142926</v>
      </c>
      <c r="R614" s="34">
        <v>27.4</v>
      </c>
      <c r="S614" s="34">
        <f t="shared" si="158"/>
        <v>1.4377505628203879</v>
      </c>
      <c r="T614" s="42">
        <v>35.968444143503902</v>
      </c>
      <c r="U614" s="42">
        <f t="shared" si="159"/>
        <v>1.5559216523165715</v>
      </c>
      <c r="V614">
        <v>3.1628767233771686</v>
      </c>
      <c r="W614" s="14">
        <v>2</v>
      </c>
      <c r="X614">
        <v>3.6087947637270492</v>
      </c>
      <c r="Y614">
        <v>9.1255137959041157</v>
      </c>
      <c r="Z614" s="80">
        <v>-5.9317106583621326E-2</v>
      </c>
      <c r="AA614">
        <v>2</v>
      </c>
      <c r="AB614">
        <f t="shared" si="160"/>
        <v>0</v>
      </c>
      <c r="AC614">
        <f t="shared" si="161"/>
        <v>1</v>
      </c>
      <c r="AD614">
        <f t="shared" si="162"/>
        <v>0</v>
      </c>
      <c r="AE614">
        <f t="shared" si="163"/>
        <v>0</v>
      </c>
      <c r="AF614">
        <f t="shared" si="164"/>
        <v>0</v>
      </c>
      <c r="AG614">
        <f t="shared" si="165"/>
        <v>0</v>
      </c>
      <c r="AH614">
        <f t="shared" si="166"/>
        <v>0</v>
      </c>
      <c r="AI614">
        <f t="shared" si="167"/>
        <v>0</v>
      </c>
      <c r="AJ614">
        <f t="shared" si="168"/>
        <v>0</v>
      </c>
      <c r="AK614">
        <f t="shared" si="169"/>
        <v>0</v>
      </c>
      <c r="AL614">
        <v>1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</row>
    <row r="615" spans="1:53" x14ac:dyDescent="0.35">
      <c r="A615">
        <v>-2</v>
      </c>
      <c r="C615">
        <v>1.0630136986301371</v>
      </c>
      <c r="D615" s="137">
        <f t="shared" si="154"/>
        <v>2.6538861137732565E-2</v>
      </c>
      <c r="E615">
        <v>0</v>
      </c>
      <c r="F615">
        <v>0.6020599913279624</v>
      </c>
      <c r="G615" s="45">
        <v>2.95</v>
      </c>
      <c r="H615" s="29">
        <f t="shared" si="155"/>
        <v>0.46982201597816303</v>
      </c>
      <c r="I615">
        <v>0</v>
      </c>
      <c r="J615" s="34">
        <v>-8.6186147616283279E-2</v>
      </c>
      <c r="K615">
        <v>8</v>
      </c>
      <c r="L615" s="137">
        <f t="shared" si="156"/>
        <v>0.90308998699194354</v>
      </c>
      <c r="M615">
        <f t="shared" si="153"/>
        <v>0</v>
      </c>
      <c r="N615">
        <v>70</v>
      </c>
      <c r="O615">
        <v>70</v>
      </c>
      <c r="P615">
        <v>85</v>
      </c>
      <c r="Q615" s="137">
        <f t="shared" si="157"/>
        <v>1.9294189257142926</v>
      </c>
      <c r="R615" s="34">
        <v>28.2</v>
      </c>
      <c r="S615" s="34">
        <f t="shared" si="158"/>
        <v>1.4502491083193612</v>
      </c>
      <c r="T615" s="42">
        <v>34.298950279384798</v>
      </c>
      <c r="U615" s="42">
        <f t="shared" si="159"/>
        <v>1.5352808286478177</v>
      </c>
      <c r="V615">
        <v>3.1628767233771686</v>
      </c>
      <c r="W615" s="14">
        <v>2</v>
      </c>
      <c r="X615">
        <v>3.6087947637270492</v>
      </c>
      <c r="Y615">
        <v>8.2430380486862944</v>
      </c>
      <c r="Z615" s="80">
        <v>-0.11255425946436226</v>
      </c>
      <c r="AA615">
        <v>4</v>
      </c>
      <c r="AB615">
        <f t="shared" si="160"/>
        <v>0</v>
      </c>
      <c r="AC615">
        <f t="shared" si="161"/>
        <v>0</v>
      </c>
      <c r="AD615">
        <f t="shared" si="162"/>
        <v>0</v>
      </c>
      <c r="AE615">
        <f t="shared" si="163"/>
        <v>1</v>
      </c>
      <c r="AF615">
        <f t="shared" si="164"/>
        <v>0</v>
      </c>
      <c r="AG615">
        <f t="shared" si="165"/>
        <v>0</v>
      </c>
      <c r="AH615">
        <f t="shared" si="166"/>
        <v>0</v>
      </c>
      <c r="AI615">
        <f t="shared" si="167"/>
        <v>0</v>
      </c>
      <c r="AJ615">
        <f t="shared" si="168"/>
        <v>0</v>
      </c>
      <c r="AK615">
        <f t="shared" si="169"/>
        <v>0</v>
      </c>
      <c r="AL615">
        <v>1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</row>
    <row r="616" spans="1:53" x14ac:dyDescent="0.35">
      <c r="A616">
        <v>-2</v>
      </c>
      <c r="C616">
        <v>2.1506849315068495</v>
      </c>
      <c r="D616" s="137">
        <f t="shared" si="154"/>
        <v>0.33257679228877784</v>
      </c>
      <c r="E616">
        <v>0</v>
      </c>
      <c r="F616">
        <v>0.47712125471966244</v>
      </c>
      <c r="G616" s="45">
        <v>2.95</v>
      </c>
      <c r="H616" s="29">
        <f t="shared" si="155"/>
        <v>0.46982201597816303</v>
      </c>
      <c r="I616">
        <v>0</v>
      </c>
      <c r="J616" s="34">
        <v>-0.22914798835785574</v>
      </c>
      <c r="K616">
        <v>14</v>
      </c>
      <c r="L616" s="137">
        <f t="shared" si="156"/>
        <v>1.146128035678238</v>
      </c>
      <c r="M616">
        <f t="shared" si="153"/>
        <v>0</v>
      </c>
      <c r="N616">
        <v>70</v>
      </c>
      <c r="O616">
        <v>70</v>
      </c>
      <c r="P616">
        <v>93.2</v>
      </c>
      <c r="Q616" s="137">
        <f t="shared" si="157"/>
        <v>1.9694159123539814</v>
      </c>
      <c r="R616" s="34">
        <v>26.7</v>
      </c>
      <c r="S616" s="34">
        <f t="shared" si="158"/>
        <v>1.4265112613645752</v>
      </c>
      <c r="T616" s="42">
        <v>36.669158714517401</v>
      </c>
      <c r="U616" s="42">
        <f t="shared" si="159"/>
        <v>1.5643009462345601</v>
      </c>
      <c r="V616">
        <v>3.1628767233771686</v>
      </c>
      <c r="W616" s="14">
        <v>2</v>
      </c>
      <c r="X616">
        <v>3.6087947637270492</v>
      </c>
      <c r="Y616">
        <v>9.3620336227143426</v>
      </c>
      <c r="Z616" s="80">
        <v>-0.33483982290560077</v>
      </c>
      <c r="AA616">
        <v>8</v>
      </c>
      <c r="AB616">
        <f t="shared" si="160"/>
        <v>0</v>
      </c>
      <c r="AC616">
        <f t="shared" si="161"/>
        <v>0</v>
      </c>
      <c r="AD616">
        <f t="shared" si="162"/>
        <v>0</v>
      </c>
      <c r="AE616">
        <f t="shared" si="163"/>
        <v>0</v>
      </c>
      <c r="AF616">
        <f t="shared" si="164"/>
        <v>0</v>
      </c>
      <c r="AG616">
        <f t="shared" si="165"/>
        <v>0</v>
      </c>
      <c r="AH616">
        <f t="shared" si="166"/>
        <v>0</v>
      </c>
      <c r="AI616">
        <f t="shared" si="167"/>
        <v>1</v>
      </c>
      <c r="AJ616">
        <f t="shared" si="168"/>
        <v>0</v>
      </c>
      <c r="AK616">
        <f t="shared" si="169"/>
        <v>0</v>
      </c>
      <c r="AL616">
        <v>1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</row>
    <row r="617" spans="1:53" x14ac:dyDescent="0.35">
      <c r="A617">
        <v>-2</v>
      </c>
      <c r="C617">
        <v>0.44931506849315067</v>
      </c>
      <c r="D617" s="137">
        <f t="shared" si="154"/>
        <v>-0.34744901640877685</v>
      </c>
      <c r="E617">
        <v>0</v>
      </c>
      <c r="F617">
        <v>2.0791812460476247</v>
      </c>
      <c r="G617" s="45">
        <v>2.95</v>
      </c>
      <c r="H617" s="29">
        <f t="shared" si="155"/>
        <v>0.46982201597816303</v>
      </c>
      <c r="I617">
        <v>0</v>
      </c>
      <c r="J617" s="34">
        <v>-4.0958607678906384E-2</v>
      </c>
      <c r="K617">
        <v>16</v>
      </c>
      <c r="L617" s="137">
        <f t="shared" si="156"/>
        <v>1.2041199826559248</v>
      </c>
      <c r="M617">
        <f t="shared" si="153"/>
        <v>0</v>
      </c>
      <c r="N617">
        <v>70</v>
      </c>
      <c r="O617">
        <v>70</v>
      </c>
      <c r="P617">
        <v>92.6</v>
      </c>
      <c r="Q617" s="137">
        <f t="shared" si="157"/>
        <v>1.9666109866819343</v>
      </c>
      <c r="R617" s="34">
        <v>25.7</v>
      </c>
      <c r="S617" s="34">
        <f t="shared" si="158"/>
        <v>1.4099331233312946</v>
      </c>
      <c r="T617" s="42">
        <v>39.823361151429197</v>
      </c>
      <c r="U617" s="42">
        <f t="shared" si="159"/>
        <v>1.6001379123442065</v>
      </c>
      <c r="V617">
        <v>3.1628767233771686</v>
      </c>
      <c r="W617" s="14">
        <v>2</v>
      </c>
      <c r="X617">
        <v>3.6087947637270492</v>
      </c>
      <c r="Y617">
        <v>9.8475726591421129</v>
      </c>
      <c r="Z617" s="80">
        <v>-0.14185699566742194</v>
      </c>
      <c r="AA617">
        <v>6</v>
      </c>
      <c r="AB617">
        <f t="shared" si="160"/>
        <v>0</v>
      </c>
      <c r="AC617">
        <f t="shared" si="161"/>
        <v>0</v>
      </c>
      <c r="AD617">
        <f t="shared" si="162"/>
        <v>0</v>
      </c>
      <c r="AE617">
        <f t="shared" si="163"/>
        <v>0</v>
      </c>
      <c r="AF617">
        <f t="shared" si="164"/>
        <v>0</v>
      </c>
      <c r="AG617">
        <f t="shared" si="165"/>
        <v>1</v>
      </c>
      <c r="AH617">
        <f t="shared" si="166"/>
        <v>0</v>
      </c>
      <c r="AI617">
        <f t="shared" si="167"/>
        <v>0</v>
      </c>
      <c r="AJ617">
        <f t="shared" si="168"/>
        <v>0</v>
      </c>
      <c r="AK617">
        <f t="shared" si="169"/>
        <v>0</v>
      </c>
      <c r="AL617">
        <v>1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</row>
    <row r="618" spans="1:53" x14ac:dyDescent="0.35">
      <c r="A618">
        <v>-0.64132766938232411</v>
      </c>
      <c r="C618">
        <v>7.4027397260273968</v>
      </c>
      <c r="D618" s="137">
        <f t="shared" si="154"/>
        <v>0.86939248022953708</v>
      </c>
      <c r="E618">
        <v>0</v>
      </c>
      <c r="F618">
        <v>2</v>
      </c>
      <c r="G618" s="45">
        <v>2.95</v>
      </c>
      <c r="H618" s="29">
        <f t="shared" si="155"/>
        <v>0.46982201597816303</v>
      </c>
      <c r="I618">
        <v>0</v>
      </c>
      <c r="J618" s="34">
        <v>0.16731733474817609</v>
      </c>
      <c r="K618">
        <v>5</v>
      </c>
      <c r="L618" s="137">
        <f t="shared" si="156"/>
        <v>0.69897000433601886</v>
      </c>
      <c r="M618">
        <f t="shared" si="153"/>
        <v>0</v>
      </c>
      <c r="N618">
        <v>70</v>
      </c>
      <c r="O618">
        <v>70</v>
      </c>
      <c r="P618">
        <v>85</v>
      </c>
      <c r="Q618" s="137">
        <f t="shared" si="157"/>
        <v>1.9294189257142926</v>
      </c>
      <c r="R618" s="34">
        <v>27.4</v>
      </c>
      <c r="S618" s="34">
        <f t="shared" si="158"/>
        <v>1.4377505628203879</v>
      </c>
      <c r="T618" s="42">
        <v>35.968444143503902</v>
      </c>
      <c r="U618" s="42">
        <f t="shared" si="159"/>
        <v>1.5559216523165715</v>
      </c>
      <c r="V618">
        <v>3.1628767233771686</v>
      </c>
      <c r="W618" s="14">
        <v>2</v>
      </c>
      <c r="X618">
        <v>3.6087947637270492</v>
      </c>
      <c r="Y618">
        <v>8.9030899869919438</v>
      </c>
      <c r="Z618" s="80">
        <v>-8.3537760644822101E-2</v>
      </c>
      <c r="AA618">
        <v>7</v>
      </c>
      <c r="AB618">
        <f t="shared" si="160"/>
        <v>0</v>
      </c>
      <c r="AC618">
        <f t="shared" si="161"/>
        <v>0</v>
      </c>
      <c r="AD618">
        <f t="shared" si="162"/>
        <v>0</v>
      </c>
      <c r="AE618">
        <f t="shared" si="163"/>
        <v>0</v>
      </c>
      <c r="AF618">
        <f t="shared" si="164"/>
        <v>0</v>
      </c>
      <c r="AG618">
        <f t="shared" si="165"/>
        <v>0</v>
      </c>
      <c r="AH618">
        <f t="shared" si="166"/>
        <v>1</v>
      </c>
      <c r="AI618">
        <f t="shared" si="167"/>
        <v>0</v>
      </c>
      <c r="AJ618">
        <f t="shared" si="168"/>
        <v>0</v>
      </c>
      <c r="AK618">
        <f t="shared" si="169"/>
        <v>0</v>
      </c>
      <c r="AL618">
        <v>1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</row>
    <row r="619" spans="1:53" x14ac:dyDescent="0.35">
      <c r="A619">
        <v>0.48071413948644659</v>
      </c>
      <c r="C619">
        <v>6.2191780821917808</v>
      </c>
      <c r="D619" s="137">
        <f t="shared" si="154"/>
        <v>0.79373299273664799</v>
      </c>
      <c r="E619">
        <v>0</v>
      </c>
      <c r="F619">
        <v>1.1760912590556813</v>
      </c>
      <c r="G619" s="45">
        <v>2.95</v>
      </c>
      <c r="H619" s="29">
        <f t="shared" si="155"/>
        <v>0.46982201597816303</v>
      </c>
      <c r="I619">
        <v>0</v>
      </c>
      <c r="J619" s="34">
        <v>-8.7739243075051505E-3</v>
      </c>
      <c r="K619">
        <v>6</v>
      </c>
      <c r="L619" s="137">
        <f t="shared" si="156"/>
        <v>0.77815125038364363</v>
      </c>
      <c r="M619">
        <f t="shared" si="153"/>
        <v>0</v>
      </c>
      <c r="N619">
        <v>70</v>
      </c>
      <c r="O619">
        <v>70</v>
      </c>
      <c r="P619">
        <v>85</v>
      </c>
      <c r="Q619" s="137">
        <f t="shared" si="157"/>
        <v>1.9294189257142926</v>
      </c>
      <c r="R619" s="34">
        <v>27.8</v>
      </c>
      <c r="S619" s="34">
        <f t="shared" si="158"/>
        <v>1.4440447959180762</v>
      </c>
      <c r="T619" s="42">
        <v>35.119429201759203</v>
      </c>
      <c r="U619" s="42">
        <f t="shared" si="159"/>
        <v>1.5455474486765259</v>
      </c>
      <c r="V619">
        <v>3.1628767233771686</v>
      </c>
      <c r="W619" s="14">
        <v>2</v>
      </c>
      <c r="X619">
        <v>3.6087947637270492</v>
      </c>
      <c r="Y619">
        <v>8.5440680443502757</v>
      </c>
      <c r="Z619" s="80">
        <v>-0.22853864788557177</v>
      </c>
      <c r="AA619">
        <v>2</v>
      </c>
      <c r="AB619">
        <f t="shared" si="160"/>
        <v>0</v>
      </c>
      <c r="AC619">
        <f t="shared" si="161"/>
        <v>1</v>
      </c>
      <c r="AD619">
        <f t="shared" si="162"/>
        <v>0</v>
      </c>
      <c r="AE619">
        <f t="shared" si="163"/>
        <v>0</v>
      </c>
      <c r="AF619">
        <f t="shared" si="164"/>
        <v>0</v>
      </c>
      <c r="AG619">
        <f t="shared" si="165"/>
        <v>0</v>
      </c>
      <c r="AH619">
        <f t="shared" si="166"/>
        <v>0</v>
      </c>
      <c r="AI619">
        <f t="shared" si="167"/>
        <v>0</v>
      </c>
      <c r="AJ619">
        <f t="shared" si="168"/>
        <v>0</v>
      </c>
      <c r="AK619">
        <f t="shared" si="169"/>
        <v>0</v>
      </c>
      <c r="AL619">
        <v>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</row>
    <row r="620" spans="1:53" x14ac:dyDescent="0.35">
      <c r="A620">
        <v>2.1660617565076304E-3</v>
      </c>
      <c r="C620">
        <v>4.9260273972602739</v>
      </c>
      <c r="D620" s="137">
        <f t="shared" si="154"/>
        <v>0.69249682294073522</v>
      </c>
      <c r="E620">
        <v>0</v>
      </c>
      <c r="F620">
        <v>1.6901960800285136</v>
      </c>
      <c r="G620" s="45">
        <v>2.95</v>
      </c>
      <c r="H620" s="29">
        <f t="shared" si="155"/>
        <v>0.46982201597816303</v>
      </c>
      <c r="I620">
        <v>0</v>
      </c>
      <c r="J620" s="34">
        <v>-8.6186147616283279E-2</v>
      </c>
      <c r="K620">
        <v>7</v>
      </c>
      <c r="L620" s="137">
        <f t="shared" si="156"/>
        <v>0.84509804001425681</v>
      </c>
      <c r="M620">
        <f t="shared" si="153"/>
        <v>0</v>
      </c>
      <c r="N620">
        <v>70</v>
      </c>
      <c r="O620">
        <v>70</v>
      </c>
      <c r="P620">
        <v>85</v>
      </c>
      <c r="Q620" s="137">
        <f t="shared" si="157"/>
        <v>1.9294189257142926</v>
      </c>
      <c r="R620" s="34">
        <v>27.8</v>
      </c>
      <c r="S620" s="34">
        <f t="shared" si="158"/>
        <v>1.4440447959180762</v>
      </c>
      <c r="T620" s="42">
        <v>34.656907836978597</v>
      </c>
      <c r="U620" s="42">
        <f t="shared" si="159"/>
        <v>1.5397898114291337</v>
      </c>
      <c r="V620">
        <v>3.1628767233771686</v>
      </c>
      <c r="W620" s="14">
        <v>2</v>
      </c>
      <c r="X620">
        <v>3.6087947637270492</v>
      </c>
      <c r="Y620">
        <v>8.1461280356782382</v>
      </c>
      <c r="Z620" s="80">
        <v>-0.27286146921078325</v>
      </c>
      <c r="AA620">
        <v>3</v>
      </c>
      <c r="AB620">
        <f t="shared" si="160"/>
        <v>0</v>
      </c>
      <c r="AC620">
        <f t="shared" si="161"/>
        <v>0</v>
      </c>
      <c r="AD620">
        <f t="shared" si="162"/>
        <v>1</v>
      </c>
      <c r="AE620">
        <f t="shared" si="163"/>
        <v>0</v>
      </c>
      <c r="AF620">
        <f t="shared" si="164"/>
        <v>0</v>
      </c>
      <c r="AG620">
        <f t="shared" si="165"/>
        <v>0</v>
      </c>
      <c r="AH620">
        <f t="shared" si="166"/>
        <v>0</v>
      </c>
      <c r="AI620">
        <f t="shared" si="167"/>
        <v>0</v>
      </c>
      <c r="AJ620">
        <f t="shared" si="168"/>
        <v>0</v>
      </c>
      <c r="AK620">
        <f t="shared" si="169"/>
        <v>0</v>
      </c>
      <c r="AL620">
        <v>1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</row>
    <row r="621" spans="1:53" x14ac:dyDescent="0.35">
      <c r="A621">
        <v>-0.3345854420040863</v>
      </c>
      <c r="C621">
        <v>4.0547945205479454</v>
      </c>
      <c r="D621" s="137">
        <f t="shared" si="154"/>
        <v>0.60796885093848274</v>
      </c>
      <c r="E621">
        <v>0</v>
      </c>
      <c r="F621">
        <v>1.5563025007672873</v>
      </c>
      <c r="G621" s="45">
        <v>2.95</v>
      </c>
      <c r="H621" s="29">
        <f t="shared" si="155"/>
        <v>0.46982201597816303</v>
      </c>
      <c r="I621">
        <v>0</v>
      </c>
      <c r="J621" s="34">
        <v>-0.11350927482751812</v>
      </c>
      <c r="K621">
        <v>8</v>
      </c>
      <c r="L621" s="137">
        <f t="shared" si="156"/>
        <v>0.90308998699194354</v>
      </c>
      <c r="M621">
        <f t="shared" si="153"/>
        <v>0</v>
      </c>
      <c r="N621">
        <v>70</v>
      </c>
      <c r="O621">
        <v>70</v>
      </c>
      <c r="P621">
        <v>85</v>
      </c>
      <c r="Q621" s="137">
        <f t="shared" si="157"/>
        <v>1.9294189257142926</v>
      </c>
      <c r="R621" s="34">
        <v>28.2</v>
      </c>
      <c r="S621" s="34">
        <f t="shared" si="158"/>
        <v>1.4502491083193612</v>
      </c>
      <c r="T621" s="42">
        <v>34.298950279384798</v>
      </c>
      <c r="U621" s="42">
        <f t="shared" si="159"/>
        <v>1.5352808286478177</v>
      </c>
      <c r="V621">
        <v>3.1628767233771686</v>
      </c>
      <c r="W621" s="14">
        <v>2</v>
      </c>
      <c r="X621">
        <v>3.6087947637270492</v>
      </c>
      <c r="Y621">
        <v>8.727809558365383</v>
      </c>
      <c r="Z621" s="80">
        <v>-0.2482769504277027</v>
      </c>
      <c r="AA621">
        <v>5</v>
      </c>
      <c r="AB621">
        <f t="shared" si="160"/>
        <v>0</v>
      </c>
      <c r="AC621">
        <f t="shared" si="161"/>
        <v>0</v>
      </c>
      <c r="AD621">
        <f t="shared" si="162"/>
        <v>0</v>
      </c>
      <c r="AE621">
        <f t="shared" si="163"/>
        <v>0</v>
      </c>
      <c r="AF621">
        <f t="shared" si="164"/>
        <v>1</v>
      </c>
      <c r="AG621">
        <f t="shared" si="165"/>
        <v>0</v>
      </c>
      <c r="AH621">
        <f t="shared" si="166"/>
        <v>0</v>
      </c>
      <c r="AI621">
        <f t="shared" si="167"/>
        <v>0</v>
      </c>
      <c r="AJ621">
        <f t="shared" si="168"/>
        <v>0</v>
      </c>
      <c r="AK621">
        <f t="shared" si="169"/>
        <v>0</v>
      </c>
      <c r="AL621">
        <v>1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</row>
    <row r="622" spans="1:53" x14ac:dyDescent="0.35">
      <c r="A622">
        <v>0.11904132913278011</v>
      </c>
      <c r="C622">
        <v>6.6739726027397257</v>
      </c>
      <c r="D622" s="137">
        <f t="shared" si="154"/>
        <v>0.82438441950436303</v>
      </c>
      <c r="E622">
        <v>0</v>
      </c>
      <c r="F622">
        <v>1.3424226808222062</v>
      </c>
      <c r="G622" s="45">
        <v>2.95</v>
      </c>
      <c r="H622" s="29">
        <f t="shared" si="155"/>
        <v>0.46982201597816303</v>
      </c>
      <c r="I622">
        <v>0</v>
      </c>
      <c r="J622" s="34">
        <v>6.069784035361165E-2</v>
      </c>
      <c r="K622">
        <v>8</v>
      </c>
      <c r="L622" s="137">
        <f t="shared" si="156"/>
        <v>0.90308998699194354</v>
      </c>
      <c r="M622">
        <f t="shared" si="153"/>
        <v>0</v>
      </c>
      <c r="N622">
        <v>70</v>
      </c>
      <c r="O622">
        <v>70</v>
      </c>
      <c r="P622">
        <v>85</v>
      </c>
      <c r="Q622" s="137">
        <f t="shared" si="157"/>
        <v>1.9294189257142926</v>
      </c>
      <c r="R622" s="34">
        <v>28.2</v>
      </c>
      <c r="S622" s="34">
        <f t="shared" si="158"/>
        <v>1.4502491083193612</v>
      </c>
      <c r="T622" s="42">
        <v>34.298950279384798</v>
      </c>
      <c r="U622" s="42">
        <f t="shared" si="159"/>
        <v>1.5352808286478177</v>
      </c>
      <c r="V622">
        <v>3.1628767233771686</v>
      </c>
      <c r="W622" s="14">
        <v>2</v>
      </c>
      <c r="X622">
        <v>3.6087947637270492</v>
      </c>
      <c r="Y622">
        <v>9.3010299956639813</v>
      </c>
      <c r="Z622" s="80">
        <v>0.11312193406997784</v>
      </c>
      <c r="AA622">
        <v>9</v>
      </c>
      <c r="AB622">
        <f t="shared" si="160"/>
        <v>0</v>
      </c>
      <c r="AC622">
        <f t="shared" si="161"/>
        <v>0</v>
      </c>
      <c r="AD622">
        <f t="shared" si="162"/>
        <v>0</v>
      </c>
      <c r="AE622">
        <f t="shared" si="163"/>
        <v>0</v>
      </c>
      <c r="AF622">
        <f t="shared" si="164"/>
        <v>0</v>
      </c>
      <c r="AG622">
        <f t="shared" si="165"/>
        <v>0</v>
      </c>
      <c r="AH622">
        <f t="shared" si="166"/>
        <v>0</v>
      </c>
      <c r="AI622">
        <f t="shared" si="167"/>
        <v>0</v>
      </c>
      <c r="AJ622">
        <f t="shared" si="168"/>
        <v>1</v>
      </c>
      <c r="AK622">
        <f t="shared" si="169"/>
        <v>0</v>
      </c>
      <c r="AL622">
        <v>1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</row>
    <row r="623" spans="1:53" x14ac:dyDescent="0.35">
      <c r="A623">
        <v>-0.49106647394996722</v>
      </c>
      <c r="C623">
        <v>7</v>
      </c>
      <c r="D623" s="137">
        <f t="shared" si="154"/>
        <v>0.84509804001425681</v>
      </c>
      <c r="E623">
        <v>0</v>
      </c>
      <c r="F623">
        <v>0</v>
      </c>
      <c r="G623" s="45">
        <v>2.95</v>
      </c>
      <c r="H623" s="29">
        <f t="shared" si="155"/>
        <v>0.46982201597816303</v>
      </c>
      <c r="I623">
        <v>0</v>
      </c>
      <c r="J623" s="34">
        <v>-8.7739243075051505E-3</v>
      </c>
      <c r="K623">
        <v>8</v>
      </c>
      <c r="L623" s="137">
        <f t="shared" si="156"/>
        <v>0.90308998699194354</v>
      </c>
      <c r="M623">
        <f t="shared" si="153"/>
        <v>0</v>
      </c>
      <c r="N623">
        <v>70</v>
      </c>
      <c r="O623">
        <v>70</v>
      </c>
      <c r="P623">
        <v>85</v>
      </c>
      <c r="Q623" s="137">
        <f t="shared" si="157"/>
        <v>1.9294189257142926</v>
      </c>
      <c r="R623" s="34">
        <v>28.2</v>
      </c>
      <c r="S623" s="34">
        <f t="shared" si="158"/>
        <v>1.4502491083193612</v>
      </c>
      <c r="T623" s="42">
        <v>34.298950279384798</v>
      </c>
      <c r="U623" s="42">
        <f t="shared" si="159"/>
        <v>1.5352808286478177</v>
      </c>
      <c r="V623">
        <v>3.1628767233771686</v>
      </c>
      <c r="W623" s="14">
        <v>2</v>
      </c>
      <c r="X623">
        <v>3.6087947637270492</v>
      </c>
      <c r="Y623">
        <v>8.5740312677277188</v>
      </c>
      <c r="Z623" s="80">
        <v>5.1569895511556885E-2</v>
      </c>
      <c r="AA623">
        <v>9</v>
      </c>
      <c r="AB623">
        <f t="shared" si="160"/>
        <v>0</v>
      </c>
      <c r="AC623">
        <f t="shared" si="161"/>
        <v>0</v>
      </c>
      <c r="AD623">
        <f t="shared" si="162"/>
        <v>0</v>
      </c>
      <c r="AE623">
        <f t="shared" si="163"/>
        <v>0</v>
      </c>
      <c r="AF623">
        <f t="shared" si="164"/>
        <v>0</v>
      </c>
      <c r="AG623">
        <f t="shared" si="165"/>
        <v>0</v>
      </c>
      <c r="AH623">
        <f t="shared" si="166"/>
        <v>0</v>
      </c>
      <c r="AI623">
        <f t="shared" si="167"/>
        <v>0</v>
      </c>
      <c r="AJ623">
        <f t="shared" si="168"/>
        <v>1</v>
      </c>
      <c r="AK623">
        <f t="shared" si="169"/>
        <v>0</v>
      </c>
      <c r="AL623">
        <v>1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</row>
    <row r="624" spans="1:53" x14ac:dyDescent="0.35">
      <c r="A624">
        <v>0.71911574387644306</v>
      </c>
      <c r="C624">
        <v>7.3726027397260276</v>
      </c>
      <c r="D624" s="137">
        <f t="shared" si="154"/>
        <v>0.86762083330727979</v>
      </c>
      <c r="E624">
        <v>0</v>
      </c>
      <c r="F624">
        <v>1.2304489213782739</v>
      </c>
      <c r="G624" s="45">
        <v>2.95</v>
      </c>
      <c r="H624" s="29">
        <f t="shared" si="155"/>
        <v>0.46982201597816303</v>
      </c>
      <c r="I624">
        <v>0</v>
      </c>
      <c r="J624" s="34">
        <v>2.9383777685209667E-2</v>
      </c>
      <c r="K624">
        <v>12</v>
      </c>
      <c r="L624" s="137">
        <f t="shared" si="156"/>
        <v>1.0791812460476249</v>
      </c>
      <c r="M624">
        <f t="shared" si="153"/>
        <v>0</v>
      </c>
      <c r="N624">
        <v>70</v>
      </c>
      <c r="O624">
        <v>70</v>
      </c>
      <c r="P624">
        <v>85</v>
      </c>
      <c r="Q624" s="137">
        <f t="shared" si="157"/>
        <v>1.9294189257142926</v>
      </c>
      <c r="R624" s="34">
        <v>24.6</v>
      </c>
      <c r="S624" s="34">
        <f t="shared" si="158"/>
        <v>1.3909351071033791</v>
      </c>
      <c r="T624" s="42">
        <v>36.876470987978301</v>
      </c>
      <c r="U624" s="42">
        <f t="shared" si="159"/>
        <v>1.5667493531684615</v>
      </c>
      <c r="V624">
        <v>3.1628767233771686</v>
      </c>
      <c r="W624" s="14">
        <v>2</v>
      </c>
      <c r="X624">
        <v>3.6087947637270492</v>
      </c>
      <c r="Y624">
        <v>8</v>
      </c>
      <c r="Z624" s="80">
        <v>0.21438266771078052</v>
      </c>
      <c r="AA624">
        <v>9</v>
      </c>
      <c r="AB624">
        <f t="shared" si="160"/>
        <v>0</v>
      </c>
      <c r="AC624">
        <f t="shared" si="161"/>
        <v>0</v>
      </c>
      <c r="AD624">
        <f t="shared" si="162"/>
        <v>0</v>
      </c>
      <c r="AE624">
        <f t="shared" si="163"/>
        <v>0</v>
      </c>
      <c r="AF624">
        <f t="shared" si="164"/>
        <v>0</v>
      </c>
      <c r="AG624">
        <f t="shared" si="165"/>
        <v>0</v>
      </c>
      <c r="AH624">
        <f t="shared" si="166"/>
        <v>0</v>
      </c>
      <c r="AI624">
        <f t="shared" si="167"/>
        <v>0</v>
      </c>
      <c r="AJ624">
        <f t="shared" si="168"/>
        <v>1</v>
      </c>
      <c r="AK624">
        <f t="shared" si="169"/>
        <v>0</v>
      </c>
      <c r="AL624">
        <v>1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</row>
    <row r="625" spans="1:53" x14ac:dyDescent="0.35">
      <c r="A625">
        <v>-5.9314001215981953E-2</v>
      </c>
      <c r="C625">
        <v>3.2958904109589042</v>
      </c>
      <c r="D625" s="137">
        <f t="shared" si="154"/>
        <v>0.51797276288337002</v>
      </c>
      <c r="E625">
        <v>0</v>
      </c>
      <c r="F625">
        <v>1.2787536009528289</v>
      </c>
      <c r="G625" s="45">
        <v>2.95</v>
      </c>
      <c r="H625" s="29">
        <f t="shared" si="155"/>
        <v>0.46982201597816303</v>
      </c>
      <c r="I625">
        <v>0</v>
      </c>
      <c r="J625" s="34">
        <v>0.13672056715640679</v>
      </c>
      <c r="K625">
        <v>12</v>
      </c>
      <c r="L625" s="137">
        <f t="shared" si="156"/>
        <v>1.0791812460476249</v>
      </c>
      <c r="M625">
        <f t="shared" si="153"/>
        <v>0</v>
      </c>
      <c r="N625">
        <v>70</v>
      </c>
      <c r="O625">
        <v>70</v>
      </c>
      <c r="P625">
        <v>85</v>
      </c>
      <c r="Q625" s="137">
        <f t="shared" si="157"/>
        <v>1.9294189257142926</v>
      </c>
      <c r="R625" s="34">
        <v>24.6</v>
      </c>
      <c r="S625" s="34">
        <f t="shared" si="158"/>
        <v>1.3909351071033791</v>
      </c>
      <c r="T625" s="42">
        <v>36.876470987978301</v>
      </c>
      <c r="U625" s="42">
        <f t="shared" si="159"/>
        <v>1.5667493531684615</v>
      </c>
      <c r="V625">
        <v>3.1628767233771686</v>
      </c>
      <c r="W625" s="14">
        <v>2</v>
      </c>
      <c r="X625">
        <v>3.6087947637270492</v>
      </c>
      <c r="Y625">
        <v>8.3710678622717367</v>
      </c>
      <c r="Z625" s="80">
        <v>0.56696781223044446</v>
      </c>
      <c r="AA625">
        <v>9</v>
      </c>
      <c r="AB625">
        <f t="shared" si="160"/>
        <v>0</v>
      </c>
      <c r="AC625">
        <f t="shared" si="161"/>
        <v>0</v>
      </c>
      <c r="AD625">
        <f t="shared" si="162"/>
        <v>0</v>
      </c>
      <c r="AE625">
        <f t="shared" si="163"/>
        <v>0</v>
      </c>
      <c r="AF625">
        <f t="shared" si="164"/>
        <v>0</v>
      </c>
      <c r="AG625">
        <f t="shared" si="165"/>
        <v>0</v>
      </c>
      <c r="AH625">
        <f t="shared" si="166"/>
        <v>0</v>
      </c>
      <c r="AI625">
        <f t="shared" si="167"/>
        <v>0</v>
      </c>
      <c r="AJ625">
        <f t="shared" si="168"/>
        <v>1</v>
      </c>
      <c r="AK625">
        <f t="shared" si="169"/>
        <v>0</v>
      </c>
      <c r="AL625">
        <v>1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</row>
    <row r="626" spans="1:53" x14ac:dyDescent="0.35">
      <c r="A626">
        <v>7.5346899059240954E-2</v>
      </c>
      <c r="C626">
        <v>8.0547945205479454</v>
      </c>
      <c r="D626" s="137">
        <f t="shared" si="154"/>
        <v>0.90605446595568262</v>
      </c>
      <c r="E626">
        <v>0</v>
      </c>
      <c r="F626">
        <v>1.9956351945975499</v>
      </c>
      <c r="G626" s="45">
        <v>2.95</v>
      </c>
      <c r="H626" s="29">
        <f t="shared" si="155"/>
        <v>0.46982201597816303</v>
      </c>
      <c r="I626">
        <v>0</v>
      </c>
      <c r="J626" s="34">
        <v>0.16731733474817609</v>
      </c>
      <c r="K626">
        <v>13</v>
      </c>
      <c r="L626" s="137">
        <f t="shared" si="156"/>
        <v>1.1139433523068367</v>
      </c>
      <c r="M626">
        <f t="shared" si="153"/>
        <v>0</v>
      </c>
      <c r="N626">
        <v>70</v>
      </c>
      <c r="O626">
        <v>70</v>
      </c>
      <c r="P626">
        <v>85</v>
      </c>
      <c r="Q626" s="137">
        <f t="shared" si="157"/>
        <v>1.9294189257142926</v>
      </c>
      <c r="R626" s="34">
        <v>25.9</v>
      </c>
      <c r="S626" s="34">
        <f t="shared" si="158"/>
        <v>1.4132997640812519</v>
      </c>
      <c r="T626" s="42">
        <v>36.959146749272797</v>
      </c>
      <c r="U626" s="42">
        <f t="shared" si="159"/>
        <v>1.5677219364019672</v>
      </c>
      <c r="V626">
        <v>3.1628767233771686</v>
      </c>
      <c r="W626" s="14">
        <v>2</v>
      </c>
      <c r="X626">
        <v>3.6087947637270492</v>
      </c>
      <c r="Y626">
        <v>9.7028043513244029</v>
      </c>
      <c r="Z626" s="80">
        <v>0.33374268142894237</v>
      </c>
      <c r="AA626">
        <v>5</v>
      </c>
      <c r="AB626">
        <f t="shared" si="160"/>
        <v>0</v>
      </c>
      <c r="AC626">
        <f t="shared" si="161"/>
        <v>0</v>
      </c>
      <c r="AD626">
        <f t="shared" si="162"/>
        <v>0</v>
      </c>
      <c r="AE626">
        <f t="shared" si="163"/>
        <v>0</v>
      </c>
      <c r="AF626">
        <f t="shared" si="164"/>
        <v>1</v>
      </c>
      <c r="AG626">
        <f t="shared" si="165"/>
        <v>0</v>
      </c>
      <c r="AH626">
        <f t="shared" si="166"/>
        <v>0</v>
      </c>
      <c r="AI626">
        <f t="shared" si="167"/>
        <v>0</v>
      </c>
      <c r="AJ626">
        <f t="shared" si="168"/>
        <v>0</v>
      </c>
      <c r="AK626">
        <f t="shared" si="169"/>
        <v>0</v>
      </c>
      <c r="AL626">
        <v>1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</row>
    <row r="627" spans="1:53" x14ac:dyDescent="0.35">
      <c r="A627">
        <v>0.20687222820953113</v>
      </c>
      <c r="C627">
        <v>1.1369863013698631</v>
      </c>
      <c r="D627" s="137">
        <f t="shared" si="154"/>
        <v>5.5755232255618042E-2</v>
      </c>
      <c r="E627">
        <v>0</v>
      </c>
      <c r="F627">
        <v>0.6020599913279624</v>
      </c>
      <c r="G627" s="45">
        <v>2.95</v>
      </c>
      <c r="H627" s="29">
        <f t="shared" si="155"/>
        <v>0.46982201597816303</v>
      </c>
      <c r="I627">
        <v>0</v>
      </c>
      <c r="J627" s="34">
        <v>2.5305865264770262E-2</v>
      </c>
      <c r="K627">
        <v>12</v>
      </c>
      <c r="L627" s="137">
        <f t="shared" si="156"/>
        <v>1.0791812460476249</v>
      </c>
      <c r="M627">
        <f t="shared" si="153"/>
        <v>0</v>
      </c>
      <c r="N627">
        <v>70</v>
      </c>
      <c r="O627">
        <v>70</v>
      </c>
      <c r="P627">
        <v>85</v>
      </c>
      <c r="Q627" s="137">
        <f t="shared" si="157"/>
        <v>1.9294189257142926</v>
      </c>
      <c r="R627" s="34">
        <v>24.6</v>
      </c>
      <c r="S627" s="34">
        <f t="shared" si="158"/>
        <v>1.3909351071033791</v>
      </c>
      <c r="T627" s="42">
        <v>36.876470987978301</v>
      </c>
      <c r="U627" s="42">
        <f t="shared" si="159"/>
        <v>1.5667493531684615</v>
      </c>
      <c r="V627">
        <v>3.1628767233771686</v>
      </c>
      <c r="W627" s="14">
        <v>2</v>
      </c>
      <c r="X627">
        <v>3.6087947637270492</v>
      </c>
      <c r="Y627">
        <v>9.5565557653534068</v>
      </c>
      <c r="Z627" s="80">
        <v>0.23781084174383516</v>
      </c>
      <c r="AA627">
        <v>10</v>
      </c>
      <c r="AB627">
        <f t="shared" si="160"/>
        <v>0</v>
      </c>
      <c r="AC627">
        <f t="shared" si="161"/>
        <v>0</v>
      </c>
      <c r="AD627">
        <f t="shared" si="162"/>
        <v>0</v>
      </c>
      <c r="AE627">
        <f t="shared" si="163"/>
        <v>0</v>
      </c>
      <c r="AF627">
        <f t="shared" si="164"/>
        <v>0</v>
      </c>
      <c r="AG627">
        <f t="shared" si="165"/>
        <v>0</v>
      </c>
      <c r="AH627">
        <f t="shared" si="166"/>
        <v>0</v>
      </c>
      <c r="AI627">
        <f t="shared" si="167"/>
        <v>0</v>
      </c>
      <c r="AJ627">
        <f t="shared" si="168"/>
        <v>0</v>
      </c>
      <c r="AK627">
        <f t="shared" si="169"/>
        <v>1</v>
      </c>
      <c r="AL627">
        <v>1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</row>
    <row r="628" spans="1:53" x14ac:dyDescent="0.35">
      <c r="A628">
        <v>-0.41073372100876349</v>
      </c>
      <c r="C628">
        <v>9.8657534246575338</v>
      </c>
      <c r="D628" s="137">
        <f t="shared" si="154"/>
        <v>0.99413025691481061</v>
      </c>
      <c r="E628">
        <v>0</v>
      </c>
      <c r="F628">
        <v>1.9822712330395684</v>
      </c>
      <c r="G628" s="45">
        <v>2.95</v>
      </c>
      <c r="H628" s="29">
        <f t="shared" si="155"/>
        <v>0.46982201597816303</v>
      </c>
      <c r="I628">
        <v>0</v>
      </c>
      <c r="J628" s="34">
        <v>0.19312459835446161</v>
      </c>
      <c r="K628">
        <v>15</v>
      </c>
      <c r="L628" s="137">
        <f t="shared" si="156"/>
        <v>1.1760912590556813</v>
      </c>
      <c r="M628">
        <f t="shared" si="153"/>
        <v>0</v>
      </c>
      <c r="N628">
        <v>70</v>
      </c>
      <c r="O628">
        <v>70</v>
      </c>
      <c r="P628">
        <v>91.4</v>
      </c>
      <c r="Q628" s="137">
        <f t="shared" si="157"/>
        <v>1.9609461957338314</v>
      </c>
      <c r="R628" s="34">
        <v>26.7</v>
      </c>
      <c r="S628" s="34">
        <f t="shared" si="158"/>
        <v>1.4265112613645752</v>
      </c>
      <c r="T628" s="42">
        <v>37.425715444240403</v>
      </c>
      <c r="U628" s="42">
        <f t="shared" si="159"/>
        <v>1.5731701112332821</v>
      </c>
      <c r="V628">
        <v>3.1628767233771686</v>
      </c>
      <c r="W628" s="14">
        <v>2</v>
      </c>
      <c r="X628">
        <v>3.6087947637270492</v>
      </c>
      <c r="Y628">
        <v>10.684891570272443</v>
      </c>
      <c r="Z628" s="80">
        <v>0.15663948675461858</v>
      </c>
      <c r="AA628">
        <v>10</v>
      </c>
      <c r="AB628">
        <f t="shared" si="160"/>
        <v>0</v>
      </c>
      <c r="AC628">
        <f t="shared" si="161"/>
        <v>0</v>
      </c>
      <c r="AD628">
        <f t="shared" si="162"/>
        <v>0</v>
      </c>
      <c r="AE628">
        <f t="shared" si="163"/>
        <v>0</v>
      </c>
      <c r="AF628">
        <f t="shared" si="164"/>
        <v>0</v>
      </c>
      <c r="AG628">
        <f t="shared" si="165"/>
        <v>0</v>
      </c>
      <c r="AH628">
        <f t="shared" si="166"/>
        <v>0</v>
      </c>
      <c r="AI628">
        <f t="shared" si="167"/>
        <v>0</v>
      </c>
      <c r="AJ628">
        <f t="shared" si="168"/>
        <v>0</v>
      </c>
      <c r="AK628">
        <f t="shared" si="169"/>
        <v>1</v>
      </c>
      <c r="AL628">
        <v>1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</row>
    <row r="629" spans="1:53" x14ac:dyDescent="0.35">
      <c r="A629">
        <v>0.40900802354176158</v>
      </c>
      <c r="C629">
        <v>9.2958904109589042</v>
      </c>
      <c r="D629" s="137">
        <f t="shared" si="154"/>
        <v>0.96829099518864303</v>
      </c>
      <c r="E629">
        <v>0</v>
      </c>
      <c r="F629">
        <v>1.6232492903979006</v>
      </c>
      <c r="G629" s="45">
        <v>2.95</v>
      </c>
      <c r="H629" s="29">
        <f t="shared" si="155"/>
        <v>0.46982201597816303</v>
      </c>
      <c r="I629">
        <v>0</v>
      </c>
      <c r="J629" s="34">
        <v>0.12710479836480765</v>
      </c>
      <c r="K629">
        <v>14</v>
      </c>
      <c r="L629" s="137">
        <f t="shared" si="156"/>
        <v>1.146128035678238</v>
      </c>
      <c r="M629">
        <f t="shared" si="153"/>
        <v>0</v>
      </c>
      <c r="N629">
        <v>70</v>
      </c>
      <c r="O629">
        <v>70</v>
      </c>
      <c r="P629">
        <v>93.2</v>
      </c>
      <c r="Q629" s="137">
        <f t="shared" si="157"/>
        <v>1.9694159123539814</v>
      </c>
      <c r="R629" s="34">
        <v>26.7</v>
      </c>
      <c r="S629" s="34">
        <f t="shared" si="158"/>
        <v>1.4265112613645752</v>
      </c>
      <c r="T629" s="42">
        <v>36.669158714517401</v>
      </c>
      <c r="U629" s="42">
        <f t="shared" si="159"/>
        <v>1.5643009462345601</v>
      </c>
      <c r="V629">
        <v>3.1628767233771686</v>
      </c>
      <c r="W629" s="14">
        <v>2</v>
      </c>
      <c r="X629">
        <v>3.6087947637270492</v>
      </c>
      <c r="Y629">
        <v>9.253749808139812</v>
      </c>
      <c r="Z629" s="80">
        <v>-1.4090329408868341E-2</v>
      </c>
      <c r="AA629">
        <v>5</v>
      </c>
      <c r="AB629">
        <f t="shared" si="160"/>
        <v>0</v>
      </c>
      <c r="AC629">
        <f t="shared" si="161"/>
        <v>0</v>
      </c>
      <c r="AD629">
        <f t="shared" si="162"/>
        <v>0</v>
      </c>
      <c r="AE629">
        <f t="shared" si="163"/>
        <v>0</v>
      </c>
      <c r="AF629">
        <f t="shared" si="164"/>
        <v>1</v>
      </c>
      <c r="AG629">
        <f t="shared" si="165"/>
        <v>0</v>
      </c>
      <c r="AH629">
        <f t="shared" si="166"/>
        <v>0</v>
      </c>
      <c r="AI629">
        <f t="shared" si="167"/>
        <v>0</v>
      </c>
      <c r="AJ629">
        <f t="shared" si="168"/>
        <v>0</v>
      </c>
      <c r="AK629">
        <f t="shared" si="169"/>
        <v>0</v>
      </c>
      <c r="AL629">
        <v>1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</row>
    <row r="630" spans="1:53" x14ac:dyDescent="0.35">
      <c r="A630">
        <v>0.29681183283328078</v>
      </c>
      <c r="C630">
        <v>3.9123287671232876</v>
      </c>
      <c r="D630" s="137">
        <f t="shared" si="154"/>
        <v>0.59243534298368083</v>
      </c>
      <c r="E630">
        <v>0</v>
      </c>
      <c r="F630">
        <v>1.5797835966168101</v>
      </c>
      <c r="G630" s="45">
        <v>2.95</v>
      </c>
      <c r="H630" s="29">
        <f t="shared" si="155"/>
        <v>0.46982201597816303</v>
      </c>
      <c r="I630">
        <v>0</v>
      </c>
      <c r="J630" s="34">
        <v>-7.0581074285707285E-2</v>
      </c>
      <c r="K630">
        <v>14</v>
      </c>
      <c r="L630" s="137">
        <f t="shared" si="156"/>
        <v>1.146128035678238</v>
      </c>
      <c r="M630">
        <f t="shared" si="153"/>
        <v>0</v>
      </c>
      <c r="N630">
        <v>70</v>
      </c>
      <c r="O630">
        <v>70</v>
      </c>
      <c r="P630">
        <v>93.2</v>
      </c>
      <c r="Q630" s="137">
        <f t="shared" si="157"/>
        <v>1.9694159123539814</v>
      </c>
      <c r="R630" s="34">
        <v>26.7</v>
      </c>
      <c r="S630" s="34">
        <f t="shared" si="158"/>
        <v>1.4265112613645752</v>
      </c>
      <c r="T630" s="42">
        <v>36.669158714517401</v>
      </c>
      <c r="U630" s="42">
        <f t="shared" si="159"/>
        <v>1.5643009462345601</v>
      </c>
      <c r="V630">
        <v>3.1628767233771686</v>
      </c>
      <c r="W630" s="14">
        <v>2</v>
      </c>
      <c r="X630">
        <v>3.6087947637270492</v>
      </c>
      <c r="Y630">
        <v>9.030547101553049</v>
      </c>
      <c r="Z630" s="80">
        <v>-5.4226510458352584E-2</v>
      </c>
      <c r="AA630">
        <v>9</v>
      </c>
      <c r="AB630">
        <f t="shared" si="160"/>
        <v>0</v>
      </c>
      <c r="AC630">
        <f t="shared" si="161"/>
        <v>0</v>
      </c>
      <c r="AD630">
        <f t="shared" si="162"/>
        <v>0</v>
      </c>
      <c r="AE630">
        <f t="shared" si="163"/>
        <v>0</v>
      </c>
      <c r="AF630">
        <f t="shared" si="164"/>
        <v>0</v>
      </c>
      <c r="AG630">
        <f t="shared" si="165"/>
        <v>0</v>
      </c>
      <c r="AH630">
        <f t="shared" si="166"/>
        <v>0</v>
      </c>
      <c r="AI630">
        <f t="shared" si="167"/>
        <v>0</v>
      </c>
      <c r="AJ630">
        <f t="shared" si="168"/>
        <v>1</v>
      </c>
      <c r="AK630">
        <f t="shared" si="169"/>
        <v>0</v>
      </c>
      <c r="AL630">
        <v>1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</row>
    <row r="631" spans="1:53" x14ac:dyDescent="0.35">
      <c r="A631">
        <v>0.16633142176652496</v>
      </c>
      <c r="C631">
        <v>5.7013698630136984</v>
      </c>
      <c r="D631" s="137">
        <f t="shared" si="154"/>
        <v>0.75597921575515226</v>
      </c>
      <c r="E631">
        <v>0</v>
      </c>
      <c r="F631">
        <v>1.7634279935629373</v>
      </c>
      <c r="G631" s="45">
        <v>2.95</v>
      </c>
      <c r="H631" s="29">
        <f t="shared" si="155"/>
        <v>0.46982201597816303</v>
      </c>
      <c r="I631">
        <v>0</v>
      </c>
      <c r="J631" s="34">
        <v>-4.3648054024500883E-3</v>
      </c>
      <c r="K631">
        <v>15</v>
      </c>
      <c r="L631" s="137">
        <f t="shared" si="156"/>
        <v>1.1760912590556813</v>
      </c>
      <c r="M631">
        <f t="shared" si="153"/>
        <v>0</v>
      </c>
      <c r="N631">
        <v>70</v>
      </c>
      <c r="O631">
        <v>70</v>
      </c>
      <c r="P631">
        <v>91.4</v>
      </c>
      <c r="Q631" s="137">
        <f t="shared" si="157"/>
        <v>1.9609461957338314</v>
      </c>
      <c r="R631" s="34">
        <v>26.7</v>
      </c>
      <c r="S631" s="34">
        <f t="shared" si="158"/>
        <v>1.4265112613645752</v>
      </c>
      <c r="T631" s="42">
        <v>37.425715444240403</v>
      </c>
      <c r="U631" s="42">
        <f t="shared" si="159"/>
        <v>1.5731701112332821</v>
      </c>
      <c r="V631">
        <v>3.1628767233771686</v>
      </c>
      <c r="W631" s="14">
        <v>2</v>
      </c>
      <c r="X631">
        <v>3.6087947637270492</v>
      </c>
      <c r="Y631">
        <v>8.8750612633917001</v>
      </c>
      <c r="Z631" s="80">
        <v>-5.2551696224887867E-2</v>
      </c>
      <c r="AA631">
        <v>5</v>
      </c>
      <c r="AB631">
        <f t="shared" si="160"/>
        <v>0</v>
      </c>
      <c r="AC631">
        <f t="shared" si="161"/>
        <v>0</v>
      </c>
      <c r="AD631">
        <f t="shared" si="162"/>
        <v>0</v>
      </c>
      <c r="AE631">
        <f t="shared" si="163"/>
        <v>0</v>
      </c>
      <c r="AF631">
        <f t="shared" si="164"/>
        <v>1</v>
      </c>
      <c r="AG631">
        <f t="shared" si="165"/>
        <v>0</v>
      </c>
      <c r="AH631">
        <f t="shared" si="166"/>
        <v>0</v>
      </c>
      <c r="AI631">
        <f t="shared" si="167"/>
        <v>0</v>
      </c>
      <c r="AJ631">
        <f t="shared" si="168"/>
        <v>0</v>
      </c>
      <c r="AK631">
        <f t="shared" si="169"/>
        <v>0</v>
      </c>
      <c r="AL631">
        <v>1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</row>
    <row r="632" spans="1:53" x14ac:dyDescent="0.35">
      <c r="A632">
        <v>1.4952482388323004E-2</v>
      </c>
      <c r="C632">
        <v>1.1424657534246576</v>
      </c>
      <c r="D632" s="137">
        <f t="shared" si="154"/>
        <v>5.7843190517282844E-2</v>
      </c>
      <c r="E632">
        <v>0</v>
      </c>
      <c r="F632">
        <v>1.6812412373755872</v>
      </c>
      <c r="G632" s="45">
        <v>2.95</v>
      </c>
      <c r="H632" s="29">
        <f t="shared" si="155"/>
        <v>0.46982201597816303</v>
      </c>
      <c r="I632">
        <v>0</v>
      </c>
      <c r="J632" s="34">
        <v>-0.20760831050174613</v>
      </c>
      <c r="K632">
        <v>15</v>
      </c>
      <c r="L632" s="137">
        <f t="shared" si="156"/>
        <v>1.1760912590556813</v>
      </c>
      <c r="M632">
        <f t="shared" si="153"/>
        <v>0</v>
      </c>
      <c r="N632">
        <v>70</v>
      </c>
      <c r="O632">
        <v>70</v>
      </c>
      <c r="P632">
        <v>91.4</v>
      </c>
      <c r="Q632" s="137">
        <f t="shared" si="157"/>
        <v>1.9609461957338314</v>
      </c>
      <c r="R632" s="34">
        <v>26.7</v>
      </c>
      <c r="S632" s="34">
        <f t="shared" si="158"/>
        <v>1.4265112613645752</v>
      </c>
      <c r="T632" s="42">
        <v>37.425715444240403</v>
      </c>
      <c r="U632" s="42">
        <f t="shared" si="159"/>
        <v>1.5731701112332821</v>
      </c>
      <c r="V632">
        <v>3.1628767233771686</v>
      </c>
      <c r="W632" s="14">
        <v>2</v>
      </c>
      <c r="X632">
        <v>3.6087947637270492</v>
      </c>
      <c r="Y632">
        <v>10.433753837516758</v>
      </c>
      <c r="Z632" s="80">
        <v>-0.28459761335320122</v>
      </c>
      <c r="AA632">
        <v>4</v>
      </c>
      <c r="AB632">
        <f t="shared" si="160"/>
        <v>0</v>
      </c>
      <c r="AC632">
        <f t="shared" si="161"/>
        <v>0</v>
      </c>
      <c r="AD632">
        <f t="shared" si="162"/>
        <v>0</v>
      </c>
      <c r="AE632">
        <f t="shared" si="163"/>
        <v>1</v>
      </c>
      <c r="AF632">
        <f t="shared" si="164"/>
        <v>0</v>
      </c>
      <c r="AG632">
        <f t="shared" si="165"/>
        <v>0</v>
      </c>
      <c r="AH632">
        <f t="shared" si="166"/>
        <v>0</v>
      </c>
      <c r="AI632">
        <f t="shared" si="167"/>
        <v>0</v>
      </c>
      <c r="AJ632">
        <f t="shared" si="168"/>
        <v>0</v>
      </c>
      <c r="AK632">
        <f t="shared" si="169"/>
        <v>0</v>
      </c>
      <c r="AL632">
        <v>1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</row>
    <row r="633" spans="1:53" x14ac:dyDescent="0.35">
      <c r="A633">
        <v>6.7550558562365803E-2</v>
      </c>
      <c r="C633">
        <v>7.7479452054794518</v>
      </c>
      <c r="D633" s="137">
        <f t="shared" si="154"/>
        <v>0.88918654066838709</v>
      </c>
      <c r="E633">
        <v>0</v>
      </c>
      <c r="F633">
        <v>1.4913616938342726</v>
      </c>
      <c r="G633" s="45">
        <v>2.95</v>
      </c>
      <c r="H633" s="29">
        <f t="shared" si="155"/>
        <v>0.46982201597816303</v>
      </c>
      <c r="I633">
        <v>0</v>
      </c>
      <c r="J633" s="34">
        <v>0.13987908640123647</v>
      </c>
      <c r="K633">
        <v>15</v>
      </c>
      <c r="L633" s="137">
        <f t="shared" si="156"/>
        <v>1.1760912590556813</v>
      </c>
      <c r="M633">
        <f t="shared" si="153"/>
        <v>0</v>
      </c>
      <c r="N633">
        <v>70</v>
      </c>
      <c r="O633">
        <v>70</v>
      </c>
      <c r="P633">
        <v>91.4</v>
      </c>
      <c r="Q633" s="137">
        <f t="shared" si="157"/>
        <v>1.9609461957338314</v>
      </c>
      <c r="R633" s="34">
        <v>26.7</v>
      </c>
      <c r="S633" s="34">
        <f t="shared" si="158"/>
        <v>1.4265112613645752</v>
      </c>
      <c r="T633" s="42">
        <v>37.425715444240403</v>
      </c>
      <c r="U633" s="42">
        <f t="shared" si="159"/>
        <v>1.5731701112332821</v>
      </c>
      <c r="V633">
        <v>3.1628767233771686</v>
      </c>
      <c r="W633" s="14">
        <v>2</v>
      </c>
      <c r="X633">
        <v>3.6087947637270492</v>
      </c>
      <c r="Y633">
        <v>10.057930707138228</v>
      </c>
      <c r="Z633" s="80">
        <v>0.12925406117546778</v>
      </c>
      <c r="AA633">
        <v>2</v>
      </c>
      <c r="AB633">
        <f t="shared" si="160"/>
        <v>0</v>
      </c>
      <c r="AC633">
        <f t="shared" si="161"/>
        <v>1</v>
      </c>
      <c r="AD633">
        <f t="shared" si="162"/>
        <v>0</v>
      </c>
      <c r="AE633">
        <f t="shared" si="163"/>
        <v>0</v>
      </c>
      <c r="AF633">
        <f t="shared" si="164"/>
        <v>0</v>
      </c>
      <c r="AG633">
        <f t="shared" si="165"/>
        <v>0</v>
      </c>
      <c r="AH633">
        <f t="shared" si="166"/>
        <v>0</v>
      </c>
      <c r="AI633">
        <f t="shared" si="167"/>
        <v>0</v>
      </c>
      <c r="AJ633">
        <f t="shared" si="168"/>
        <v>0</v>
      </c>
      <c r="AK633">
        <f t="shared" si="169"/>
        <v>0</v>
      </c>
      <c r="AL633">
        <v>1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</row>
    <row r="634" spans="1:53" x14ac:dyDescent="0.35">
      <c r="A634">
        <v>-1.153854187474864</v>
      </c>
      <c r="C634">
        <v>1.4958904109589042</v>
      </c>
      <c r="D634" s="137">
        <f t="shared" si="154"/>
        <v>0.17489977824826256</v>
      </c>
      <c r="E634">
        <v>0</v>
      </c>
      <c r="F634">
        <v>1.1139433523068367</v>
      </c>
      <c r="G634" s="45">
        <v>2.95</v>
      </c>
      <c r="H634" s="29">
        <f t="shared" si="155"/>
        <v>0.46982201597816303</v>
      </c>
      <c r="I634">
        <v>0</v>
      </c>
      <c r="J634" s="34">
        <v>-0.14874165128092473</v>
      </c>
      <c r="K634">
        <v>16</v>
      </c>
      <c r="L634" s="137">
        <f t="shared" si="156"/>
        <v>1.2041199826559248</v>
      </c>
      <c r="M634">
        <f t="shared" si="153"/>
        <v>0</v>
      </c>
      <c r="N634">
        <v>70</v>
      </c>
      <c r="O634">
        <v>70</v>
      </c>
      <c r="P634">
        <v>92.6</v>
      </c>
      <c r="Q634" s="137">
        <f t="shared" si="157"/>
        <v>1.9666109866819343</v>
      </c>
      <c r="R634" s="34">
        <v>25.7</v>
      </c>
      <c r="S634" s="34">
        <f t="shared" si="158"/>
        <v>1.4099331233312946</v>
      </c>
      <c r="T634" s="42">
        <v>39.823361151429197</v>
      </c>
      <c r="U634" s="42">
        <f t="shared" si="159"/>
        <v>1.6001379123442065</v>
      </c>
      <c r="V634">
        <v>3.1628767233771686</v>
      </c>
      <c r="W634" s="14">
        <v>2</v>
      </c>
      <c r="X634">
        <v>3.6087947637270492</v>
      </c>
      <c r="Y634">
        <v>8.6452158813091362</v>
      </c>
      <c r="Z634" s="80">
        <v>-0.23436480996631026</v>
      </c>
      <c r="AA634">
        <v>5</v>
      </c>
      <c r="AB634">
        <f t="shared" si="160"/>
        <v>0</v>
      </c>
      <c r="AC634">
        <f t="shared" si="161"/>
        <v>0</v>
      </c>
      <c r="AD634">
        <f t="shared" si="162"/>
        <v>0</v>
      </c>
      <c r="AE634">
        <f t="shared" si="163"/>
        <v>0</v>
      </c>
      <c r="AF634">
        <f t="shared" si="164"/>
        <v>1</v>
      </c>
      <c r="AG634">
        <f t="shared" si="165"/>
        <v>0</v>
      </c>
      <c r="AH634">
        <f t="shared" si="166"/>
        <v>0</v>
      </c>
      <c r="AI634">
        <f t="shared" si="167"/>
        <v>0</v>
      </c>
      <c r="AJ634">
        <f t="shared" si="168"/>
        <v>0</v>
      </c>
      <c r="AK634">
        <f t="shared" si="169"/>
        <v>0</v>
      </c>
      <c r="AL634">
        <v>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</row>
    <row r="635" spans="1:53" x14ac:dyDescent="0.35">
      <c r="A635">
        <v>0.46954857143534467</v>
      </c>
      <c r="C635">
        <v>5.9424657534246572</v>
      </c>
      <c r="D635" s="137">
        <f t="shared" si="154"/>
        <v>0.77396668755771858</v>
      </c>
      <c r="E635">
        <v>0</v>
      </c>
      <c r="F635">
        <v>1.255272505103306</v>
      </c>
      <c r="G635" s="45">
        <v>2.95</v>
      </c>
      <c r="H635" s="29">
        <f t="shared" si="155"/>
        <v>0.46982201597816303</v>
      </c>
      <c r="I635">
        <v>0</v>
      </c>
      <c r="J635" s="34">
        <v>0.10037054511756291</v>
      </c>
      <c r="K635">
        <v>16</v>
      </c>
      <c r="L635" s="137">
        <f t="shared" si="156"/>
        <v>1.2041199826559248</v>
      </c>
      <c r="M635">
        <f t="shared" si="153"/>
        <v>0</v>
      </c>
      <c r="N635">
        <v>70</v>
      </c>
      <c r="O635">
        <v>70</v>
      </c>
      <c r="P635">
        <v>92.6</v>
      </c>
      <c r="Q635" s="137">
        <f t="shared" si="157"/>
        <v>1.9666109866819343</v>
      </c>
      <c r="R635" s="34">
        <v>25.7</v>
      </c>
      <c r="S635" s="34">
        <f t="shared" si="158"/>
        <v>1.4099331233312946</v>
      </c>
      <c r="T635" s="42">
        <v>39.823361151429197</v>
      </c>
      <c r="U635" s="42">
        <f t="shared" si="159"/>
        <v>1.6001379123442065</v>
      </c>
      <c r="V635">
        <v>3.1628767233771686</v>
      </c>
      <c r="W635" s="14">
        <v>2</v>
      </c>
      <c r="X635">
        <v>3.6087947637270492</v>
      </c>
      <c r="Y635">
        <v>8.9928494264636107</v>
      </c>
      <c r="Z635" s="80">
        <v>0.11090226113595381</v>
      </c>
      <c r="AA635">
        <v>2</v>
      </c>
      <c r="AB635">
        <f t="shared" si="160"/>
        <v>0</v>
      </c>
      <c r="AC635">
        <f t="shared" si="161"/>
        <v>1</v>
      </c>
      <c r="AD635">
        <f t="shared" si="162"/>
        <v>0</v>
      </c>
      <c r="AE635">
        <f t="shared" si="163"/>
        <v>0</v>
      </c>
      <c r="AF635">
        <f t="shared" si="164"/>
        <v>0</v>
      </c>
      <c r="AG635">
        <f t="shared" si="165"/>
        <v>0</v>
      </c>
      <c r="AH635">
        <f t="shared" si="166"/>
        <v>0</v>
      </c>
      <c r="AI635">
        <f t="shared" si="167"/>
        <v>0</v>
      </c>
      <c r="AJ635">
        <f t="shared" si="168"/>
        <v>0</v>
      </c>
      <c r="AK635">
        <f t="shared" si="169"/>
        <v>0</v>
      </c>
      <c r="AL635">
        <v>1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</row>
    <row r="636" spans="1:53" x14ac:dyDescent="0.35">
      <c r="A636">
        <v>9.691001300805642E-2</v>
      </c>
      <c r="C636">
        <v>6.624657534246575</v>
      </c>
      <c r="D636" s="137">
        <f t="shared" si="154"/>
        <v>0.82116343206827835</v>
      </c>
      <c r="E636">
        <v>0</v>
      </c>
      <c r="F636">
        <v>1.0413926851582251</v>
      </c>
      <c r="G636" s="45">
        <v>2.95</v>
      </c>
      <c r="H636" s="29">
        <f t="shared" si="155"/>
        <v>0.46982201597816303</v>
      </c>
      <c r="I636">
        <v>0</v>
      </c>
      <c r="J636" s="34">
        <v>0.24303804868629444</v>
      </c>
      <c r="K636">
        <v>16</v>
      </c>
      <c r="L636" s="137">
        <f t="shared" si="156"/>
        <v>1.2041199826559248</v>
      </c>
      <c r="M636">
        <f t="shared" si="153"/>
        <v>0</v>
      </c>
      <c r="N636">
        <v>70</v>
      </c>
      <c r="O636">
        <v>70</v>
      </c>
      <c r="P636">
        <v>92.6</v>
      </c>
      <c r="Q636" s="137">
        <f t="shared" si="157"/>
        <v>1.9666109866819343</v>
      </c>
      <c r="R636" s="34">
        <v>25.7</v>
      </c>
      <c r="S636" s="34">
        <f t="shared" si="158"/>
        <v>1.4099331233312946</v>
      </c>
      <c r="T636" s="42">
        <v>39.823361151429197</v>
      </c>
      <c r="U636" s="42">
        <f t="shared" si="159"/>
        <v>1.6001379123442065</v>
      </c>
      <c r="V636">
        <v>3.1628767233771686</v>
      </c>
      <c r="W636" s="14">
        <v>2</v>
      </c>
      <c r="X636">
        <v>3.6087947637270492</v>
      </c>
      <c r="Y636">
        <v>8.6812412373755876</v>
      </c>
      <c r="Z636" s="80">
        <v>0.4120418279449265</v>
      </c>
      <c r="AA636">
        <v>4</v>
      </c>
      <c r="AB636">
        <f t="shared" si="160"/>
        <v>0</v>
      </c>
      <c r="AC636">
        <f t="shared" si="161"/>
        <v>0</v>
      </c>
      <c r="AD636">
        <f t="shared" si="162"/>
        <v>0</v>
      </c>
      <c r="AE636">
        <f t="shared" si="163"/>
        <v>1</v>
      </c>
      <c r="AF636">
        <f t="shared" si="164"/>
        <v>0</v>
      </c>
      <c r="AG636">
        <f t="shared" si="165"/>
        <v>0</v>
      </c>
      <c r="AH636">
        <f t="shared" si="166"/>
        <v>0</v>
      </c>
      <c r="AI636">
        <f t="shared" si="167"/>
        <v>0</v>
      </c>
      <c r="AJ636">
        <f t="shared" si="168"/>
        <v>0</v>
      </c>
      <c r="AK636">
        <f t="shared" si="169"/>
        <v>0</v>
      </c>
      <c r="AL636">
        <v>1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</row>
    <row r="637" spans="1:53" x14ac:dyDescent="0.35">
      <c r="A637">
        <v>-8.1613751481204207E-3</v>
      </c>
      <c r="C637">
        <v>11.66027397260274</v>
      </c>
      <c r="D637" s="137">
        <f t="shared" si="154"/>
        <v>1.066708754830517</v>
      </c>
      <c r="E637">
        <v>0</v>
      </c>
      <c r="F637">
        <v>1.6812412373755872</v>
      </c>
      <c r="G637" s="45">
        <v>2.95</v>
      </c>
      <c r="H637" s="29">
        <f t="shared" si="155"/>
        <v>0.46982201597816303</v>
      </c>
      <c r="I637">
        <v>0</v>
      </c>
      <c r="J637" s="34">
        <v>0.27415784926367981</v>
      </c>
      <c r="K637">
        <v>15</v>
      </c>
      <c r="L637" s="137">
        <f t="shared" si="156"/>
        <v>1.1760912590556813</v>
      </c>
      <c r="M637">
        <f t="shared" si="153"/>
        <v>0</v>
      </c>
      <c r="N637">
        <v>70</v>
      </c>
      <c r="O637">
        <v>70</v>
      </c>
      <c r="P637">
        <v>91.4</v>
      </c>
      <c r="Q637" s="137">
        <f t="shared" si="157"/>
        <v>1.9609461957338314</v>
      </c>
      <c r="R637" s="34">
        <v>26.7</v>
      </c>
      <c r="S637" s="34">
        <f t="shared" si="158"/>
        <v>1.4265112613645752</v>
      </c>
      <c r="T637" s="42">
        <v>37.425715444240403</v>
      </c>
      <c r="U637" s="42">
        <f t="shared" si="159"/>
        <v>1.5731701112332821</v>
      </c>
      <c r="V637">
        <v>3.1628767233771686</v>
      </c>
      <c r="W637" s="14">
        <v>2</v>
      </c>
      <c r="X637">
        <v>3.6087947637270492</v>
      </c>
      <c r="Y637">
        <v>9.6987649689484012</v>
      </c>
      <c r="Z637" s="80">
        <v>0.16924768979553972</v>
      </c>
      <c r="AA637">
        <v>9</v>
      </c>
      <c r="AB637">
        <f t="shared" si="160"/>
        <v>0</v>
      </c>
      <c r="AC637">
        <f t="shared" si="161"/>
        <v>0</v>
      </c>
      <c r="AD637">
        <f t="shared" si="162"/>
        <v>0</v>
      </c>
      <c r="AE637">
        <f t="shared" si="163"/>
        <v>0</v>
      </c>
      <c r="AF637">
        <f t="shared" si="164"/>
        <v>0</v>
      </c>
      <c r="AG637">
        <f t="shared" si="165"/>
        <v>0</v>
      </c>
      <c r="AH637">
        <f t="shared" si="166"/>
        <v>0</v>
      </c>
      <c r="AI637">
        <f t="shared" si="167"/>
        <v>0</v>
      </c>
      <c r="AJ637">
        <f t="shared" si="168"/>
        <v>1</v>
      </c>
      <c r="AK637">
        <f t="shared" si="169"/>
        <v>0</v>
      </c>
      <c r="AL637">
        <v>1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</row>
    <row r="638" spans="1:53" x14ac:dyDescent="0.35">
      <c r="A638">
        <v>0.2852357284807493</v>
      </c>
      <c r="C638">
        <v>5.9260273972602739</v>
      </c>
      <c r="D638" s="137">
        <f t="shared" si="154"/>
        <v>0.77276365498261679</v>
      </c>
      <c r="E638">
        <v>0</v>
      </c>
      <c r="F638">
        <v>1.6232492903979006</v>
      </c>
      <c r="G638" s="45">
        <v>2.95</v>
      </c>
      <c r="H638" s="29">
        <f t="shared" si="155"/>
        <v>0.46982201597816303</v>
      </c>
      <c r="I638">
        <v>0</v>
      </c>
      <c r="J638" s="34">
        <v>0.28103336724772759</v>
      </c>
      <c r="K638">
        <v>18</v>
      </c>
      <c r="L638" s="137">
        <f t="shared" si="156"/>
        <v>1.255272505103306</v>
      </c>
      <c r="M638">
        <f t="shared" si="153"/>
        <v>0</v>
      </c>
      <c r="N638">
        <v>70</v>
      </c>
      <c r="O638">
        <v>70</v>
      </c>
      <c r="P638">
        <v>91.3</v>
      </c>
      <c r="Q638" s="137">
        <f t="shared" si="157"/>
        <v>1.9604707775342989</v>
      </c>
      <c r="R638" s="34">
        <v>23.5</v>
      </c>
      <c r="S638" s="34">
        <f t="shared" si="158"/>
        <v>1.3710678622717363</v>
      </c>
      <c r="T638" s="42">
        <v>43.1672842383418</v>
      </c>
      <c r="U638" s="42">
        <f t="shared" si="159"/>
        <v>1.6351547269652249</v>
      </c>
      <c r="V638">
        <v>3.1628767233771686</v>
      </c>
      <c r="W638" s="14">
        <v>2</v>
      </c>
      <c r="X638">
        <v>3.6087947637270492</v>
      </c>
      <c r="Y638">
        <v>9.1461280356782382</v>
      </c>
      <c r="Z638" s="80">
        <v>0.27356665047536932</v>
      </c>
      <c r="AA638">
        <v>9</v>
      </c>
      <c r="AB638">
        <f t="shared" si="160"/>
        <v>0</v>
      </c>
      <c r="AC638">
        <f t="shared" si="161"/>
        <v>0</v>
      </c>
      <c r="AD638">
        <f t="shared" si="162"/>
        <v>0</v>
      </c>
      <c r="AE638">
        <f t="shared" si="163"/>
        <v>0</v>
      </c>
      <c r="AF638">
        <f t="shared" si="164"/>
        <v>0</v>
      </c>
      <c r="AG638">
        <f t="shared" si="165"/>
        <v>0</v>
      </c>
      <c r="AH638">
        <f t="shared" si="166"/>
        <v>0</v>
      </c>
      <c r="AI638">
        <f t="shared" si="167"/>
        <v>0</v>
      </c>
      <c r="AJ638">
        <f t="shared" si="168"/>
        <v>1</v>
      </c>
      <c r="AK638">
        <f t="shared" si="169"/>
        <v>0</v>
      </c>
      <c r="AL638">
        <v>1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</row>
    <row r="639" spans="1:53" x14ac:dyDescent="0.35">
      <c r="A639">
        <v>-0.20972030619471799</v>
      </c>
      <c r="C639">
        <v>1.263013698630137</v>
      </c>
      <c r="D639" s="137">
        <f t="shared" si="154"/>
        <v>0.10140806093317345</v>
      </c>
      <c r="E639">
        <v>0</v>
      </c>
      <c r="F639">
        <v>1.4913616938342726</v>
      </c>
      <c r="G639" s="45">
        <v>2.95</v>
      </c>
      <c r="H639" s="29">
        <f t="shared" si="155"/>
        <v>0.46982201597816303</v>
      </c>
      <c r="I639">
        <v>0</v>
      </c>
      <c r="J639" s="34">
        <v>7.9181246047624818E-2</v>
      </c>
      <c r="K639">
        <v>21</v>
      </c>
      <c r="L639" s="137">
        <f t="shared" si="156"/>
        <v>1.3222192947339193</v>
      </c>
      <c r="M639">
        <f t="shared" si="153"/>
        <v>0</v>
      </c>
      <c r="N639">
        <v>70</v>
      </c>
      <c r="O639">
        <v>70</v>
      </c>
      <c r="P639">
        <v>90.5</v>
      </c>
      <c r="Q639" s="137">
        <f t="shared" si="157"/>
        <v>1.9566485792052033</v>
      </c>
      <c r="R639" s="34">
        <v>25.7</v>
      </c>
      <c r="S639" s="34">
        <f t="shared" si="158"/>
        <v>1.4099331233312946</v>
      </c>
      <c r="T639" s="42">
        <v>39.010023979360902</v>
      </c>
      <c r="U639" s="42">
        <f t="shared" si="159"/>
        <v>1.5911762172715689</v>
      </c>
      <c r="V639">
        <v>3.1628767233771686</v>
      </c>
      <c r="W639" s="14">
        <v>2</v>
      </c>
      <c r="X639">
        <v>3.6087947637270492</v>
      </c>
      <c r="Y639">
        <v>8.2797581728024738</v>
      </c>
      <c r="Z639" s="80">
        <v>2.0959483200453821E-2</v>
      </c>
      <c r="AA639">
        <v>9</v>
      </c>
      <c r="AB639">
        <f t="shared" si="160"/>
        <v>0</v>
      </c>
      <c r="AC639">
        <f t="shared" si="161"/>
        <v>0</v>
      </c>
      <c r="AD639">
        <f t="shared" si="162"/>
        <v>0</v>
      </c>
      <c r="AE639">
        <f t="shared" si="163"/>
        <v>0</v>
      </c>
      <c r="AF639">
        <f t="shared" si="164"/>
        <v>0</v>
      </c>
      <c r="AG639">
        <f t="shared" si="165"/>
        <v>0</v>
      </c>
      <c r="AH639">
        <f t="shared" si="166"/>
        <v>0</v>
      </c>
      <c r="AI639">
        <f t="shared" si="167"/>
        <v>0</v>
      </c>
      <c r="AJ639">
        <f t="shared" si="168"/>
        <v>1</v>
      </c>
      <c r="AK639">
        <f t="shared" si="169"/>
        <v>0</v>
      </c>
      <c r="AL639">
        <v>1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</row>
    <row r="640" spans="1:53" x14ac:dyDescent="0.35">
      <c r="A640">
        <v>0.22169411325389282</v>
      </c>
      <c r="C640">
        <v>3.8328767123287673</v>
      </c>
      <c r="D640" s="137">
        <f t="shared" si="154"/>
        <v>0.58352485003535293</v>
      </c>
      <c r="E640">
        <v>0</v>
      </c>
      <c r="F640">
        <v>1.7075701760979363</v>
      </c>
      <c r="G640" s="45">
        <v>2.95</v>
      </c>
      <c r="H640" s="29">
        <f t="shared" si="155"/>
        <v>0.46982201597816303</v>
      </c>
      <c r="I640">
        <v>0</v>
      </c>
      <c r="J640" s="34">
        <v>0.14921911265537988</v>
      </c>
      <c r="K640">
        <v>22</v>
      </c>
      <c r="L640" s="137">
        <f t="shared" si="156"/>
        <v>1.3424226808222062</v>
      </c>
      <c r="M640">
        <f t="shared" si="153"/>
        <v>0</v>
      </c>
      <c r="N640">
        <v>70</v>
      </c>
      <c r="O640">
        <v>70</v>
      </c>
      <c r="P640">
        <v>89.2</v>
      </c>
      <c r="Q640" s="137">
        <f t="shared" si="157"/>
        <v>1.9503648543761232</v>
      </c>
      <c r="R640" s="34">
        <v>26</v>
      </c>
      <c r="S640" s="34">
        <f t="shared" si="158"/>
        <v>1.414973347970818</v>
      </c>
      <c r="T640" s="42">
        <v>38.344872802923099</v>
      </c>
      <c r="U640" s="42">
        <f t="shared" si="159"/>
        <v>1.5837073014724459</v>
      </c>
      <c r="V640">
        <v>3.1628767233771686</v>
      </c>
      <c r="W640" s="14">
        <v>2</v>
      </c>
      <c r="X640">
        <v>3.6087947637270492</v>
      </c>
      <c r="Y640">
        <v>9.1760912590556813</v>
      </c>
      <c r="Z640" s="80">
        <v>0.18048728313126938</v>
      </c>
      <c r="AA640">
        <v>6</v>
      </c>
      <c r="AB640">
        <f t="shared" si="160"/>
        <v>0</v>
      </c>
      <c r="AC640">
        <f t="shared" si="161"/>
        <v>0</v>
      </c>
      <c r="AD640">
        <f t="shared" si="162"/>
        <v>0</v>
      </c>
      <c r="AE640">
        <f t="shared" si="163"/>
        <v>0</v>
      </c>
      <c r="AF640">
        <f t="shared" si="164"/>
        <v>0</v>
      </c>
      <c r="AG640">
        <f t="shared" si="165"/>
        <v>1</v>
      </c>
      <c r="AH640">
        <f t="shared" si="166"/>
        <v>0</v>
      </c>
      <c r="AI640">
        <f t="shared" si="167"/>
        <v>0</v>
      </c>
      <c r="AJ640">
        <f t="shared" si="168"/>
        <v>0</v>
      </c>
      <c r="AK640">
        <f t="shared" si="169"/>
        <v>0</v>
      </c>
      <c r="AL640">
        <v>1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</row>
    <row r="641" spans="1:53" x14ac:dyDescent="0.35">
      <c r="A641">
        <v>0.62144928996850934</v>
      </c>
      <c r="C641">
        <v>2.9095890410958902</v>
      </c>
      <c r="D641" s="137">
        <f t="shared" si="154"/>
        <v>0.46383165228897555</v>
      </c>
      <c r="E641">
        <v>0</v>
      </c>
      <c r="F641">
        <v>1.5440680443502757</v>
      </c>
      <c r="G641" s="45">
        <v>2.95</v>
      </c>
      <c r="H641" s="29">
        <f t="shared" si="155"/>
        <v>0.46982201597816303</v>
      </c>
      <c r="I641">
        <v>0</v>
      </c>
      <c r="J641" s="34">
        <v>0.13987908640123647</v>
      </c>
      <c r="K641">
        <v>20</v>
      </c>
      <c r="L641" s="137">
        <f t="shared" si="156"/>
        <v>1.3010299956639813</v>
      </c>
      <c r="M641">
        <f t="shared" si="153"/>
        <v>0</v>
      </c>
      <c r="N641">
        <v>70</v>
      </c>
      <c r="O641">
        <v>70</v>
      </c>
      <c r="P641">
        <v>91.1</v>
      </c>
      <c r="Q641" s="137">
        <f t="shared" si="157"/>
        <v>1.9595183769729982</v>
      </c>
      <c r="R641" s="34">
        <v>24.1</v>
      </c>
      <c r="S641" s="34">
        <f t="shared" si="158"/>
        <v>1.3820170425748683</v>
      </c>
      <c r="T641" s="42">
        <v>40.229046020662899</v>
      </c>
      <c r="U641" s="42">
        <f t="shared" si="159"/>
        <v>1.6045397339663818</v>
      </c>
      <c r="V641">
        <v>3.1628767233771686</v>
      </c>
      <c r="W641" s="14">
        <v>2</v>
      </c>
      <c r="X641">
        <v>3.6087947637270492</v>
      </c>
      <c r="Y641">
        <v>9.2865013789535684</v>
      </c>
      <c r="Z641" s="80">
        <v>0.12307519514552778</v>
      </c>
      <c r="AA641">
        <v>2</v>
      </c>
      <c r="AB641">
        <f t="shared" si="160"/>
        <v>0</v>
      </c>
      <c r="AC641">
        <f t="shared" si="161"/>
        <v>1</v>
      </c>
      <c r="AD641">
        <f t="shared" si="162"/>
        <v>0</v>
      </c>
      <c r="AE641">
        <f t="shared" si="163"/>
        <v>0</v>
      </c>
      <c r="AF641">
        <f t="shared" si="164"/>
        <v>0</v>
      </c>
      <c r="AG641">
        <f t="shared" si="165"/>
        <v>0</v>
      </c>
      <c r="AH641">
        <f t="shared" si="166"/>
        <v>0</v>
      </c>
      <c r="AI641">
        <f t="shared" si="167"/>
        <v>0</v>
      </c>
      <c r="AJ641">
        <f t="shared" si="168"/>
        <v>0</v>
      </c>
      <c r="AK641">
        <f t="shared" si="169"/>
        <v>0</v>
      </c>
      <c r="AL641">
        <v>1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</row>
    <row r="642" spans="1:53" x14ac:dyDescent="0.35">
      <c r="A642">
        <v>-5.9058784041745138</v>
      </c>
      <c r="C642">
        <v>0.52054794520547942</v>
      </c>
      <c r="D642" s="137">
        <f t="shared" si="154"/>
        <v>-0.28353926350364578</v>
      </c>
      <c r="E642">
        <v>0</v>
      </c>
      <c r="F642">
        <v>0.3010299956639812</v>
      </c>
      <c r="G642" s="45">
        <v>2.95</v>
      </c>
      <c r="H642" s="29">
        <f t="shared" si="155"/>
        <v>0.46982201597816303</v>
      </c>
      <c r="I642">
        <v>0</v>
      </c>
      <c r="J642" s="34">
        <v>2.9383777685209667E-2</v>
      </c>
      <c r="K642">
        <v>26</v>
      </c>
      <c r="L642" s="137">
        <f t="shared" si="156"/>
        <v>1.414973347970818</v>
      </c>
      <c r="M642">
        <f t="shared" ref="M642:M701" si="170">IF(E642=0,0,1)</f>
        <v>0</v>
      </c>
      <c r="N642">
        <v>70</v>
      </c>
      <c r="O642">
        <v>70</v>
      </c>
      <c r="P642">
        <v>82.7</v>
      </c>
      <c r="Q642" s="137">
        <f t="shared" si="157"/>
        <v>1.9175055095525466</v>
      </c>
      <c r="R642" s="44" t="e">
        <f>#REF!</f>
        <v>#REF!</v>
      </c>
      <c r="S642" s="34" t="e">
        <f t="shared" si="158"/>
        <v>#REF!</v>
      </c>
      <c r="T642" s="42">
        <v>37.950861553017603</v>
      </c>
      <c r="U642" s="42">
        <f t="shared" si="159"/>
        <v>1.5792216396115846</v>
      </c>
      <c r="V642">
        <v>3.1628767233771686</v>
      </c>
      <c r="W642" s="14">
        <v>2</v>
      </c>
      <c r="X642">
        <v>3.6087947637270492</v>
      </c>
      <c r="Y642">
        <v>8.4771212547196626</v>
      </c>
      <c r="Z642" s="80">
        <v>1.2257828663736481E-2</v>
      </c>
      <c r="AA642">
        <v>2</v>
      </c>
      <c r="AB642">
        <f t="shared" si="160"/>
        <v>0</v>
      </c>
      <c r="AC642">
        <f t="shared" si="161"/>
        <v>1</v>
      </c>
      <c r="AD642">
        <f t="shared" si="162"/>
        <v>0</v>
      </c>
      <c r="AE642">
        <f t="shared" si="163"/>
        <v>0</v>
      </c>
      <c r="AF642">
        <f t="shared" si="164"/>
        <v>0</v>
      </c>
      <c r="AG642">
        <f t="shared" si="165"/>
        <v>0</v>
      </c>
      <c r="AH642">
        <f t="shared" si="166"/>
        <v>0</v>
      </c>
      <c r="AI642">
        <f t="shared" si="167"/>
        <v>0</v>
      </c>
      <c r="AJ642">
        <f t="shared" si="168"/>
        <v>0</v>
      </c>
      <c r="AK642">
        <f t="shared" si="169"/>
        <v>0</v>
      </c>
      <c r="AL642">
        <v>1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</row>
    <row r="643" spans="1:53" x14ac:dyDescent="0.35">
      <c r="A643">
        <v>-2</v>
      </c>
      <c r="C643">
        <v>2.1506849315068495</v>
      </c>
      <c r="D643" s="137">
        <f t="shared" ref="D643:D701" si="171">LOG(C643)</f>
        <v>0.33257679228877784</v>
      </c>
      <c r="E643">
        <v>0</v>
      </c>
      <c r="F643">
        <v>0.47712125471966244</v>
      </c>
      <c r="G643" s="45">
        <v>2.95</v>
      </c>
      <c r="H643" s="29">
        <f t="shared" ref="H643:H701" si="172">LOG(G643)</f>
        <v>0.46982201597816303</v>
      </c>
      <c r="I643">
        <v>0</v>
      </c>
      <c r="J643" s="34">
        <v>-0.22914798835785574</v>
      </c>
      <c r="K643">
        <v>14</v>
      </c>
      <c r="L643" s="137">
        <f t="shared" ref="L643:L701" si="173">IF(K643=0,0,LOG(K643))</f>
        <v>1.146128035678238</v>
      </c>
      <c r="M643">
        <f t="shared" si="170"/>
        <v>0</v>
      </c>
      <c r="N643">
        <v>70</v>
      </c>
      <c r="O643">
        <v>70</v>
      </c>
      <c r="P643">
        <v>93.2</v>
      </c>
      <c r="Q643" s="137">
        <f t="shared" ref="Q643:Q701" si="174">LOG(P643)</f>
        <v>1.9694159123539814</v>
      </c>
      <c r="R643" s="34">
        <v>26.7</v>
      </c>
      <c r="S643" s="34">
        <f t="shared" ref="S643:S647" si="175">LOG(R643)</f>
        <v>1.4265112613645752</v>
      </c>
      <c r="T643" s="42">
        <v>36.669158714517401</v>
      </c>
      <c r="U643" s="42">
        <f t="shared" ref="U643:U647" si="176">LOG(T643)</f>
        <v>1.5643009462345601</v>
      </c>
      <c r="V643">
        <v>3.1628767233771686</v>
      </c>
      <c r="W643" s="14">
        <v>2</v>
      </c>
      <c r="X643">
        <v>3.6087947637270492</v>
      </c>
      <c r="Y643">
        <v>9.3620336227143426</v>
      </c>
      <c r="Z643" s="80">
        <v>-0.33483982290560077</v>
      </c>
      <c r="AA643">
        <v>8</v>
      </c>
      <c r="AB643">
        <f t="shared" ref="AB643:AB701" si="177">IF(AA643=1,1,0)</f>
        <v>0</v>
      </c>
      <c r="AC643">
        <f t="shared" ref="AC643:AC701" si="178">IF(AA643=2,1,0)</f>
        <v>0</v>
      </c>
      <c r="AD643">
        <f t="shared" ref="AD643:AD701" si="179">IF(AA643=3,1,0)</f>
        <v>0</v>
      </c>
      <c r="AE643">
        <f t="shared" ref="AE643:AE701" si="180">IF(AA643=4,1,0)</f>
        <v>0</v>
      </c>
      <c r="AF643">
        <f t="shared" ref="AF643:AF701" si="181">IF(AA643=5,1,0)</f>
        <v>0</v>
      </c>
      <c r="AG643">
        <f t="shared" ref="AG643:AG701" si="182">IF(AA643=6,1,0)</f>
        <v>0</v>
      </c>
      <c r="AH643">
        <f t="shared" ref="AH643:AH701" si="183">IF(AA643=7,1,0)</f>
        <v>0</v>
      </c>
      <c r="AI643">
        <f t="shared" ref="AI643:AI701" si="184">IF(AA643=8,1,0)</f>
        <v>1</v>
      </c>
      <c r="AJ643">
        <f t="shared" ref="AJ643:AJ701" si="185">IF(AA643=9,1,0)</f>
        <v>0</v>
      </c>
      <c r="AK643">
        <f t="shared" ref="AK643:AK701" si="186">IF(AA643=10,1,0)</f>
        <v>0</v>
      </c>
      <c r="AL643">
        <v>1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</row>
    <row r="644" spans="1:53" x14ac:dyDescent="0.35">
      <c r="A644">
        <v>-9.2616714924626583E-3</v>
      </c>
      <c r="C644">
        <v>2.1150684931506851</v>
      </c>
      <c r="D644" s="137">
        <f t="shared" si="171"/>
        <v>0.32532443587926146</v>
      </c>
      <c r="E644">
        <v>0</v>
      </c>
      <c r="F644">
        <v>1.5797835966168101</v>
      </c>
      <c r="G644" s="45">
        <v>2.95</v>
      </c>
      <c r="H644" s="29">
        <f t="shared" si="172"/>
        <v>0.46982201597816303</v>
      </c>
      <c r="I644">
        <v>0</v>
      </c>
      <c r="J644" s="34">
        <v>5.6904851336472641E-2</v>
      </c>
      <c r="K644">
        <v>5</v>
      </c>
      <c r="L644" s="137">
        <f t="shared" si="173"/>
        <v>0.69897000433601886</v>
      </c>
      <c r="M644">
        <f t="shared" si="170"/>
        <v>0</v>
      </c>
      <c r="N644">
        <v>70</v>
      </c>
      <c r="O644">
        <v>70</v>
      </c>
      <c r="P644">
        <v>85</v>
      </c>
      <c r="Q644" s="137">
        <f t="shared" si="174"/>
        <v>1.9294189257142926</v>
      </c>
      <c r="R644" s="34">
        <v>25.7</v>
      </c>
      <c r="S644" s="34">
        <f t="shared" si="175"/>
        <v>1.4099331233312946</v>
      </c>
      <c r="T644" s="42">
        <v>39.367752568237798</v>
      </c>
      <c r="U644" s="42">
        <f t="shared" si="176"/>
        <v>1.5951406224338005</v>
      </c>
      <c r="V644">
        <v>3.0958500844125241</v>
      </c>
      <c r="W644" s="14">
        <v>3</v>
      </c>
      <c r="X644">
        <v>3.5078178355445662</v>
      </c>
      <c r="Y644">
        <v>8</v>
      </c>
      <c r="Z644" s="80" t="e">
        <v>#N/A</v>
      </c>
      <c r="AA644">
        <v>9</v>
      </c>
      <c r="AB644">
        <f t="shared" si="177"/>
        <v>0</v>
      </c>
      <c r="AC644">
        <f t="shared" si="178"/>
        <v>0</v>
      </c>
      <c r="AD644">
        <f t="shared" si="179"/>
        <v>0</v>
      </c>
      <c r="AE644">
        <f t="shared" si="180"/>
        <v>0</v>
      </c>
      <c r="AF644">
        <f t="shared" si="181"/>
        <v>0</v>
      </c>
      <c r="AG644">
        <f t="shared" si="182"/>
        <v>0</v>
      </c>
      <c r="AH644">
        <f t="shared" si="183"/>
        <v>0</v>
      </c>
      <c r="AI644">
        <f t="shared" si="184"/>
        <v>0</v>
      </c>
      <c r="AJ644">
        <f t="shared" si="185"/>
        <v>1</v>
      </c>
      <c r="AK644">
        <f t="shared" si="186"/>
        <v>0</v>
      </c>
      <c r="AL644">
        <v>1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</row>
    <row r="645" spans="1:53" x14ac:dyDescent="0.35">
      <c r="A645">
        <v>-0.2896005338831994</v>
      </c>
      <c r="C645">
        <v>3.1095890410958904</v>
      </c>
      <c r="D645" s="137">
        <f t="shared" si="171"/>
        <v>0.49270299707266679</v>
      </c>
      <c r="E645">
        <v>0</v>
      </c>
      <c r="F645">
        <v>0</v>
      </c>
      <c r="G645" s="45">
        <v>2.95</v>
      </c>
      <c r="H645" s="29">
        <f t="shared" si="172"/>
        <v>0.46982201597816303</v>
      </c>
      <c r="I645">
        <v>0</v>
      </c>
      <c r="J645" s="34">
        <v>0.30535136944662378</v>
      </c>
      <c r="K645">
        <v>8</v>
      </c>
      <c r="L645" s="137">
        <f t="shared" si="173"/>
        <v>0.90308998699194354</v>
      </c>
      <c r="M645">
        <f t="shared" si="170"/>
        <v>0</v>
      </c>
      <c r="N645">
        <v>70</v>
      </c>
      <c r="O645">
        <v>70</v>
      </c>
      <c r="P645">
        <v>85</v>
      </c>
      <c r="Q645" s="137">
        <f t="shared" si="174"/>
        <v>1.9294189257142926</v>
      </c>
      <c r="R645" s="34">
        <v>26.5</v>
      </c>
      <c r="S645" s="34">
        <f t="shared" si="175"/>
        <v>1.4232458739368079</v>
      </c>
      <c r="T645" s="42">
        <v>37.808596853116498</v>
      </c>
      <c r="U645" s="42">
        <f t="shared" si="176"/>
        <v>1.577590560190987</v>
      </c>
      <c r="V645">
        <v>3.0958500844125241</v>
      </c>
      <c r="W645" s="14">
        <v>3</v>
      </c>
      <c r="X645">
        <v>3.5078178355445662</v>
      </c>
      <c r="Y645">
        <v>8.8750612633917001</v>
      </c>
      <c r="Z645" s="80" t="e">
        <v>#N/A</v>
      </c>
      <c r="AA645">
        <v>1</v>
      </c>
      <c r="AB645">
        <f t="shared" si="177"/>
        <v>1</v>
      </c>
      <c r="AC645">
        <f t="shared" si="178"/>
        <v>0</v>
      </c>
      <c r="AD645">
        <f t="shared" si="179"/>
        <v>0</v>
      </c>
      <c r="AE645">
        <f t="shared" si="180"/>
        <v>0</v>
      </c>
      <c r="AF645">
        <f t="shared" si="181"/>
        <v>0</v>
      </c>
      <c r="AG645">
        <f t="shared" si="182"/>
        <v>0</v>
      </c>
      <c r="AH645">
        <f t="shared" si="183"/>
        <v>0</v>
      </c>
      <c r="AI645">
        <f t="shared" si="184"/>
        <v>0</v>
      </c>
      <c r="AJ645">
        <f t="shared" si="185"/>
        <v>0</v>
      </c>
      <c r="AK645">
        <f t="shared" si="186"/>
        <v>0</v>
      </c>
      <c r="AL645">
        <v>1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</row>
    <row r="646" spans="1:53" x14ac:dyDescent="0.35">
      <c r="A646">
        <v>0.3010299956639812</v>
      </c>
      <c r="C646">
        <v>2.9972602739726026</v>
      </c>
      <c r="D646" s="137">
        <f t="shared" si="171"/>
        <v>0.47672445754093723</v>
      </c>
      <c r="E646">
        <v>0</v>
      </c>
      <c r="F646">
        <v>1.8388490907372552</v>
      </c>
      <c r="G646" s="45">
        <v>2.95</v>
      </c>
      <c r="H646" s="29">
        <f t="shared" si="172"/>
        <v>0.46982201597816303</v>
      </c>
      <c r="I646">
        <v>0</v>
      </c>
      <c r="J646" s="34">
        <v>-0.14874165128092473</v>
      </c>
      <c r="K646">
        <v>12</v>
      </c>
      <c r="L646" s="137">
        <f t="shared" si="173"/>
        <v>1.0791812460476249</v>
      </c>
      <c r="M646">
        <f t="shared" si="170"/>
        <v>0</v>
      </c>
      <c r="N646">
        <v>70</v>
      </c>
      <c r="O646">
        <v>70</v>
      </c>
      <c r="P646">
        <v>85</v>
      </c>
      <c r="Q646" s="137">
        <f t="shared" si="174"/>
        <v>1.9294189257142926</v>
      </c>
      <c r="R646" s="34">
        <v>27.8</v>
      </c>
      <c r="S646" s="34">
        <f t="shared" si="175"/>
        <v>1.4440447959180762</v>
      </c>
      <c r="T646" s="42">
        <v>34.656907836978597</v>
      </c>
      <c r="U646" s="42">
        <f t="shared" si="176"/>
        <v>1.5397898114291337</v>
      </c>
      <c r="V646">
        <v>3.0958500844125241</v>
      </c>
      <c r="W646" s="14">
        <v>3</v>
      </c>
      <c r="X646">
        <v>3.5078178355445662</v>
      </c>
      <c r="Y646">
        <v>8.3979400086720375</v>
      </c>
      <c r="Z646" s="80">
        <v>-0.28121950498270099</v>
      </c>
      <c r="AA646">
        <v>1</v>
      </c>
      <c r="AB646">
        <f t="shared" si="177"/>
        <v>1</v>
      </c>
      <c r="AC646">
        <f t="shared" si="178"/>
        <v>0</v>
      </c>
      <c r="AD646">
        <f t="shared" si="179"/>
        <v>0</v>
      </c>
      <c r="AE646">
        <f t="shared" si="180"/>
        <v>0</v>
      </c>
      <c r="AF646">
        <f t="shared" si="181"/>
        <v>0</v>
      </c>
      <c r="AG646">
        <f t="shared" si="182"/>
        <v>0</v>
      </c>
      <c r="AH646">
        <f t="shared" si="183"/>
        <v>0</v>
      </c>
      <c r="AI646">
        <f t="shared" si="184"/>
        <v>0</v>
      </c>
      <c r="AJ646">
        <f t="shared" si="185"/>
        <v>0</v>
      </c>
      <c r="AK646">
        <f t="shared" si="186"/>
        <v>0</v>
      </c>
      <c r="AL646">
        <v>1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</row>
    <row r="647" spans="1:53" x14ac:dyDescent="0.35">
      <c r="A647">
        <v>0.51452289435065757</v>
      </c>
      <c r="C647">
        <v>5.0986301369863014</v>
      </c>
      <c r="D647" s="137">
        <f t="shared" si="171"/>
        <v>0.70745350867429235</v>
      </c>
      <c r="E647">
        <v>0</v>
      </c>
      <c r="F647">
        <v>1.3617278360175928</v>
      </c>
      <c r="G647" s="45">
        <v>2.95</v>
      </c>
      <c r="H647" s="29">
        <f t="shared" si="172"/>
        <v>0.46982201597816303</v>
      </c>
      <c r="I647">
        <v>0</v>
      </c>
      <c r="J647" s="34">
        <v>-7.0581074285707285E-2</v>
      </c>
      <c r="K647">
        <v>12</v>
      </c>
      <c r="L647" s="137">
        <f t="shared" si="173"/>
        <v>1.0791812460476249</v>
      </c>
      <c r="M647">
        <f t="shared" si="170"/>
        <v>0</v>
      </c>
      <c r="N647">
        <v>70</v>
      </c>
      <c r="O647">
        <v>70</v>
      </c>
      <c r="P647">
        <v>85</v>
      </c>
      <c r="Q647" s="137">
        <f t="shared" si="174"/>
        <v>1.9294189257142926</v>
      </c>
      <c r="R647" s="34">
        <v>27.8</v>
      </c>
      <c r="S647" s="34">
        <f t="shared" si="175"/>
        <v>1.4440447959180762</v>
      </c>
      <c r="T647" s="42">
        <v>34.656907836978597</v>
      </c>
      <c r="U647" s="42">
        <f t="shared" si="176"/>
        <v>1.5397898114291337</v>
      </c>
      <c r="V647">
        <v>3.0958500844125241</v>
      </c>
      <c r="W647" s="14">
        <v>3</v>
      </c>
      <c r="X647">
        <v>3.5078178355445662</v>
      </c>
      <c r="Y647">
        <v>8.2092200230649937</v>
      </c>
      <c r="Z647" s="80">
        <v>-0.21509178775833349</v>
      </c>
      <c r="AA647">
        <v>2</v>
      </c>
      <c r="AB647">
        <f t="shared" si="177"/>
        <v>0</v>
      </c>
      <c r="AC647">
        <f t="shared" si="178"/>
        <v>1</v>
      </c>
      <c r="AD647">
        <f t="shared" si="179"/>
        <v>0</v>
      </c>
      <c r="AE647">
        <f t="shared" si="180"/>
        <v>0</v>
      </c>
      <c r="AF647">
        <f t="shared" si="181"/>
        <v>0</v>
      </c>
      <c r="AG647">
        <f t="shared" si="182"/>
        <v>0</v>
      </c>
      <c r="AH647">
        <f t="shared" si="183"/>
        <v>0</v>
      </c>
      <c r="AI647">
        <f t="shared" si="184"/>
        <v>0</v>
      </c>
      <c r="AJ647">
        <f t="shared" si="185"/>
        <v>0</v>
      </c>
      <c r="AK647">
        <f t="shared" si="186"/>
        <v>0</v>
      </c>
      <c r="AL647">
        <v>1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</row>
    <row r="648" spans="1:53" x14ac:dyDescent="0.35">
      <c r="A648">
        <v>-6.6406958011195921E-2</v>
      </c>
      <c r="C648">
        <v>5.7643835616438359</v>
      </c>
      <c r="D648" s="137">
        <f t="shared" si="171"/>
        <v>0.76075287102522682</v>
      </c>
      <c r="E648">
        <v>0</v>
      </c>
      <c r="F648">
        <v>0.47712125471966244</v>
      </c>
      <c r="G648" s="45">
        <v>2.95</v>
      </c>
      <c r="H648" s="29">
        <f t="shared" si="172"/>
        <v>0.46982201597816303</v>
      </c>
      <c r="I648">
        <v>0</v>
      </c>
      <c r="J648" s="34">
        <v>-8.092190762392612E-2</v>
      </c>
      <c r="K648">
        <v>12</v>
      </c>
      <c r="L648" s="137">
        <f t="shared" si="173"/>
        <v>1.0791812460476249</v>
      </c>
      <c r="M648">
        <f t="shared" si="170"/>
        <v>0</v>
      </c>
      <c r="N648">
        <v>70</v>
      </c>
      <c r="O648">
        <v>70</v>
      </c>
      <c r="P648">
        <v>85</v>
      </c>
      <c r="Q648" s="137">
        <f t="shared" si="174"/>
        <v>1.9294189257142926</v>
      </c>
      <c r="R648" s="34">
        <v>27.8</v>
      </c>
      <c r="S648" s="34">
        <f>LOG(R648)</f>
        <v>1.4440447959180762</v>
      </c>
      <c r="T648" s="42">
        <v>34.656907836978597</v>
      </c>
      <c r="U648" s="42">
        <f>LOG(T648)</f>
        <v>1.5397898114291337</v>
      </c>
      <c r="V648">
        <v>3.0958500844125241</v>
      </c>
      <c r="W648" s="14">
        <v>3</v>
      </c>
      <c r="X648">
        <v>3.5078178355445662</v>
      </c>
      <c r="Y648">
        <v>8.6042260530844707</v>
      </c>
      <c r="Z648" s="80">
        <v>-0.15740749090012829</v>
      </c>
      <c r="AA648">
        <v>5</v>
      </c>
      <c r="AB648">
        <f t="shared" si="177"/>
        <v>0</v>
      </c>
      <c r="AC648">
        <f t="shared" si="178"/>
        <v>0</v>
      </c>
      <c r="AD648">
        <f t="shared" si="179"/>
        <v>0</v>
      </c>
      <c r="AE648">
        <f t="shared" si="180"/>
        <v>0</v>
      </c>
      <c r="AF648">
        <f t="shared" si="181"/>
        <v>1</v>
      </c>
      <c r="AG648">
        <f t="shared" si="182"/>
        <v>0</v>
      </c>
      <c r="AH648">
        <f t="shared" si="183"/>
        <v>0</v>
      </c>
      <c r="AI648">
        <f t="shared" si="184"/>
        <v>0</v>
      </c>
      <c r="AJ648">
        <f t="shared" si="185"/>
        <v>0</v>
      </c>
      <c r="AK648">
        <f t="shared" si="186"/>
        <v>0</v>
      </c>
      <c r="AL648">
        <v>1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</row>
    <row r="649" spans="1:53" x14ac:dyDescent="0.35">
      <c r="A649">
        <v>0.13448405451453033</v>
      </c>
      <c r="C649">
        <v>6.6739726027397257</v>
      </c>
      <c r="D649" s="137">
        <f t="shared" si="171"/>
        <v>0.82438441950436303</v>
      </c>
      <c r="E649">
        <v>0</v>
      </c>
      <c r="F649">
        <v>1.0791812460476249</v>
      </c>
      <c r="G649" s="45">
        <v>2.95</v>
      </c>
      <c r="H649" s="29">
        <f t="shared" si="172"/>
        <v>0.46982201597816303</v>
      </c>
      <c r="I649">
        <v>0</v>
      </c>
      <c r="J649" s="34">
        <v>3.7426497940623665E-2</v>
      </c>
      <c r="K649">
        <v>13</v>
      </c>
      <c r="L649" s="137">
        <f t="shared" si="173"/>
        <v>1.1139433523068367</v>
      </c>
      <c r="M649">
        <f t="shared" si="170"/>
        <v>0</v>
      </c>
      <c r="N649">
        <v>70</v>
      </c>
      <c r="O649">
        <v>70</v>
      </c>
      <c r="P649">
        <v>85</v>
      </c>
      <c r="Q649" s="137">
        <f t="shared" si="174"/>
        <v>1.9294189257142926</v>
      </c>
      <c r="R649" s="34">
        <v>28.2</v>
      </c>
      <c r="S649" s="34">
        <f t="shared" ref="S649:S701" si="187">LOG(R649)</f>
        <v>1.4502491083193612</v>
      </c>
      <c r="T649" s="42">
        <v>34.298950279384798</v>
      </c>
      <c r="U649" s="42">
        <f t="shared" ref="U649:U701" si="188">LOG(T649)</f>
        <v>1.5352808286478177</v>
      </c>
      <c r="V649">
        <v>3.0958500844125241</v>
      </c>
      <c r="W649" s="14">
        <v>3</v>
      </c>
      <c r="X649">
        <v>3.5078178355445662</v>
      </c>
      <c r="Y649">
        <v>7.8293037728310253</v>
      </c>
      <c r="Z649" s="80">
        <v>0.10835571557386792</v>
      </c>
      <c r="AA649">
        <v>5</v>
      </c>
      <c r="AB649">
        <f t="shared" si="177"/>
        <v>0</v>
      </c>
      <c r="AC649">
        <f t="shared" si="178"/>
        <v>0</v>
      </c>
      <c r="AD649">
        <f t="shared" si="179"/>
        <v>0</v>
      </c>
      <c r="AE649">
        <f t="shared" si="180"/>
        <v>0</v>
      </c>
      <c r="AF649">
        <f t="shared" si="181"/>
        <v>1</v>
      </c>
      <c r="AG649">
        <f t="shared" si="182"/>
        <v>0</v>
      </c>
      <c r="AH649">
        <f t="shared" si="183"/>
        <v>0</v>
      </c>
      <c r="AI649">
        <f t="shared" si="184"/>
        <v>0</v>
      </c>
      <c r="AJ649">
        <f t="shared" si="185"/>
        <v>0</v>
      </c>
      <c r="AK649">
        <f t="shared" si="186"/>
        <v>0</v>
      </c>
      <c r="AL649">
        <v>1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</row>
    <row r="650" spans="1:53" x14ac:dyDescent="0.35">
      <c r="A650">
        <v>0.28940640628560588</v>
      </c>
      <c r="C650">
        <v>5.8931506849315065</v>
      </c>
      <c r="D650" s="137">
        <f t="shared" si="171"/>
        <v>0.77034754593098786</v>
      </c>
      <c r="E650">
        <v>0</v>
      </c>
      <c r="F650">
        <v>0</v>
      </c>
      <c r="G650" s="45">
        <v>2.95</v>
      </c>
      <c r="H650" s="29">
        <f t="shared" si="172"/>
        <v>0.46982201597816303</v>
      </c>
      <c r="I650">
        <v>0</v>
      </c>
      <c r="J650" s="34">
        <v>0.14921911265537988</v>
      </c>
      <c r="K650">
        <v>14</v>
      </c>
      <c r="L650" s="137">
        <f t="shared" si="173"/>
        <v>1.146128035678238</v>
      </c>
      <c r="M650">
        <f t="shared" si="170"/>
        <v>0</v>
      </c>
      <c r="N650">
        <v>70</v>
      </c>
      <c r="O650">
        <v>70</v>
      </c>
      <c r="P650">
        <v>85</v>
      </c>
      <c r="Q650" s="137">
        <f t="shared" si="174"/>
        <v>1.9294189257142926</v>
      </c>
      <c r="R650" s="34">
        <v>27.2</v>
      </c>
      <c r="S650" s="34">
        <f t="shared" si="187"/>
        <v>1.4345689040341987</v>
      </c>
      <c r="T650" s="42">
        <v>35.608384832026097</v>
      </c>
      <c r="U650" s="42">
        <f t="shared" si="188"/>
        <v>1.5515522748692276</v>
      </c>
      <c r="V650">
        <v>3.0958500844125241</v>
      </c>
      <c r="W650" s="14">
        <v>3</v>
      </c>
      <c r="X650">
        <v>3.5078178355445662</v>
      </c>
      <c r="Y650">
        <v>8.6106601630898805</v>
      </c>
      <c r="Z650" s="80">
        <v>0.38648948423702079</v>
      </c>
      <c r="AA650">
        <v>2</v>
      </c>
      <c r="AB650">
        <f t="shared" si="177"/>
        <v>0</v>
      </c>
      <c r="AC650">
        <f t="shared" si="178"/>
        <v>1</v>
      </c>
      <c r="AD650">
        <f t="shared" si="179"/>
        <v>0</v>
      </c>
      <c r="AE650">
        <f t="shared" si="180"/>
        <v>0</v>
      </c>
      <c r="AF650">
        <f t="shared" si="181"/>
        <v>0</v>
      </c>
      <c r="AG650">
        <f t="shared" si="182"/>
        <v>0</v>
      </c>
      <c r="AH650">
        <f t="shared" si="183"/>
        <v>0</v>
      </c>
      <c r="AI650">
        <f t="shared" si="184"/>
        <v>0</v>
      </c>
      <c r="AJ650">
        <f t="shared" si="185"/>
        <v>0</v>
      </c>
      <c r="AK650">
        <f t="shared" si="186"/>
        <v>0</v>
      </c>
      <c r="AL650">
        <v>1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</row>
    <row r="651" spans="1:53" x14ac:dyDescent="0.35">
      <c r="A651">
        <v>-2</v>
      </c>
      <c r="C651">
        <v>7.6219178082191785</v>
      </c>
      <c r="D651" s="137">
        <f t="shared" si="171"/>
        <v>0.88206426119955295</v>
      </c>
      <c r="E651">
        <v>0</v>
      </c>
      <c r="F651">
        <v>1.2041199826559248</v>
      </c>
      <c r="G651" s="45">
        <v>2.95</v>
      </c>
      <c r="H651" s="29">
        <f t="shared" si="172"/>
        <v>0.46982201597816303</v>
      </c>
      <c r="I651">
        <v>0</v>
      </c>
      <c r="J651" s="34">
        <v>-0.16115090926274472</v>
      </c>
      <c r="K651">
        <v>14</v>
      </c>
      <c r="L651" s="137">
        <f t="shared" si="173"/>
        <v>1.146128035678238</v>
      </c>
      <c r="M651">
        <f t="shared" si="170"/>
        <v>0</v>
      </c>
      <c r="N651">
        <v>70</v>
      </c>
      <c r="O651">
        <v>70</v>
      </c>
      <c r="P651">
        <v>85</v>
      </c>
      <c r="Q651" s="137">
        <f t="shared" si="174"/>
        <v>1.9294189257142926</v>
      </c>
      <c r="R651" s="34">
        <v>27.2</v>
      </c>
      <c r="S651" s="34">
        <f t="shared" si="187"/>
        <v>1.4345689040341987</v>
      </c>
      <c r="T651" s="42">
        <v>35.608384832026097</v>
      </c>
      <c r="U651" s="42">
        <f t="shared" si="188"/>
        <v>1.5515522748692276</v>
      </c>
      <c r="V651">
        <v>3.0958500844125241</v>
      </c>
      <c r="W651" s="14">
        <v>3</v>
      </c>
      <c r="X651">
        <v>3.5078178355445662</v>
      </c>
      <c r="Y651">
        <v>8.2787536009528289</v>
      </c>
      <c r="Z651" s="80">
        <v>-0.24145490057556052</v>
      </c>
      <c r="AA651">
        <v>5</v>
      </c>
      <c r="AB651">
        <f t="shared" si="177"/>
        <v>0</v>
      </c>
      <c r="AC651">
        <f t="shared" si="178"/>
        <v>0</v>
      </c>
      <c r="AD651">
        <f t="shared" si="179"/>
        <v>0</v>
      </c>
      <c r="AE651">
        <f t="shared" si="180"/>
        <v>0</v>
      </c>
      <c r="AF651">
        <f t="shared" si="181"/>
        <v>1</v>
      </c>
      <c r="AG651">
        <f t="shared" si="182"/>
        <v>0</v>
      </c>
      <c r="AH651">
        <f t="shared" si="183"/>
        <v>0</v>
      </c>
      <c r="AI651">
        <f t="shared" si="184"/>
        <v>0</v>
      </c>
      <c r="AJ651">
        <f t="shared" si="185"/>
        <v>0</v>
      </c>
      <c r="AK651">
        <f t="shared" si="186"/>
        <v>0</v>
      </c>
      <c r="AL651">
        <v>1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</row>
    <row r="652" spans="1:53" x14ac:dyDescent="0.35">
      <c r="A652">
        <v>-2</v>
      </c>
      <c r="C652">
        <v>4.956164383561644</v>
      </c>
      <c r="D652" s="137">
        <f t="shared" si="171"/>
        <v>0.69514570240333906</v>
      </c>
      <c r="E652">
        <v>0</v>
      </c>
      <c r="F652">
        <v>0.6020599913279624</v>
      </c>
      <c r="G652" s="45">
        <v>2.95</v>
      </c>
      <c r="H652" s="29">
        <f t="shared" si="172"/>
        <v>0.46982201597816303</v>
      </c>
      <c r="I652">
        <v>0</v>
      </c>
      <c r="J652" s="34">
        <v>1.703333929878037E-2</v>
      </c>
      <c r="K652">
        <v>14</v>
      </c>
      <c r="L652" s="137">
        <f t="shared" si="173"/>
        <v>1.146128035678238</v>
      </c>
      <c r="M652">
        <f t="shared" si="170"/>
        <v>0</v>
      </c>
      <c r="N652">
        <v>70</v>
      </c>
      <c r="O652">
        <v>70</v>
      </c>
      <c r="P652">
        <v>85</v>
      </c>
      <c r="Q652" s="137">
        <f t="shared" si="174"/>
        <v>1.9294189257142926</v>
      </c>
      <c r="R652" s="34">
        <v>27.2</v>
      </c>
      <c r="S652" s="34">
        <f t="shared" si="187"/>
        <v>1.4345689040341987</v>
      </c>
      <c r="T652" s="42">
        <v>35.608384832026097</v>
      </c>
      <c r="U652" s="42">
        <f t="shared" si="188"/>
        <v>1.5515522748692276</v>
      </c>
      <c r="V652">
        <v>3.0958500844125241</v>
      </c>
      <c r="W652" s="14">
        <v>3</v>
      </c>
      <c r="X652">
        <v>3.5078178355445662</v>
      </c>
      <c r="Y652">
        <v>7.3010299956639813</v>
      </c>
      <c r="Z652" s="80">
        <v>9.4497173192843009E-2</v>
      </c>
      <c r="AA652">
        <v>9</v>
      </c>
      <c r="AB652">
        <f t="shared" si="177"/>
        <v>0</v>
      </c>
      <c r="AC652">
        <f t="shared" si="178"/>
        <v>0</v>
      </c>
      <c r="AD652">
        <f t="shared" si="179"/>
        <v>0</v>
      </c>
      <c r="AE652">
        <f t="shared" si="180"/>
        <v>0</v>
      </c>
      <c r="AF652">
        <f t="shared" si="181"/>
        <v>0</v>
      </c>
      <c r="AG652">
        <f t="shared" si="182"/>
        <v>0</v>
      </c>
      <c r="AH652">
        <f t="shared" si="183"/>
        <v>0</v>
      </c>
      <c r="AI652">
        <f t="shared" si="184"/>
        <v>0</v>
      </c>
      <c r="AJ652">
        <f t="shared" si="185"/>
        <v>1</v>
      </c>
      <c r="AK652">
        <f t="shared" si="186"/>
        <v>0</v>
      </c>
      <c r="AL652">
        <v>1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</row>
    <row r="653" spans="1:53" x14ac:dyDescent="0.35">
      <c r="A653">
        <v>-2</v>
      </c>
      <c r="C653">
        <v>2.117808219178082</v>
      </c>
      <c r="D653" s="137">
        <f t="shared" si="171"/>
        <v>0.32588662946185015</v>
      </c>
      <c r="E653">
        <v>0</v>
      </c>
      <c r="F653">
        <v>1.7923916894982539</v>
      </c>
      <c r="G653" s="45">
        <v>2.95</v>
      </c>
      <c r="H653" s="29">
        <f t="shared" si="172"/>
        <v>0.46982201597816303</v>
      </c>
      <c r="I653">
        <v>0</v>
      </c>
      <c r="J653" s="34">
        <v>0.12385164096708581</v>
      </c>
      <c r="K653">
        <v>15</v>
      </c>
      <c r="L653" s="137">
        <f t="shared" si="173"/>
        <v>1.1760912590556813</v>
      </c>
      <c r="M653">
        <f t="shared" si="170"/>
        <v>0</v>
      </c>
      <c r="N653">
        <v>70</v>
      </c>
      <c r="O653">
        <v>70</v>
      </c>
      <c r="P653">
        <v>85</v>
      </c>
      <c r="Q653" s="137">
        <f t="shared" si="174"/>
        <v>1.9294189257142926</v>
      </c>
      <c r="R653" s="34">
        <v>24.9</v>
      </c>
      <c r="S653" s="34">
        <f t="shared" si="187"/>
        <v>1.3961993470957363</v>
      </c>
      <c r="T653" s="42">
        <v>36.710134890601303</v>
      </c>
      <c r="U653" s="42">
        <f t="shared" si="188"/>
        <v>1.564785980312654</v>
      </c>
      <c r="V653">
        <v>3.0958500844125241</v>
      </c>
      <c r="W653" s="14">
        <v>3</v>
      </c>
      <c r="X653">
        <v>3.5078178355445662</v>
      </c>
      <c r="Y653">
        <v>7.1760912590556813</v>
      </c>
      <c r="Z653" s="80">
        <v>0.22316766877235716</v>
      </c>
      <c r="AA653">
        <v>1</v>
      </c>
      <c r="AB653">
        <f t="shared" si="177"/>
        <v>1</v>
      </c>
      <c r="AC653">
        <f t="shared" si="178"/>
        <v>0</v>
      </c>
      <c r="AD653">
        <f t="shared" si="179"/>
        <v>0</v>
      </c>
      <c r="AE653">
        <f t="shared" si="180"/>
        <v>0</v>
      </c>
      <c r="AF653">
        <f t="shared" si="181"/>
        <v>0</v>
      </c>
      <c r="AG653">
        <f t="shared" si="182"/>
        <v>0</v>
      </c>
      <c r="AH653">
        <f t="shared" si="183"/>
        <v>0</v>
      </c>
      <c r="AI653">
        <f t="shared" si="184"/>
        <v>0</v>
      </c>
      <c r="AJ653">
        <f t="shared" si="185"/>
        <v>0</v>
      </c>
      <c r="AK653">
        <f t="shared" si="186"/>
        <v>0</v>
      </c>
      <c r="AL653">
        <v>1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</row>
    <row r="654" spans="1:53" x14ac:dyDescent="0.35">
      <c r="A654">
        <v>0.49277276362124844</v>
      </c>
      <c r="C654">
        <v>3.8493150684931505</v>
      </c>
      <c r="D654" s="137">
        <f t="shared" si="171"/>
        <v>0.58538345978462403</v>
      </c>
      <c r="E654">
        <v>0</v>
      </c>
      <c r="F654">
        <v>0</v>
      </c>
      <c r="G654" s="45">
        <v>2.95</v>
      </c>
      <c r="H654" s="29">
        <f t="shared" si="172"/>
        <v>0.46982201597816303</v>
      </c>
      <c r="I654">
        <v>0</v>
      </c>
      <c r="J654" s="34">
        <v>0.1553360374650618</v>
      </c>
      <c r="K654">
        <v>15</v>
      </c>
      <c r="L654" s="137">
        <f t="shared" si="173"/>
        <v>1.1760912590556813</v>
      </c>
      <c r="M654">
        <f t="shared" si="170"/>
        <v>0</v>
      </c>
      <c r="N654">
        <v>70</v>
      </c>
      <c r="O654">
        <v>70</v>
      </c>
      <c r="P654">
        <v>85</v>
      </c>
      <c r="Q654" s="137">
        <f t="shared" si="174"/>
        <v>1.9294189257142926</v>
      </c>
      <c r="R654" s="34">
        <v>24.9</v>
      </c>
      <c r="S654" s="34">
        <f t="shared" si="187"/>
        <v>1.3961993470957363</v>
      </c>
      <c r="T654" s="42">
        <v>36.710134890601303</v>
      </c>
      <c r="U654" s="42">
        <f t="shared" si="188"/>
        <v>1.564785980312654</v>
      </c>
      <c r="V654">
        <v>3.0958500844125241</v>
      </c>
      <c r="W654" s="14">
        <v>3</v>
      </c>
      <c r="X654">
        <v>3.5078178355445662</v>
      </c>
      <c r="Y654">
        <v>8.7684901051712458</v>
      </c>
      <c r="Z654" s="80">
        <v>0.53162951594676344</v>
      </c>
      <c r="AA654">
        <v>1</v>
      </c>
      <c r="AB654">
        <f t="shared" si="177"/>
        <v>1</v>
      </c>
      <c r="AC654">
        <f t="shared" si="178"/>
        <v>0</v>
      </c>
      <c r="AD654">
        <f t="shared" si="179"/>
        <v>0</v>
      </c>
      <c r="AE654">
        <f t="shared" si="180"/>
        <v>0</v>
      </c>
      <c r="AF654">
        <f t="shared" si="181"/>
        <v>0</v>
      </c>
      <c r="AG654">
        <f t="shared" si="182"/>
        <v>0</v>
      </c>
      <c r="AH654">
        <f t="shared" si="183"/>
        <v>0</v>
      </c>
      <c r="AI654">
        <f t="shared" si="184"/>
        <v>0</v>
      </c>
      <c r="AJ654">
        <f t="shared" si="185"/>
        <v>0</v>
      </c>
      <c r="AK654">
        <f t="shared" si="186"/>
        <v>0</v>
      </c>
      <c r="AL654">
        <v>1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</row>
    <row r="655" spans="1:53" x14ac:dyDescent="0.35">
      <c r="A655">
        <v>0.33579210192319309</v>
      </c>
      <c r="C655">
        <v>1.3616438356164384</v>
      </c>
      <c r="D655" s="137">
        <f t="shared" si="171"/>
        <v>0.13406352427685744</v>
      </c>
      <c r="E655">
        <v>0</v>
      </c>
      <c r="F655">
        <v>1.6812412373755872</v>
      </c>
      <c r="G655" s="45">
        <v>2.95</v>
      </c>
      <c r="H655" s="29">
        <f t="shared" si="172"/>
        <v>0.46982201597816303</v>
      </c>
      <c r="I655">
        <v>0</v>
      </c>
      <c r="J655" s="34">
        <v>0.12057393120584989</v>
      </c>
      <c r="K655">
        <v>16</v>
      </c>
      <c r="L655" s="137">
        <f t="shared" si="173"/>
        <v>1.2041199826559248</v>
      </c>
      <c r="M655">
        <f t="shared" si="170"/>
        <v>0</v>
      </c>
      <c r="N655">
        <v>70</v>
      </c>
      <c r="O655">
        <v>70</v>
      </c>
      <c r="P655">
        <v>85</v>
      </c>
      <c r="Q655" s="137">
        <f t="shared" si="174"/>
        <v>1.9294189257142926</v>
      </c>
      <c r="R655" s="34">
        <v>24.4</v>
      </c>
      <c r="S655" s="34">
        <f t="shared" si="187"/>
        <v>1.3873898263387294</v>
      </c>
      <c r="T655" s="42">
        <v>37.256914365427299</v>
      </c>
      <c r="U655" s="42">
        <f t="shared" si="188"/>
        <v>1.5712068835833228</v>
      </c>
      <c r="V655">
        <v>3.0958500844125241</v>
      </c>
      <c r="W655" s="14">
        <v>3</v>
      </c>
      <c r="X655">
        <v>3.5078178355445662</v>
      </c>
      <c r="Y655">
        <v>8.4771212547196626</v>
      </c>
      <c r="Z655" s="80">
        <v>0.26203974051646739</v>
      </c>
      <c r="AA655">
        <v>1</v>
      </c>
      <c r="AB655">
        <f t="shared" si="177"/>
        <v>1</v>
      </c>
      <c r="AC655">
        <f t="shared" si="178"/>
        <v>0</v>
      </c>
      <c r="AD655">
        <f t="shared" si="179"/>
        <v>0</v>
      </c>
      <c r="AE655">
        <f t="shared" si="180"/>
        <v>0</v>
      </c>
      <c r="AF655">
        <f t="shared" si="181"/>
        <v>0</v>
      </c>
      <c r="AG655">
        <f t="shared" si="182"/>
        <v>0</v>
      </c>
      <c r="AH655">
        <f t="shared" si="183"/>
        <v>0</v>
      </c>
      <c r="AI655">
        <f t="shared" si="184"/>
        <v>0</v>
      </c>
      <c r="AJ655">
        <f t="shared" si="185"/>
        <v>0</v>
      </c>
      <c r="AK655">
        <f t="shared" si="186"/>
        <v>0</v>
      </c>
      <c r="AL655">
        <v>1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</row>
    <row r="656" spans="1:53" x14ac:dyDescent="0.35">
      <c r="A656">
        <v>8.8136088700551299E-2</v>
      </c>
      <c r="C656">
        <v>7.7808219178082192</v>
      </c>
      <c r="D656" s="137">
        <f t="shared" si="171"/>
        <v>0.891025475590563</v>
      </c>
      <c r="E656">
        <v>0</v>
      </c>
      <c r="F656">
        <v>1.6627578316815741</v>
      </c>
      <c r="G656" s="45">
        <v>2.95</v>
      </c>
      <c r="H656" s="29">
        <f t="shared" si="172"/>
        <v>0.46982201597816303</v>
      </c>
      <c r="I656">
        <v>0</v>
      </c>
      <c r="J656" s="34">
        <v>0.12385164096708581</v>
      </c>
      <c r="K656">
        <v>16</v>
      </c>
      <c r="L656" s="137">
        <f t="shared" si="173"/>
        <v>1.2041199826559248</v>
      </c>
      <c r="M656">
        <f t="shared" si="170"/>
        <v>0</v>
      </c>
      <c r="N656">
        <v>70</v>
      </c>
      <c r="O656">
        <v>70</v>
      </c>
      <c r="P656">
        <v>85</v>
      </c>
      <c r="Q656" s="137">
        <f t="shared" si="174"/>
        <v>1.9294189257142926</v>
      </c>
      <c r="R656" s="34">
        <v>24.4</v>
      </c>
      <c r="S656" s="34">
        <f t="shared" si="187"/>
        <v>1.3873898263387294</v>
      </c>
      <c r="T656" s="42">
        <v>37.256914365427299</v>
      </c>
      <c r="U656" s="42">
        <f t="shared" si="188"/>
        <v>1.5712068835833228</v>
      </c>
      <c r="V656">
        <v>3.0958500844125241</v>
      </c>
      <c r="W656" s="14">
        <v>3</v>
      </c>
      <c r="X656">
        <v>3.5078178355445662</v>
      </c>
      <c r="Y656">
        <v>8.9030899869919438</v>
      </c>
      <c r="Z656" s="80">
        <v>0.52333664828957893</v>
      </c>
      <c r="AA656">
        <v>5</v>
      </c>
      <c r="AB656">
        <f t="shared" si="177"/>
        <v>0</v>
      </c>
      <c r="AC656">
        <f t="shared" si="178"/>
        <v>0</v>
      </c>
      <c r="AD656">
        <f t="shared" si="179"/>
        <v>0</v>
      </c>
      <c r="AE656">
        <f t="shared" si="180"/>
        <v>0</v>
      </c>
      <c r="AF656">
        <f t="shared" si="181"/>
        <v>1</v>
      </c>
      <c r="AG656">
        <f t="shared" si="182"/>
        <v>0</v>
      </c>
      <c r="AH656">
        <f t="shared" si="183"/>
        <v>0</v>
      </c>
      <c r="AI656">
        <f t="shared" si="184"/>
        <v>0</v>
      </c>
      <c r="AJ656">
        <f t="shared" si="185"/>
        <v>0</v>
      </c>
      <c r="AK656">
        <f t="shared" si="186"/>
        <v>0</v>
      </c>
      <c r="AL656">
        <v>1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</row>
    <row r="657" spans="1:53" x14ac:dyDescent="0.35">
      <c r="A657">
        <v>-5.7991946977686754E-2</v>
      </c>
      <c r="C657">
        <v>4.6684931506849319</v>
      </c>
      <c r="D657" s="137">
        <f t="shared" si="171"/>
        <v>0.66917672597420663</v>
      </c>
      <c r="E657">
        <v>0</v>
      </c>
      <c r="F657">
        <v>1.4771212547196624</v>
      </c>
      <c r="G657" s="45">
        <v>2.95</v>
      </c>
      <c r="H657" s="29">
        <f t="shared" si="172"/>
        <v>0.46982201597816303</v>
      </c>
      <c r="I657">
        <v>0</v>
      </c>
      <c r="J657" s="34">
        <v>1.2837224705172217E-2</v>
      </c>
      <c r="K657">
        <v>21</v>
      </c>
      <c r="L657" s="137">
        <f t="shared" si="173"/>
        <v>1.3222192947339193</v>
      </c>
      <c r="M657">
        <f t="shared" si="170"/>
        <v>0</v>
      </c>
      <c r="N657">
        <v>70</v>
      </c>
      <c r="O657">
        <v>70</v>
      </c>
      <c r="P657">
        <v>93.2</v>
      </c>
      <c r="Q657" s="137">
        <f t="shared" si="174"/>
        <v>1.9694159123539814</v>
      </c>
      <c r="R657" s="34">
        <v>26.7</v>
      </c>
      <c r="S657" s="34">
        <f t="shared" si="187"/>
        <v>1.4265112613645752</v>
      </c>
      <c r="T657" s="42">
        <v>36.669158714517401</v>
      </c>
      <c r="U657" s="42">
        <f t="shared" si="188"/>
        <v>1.5643009462345601</v>
      </c>
      <c r="V657">
        <v>3.3647319918335836</v>
      </c>
      <c r="W657" s="14">
        <v>4</v>
      </c>
      <c r="X657">
        <v>3.568659604598353</v>
      </c>
      <c r="Y657">
        <v>8.6020599913279625</v>
      </c>
      <c r="Z657" s="80">
        <v>4.2996317133535245E-2</v>
      </c>
      <c r="AA657">
        <v>5</v>
      </c>
      <c r="AB657">
        <f t="shared" si="177"/>
        <v>0</v>
      </c>
      <c r="AC657">
        <f t="shared" si="178"/>
        <v>0</v>
      </c>
      <c r="AD657">
        <f t="shared" si="179"/>
        <v>0</v>
      </c>
      <c r="AE657">
        <f t="shared" si="180"/>
        <v>0</v>
      </c>
      <c r="AF657">
        <f t="shared" si="181"/>
        <v>1</v>
      </c>
      <c r="AG657">
        <f t="shared" si="182"/>
        <v>0</v>
      </c>
      <c r="AH657">
        <f t="shared" si="183"/>
        <v>0</v>
      </c>
      <c r="AI657">
        <f t="shared" si="184"/>
        <v>0</v>
      </c>
      <c r="AJ657">
        <f t="shared" si="185"/>
        <v>0</v>
      </c>
      <c r="AK657">
        <f t="shared" si="186"/>
        <v>0</v>
      </c>
      <c r="AL657">
        <v>1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</row>
    <row r="658" spans="1:53" x14ac:dyDescent="0.35">
      <c r="A658">
        <v>6.1815356523527966E-2</v>
      </c>
      <c r="C658">
        <v>8.0164383561643842</v>
      </c>
      <c r="D658" s="137">
        <f t="shared" si="171"/>
        <v>0.90398145733281732</v>
      </c>
      <c r="E658">
        <v>0</v>
      </c>
      <c r="F658">
        <v>1</v>
      </c>
      <c r="G658" s="45">
        <v>2.95</v>
      </c>
      <c r="H658" s="29">
        <f t="shared" si="172"/>
        <v>0.46982201597816303</v>
      </c>
      <c r="I658">
        <v>0</v>
      </c>
      <c r="J658" s="34">
        <v>0.1553360374650618</v>
      </c>
      <c r="K658">
        <v>22</v>
      </c>
      <c r="L658" s="137">
        <f t="shared" si="173"/>
        <v>1.3424226808222062</v>
      </c>
      <c r="M658">
        <f t="shared" si="170"/>
        <v>0</v>
      </c>
      <c r="N658">
        <v>70</v>
      </c>
      <c r="O658">
        <v>70</v>
      </c>
      <c r="P658">
        <v>91.4</v>
      </c>
      <c r="Q658" s="137">
        <f t="shared" si="174"/>
        <v>1.9609461957338314</v>
      </c>
      <c r="R658" s="34">
        <v>26.7</v>
      </c>
      <c r="S658" s="34">
        <f t="shared" si="187"/>
        <v>1.4265112613645752</v>
      </c>
      <c r="T658" s="42">
        <v>37.425715444240403</v>
      </c>
      <c r="U658" s="42">
        <f t="shared" si="188"/>
        <v>1.5731701112332821</v>
      </c>
      <c r="V658">
        <v>3.3647319918335836</v>
      </c>
      <c r="W658" s="14">
        <v>4</v>
      </c>
      <c r="X658">
        <v>3.568659604598353</v>
      </c>
      <c r="Y658">
        <v>9.3344537511509316</v>
      </c>
      <c r="Z658" s="80">
        <v>0.1180287520685892</v>
      </c>
      <c r="AA658">
        <v>7</v>
      </c>
      <c r="AB658">
        <f t="shared" si="177"/>
        <v>0</v>
      </c>
      <c r="AC658">
        <f t="shared" si="178"/>
        <v>0</v>
      </c>
      <c r="AD658">
        <f t="shared" si="179"/>
        <v>0</v>
      </c>
      <c r="AE658">
        <f t="shared" si="180"/>
        <v>0</v>
      </c>
      <c r="AF658">
        <f t="shared" si="181"/>
        <v>0</v>
      </c>
      <c r="AG658">
        <f t="shared" si="182"/>
        <v>0</v>
      </c>
      <c r="AH658">
        <f t="shared" si="183"/>
        <v>1</v>
      </c>
      <c r="AI658">
        <f t="shared" si="184"/>
        <v>0</v>
      </c>
      <c r="AJ658">
        <f t="shared" si="185"/>
        <v>0</v>
      </c>
      <c r="AK658">
        <f t="shared" si="186"/>
        <v>0</v>
      </c>
      <c r="AL658">
        <v>1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</row>
    <row r="659" spans="1:53" x14ac:dyDescent="0.35">
      <c r="A659">
        <v>6.857641436412143E-2</v>
      </c>
      <c r="C659">
        <v>7.7479452054794518</v>
      </c>
      <c r="D659" s="137">
        <f t="shared" si="171"/>
        <v>0.88918654066838709</v>
      </c>
      <c r="E659">
        <v>0</v>
      </c>
      <c r="F659">
        <v>1.4913616938342726</v>
      </c>
      <c r="G659" s="45">
        <v>2.95</v>
      </c>
      <c r="H659" s="29">
        <f t="shared" si="172"/>
        <v>0.46982201597816303</v>
      </c>
      <c r="I659">
        <v>0</v>
      </c>
      <c r="J659" s="34">
        <v>0.13987908640123647</v>
      </c>
      <c r="K659">
        <v>22</v>
      </c>
      <c r="L659" s="137">
        <f t="shared" si="173"/>
        <v>1.3424226808222062</v>
      </c>
      <c r="M659">
        <f t="shared" si="170"/>
        <v>0</v>
      </c>
      <c r="N659">
        <v>70</v>
      </c>
      <c r="O659">
        <v>70</v>
      </c>
      <c r="P659">
        <v>91.4</v>
      </c>
      <c r="Q659" s="137">
        <f t="shared" si="174"/>
        <v>1.9609461957338314</v>
      </c>
      <c r="R659" s="34">
        <v>26.7</v>
      </c>
      <c r="S659" s="34">
        <f t="shared" si="187"/>
        <v>1.4265112613645752</v>
      </c>
      <c r="T659" s="42">
        <v>37.425715444240403</v>
      </c>
      <c r="U659" s="42">
        <f t="shared" si="188"/>
        <v>1.5731701112332821</v>
      </c>
      <c r="V659">
        <v>3.3647319918335836</v>
      </c>
      <c r="W659" s="14">
        <v>4</v>
      </c>
      <c r="X659">
        <v>3.568659604598353</v>
      </c>
      <c r="Y659">
        <v>10.056904851336473</v>
      </c>
      <c r="Z659" s="80">
        <v>0.12925406117546778</v>
      </c>
      <c r="AA659">
        <v>2</v>
      </c>
      <c r="AB659">
        <f t="shared" si="177"/>
        <v>0</v>
      </c>
      <c r="AC659">
        <f t="shared" si="178"/>
        <v>1</v>
      </c>
      <c r="AD659">
        <f t="shared" si="179"/>
        <v>0</v>
      </c>
      <c r="AE659">
        <f t="shared" si="180"/>
        <v>0</v>
      </c>
      <c r="AF659">
        <f t="shared" si="181"/>
        <v>0</v>
      </c>
      <c r="AG659">
        <f t="shared" si="182"/>
        <v>0</v>
      </c>
      <c r="AH659">
        <f t="shared" si="183"/>
        <v>0</v>
      </c>
      <c r="AI659">
        <f t="shared" si="184"/>
        <v>0</v>
      </c>
      <c r="AJ659">
        <f t="shared" si="185"/>
        <v>0</v>
      </c>
      <c r="AK659">
        <f t="shared" si="186"/>
        <v>0</v>
      </c>
      <c r="AL659">
        <v>1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</row>
    <row r="660" spans="1:53" x14ac:dyDescent="0.35">
      <c r="A660">
        <v>0.38021124171160603</v>
      </c>
      <c r="C660">
        <v>7.3589041095890408</v>
      </c>
      <c r="D660" s="137">
        <f t="shared" si="171"/>
        <v>0.86681314387622188</v>
      </c>
      <c r="E660">
        <v>0</v>
      </c>
      <c r="F660">
        <v>1.7160033436347992</v>
      </c>
      <c r="G660" s="45">
        <v>2.95</v>
      </c>
      <c r="H660" s="29">
        <f t="shared" si="172"/>
        <v>0.46982201597816303</v>
      </c>
      <c r="I660">
        <v>0</v>
      </c>
      <c r="J660" s="34">
        <v>0.21748394421390627</v>
      </c>
      <c r="K660">
        <v>23</v>
      </c>
      <c r="L660" s="137">
        <f t="shared" si="173"/>
        <v>1.3617278360175928</v>
      </c>
      <c r="M660">
        <f t="shared" si="170"/>
        <v>0</v>
      </c>
      <c r="N660">
        <v>70</v>
      </c>
      <c r="O660">
        <v>70</v>
      </c>
      <c r="P660">
        <v>92.6</v>
      </c>
      <c r="Q660" s="137">
        <f t="shared" si="174"/>
        <v>1.9666109866819343</v>
      </c>
      <c r="R660" s="34">
        <v>25.7</v>
      </c>
      <c r="S660" s="34">
        <f t="shared" si="187"/>
        <v>1.4099331233312946</v>
      </c>
      <c r="T660" s="42">
        <v>39.823361151429197</v>
      </c>
      <c r="U660" s="42">
        <f t="shared" si="188"/>
        <v>1.6001379123442065</v>
      </c>
      <c r="V660">
        <v>3.3647319918335836</v>
      </c>
      <c r="W660" s="14">
        <v>4</v>
      </c>
      <c r="X660">
        <v>3.568659604598353</v>
      </c>
      <c r="Y660">
        <v>8.8450980400142569</v>
      </c>
      <c r="Z660" s="80">
        <v>0.28650674627187378</v>
      </c>
      <c r="AA660">
        <v>5</v>
      </c>
      <c r="AB660">
        <f t="shared" si="177"/>
        <v>0</v>
      </c>
      <c r="AC660">
        <f t="shared" si="178"/>
        <v>0</v>
      </c>
      <c r="AD660">
        <f t="shared" si="179"/>
        <v>0</v>
      </c>
      <c r="AE660">
        <f t="shared" si="180"/>
        <v>0</v>
      </c>
      <c r="AF660">
        <f t="shared" si="181"/>
        <v>1</v>
      </c>
      <c r="AG660">
        <f t="shared" si="182"/>
        <v>0</v>
      </c>
      <c r="AH660">
        <f t="shared" si="183"/>
        <v>0</v>
      </c>
      <c r="AI660">
        <f t="shared" si="184"/>
        <v>0</v>
      </c>
      <c r="AJ660">
        <f t="shared" si="185"/>
        <v>0</v>
      </c>
      <c r="AK660">
        <f t="shared" si="186"/>
        <v>0</v>
      </c>
      <c r="AL660">
        <v>1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</row>
    <row r="661" spans="1:53" x14ac:dyDescent="0.35">
      <c r="A661">
        <v>-1.0669467896306131</v>
      </c>
      <c r="C661">
        <v>9.5287671232876718</v>
      </c>
      <c r="D661" s="137">
        <f t="shared" si="171"/>
        <v>0.97903671321021901</v>
      </c>
      <c r="E661">
        <v>0</v>
      </c>
      <c r="F661">
        <v>1.4313637641589874</v>
      </c>
      <c r="G661" s="45">
        <v>2.95</v>
      </c>
      <c r="H661" s="29">
        <f t="shared" si="172"/>
        <v>0.46982201597816303</v>
      </c>
      <c r="I661">
        <v>0</v>
      </c>
      <c r="J661" s="34">
        <v>0.32428245529769273</v>
      </c>
      <c r="K661">
        <v>23</v>
      </c>
      <c r="L661" s="137">
        <f t="shared" si="173"/>
        <v>1.3617278360175928</v>
      </c>
      <c r="M661">
        <f t="shared" si="170"/>
        <v>0</v>
      </c>
      <c r="N661">
        <v>70</v>
      </c>
      <c r="O661">
        <v>70</v>
      </c>
      <c r="P661">
        <v>92.6</v>
      </c>
      <c r="Q661" s="137">
        <f t="shared" si="174"/>
        <v>1.9666109866819343</v>
      </c>
      <c r="R661" s="34">
        <v>25.7</v>
      </c>
      <c r="S661" s="34">
        <f t="shared" si="187"/>
        <v>1.4099331233312946</v>
      </c>
      <c r="T661" s="42">
        <v>39.823361151429197</v>
      </c>
      <c r="U661" s="42">
        <f t="shared" si="188"/>
        <v>1.6001379123442065</v>
      </c>
      <c r="V661">
        <v>3.3647319918335836</v>
      </c>
      <c r="W661" s="14">
        <v>4</v>
      </c>
      <c r="X661">
        <v>3.568659604598353</v>
      </c>
      <c r="Y661">
        <v>9.5440680443502757</v>
      </c>
      <c r="Z661" s="80">
        <v>0.38115135818320578</v>
      </c>
      <c r="AA661">
        <v>4</v>
      </c>
      <c r="AB661">
        <f t="shared" si="177"/>
        <v>0</v>
      </c>
      <c r="AC661">
        <f t="shared" si="178"/>
        <v>0</v>
      </c>
      <c r="AD661">
        <f t="shared" si="179"/>
        <v>0</v>
      </c>
      <c r="AE661">
        <f t="shared" si="180"/>
        <v>1</v>
      </c>
      <c r="AF661">
        <f t="shared" si="181"/>
        <v>0</v>
      </c>
      <c r="AG661">
        <f t="shared" si="182"/>
        <v>0</v>
      </c>
      <c r="AH661">
        <f t="shared" si="183"/>
        <v>0</v>
      </c>
      <c r="AI661">
        <f t="shared" si="184"/>
        <v>0</v>
      </c>
      <c r="AJ661">
        <f t="shared" si="185"/>
        <v>0</v>
      </c>
      <c r="AK661">
        <f t="shared" si="186"/>
        <v>0</v>
      </c>
      <c r="AL661">
        <v>1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</row>
    <row r="662" spans="1:53" x14ac:dyDescent="0.35">
      <c r="A662">
        <v>0.60822262978202302</v>
      </c>
      <c r="C662">
        <v>4.6684931506849319</v>
      </c>
      <c r="D662" s="137">
        <f t="shared" si="171"/>
        <v>0.66917672597420663</v>
      </c>
      <c r="E662">
        <v>0</v>
      </c>
      <c r="F662">
        <v>1.3010299956639813</v>
      </c>
      <c r="G662" s="45">
        <v>2.95</v>
      </c>
      <c r="H662" s="29">
        <f t="shared" si="172"/>
        <v>0.46982201597816303</v>
      </c>
      <c r="I662">
        <v>0</v>
      </c>
      <c r="J662" s="34">
        <v>0.17609125905568124</v>
      </c>
      <c r="K662">
        <v>26</v>
      </c>
      <c r="L662" s="137">
        <f t="shared" si="173"/>
        <v>1.414973347970818</v>
      </c>
      <c r="M662">
        <f t="shared" si="170"/>
        <v>0</v>
      </c>
      <c r="N662">
        <v>70</v>
      </c>
      <c r="O662">
        <v>70</v>
      </c>
      <c r="P662">
        <v>91</v>
      </c>
      <c r="Q662" s="137">
        <f t="shared" si="174"/>
        <v>1.9590413923210936</v>
      </c>
      <c r="R662" s="34">
        <v>23.9</v>
      </c>
      <c r="S662" s="34">
        <f t="shared" si="187"/>
        <v>1.3783979009481377</v>
      </c>
      <c r="T662" s="42">
        <v>42.048698215007001</v>
      </c>
      <c r="U662" s="42">
        <f t="shared" si="188"/>
        <v>1.6237525550259535</v>
      </c>
      <c r="V662">
        <v>3.3647319918335836</v>
      </c>
      <c r="W662" s="14">
        <v>4</v>
      </c>
      <c r="X662">
        <v>3.568659604598353</v>
      </c>
      <c r="Y662">
        <v>8.7809434545825091</v>
      </c>
      <c r="Z662" s="80">
        <v>9.1259928044132188E-2</v>
      </c>
      <c r="AA662">
        <v>8</v>
      </c>
      <c r="AB662">
        <f t="shared" si="177"/>
        <v>0</v>
      </c>
      <c r="AC662">
        <f t="shared" si="178"/>
        <v>0</v>
      </c>
      <c r="AD662">
        <f t="shared" si="179"/>
        <v>0</v>
      </c>
      <c r="AE662">
        <f t="shared" si="180"/>
        <v>0</v>
      </c>
      <c r="AF662">
        <f t="shared" si="181"/>
        <v>0</v>
      </c>
      <c r="AG662">
        <f t="shared" si="182"/>
        <v>0</v>
      </c>
      <c r="AH662">
        <f t="shared" si="183"/>
        <v>0</v>
      </c>
      <c r="AI662">
        <f t="shared" si="184"/>
        <v>1</v>
      </c>
      <c r="AJ662">
        <f t="shared" si="185"/>
        <v>0</v>
      </c>
      <c r="AK662">
        <f t="shared" si="186"/>
        <v>0</v>
      </c>
      <c r="AL662">
        <v>1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</row>
    <row r="663" spans="1:53" x14ac:dyDescent="0.35">
      <c r="A663">
        <v>0.77011529478710161</v>
      </c>
      <c r="C663">
        <v>2.2876712328767121</v>
      </c>
      <c r="D663" s="137">
        <f t="shared" si="171"/>
        <v>0.35939361102712736</v>
      </c>
      <c r="E663">
        <v>0</v>
      </c>
      <c r="F663">
        <v>0.6020599913279624</v>
      </c>
      <c r="G663" s="45">
        <v>2.95</v>
      </c>
      <c r="H663" s="29">
        <f t="shared" si="172"/>
        <v>0.46982201597816303</v>
      </c>
      <c r="I663">
        <v>0</v>
      </c>
      <c r="J663" s="34">
        <v>0.10720996964786837</v>
      </c>
      <c r="K663">
        <v>20</v>
      </c>
      <c r="L663" s="137">
        <f t="shared" si="173"/>
        <v>1.3010299956639813</v>
      </c>
      <c r="M663">
        <f t="shared" si="170"/>
        <v>0</v>
      </c>
      <c r="N663">
        <v>70</v>
      </c>
      <c r="O663">
        <v>70</v>
      </c>
      <c r="P663">
        <v>85</v>
      </c>
      <c r="Q663" s="137">
        <f t="shared" si="174"/>
        <v>1.9294189257142926</v>
      </c>
      <c r="R663" s="34">
        <v>25.9</v>
      </c>
      <c r="S663" s="34">
        <f t="shared" si="187"/>
        <v>1.4132997640812519</v>
      </c>
      <c r="T663" s="42">
        <v>36.959146749272797</v>
      </c>
      <c r="U663" s="42">
        <f t="shared" si="188"/>
        <v>1.5677219364019672</v>
      </c>
      <c r="V663">
        <v>3.3647319918335836</v>
      </c>
      <c r="W663" s="14">
        <v>4</v>
      </c>
      <c r="X663">
        <v>3.568659604598353</v>
      </c>
      <c r="Y663">
        <v>8.3521825181113627</v>
      </c>
      <c r="Z663" s="80">
        <v>0.33643852772311034</v>
      </c>
      <c r="AA663">
        <v>1</v>
      </c>
      <c r="AB663">
        <f t="shared" si="177"/>
        <v>1</v>
      </c>
      <c r="AC663">
        <f t="shared" si="178"/>
        <v>0</v>
      </c>
      <c r="AD663">
        <f t="shared" si="179"/>
        <v>0</v>
      </c>
      <c r="AE663">
        <f t="shared" si="180"/>
        <v>0</v>
      </c>
      <c r="AF663">
        <f t="shared" si="181"/>
        <v>0</v>
      </c>
      <c r="AG663">
        <f t="shared" si="182"/>
        <v>0</v>
      </c>
      <c r="AH663">
        <f t="shared" si="183"/>
        <v>0</v>
      </c>
      <c r="AI663">
        <f t="shared" si="184"/>
        <v>0</v>
      </c>
      <c r="AJ663">
        <f t="shared" si="185"/>
        <v>0</v>
      </c>
      <c r="AK663">
        <f t="shared" si="186"/>
        <v>0</v>
      </c>
      <c r="AL663">
        <v>1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</row>
    <row r="664" spans="1:53" x14ac:dyDescent="0.35">
      <c r="A664">
        <v>-1.0016671593674633</v>
      </c>
      <c r="C664">
        <v>12.164383561643836</v>
      </c>
      <c r="D664" s="137">
        <f t="shared" si="171"/>
        <v>1.0850901056581452</v>
      </c>
      <c r="E664">
        <v>0</v>
      </c>
      <c r="F664">
        <v>2.1643528557844371</v>
      </c>
      <c r="G664" s="45">
        <v>2.95</v>
      </c>
      <c r="H664" s="29">
        <f t="shared" si="172"/>
        <v>0.46982201597816303</v>
      </c>
      <c r="I664">
        <v>0</v>
      </c>
      <c r="J664" s="34">
        <v>0.658964842664435</v>
      </c>
      <c r="K664">
        <v>3</v>
      </c>
      <c r="L664" s="137">
        <f t="shared" si="173"/>
        <v>0.47712125471966244</v>
      </c>
      <c r="M664">
        <f t="shared" si="170"/>
        <v>0</v>
      </c>
      <c r="N664">
        <v>70</v>
      </c>
      <c r="O664">
        <v>70</v>
      </c>
      <c r="P664">
        <v>85</v>
      </c>
      <c r="Q664" s="137">
        <f t="shared" si="174"/>
        <v>1.9294189257142926</v>
      </c>
      <c r="R664" s="34">
        <v>25.4</v>
      </c>
      <c r="S664" s="34">
        <f t="shared" si="187"/>
        <v>1.4048337166199381</v>
      </c>
      <c r="T664" s="42">
        <v>36.691491429861301</v>
      </c>
      <c r="U664" s="42">
        <f t="shared" si="188"/>
        <v>1.5645653652472133</v>
      </c>
      <c r="V664">
        <v>3.3647319918335836</v>
      </c>
      <c r="W664" s="14">
        <v>4</v>
      </c>
      <c r="X664">
        <v>3.568659604598353</v>
      </c>
      <c r="Y664">
        <v>9.4166405073382808</v>
      </c>
      <c r="Z664" s="80" t="e">
        <v>#N/A</v>
      </c>
      <c r="AA664">
        <v>5</v>
      </c>
      <c r="AB664">
        <f t="shared" si="177"/>
        <v>0</v>
      </c>
      <c r="AC664">
        <f t="shared" si="178"/>
        <v>0</v>
      </c>
      <c r="AD664">
        <f t="shared" si="179"/>
        <v>0</v>
      </c>
      <c r="AE664">
        <f t="shared" si="180"/>
        <v>0</v>
      </c>
      <c r="AF664">
        <f t="shared" si="181"/>
        <v>1</v>
      </c>
      <c r="AG664">
        <f t="shared" si="182"/>
        <v>0</v>
      </c>
      <c r="AH664">
        <f t="shared" si="183"/>
        <v>0</v>
      </c>
      <c r="AI664">
        <f t="shared" si="184"/>
        <v>0</v>
      </c>
      <c r="AJ664">
        <f t="shared" si="185"/>
        <v>0</v>
      </c>
      <c r="AK664">
        <f t="shared" si="186"/>
        <v>0</v>
      </c>
      <c r="AL664">
        <v>1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</row>
    <row r="665" spans="1:53" x14ac:dyDescent="0.35">
      <c r="A665">
        <v>0.63424467469936363</v>
      </c>
      <c r="C665">
        <v>1.5534246575342465</v>
      </c>
      <c r="D665" s="137">
        <f t="shared" si="171"/>
        <v>0.19129019443643186</v>
      </c>
      <c r="E665">
        <v>0</v>
      </c>
      <c r="F665">
        <v>0.77815125038364363</v>
      </c>
      <c r="G665" s="45">
        <v>2.95</v>
      </c>
      <c r="H665" s="29">
        <f t="shared" si="172"/>
        <v>0.46982201597816303</v>
      </c>
      <c r="I665">
        <v>0</v>
      </c>
      <c r="J665" s="34">
        <v>0.14301480025409513</v>
      </c>
      <c r="K665">
        <v>9</v>
      </c>
      <c r="L665" s="137">
        <f t="shared" si="173"/>
        <v>0.95424250943932487</v>
      </c>
      <c r="M665">
        <f t="shared" si="170"/>
        <v>0</v>
      </c>
      <c r="N665">
        <v>70</v>
      </c>
      <c r="O665">
        <v>70</v>
      </c>
      <c r="P665">
        <v>85</v>
      </c>
      <c r="Q665" s="137">
        <f t="shared" si="174"/>
        <v>1.9294189257142926</v>
      </c>
      <c r="R665" s="34">
        <v>26.2</v>
      </c>
      <c r="S665" s="34">
        <f t="shared" si="187"/>
        <v>1.4183012913197455</v>
      </c>
      <c r="T665" s="42">
        <v>37.8446121410093</v>
      </c>
      <c r="U665" s="42">
        <f t="shared" si="188"/>
        <v>1.5780040586317157</v>
      </c>
      <c r="V665">
        <v>3.3647319918335836</v>
      </c>
      <c r="W665" s="14">
        <v>4</v>
      </c>
      <c r="X665">
        <v>3.568659604598353</v>
      </c>
      <c r="Y665">
        <v>7.4149733479708182</v>
      </c>
      <c r="Z665" s="80" t="e">
        <v>#N/A</v>
      </c>
      <c r="AA665">
        <v>4</v>
      </c>
      <c r="AB665">
        <f t="shared" si="177"/>
        <v>0</v>
      </c>
      <c r="AC665">
        <f t="shared" si="178"/>
        <v>0</v>
      </c>
      <c r="AD665">
        <f t="shared" si="179"/>
        <v>0</v>
      </c>
      <c r="AE665">
        <f t="shared" si="180"/>
        <v>1</v>
      </c>
      <c r="AF665">
        <f t="shared" si="181"/>
        <v>0</v>
      </c>
      <c r="AG665">
        <f t="shared" si="182"/>
        <v>0</v>
      </c>
      <c r="AH665">
        <f t="shared" si="183"/>
        <v>0</v>
      </c>
      <c r="AI665">
        <f t="shared" si="184"/>
        <v>0</v>
      </c>
      <c r="AJ665">
        <f t="shared" si="185"/>
        <v>0</v>
      </c>
      <c r="AK665">
        <f t="shared" si="186"/>
        <v>0</v>
      </c>
      <c r="AL665">
        <v>1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</row>
    <row r="666" spans="1:53" x14ac:dyDescent="0.35">
      <c r="A666">
        <v>-2</v>
      </c>
      <c r="C666">
        <v>5.0383561643835613</v>
      </c>
      <c r="D666" s="137">
        <f t="shared" si="171"/>
        <v>0.70228886478160268</v>
      </c>
      <c r="E666">
        <v>0</v>
      </c>
      <c r="F666">
        <v>2.2013971243204513</v>
      </c>
      <c r="G666" s="45">
        <v>2.95</v>
      </c>
      <c r="H666" s="29">
        <f t="shared" si="172"/>
        <v>0.46982201597816303</v>
      </c>
      <c r="I666">
        <v>0</v>
      </c>
      <c r="J666" s="34">
        <v>0.24551266781414982</v>
      </c>
      <c r="K666">
        <v>11</v>
      </c>
      <c r="L666" s="137">
        <f t="shared" si="173"/>
        <v>1.0413926851582251</v>
      </c>
      <c r="M666">
        <f t="shared" si="170"/>
        <v>0</v>
      </c>
      <c r="N666">
        <v>70</v>
      </c>
      <c r="O666">
        <v>70</v>
      </c>
      <c r="P666">
        <v>85</v>
      </c>
      <c r="Q666" s="137">
        <f t="shared" si="174"/>
        <v>1.9294189257142926</v>
      </c>
      <c r="R666" s="34">
        <v>27</v>
      </c>
      <c r="S666" s="34">
        <f t="shared" si="187"/>
        <v>1.4313637641589874</v>
      </c>
      <c r="T666" s="42">
        <v>37.123527923893597</v>
      </c>
      <c r="U666" s="42">
        <f t="shared" si="188"/>
        <v>1.5696492413904459</v>
      </c>
      <c r="V666">
        <v>3.3647319918335836</v>
      </c>
      <c r="W666" s="14">
        <v>4</v>
      </c>
      <c r="X666">
        <v>3.568659604598353</v>
      </c>
      <c r="Y666">
        <v>7.4771212547196626</v>
      </c>
      <c r="Z666" s="80" t="e">
        <v>#N/A</v>
      </c>
      <c r="AA666">
        <v>8</v>
      </c>
      <c r="AB666">
        <f t="shared" si="177"/>
        <v>0</v>
      </c>
      <c r="AC666">
        <f t="shared" si="178"/>
        <v>0</v>
      </c>
      <c r="AD666">
        <f t="shared" si="179"/>
        <v>0</v>
      </c>
      <c r="AE666">
        <f t="shared" si="180"/>
        <v>0</v>
      </c>
      <c r="AF666">
        <f t="shared" si="181"/>
        <v>0</v>
      </c>
      <c r="AG666">
        <f t="shared" si="182"/>
        <v>0</v>
      </c>
      <c r="AH666">
        <f t="shared" si="183"/>
        <v>0</v>
      </c>
      <c r="AI666">
        <f t="shared" si="184"/>
        <v>1</v>
      </c>
      <c r="AJ666">
        <f t="shared" si="185"/>
        <v>0</v>
      </c>
      <c r="AK666">
        <f t="shared" si="186"/>
        <v>0</v>
      </c>
      <c r="AL666">
        <v>1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</row>
    <row r="667" spans="1:53" x14ac:dyDescent="0.35">
      <c r="A667">
        <v>-2</v>
      </c>
      <c r="C667">
        <v>4.3068493150684928</v>
      </c>
      <c r="D667" s="137">
        <f t="shared" si="171"/>
        <v>0.63415967724691436</v>
      </c>
      <c r="E667">
        <v>0</v>
      </c>
      <c r="F667">
        <v>0.77815125038364363</v>
      </c>
      <c r="G667" s="45">
        <v>2.95</v>
      </c>
      <c r="H667" s="29">
        <f t="shared" si="172"/>
        <v>0.46982201597816303</v>
      </c>
      <c r="I667">
        <v>0</v>
      </c>
      <c r="J667" s="34">
        <v>0.30319605742048883</v>
      </c>
      <c r="K667">
        <v>11</v>
      </c>
      <c r="L667" s="137">
        <f t="shared" si="173"/>
        <v>1.0413926851582251</v>
      </c>
      <c r="M667">
        <f t="shared" si="170"/>
        <v>0</v>
      </c>
      <c r="N667">
        <v>70</v>
      </c>
      <c r="O667">
        <v>70</v>
      </c>
      <c r="P667">
        <v>85</v>
      </c>
      <c r="Q667" s="137">
        <f t="shared" si="174"/>
        <v>1.9294189257142926</v>
      </c>
      <c r="R667" s="34">
        <v>27</v>
      </c>
      <c r="S667" s="34">
        <f t="shared" si="187"/>
        <v>1.4313637641589874</v>
      </c>
      <c r="T667" s="42">
        <v>37.123527923893597</v>
      </c>
      <c r="U667" s="42">
        <f t="shared" si="188"/>
        <v>1.5696492413904459</v>
      </c>
      <c r="V667">
        <v>3.3647319918335836</v>
      </c>
      <c r="W667" s="14">
        <v>4</v>
      </c>
      <c r="X667">
        <v>3.568659604598353</v>
      </c>
      <c r="Y667">
        <v>8.5051499783199063</v>
      </c>
      <c r="Z667" s="80" t="e">
        <v>#N/A</v>
      </c>
      <c r="AA667">
        <v>5</v>
      </c>
      <c r="AB667">
        <f t="shared" si="177"/>
        <v>0</v>
      </c>
      <c r="AC667">
        <f t="shared" si="178"/>
        <v>0</v>
      </c>
      <c r="AD667">
        <f t="shared" si="179"/>
        <v>0</v>
      </c>
      <c r="AE667">
        <f t="shared" si="180"/>
        <v>0</v>
      </c>
      <c r="AF667">
        <f t="shared" si="181"/>
        <v>1</v>
      </c>
      <c r="AG667">
        <f t="shared" si="182"/>
        <v>0</v>
      </c>
      <c r="AH667">
        <f t="shared" si="183"/>
        <v>0</v>
      </c>
      <c r="AI667">
        <f t="shared" si="184"/>
        <v>0</v>
      </c>
      <c r="AJ667">
        <f t="shared" si="185"/>
        <v>0</v>
      </c>
      <c r="AK667">
        <f t="shared" si="186"/>
        <v>0</v>
      </c>
      <c r="AL667">
        <v>1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</row>
    <row r="668" spans="1:53" x14ac:dyDescent="0.35">
      <c r="A668">
        <v>-0.22552947730400111</v>
      </c>
      <c r="C668">
        <v>5.8273972602739725</v>
      </c>
      <c r="D668" s="137">
        <f t="shared" si="171"/>
        <v>0.76547462544625422</v>
      </c>
      <c r="E668">
        <v>0</v>
      </c>
      <c r="F668">
        <v>1.5563025007672873</v>
      </c>
      <c r="G668" s="45">
        <v>2.95</v>
      </c>
      <c r="H668" s="29">
        <f t="shared" si="172"/>
        <v>0.46982201597816303</v>
      </c>
      <c r="I668">
        <v>0</v>
      </c>
      <c r="J668" s="34">
        <v>0.2253092817258629</v>
      </c>
      <c r="K668">
        <v>24</v>
      </c>
      <c r="L668" s="137">
        <f t="shared" si="173"/>
        <v>1.3802112417116059</v>
      </c>
      <c r="M668">
        <f t="shared" si="170"/>
        <v>0</v>
      </c>
      <c r="N668">
        <v>70</v>
      </c>
      <c r="O668">
        <v>70</v>
      </c>
      <c r="P668">
        <v>91</v>
      </c>
      <c r="Q668" s="137">
        <f t="shared" si="174"/>
        <v>1.9590413923210936</v>
      </c>
      <c r="R668" s="34">
        <v>23.9</v>
      </c>
      <c r="S668" s="34">
        <f t="shared" si="187"/>
        <v>1.3783979009481377</v>
      </c>
      <c r="T668" s="42">
        <v>42.048698215007001</v>
      </c>
      <c r="U668" s="42">
        <f t="shared" si="188"/>
        <v>1.6237525550259535</v>
      </c>
      <c r="V668">
        <v>3.0958500844125241</v>
      </c>
      <c r="W668" s="14">
        <v>3</v>
      </c>
      <c r="X668">
        <v>3.5078178355445662</v>
      </c>
      <c r="Y668">
        <v>9.5783870397109983</v>
      </c>
      <c r="Z668" s="80">
        <v>0.18520090736132322</v>
      </c>
      <c r="AA668">
        <v>9</v>
      </c>
      <c r="AB668">
        <f t="shared" si="177"/>
        <v>0</v>
      </c>
      <c r="AC668">
        <f t="shared" si="178"/>
        <v>0</v>
      </c>
      <c r="AD668">
        <f t="shared" si="179"/>
        <v>0</v>
      </c>
      <c r="AE668">
        <f t="shared" si="180"/>
        <v>0</v>
      </c>
      <c r="AF668">
        <f t="shared" si="181"/>
        <v>0</v>
      </c>
      <c r="AG668">
        <f t="shared" si="182"/>
        <v>0</v>
      </c>
      <c r="AH668">
        <f t="shared" si="183"/>
        <v>0</v>
      </c>
      <c r="AI668">
        <f t="shared" si="184"/>
        <v>0</v>
      </c>
      <c r="AJ668">
        <f t="shared" si="185"/>
        <v>1</v>
      </c>
      <c r="AK668">
        <f t="shared" si="186"/>
        <v>0</v>
      </c>
      <c r="AL668">
        <v>1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</row>
    <row r="669" spans="1:53" x14ac:dyDescent="0.35">
      <c r="A669">
        <v>-1.2686455602074718</v>
      </c>
      <c r="C669">
        <v>4.3452054794520549</v>
      </c>
      <c r="D669" s="137">
        <f t="shared" si="171"/>
        <v>0.63801031852511025</v>
      </c>
      <c r="E669">
        <v>0</v>
      </c>
      <c r="F669">
        <v>1.3010299956639813</v>
      </c>
      <c r="G669" s="45">
        <v>2.95</v>
      </c>
      <c r="H669" s="29">
        <f t="shared" si="172"/>
        <v>0.46982201597816303</v>
      </c>
      <c r="I669">
        <v>0</v>
      </c>
      <c r="J669" s="34">
        <v>-3.1517051446064911E-2</v>
      </c>
      <c r="K669">
        <v>18</v>
      </c>
      <c r="L669" s="137">
        <f t="shared" si="173"/>
        <v>1.255272505103306</v>
      </c>
      <c r="M669">
        <f t="shared" si="170"/>
        <v>0</v>
      </c>
      <c r="N669">
        <v>70</v>
      </c>
      <c r="O669">
        <v>70</v>
      </c>
      <c r="P669">
        <v>85</v>
      </c>
      <c r="Q669" s="137">
        <f t="shared" si="174"/>
        <v>1.9294189257142926</v>
      </c>
      <c r="R669" s="34">
        <v>25.9</v>
      </c>
      <c r="S669" s="34">
        <f t="shared" si="187"/>
        <v>1.4132997640812519</v>
      </c>
      <c r="T669" s="42">
        <v>36.959146749272797</v>
      </c>
      <c r="U669" s="42">
        <f t="shared" si="188"/>
        <v>1.5677219364019672</v>
      </c>
      <c r="V669">
        <v>3.0958500844125241</v>
      </c>
      <c r="W669" s="14">
        <v>3</v>
      </c>
      <c r="X669">
        <v>3.5078178355445662</v>
      </c>
      <c r="Y669">
        <v>8.9033830368740166</v>
      </c>
      <c r="Z669" s="80">
        <v>5.0290039789999241E-2</v>
      </c>
      <c r="AA669">
        <v>9</v>
      </c>
      <c r="AB669">
        <f t="shared" si="177"/>
        <v>0</v>
      </c>
      <c r="AC669">
        <f t="shared" si="178"/>
        <v>0</v>
      </c>
      <c r="AD669">
        <f t="shared" si="179"/>
        <v>0</v>
      </c>
      <c r="AE669">
        <f t="shared" si="180"/>
        <v>0</v>
      </c>
      <c r="AF669">
        <f t="shared" si="181"/>
        <v>0</v>
      </c>
      <c r="AG669">
        <f t="shared" si="182"/>
        <v>0</v>
      </c>
      <c r="AH669">
        <f t="shared" si="183"/>
        <v>0</v>
      </c>
      <c r="AI669">
        <f t="shared" si="184"/>
        <v>0</v>
      </c>
      <c r="AJ669">
        <f t="shared" si="185"/>
        <v>1</v>
      </c>
      <c r="AK669">
        <f t="shared" si="186"/>
        <v>0</v>
      </c>
      <c r="AL669">
        <v>1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</row>
    <row r="670" spans="1:53" x14ac:dyDescent="0.35">
      <c r="A670">
        <v>-0.23914300480277026</v>
      </c>
      <c r="C670">
        <v>7.8109589041095893</v>
      </c>
      <c r="D670" s="137">
        <f t="shared" si="171"/>
        <v>0.89270435285298533</v>
      </c>
      <c r="E670">
        <v>0</v>
      </c>
      <c r="F670">
        <v>1.1139433523068367</v>
      </c>
      <c r="G670" s="45">
        <v>2.95</v>
      </c>
      <c r="H670" s="29">
        <f t="shared" si="172"/>
        <v>0.46982201597816303</v>
      </c>
      <c r="I670">
        <v>0</v>
      </c>
      <c r="J670" s="34">
        <v>0.12385164096708581</v>
      </c>
      <c r="K670">
        <v>18</v>
      </c>
      <c r="L670" s="137">
        <f t="shared" si="173"/>
        <v>1.255272505103306</v>
      </c>
      <c r="M670">
        <f t="shared" si="170"/>
        <v>0</v>
      </c>
      <c r="N670">
        <v>70</v>
      </c>
      <c r="O670">
        <v>70</v>
      </c>
      <c r="P670">
        <v>85</v>
      </c>
      <c r="Q670" s="137">
        <f t="shared" si="174"/>
        <v>1.9294189257142926</v>
      </c>
      <c r="R670" s="34">
        <v>25.9</v>
      </c>
      <c r="S670" s="34">
        <f t="shared" si="187"/>
        <v>1.4132997640812519</v>
      </c>
      <c r="T670" s="42">
        <v>36.959146749272797</v>
      </c>
      <c r="U670" s="42">
        <f t="shared" si="188"/>
        <v>1.5677219364019672</v>
      </c>
      <c r="V670">
        <v>3.0958500844125241</v>
      </c>
      <c r="W670" s="14">
        <v>3</v>
      </c>
      <c r="X670">
        <v>3.5078178355445662</v>
      </c>
      <c r="Y670">
        <v>8.7442929831226763</v>
      </c>
      <c r="Z670" s="80">
        <v>0.28884900542429093</v>
      </c>
      <c r="AA670">
        <v>2</v>
      </c>
      <c r="AB670">
        <f t="shared" si="177"/>
        <v>0</v>
      </c>
      <c r="AC670">
        <f t="shared" si="178"/>
        <v>1</v>
      </c>
      <c r="AD670">
        <f t="shared" si="179"/>
        <v>0</v>
      </c>
      <c r="AE670">
        <f t="shared" si="180"/>
        <v>0</v>
      </c>
      <c r="AF670">
        <f t="shared" si="181"/>
        <v>0</v>
      </c>
      <c r="AG670">
        <f t="shared" si="182"/>
        <v>0</v>
      </c>
      <c r="AH670">
        <f t="shared" si="183"/>
        <v>0</v>
      </c>
      <c r="AI670">
        <f t="shared" si="184"/>
        <v>0</v>
      </c>
      <c r="AJ670">
        <f t="shared" si="185"/>
        <v>0</v>
      </c>
      <c r="AK670">
        <f t="shared" si="186"/>
        <v>0</v>
      </c>
      <c r="AL670">
        <v>1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</row>
    <row r="671" spans="1:53" x14ac:dyDescent="0.35">
      <c r="A671">
        <v>-2</v>
      </c>
      <c r="C671">
        <v>4.0712328767123287</v>
      </c>
      <c r="D671" s="137">
        <f t="shared" si="171"/>
        <v>0.60972594496808175</v>
      </c>
      <c r="E671">
        <v>0</v>
      </c>
      <c r="F671">
        <v>1.8750612633917001</v>
      </c>
      <c r="G671" s="45">
        <v>2.95</v>
      </c>
      <c r="H671" s="29">
        <f t="shared" si="172"/>
        <v>0.46982201597816303</v>
      </c>
      <c r="I671">
        <v>0</v>
      </c>
      <c r="J671" s="34">
        <v>-8.092190762392612E-2</v>
      </c>
      <c r="K671">
        <v>19</v>
      </c>
      <c r="L671" s="137">
        <f t="shared" si="173"/>
        <v>1.2787536009528289</v>
      </c>
      <c r="M671">
        <f t="shared" si="170"/>
        <v>0</v>
      </c>
      <c r="N671">
        <v>70</v>
      </c>
      <c r="O671">
        <v>70</v>
      </c>
      <c r="P671">
        <v>93.2</v>
      </c>
      <c r="Q671" s="137">
        <f t="shared" si="174"/>
        <v>1.9694159123539814</v>
      </c>
      <c r="R671" s="34">
        <v>26.7</v>
      </c>
      <c r="S671" s="34">
        <f t="shared" si="187"/>
        <v>1.4265112613645752</v>
      </c>
      <c r="T671" s="42">
        <v>36.669158714517401</v>
      </c>
      <c r="U671" s="42">
        <f t="shared" si="188"/>
        <v>1.5643009462345601</v>
      </c>
      <c r="V671">
        <v>3.0958500844125241</v>
      </c>
      <c r="W671" s="14">
        <v>3</v>
      </c>
      <c r="X671">
        <v>3.5078178355445662</v>
      </c>
      <c r="Y671">
        <v>9.0413926851582254</v>
      </c>
      <c r="Z671" s="80">
        <v>-0.11894778468084832</v>
      </c>
      <c r="AA671">
        <v>5</v>
      </c>
      <c r="AB671">
        <f t="shared" si="177"/>
        <v>0</v>
      </c>
      <c r="AC671">
        <f t="shared" si="178"/>
        <v>0</v>
      </c>
      <c r="AD671">
        <f t="shared" si="179"/>
        <v>0</v>
      </c>
      <c r="AE671">
        <f t="shared" si="180"/>
        <v>0</v>
      </c>
      <c r="AF671">
        <f t="shared" si="181"/>
        <v>1</v>
      </c>
      <c r="AG671">
        <f t="shared" si="182"/>
        <v>0</v>
      </c>
      <c r="AH671">
        <f t="shared" si="183"/>
        <v>0</v>
      </c>
      <c r="AI671">
        <f t="shared" si="184"/>
        <v>0</v>
      </c>
      <c r="AJ671">
        <f t="shared" si="185"/>
        <v>0</v>
      </c>
      <c r="AK671">
        <f t="shared" si="186"/>
        <v>0</v>
      </c>
      <c r="AL671">
        <v>1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</row>
    <row r="672" spans="1:53" x14ac:dyDescent="0.35">
      <c r="A672">
        <v>-9.7812748955715761E-2</v>
      </c>
      <c r="C672">
        <v>5.978082191780822</v>
      </c>
      <c r="D672" s="137">
        <f t="shared" si="171"/>
        <v>0.7765618817958484</v>
      </c>
      <c r="E672">
        <v>0</v>
      </c>
      <c r="F672">
        <v>1.2041199826559248</v>
      </c>
      <c r="G672" s="45">
        <v>2.95</v>
      </c>
      <c r="H672" s="29">
        <f t="shared" si="172"/>
        <v>0.46982201597816303</v>
      </c>
      <c r="I672">
        <v>0</v>
      </c>
      <c r="J672" s="34">
        <v>8.6001717619175692E-3</v>
      </c>
      <c r="K672">
        <v>20</v>
      </c>
      <c r="L672" s="137">
        <f t="shared" si="173"/>
        <v>1.3010299956639813</v>
      </c>
      <c r="M672">
        <f t="shared" si="170"/>
        <v>0</v>
      </c>
      <c r="N672">
        <v>70</v>
      </c>
      <c r="O672">
        <v>70</v>
      </c>
      <c r="P672">
        <v>91.4</v>
      </c>
      <c r="Q672" s="137">
        <f t="shared" si="174"/>
        <v>1.9609461957338314</v>
      </c>
      <c r="R672" s="34">
        <v>26.7</v>
      </c>
      <c r="S672" s="34">
        <f t="shared" si="187"/>
        <v>1.4265112613645752</v>
      </c>
      <c r="T672" s="42">
        <v>37.425715444240403</v>
      </c>
      <c r="U672" s="42">
        <f t="shared" si="188"/>
        <v>1.5731701112332821</v>
      </c>
      <c r="V672">
        <v>3.0958500844125241</v>
      </c>
      <c r="W672" s="14">
        <v>3</v>
      </c>
      <c r="X672">
        <v>3.5078178355445662</v>
      </c>
      <c r="Y672">
        <v>9.1042787912049477</v>
      </c>
      <c r="Z672" s="80">
        <v>-1.4436142841199429E-2</v>
      </c>
      <c r="AA672">
        <v>9</v>
      </c>
      <c r="AB672">
        <f t="shared" si="177"/>
        <v>0</v>
      </c>
      <c r="AC672">
        <f t="shared" si="178"/>
        <v>0</v>
      </c>
      <c r="AD672">
        <f t="shared" si="179"/>
        <v>0</v>
      </c>
      <c r="AE672">
        <f t="shared" si="180"/>
        <v>0</v>
      </c>
      <c r="AF672">
        <f t="shared" si="181"/>
        <v>0</v>
      </c>
      <c r="AG672">
        <f t="shared" si="182"/>
        <v>0</v>
      </c>
      <c r="AH672">
        <f t="shared" si="183"/>
        <v>0</v>
      </c>
      <c r="AI672">
        <f t="shared" si="184"/>
        <v>0</v>
      </c>
      <c r="AJ672">
        <f t="shared" si="185"/>
        <v>1</v>
      </c>
      <c r="AK672">
        <f t="shared" si="186"/>
        <v>0</v>
      </c>
      <c r="AL672">
        <v>1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</row>
    <row r="673" spans="1:53" x14ac:dyDescent="0.35">
      <c r="A673">
        <v>-2.2663984635943761E-2</v>
      </c>
      <c r="C673">
        <v>7.5041095890410956</v>
      </c>
      <c r="D673" s="137">
        <f t="shared" si="171"/>
        <v>0.87529916779748662</v>
      </c>
      <c r="E673">
        <v>0</v>
      </c>
      <c r="F673">
        <v>2.0413926851582249</v>
      </c>
      <c r="G673" s="45">
        <v>2.95</v>
      </c>
      <c r="H673" s="29">
        <f t="shared" si="172"/>
        <v>0.46982201597816303</v>
      </c>
      <c r="I673">
        <v>0</v>
      </c>
      <c r="J673" s="34">
        <v>0.13353890837021748</v>
      </c>
      <c r="K673">
        <v>20</v>
      </c>
      <c r="L673" s="137">
        <f t="shared" si="173"/>
        <v>1.3010299956639813</v>
      </c>
      <c r="M673">
        <f t="shared" si="170"/>
        <v>0</v>
      </c>
      <c r="N673">
        <v>70</v>
      </c>
      <c r="O673">
        <v>70</v>
      </c>
      <c r="P673">
        <v>91.4</v>
      </c>
      <c r="Q673" s="137">
        <f t="shared" si="174"/>
        <v>1.9609461957338314</v>
      </c>
      <c r="R673" s="34">
        <v>26.7</v>
      </c>
      <c r="S673" s="34">
        <f t="shared" si="187"/>
        <v>1.4265112613645752</v>
      </c>
      <c r="T673" s="42">
        <v>37.425715444240403</v>
      </c>
      <c r="U673" s="42">
        <f t="shared" si="188"/>
        <v>1.5731701112332821</v>
      </c>
      <c r="V673">
        <v>3.0958500844125241</v>
      </c>
      <c r="W673" s="14">
        <v>3</v>
      </c>
      <c r="X673">
        <v>3.5078178355445662</v>
      </c>
      <c r="Y673">
        <v>9.1687920203141822</v>
      </c>
      <c r="Z673" s="80">
        <v>0.12194425879825843</v>
      </c>
      <c r="AA673">
        <v>1</v>
      </c>
      <c r="AB673">
        <f t="shared" si="177"/>
        <v>1</v>
      </c>
      <c r="AC673">
        <f t="shared" si="178"/>
        <v>0</v>
      </c>
      <c r="AD673">
        <f t="shared" si="179"/>
        <v>0</v>
      </c>
      <c r="AE673">
        <f t="shared" si="180"/>
        <v>0</v>
      </c>
      <c r="AF673">
        <f t="shared" si="181"/>
        <v>0</v>
      </c>
      <c r="AG673">
        <f t="shared" si="182"/>
        <v>0</v>
      </c>
      <c r="AH673">
        <f t="shared" si="183"/>
        <v>0</v>
      </c>
      <c r="AI673">
        <f t="shared" si="184"/>
        <v>0</v>
      </c>
      <c r="AJ673">
        <f t="shared" si="185"/>
        <v>0</v>
      </c>
      <c r="AK673">
        <f t="shared" si="186"/>
        <v>0</v>
      </c>
      <c r="AL673">
        <v>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</row>
    <row r="674" spans="1:53" x14ac:dyDescent="0.35">
      <c r="A674">
        <v>-5.8858617968247297E-2</v>
      </c>
      <c r="C674">
        <v>7.0794520547945208</v>
      </c>
      <c r="D674" s="137">
        <f t="shared" si="171"/>
        <v>0.84999964486657176</v>
      </c>
      <c r="E674">
        <v>0</v>
      </c>
      <c r="F674">
        <v>1.968482948553935</v>
      </c>
      <c r="G674" s="45">
        <v>2.95</v>
      </c>
      <c r="H674" s="29">
        <f t="shared" si="172"/>
        <v>0.46982201597816303</v>
      </c>
      <c r="I674">
        <v>0</v>
      </c>
      <c r="J674" s="34">
        <v>0.13033376849500614</v>
      </c>
      <c r="K674">
        <v>20</v>
      </c>
      <c r="L674" s="137">
        <f t="shared" si="173"/>
        <v>1.3010299956639813</v>
      </c>
      <c r="M674">
        <f t="shared" si="170"/>
        <v>0</v>
      </c>
      <c r="N674">
        <v>70</v>
      </c>
      <c r="O674">
        <v>70</v>
      </c>
      <c r="P674">
        <v>91.4</v>
      </c>
      <c r="Q674" s="137">
        <f t="shared" si="174"/>
        <v>1.9609461957338314</v>
      </c>
      <c r="R674" s="34">
        <v>26.7</v>
      </c>
      <c r="S674" s="34">
        <f t="shared" si="187"/>
        <v>1.4265112613645752</v>
      </c>
      <c r="T674" s="42">
        <v>37.425715444240403</v>
      </c>
      <c r="U674" s="42">
        <f t="shared" si="188"/>
        <v>1.5731701112332821</v>
      </c>
      <c r="V674">
        <v>3.0958500844125241</v>
      </c>
      <c r="W674" s="14">
        <v>3</v>
      </c>
      <c r="X674">
        <v>3.5078178355445662</v>
      </c>
      <c r="Y674">
        <v>9.746244871720199</v>
      </c>
      <c r="Z674" s="80">
        <v>0.12629897686148861</v>
      </c>
      <c r="AA674">
        <v>1</v>
      </c>
      <c r="AB674">
        <f t="shared" si="177"/>
        <v>1</v>
      </c>
      <c r="AC674">
        <f t="shared" si="178"/>
        <v>0</v>
      </c>
      <c r="AD674">
        <f t="shared" si="179"/>
        <v>0</v>
      </c>
      <c r="AE674">
        <f t="shared" si="180"/>
        <v>0</v>
      </c>
      <c r="AF674">
        <f t="shared" si="181"/>
        <v>0</v>
      </c>
      <c r="AG674">
        <f t="shared" si="182"/>
        <v>0</v>
      </c>
      <c r="AH674">
        <f t="shared" si="183"/>
        <v>0</v>
      </c>
      <c r="AI674">
        <f t="shared" si="184"/>
        <v>0</v>
      </c>
      <c r="AJ674">
        <f t="shared" si="185"/>
        <v>0</v>
      </c>
      <c r="AK674">
        <f t="shared" si="186"/>
        <v>0</v>
      </c>
      <c r="AL674">
        <v>1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</row>
    <row r="675" spans="1:53" x14ac:dyDescent="0.35">
      <c r="A675">
        <v>-0.66181268553726114</v>
      </c>
      <c r="C675">
        <v>2.2986301369863016</v>
      </c>
      <c r="D675" s="137">
        <f t="shared" si="171"/>
        <v>0.36146909637222563</v>
      </c>
      <c r="E675">
        <v>0</v>
      </c>
      <c r="F675">
        <v>1.6434526764861874</v>
      </c>
      <c r="G675" s="45">
        <v>2.95</v>
      </c>
      <c r="H675" s="29">
        <f t="shared" si="172"/>
        <v>0.46982201597816303</v>
      </c>
      <c r="I675">
        <v>0</v>
      </c>
      <c r="J675" s="34">
        <v>-6.0480747381381476E-2</v>
      </c>
      <c r="K675">
        <v>42</v>
      </c>
      <c r="L675" s="137">
        <f t="shared" si="173"/>
        <v>1.6232492903979006</v>
      </c>
      <c r="M675">
        <f t="shared" si="170"/>
        <v>0</v>
      </c>
      <c r="N675">
        <v>70</v>
      </c>
      <c r="O675">
        <v>70</v>
      </c>
      <c r="P675">
        <v>92.6</v>
      </c>
      <c r="Q675" s="137">
        <f t="shared" si="174"/>
        <v>1.9666109866819343</v>
      </c>
      <c r="R675" s="34">
        <v>25.7</v>
      </c>
      <c r="S675" s="34">
        <f t="shared" si="187"/>
        <v>1.4099331233312946</v>
      </c>
      <c r="T675" s="42">
        <v>39.823361151429197</v>
      </c>
      <c r="U675" s="42">
        <f t="shared" si="188"/>
        <v>1.6001379123442065</v>
      </c>
      <c r="V675">
        <v>3.1527645837352773</v>
      </c>
      <c r="W675" s="14">
        <v>2</v>
      </c>
      <c r="X675">
        <v>3.5411223705253856</v>
      </c>
      <c r="Y675">
        <v>8.305265362023448</v>
      </c>
      <c r="Z675" s="80">
        <v>-8.6642576168330487E-2</v>
      </c>
      <c r="AA675">
        <v>2</v>
      </c>
      <c r="AB675">
        <f t="shared" si="177"/>
        <v>0</v>
      </c>
      <c r="AC675">
        <f t="shared" si="178"/>
        <v>1</v>
      </c>
      <c r="AD675">
        <f t="shared" si="179"/>
        <v>0</v>
      </c>
      <c r="AE675">
        <f t="shared" si="180"/>
        <v>0</v>
      </c>
      <c r="AF675">
        <f t="shared" si="181"/>
        <v>0</v>
      </c>
      <c r="AG675">
        <f t="shared" si="182"/>
        <v>0</v>
      </c>
      <c r="AH675">
        <f t="shared" si="183"/>
        <v>0</v>
      </c>
      <c r="AI675">
        <f t="shared" si="184"/>
        <v>0</v>
      </c>
      <c r="AJ675">
        <f t="shared" si="185"/>
        <v>0</v>
      </c>
      <c r="AK675">
        <f t="shared" si="186"/>
        <v>0</v>
      </c>
      <c r="AL675">
        <v>1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</row>
    <row r="676" spans="1:53" x14ac:dyDescent="0.35">
      <c r="A676">
        <v>0.6220999927396933</v>
      </c>
      <c r="C676">
        <v>2.3945205479452056</v>
      </c>
      <c r="D676" s="137">
        <f t="shared" si="171"/>
        <v>0.37921856817792837</v>
      </c>
      <c r="E676">
        <v>0</v>
      </c>
      <c r="F676">
        <v>0.77815125038364363</v>
      </c>
      <c r="G676" s="45">
        <v>2.95</v>
      </c>
      <c r="H676" s="29">
        <f t="shared" si="172"/>
        <v>0.46982201597816303</v>
      </c>
      <c r="I676">
        <v>0</v>
      </c>
      <c r="J676" s="34">
        <v>8.2785370316450071E-2</v>
      </c>
      <c r="K676">
        <v>26</v>
      </c>
      <c r="L676" s="137">
        <f t="shared" si="173"/>
        <v>1.414973347970818</v>
      </c>
      <c r="M676">
        <f t="shared" si="170"/>
        <v>0</v>
      </c>
      <c r="N676">
        <v>70</v>
      </c>
      <c r="O676">
        <v>70</v>
      </c>
      <c r="P676">
        <v>85</v>
      </c>
      <c r="Q676" s="137">
        <f t="shared" si="174"/>
        <v>1.9294189257142926</v>
      </c>
      <c r="R676" s="34">
        <v>25.7</v>
      </c>
      <c r="S676" s="34">
        <f t="shared" si="187"/>
        <v>1.4099331233312946</v>
      </c>
      <c r="T676" s="42">
        <v>39.367752568237798</v>
      </c>
      <c r="U676" s="42">
        <f t="shared" si="188"/>
        <v>1.5951406224338005</v>
      </c>
      <c r="V676">
        <v>3.1527645837352773</v>
      </c>
      <c r="W676" s="14">
        <v>2</v>
      </c>
      <c r="X676">
        <v>3.5411223705253856</v>
      </c>
      <c r="Y676">
        <v>7</v>
      </c>
      <c r="Z676" s="80" t="e">
        <v>#N/A</v>
      </c>
      <c r="AA676">
        <v>9</v>
      </c>
      <c r="AB676">
        <f t="shared" si="177"/>
        <v>0</v>
      </c>
      <c r="AC676">
        <f t="shared" si="178"/>
        <v>0</v>
      </c>
      <c r="AD676">
        <f t="shared" si="179"/>
        <v>0</v>
      </c>
      <c r="AE676">
        <f t="shared" si="180"/>
        <v>0</v>
      </c>
      <c r="AF676">
        <f t="shared" si="181"/>
        <v>0</v>
      </c>
      <c r="AG676">
        <f t="shared" si="182"/>
        <v>0</v>
      </c>
      <c r="AH676">
        <f t="shared" si="183"/>
        <v>0</v>
      </c>
      <c r="AI676">
        <f t="shared" si="184"/>
        <v>0</v>
      </c>
      <c r="AJ676">
        <f t="shared" si="185"/>
        <v>1</v>
      </c>
      <c r="AK676">
        <f t="shared" si="186"/>
        <v>0</v>
      </c>
      <c r="AL676">
        <v>1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</row>
    <row r="677" spans="1:53" x14ac:dyDescent="0.35">
      <c r="A677">
        <v>-2</v>
      </c>
      <c r="C677">
        <v>3.6986301369863015</v>
      </c>
      <c r="D677" s="137">
        <f t="shared" si="171"/>
        <v>0.56804090403853147</v>
      </c>
      <c r="E677">
        <v>0</v>
      </c>
      <c r="F677">
        <v>1.7481880270062005</v>
      </c>
      <c r="G677" s="45">
        <v>2.95</v>
      </c>
      <c r="H677" s="29">
        <f t="shared" si="172"/>
        <v>0.46982201597816303</v>
      </c>
      <c r="I677">
        <v>0</v>
      </c>
      <c r="J677" s="34">
        <v>0.19589965240923368</v>
      </c>
      <c r="K677">
        <v>26</v>
      </c>
      <c r="L677" s="137">
        <f t="shared" si="173"/>
        <v>1.414973347970818</v>
      </c>
      <c r="M677">
        <f t="shared" si="170"/>
        <v>0</v>
      </c>
      <c r="N677">
        <v>70</v>
      </c>
      <c r="O677">
        <v>70</v>
      </c>
      <c r="P677">
        <v>85</v>
      </c>
      <c r="Q677" s="137">
        <f t="shared" si="174"/>
        <v>1.9294189257142926</v>
      </c>
      <c r="R677" s="34">
        <v>25.7</v>
      </c>
      <c r="S677" s="34">
        <f t="shared" si="187"/>
        <v>1.4099331233312946</v>
      </c>
      <c r="T677" s="42">
        <v>39.367752568237798</v>
      </c>
      <c r="U677" s="42">
        <f t="shared" si="188"/>
        <v>1.5951406224338005</v>
      </c>
      <c r="V677">
        <v>3.1527645837352773</v>
      </c>
      <c r="W677" s="14">
        <v>2</v>
      </c>
      <c r="X677">
        <v>3.5411223705253856</v>
      </c>
      <c r="Y677">
        <v>7.204119982655925</v>
      </c>
      <c r="Z677" s="80" t="e">
        <v>#N/A</v>
      </c>
      <c r="AA677">
        <v>1</v>
      </c>
      <c r="AB677">
        <f t="shared" si="177"/>
        <v>1</v>
      </c>
      <c r="AC677">
        <f t="shared" si="178"/>
        <v>0</v>
      </c>
      <c r="AD677">
        <f t="shared" si="179"/>
        <v>0</v>
      </c>
      <c r="AE677">
        <f t="shared" si="180"/>
        <v>0</v>
      </c>
      <c r="AF677">
        <f t="shared" si="181"/>
        <v>0</v>
      </c>
      <c r="AG677">
        <f t="shared" si="182"/>
        <v>0</v>
      </c>
      <c r="AH677">
        <f t="shared" si="183"/>
        <v>0</v>
      </c>
      <c r="AI677">
        <f t="shared" si="184"/>
        <v>0</v>
      </c>
      <c r="AJ677">
        <f t="shared" si="185"/>
        <v>0</v>
      </c>
      <c r="AK677">
        <f t="shared" si="186"/>
        <v>0</v>
      </c>
      <c r="AL677">
        <v>1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</row>
    <row r="678" spans="1:53" x14ac:dyDescent="0.35">
      <c r="A678">
        <v>-2</v>
      </c>
      <c r="C678">
        <v>2.095890410958904</v>
      </c>
      <c r="D678" s="137">
        <f t="shared" si="171"/>
        <v>0.32136857069714286</v>
      </c>
      <c r="E678">
        <v>0</v>
      </c>
      <c r="F678">
        <v>1.8061799739838871</v>
      </c>
      <c r="G678" s="45">
        <v>2.95</v>
      </c>
      <c r="H678" s="29">
        <f t="shared" si="172"/>
        <v>0.46982201597816303</v>
      </c>
      <c r="I678">
        <v>0</v>
      </c>
      <c r="J678" s="34">
        <v>0.10720996964786837</v>
      </c>
      <c r="K678">
        <v>45</v>
      </c>
      <c r="L678" s="137">
        <f t="shared" si="173"/>
        <v>1.6532125137753437</v>
      </c>
      <c r="M678">
        <f t="shared" si="170"/>
        <v>0</v>
      </c>
      <c r="N678">
        <v>70</v>
      </c>
      <c r="O678">
        <v>70</v>
      </c>
      <c r="P678">
        <v>91</v>
      </c>
      <c r="Q678" s="137">
        <f t="shared" si="174"/>
        <v>1.9590413923210936</v>
      </c>
      <c r="R678" s="34">
        <v>23.9</v>
      </c>
      <c r="S678" s="34">
        <f t="shared" si="187"/>
        <v>1.3783979009481377</v>
      </c>
      <c r="T678" s="42">
        <v>42.048698215007001</v>
      </c>
      <c r="U678" s="42">
        <f t="shared" si="188"/>
        <v>1.6237525550259535</v>
      </c>
      <c r="V678">
        <v>3.1527645837352773</v>
      </c>
      <c r="W678" s="14">
        <v>2</v>
      </c>
      <c r="X678">
        <v>3.5411223705253856</v>
      </c>
      <c r="Y678">
        <v>8.8302934790795664</v>
      </c>
      <c r="Z678" s="80">
        <v>0.12587722224731923</v>
      </c>
      <c r="AA678">
        <v>2</v>
      </c>
      <c r="AB678">
        <f t="shared" si="177"/>
        <v>0</v>
      </c>
      <c r="AC678">
        <f t="shared" si="178"/>
        <v>1</v>
      </c>
      <c r="AD678">
        <f t="shared" si="179"/>
        <v>0</v>
      </c>
      <c r="AE678">
        <f t="shared" si="180"/>
        <v>0</v>
      </c>
      <c r="AF678">
        <f t="shared" si="181"/>
        <v>0</v>
      </c>
      <c r="AG678">
        <f t="shared" si="182"/>
        <v>0</v>
      </c>
      <c r="AH678">
        <f t="shared" si="183"/>
        <v>0</v>
      </c>
      <c r="AI678">
        <f t="shared" si="184"/>
        <v>0</v>
      </c>
      <c r="AJ678">
        <f t="shared" si="185"/>
        <v>0</v>
      </c>
      <c r="AK678">
        <f t="shared" si="186"/>
        <v>0</v>
      </c>
      <c r="AL678">
        <v>1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</row>
    <row r="679" spans="1:53" x14ac:dyDescent="0.35">
      <c r="A679">
        <v>-2</v>
      </c>
      <c r="C679">
        <v>5.4684931506849317</v>
      </c>
      <c r="D679" s="137">
        <f t="shared" si="171"/>
        <v>0.73786767249487761</v>
      </c>
      <c r="E679">
        <v>0</v>
      </c>
      <c r="F679">
        <v>1.1139433523068367</v>
      </c>
      <c r="G679" s="45">
        <v>2.95</v>
      </c>
      <c r="H679" s="29">
        <f t="shared" si="172"/>
        <v>0.46982201597816303</v>
      </c>
      <c r="I679">
        <v>0</v>
      </c>
      <c r="J679" s="34">
        <v>-4.3648054024500883E-3</v>
      </c>
      <c r="K679">
        <v>38</v>
      </c>
      <c r="L679" s="137">
        <f t="shared" si="173"/>
        <v>1.5797835966168101</v>
      </c>
      <c r="M679">
        <f t="shared" si="170"/>
        <v>0</v>
      </c>
      <c r="N679">
        <v>70</v>
      </c>
      <c r="O679">
        <v>70</v>
      </c>
      <c r="P679">
        <v>85</v>
      </c>
      <c r="Q679" s="137">
        <f t="shared" si="174"/>
        <v>1.9294189257142926</v>
      </c>
      <c r="R679" s="34">
        <v>24.6</v>
      </c>
      <c r="S679" s="34">
        <f t="shared" si="187"/>
        <v>1.3909351071033791</v>
      </c>
      <c r="T679" s="42">
        <v>36.876470987978301</v>
      </c>
      <c r="U679" s="42">
        <f t="shared" si="188"/>
        <v>1.5667493531684615</v>
      </c>
      <c r="V679">
        <v>3.1527645837352773</v>
      </c>
      <c r="W679" s="14">
        <v>2</v>
      </c>
      <c r="X679">
        <v>3.5411223705253856</v>
      </c>
      <c r="Y679">
        <v>7.7075701760979367</v>
      </c>
      <c r="Z679" s="80">
        <v>0.23346129209985267</v>
      </c>
      <c r="AA679">
        <v>2</v>
      </c>
      <c r="AB679">
        <f t="shared" si="177"/>
        <v>0</v>
      </c>
      <c r="AC679">
        <f t="shared" si="178"/>
        <v>1</v>
      </c>
      <c r="AD679">
        <f t="shared" si="179"/>
        <v>0</v>
      </c>
      <c r="AE679">
        <f t="shared" si="180"/>
        <v>0</v>
      </c>
      <c r="AF679">
        <f t="shared" si="181"/>
        <v>0</v>
      </c>
      <c r="AG679">
        <f t="shared" si="182"/>
        <v>0</v>
      </c>
      <c r="AH679">
        <f t="shared" si="183"/>
        <v>0</v>
      </c>
      <c r="AI679">
        <f t="shared" si="184"/>
        <v>0</v>
      </c>
      <c r="AJ679">
        <f t="shared" si="185"/>
        <v>0</v>
      </c>
      <c r="AK679">
        <f t="shared" si="186"/>
        <v>0</v>
      </c>
      <c r="AL679">
        <v>1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</row>
    <row r="680" spans="1:53" x14ac:dyDescent="0.35">
      <c r="A680">
        <v>-2</v>
      </c>
      <c r="C680">
        <v>2.515068493150685</v>
      </c>
      <c r="D680" s="137">
        <f t="shared" si="171"/>
        <v>0.40054981674476775</v>
      </c>
      <c r="E680">
        <v>0</v>
      </c>
      <c r="F680">
        <v>1.0791812460476249</v>
      </c>
      <c r="G680" s="45">
        <v>2.95</v>
      </c>
      <c r="H680" s="29">
        <f t="shared" si="172"/>
        <v>0.46982201597816303</v>
      </c>
      <c r="I680">
        <v>0</v>
      </c>
      <c r="J680" s="34">
        <v>-0.21467016498923297</v>
      </c>
      <c r="K680">
        <v>34</v>
      </c>
      <c r="L680" s="137">
        <f t="shared" si="173"/>
        <v>1.5314789170422551</v>
      </c>
      <c r="M680">
        <f t="shared" si="170"/>
        <v>0</v>
      </c>
      <c r="N680">
        <v>70</v>
      </c>
      <c r="O680">
        <v>70</v>
      </c>
      <c r="P680">
        <v>85</v>
      </c>
      <c r="Q680" s="137">
        <f t="shared" si="174"/>
        <v>1.9294189257142926</v>
      </c>
      <c r="R680" s="34">
        <v>28.2</v>
      </c>
      <c r="S680" s="34">
        <f t="shared" si="187"/>
        <v>1.4502491083193612</v>
      </c>
      <c r="T680" s="42">
        <v>34.298950279384798</v>
      </c>
      <c r="U680" s="42">
        <f t="shared" si="188"/>
        <v>1.5352808286478177</v>
      </c>
      <c r="V680">
        <v>3.1527645837352773</v>
      </c>
      <c r="W680" s="14">
        <v>2</v>
      </c>
      <c r="X680">
        <v>3.5411223705253856</v>
      </c>
      <c r="Y680">
        <v>7.8167714123333463</v>
      </c>
      <c r="Z680" s="80">
        <v>-0.39302581539408199</v>
      </c>
      <c r="AA680">
        <v>5</v>
      </c>
      <c r="AB680">
        <f t="shared" si="177"/>
        <v>0</v>
      </c>
      <c r="AC680">
        <f t="shared" si="178"/>
        <v>0</v>
      </c>
      <c r="AD680">
        <f t="shared" si="179"/>
        <v>0</v>
      </c>
      <c r="AE680">
        <f t="shared" si="180"/>
        <v>0</v>
      </c>
      <c r="AF680">
        <f t="shared" si="181"/>
        <v>1</v>
      </c>
      <c r="AG680">
        <f t="shared" si="182"/>
        <v>0</v>
      </c>
      <c r="AH680">
        <f t="shared" si="183"/>
        <v>0</v>
      </c>
      <c r="AI680">
        <f t="shared" si="184"/>
        <v>0</v>
      </c>
      <c r="AJ680">
        <f t="shared" si="185"/>
        <v>0</v>
      </c>
      <c r="AK680">
        <f t="shared" si="186"/>
        <v>0</v>
      </c>
      <c r="AL680">
        <v>1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</row>
    <row r="681" spans="1:53" x14ac:dyDescent="0.35">
      <c r="A681">
        <v>0.84056111826942603</v>
      </c>
      <c r="C681">
        <v>2.1753424657534248</v>
      </c>
      <c r="D681" s="137">
        <f t="shared" si="171"/>
        <v>0.33752763797062157</v>
      </c>
      <c r="E681">
        <v>0</v>
      </c>
      <c r="F681">
        <v>1.3424226808222062</v>
      </c>
      <c r="G681" s="45">
        <v>2.95</v>
      </c>
      <c r="H681" s="29">
        <f t="shared" si="172"/>
        <v>0.46982201597816303</v>
      </c>
      <c r="I681">
        <v>0</v>
      </c>
      <c r="J681" s="34">
        <v>8.6359830674748214E-2</v>
      </c>
      <c r="K681">
        <v>18</v>
      </c>
      <c r="L681" s="137">
        <f t="shared" si="173"/>
        <v>1.255272505103306</v>
      </c>
      <c r="M681">
        <f t="shared" si="170"/>
        <v>0</v>
      </c>
      <c r="N681">
        <v>70</v>
      </c>
      <c r="O681">
        <v>70</v>
      </c>
      <c r="P681">
        <v>91.3</v>
      </c>
      <c r="Q681" s="137">
        <f t="shared" si="174"/>
        <v>1.9604707775342989</v>
      </c>
      <c r="R681" s="34">
        <v>23.5</v>
      </c>
      <c r="S681" s="34">
        <f t="shared" si="187"/>
        <v>1.3710678622717363</v>
      </c>
      <c r="T681" s="42">
        <v>43.1672842383418</v>
      </c>
      <c r="U681" s="42">
        <f t="shared" si="188"/>
        <v>1.6351547269652249</v>
      </c>
      <c r="V681">
        <v>3.1628767233771686</v>
      </c>
      <c r="W681" s="14">
        <v>2</v>
      </c>
      <c r="X681">
        <v>3.6087947637270492</v>
      </c>
      <c r="Y681">
        <v>7.6884198220027109</v>
      </c>
      <c r="Z681" s="80">
        <v>4.8306949787725539E-2</v>
      </c>
      <c r="AA681">
        <v>2</v>
      </c>
      <c r="AB681">
        <f t="shared" si="177"/>
        <v>0</v>
      </c>
      <c r="AC681">
        <f t="shared" si="178"/>
        <v>1</v>
      </c>
      <c r="AD681">
        <f t="shared" si="179"/>
        <v>0</v>
      </c>
      <c r="AE681">
        <f t="shared" si="180"/>
        <v>0</v>
      </c>
      <c r="AF681">
        <f t="shared" si="181"/>
        <v>0</v>
      </c>
      <c r="AG681">
        <f t="shared" si="182"/>
        <v>0</v>
      </c>
      <c r="AH681">
        <f t="shared" si="183"/>
        <v>0</v>
      </c>
      <c r="AI681">
        <f t="shared" si="184"/>
        <v>0</v>
      </c>
      <c r="AJ681">
        <f t="shared" si="185"/>
        <v>0</v>
      </c>
      <c r="AK681">
        <f t="shared" si="186"/>
        <v>0</v>
      </c>
      <c r="AL681">
        <v>1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</row>
    <row r="682" spans="1:53" x14ac:dyDescent="0.35">
      <c r="A682">
        <v>0.16136800223497488</v>
      </c>
      <c r="C682">
        <v>5.4821917808219176</v>
      </c>
      <c r="D682" s="137">
        <f t="shared" si="171"/>
        <v>0.73895422417973666</v>
      </c>
      <c r="E682">
        <v>0</v>
      </c>
      <c r="F682">
        <v>1.2787536009528289</v>
      </c>
      <c r="G682" s="45">
        <v>2.95</v>
      </c>
      <c r="H682" s="29">
        <f t="shared" si="172"/>
        <v>0.46982201597816303</v>
      </c>
      <c r="I682">
        <v>0</v>
      </c>
      <c r="J682" s="34">
        <v>0.26951294421791627</v>
      </c>
      <c r="K682">
        <v>21</v>
      </c>
      <c r="L682" s="137">
        <f t="shared" si="173"/>
        <v>1.3222192947339193</v>
      </c>
      <c r="M682">
        <f t="shared" si="170"/>
        <v>0</v>
      </c>
      <c r="N682">
        <v>70</v>
      </c>
      <c r="O682">
        <v>70</v>
      </c>
      <c r="P682">
        <v>90.5</v>
      </c>
      <c r="Q682" s="137">
        <f t="shared" si="174"/>
        <v>1.9566485792052033</v>
      </c>
      <c r="R682" s="34">
        <v>25.7</v>
      </c>
      <c r="S682" s="34">
        <f t="shared" si="187"/>
        <v>1.4099331233312946</v>
      </c>
      <c r="T682" s="42">
        <v>39.010023979360902</v>
      </c>
      <c r="U682" s="42">
        <f t="shared" si="188"/>
        <v>1.5911762172715689</v>
      </c>
      <c r="V682">
        <v>3.1628767233771686</v>
      </c>
      <c r="W682" s="14">
        <v>2</v>
      </c>
      <c r="X682">
        <v>3.6087947637270492</v>
      </c>
      <c r="Y682">
        <v>9</v>
      </c>
      <c r="Z682" s="80">
        <v>0.23156214792727958</v>
      </c>
      <c r="AA682">
        <v>9</v>
      </c>
      <c r="AB682">
        <f t="shared" si="177"/>
        <v>0</v>
      </c>
      <c r="AC682">
        <f t="shared" si="178"/>
        <v>0</v>
      </c>
      <c r="AD682">
        <f t="shared" si="179"/>
        <v>0</v>
      </c>
      <c r="AE682">
        <f t="shared" si="180"/>
        <v>0</v>
      </c>
      <c r="AF682">
        <f t="shared" si="181"/>
        <v>0</v>
      </c>
      <c r="AG682">
        <f t="shared" si="182"/>
        <v>0</v>
      </c>
      <c r="AH682">
        <f t="shared" si="183"/>
        <v>0</v>
      </c>
      <c r="AI682">
        <f t="shared" si="184"/>
        <v>0</v>
      </c>
      <c r="AJ682">
        <f t="shared" si="185"/>
        <v>1</v>
      </c>
      <c r="AK682">
        <f t="shared" si="186"/>
        <v>0</v>
      </c>
      <c r="AL682">
        <v>1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</row>
    <row r="683" spans="1:53" x14ac:dyDescent="0.35">
      <c r="A683">
        <v>-2</v>
      </c>
      <c r="C683">
        <v>5.7424657534246579</v>
      </c>
      <c r="D683" s="137">
        <f t="shared" si="171"/>
        <v>0.75909841385521437</v>
      </c>
      <c r="E683">
        <v>0</v>
      </c>
      <c r="F683">
        <v>0.69897000433601886</v>
      </c>
      <c r="G683" s="45">
        <v>2.95</v>
      </c>
      <c r="H683" s="29">
        <f t="shared" si="172"/>
        <v>0.46982201597816303</v>
      </c>
      <c r="I683">
        <v>0</v>
      </c>
      <c r="J683" s="34">
        <v>-4.0958607678906384E-2</v>
      </c>
      <c r="K683">
        <v>13</v>
      </c>
      <c r="L683" s="137">
        <f t="shared" si="173"/>
        <v>1.1139433523068367</v>
      </c>
      <c r="M683">
        <f t="shared" si="170"/>
        <v>0</v>
      </c>
      <c r="N683">
        <v>70</v>
      </c>
      <c r="O683">
        <v>70</v>
      </c>
      <c r="P683">
        <v>85</v>
      </c>
      <c r="Q683" s="137">
        <f t="shared" si="174"/>
        <v>1.9294189257142926</v>
      </c>
      <c r="R683" s="34">
        <v>28.2</v>
      </c>
      <c r="S683" s="34">
        <f t="shared" si="187"/>
        <v>1.4502491083193612</v>
      </c>
      <c r="T683" s="42">
        <v>34.298950279384798</v>
      </c>
      <c r="U683" s="42">
        <f t="shared" si="188"/>
        <v>1.5352808286478177</v>
      </c>
      <c r="V683">
        <v>3.0958500844125241</v>
      </c>
      <c r="W683" s="14">
        <v>3</v>
      </c>
      <c r="X683">
        <v>3.5078178355445662</v>
      </c>
      <c r="Y683">
        <v>7.6020599913279625</v>
      </c>
      <c r="Z683" s="80">
        <v>-0.10033465994180646</v>
      </c>
      <c r="AA683">
        <v>9</v>
      </c>
      <c r="AB683">
        <f t="shared" si="177"/>
        <v>0</v>
      </c>
      <c r="AC683">
        <f t="shared" si="178"/>
        <v>0</v>
      </c>
      <c r="AD683">
        <f t="shared" si="179"/>
        <v>0</v>
      </c>
      <c r="AE683">
        <f t="shared" si="180"/>
        <v>0</v>
      </c>
      <c r="AF683">
        <f t="shared" si="181"/>
        <v>0</v>
      </c>
      <c r="AG683">
        <f t="shared" si="182"/>
        <v>0</v>
      </c>
      <c r="AH683">
        <f t="shared" si="183"/>
        <v>0</v>
      </c>
      <c r="AI683">
        <f t="shared" si="184"/>
        <v>0</v>
      </c>
      <c r="AJ683">
        <f t="shared" si="185"/>
        <v>1</v>
      </c>
      <c r="AK683">
        <f t="shared" si="186"/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</row>
    <row r="684" spans="1:53" x14ac:dyDescent="0.35">
      <c r="A684">
        <v>-2</v>
      </c>
      <c r="C684">
        <v>4.3178082191780822</v>
      </c>
      <c r="D684" s="137">
        <f t="shared" si="171"/>
        <v>0.6352633486970618</v>
      </c>
      <c r="E684">
        <v>0</v>
      </c>
      <c r="F684">
        <v>0.47712125471966244</v>
      </c>
      <c r="G684" s="45">
        <v>2.95</v>
      </c>
      <c r="H684" s="29">
        <f t="shared" si="172"/>
        <v>0.46982201597816303</v>
      </c>
      <c r="I684">
        <v>0</v>
      </c>
      <c r="J684" s="34">
        <v>2.9383777685209667E-2</v>
      </c>
      <c r="K684">
        <v>14</v>
      </c>
      <c r="L684" s="137">
        <f t="shared" si="173"/>
        <v>1.146128035678238</v>
      </c>
      <c r="M684">
        <f t="shared" si="170"/>
        <v>0</v>
      </c>
      <c r="N684">
        <v>70</v>
      </c>
      <c r="O684">
        <v>70</v>
      </c>
      <c r="P684">
        <v>85</v>
      </c>
      <c r="Q684" s="137">
        <f t="shared" si="174"/>
        <v>1.9294189257142926</v>
      </c>
      <c r="R684" s="34">
        <v>27.2</v>
      </c>
      <c r="S684" s="34">
        <f t="shared" si="187"/>
        <v>1.4345689040341987</v>
      </c>
      <c r="T684" s="42">
        <v>35.608384832026097</v>
      </c>
      <c r="U684" s="42">
        <f t="shared" si="188"/>
        <v>1.5515522748692276</v>
      </c>
      <c r="V684">
        <v>3.0958500844125241</v>
      </c>
      <c r="W684" s="14">
        <v>3</v>
      </c>
      <c r="X684">
        <v>3.5078178355445662</v>
      </c>
      <c r="Y684">
        <v>8.4393326938302629</v>
      </c>
      <c r="Z684" s="80">
        <v>-4.2805010356050888E-2</v>
      </c>
      <c r="AA684">
        <v>4</v>
      </c>
      <c r="AB684">
        <f t="shared" si="177"/>
        <v>0</v>
      </c>
      <c r="AC684">
        <f t="shared" si="178"/>
        <v>0</v>
      </c>
      <c r="AD684">
        <f t="shared" si="179"/>
        <v>0</v>
      </c>
      <c r="AE684">
        <f t="shared" si="180"/>
        <v>1</v>
      </c>
      <c r="AF684">
        <f t="shared" si="181"/>
        <v>0</v>
      </c>
      <c r="AG684">
        <f t="shared" si="182"/>
        <v>0</v>
      </c>
      <c r="AH684">
        <f t="shared" si="183"/>
        <v>0</v>
      </c>
      <c r="AI684">
        <f t="shared" si="184"/>
        <v>0</v>
      </c>
      <c r="AJ684">
        <f t="shared" si="185"/>
        <v>0</v>
      </c>
      <c r="AK684">
        <f t="shared" si="186"/>
        <v>0</v>
      </c>
      <c r="AL684">
        <v>1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</row>
    <row r="685" spans="1:53" x14ac:dyDescent="0.35">
      <c r="A685">
        <v>0.72989379285377709</v>
      </c>
      <c r="C685">
        <v>3.3041095890410959</v>
      </c>
      <c r="D685" s="137">
        <f t="shared" si="171"/>
        <v>0.51905444334765782</v>
      </c>
      <c r="E685">
        <v>0</v>
      </c>
      <c r="F685">
        <v>0.6020599913279624</v>
      </c>
      <c r="G685" s="45">
        <v>2.95</v>
      </c>
      <c r="H685" s="29">
        <f t="shared" si="172"/>
        <v>0.46982201597816303</v>
      </c>
      <c r="I685">
        <v>0</v>
      </c>
      <c r="J685" s="34">
        <v>1.2837224705172217E-2</v>
      </c>
      <c r="K685">
        <v>15</v>
      </c>
      <c r="L685" s="137">
        <f t="shared" si="173"/>
        <v>1.1760912590556813</v>
      </c>
      <c r="M685">
        <f t="shared" si="170"/>
        <v>0</v>
      </c>
      <c r="N685">
        <v>70</v>
      </c>
      <c r="O685">
        <v>70</v>
      </c>
      <c r="P685">
        <v>85</v>
      </c>
      <c r="Q685" s="137">
        <f t="shared" si="174"/>
        <v>1.9294189257142926</v>
      </c>
      <c r="R685" s="34">
        <v>24.9</v>
      </c>
      <c r="S685" s="34">
        <f t="shared" si="187"/>
        <v>1.3961993470957363</v>
      </c>
      <c r="T685" s="42">
        <v>36.710134890601303</v>
      </c>
      <c r="U685" s="42">
        <f t="shared" si="188"/>
        <v>1.564785980312654</v>
      </c>
      <c r="V685">
        <v>3.0958500844125241</v>
      </c>
      <c r="W685" s="14">
        <v>3</v>
      </c>
      <c r="X685">
        <v>3.5078178355445662</v>
      </c>
      <c r="Y685">
        <v>7.6190933306267423</v>
      </c>
      <c r="Z685" s="80">
        <v>8.281121266118463E-3</v>
      </c>
      <c r="AA685">
        <v>1</v>
      </c>
      <c r="AB685">
        <f t="shared" si="177"/>
        <v>1</v>
      </c>
      <c r="AC685">
        <f t="shared" si="178"/>
        <v>0</v>
      </c>
      <c r="AD685">
        <f t="shared" si="179"/>
        <v>0</v>
      </c>
      <c r="AE685">
        <f t="shared" si="180"/>
        <v>0</v>
      </c>
      <c r="AF685">
        <f t="shared" si="181"/>
        <v>0</v>
      </c>
      <c r="AG685">
        <f t="shared" si="182"/>
        <v>0</v>
      </c>
      <c r="AH685">
        <f t="shared" si="183"/>
        <v>0</v>
      </c>
      <c r="AI685">
        <f t="shared" si="184"/>
        <v>0</v>
      </c>
      <c r="AJ685">
        <f t="shared" si="185"/>
        <v>0</v>
      </c>
      <c r="AK685">
        <f t="shared" si="186"/>
        <v>0</v>
      </c>
      <c r="AL685">
        <v>1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</row>
    <row r="686" spans="1:53" x14ac:dyDescent="0.35">
      <c r="A686">
        <v>0.3406889680132057</v>
      </c>
      <c r="C686">
        <v>4.3068493150684928</v>
      </c>
      <c r="D686" s="137">
        <f t="shared" si="171"/>
        <v>0.63415967724691436</v>
      </c>
      <c r="E686">
        <v>0</v>
      </c>
      <c r="F686">
        <v>1.6532125137753437</v>
      </c>
      <c r="G686" s="45">
        <v>2.95</v>
      </c>
      <c r="H686" s="29">
        <f t="shared" si="172"/>
        <v>0.46982201597816303</v>
      </c>
      <c r="I686">
        <v>0</v>
      </c>
      <c r="J686" s="34">
        <v>4.9218022670181653E-2</v>
      </c>
      <c r="K686">
        <v>17</v>
      </c>
      <c r="L686" s="137">
        <f t="shared" si="173"/>
        <v>1.2304489213782739</v>
      </c>
      <c r="M686">
        <f t="shared" si="170"/>
        <v>0</v>
      </c>
      <c r="N686">
        <v>70</v>
      </c>
      <c r="O686">
        <v>70</v>
      </c>
      <c r="P686">
        <v>85</v>
      </c>
      <c r="Q686" s="137">
        <f t="shared" si="174"/>
        <v>1.9294189257142926</v>
      </c>
      <c r="R686" s="34">
        <v>24.6</v>
      </c>
      <c r="S686" s="34">
        <f t="shared" si="187"/>
        <v>1.3909351071033791</v>
      </c>
      <c r="T686" s="42">
        <v>36.876470987978301</v>
      </c>
      <c r="U686" s="42">
        <f t="shared" si="188"/>
        <v>1.5667493531684615</v>
      </c>
      <c r="V686">
        <v>3.0958500844125241</v>
      </c>
      <c r="W686" s="14">
        <v>3</v>
      </c>
      <c r="X686">
        <v>3.5078178355445662</v>
      </c>
      <c r="Y686">
        <v>8.0986437258170572</v>
      </c>
      <c r="Z686" s="80">
        <v>0.24884185909508805</v>
      </c>
      <c r="AA686">
        <v>5</v>
      </c>
      <c r="AB686">
        <f t="shared" si="177"/>
        <v>0</v>
      </c>
      <c r="AC686">
        <f t="shared" si="178"/>
        <v>0</v>
      </c>
      <c r="AD686">
        <f t="shared" si="179"/>
        <v>0</v>
      </c>
      <c r="AE686">
        <f t="shared" si="180"/>
        <v>0</v>
      </c>
      <c r="AF686">
        <f t="shared" si="181"/>
        <v>1</v>
      </c>
      <c r="AG686">
        <f t="shared" si="182"/>
        <v>0</v>
      </c>
      <c r="AH686">
        <f t="shared" si="183"/>
        <v>0</v>
      </c>
      <c r="AI686">
        <f t="shared" si="184"/>
        <v>0</v>
      </c>
      <c r="AJ686">
        <f t="shared" si="185"/>
        <v>0</v>
      </c>
      <c r="AK686">
        <f t="shared" si="186"/>
        <v>0</v>
      </c>
      <c r="AL686">
        <v>1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</row>
    <row r="687" spans="1:53" x14ac:dyDescent="0.35">
      <c r="A687">
        <v>-2</v>
      </c>
      <c r="C687">
        <v>4.2767123287671236</v>
      </c>
      <c r="D687" s="137">
        <f t="shared" si="171"/>
        <v>0.63111003860594284</v>
      </c>
      <c r="E687">
        <v>0</v>
      </c>
      <c r="F687">
        <v>0.69897000433601886</v>
      </c>
      <c r="G687" s="45">
        <v>2.95</v>
      </c>
      <c r="H687" s="29">
        <f t="shared" si="172"/>
        <v>0.46982201597816303</v>
      </c>
      <c r="I687">
        <v>0</v>
      </c>
      <c r="J687" s="34">
        <v>4.5322978786657475E-2</v>
      </c>
      <c r="K687">
        <v>17</v>
      </c>
      <c r="L687" s="137">
        <f t="shared" si="173"/>
        <v>1.2304489213782739</v>
      </c>
      <c r="M687">
        <f t="shared" si="170"/>
        <v>0</v>
      </c>
      <c r="N687">
        <v>70</v>
      </c>
      <c r="O687">
        <v>70</v>
      </c>
      <c r="P687">
        <v>85</v>
      </c>
      <c r="Q687" s="137">
        <f t="shared" si="174"/>
        <v>1.9294189257142926</v>
      </c>
      <c r="R687" s="34">
        <v>24.6</v>
      </c>
      <c r="S687" s="34">
        <f t="shared" si="187"/>
        <v>1.3909351071033791</v>
      </c>
      <c r="T687" s="42">
        <v>36.876470987978301</v>
      </c>
      <c r="U687" s="42">
        <f t="shared" si="188"/>
        <v>1.5667493531684615</v>
      </c>
      <c r="V687">
        <v>3.0958500844125241</v>
      </c>
      <c r="W687" s="14">
        <v>3</v>
      </c>
      <c r="X687">
        <v>3.5078178355445662</v>
      </c>
      <c r="Y687">
        <v>6.9030899869919438</v>
      </c>
      <c r="Z687" s="80">
        <v>0.2039638581669676</v>
      </c>
      <c r="AA687">
        <v>9</v>
      </c>
      <c r="AB687">
        <f t="shared" si="177"/>
        <v>0</v>
      </c>
      <c r="AC687">
        <f t="shared" si="178"/>
        <v>0</v>
      </c>
      <c r="AD687">
        <f t="shared" si="179"/>
        <v>0</v>
      </c>
      <c r="AE687">
        <f t="shared" si="180"/>
        <v>0</v>
      </c>
      <c r="AF687">
        <f t="shared" si="181"/>
        <v>0</v>
      </c>
      <c r="AG687">
        <f t="shared" si="182"/>
        <v>0</v>
      </c>
      <c r="AH687">
        <f t="shared" si="183"/>
        <v>0</v>
      </c>
      <c r="AI687">
        <f t="shared" si="184"/>
        <v>0</v>
      </c>
      <c r="AJ687">
        <f t="shared" si="185"/>
        <v>1</v>
      </c>
      <c r="AK687">
        <f t="shared" si="186"/>
        <v>0</v>
      </c>
      <c r="AL687">
        <v>1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</row>
    <row r="688" spans="1:53" x14ac:dyDescent="0.35">
      <c r="A688">
        <v>0.36172783601759284</v>
      </c>
      <c r="C688">
        <v>5.4164383561643836</v>
      </c>
      <c r="D688" s="137">
        <f t="shared" si="171"/>
        <v>0.73371380485719762</v>
      </c>
      <c r="E688">
        <v>0</v>
      </c>
      <c r="F688">
        <v>1.5314789170422551</v>
      </c>
      <c r="G688" s="45">
        <v>2.95</v>
      </c>
      <c r="H688" s="29">
        <f t="shared" si="172"/>
        <v>0.46982201597816303</v>
      </c>
      <c r="I688">
        <v>0</v>
      </c>
      <c r="J688" s="34">
        <v>-3.6212172654444715E-2</v>
      </c>
      <c r="K688">
        <v>18</v>
      </c>
      <c r="L688" s="137">
        <f t="shared" si="173"/>
        <v>1.255272505103306</v>
      </c>
      <c r="M688">
        <f t="shared" si="170"/>
        <v>0</v>
      </c>
      <c r="N688">
        <v>70</v>
      </c>
      <c r="O688">
        <v>70</v>
      </c>
      <c r="P688">
        <v>85</v>
      </c>
      <c r="Q688" s="137">
        <f t="shared" si="174"/>
        <v>1.9294189257142926</v>
      </c>
      <c r="R688" s="34">
        <v>25.9</v>
      </c>
      <c r="S688" s="34">
        <f t="shared" si="187"/>
        <v>1.4132997640812519</v>
      </c>
      <c r="T688" s="42">
        <v>36.959146749272797</v>
      </c>
      <c r="U688" s="42">
        <f t="shared" si="188"/>
        <v>1.5677219364019672</v>
      </c>
      <c r="V688">
        <v>3.0958500844125241</v>
      </c>
      <c r="W688" s="14">
        <v>3</v>
      </c>
      <c r="X688">
        <v>3.5078178355445662</v>
      </c>
      <c r="Y688">
        <v>7.6020599913279625</v>
      </c>
      <c r="Z688" s="80">
        <v>0.105959690704585</v>
      </c>
      <c r="AA688">
        <v>5</v>
      </c>
      <c r="AB688">
        <f t="shared" si="177"/>
        <v>0</v>
      </c>
      <c r="AC688">
        <f t="shared" si="178"/>
        <v>0</v>
      </c>
      <c r="AD688">
        <f t="shared" si="179"/>
        <v>0</v>
      </c>
      <c r="AE688">
        <f t="shared" si="180"/>
        <v>0</v>
      </c>
      <c r="AF688">
        <f t="shared" si="181"/>
        <v>1</v>
      </c>
      <c r="AG688">
        <f t="shared" si="182"/>
        <v>0</v>
      </c>
      <c r="AH688">
        <f t="shared" si="183"/>
        <v>0</v>
      </c>
      <c r="AI688">
        <f t="shared" si="184"/>
        <v>0</v>
      </c>
      <c r="AJ688">
        <f t="shared" si="185"/>
        <v>0</v>
      </c>
      <c r="AK688">
        <f t="shared" si="186"/>
        <v>0</v>
      </c>
      <c r="AL688">
        <v>1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</row>
    <row r="689" spans="1:53" x14ac:dyDescent="0.35">
      <c r="A689">
        <v>-2</v>
      </c>
      <c r="C689">
        <v>3.473972602739726</v>
      </c>
      <c r="D689" s="137">
        <f t="shared" si="171"/>
        <v>0.54082638908923919</v>
      </c>
      <c r="E689">
        <v>0</v>
      </c>
      <c r="F689">
        <v>0.69897000433601886</v>
      </c>
      <c r="G689" s="45">
        <v>2.95</v>
      </c>
      <c r="H689" s="29">
        <f t="shared" si="172"/>
        <v>0.46982201597816303</v>
      </c>
      <c r="I689">
        <v>0</v>
      </c>
      <c r="J689" s="34">
        <v>3.342375548694973E-2</v>
      </c>
      <c r="K689">
        <v>18</v>
      </c>
      <c r="L689" s="137">
        <f t="shared" si="173"/>
        <v>1.255272505103306</v>
      </c>
      <c r="M689">
        <f t="shared" si="170"/>
        <v>0</v>
      </c>
      <c r="N689">
        <v>70</v>
      </c>
      <c r="O689">
        <v>70</v>
      </c>
      <c r="P689">
        <v>85</v>
      </c>
      <c r="Q689" s="137">
        <f t="shared" si="174"/>
        <v>1.9294189257142926</v>
      </c>
      <c r="R689" s="34">
        <v>25.9</v>
      </c>
      <c r="S689" s="34">
        <f t="shared" si="187"/>
        <v>1.4132997640812519</v>
      </c>
      <c r="T689" s="42">
        <v>36.959146749272797</v>
      </c>
      <c r="U689" s="42">
        <f t="shared" si="188"/>
        <v>1.5677219364019672</v>
      </c>
      <c r="V689">
        <v>3.0958500844125241</v>
      </c>
      <c r="W689" s="14">
        <v>3</v>
      </c>
      <c r="X689">
        <v>3.5078178355445662</v>
      </c>
      <c r="Y689">
        <v>7.8750612633917001</v>
      </c>
      <c r="Z689" s="80">
        <v>0.12536409087063527</v>
      </c>
      <c r="AA689">
        <v>3</v>
      </c>
      <c r="AB689">
        <f t="shared" si="177"/>
        <v>0</v>
      </c>
      <c r="AC689">
        <f t="shared" si="178"/>
        <v>0</v>
      </c>
      <c r="AD689">
        <f t="shared" si="179"/>
        <v>1</v>
      </c>
      <c r="AE689">
        <f t="shared" si="180"/>
        <v>0</v>
      </c>
      <c r="AF689">
        <f t="shared" si="181"/>
        <v>0</v>
      </c>
      <c r="AG689">
        <f t="shared" si="182"/>
        <v>0</v>
      </c>
      <c r="AH689">
        <f t="shared" si="183"/>
        <v>0</v>
      </c>
      <c r="AI689">
        <f t="shared" si="184"/>
        <v>0</v>
      </c>
      <c r="AJ689">
        <f t="shared" si="185"/>
        <v>0</v>
      </c>
      <c r="AK689">
        <f t="shared" si="186"/>
        <v>0</v>
      </c>
      <c r="AL689">
        <v>1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</row>
    <row r="690" spans="1:53" x14ac:dyDescent="0.35">
      <c r="A690">
        <v>7.4923097647764739E-2</v>
      </c>
      <c r="C690">
        <v>6.2876712328767121</v>
      </c>
      <c r="D690" s="137">
        <f t="shared" si="171"/>
        <v>0.79848982541680535</v>
      </c>
      <c r="E690">
        <v>0</v>
      </c>
      <c r="F690">
        <v>0.6020599913279624</v>
      </c>
      <c r="G690" s="45">
        <v>2.95</v>
      </c>
      <c r="H690" s="29">
        <f t="shared" si="172"/>
        <v>0.46982201597816303</v>
      </c>
      <c r="I690">
        <v>0</v>
      </c>
      <c r="J690" s="34">
        <v>2.1189299069938092E-2</v>
      </c>
      <c r="K690">
        <v>0</v>
      </c>
      <c r="L690" s="137">
        <f t="shared" si="173"/>
        <v>0</v>
      </c>
      <c r="M690">
        <f t="shared" si="170"/>
        <v>0</v>
      </c>
      <c r="N690">
        <v>70</v>
      </c>
      <c r="O690">
        <v>70</v>
      </c>
      <c r="P690">
        <v>85</v>
      </c>
      <c r="Q690" s="137">
        <f t="shared" si="174"/>
        <v>1.9294189257142926</v>
      </c>
      <c r="R690" s="34">
        <v>24.4</v>
      </c>
      <c r="S690" s="34">
        <f t="shared" si="187"/>
        <v>1.3873898263387294</v>
      </c>
      <c r="T690" s="42">
        <v>37.256914365427299</v>
      </c>
      <c r="U690" s="42">
        <f t="shared" si="188"/>
        <v>1.5712068835833228</v>
      </c>
      <c r="V690">
        <v>3.0958500844125241</v>
      </c>
      <c r="W690" s="14">
        <v>3</v>
      </c>
      <c r="X690">
        <v>3.5078178355445662</v>
      </c>
      <c r="Y690">
        <v>9.0342272607705514</v>
      </c>
      <c r="Z690" s="80">
        <v>0.29622566471329548</v>
      </c>
      <c r="AA690">
        <v>3</v>
      </c>
      <c r="AB690">
        <f t="shared" si="177"/>
        <v>0</v>
      </c>
      <c r="AC690">
        <f t="shared" si="178"/>
        <v>0</v>
      </c>
      <c r="AD690">
        <f t="shared" si="179"/>
        <v>1</v>
      </c>
      <c r="AE690">
        <f t="shared" si="180"/>
        <v>0</v>
      </c>
      <c r="AF690">
        <f t="shared" si="181"/>
        <v>0</v>
      </c>
      <c r="AG690">
        <f t="shared" si="182"/>
        <v>0</v>
      </c>
      <c r="AH690">
        <f t="shared" si="183"/>
        <v>0</v>
      </c>
      <c r="AI690">
        <f t="shared" si="184"/>
        <v>0</v>
      </c>
      <c r="AJ690">
        <f t="shared" si="185"/>
        <v>0</v>
      </c>
      <c r="AK690">
        <f t="shared" si="186"/>
        <v>0</v>
      </c>
      <c r="AL690">
        <v>1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</row>
    <row r="691" spans="1:53" x14ac:dyDescent="0.35">
      <c r="A691">
        <v>0.12677710745562698</v>
      </c>
      <c r="C691">
        <v>1.1095890410958904</v>
      </c>
      <c r="D691" s="137">
        <f t="shared" si="171"/>
        <v>4.5162158758193849E-2</v>
      </c>
      <c r="E691">
        <v>0</v>
      </c>
      <c r="F691">
        <v>1.3424226808222062</v>
      </c>
      <c r="G691" s="45">
        <v>2.95</v>
      </c>
      <c r="H691" s="29">
        <f t="shared" si="172"/>
        <v>0.46982201597816303</v>
      </c>
      <c r="I691">
        <v>0</v>
      </c>
      <c r="J691" s="34">
        <v>1.2837224705172217E-2</v>
      </c>
      <c r="K691">
        <v>1</v>
      </c>
      <c r="L691" s="137">
        <f t="shared" si="173"/>
        <v>0</v>
      </c>
      <c r="M691">
        <f t="shared" si="170"/>
        <v>0</v>
      </c>
      <c r="N691">
        <v>70</v>
      </c>
      <c r="O691">
        <v>70</v>
      </c>
      <c r="P691">
        <v>85</v>
      </c>
      <c r="Q691" s="137">
        <f t="shared" si="174"/>
        <v>1.9294189257142926</v>
      </c>
      <c r="R691" s="34">
        <v>24.6</v>
      </c>
      <c r="S691" s="34">
        <f t="shared" si="187"/>
        <v>1.3909351071033791</v>
      </c>
      <c r="T691" s="42">
        <v>36.876470987978301</v>
      </c>
      <c r="U691" s="42">
        <f t="shared" si="188"/>
        <v>1.5667493531684615</v>
      </c>
      <c r="V691">
        <v>3.0958500844125241</v>
      </c>
      <c r="W691" s="14">
        <v>3</v>
      </c>
      <c r="X691">
        <v>3.5078178355445662</v>
      </c>
      <c r="Y691">
        <v>8.4331295175804861</v>
      </c>
      <c r="Z691" s="80">
        <v>0.10009754568099072</v>
      </c>
      <c r="AA691">
        <v>3</v>
      </c>
      <c r="AB691">
        <f t="shared" si="177"/>
        <v>0</v>
      </c>
      <c r="AC691">
        <f t="shared" si="178"/>
        <v>0</v>
      </c>
      <c r="AD691">
        <f t="shared" si="179"/>
        <v>1</v>
      </c>
      <c r="AE691">
        <f t="shared" si="180"/>
        <v>0</v>
      </c>
      <c r="AF691">
        <f t="shared" si="181"/>
        <v>0</v>
      </c>
      <c r="AG691">
        <f t="shared" si="182"/>
        <v>0</v>
      </c>
      <c r="AH691">
        <f t="shared" si="183"/>
        <v>0</v>
      </c>
      <c r="AI691">
        <f t="shared" si="184"/>
        <v>0</v>
      </c>
      <c r="AJ691">
        <f t="shared" si="185"/>
        <v>0</v>
      </c>
      <c r="AK691">
        <f t="shared" si="186"/>
        <v>0</v>
      </c>
      <c r="AL691">
        <v>1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</row>
    <row r="692" spans="1:53" x14ac:dyDescent="0.35">
      <c r="A692">
        <v>0.17595556323145492</v>
      </c>
      <c r="C692">
        <v>3.8054794520547945</v>
      </c>
      <c r="D692" s="137">
        <f t="shared" si="171"/>
        <v>0.58040938128114083</v>
      </c>
      <c r="E692">
        <v>0</v>
      </c>
      <c r="F692">
        <v>1.1760912590556813</v>
      </c>
      <c r="G692" s="45">
        <v>2.95</v>
      </c>
      <c r="H692" s="29">
        <f t="shared" si="172"/>
        <v>0.46982201597816303</v>
      </c>
      <c r="I692">
        <v>0</v>
      </c>
      <c r="J692" s="34">
        <v>0.13987908640123647</v>
      </c>
      <c r="K692">
        <v>13</v>
      </c>
      <c r="L692" s="137">
        <f t="shared" si="173"/>
        <v>1.1139433523068367</v>
      </c>
      <c r="M692">
        <f t="shared" si="170"/>
        <v>0</v>
      </c>
      <c r="N692">
        <v>70</v>
      </c>
      <c r="O692">
        <v>70</v>
      </c>
      <c r="P692">
        <v>90.5</v>
      </c>
      <c r="Q692" s="137">
        <f t="shared" si="174"/>
        <v>1.9566485792052033</v>
      </c>
      <c r="R692" s="34">
        <v>25.7</v>
      </c>
      <c r="S692" s="34">
        <f t="shared" si="187"/>
        <v>1.4099331233312946</v>
      </c>
      <c r="T692" s="42">
        <v>39.010023979360902</v>
      </c>
      <c r="U692" s="42">
        <f t="shared" si="188"/>
        <v>1.5911762172715689</v>
      </c>
      <c r="V692">
        <v>3.8138923126200468</v>
      </c>
      <c r="W692" s="14">
        <v>2</v>
      </c>
      <c r="X692">
        <v>3.9458684738355512</v>
      </c>
      <c r="Y692">
        <v>8.9032256828161707</v>
      </c>
      <c r="Z692" s="80">
        <v>0.12813376250240238</v>
      </c>
      <c r="AA692">
        <v>4</v>
      </c>
      <c r="AB692">
        <f t="shared" si="177"/>
        <v>0</v>
      </c>
      <c r="AC692">
        <f t="shared" si="178"/>
        <v>0</v>
      </c>
      <c r="AD692">
        <f t="shared" si="179"/>
        <v>0</v>
      </c>
      <c r="AE692">
        <f t="shared" si="180"/>
        <v>1</v>
      </c>
      <c r="AF692">
        <f t="shared" si="181"/>
        <v>0</v>
      </c>
      <c r="AG692">
        <f t="shared" si="182"/>
        <v>0</v>
      </c>
      <c r="AH692">
        <f t="shared" si="183"/>
        <v>0</v>
      </c>
      <c r="AI692">
        <f t="shared" si="184"/>
        <v>0</v>
      </c>
      <c r="AJ692">
        <f t="shared" si="185"/>
        <v>0</v>
      </c>
      <c r="AK692">
        <f t="shared" si="186"/>
        <v>0</v>
      </c>
      <c r="AL692">
        <v>1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</row>
    <row r="693" spans="1:53" x14ac:dyDescent="0.35">
      <c r="A693">
        <v>0.16496831948392221</v>
      </c>
      <c r="C693">
        <v>1.9232876712328768</v>
      </c>
      <c r="D693" s="137">
        <f t="shared" si="171"/>
        <v>0.28404424767333059</v>
      </c>
      <c r="E693">
        <v>0</v>
      </c>
      <c r="F693">
        <v>1.3010299956639813</v>
      </c>
      <c r="G693" s="45">
        <v>2.95</v>
      </c>
      <c r="H693" s="29">
        <f t="shared" si="172"/>
        <v>0.46982201597816303</v>
      </c>
      <c r="I693">
        <v>0</v>
      </c>
      <c r="J693" s="34">
        <v>0.11727129565576427</v>
      </c>
      <c r="K693">
        <v>13</v>
      </c>
      <c r="L693" s="137">
        <f t="shared" si="173"/>
        <v>1.1139433523068367</v>
      </c>
      <c r="M693">
        <f t="shared" si="170"/>
        <v>0</v>
      </c>
      <c r="N693">
        <v>70</v>
      </c>
      <c r="O693">
        <v>70</v>
      </c>
      <c r="P693">
        <v>90.5</v>
      </c>
      <c r="Q693" s="137">
        <f t="shared" si="174"/>
        <v>1.9566485792052033</v>
      </c>
      <c r="R693" s="34">
        <v>25.7</v>
      </c>
      <c r="S693" s="34">
        <f t="shared" si="187"/>
        <v>1.4099331233312946</v>
      </c>
      <c r="T693" s="42">
        <v>39.010023979360902</v>
      </c>
      <c r="U693" s="42">
        <f t="shared" si="188"/>
        <v>1.5911762172715689</v>
      </c>
      <c r="V693">
        <v>3.8138923126200468</v>
      </c>
      <c r="W693" s="14">
        <v>2</v>
      </c>
      <c r="X693">
        <v>3.9458684738355512</v>
      </c>
      <c r="Y693">
        <v>8.948975032822915</v>
      </c>
      <c r="Z693" s="80">
        <v>0.16178407154120422</v>
      </c>
      <c r="AA693">
        <v>9</v>
      </c>
      <c r="AB693">
        <f t="shared" si="177"/>
        <v>0</v>
      </c>
      <c r="AC693">
        <f t="shared" si="178"/>
        <v>0</v>
      </c>
      <c r="AD693">
        <f t="shared" si="179"/>
        <v>0</v>
      </c>
      <c r="AE693">
        <f t="shared" si="180"/>
        <v>0</v>
      </c>
      <c r="AF693">
        <f t="shared" si="181"/>
        <v>0</v>
      </c>
      <c r="AG693">
        <f t="shared" si="182"/>
        <v>0</v>
      </c>
      <c r="AH693">
        <f t="shared" si="183"/>
        <v>0</v>
      </c>
      <c r="AI693">
        <f t="shared" si="184"/>
        <v>0</v>
      </c>
      <c r="AJ693">
        <f t="shared" si="185"/>
        <v>1</v>
      </c>
      <c r="AK693">
        <f t="shared" si="186"/>
        <v>0</v>
      </c>
      <c r="AL693">
        <v>1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</row>
    <row r="694" spans="1:53" x14ac:dyDescent="0.35">
      <c r="A694">
        <v>0.56926189756940981</v>
      </c>
      <c r="C694">
        <v>4.8712328767123285</v>
      </c>
      <c r="D694" s="137">
        <f t="shared" si="171"/>
        <v>0.68763889217772012</v>
      </c>
      <c r="E694">
        <v>0</v>
      </c>
      <c r="F694">
        <v>1.4623979978989561</v>
      </c>
      <c r="G694" s="45">
        <v>2.95</v>
      </c>
      <c r="H694" s="29">
        <f t="shared" si="172"/>
        <v>0.46982201597816303</v>
      </c>
      <c r="I694">
        <v>0</v>
      </c>
      <c r="J694" s="34">
        <v>-4.5757490560675115E-2</v>
      </c>
      <c r="K694">
        <v>7</v>
      </c>
      <c r="L694" s="137">
        <f t="shared" si="173"/>
        <v>0.84509804001425681</v>
      </c>
      <c r="M694">
        <f t="shared" si="170"/>
        <v>0</v>
      </c>
      <c r="N694">
        <v>70</v>
      </c>
      <c r="O694">
        <v>70</v>
      </c>
      <c r="P694">
        <v>91.4</v>
      </c>
      <c r="Q694" s="137">
        <f t="shared" si="174"/>
        <v>1.9609461957338314</v>
      </c>
      <c r="R694" s="34">
        <v>26.7</v>
      </c>
      <c r="S694" s="34">
        <f t="shared" si="187"/>
        <v>1.4265112613645752</v>
      </c>
      <c r="T694" s="42">
        <v>37.425715444240403</v>
      </c>
      <c r="U694" s="42">
        <f t="shared" si="188"/>
        <v>1.5731701112332821</v>
      </c>
      <c r="V694">
        <v>3.8138923126200468</v>
      </c>
      <c r="W694" s="14">
        <v>2</v>
      </c>
      <c r="X694">
        <v>3.9458684738355512</v>
      </c>
      <c r="Y694">
        <v>8.5814945422908995</v>
      </c>
      <c r="Z694" s="80">
        <v>-0.12751042546115077</v>
      </c>
      <c r="AA694">
        <v>9</v>
      </c>
      <c r="AB694">
        <f t="shared" si="177"/>
        <v>0</v>
      </c>
      <c r="AC694">
        <f t="shared" si="178"/>
        <v>0</v>
      </c>
      <c r="AD694">
        <f t="shared" si="179"/>
        <v>0</v>
      </c>
      <c r="AE694">
        <f t="shared" si="180"/>
        <v>0</v>
      </c>
      <c r="AF694">
        <f t="shared" si="181"/>
        <v>0</v>
      </c>
      <c r="AG694">
        <f t="shared" si="182"/>
        <v>0</v>
      </c>
      <c r="AH694">
        <f t="shared" si="183"/>
        <v>0</v>
      </c>
      <c r="AI694">
        <f t="shared" si="184"/>
        <v>0</v>
      </c>
      <c r="AJ694">
        <f t="shared" si="185"/>
        <v>1</v>
      </c>
      <c r="AK694">
        <f t="shared" si="186"/>
        <v>0</v>
      </c>
      <c r="AL694">
        <v>1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</row>
    <row r="695" spans="1:53" x14ac:dyDescent="0.35">
      <c r="A695">
        <v>-0.24743312956303581</v>
      </c>
      <c r="C695">
        <v>2.7342465753424658</v>
      </c>
      <c r="D695" s="137">
        <f t="shared" si="171"/>
        <v>0.43683767683089642</v>
      </c>
      <c r="E695">
        <v>0</v>
      </c>
      <c r="F695">
        <v>2.4871383754771865</v>
      </c>
      <c r="G695" s="45">
        <v>2.95</v>
      </c>
      <c r="H695" s="29">
        <f t="shared" si="172"/>
        <v>0.46982201597816303</v>
      </c>
      <c r="I695">
        <v>0</v>
      </c>
      <c r="J695" s="34">
        <v>2.9383777685209667E-2</v>
      </c>
      <c r="K695">
        <v>3</v>
      </c>
      <c r="L695" s="137">
        <f t="shared" si="173"/>
        <v>0.47712125471966244</v>
      </c>
      <c r="M695">
        <f t="shared" si="170"/>
        <v>0</v>
      </c>
      <c r="N695">
        <v>70</v>
      </c>
      <c r="O695">
        <v>70</v>
      </c>
      <c r="P695">
        <v>85</v>
      </c>
      <c r="Q695" s="137">
        <f t="shared" si="174"/>
        <v>1.9294189257142926</v>
      </c>
      <c r="R695" s="34">
        <v>24.9</v>
      </c>
      <c r="S695" s="34">
        <f t="shared" si="187"/>
        <v>1.3961993470957363</v>
      </c>
      <c r="T695" s="42">
        <v>36.710134890601303</v>
      </c>
      <c r="U695" s="42">
        <f t="shared" si="188"/>
        <v>1.564785980312654</v>
      </c>
      <c r="V695">
        <v>3.4988083133366845</v>
      </c>
      <c r="W695" s="14">
        <v>2</v>
      </c>
      <c r="X695">
        <v>3.6287469025639267</v>
      </c>
      <c r="Y695">
        <v>8.4235243886187163</v>
      </c>
      <c r="Z695" s="80">
        <v>-3.6799650678175477E-2</v>
      </c>
      <c r="AA695">
        <v>5</v>
      </c>
      <c r="AB695">
        <f t="shared" si="177"/>
        <v>0</v>
      </c>
      <c r="AC695">
        <f t="shared" si="178"/>
        <v>0</v>
      </c>
      <c r="AD695">
        <f t="shared" si="179"/>
        <v>0</v>
      </c>
      <c r="AE695">
        <f t="shared" si="180"/>
        <v>0</v>
      </c>
      <c r="AF695">
        <f t="shared" si="181"/>
        <v>1</v>
      </c>
      <c r="AG695">
        <f t="shared" si="182"/>
        <v>0</v>
      </c>
      <c r="AH695">
        <f t="shared" si="183"/>
        <v>0</v>
      </c>
      <c r="AI695">
        <f t="shared" si="184"/>
        <v>0</v>
      </c>
      <c r="AJ695">
        <f t="shared" si="185"/>
        <v>0</v>
      </c>
      <c r="AK695">
        <f t="shared" si="186"/>
        <v>0</v>
      </c>
      <c r="AL695">
        <v>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</row>
    <row r="696" spans="1:53" x14ac:dyDescent="0.35">
      <c r="A696">
        <v>0.23942674605560585</v>
      </c>
      <c r="C696">
        <v>5.3780821917808215</v>
      </c>
      <c r="D696" s="137">
        <f t="shared" si="171"/>
        <v>0.73062743514353146</v>
      </c>
      <c r="E696">
        <v>0</v>
      </c>
      <c r="F696">
        <v>1.6334684555795864</v>
      </c>
      <c r="G696" s="45">
        <v>2.95</v>
      </c>
      <c r="H696" s="29">
        <f t="shared" si="172"/>
        <v>0.46982201597816303</v>
      </c>
      <c r="I696">
        <v>0</v>
      </c>
      <c r="J696" s="34">
        <v>0.26481782300953643</v>
      </c>
      <c r="K696">
        <v>11</v>
      </c>
      <c r="L696" s="137">
        <f t="shared" si="173"/>
        <v>1.0413926851582251</v>
      </c>
      <c r="M696">
        <f t="shared" si="170"/>
        <v>0</v>
      </c>
      <c r="N696">
        <v>70</v>
      </c>
      <c r="O696">
        <v>70</v>
      </c>
      <c r="P696">
        <v>91.3</v>
      </c>
      <c r="Q696" s="137">
        <f t="shared" si="174"/>
        <v>1.9604707775342989</v>
      </c>
      <c r="R696" s="34">
        <v>23.5</v>
      </c>
      <c r="S696" s="34">
        <f t="shared" si="187"/>
        <v>1.3710678622717363</v>
      </c>
      <c r="T696" s="42">
        <v>43.1672842383418</v>
      </c>
      <c r="U696" s="42">
        <f t="shared" si="188"/>
        <v>1.6351547269652249</v>
      </c>
      <c r="V696">
        <v>3.5168755324519045</v>
      </c>
      <c r="W696" s="14">
        <v>1</v>
      </c>
      <c r="X696">
        <v>3.8089018284940463</v>
      </c>
      <c r="Y696">
        <v>9.4765765975791929</v>
      </c>
      <c r="Z696" s="80">
        <v>0.1893517012010173</v>
      </c>
      <c r="AA696">
        <v>9</v>
      </c>
      <c r="AB696">
        <f t="shared" si="177"/>
        <v>0</v>
      </c>
      <c r="AC696">
        <f t="shared" si="178"/>
        <v>0</v>
      </c>
      <c r="AD696">
        <f t="shared" si="179"/>
        <v>0</v>
      </c>
      <c r="AE696">
        <f t="shared" si="180"/>
        <v>0</v>
      </c>
      <c r="AF696">
        <f t="shared" si="181"/>
        <v>0</v>
      </c>
      <c r="AG696">
        <f t="shared" si="182"/>
        <v>0</v>
      </c>
      <c r="AH696">
        <f t="shared" si="183"/>
        <v>0</v>
      </c>
      <c r="AI696">
        <f t="shared" si="184"/>
        <v>0</v>
      </c>
      <c r="AJ696">
        <f t="shared" si="185"/>
        <v>1</v>
      </c>
      <c r="AK696">
        <f t="shared" si="186"/>
        <v>0</v>
      </c>
      <c r="AL696">
        <v>1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</row>
    <row r="697" spans="1:53" x14ac:dyDescent="0.35">
      <c r="A697">
        <v>0</v>
      </c>
      <c r="C697">
        <v>7.536986301369863</v>
      </c>
      <c r="D697" s="137">
        <f t="shared" si="171"/>
        <v>0.87719772593320877</v>
      </c>
      <c r="E697">
        <v>0</v>
      </c>
      <c r="F697">
        <v>1</v>
      </c>
      <c r="G697" s="45">
        <v>2.95</v>
      </c>
      <c r="H697" s="29">
        <f t="shared" si="172"/>
        <v>0.46982201597816303</v>
      </c>
      <c r="I697">
        <v>0</v>
      </c>
      <c r="J697" s="34">
        <v>0.14301480025409513</v>
      </c>
      <c r="K697">
        <v>8</v>
      </c>
      <c r="L697" s="137">
        <f t="shared" si="173"/>
        <v>0.90308998699194354</v>
      </c>
      <c r="M697">
        <f t="shared" si="170"/>
        <v>0</v>
      </c>
      <c r="N697">
        <v>70</v>
      </c>
      <c r="O697">
        <v>70</v>
      </c>
      <c r="P697">
        <v>91.4</v>
      </c>
      <c r="Q697" s="137">
        <f t="shared" si="174"/>
        <v>1.9609461957338314</v>
      </c>
      <c r="R697" s="34">
        <v>26.7</v>
      </c>
      <c r="S697" s="34">
        <f t="shared" si="187"/>
        <v>1.4265112613645752</v>
      </c>
      <c r="T697" s="42">
        <v>37.425715444240403</v>
      </c>
      <c r="U697" s="42">
        <f t="shared" si="188"/>
        <v>1.5731701112332821</v>
      </c>
      <c r="V697">
        <v>3.5168755324519045</v>
      </c>
      <c r="W697" s="14">
        <v>1</v>
      </c>
      <c r="X697">
        <v>3.8089018284940463</v>
      </c>
      <c r="Y697">
        <v>8.3010299956639813</v>
      </c>
      <c r="Z697" s="80">
        <v>0.12657724838750251</v>
      </c>
      <c r="AA697">
        <v>4</v>
      </c>
      <c r="AB697">
        <f t="shared" si="177"/>
        <v>0</v>
      </c>
      <c r="AC697">
        <f t="shared" si="178"/>
        <v>0</v>
      </c>
      <c r="AD697">
        <f t="shared" si="179"/>
        <v>0</v>
      </c>
      <c r="AE697">
        <f t="shared" si="180"/>
        <v>1</v>
      </c>
      <c r="AF697">
        <f t="shared" si="181"/>
        <v>0</v>
      </c>
      <c r="AG697">
        <f t="shared" si="182"/>
        <v>0</v>
      </c>
      <c r="AH697">
        <f t="shared" si="183"/>
        <v>0</v>
      </c>
      <c r="AI697">
        <f t="shared" si="184"/>
        <v>0</v>
      </c>
      <c r="AJ697">
        <f t="shared" si="185"/>
        <v>0</v>
      </c>
      <c r="AK697">
        <f t="shared" si="186"/>
        <v>0</v>
      </c>
      <c r="AL697">
        <v>1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</row>
    <row r="698" spans="1:53" x14ac:dyDescent="0.35">
      <c r="A698">
        <v>-5.9271633089329853E-2</v>
      </c>
      <c r="C698">
        <v>3.2958904109589042</v>
      </c>
      <c r="D698" s="137">
        <f t="shared" si="171"/>
        <v>0.51797276288337002</v>
      </c>
      <c r="E698">
        <v>0</v>
      </c>
      <c r="F698">
        <v>1.3222192947339193</v>
      </c>
      <c r="G698" s="45">
        <v>2.95</v>
      </c>
      <c r="H698" s="29">
        <f t="shared" si="172"/>
        <v>0.46982201597816303</v>
      </c>
      <c r="I698">
        <v>0</v>
      </c>
      <c r="J698" s="34">
        <v>0.11058971029924898</v>
      </c>
      <c r="K698">
        <v>5</v>
      </c>
      <c r="L698" s="137">
        <f t="shared" si="173"/>
        <v>0.69897000433601886</v>
      </c>
      <c r="M698">
        <f t="shared" si="170"/>
        <v>0</v>
      </c>
      <c r="N698">
        <v>70</v>
      </c>
      <c r="O698">
        <v>70</v>
      </c>
      <c r="P698">
        <v>85</v>
      </c>
      <c r="Q698" s="137">
        <f t="shared" si="174"/>
        <v>1.9294189257142926</v>
      </c>
      <c r="R698" s="34">
        <v>24.6</v>
      </c>
      <c r="S698" s="34">
        <f t="shared" si="187"/>
        <v>1.3909351071033791</v>
      </c>
      <c r="T698" s="42">
        <v>36.876470987978301</v>
      </c>
      <c r="U698" s="42">
        <f t="shared" si="188"/>
        <v>1.5667493531684615</v>
      </c>
      <c r="V698">
        <v>3.5168755324519045</v>
      </c>
      <c r="W698" s="14">
        <v>1</v>
      </c>
      <c r="X698">
        <v>3.8089018284940463</v>
      </c>
      <c r="Y698">
        <v>8.3710678622717367</v>
      </c>
      <c r="Z698" s="80">
        <v>0.56696781223044446</v>
      </c>
      <c r="AA698">
        <v>9</v>
      </c>
      <c r="AB698">
        <f t="shared" si="177"/>
        <v>0</v>
      </c>
      <c r="AC698">
        <f t="shared" si="178"/>
        <v>0</v>
      </c>
      <c r="AD698">
        <f t="shared" si="179"/>
        <v>0</v>
      </c>
      <c r="AE698">
        <f t="shared" si="180"/>
        <v>0</v>
      </c>
      <c r="AF698">
        <f t="shared" si="181"/>
        <v>0</v>
      </c>
      <c r="AG698">
        <f t="shared" si="182"/>
        <v>0</v>
      </c>
      <c r="AH698">
        <f t="shared" si="183"/>
        <v>0</v>
      </c>
      <c r="AI698">
        <f t="shared" si="184"/>
        <v>0</v>
      </c>
      <c r="AJ698">
        <f t="shared" si="185"/>
        <v>1</v>
      </c>
      <c r="AK698">
        <f t="shared" si="186"/>
        <v>0</v>
      </c>
      <c r="AL698">
        <v>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</row>
    <row r="699" spans="1:53" x14ac:dyDescent="0.35">
      <c r="A699">
        <v>-0.15519461605153834</v>
      </c>
      <c r="C699">
        <v>7.9972602739726026</v>
      </c>
      <c r="D699" s="137">
        <f t="shared" si="171"/>
        <v>0.90294123053153963</v>
      </c>
      <c r="E699">
        <v>0</v>
      </c>
      <c r="F699">
        <v>1.4313637641589874</v>
      </c>
      <c r="G699" s="45">
        <v>2.95</v>
      </c>
      <c r="H699" s="29">
        <f t="shared" si="172"/>
        <v>0.46982201597816303</v>
      </c>
      <c r="I699">
        <v>0</v>
      </c>
      <c r="J699" s="34">
        <v>0.18469143081759881</v>
      </c>
      <c r="K699">
        <v>7</v>
      </c>
      <c r="L699" s="137">
        <f t="shared" si="173"/>
        <v>0.84509804001425681</v>
      </c>
      <c r="M699">
        <f t="shared" si="170"/>
        <v>0</v>
      </c>
      <c r="N699">
        <v>70</v>
      </c>
      <c r="O699">
        <v>70</v>
      </c>
      <c r="P699">
        <v>93.2</v>
      </c>
      <c r="Q699" s="137">
        <f t="shared" si="174"/>
        <v>1.9694159123539814</v>
      </c>
      <c r="R699" s="34">
        <v>26.7</v>
      </c>
      <c r="S699" s="34">
        <f t="shared" si="187"/>
        <v>1.4265112613645752</v>
      </c>
      <c r="T699" s="42">
        <v>36.669158714517401</v>
      </c>
      <c r="U699" s="42">
        <f t="shared" si="188"/>
        <v>1.5643009462345601</v>
      </c>
      <c r="V699">
        <v>3.5168755324519045</v>
      </c>
      <c r="W699" s="14">
        <v>1</v>
      </c>
      <c r="X699">
        <v>3.8089018284940463</v>
      </c>
      <c r="Y699">
        <v>9.0382822901072792</v>
      </c>
      <c r="Z699" s="80">
        <v>0.18924232025089727</v>
      </c>
      <c r="AA699">
        <v>9</v>
      </c>
      <c r="AB699">
        <f t="shared" si="177"/>
        <v>0</v>
      </c>
      <c r="AC699">
        <f t="shared" si="178"/>
        <v>0</v>
      </c>
      <c r="AD699">
        <f t="shared" si="179"/>
        <v>0</v>
      </c>
      <c r="AE699">
        <f t="shared" si="180"/>
        <v>0</v>
      </c>
      <c r="AF699">
        <f t="shared" si="181"/>
        <v>0</v>
      </c>
      <c r="AG699">
        <f t="shared" si="182"/>
        <v>0</v>
      </c>
      <c r="AH699">
        <f t="shared" si="183"/>
        <v>0</v>
      </c>
      <c r="AI699">
        <f t="shared" si="184"/>
        <v>0</v>
      </c>
      <c r="AJ699">
        <f t="shared" si="185"/>
        <v>1</v>
      </c>
      <c r="AK699">
        <f t="shared" si="186"/>
        <v>0</v>
      </c>
      <c r="AL699">
        <v>1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</row>
    <row r="700" spans="1:53" x14ac:dyDescent="0.35">
      <c r="A700">
        <v>2.4976673383919339E-2</v>
      </c>
      <c r="C700">
        <v>10.846575342465753</v>
      </c>
      <c r="D700" s="137">
        <f t="shared" si="171"/>
        <v>1.0352926372957298</v>
      </c>
      <c r="E700">
        <v>0</v>
      </c>
      <c r="F700">
        <v>1.3222192947339193</v>
      </c>
      <c r="G700" s="45">
        <v>2.95</v>
      </c>
      <c r="H700" s="29">
        <f t="shared" si="172"/>
        <v>0.46982201597816303</v>
      </c>
      <c r="I700">
        <v>0</v>
      </c>
      <c r="J700" s="34">
        <v>-0.11918640771920865</v>
      </c>
      <c r="K700">
        <v>20</v>
      </c>
      <c r="L700" s="137">
        <f t="shared" si="173"/>
        <v>1.3010299956639813</v>
      </c>
      <c r="M700">
        <f t="shared" si="170"/>
        <v>0</v>
      </c>
      <c r="N700">
        <v>70</v>
      </c>
      <c r="O700">
        <v>70</v>
      </c>
      <c r="P700">
        <v>85</v>
      </c>
      <c r="Q700" s="137">
        <f t="shared" si="174"/>
        <v>1.9294189257142926</v>
      </c>
      <c r="R700" s="34">
        <v>27.8</v>
      </c>
      <c r="S700" s="34">
        <f t="shared" si="187"/>
        <v>1.4440447959180762</v>
      </c>
      <c r="T700" s="42">
        <v>34.656907836978597</v>
      </c>
      <c r="U700" s="42">
        <f t="shared" si="188"/>
        <v>1.5397898114291337</v>
      </c>
      <c r="V700">
        <v>3.3879249110011078</v>
      </c>
      <c r="W700" s="14">
        <v>1</v>
      </c>
      <c r="X700">
        <v>3.9424034595709814</v>
      </c>
      <c r="Y700">
        <v>9.4235735197327362</v>
      </c>
      <c r="Z700" s="80">
        <v>-4.5136273607275346E-2</v>
      </c>
      <c r="AA700">
        <v>4</v>
      </c>
      <c r="AB700">
        <f t="shared" si="177"/>
        <v>0</v>
      </c>
      <c r="AC700">
        <f t="shared" si="178"/>
        <v>0</v>
      </c>
      <c r="AD700">
        <f t="shared" si="179"/>
        <v>0</v>
      </c>
      <c r="AE700">
        <f t="shared" si="180"/>
        <v>1</v>
      </c>
      <c r="AF700">
        <f t="shared" si="181"/>
        <v>0</v>
      </c>
      <c r="AG700">
        <f t="shared" si="182"/>
        <v>0</v>
      </c>
      <c r="AH700">
        <f t="shared" si="183"/>
        <v>0</v>
      </c>
      <c r="AI700">
        <f t="shared" si="184"/>
        <v>0</v>
      </c>
      <c r="AJ700">
        <f t="shared" si="185"/>
        <v>0</v>
      </c>
      <c r="AK700">
        <f t="shared" si="186"/>
        <v>0</v>
      </c>
      <c r="AL700">
        <v>1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</row>
    <row r="701" spans="1:53" x14ac:dyDescent="0.35">
      <c r="A701">
        <v>0.34233982334284546</v>
      </c>
      <c r="C701">
        <v>5.7753424657534245</v>
      </c>
      <c r="D701" s="137">
        <f t="shared" si="171"/>
        <v>0.76157774208403428</v>
      </c>
      <c r="E701">
        <v>0</v>
      </c>
      <c r="F701">
        <v>2.1903316981702914</v>
      </c>
      <c r="G701" s="45">
        <v>2.95</v>
      </c>
      <c r="H701" s="29">
        <f t="shared" si="172"/>
        <v>0.46982201597816303</v>
      </c>
      <c r="I701">
        <v>0</v>
      </c>
      <c r="J701" s="34">
        <v>2.9383777685209667E-2</v>
      </c>
      <c r="K701">
        <v>28</v>
      </c>
      <c r="L701" s="137">
        <f t="shared" si="173"/>
        <v>1.4471580313422192</v>
      </c>
      <c r="M701">
        <f t="shared" si="170"/>
        <v>0</v>
      </c>
      <c r="N701">
        <v>70</v>
      </c>
      <c r="O701">
        <v>70</v>
      </c>
      <c r="P701">
        <v>91.4</v>
      </c>
      <c r="Q701" s="137">
        <f t="shared" si="174"/>
        <v>1.9609461957338314</v>
      </c>
      <c r="R701" s="34">
        <v>26.7</v>
      </c>
      <c r="S701" s="34">
        <f t="shared" si="187"/>
        <v>1.4265112613645752</v>
      </c>
      <c r="T701" s="42">
        <v>37.425715444240403</v>
      </c>
      <c r="U701" s="42">
        <f t="shared" si="188"/>
        <v>1.5731701112332821</v>
      </c>
      <c r="V701">
        <v>3.3879249110011078</v>
      </c>
      <c r="W701" s="14">
        <v>1</v>
      </c>
      <c r="X701">
        <v>3.9424034595709814</v>
      </c>
      <c r="Y701">
        <v>9.5971794292757728</v>
      </c>
      <c r="Z701" s="80">
        <v>2.0649374925495678E-2</v>
      </c>
      <c r="AA701">
        <v>2</v>
      </c>
      <c r="AB701">
        <f t="shared" si="177"/>
        <v>0</v>
      </c>
      <c r="AC701">
        <f t="shared" si="178"/>
        <v>1</v>
      </c>
      <c r="AD701">
        <f t="shared" si="179"/>
        <v>0</v>
      </c>
      <c r="AE701">
        <f t="shared" si="180"/>
        <v>0</v>
      </c>
      <c r="AF701">
        <f t="shared" si="181"/>
        <v>0</v>
      </c>
      <c r="AG701">
        <f t="shared" si="182"/>
        <v>0</v>
      </c>
      <c r="AH701">
        <f t="shared" si="183"/>
        <v>0</v>
      </c>
      <c r="AI701">
        <f t="shared" si="184"/>
        <v>0</v>
      </c>
      <c r="AJ701">
        <f t="shared" si="185"/>
        <v>0</v>
      </c>
      <c r="AK701">
        <f t="shared" si="186"/>
        <v>0</v>
      </c>
      <c r="AL701">
        <v>1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</row>
    <row r="702" spans="1:53" x14ac:dyDescent="0.35"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</row>
  </sheetData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3"/>
  <sheetViews>
    <sheetView topLeftCell="A157" workbookViewId="0">
      <selection activeCell="AD49" sqref="AD49"/>
    </sheetView>
  </sheetViews>
  <sheetFormatPr defaultRowHeight="14.5" x14ac:dyDescent="0.35"/>
  <cols>
    <col min="4" max="4" width="9.1796875" style="137"/>
    <col min="8" max="8" width="9.1796875" style="137"/>
    <col min="12" max="12" width="9.1796875" style="137"/>
    <col min="15" max="15" width="9.1796875" style="137"/>
    <col min="17" max="17" width="9.1796875" style="137"/>
    <col min="19" max="19" width="9.1796875" style="137"/>
    <col min="22" max="22" width="16.1796875" bestFit="1" customWidth="1"/>
    <col min="23" max="23" width="16.1796875" style="137" customWidth="1"/>
  </cols>
  <sheetData>
    <row r="1" spans="1:25" x14ac:dyDescent="0.35">
      <c r="A1" s="98" t="s">
        <v>1330</v>
      </c>
      <c r="B1" s="100" t="s">
        <v>11</v>
      </c>
      <c r="C1" s="99" t="s">
        <v>23</v>
      </c>
      <c r="D1" s="99" t="s">
        <v>1382</v>
      </c>
      <c r="E1" s="99" t="s">
        <v>1332</v>
      </c>
      <c r="F1" s="99" t="s">
        <v>1313</v>
      </c>
      <c r="G1" s="99" t="s">
        <v>1314</v>
      </c>
      <c r="H1" s="99" t="s">
        <v>1383</v>
      </c>
      <c r="I1" s="99" t="s">
        <v>1315</v>
      </c>
      <c r="J1" s="99" t="s">
        <v>1316</v>
      </c>
      <c r="K1" s="99" t="s">
        <v>40</v>
      </c>
      <c r="L1" s="99" t="s">
        <v>1371</v>
      </c>
      <c r="M1" s="99" t="s">
        <v>1318</v>
      </c>
      <c r="N1" s="99" t="s">
        <v>35</v>
      </c>
      <c r="O1" s="99" t="s">
        <v>1384</v>
      </c>
      <c r="P1" s="99" t="s">
        <v>36</v>
      </c>
      <c r="Q1" s="99" t="s">
        <v>1385</v>
      </c>
      <c r="R1" s="99" t="s">
        <v>37</v>
      </c>
      <c r="S1" s="99" t="s">
        <v>1386</v>
      </c>
      <c r="T1" s="99" t="s">
        <v>31</v>
      </c>
      <c r="U1" s="99" t="s">
        <v>33</v>
      </c>
      <c r="V1" s="99" t="s">
        <v>1317</v>
      </c>
      <c r="W1" s="99" t="s">
        <v>1388</v>
      </c>
      <c r="X1" s="99" t="s">
        <v>1322</v>
      </c>
      <c r="Y1" s="105" t="s">
        <v>13</v>
      </c>
    </row>
    <row r="2" spans="1:25" x14ac:dyDescent="0.35">
      <c r="A2" s="49">
        <v>1.2117945616294652</v>
      </c>
      <c r="B2" s="50" t="s">
        <v>4</v>
      </c>
      <c r="C2" s="50">
        <v>5.4602739726027396</v>
      </c>
      <c r="D2" s="50">
        <f>LOG(C2)</f>
        <v>0.7372144342440129</v>
      </c>
      <c r="E2" s="50">
        <v>2.5987029826834349</v>
      </c>
      <c r="F2" s="50">
        <v>1.2787536009528289</v>
      </c>
      <c r="G2" s="50">
        <v>3.35</v>
      </c>
      <c r="H2" s="50">
        <f>LOG(G2)</f>
        <v>0.5250448070368452</v>
      </c>
      <c r="I2" s="50">
        <v>2.5401208298279827</v>
      </c>
      <c r="J2" s="50">
        <v>0.13672056715640679</v>
      </c>
      <c r="K2" s="50">
        <v>13</v>
      </c>
      <c r="L2" s="50">
        <f>IF(K2=0,0,LOG(K2))</f>
        <v>1.1139433523068367</v>
      </c>
      <c r="M2" s="50">
        <v>1</v>
      </c>
      <c r="N2" s="50">
        <v>70</v>
      </c>
      <c r="O2" s="50">
        <f>LOG(N2)</f>
        <v>1.8450980400142569</v>
      </c>
      <c r="P2" s="50">
        <v>45.2</v>
      </c>
      <c r="Q2" s="50">
        <f>LOG(P2)</f>
        <v>1.6551384348113822</v>
      </c>
      <c r="R2" s="50">
        <v>53.8530722517336</v>
      </c>
      <c r="S2" s="50">
        <f>LOG(R2)</f>
        <v>1.7312104843083773</v>
      </c>
      <c r="T2" s="50">
        <v>3.277819633965128</v>
      </c>
      <c r="U2" s="50">
        <v>3.9304083853612104</v>
      </c>
      <c r="V2" s="186">
        <v>2177000</v>
      </c>
      <c r="W2" s="186">
        <f>LOG(V2)</f>
        <v>6.337858429041094</v>
      </c>
      <c r="X2" s="50">
        <v>9</v>
      </c>
      <c r="Y2" s="66" t="s">
        <v>419</v>
      </c>
    </row>
    <row r="3" spans="1:25" x14ac:dyDescent="0.35">
      <c r="A3" s="67">
        <v>0.84593942448518078</v>
      </c>
      <c r="B3" s="52" t="s">
        <v>4</v>
      </c>
      <c r="C3" s="52">
        <v>9.6794520547945204</v>
      </c>
      <c r="D3" s="50">
        <f t="shared" ref="D3:D66" si="0">LOG(C3)</f>
        <v>0.98585077297837076</v>
      </c>
      <c r="E3" s="52">
        <v>2.5987029826834349</v>
      </c>
      <c r="F3" s="52">
        <v>0.77815125038364363</v>
      </c>
      <c r="G3" s="52">
        <v>3.35</v>
      </c>
      <c r="H3" s="50">
        <f t="shared" ref="H3:H66" si="1">LOG(G3)</f>
        <v>0.5250448070368452</v>
      </c>
      <c r="I3" s="52">
        <v>2.5401208298279827</v>
      </c>
      <c r="J3" s="52">
        <v>0.18469143081759881</v>
      </c>
      <c r="K3" s="52">
        <v>13</v>
      </c>
      <c r="L3" s="50">
        <f t="shared" ref="L3:L66" si="2">IF(K3=0,0,LOG(K3))</f>
        <v>1.1139433523068367</v>
      </c>
      <c r="M3" s="52">
        <v>1</v>
      </c>
      <c r="N3" s="52">
        <v>70</v>
      </c>
      <c r="O3" s="50">
        <f t="shared" ref="O3:O66" si="3">LOG(N3)</f>
        <v>1.8450980400142569</v>
      </c>
      <c r="P3" s="52">
        <v>45.2</v>
      </c>
      <c r="Q3" s="50">
        <f t="shared" ref="Q3:Q66" si="4">LOG(P3)</f>
        <v>1.6551384348113822</v>
      </c>
      <c r="R3" s="52">
        <v>53.8530722517336</v>
      </c>
      <c r="S3" s="50">
        <f t="shared" ref="S3:S66" si="5">LOG(R3)</f>
        <v>1.7312104843083773</v>
      </c>
      <c r="T3" s="52">
        <v>3.277819633965128</v>
      </c>
      <c r="U3" s="52">
        <v>3.9304083853612104</v>
      </c>
      <c r="V3" s="187">
        <v>2210000</v>
      </c>
      <c r="W3" s="186">
        <f t="shared" ref="W3:W66" si="6">LOG(V3)</f>
        <v>6.344392273685111</v>
      </c>
      <c r="X3" s="52">
        <v>9</v>
      </c>
      <c r="Y3" s="68" t="s">
        <v>419</v>
      </c>
    </row>
    <row r="4" spans="1:25" x14ac:dyDescent="0.35">
      <c r="A4" s="49">
        <v>-2</v>
      </c>
      <c r="B4" s="50" t="s">
        <v>59</v>
      </c>
      <c r="C4" s="50">
        <v>2.5424657534246577</v>
      </c>
      <c r="D4" s="50">
        <f t="shared" si="0"/>
        <v>0.40525511176238738</v>
      </c>
      <c r="E4" s="50">
        <v>3.7707754512906644</v>
      </c>
      <c r="F4" s="50">
        <v>0.77815125038364363</v>
      </c>
      <c r="G4" s="50">
        <v>2.3199999999999998</v>
      </c>
      <c r="H4" s="50">
        <f t="shared" si="1"/>
        <v>0.36548798489089962</v>
      </c>
      <c r="I4" s="50">
        <v>2.1238516409670858</v>
      </c>
      <c r="J4" s="50">
        <v>0.10037054511756291</v>
      </c>
      <c r="K4" s="50">
        <v>12</v>
      </c>
      <c r="L4" s="50">
        <f t="shared" si="2"/>
        <v>1.0791812460476249</v>
      </c>
      <c r="M4" s="50">
        <v>1</v>
      </c>
      <c r="N4" s="50">
        <v>85</v>
      </c>
      <c r="O4" s="50">
        <f t="shared" si="3"/>
        <v>1.9294189257142926</v>
      </c>
      <c r="P4" s="50">
        <v>32.299999999999997</v>
      </c>
      <c r="Q4" s="50">
        <f t="shared" si="4"/>
        <v>1.5092025223311027</v>
      </c>
      <c r="R4" s="50">
        <v>40.040400531970803</v>
      </c>
      <c r="S4" s="50">
        <f t="shared" si="5"/>
        <v>1.6024984131617945</v>
      </c>
      <c r="T4" s="50">
        <v>3.1628767233771686</v>
      </c>
      <c r="U4" s="50">
        <v>3.6087947637270492</v>
      </c>
      <c r="V4" s="186">
        <v>3600000</v>
      </c>
      <c r="W4" s="186">
        <f t="shared" si="6"/>
        <v>6.5563025007672868</v>
      </c>
      <c r="X4" s="50">
        <v>9</v>
      </c>
      <c r="Y4" s="66" t="s">
        <v>602</v>
      </c>
    </row>
    <row r="5" spans="1:25" x14ac:dyDescent="0.35">
      <c r="A5" s="67">
        <v>1.3135294062027159</v>
      </c>
      <c r="B5" s="52" t="s">
        <v>45</v>
      </c>
      <c r="C5" s="52">
        <v>7.7890410958904113</v>
      </c>
      <c r="D5" s="50">
        <f t="shared" si="0"/>
        <v>0.89148399523396749</v>
      </c>
      <c r="E5" s="52">
        <v>3.7707754512906644</v>
      </c>
      <c r="F5" s="52">
        <v>0.95424250943932487</v>
      </c>
      <c r="G5" s="52">
        <v>2.3199999999999998</v>
      </c>
      <c r="H5" s="50">
        <f t="shared" si="1"/>
        <v>0.36548798489089962</v>
      </c>
      <c r="I5" s="52">
        <v>2.1238516409670858</v>
      </c>
      <c r="J5" s="52">
        <v>0.33845649360460478</v>
      </c>
      <c r="K5" s="52">
        <v>11</v>
      </c>
      <c r="L5" s="50">
        <f t="shared" si="2"/>
        <v>1.0413926851582251</v>
      </c>
      <c r="M5" s="52">
        <v>1</v>
      </c>
      <c r="N5" s="52">
        <v>92.6</v>
      </c>
      <c r="O5" s="50">
        <f t="shared" si="3"/>
        <v>1.9666109866819343</v>
      </c>
      <c r="P5" s="52">
        <v>25.7</v>
      </c>
      <c r="Q5" s="50">
        <f t="shared" si="4"/>
        <v>1.4099331233312946</v>
      </c>
      <c r="R5" s="52">
        <v>39.823361151429197</v>
      </c>
      <c r="S5" s="50">
        <f t="shared" si="5"/>
        <v>1.6001379123442065</v>
      </c>
      <c r="T5" s="52">
        <v>3.6410631547392063</v>
      </c>
      <c r="U5" s="52">
        <v>3.7013464506591722</v>
      </c>
      <c r="V5" s="187">
        <v>5519000</v>
      </c>
      <c r="W5" s="186">
        <f t="shared" si="6"/>
        <v>6.7418603940652639</v>
      </c>
      <c r="X5" s="52">
        <v>9</v>
      </c>
      <c r="Y5" s="68" t="s">
        <v>59</v>
      </c>
    </row>
    <row r="6" spans="1:25" x14ac:dyDescent="0.35">
      <c r="A6" s="49">
        <v>0.82390874094431876</v>
      </c>
      <c r="B6" s="50" t="s">
        <v>45</v>
      </c>
      <c r="C6" s="50">
        <v>2.2246575342465755</v>
      </c>
      <c r="D6" s="50">
        <f t="shared" si="0"/>
        <v>0.34726316478470065</v>
      </c>
      <c r="E6" s="50">
        <v>3.8335760926148099</v>
      </c>
      <c r="F6" s="50">
        <v>1</v>
      </c>
      <c r="G6" s="50">
        <v>2.85</v>
      </c>
      <c r="H6" s="50">
        <f t="shared" si="1"/>
        <v>0.45484486000851021</v>
      </c>
      <c r="I6" s="50">
        <v>2.9138138523837167</v>
      </c>
      <c r="J6" s="50">
        <v>0.250420002308894</v>
      </c>
      <c r="K6" s="50">
        <v>13</v>
      </c>
      <c r="L6" s="50">
        <f t="shared" si="2"/>
        <v>1.1139433523068367</v>
      </c>
      <c r="M6" s="50">
        <v>1</v>
      </c>
      <c r="N6" s="50">
        <v>91.9</v>
      </c>
      <c r="O6" s="50">
        <f t="shared" si="3"/>
        <v>1.9633155113861114</v>
      </c>
      <c r="P6" s="50">
        <v>23</v>
      </c>
      <c r="Q6" s="50">
        <f t="shared" si="4"/>
        <v>1.3617278360175928</v>
      </c>
      <c r="R6" s="50">
        <v>43.262530407091703</v>
      </c>
      <c r="S6" s="50">
        <f t="shared" si="5"/>
        <v>1.636111917546391</v>
      </c>
      <c r="T6" s="50">
        <v>3.4006741243771632</v>
      </c>
      <c r="U6" s="50">
        <v>3.8325618860191688</v>
      </c>
      <c r="V6" s="186">
        <v>6000000</v>
      </c>
      <c r="W6" s="186">
        <f t="shared" si="6"/>
        <v>6.7781512503836439</v>
      </c>
      <c r="X6" s="50">
        <v>9</v>
      </c>
      <c r="Y6" s="66" t="s">
        <v>2</v>
      </c>
    </row>
    <row r="7" spans="1:25" x14ac:dyDescent="0.35">
      <c r="A7" s="67">
        <v>1.1725131174401462</v>
      </c>
      <c r="B7" s="52" t="s">
        <v>59</v>
      </c>
      <c r="C7" s="52">
        <v>1.8575342465753424</v>
      </c>
      <c r="D7" s="50">
        <f t="shared" si="0"/>
        <v>0.26893682941058861</v>
      </c>
      <c r="E7" s="52">
        <v>0</v>
      </c>
      <c r="F7" s="52">
        <v>0.69897000433601886</v>
      </c>
      <c r="G7" s="52">
        <v>3.29</v>
      </c>
      <c r="H7" s="50">
        <f t="shared" si="1"/>
        <v>0.51719589794997434</v>
      </c>
      <c r="I7" s="52">
        <v>0</v>
      </c>
      <c r="J7" s="52">
        <v>0.20411998265592479</v>
      </c>
      <c r="K7" s="52">
        <v>12</v>
      </c>
      <c r="L7" s="50">
        <f t="shared" si="2"/>
        <v>1.0791812460476249</v>
      </c>
      <c r="M7" s="52">
        <v>0</v>
      </c>
      <c r="N7" s="52">
        <v>89.8</v>
      </c>
      <c r="O7" s="50">
        <f t="shared" si="3"/>
        <v>1.9532763366673043</v>
      </c>
      <c r="P7" s="52">
        <v>31.2</v>
      </c>
      <c r="Q7" s="50">
        <f t="shared" si="4"/>
        <v>1.4941545940184429</v>
      </c>
      <c r="R7" s="52">
        <v>47.307367293927399</v>
      </c>
      <c r="S7" s="50">
        <f t="shared" si="5"/>
        <v>1.6749287797641836</v>
      </c>
      <c r="T7" s="52">
        <v>3.6410631547392063</v>
      </c>
      <c r="U7" s="52">
        <v>3.7013464506591722</v>
      </c>
      <c r="V7" s="187">
        <v>6500000</v>
      </c>
      <c r="W7" s="186">
        <f t="shared" si="6"/>
        <v>6.8129133566428557</v>
      </c>
      <c r="X7" s="52">
        <v>4</v>
      </c>
      <c r="Y7" s="68" t="s">
        <v>59</v>
      </c>
    </row>
    <row r="8" spans="1:25" x14ac:dyDescent="0.35">
      <c r="A8" s="49">
        <v>0.33666272262619235</v>
      </c>
      <c r="B8" s="50" t="s">
        <v>59</v>
      </c>
      <c r="C8" s="50">
        <v>3.0931506849315067</v>
      </c>
      <c r="D8" s="50">
        <f t="shared" si="0"/>
        <v>0.49040107746849315</v>
      </c>
      <c r="E8" s="50">
        <v>3.7707754512906644</v>
      </c>
      <c r="F8" s="50">
        <v>0.6020599913279624</v>
      </c>
      <c r="G8" s="50">
        <v>2.3199999999999998</v>
      </c>
      <c r="H8" s="50">
        <f t="shared" si="1"/>
        <v>0.36548798489089962</v>
      </c>
      <c r="I8" s="50">
        <v>2.1238516409670858</v>
      </c>
      <c r="J8" s="50">
        <v>1.2837224705172217E-2</v>
      </c>
      <c r="K8" s="50">
        <v>15</v>
      </c>
      <c r="L8" s="50">
        <f t="shared" si="2"/>
        <v>1.1760912590556813</v>
      </c>
      <c r="M8" s="50">
        <v>1</v>
      </c>
      <c r="N8" s="50">
        <v>85</v>
      </c>
      <c r="O8" s="50">
        <f t="shared" si="3"/>
        <v>1.9294189257142926</v>
      </c>
      <c r="P8" s="50">
        <v>31.5</v>
      </c>
      <c r="Q8" s="50">
        <f t="shared" si="4"/>
        <v>1.4983105537896004</v>
      </c>
      <c r="R8" s="50">
        <v>37.589394702761602</v>
      </c>
      <c r="S8" s="50">
        <f t="shared" si="5"/>
        <v>1.575065332381355</v>
      </c>
      <c r="T8" s="50">
        <v>3.0958500844125241</v>
      </c>
      <c r="U8" s="50">
        <v>3.5078178355445662</v>
      </c>
      <c r="V8" s="186">
        <v>6900000</v>
      </c>
      <c r="W8" s="186">
        <f t="shared" si="6"/>
        <v>6.8388490907372557</v>
      </c>
      <c r="X8" s="50">
        <v>9</v>
      </c>
      <c r="Y8" s="66" t="s">
        <v>602</v>
      </c>
    </row>
    <row r="9" spans="1:25" x14ac:dyDescent="0.35">
      <c r="A9" s="67">
        <v>0.84509804001425681</v>
      </c>
      <c r="B9" s="52" t="s">
        <v>163</v>
      </c>
      <c r="C9" s="52">
        <v>3.9178082191780823</v>
      </c>
      <c r="D9" s="50">
        <f t="shared" si="0"/>
        <v>0.59304317300858711</v>
      </c>
      <c r="E9" s="52">
        <v>3.7899753459779522</v>
      </c>
      <c r="F9" s="52">
        <v>0</v>
      </c>
      <c r="G9" s="52">
        <v>3.18</v>
      </c>
      <c r="H9" s="50">
        <f t="shared" si="1"/>
        <v>0.50242711998443268</v>
      </c>
      <c r="I9" s="52">
        <v>2.7670321178317625</v>
      </c>
      <c r="J9" s="52">
        <v>-0.10790539730951958</v>
      </c>
      <c r="K9" s="52">
        <v>13</v>
      </c>
      <c r="L9" s="50">
        <f t="shared" si="2"/>
        <v>1.1139433523068367</v>
      </c>
      <c r="M9" s="52">
        <v>1</v>
      </c>
      <c r="N9" s="52">
        <v>70</v>
      </c>
      <c r="O9" s="50">
        <f t="shared" si="3"/>
        <v>1.8450980400142569</v>
      </c>
      <c r="P9" s="52">
        <v>43.4</v>
      </c>
      <c r="Q9" s="50">
        <f t="shared" si="4"/>
        <v>1.6374897295125106</v>
      </c>
      <c r="R9" s="52">
        <v>51.652289181886701</v>
      </c>
      <c r="S9" s="50">
        <f t="shared" si="5"/>
        <v>1.7130895738136374</v>
      </c>
      <c r="T9" s="52">
        <v>3.0958500844125241</v>
      </c>
      <c r="U9" s="52">
        <v>3.5078178355445662</v>
      </c>
      <c r="V9" s="187">
        <v>7000000</v>
      </c>
      <c r="W9" s="186">
        <f t="shared" si="6"/>
        <v>6.8450980400142569</v>
      </c>
      <c r="X9" s="52">
        <v>5</v>
      </c>
      <c r="Y9" s="68" t="s">
        <v>602</v>
      </c>
    </row>
    <row r="10" spans="1:25" x14ac:dyDescent="0.35">
      <c r="A10" s="49">
        <v>0.88303019306297537</v>
      </c>
      <c r="B10" s="50" t="s">
        <v>4</v>
      </c>
      <c r="C10" s="50">
        <v>1.8356164383561644</v>
      </c>
      <c r="D10" s="50">
        <f t="shared" si="0"/>
        <v>0.26378193824435175</v>
      </c>
      <c r="E10" s="50">
        <v>3.8219626565950726</v>
      </c>
      <c r="F10" s="50">
        <v>0</v>
      </c>
      <c r="G10" s="50">
        <v>3.03</v>
      </c>
      <c r="H10" s="50">
        <f t="shared" si="1"/>
        <v>0.48144262850230496</v>
      </c>
      <c r="I10" s="50">
        <v>2.9079485216122722</v>
      </c>
      <c r="J10" s="50">
        <v>0.13672056715640679</v>
      </c>
      <c r="K10" s="50">
        <v>57</v>
      </c>
      <c r="L10" s="50">
        <f t="shared" si="2"/>
        <v>1.7558748556724915</v>
      </c>
      <c r="M10" s="50">
        <v>1</v>
      </c>
      <c r="N10" s="50">
        <v>70</v>
      </c>
      <c r="O10" s="50">
        <f t="shared" si="3"/>
        <v>1.8450980400142569</v>
      </c>
      <c r="P10" s="50">
        <v>48.8</v>
      </c>
      <c r="Q10" s="50">
        <f t="shared" si="4"/>
        <v>1.6884198220027107</v>
      </c>
      <c r="R10" s="50">
        <v>40.994444916013499</v>
      </c>
      <c r="S10" s="50">
        <f t="shared" si="5"/>
        <v>1.61272501023744</v>
      </c>
      <c r="T10" s="50">
        <v>3.3779512479807074</v>
      </c>
      <c r="U10" s="50">
        <v>3.7669888618571257</v>
      </c>
      <c r="V10" s="186">
        <v>7200000</v>
      </c>
      <c r="W10" s="186">
        <f t="shared" si="6"/>
        <v>6.8573324964312681</v>
      </c>
      <c r="X10" s="50">
        <v>9</v>
      </c>
      <c r="Y10" s="66" t="s">
        <v>45</v>
      </c>
    </row>
    <row r="11" spans="1:25" x14ac:dyDescent="0.35">
      <c r="A11" s="67">
        <v>0.90884925077842993</v>
      </c>
      <c r="B11" s="52" t="s">
        <v>163</v>
      </c>
      <c r="C11" s="52">
        <v>1.6575342465753424</v>
      </c>
      <c r="D11" s="50">
        <f t="shared" si="0"/>
        <v>0.21946251019599416</v>
      </c>
      <c r="E11" s="52">
        <v>2.6893532632422525</v>
      </c>
      <c r="F11" s="52">
        <v>0.84509804001425681</v>
      </c>
      <c r="G11" s="52">
        <v>3.03</v>
      </c>
      <c r="H11" s="50">
        <f t="shared" si="1"/>
        <v>0.48144262850230496</v>
      </c>
      <c r="I11" s="52">
        <v>2.9982593384236988</v>
      </c>
      <c r="J11" s="52">
        <v>-0.25181197299379954</v>
      </c>
      <c r="K11" s="52">
        <v>11</v>
      </c>
      <c r="L11" s="50">
        <f t="shared" si="2"/>
        <v>1.0413926851582251</v>
      </c>
      <c r="M11" s="52">
        <v>1</v>
      </c>
      <c r="N11" s="52">
        <v>87.2</v>
      </c>
      <c r="O11" s="50">
        <f t="shared" si="3"/>
        <v>1.9405164849325673</v>
      </c>
      <c r="P11" s="52">
        <v>42.5</v>
      </c>
      <c r="Q11" s="50">
        <f t="shared" si="4"/>
        <v>1.6283889300503116</v>
      </c>
      <c r="R11" s="52">
        <v>52.565521078007201</v>
      </c>
      <c r="S11" s="50">
        <f t="shared" si="5"/>
        <v>1.7207009738992591</v>
      </c>
      <c r="T11" s="52">
        <v>3.1532162502154288</v>
      </c>
      <c r="U11" s="52">
        <v>3.5175748361336181</v>
      </c>
      <c r="V11" s="187">
        <v>7210000</v>
      </c>
      <c r="W11" s="186">
        <f t="shared" si="6"/>
        <v>6.8579352647194289</v>
      </c>
      <c r="X11" s="52">
        <v>9</v>
      </c>
      <c r="Y11" s="68" t="s">
        <v>489</v>
      </c>
    </row>
    <row r="12" spans="1:25" x14ac:dyDescent="0.35">
      <c r="A12" s="49">
        <v>9.691001300805642E-2</v>
      </c>
      <c r="B12" s="50" t="s">
        <v>45</v>
      </c>
      <c r="C12" s="50">
        <v>7.1342465753424653</v>
      </c>
      <c r="D12" s="50">
        <f t="shared" si="0"/>
        <v>0.85334811543967959</v>
      </c>
      <c r="E12" s="50">
        <v>3.840813443212804</v>
      </c>
      <c r="F12" s="50">
        <v>0.6020599913279624</v>
      </c>
      <c r="G12" s="50">
        <v>2.92</v>
      </c>
      <c r="H12" s="50">
        <f t="shared" si="1"/>
        <v>0.46538285144841829</v>
      </c>
      <c r="I12" s="50">
        <v>2.6316128538827028</v>
      </c>
      <c r="J12" s="50">
        <v>8.6359830674748214E-2</v>
      </c>
      <c r="K12" s="50">
        <v>14</v>
      </c>
      <c r="L12" s="50">
        <f t="shared" si="2"/>
        <v>1.146128035678238</v>
      </c>
      <c r="M12" s="50">
        <v>1</v>
      </c>
      <c r="N12" s="50">
        <v>85</v>
      </c>
      <c r="O12" s="50">
        <f t="shared" si="3"/>
        <v>1.9294189257142926</v>
      </c>
      <c r="P12" s="50">
        <v>24.4</v>
      </c>
      <c r="Q12" s="50">
        <f t="shared" si="4"/>
        <v>1.3873898263387294</v>
      </c>
      <c r="R12" s="50">
        <v>37.256914365427299</v>
      </c>
      <c r="S12" s="50">
        <f t="shared" si="5"/>
        <v>1.5712068835833228</v>
      </c>
      <c r="T12" s="50">
        <v>3.277819633965128</v>
      </c>
      <c r="U12" s="50">
        <v>3.9304083853612104</v>
      </c>
      <c r="V12" s="186">
        <v>8000000</v>
      </c>
      <c r="W12" s="186">
        <f t="shared" si="6"/>
        <v>6.9030899869919438</v>
      </c>
      <c r="X12" s="50">
        <v>1</v>
      </c>
      <c r="Y12" s="66" t="s">
        <v>419</v>
      </c>
    </row>
    <row r="13" spans="1:25" x14ac:dyDescent="0.35">
      <c r="A13" s="67">
        <v>-2</v>
      </c>
      <c r="B13" s="52" t="s">
        <v>45</v>
      </c>
      <c r="C13" s="52">
        <v>4.2767123287671236</v>
      </c>
      <c r="D13" s="50">
        <f t="shared" si="0"/>
        <v>0.63111003860594284</v>
      </c>
      <c r="E13" s="52">
        <v>0</v>
      </c>
      <c r="F13" s="52">
        <v>0.69897000433601886</v>
      </c>
      <c r="G13" s="52">
        <v>2.95</v>
      </c>
      <c r="H13" s="50">
        <f t="shared" si="1"/>
        <v>0.46982201597816303</v>
      </c>
      <c r="I13" s="52">
        <v>0</v>
      </c>
      <c r="J13" s="52">
        <v>4.5322978786657475E-2</v>
      </c>
      <c r="K13" s="52">
        <v>17</v>
      </c>
      <c r="L13" s="50">
        <f t="shared" si="2"/>
        <v>1.2304489213782739</v>
      </c>
      <c r="M13" s="52">
        <v>0</v>
      </c>
      <c r="N13" s="52">
        <v>85</v>
      </c>
      <c r="O13" s="50">
        <f t="shared" si="3"/>
        <v>1.9294189257142926</v>
      </c>
      <c r="P13" s="52">
        <v>24.6</v>
      </c>
      <c r="Q13" s="50">
        <f t="shared" si="4"/>
        <v>1.3909351071033791</v>
      </c>
      <c r="R13" s="52">
        <v>36.876470987978301</v>
      </c>
      <c r="S13" s="50">
        <f t="shared" si="5"/>
        <v>1.5667493531684615</v>
      </c>
      <c r="T13" s="52">
        <v>3.0958500844125241</v>
      </c>
      <c r="U13" s="52">
        <v>3.5078178355445662</v>
      </c>
      <c r="V13" s="187">
        <v>8000000</v>
      </c>
      <c r="W13" s="186">
        <f t="shared" si="6"/>
        <v>6.9030899869919438</v>
      </c>
      <c r="X13" s="52">
        <v>9</v>
      </c>
      <c r="Y13" s="68" t="s">
        <v>602</v>
      </c>
    </row>
    <row r="14" spans="1:25" x14ac:dyDescent="0.35">
      <c r="A14" s="49">
        <v>0.63468209599159786</v>
      </c>
      <c r="B14" s="83" t="s">
        <v>59</v>
      </c>
      <c r="C14" s="50">
        <v>3.4986301369863013</v>
      </c>
      <c r="D14" s="50">
        <f t="shared" si="0"/>
        <v>0.5438980328069406</v>
      </c>
      <c r="E14" s="50">
        <v>0</v>
      </c>
      <c r="F14" s="50">
        <v>0</v>
      </c>
      <c r="G14" s="50">
        <v>3.29</v>
      </c>
      <c r="H14" s="50">
        <f t="shared" si="1"/>
        <v>0.51719589794997434</v>
      </c>
      <c r="I14" s="50">
        <v>0</v>
      </c>
      <c r="J14" s="50">
        <v>-6.5501548756432285E-2</v>
      </c>
      <c r="K14" s="50">
        <v>75</v>
      </c>
      <c r="L14" s="50">
        <f t="shared" si="2"/>
        <v>1.8750612633917001</v>
      </c>
      <c r="M14" s="50">
        <v>0</v>
      </c>
      <c r="N14" s="50">
        <v>85</v>
      </c>
      <c r="O14" s="50">
        <f t="shared" si="3"/>
        <v>1.9294189257142926</v>
      </c>
      <c r="P14" s="50">
        <v>32.9</v>
      </c>
      <c r="Q14" s="50">
        <f t="shared" si="4"/>
        <v>1.5171958979499742</v>
      </c>
      <c r="R14" s="50">
        <v>35.433808146393098</v>
      </c>
      <c r="S14" s="50">
        <f t="shared" si="5"/>
        <v>1.5494178293890581</v>
      </c>
      <c r="T14" s="50">
        <v>3.421015158567184</v>
      </c>
      <c r="U14" s="50">
        <v>3.9777386330395683</v>
      </c>
      <c r="V14" s="186">
        <v>10000000</v>
      </c>
      <c r="W14" s="186">
        <f t="shared" si="6"/>
        <v>7</v>
      </c>
      <c r="X14" s="50">
        <v>5</v>
      </c>
      <c r="Y14" s="102" t="s">
        <v>59</v>
      </c>
    </row>
    <row r="15" spans="1:25" x14ac:dyDescent="0.35">
      <c r="A15" s="67">
        <v>-0.76447155309245129</v>
      </c>
      <c r="B15" s="52" t="s">
        <v>59</v>
      </c>
      <c r="C15" s="52">
        <v>3.0931506849315067</v>
      </c>
      <c r="D15" s="50">
        <f t="shared" si="0"/>
        <v>0.49040107746849315</v>
      </c>
      <c r="E15" s="52">
        <v>0</v>
      </c>
      <c r="F15" s="52">
        <v>0.84509804001425681</v>
      </c>
      <c r="G15" s="52">
        <v>3.29</v>
      </c>
      <c r="H15" s="50">
        <f t="shared" si="1"/>
        <v>0.51719589794997434</v>
      </c>
      <c r="I15" s="52">
        <v>0</v>
      </c>
      <c r="J15" s="52">
        <v>-8.6186147616283279E-2</v>
      </c>
      <c r="K15" s="52">
        <v>55</v>
      </c>
      <c r="L15" s="50">
        <f t="shared" si="2"/>
        <v>1.7403626894942439</v>
      </c>
      <c r="M15" s="52">
        <v>0</v>
      </c>
      <c r="N15" s="52">
        <v>85</v>
      </c>
      <c r="O15" s="50">
        <f t="shared" si="3"/>
        <v>1.9294189257142926</v>
      </c>
      <c r="P15" s="52">
        <v>32.9</v>
      </c>
      <c r="Q15" s="50">
        <f t="shared" si="4"/>
        <v>1.5171958979499742</v>
      </c>
      <c r="R15" s="52">
        <v>35.433808146393098</v>
      </c>
      <c r="S15" s="50">
        <f t="shared" si="5"/>
        <v>1.5494178293890581</v>
      </c>
      <c r="T15" s="52">
        <v>3.1990557401914899</v>
      </c>
      <c r="U15" s="52">
        <v>3.7784953647769717</v>
      </c>
      <c r="V15" s="187">
        <v>10000000</v>
      </c>
      <c r="W15" s="186">
        <f t="shared" si="6"/>
        <v>7</v>
      </c>
      <c r="X15" s="52">
        <v>9</v>
      </c>
      <c r="Y15" s="68" t="s">
        <v>59</v>
      </c>
    </row>
    <row r="16" spans="1:25" x14ac:dyDescent="0.35">
      <c r="A16" s="49">
        <v>1.6020599913279623</v>
      </c>
      <c r="B16" s="50" t="s">
        <v>5</v>
      </c>
      <c r="C16" s="50">
        <v>3.9917808219178084</v>
      </c>
      <c r="D16" s="50">
        <f t="shared" si="0"/>
        <v>0.60116668731351541</v>
      </c>
      <c r="E16" s="50">
        <v>2.5542346870234227</v>
      </c>
      <c r="F16" s="50">
        <v>0</v>
      </c>
      <c r="G16" s="50">
        <v>3.16</v>
      </c>
      <c r="H16" s="50">
        <f t="shared" si="1"/>
        <v>0.49968708261840383</v>
      </c>
      <c r="I16" s="50">
        <v>2.9876662649262746</v>
      </c>
      <c r="J16" s="50">
        <v>-8.092190762392612E-2</v>
      </c>
      <c r="K16" s="50">
        <v>7</v>
      </c>
      <c r="L16" s="50">
        <f t="shared" si="2"/>
        <v>0.84509804001425681</v>
      </c>
      <c r="M16" s="50">
        <v>1</v>
      </c>
      <c r="N16" s="50">
        <v>88.4</v>
      </c>
      <c r="O16" s="50">
        <f t="shared" si="3"/>
        <v>1.9464522650130731</v>
      </c>
      <c r="P16" s="50">
        <v>35.700000000000003</v>
      </c>
      <c r="Q16" s="50">
        <f t="shared" si="4"/>
        <v>1.5526682161121932</v>
      </c>
      <c r="R16" s="50">
        <v>42.337645557762798</v>
      </c>
      <c r="S16" s="50">
        <f t="shared" si="5"/>
        <v>1.6267267027692975</v>
      </c>
      <c r="T16" s="50">
        <v>3.2860283894181141</v>
      </c>
      <c r="U16" s="50">
        <v>3.9098977130890344</v>
      </c>
      <c r="V16" s="186">
        <v>10000000</v>
      </c>
      <c r="W16" s="186">
        <f t="shared" si="6"/>
        <v>7</v>
      </c>
      <c r="X16" s="50">
        <v>8</v>
      </c>
      <c r="Y16" s="66" t="s">
        <v>59</v>
      </c>
    </row>
    <row r="17" spans="1:25" x14ac:dyDescent="0.35">
      <c r="A17" s="67">
        <v>0.90859223884756946</v>
      </c>
      <c r="B17" s="52" t="s">
        <v>489</v>
      </c>
      <c r="C17" s="52">
        <v>3.473972602739726</v>
      </c>
      <c r="D17" s="50">
        <f t="shared" si="0"/>
        <v>0.54082638908923919</v>
      </c>
      <c r="E17" s="52">
        <v>0</v>
      </c>
      <c r="F17" s="52">
        <v>0.6020599913279624</v>
      </c>
      <c r="G17" s="52">
        <v>0</v>
      </c>
      <c r="H17" s="50">
        <v>0</v>
      </c>
      <c r="I17" s="52">
        <v>0</v>
      </c>
      <c r="J17" s="52">
        <v>3.7426497940623665E-2</v>
      </c>
      <c r="K17" s="52">
        <v>6</v>
      </c>
      <c r="L17" s="50">
        <f t="shared" si="2"/>
        <v>0.77815125038364363</v>
      </c>
      <c r="M17" s="52">
        <v>0</v>
      </c>
      <c r="N17" s="52">
        <v>70</v>
      </c>
      <c r="O17" s="50">
        <f t="shared" si="3"/>
        <v>1.8450980400142569</v>
      </c>
      <c r="P17" s="52">
        <v>27.63</v>
      </c>
      <c r="Q17" s="50">
        <f t="shared" si="4"/>
        <v>1.4413808849165113</v>
      </c>
      <c r="R17" s="52">
        <v>49.329709120205997</v>
      </c>
      <c r="S17" s="50">
        <f t="shared" si="5"/>
        <v>1.6931085545892062</v>
      </c>
      <c r="T17" s="52">
        <v>3.1532162502154288</v>
      </c>
      <c r="U17" s="52">
        <v>3.5175748361336181</v>
      </c>
      <c r="V17" s="187">
        <v>10000000</v>
      </c>
      <c r="W17" s="186">
        <f t="shared" si="6"/>
        <v>7</v>
      </c>
      <c r="X17" s="52">
        <v>9</v>
      </c>
      <c r="Y17" s="68" t="s">
        <v>489</v>
      </c>
    </row>
    <row r="18" spans="1:25" x14ac:dyDescent="0.35">
      <c r="A18" s="49">
        <v>0.15381486434452901</v>
      </c>
      <c r="B18" s="106" t="s">
        <v>59</v>
      </c>
      <c r="C18" s="50">
        <v>3.0876712328767124</v>
      </c>
      <c r="D18" s="50">
        <f t="shared" si="0"/>
        <v>0.48963105158963183</v>
      </c>
      <c r="E18" s="50">
        <v>0</v>
      </c>
      <c r="F18" s="50">
        <v>0.84509804001425681</v>
      </c>
      <c r="G18" s="50">
        <v>3.29</v>
      </c>
      <c r="H18" s="50">
        <f t="shared" si="1"/>
        <v>0.51719589794997434</v>
      </c>
      <c r="I18" s="50">
        <v>0</v>
      </c>
      <c r="J18" s="50">
        <v>0.14921911265537988</v>
      </c>
      <c r="K18" s="50">
        <v>23</v>
      </c>
      <c r="L18" s="50">
        <f t="shared" si="2"/>
        <v>1.3617278360175928</v>
      </c>
      <c r="M18" s="50">
        <v>0</v>
      </c>
      <c r="N18" s="50">
        <v>94.6</v>
      </c>
      <c r="O18" s="50">
        <f t="shared" si="3"/>
        <v>1.9758911364017928</v>
      </c>
      <c r="P18" s="50">
        <v>33.200000000000003</v>
      </c>
      <c r="Q18" s="50">
        <f t="shared" si="4"/>
        <v>1.5211380837040362</v>
      </c>
      <c r="R18" s="50">
        <v>45.921427555082097</v>
      </c>
      <c r="S18" s="50">
        <f t="shared" si="5"/>
        <v>1.6620153804713207</v>
      </c>
      <c r="T18" s="50">
        <v>3.5347454529897258</v>
      </c>
      <c r="U18" s="50">
        <v>3.9695495619878729</v>
      </c>
      <c r="V18" s="186">
        <v>10000000</v>
      </c>
      <c r="W18" s="186">
        <f t="shared" si="6"/>
        <v>7</v>
      </c>
      <c r="X18" s="50">
        <v>5</v>
      </c>
      <c r="Y18" s="107" t="s">
        <v>59</v>
      </c>
    </row>
    <row r="19" spans="1:25" x14ac:dyDescent="0.35">
      <c r="A19" s="67">
        <v>0.6220999927396933</v>
      </c>
      <c r="B19" s="52" t="s">
        <v>45</v>
      </c>
      <c r="C19" s="52">
        <v>2.3945205479452056</v>
      </c>
      <c r="D19" s="50">
        <f t="shared" si="0"/>
        <v>0.37921856817792837</v>
      </c>
      <c r="E19" s="52">
        <v>0</v>
      </c>
      <c r="F19" s="52">
        <v>0.77815125038364363</v>
      </c>
      <c r="G19" s="52">
        <v>2.95</v>
      </c>
      <c r="H19" s="50">
        <f t="shared" si="1"/>
        <v>0.46982201597816303</v>
      </c>
      <c r="I19" s="52">
        <v>0</v>
      </c>
      <c r="J19" s="52">
        <v>8.2785370316450071E-2</v>
      </c>
      <c r="K19" s="52">
        <v>26</v>
      </c>
      <c r="L19" s="50">
        <f t="shared" si="2"/>
        <v>1.414973347970818</v>
      </c>
      <c r="M19" s="52">
        <v>0</v>
      </c>
      <c r="N19" s="52">
        <v>85</v>
      </c>
      <c r="O19" s="50">
        <f t="shared" si="3"/>
        <v>1.9294189257142926</v>
      </c>
      <c r="P19" s="52">
        <v>25.7</v>
      </c>
      <c r="Q19" s="50">
        <f t="shared" si="4"/>
        <v>1.4099331233312946</v>
      </c>
      <c r="R19" s="52">
        <v>39.367752568237798</v>
      </c>
      <c r="S19" s="50">
        <f t="shared" si="5"/>
        <v>1.5951406224338005</v>
      </c>
      <c r="T19" s="52">
        <v>3.1527645837352773</v>
      </c>
      <c r="U19" s="52">
        <v>3.5411223705253856</v>
      </c>
      <c r="V19" s="187">
        <v>10000000</v>
      </c>
      <c r="W19" s="186">
        <f t="shared" si="6"/>
        <v>7</v>
      </c>
      <c r="X19" s="52">
        <v>9</v>
      </c>
      <c r="Y19" s="68" t="s">
        <v>602</v>
      </c>
    </row>
    <row r="20" spans="1:25" x14ac:dyDescent="0.35">
      <c r="A20" s="49">
        <v>1.2539352388078999</v>
      </c>
      <c r="B20" s="50" t="s">
        <v>5</v>
      </c>
      <c r="C20" s="50">
        <v>2.4027397260273973</v>
      </c>
      <c r="D20" s="50">
        <f t="shared" si="0"/>
        <v>0.38070672890956581</v>
      </c>
      <c r="E20" s="50">
        <v>2.5542346870234227</v>
      </c>
      <c r="F20" s="50">
        <v>0.6020599913279624</v>
      </c>
      <c r="G20" s="50">
        <v>3.16</v>
      </c>
      <c r="H20" s="50">
        <f t="shared" si="1"/>
        <v>0.49968708261840383</v>
      </c>
      <c r="I20" s="50">
        <v>2.9876662649262746</v>
      </c>
      <c r="J20" s="50">
        <v>0.13033376849500614</v>
      </c>
      <c r="K20" s="50">
        <v>11</v>
      </c>
      <c r="L20" s="50">
        <f t="shared" si="2"/>
        <v>1.0413926851582251</v>
      </c>
      <c r="M20" s="50">
        <v>1</v>
      </c>
      <c r="N20" s="50">
        <v>81.900000000000006</v>
      </c>
      <c r="O20" s="50">
        <f t="shared" si="3"/>
        <v>1.9132839017604184</v>
      </c>
      <c r="P20" s="50">
        <v>35.4</v>
      </c>
      <c r="Q20" s="50">
        <f t="shared" si="4"/>
        <v>1.5490032620257879</v>
      </c>
      <c r="R20" s="50">
        <v>46.7926176158091</v>
      </c>
      <c r="S20" s="50">
        <f t="shared" si="5"/>
        <v>1.6701773406464193</v>
      </c>
      <c r="T20" s="50">
        <v>3.2860283894181141</v>
      </c>
      <c r="U20" s="50">
        <v>3.9098977130890344</v>
      </c>
      <c r="V20" s="186">
        <v>10300000</v>
      </c>
      <c r="W20" s="186">
        <f t="shared" si="6"/>
        <v>7.012837224705172</v>
      </c>
      <c r="X20" s="50">
        <v>5</v>
      </c>
      <c r="Y20" s="66" t="s">
        <v>59</v>
      </c>
    </row>
    <row r="21" spans="1:25" x14ac:dyDescent="0.35">
      <c r="A21" s="67">
        <v>0.23674696107305315</v>
      </c>
      <c r="B21" s="52" t="s">
        <v>1</v>
      </c>
      <c r="C21" s="52">
        <v>2.1643835616438358</v>
      </c>
      <c r="D21" s="50">
        <f t="shared" si="0"/>
        <v>0.33533422683396674</v>
      </c>
      <c r="E21" s="52">
        <v>3.0625406208792199</v>
      </c>
      <c r="F21" s="52">
        <v>1.4471580313422192</v>
      </c>
      <c r="G21" s="52">
        <v>3.06</v>
      </c>
      <c r="H21" s="50">
        <f t="shared" si="1"/>
        <v>0.48572142648158001</v>
      </c>
      <c r="I21" s="52">
        <v>2.8714756364568856</v>
      </c>
      <c r="J21" s="52">
        <v>0.22788670461367352</v>
      </c>
      <c r="K21" s="52">
        <v>8</v>
      </c>
      <c r="L21" s="50">
        <f t="shared" si="2"/>
        <v>0.90308998699194354</v>
      </c>
      <c r="M21" s="52">
        <v>1</v>
      </c>
      <c r="N21" s="52">
        <v>70</v>
      </c>
      <c r="O21" s="50">
        <f t="shared" si="3"/>
        <v>1.8450980400142569</v>
      </c>
      <c r="P21" s="52">
        <v>40</v>
      </c>
      <c r="Q21" s="50">
        <f t="shared" si="4"/>
        <v>1.6020599913279623</v>
      </c>
      <c r="R21" s="52">
        <v>47.867790191502998</v>
      </c>
      <c r="S21" s="50">
        <f t="shared" si="5"/>
        <v>1.6800433788128795</v>
      </c>
      <c r="T21" s="52">
        <v>3.5347454529897258</v>
      </c>
      <c r="U21" s="52">
        <v>3.9695495619878729</v>
      </c>
      <c r="V21" s="187">
        <v>11000000</v>
      </c>
      <c r="W21" s="186">
        <f t="shared" si="6"/>
        <v>7.0413926851582254</v>
      </c>
      <c r="X21" s="52">
        <v>5</v>
      </c>
      <c r="Y21" s="68" t="s">
        <v>59</v>
      </c>
    </row>
    <row r="22" spans="1:25" x14ac:dyDescent="0.35">
      <c r="A22" s="49">
        <v>0.18799048235538898</v>
      </c>
      <c r="B22" s="50" t="s">
        <v>163</v>
      </c>
      <c r="C22" s="50">
        <v>1.0876712328767124</v>
      </c>
      <c r="D22" s="50">
        <f t="shared" si="0"/>
        <v>3.649764230664039E-2</v>
      </c>
      <c r="E22" s="50">
        <v>3.7899753459779522</v>
      </c>
      <c r="F22" s="50">
        <v>0.77815125038364363</v>
      </c>
      <c r="G22" s="50">
        <v>3.18</v>
      </c>
      <c r="H22" s="50">
        <f t="shared" si="1"/>
        <v>0.50242711998443268</v>
      </c>
      <c r="I22" s="50">
        <v>2.7670321178317625</v>
      </c>
      <c r="J22" s="50">
        <v>4.9218022670181653E-2</v>
      </c>
      <c r="K22" s="50">
        <v>14</v>
      </c>
      <c r="L22" s="50">
        <f t="shared" si="2"/>
        <v>1.146128035678238</v>
      </c>
      <c r="M22" s="50">
        <v>1</v>
      </c>
      <c r="N22" s="50">
        <v>70</v>
      </c>
      <c r="O22" s="50">
        <f t="shared" si="3"/>
        <v>1.8450980400142569</v>
      </c>
      <c r="P22" s="50">
        <v>42.4</v>
      </c>
      <c r="Q22" s="50">
        <f t="shared" si="4"/>
        <v>1.6273658565927327</v>
      </c>
      <c r="R22" s="50">
        <v>52.984855215816303</v>
      </c>
      <c r="S22" s="50">
        <f t="shared" si="5"/>
        <v>1.7241517519382803</v>
      </c>
      <c r="T22" s="50">
        <v>3.1814248062191788</v>
      </c>
      <c r="U22" s="50">
        <v>3.7294207535322617</v>
      </c>
      <c r="V22" s="186">
        <v>12000000</v>
      </c>
      <c r="W22" s="186">
        <f t="shared" si="6"/>
        <v>7.0791812460476251</v>
      </c>
      <c r="X22" s="50">
        <v>4</v>
      </c>
      <c r="Y22" s="66" t="s">
        <v>45</v>
      </c>
    </row>
    <row r="23" spans="1:25" x14ac:dyDescent="0.35">
      <c r="A23" s="67">
        <v>0.58357658563394932</v>
      </c>
      <c r="B23" s="52" t="s">
        <v>45</v>
      </c>
      <c r="C23" s="52">
        <v>0.72602739726027399</v>
      </c>
      <c r="D23" s="50">
        <f t="shared" si="0"/>
        <v>-0.13904699051966685</v>
      </c>
      <c r="E23" s="52">
        <v>3.7707754512906644</v>
      </c>
      <c r="F23" s="52">
        <v>1.7403626894942439</v>
      </c>
      <c r="G23" s="52">
        <v>2.3199999999999998</v>
      </c>
      <c r="H23" s="50">
        <f t="shared" si="1"/>
        <v>0.36548798489089962</v>
      </c>
      <c r="I23" s="52">
        <v>2.1238516409670858</v>
      </c>
      <c r="J23" s="52">
        <v>-5.0609993355087209E-2</v>
      </c>
      <c r="K23" s="52">
        <v>56</v>
      </c>
      <c r="L23" s="50">
        <f t="shared" si="2"/>
        <v>1.7481880270062005</v>
      </c>
      <c r="M23" s="52">
        <v>1</v>
      </c>
      <c r="N23" s="52">
        <v>85</v>
      </c>
      <c r="O23" s="50">
        <f t="shared" si="3"/>
        <v>1.9294189257142926</v>
      </c>
      <c r="P23" s="52">
        <v>27.2</v>
      </c>
      <c r="Q23" s="50">
        <f t="shared" si="4"/>
        <v>1.4345689040341987</v>
      </c>
      <c r="R23" s="52">
        <v>35.608384832026097</v>
      </c>
      <c r="S23" s="50">
        <f t="shared" si="5"/>
        <v>1.5515522748692276</v>
      </c>
      <c r="T23" s="52">
        <v>3.1990557401914899</v>
      </c>
      <c r="U23" s="52">
        <v>3.7784953647769717</v>
      </c>
      <c r="V23" s="187">
        <v>12000000</v>
      </c>
      <c r="W23" s="186">
        <f t="shared" si="6"/>
        <v>7.0791812460476251</v>
      </c>
      <c r="X23" s="52">
        <v>9</v>
      </c>
      <c r="Y23" s="68" t="s">
        <v>59</v>
      </c>
    </row>
    <row r="24" spans="1:25" x14ac:dyDescent="0.35">
      <c r="A24" s="49">
        <v>1.0881360887005513</v>
      </c>
      <c r="B24" s="50" t="s">
        <v>954</v>
      </c>
      <c r="C24" s="50">
        <v>2.2821917808219179</v>
      </c>
      <c r="D24" s="50">
        <f t="shared" si="0"/>
        <v>0.35835213695031287</v>
      </c>
      <c r="E24" s="50">
        <v>3.2005167179274112</v>
      </c>
      <c r="F24" s="50">
        <v>0.95424250943932487</v>
      </c>
      <c r="G24" s="50">
        <v>2.4700000000000002</v>
      </c>
      <c r="H24" s="50">
        <f t="shared" si="1"/>
        <v>0.39269695325966575</v>
      </c>
      <c r="I24" s="50">
        <v>3.2929933027247387</v>
      </c>
      <c r="J24" s="50">
        <v>0.10037054511756291</v>
      </c>
      <c r="K24" s="50">
        <v>8</v>
      </c>
      <c r="L24" s="50">
        <f t="shared" si="2"/>
        <v>0.90308998699194354</v>
      </c>
      <c r="M24" s="50">
        <v>1</v>
      </c>
      <c r="N24" s="50">
        <v>70</v>
      </c>
      <c r="O24" s="50">
        <f t="shared" si="3"/>
        <v>1.8450980400142569</v>
      </c>
      <c r="P24" s="50">
        <v>30.8</v>
      </c>
      <c r="Q24" s="50">
        <f t="shared" si="4"/>
        <v>1.4885507165004443</v>
      </c>
      <c r="R24" s="50">
        <v>46.676832990761902</v>
      </c>
      <c r="S24" s="50">
        <f t="shared" si="5"/>
        <v>1.6691013816214919</v>
      </c>
      <c r="T24" s="50">
        <v>3.6410631547392063</v>
      </c>
      <c r="U24" s="50">
        <v>3.7013464506591722</v>
      </c>
      <c r="V24" s="186">
        <v>12000000</v>
      </c>
      <c r="W24" s="186">
        <f t="shared" si="6"/>
        <v>7.0791812460476251</v>
      </c>
      <c r="X24" s="50">
        <v>9</v>
      </c>
      <c r="Y24" s="66" t="s">
        <v>59</v>
      </c>
    </row>
    <row r="25" spans="1:25" x14ac:dyDescent="0.35">
      <c r="A25" s="67">
        <v>0.37471163866504298</v>
      </c>
      <c r="B25" s="52" t="s">
        <v>6</v>
      </c>
      <c r="C25" s="52">
        <v>0.33424657534246577</v>
      </c>
      <c r="D25" s="50">
        <f t="shared" si="0"/>
        <v>-0.47593303378172647</v>
      </c>
      <c r="E25" s="52">
        <v>2.5075455505094206</v>
      </c>
      <c r="F25" s="52">
        <v>1</v>
      </c>
      <c r="G25" s="52">
        <v>2.91</v>
      </c>
      <c r="H25" s="50">
        <f t="shared" si="1"/>
        <v>0.46389298898590731</v>
      </c>
      <c r="I25" s="52">
        <v>2.6517624473801109</v>
      </c>
      <c r="J25" s="52">
        <v>-1.7728766960431602E-2</v>
      </c>
      <c r="K25" s="52">
        <v>7</v>
      </c>
      <c r="L25" s="50">
        <f t="shared" si="2"/>
        <v>0.84509804001425681</v>
      </c>
      <c r="M25" s="52">
        <v>1</v>
      </c>
      <c r="N25" s="52">
        <v>70</v>
      </c>
      <c r="O25" s="50">
        <f t="shared" si="3"/>
        <v>1.8450980400142569</v>
      </c>
      <c r="P25" s="52">
        <v>43.2</v>
      </c>
      <c r="Q25" s="50">
        <f t="shared" si="4"/>
        <v>1.6354837468149122</v>
      </c>
      <c r="R25" s="52">
        <v>48.933014808972402</v>
      </c>
      <c r="S25" s="50">
        <f t="shared" si="5"/>
        <v>1.6896019738749151</v>
      </c>
      <c r="T25" s="52">
        <v>3.6410631547392063</v>
      </c>
      <c r="U25" s="52">
        <v>3.7013464506591722</v>
      </c>
      <c r="V25" s="187">
        <v>12980000</v>
      </c>
      <c r="W25" s="186">
        <f t="shared" si="6"/>
        <v>7.1132746924643504</v>
      </c>
      <c r="X25" s="52">
        <v>9</v>
      </c>
      <c r="Y25" s="68" t="s">
        <v>59</v>
      </c>
    </row>
    <row r="26" spans="1:25" x14ac:dyDescent="0.35">
      <c r="A26" s="49">
        <v>0.8903780214758058</v>
      </c>
      <c r="B26" s="50" t="s">
        <v>163</v>
      </c>
      <c r="C26" s="50">
        <v>3.5616438356164384</v>
      </c>
      <c r="D26" s="50">
        <f t="shared" si="0"/>
        <v>0.55165048785036208</v>
      </c>
      <c r="E26" s="50">
        <v>2.5362300726332561</v>
      </c>
      <c r="F26" s="50">
        <v>0.90308998699194354</v>
      </c>
      <c r="G26" s="50">
        <v>2.3199999999999998</v>
      </c>
      <c r="H26" s="50">
        <f t="shared" si="1"/>
        <v>0.36548798489089962</v>
      </c>
      <c r="I26" s="50">
        <v>2.756001823801419</v>
      </c>
      <c r="J26" s="50">
        <v>0.10720996964786837</v>
      </c>
      <c r="K26" s="50">
        <v>9</v>
      </c>
      <c r="L26" s="50">
        <f t="shared" si="2"/>
        <v>0.95424250943932487</v>
      </c>
      <c r="M26" s="50">
        <v>1</v>
      </c>
      <c r="N26" s="50">
        <v>85</v>
      </c>
      <c r="O26" s="50">
        <f t="shared" si="3"/>
        <v>1.9294189257142926</v>
      </c>
      <c r="P26" s="50">
        <v>43.7</v>
      </c>
      <c r="Q26" s="50">
        <f t="shared" si="4"/>
        <v>1.6404814369704219</v>
      </c>
      <c r="R26" s="50">
        <v>54.530673116863902</v>
      </c>
      <c r="S26" s="50">
        <f t="shared" si="5"/>
        <v>1.7366408585732218</v>
      </c>
      <c r="T26" s="50">
        <v>3.5347454529897258</v>
      </c>
      <c r="U26" s="50">
        <v>3.9695495619878729</v>
      </c>
      <c r="V26" s="186">
        <v>13000000</v>
      </c>
      <c r="W26" s="186">
        <f t="shared" si="6"/>
        <v>7.1139433523068369</v>
      </c>
      <c r="X26" s="50">
        <v>8</v>
      </c>
      <c r="Y26" s="66" t="s">
        <v>59</v>
      </c>
    </row>
    <row r="27" spans="1:25" x14ac:dyDescent="0.35">
      <c r="A27" s="67">
        <v>1.1870866433571445</v>
      </c>
      <c r="B27" s="52" t="s">
        <v>2</v>
      </c>
      <c r="C27" s="52">
        <v>3.2383561643835614</v>
      </c>
      <c r="D27" s="50">
        <f t="shared" si="0"/>
        <v>0.51032461208876179</v>
      </c>
      <c r="E27" s="52">
        <v>2.8258673289207414</v>
      </c>
      <c r="F27" s="52">
        <v>0</v>
      </c>
      <c r="G27" s="52">
        <v>2.84</v>
      </c>
      <c r="H27" s="50">
        <f t="shared" si="1"/>
        <v>0.45331834004703764</v>
      </c>
      <c r="I27" s="52">
        <v>2.0400878434698808</v>
      </c>
      <c r="J27" s="52">
        <v>0.18184358794477254</v>
      </c>
      <c r="K27" s="52">
        <v>6</v>
      </c>
      <c r="L27" s="50">
        <f t="shared" si="2"/>
        <v>0.77815125038364363</v>
      </c>
      <c r="M27" s="52">
        <v>1</v>
      </c>
      <c r="N27" s="52">
        <v>89.6</v>
      </c>
      <c r="O27" s="50">
        <f t="shared" si="3"/>
        <v>1.9523080096621253</v>
      </c>
      <c r="P27" s="52">
        <v>35.700000000000003</v>
      </c>
      <c r="Q27" s="50">
        <f t="shared" si="4"/>
        <v>1.5526682161121932</v>
      </c>
      <c r="R27" s="52">
        <v>44.7100017757258</v>
      </c>
      <c r="S27" s="50">
        <f t="shared" si="5"/>
        <v>1.6504046871166989</v>
      </c>
      <c r="T27" s="52">
        <v>3.8659974508347341</v>
      </c>
      <c r="U27" s="52">
        <v>3.8302925433451809</v>
      </c>
      <c r="V27" s="187">
        <v>13000000</v>
      </c>
      <c r="W27" s="186">
        <f t="shared" si="6"/>
        <v>7.1139433523068369</v>
      </c>
      <c r="X27" s="52">
        <v>2</v>
      </c>
      <c r="Y27" s="68" t="s">
        <v>5</v>
      </c>
    </row>
    <row r="28" spans="1:25" x14ac:dyDescent="0.35">
      <c r="A28" s="49">
        <v>0.4607308385314931</v>
      </c>
      <c r="B28" s="50" t="s">
        <v>45</v>
      </c>
      <c r="C28" s="50">
        <v>2.3808219178082193</v>
      </c>
      <c r="D28" s="50">
        <f t="shared" si="0"/>
        <v>0.37672691199219177</v>
      </c>
      <c r="E28" s="50">
        <v>3.7707754512906644</v>
      </c>
      <c r="F28" s="50">
        <v>0.47712125471966244</v>
      </c>
      <c r="G28" s="50">
        <v>2.3199999999999998</v>
      </c>
      <c r="H28" s="50">
        <f t="shared" si="1"/>
        <v>0.36548798489089962</v>
      </c>
      <c r="I28" s="50">
        <v>2.1238516409670858</v>
      </c>
      <c r="J28" s="50">
        <v>8.9905111439397931E-2</v>
      </c>
      <c r="K28" s="50">
        <v>6</v>
      </c>
      <c r="L28" s="50">
        <f t="shared" si="2"/>
        <v>0.77815125038364363</v>
      </c>
      <c r="M28" s="50">
        <v>1</v>
      </c>
      <c r="N28" s="50">
        <v>85</v>
      </c>
      <c r="O28" s="50">
        <f t="shared" si="3"/>
        <v>1.9294189257142926</v>
      </c>
      <c r="P28" s="50">
        <v>24.4</v>
      </c>
      <c r="Q28" s="50">
        <f t="shared" si="4"/>
        <v>1.3873898263387294</v>
      </c>
      <c r="R28" s="50">
        <v>37.256914365427299</v>
      </c>
      <c r="S28" s="50">
        <f t="shared" si="5"/>
        <v>1.5712068835833228</v>
      </c>
      <c r="T28" s="50">
        <v>3.6410631547392063</v>
      </c>
      <c r="U28" s="50">
        <v>3.7013464506591722</v>
      </c>
      <c r="V28" s="186">
        <v>13500000</v>
      </c>
      <c r="W28" s="186">
        <f t="shared" si="6"/>
        <v>7.1303337684950066</v>
      </c>
      <c r="X28" s="50">
        <v>9</v>
      </c>
      <c r="Y28" s="66" t="s">
        <v>59</v>
      </c>
    </row>
    <row r="29" spans="1:25" x14ac:dyDescent="0.35">
      <c r="A29" s="67">
        <v>1.2652875845284624</v>
      </c>
      <c r="B29" s="52" t="s">
        <v>45</v>
      </c>
      <c r="C29" s="52">
        <v>2.8986301369863012</v>
      </c>
      <c r="D29" s="50">
        <f t="shared" si="0"/>
        <v>0.46219280324269224</v>
      </c>
      <c r="E29" s="52">
        <v>3.7707754512906644</v>
      </c>
      <c r="F29" s="52">
        <v>0.95424250943932487</v>
      </c>
      <c r="G29" s="52">
        <v>2.3199999999999998</v>
      </c>
      <c r="H29" s="50">
        <f t="shared" si="1"/>
        <v>0.36548798489089962</v>
      </c>
      <c r="I29" s="52">
        <v>2.1238516409670858</v>
      </c>
      <c r="J29" s="52">
        <v>0.14612803567823801</v>
      </c>
      <c r="K29" s="52">
        <v>14</v>
      </c>
      <c r="L29" s="50">
        <f t="shared" si="2"/>
        <v>1.146128035678238</v>
      </c>
      <c r="M29" s="52">
        <v>1</v>
      </c>
      <c r="N29" s="52">
        <v>91</v>
      </c>
      <c r="O29" s="50">
        <f t="shared" si="3"/>
        <v>1.9590413923210936</v>
      </c>
      <c r="P29" s="52">
        <v>23.9</v>
      </c>
      <c r="Q29" s="50">
        <f t="shared" si="4"/>
        <v>1.3783979009481377</v>
      </c>
      <c r="R29" s="52">
        <v>42.048698215007001</v>
      </c>
      <c r="S29" s="50">
        <f t="shared" si="5"/>
        <v>1.6237525550259535</v>
      </c>
      <c r="T29" s="52">
        <v>3.6410631547392063</v>
      </c>
      <c r="U29" s="52">
        <v>3.7013464506591722</v>
      </c>
      <c r="V29" s="187">
        <v>13860000</v>
      </c>
      <c r="W29" s="186">
        <f t="shared" si="6"/>
        <v>7.1417632302757879</v>
      </c>
      <c r="X29" s="52">
        <v>9</v>
      </c>
      <c r="Y29" s="68" t="s">
        <v>59</v>
      </c>
    </row>
    <row r="30" spans="1:25" x14ac:dyDescent="0.35">
      <c r="A30" s="49">
        <v>1.4332609045847848</v>
      </c>
      <c r="B30" s="50" t="s">
        <v>2</v>
      </c>
      <c r="C30" s="50">
        <v>4.9835616438356167</v>
      </c>
      <c r="D30" s="50">
        <f t="shared" si="0"/>
        <v>0.69753983460700886</v>
      </c>
      <c r="E30" s="50">
        <v>2.9629325585580042</v>
      </c>
      <c r="F30" s="50">
        <v>1.255272505103306</v>
      </c>
      <c r="G30" s="50">
        <v>2.62</v>
      </c>
      <c r="H30" s="50">
        <f t="shared" si="1"/>
        <v>0.41830129131974547</v>
      </c>
      <c r="I30" s="50">
        <v>2.9323046139517812</v>
      </c>
      <c r="J30" s="50">
        <v>0.2355284469075489</v>
      </c>
      <c r="K30" s="50">
        <v>12</v>
      </c>
      <c r="L30" s="50">
        <f t="shared" si="2"/>
        <v>1.0791812460476249</v>
      </c>
      <c r="M30" s="50">
        <v>1</v>
      </c>
      <c r="N30" s="50">
        <v>90.5</v>
      </c>
      <c r="O30" s="50">
        <f t="shared" si="3"/>
        <v>1.9566485792052033</v>
      </c>
      <c r="P30" s="50">
        <v>36.4</v>
      </c>
      <c r="Q30" s="50">
        <f t="shared" si="4"/>
        <v>1.5611013836490559</v>
      </c>
      <c r="R30" s="50">
        <v>44.295389122127702</v>
      </c>
      <c r="S30" s="50">
        <f t="shared" si="5"/>
        <v>1.6463585211883986</v>
      </c>
      <c r="T30" s="50">
        <v>3.2860283894181141</v>
      </c>
      <c r="U30" s="50">
        <v>3.9098977130890344</v>
      </c>
      <c r="V30" s="186">
        <v>14750240</v>
      </c>
      <c r="W30" s="186">
        <f t="shared" si="6"/>
        <v>7.1687990867431779</v>
      </c>
      <c r="X30" s="50">
        <v>1</v>
      </c>
      <c r="Y30" s="66" t="s">
        <v>59</v>
      </c>
    </row>
    <row r="31" spans="1:25" x14ac:dyDescent="0.35">
      <c r="A31" s="67">
        <v>-2</v>
      </c>
      <c r="B31" s="52" t="s">
        <v>59</v>
      </c>
      <c r="C31" s="52">
        <v>7.1808219178082195</v>
      </c>
      <c r="D31" s="50">
        <f t="shared" si="0"/>
        <v>0.85617415649012574</v>
      </c>
      <c r="E31" s="52">
        <v>3.0625406208792199</v>
      </c>
      <c r="F31" s="52">
        <v>0.90308998699194354</v>
      </c>
      <c r="G31" s="52">
        <v>3.27</v>
      </c>
      <c r="H31" s="50">
        <f t="shared" si="1"/>
        <v>0.51454775266028607</v>
      </c>
      <c r="I31" s="52">
        <v>2.8714756364568856</v>
      </c>
      <c r="J31" s="52">
        <v>0.18184358794477254</v>
      </c>
      <c r="K31" s="52">
        <v>7</v>
      </c>
      <c r="L31" s="50">
        <f t="shared" si="2"/>
        <v>0.84509804001425681</v>
      </c>
      <c r="M31" s="52">
        <v>1</v>
      </c>
      <c r="N31" s="52">
        <v>90.8</v>
      </c>
      <c r="O31" s="50">
        <f t="shared" si="3"/>
        <v>1.958085848521085</v>
      </c>
      <c r="P31" s="52">
        <v>32.299999999999997</v>
      </c>
      <c r="Q31" s="50">
        <f t="shared" si="4"/>
        <v>1.5092025223311027</v>
      </c>
      <c r="R31" s="52">
        <v>44.4007960521485</v>
      </c>
      <c r="S31" s="50">
        <f t="shared" si="5"/>
        <v>1.6473907565550749</v>
      </c>
      <c r="T31" s="52">
        <v>3.2566108558755684</v>
      </c>
      <c r="U31" s="52">
        <v>3.9279973385794986</v>
      </c>
      <c r="V31" s="187">
        <v>15000000</v>
      </c>
      <c r="W31" s="186">
        <f t="shared" si="6"/>
        <v>7.1760912590556813</v>
      </c>
      <c r="X31" s="52">
        <v>9</v>
      </c>
      <c r="Y31" s="68" t="s">
        <v>1</v>
      </c>
    </row>
    <row r="32" spans="1:25" x14ac:dyDescent="0.35">
      <c r="A32" s="49">
        <v>0.84921460620908895</v>
      </c>
      <c r="B32" s="50" t="s">
        <v>59</v>
      </c>
      <c r="C32" s="50">
        <v>4.0273972602739727</v>
      </c>
      <c r="D32" s="50">
        <f t="shared" si="0"/>
        <v>0.60502447029170137</v>
      </c>
      <c r="E32" s="50">
        <v>0</v>
      </c>
      <c r="F32" s="50">
        <v>0.84509804001425681</v>
      </c>
      <c r="G32" s="50">
        <v>3.29</v>
      </c>
      <c r="H32" s="50">
        <f t="shared" si="1"/>
        <v>0.51719589794997434</v>
      </c>
      <c r="I32" s="50">
        <v>0</v>
      </c>
      <c r="J32" s="50">
        <v>5.3078443483419682E-2</v>
      </c>
      <c r="K32" s="50">
        <v>18</v>
      </c>
      <c r="L32" s="50">
        <f t="shared" si="2"/>
        <v>1.255272505103306</v>
      </c>
      <c r="M32" s="50">
        <v>0</v>
      </c>
      <c r="N32" s="50">
        <v>85</v>
      </c>
      <c r="O32" s="50">
        <f t="shared" si="3"/>
        <v>1.9294189257142926</v>
      </c>
      <c r="P32" s="50">
        <v>31.5</v>
      </c>
      <c r="Q32" s="50">
        <f t="shared" si="4"/>
        <v>1.4983105537896004</v>
      </c>
      <c r="R32" s="50">
        <v>37.589394702761602</v>
      </c>
      <c r="S32" s="50">
        <f t="shared" si="5"/>
        <v>1.575065332381355</v>
      </c>
      <c r="T32" s="50">
        <v>3.2555397552391718</v>
      </c>
      <c r="U32" s="50">
        <v>3.9251377713585649</v>
      </c>
      <c r="V32" s="186">
        <v>15000000</v>
      </c>
      <c r="W32" s="186">
        <f t="shared" si="6"/>
        <v>7.1760912590556813</v>
      </c>
      <c r="X32" s="50">
        <v>6</v>
      </c>
      <c r="Y32" s="66" t="s">
        <v>577</v>
      </c>
    </row>
    <row r="33" spans="1:25" x14ac:dyDescent="0.35">
      <c r="A33" s="67">
        <v>-2</v>
      </c>
      <c r="B33" s="52" t="s">
        <v>45</v>
      </c>
      <c r="C33" s="52">
        <v>2.117808219178082</v>
      </c>
      <c r="D33" s="50">
        <f t="shared" si="0"/>
        <v>0.32588662946185015</v>
      </c>
      <c r="E33" s="52">
        <v>0</v>
      </c>
      <c r="F33" s="52">
        <v>1.7923916894982539</v>
      </c>
      <c r="G33" s="52">
        <v>2.95</v>
      </c>
      <c r="H33" s="50">
        <f t="shared" si="1"/>
        <v>0.46982201597816303</v>
      </c>
      <c r="I33" s="52">
        <v>0</v>
      </c>
      <c r="J33" s="52">
        <v>0.12385164096708581</v>
      </c>
      <c r="K33" s="52">
        <v>15</v>
      </c>
      <c r="L33" s="50">
        <f t="shared" si="2"/>
        <v>1.1760912590556813</v>
      </c>
      <c r="M33" s="52">
        <v>0</v>
      </c>
      <c r="N33" s="52">
        <v>85</v>
      </c>
      <c r="O33" s="50">
        <f t="shared" si="3"/>
        <v>1.9294189257142926</v>
      </c>
      <c r="P33" s="52">
        <v>24.9</v>
      </c>
      <c r="Q33" s="50">
        <f t="shared" si="4"/>
        <v>1.3961993470957363</v>
      </c>
      <c r="R33" s="52">
        <v>36.710134890601303</v>
      </c>
      <c r="S33" s="50">
        <f t="shared" si="5"/>
        <v>1.564785980312654</v>
      </c>
      <c r="T33" s="52">
        <v>3.0958500844125241</v>
      </c>
      <c r="U33" s="52">
        <v>3.5078178355445662</v>
      </c>
      <c r="V33" s="187">
        <v>15000000</v>
      </c>
      <c r="W33" s="186">
        <f t="shared" si="6"/>
        <v>7.1760912590556813</v>
      </c>
      <c r="X33" s="52">
        <v>1</v>
      </c>
      <c r="Y33" s="68" t="s">
        <v>602</v>
      </c>
    </row>
    <row r="34" spans="1:25" x14ac:dyDescent="0.35">
      <c r="A34" s="49">
        <v>-2</v>
      </c>
      <c r="B34" s="50" t="s">
        <v>45</v>
      </c>
      <c r="C34" s="50">
        <v>3.6986301369863015</v>
      </c>
      <c r="D34" s="50">
        <f t="shared" si="0"/>
        <v>0.56804090403853147</v>
      </c>
      <c r="E34" s="50">
        <v>0</v>
      </c>
      <c r="F34" s="50">
        <v>1.7481880270062005</v>
      </c>
      <c r="G34" s="50">
        <v>2.95</v>
      </c>
      <c r="H34" s="50">
        <f t="shared" si="1"/>
        <v>0.46982201597816303</v>
      </c>
      <c r="I34" s="50">
        <v>0</v>
      </c>
      <c r="J34" s="50">
        <v>0.19589965240923368</v>
      </c>
      <c r="K34" s="50">
        <v>26</v>
      </c>
      <c r="L34" s="50">
        <f t="shared" si="2"/>
        <v>1.414973347970818</v>
      </c>
      <c r="M34" s="50">
        <v>0</v>
      </c>
      <c r="N34" s="50">
        <v>85</v>
      </c>
      <c r="O34" s="50">
        <f t="shared" si="3"/>
        <v>1.9294189257142926</v>
      </c>
      <c r="P34" s="50">
        <v>25.7</v>
      </c>
      <c r="Q34" s="50">
        <f t="shared" si="4"/>
        <v>1.4099331233312946</v>
      </c>
      <c r="R34" s="50">
        <v>39.367752568237798</v>
      </c>
      <c r="S34" s="50">
        <f t="shared" si="5"/>
        <v>1.5951406224338005</v>
      </c>
      <c r="T34" s="50">
        <v>3.1527645837352773</v>
      </c>
      <c r="U34" s="50">
        <v>3.5411223705253856</v>
      </c>
      <c r="V34" s="186">
        <v>16000000</v>
      </c>
      <c r="W34" s="186">
        <f t="shared" si="6"/>
        <v>7.204119982655925</v>
      </c>
      <c r="X34" s="50">
        <v>1</v>
      </c>
      <c r="Y34" s="66" t="s">
        <v>602</v>
      </c>
    </row>
    <row r="35" spans="1:25" x14ac:dyDescent="0.35">
      <c r="A35" s="67">
        <v>0.89805681551283612</v>
      </c>
      <c r="B35" s="52" t="s">
        <v>419</v>
      </c>
      <c r="C35" s="52">
        <v>6.5315068493150683</v>
      </c>
      <c r="D35" s="50">
        <f t="shared" si="0"/>
        <v>0.81501338661172407</v>
      </c>
      <c r="E35" s="52">
        <v>2.5987029826834349</v>
      </c>
      <c r="F35" s="52">
        <v>1.2304489213782739</v>
      </c>
      <c r="G35" s="52">
        <v>3.35</v>
      </c>
      <c r="H35" s="50">
        <f t="shared" si="1"/>
        <v>0.5250448070368452</v>
      </c>
      <c r="I35" s="52">
        <v>2.5401208298279827</v>
      </c>
      <c r="J35" s="52">
        <v>0.13353890837021748</v>
      </c>
      <c r="K35" s="52">
        <v>12</v>
      </c>
      <c r="L35" s="50">
        <f t="shared" si="2"/>
        <v>1.0791812460476249</v>
      </c>
      <c r="M35" s="52">
        <v>1</v>
      </c>
      <c r="N35" s="52">
        <v>70</v>
      </c>
      <c r="O35" s="50">
        <f t="shared" si="3"/>
        <v>1.8450980400142569</v>
      </c>
      <c r="P35" s="52">
        <v>43.2</v>
      </c>
      <c r="Q35" s="50">
        <f t="shared" si="4"/>
        <v>1.6354837468149122</v>
      </c>
      <c r="R35" s="52">
        <v>47.338285896273099</v>
      </c>
      <c r="S35" s="50">
        <f t="shared" si="5"/>
        <v>1.6752125282177461</v>
      </c>
      <c r="T35" s="52">
        <v>3.212261842580872</v>
      </c>
      <c r="U35" s="52">
        <v>3.9329492300777744</v>
      </c>
      <c r="V35" s="187">
        <v>16818793</v>
      </c>
      <c r="W35" s="186">
        <f t="shared" si="6"/>
        <v>7.2257948254542494</v>
      </c>
      <c r="X35" s="52">
        <v>5</v>
      </c>
      <c r="Y35" s="68" t="s">
        <v>4</v>
      </c>
    </row>
    <row r="36" spans="1:25" x14ac:dyDescent="0.35">
      <c r="A36" s="49">
        <v>0.40540657335739205</v>
      </c>
      <c r="B36" s="50" t="s">
        <v>59</v>
      </c>
      <c r="C36" s="50">
        <v>5.8054794520547945</v>
      </c>
      <c r="D36" s="50">
        <f t="shared" si="0"/>
        <v>0.76383809225431987</v>
      </c>
      <c r="E36" s="50">
        <v>0</v>
      </c>
      <c r="F36" s="50">
        <v>0.6020599913279624</v>
      </c>
      <c r="G36" s="50">
        <v>3.29</v>
      </c>
      <c r="H36" s="50">
        <f t="shared" si="1"/>
        <v>0.51719589794997434</v>
      </c>
      <c r="I36" s="50">
        <v>0</v>
      </c>
      <c r="J36" s="50">
        <v>0.34044411484011833</v>
      </c>
      <c r="K36" s="50">
        <v>7</v>
      </c>
      <c r="L36" s="50">
        <f t="shared" si="2"/>
        <v>0.84509804001425681</v>
      </c>
      <c r="M36" s="50">
        <v>0</v>
      </c>
      <c r="N36" s="50">
        <v>89.8</v>
      </c>
      <c r="O36" s="50">
        <f t="shared" si="3"/>
        <v>1.9532763366673043</v>
      </c>
      <c r="P36" s="50">
        <v>31.2</v>
      </c>
      <c r="Q36" s="50">
        <f t="shared" si="4"/>
        <v>1.4941545940184429</v>
      </c>
      <c r="R36" s="50">
        <v>47.307367293927399</v>
      </c>
      <c r="S36" s="50">
        <f t="shared" si="5"/>
        <v>1.6749287797641836</v>
      </c>
      <c r="T36" s="50">
        <v>3.3438084825075891</v>
      </c>
      <c r="U36" s="50">
        <v>3.8895205457872843</v>
      </c>
      <c r="V36" s="186">
        <v>17300000</v>
      </c>
      <c r="W36" s="186">
        <f t="shared" si="6"/>
        <v>7.238046103128795</v>
      </c>
      <c r="X36" s="50">
        <v>9</v>
      </c>
      <c r="Y36" s="66" t="s">
        <v>59</v>
      </c>
    </row>
    <row r="37" spans="1:25" x14ac:dyDescent="0.35">
      <c r="A37" s="67">
        <v>0.75696195131370558</v>
      </c>
      <c r="B37" s="52" t="s">
        <v>497</v>
      </c>
      <c r="C37" s="52">
        <v>7.3643835616438356</v>
      </c>
      <c r="D37" s="50">
        <f t="shared" si="0"/>
        <v>0.86713639992531288</v>
      </c>
      <c r="E37" s="52">
        <v>2.6674249329872439</v>
      </c>
      <c r="F37" s="52">
        <v>0.47712125471966244</v>
      </c>
      <c r="G37" s="52">
        <v>2.61</v>
      </c>
      <c r="H37" s="50">
        <f t="shared" si="1"/>
        <v>0.41664050733828095</v>
      </c>
      <c r="I37" s="52">
        <v>2.2881746749783951</v>
      </c>
      <c r="J37" s="52">
        <v>-0.10790539730951958</v>
      </c>
      <c r="K37" s="52">
        <v>1</v>
      </c>
      <c r="L37" s="50">
        <f t="shared" si="2"/>
        <v>0</v>
      </c>
      <c r="M37" s="52">
        <v>1</v>
      </c>
      <c r="N37" s="52">
        <v>85</v>
      </c>
      <c r="O37" s="50">
        <f t="shared" si="3"/>
        <v>1.9294189257142926</v>
      </c>
      <c r="P37" s="52">
        <v>28.6</v>
      </c>
      <c r="Q37" s="50">
        <f t="shared" si="4"/>
        <v>1.4563660331290431</v>
      </c>
      <c r="R37" s="52">
        <v>32.513676738539097</v>
      </c>
      <c r="S37" s="50">
        <f t="shared" si="5"/>
        <v>1.5120660835216855</v>
      </c>
      <c r="T37" s="52">
        <v>3.2860283894181141</v>
      </c>
      <c r="U37" s="52">
        <v>3.9098977130890344</v>
      </c>
      <c r="V37" s="187">
        <v>17500000</v>
      </c>
      <c r="W37" s="186">
        <f t="shared" si="6"/>
        <v>7.2430380486862944</v>
      </c>
      <c r="X37" s="52">
        <v>9</v>
      </c>
      <c r="Y37" s="68" t="s">
        <v>59</v>
      </c>
    </row>
    <row r="38" spans="1:25" x14ac:dyDescent="0.35">
      <c r="A38" s="49">
        <v>0.54960935693524038</v>
      </c>
      <c r="B38" s="50" t="s">
        <v>45</v>
      </c>
      <c r="C38" s="50">
        <v>3.1917808219178081</v>
      </c>
      <c r="D38" s="50">
        <f t="shared" si="0"/>
        <v>0.5040330609055631</v>
      </c>
      <c r="E38" s="50">
        <v>3.7707754512906644</v>
      </c>
      <c r="F38" s="50">
        <v>0.95424250943932487</v>
      </c>
      <c r="G38" s="50">
        <v>2.3199999999999998</v>
      </c>
      <c r="H38" s="50">
        <f t="shared" si="1"/>
        <v>0.36548798489089962</v>
      </c>
      <c r="I38" s="50">
        <v>2.1238516409670858</v>
      </c>
      <c r="J38" s="50">
        <v>-4.5757490560675115E-2</v>
      </c>
      <c r="K38" s="50">
        <v>23</v>
      </c>
      <c r="L38" s="50">
        <f t="shared" si="2"/>
        <v>1.3617278360175928</v>
      </c>
      <c r="M38" s="50">
        <v>1</v>
      </c>
      <c r="N38" s="50">
        <v>85</v>
      </c>
      <c r="O38" s="50">
        <f t="shared" si="3"/>
        <v>1.9294189257142926</v>
      </c>
      <c r="P38" s="50">
        <v>25.9</v>
      </c>
      <c r="Q38" s="50">
        <f t="shared" si="4"/>
        <v>1.4132997640812519</v>
      </c>
      <c r="R38" s="50">
        <v>36.959146749272797</v>
      </c>
      <c r="S38" s="50">
        <f t="shared" si="5"/>
        <v>1.5677219364019672</v>
      </c>
      <c r="T38" s="50">
        <v>3.4436974992327127</v>
      </c>
      <c r="U38" s="50">
        <v>3.8586708472035309</v>
      </c>
      <c r="V38" s="186">
        <v>17800000</v>
      </c>
      <c r="W38" s="186">
        <f t="shared" si="6"/>
        <v>7.2504200023088936</v>
      </c>
      <c r="X38" s="50">
        <v>5</v>
      </c>
      <c r="Y38" s="66" t="s">
        <v>59</v>
      </c>
    </row>
    <row r="39" spans="1:25" x14ac:dyDescent="0.35">
      <c r="A39" s="67">
        <v>0.27988245367132186</v>
      </c>
      <c r="B39" s="52" t="s">
        <v>163</v>
      </c>
      <c r="C39" s="52">
        <v>0.9452054794520548</v>
      </c>
      <c r="D39" s="50">
        <f t="shared" si="0"/>
        <v>-2.4473769383200585E-2</v>
      </c>
      <c r="E39" s="52">
        <v>2.8358680570524939</v>
      </c>
      <c r="F39" s="52">
        <v>1.1139433523068367</v>
      </c>
      <c r="G39" s="52">
        <v>2.85</v>
      </c>
      <c r="H39" s="50">
        <f t="shared" si="1"/>
        <v>0.45484486000851021</v>
      </c>
      <c r="I39" s="52">
        <v>3.1502958128255383</v>
      </c>
      <c r="J39" s="52">
        <v>7.1882007306125359E-2</v>
      </c>
      <c r="K39" s="52">
        <v>17</v>
      </c>
      <c r="L39" s="50">
        <f t="shared" si="2"/>
        <v>1.2304489213782739</v>
      </c>
      <c r="M39" s="52">
        <v>1</v>
      </c>
      <c r="N39" s="52">
        <v>84</v>
      </c>
      <c r="O39" s="50">
        <f t="shared" si="3"/>
        <v>1.9242792860618816</v>
      </c>
      <c r="P39" s="52">
        <v>45.4</v>
      </c>
      <c r="Q39" s="50">
        <f t="shared" si="4"/>
        <v>1.657055852857104</v>
      </c>
      <c r="R39" s="52">
        <v>57.2278620378247</v>
      </c>
      <c r="S39" s="50">
        <f t="shared" si="5"/>
        <v>1.7576075215065206</v>
      </c>
      <c r="T39" s="52">
        <v>3.4006741243771632</v>
      </c>
      <c r="U39" s="52">
        <v>3.8325618860191688</v>
      </c>
      <c r="V39" s="187">
        <v>18200000</v>
      </c>
      <c r="W39" s="186">
        <f t="shared" si="6"/>
        <v>7.2600713879850751</v>
      </c>
      <c r="X39" s="52">
        <v>2</v>
      </c>
      <c r="Y39" s="68" t="s">
        <v>2</v>
      </c>
    </row>
    <row r="40" spans="1:25" x14ac:dyDescent="0.35">
      <c r="A40" s="49">
        <v>0.4130575410367584</v>
      </c>
      <c r="B40" s="50" t="s">
        <v>59</v>
      </c>
      <c r="C40" s="50">
        <v>8.4328767123287669</v>
      </c>
      <c r="D40" s="50">
        <f t="shared" si="0"/>
        <v>0.92597575103898522</v>
      </c>
      <c r="E40" s="50">
        <v>0</v>
      </c>
      <c r="F40" s="50">
        <v>0.90308998699194354</v>
      </c>
      <c r="G40" s="50">
        <v>3.29</v>
      </c>
      <c r="H40" s="50">
        <f t="shared" si="1"/>
        <v>0.51719589794997434</v>
      </c>
      <c r="I40" s="50">
        <v>0</v>
      </c>
      <c r="J40" s="50">
        <v>0.14301480025409513</v>
      </c>
      <c r="K40" s="50">
        <v>8</v>
      </c>
      <c r="L40" s="50">
        <f t="shared" si="2"/>
        <v>0.90308998699194354</v>
      </c>
      <c r="M40" s="50">
        <v>0</v>
      </c>
      <c r="N40" s="50">
        <v>85</v>
      </c>
      <c r="O40" s="50">
        <f t="shared" si="3"/>
        <v>1.9294189257142926</v>
      </c>
      <c r="P40" s="50">
        <v>32.700000000000003</v>
      </c>
      <c r="Q40" s="50">
        <f t="shared" si="4"/>
        <v>1.5145477526602862</v>
      </c>
      <c r="R40" s="50">
        <v>41.286751495766303</v>
      </c>
      <c r="S40" s="50">
        <f t="shared" si="5"/>
        <v>1.6158107132703448</v>
      </c>
      <c r="T40" s="50">
        <v>3.6410631547392063</v>
      </c>
      <c r="U40" s="50">
        <v>3.7013464506591722</v>
      </c>
      <c r="V40" s="186">
        <v>18350000</v>
      </c>
      <c r="W40" s="186">
        <f t="shared" si="6"/>
        <v>7.2636360685881085</v>
      </c>
      <c r="X40" s="50">
        <v>9</v>
      </c>
      <c r="Y40" s="66" t="s">
        <v>59</v>
      </c>
    </row>
    <row r="41" spans="1:25" x14ac:dyDescent="0.35">
      <c r="A41" s="67">
        <v>0.60090341412802017</v>
      </c>
      <c r="B41" s="52" t="s">
        <v>59</v>
      </c>
      <c r="C41" s="52">
        <v>6.5424657534246577</v>
      </c>
      <c r="D41" s="50">
        <f t="shared" si="0"/>
        <v>0.81574145800085673</v>
      </c>
      <c r="E41" s="52">
        <v>0</v>
      </c>
      <c r="F41" s="52">
        <v>0</v>
      </c>
      <c r="G41" s="52">
        <v>3.29</v>
      </c>
      <c r="H41" s="50">
        <f t="shared" si="1"/>
        <v>0.51719589794997434</v>
      </c>
      <c r="I41" s="52">
        <v>0</v>
      </c>
      <c r="J41" s="52">
        <v>0.12710479836480765</v>
      </c>
      <c r="K41" s="52">
        <v>0</v>
      </c>
      <c r="L41" s="50">
        <f t="shared" si="2"/>
        <v>0</v>
      </c>
      <c r="M41" s="52">
        <v>0</v>
      </c>
      <c r="N41" s="52">
        <v>91.2</v>
      </c>
      <c r="O41" s="50">
        <f t="shared" si="3"/>
        <v>1.9599948383284163</v>
      </c>
      <c r="P41" s="52">
        <v>33</v>
      </c>
      <c r="Q41" s="50">
        <f t="shared" si="4"/>
        <v>1.5185139398778875</v>
      </c>
      <c r="R41" s="52">
        <v>40.902544500539101</v>
      </c>
      <c r="S41" s="50">
        <f t="shared" si="5"/>
        <v>1.6117503258110162</v>
      </c>
      <c r="T41" s="52">
        <v>3.2555397552391718</v>
      </c>
      <c r="U41" s="52">
        <v>3.9251377713585649</v>
      </c>
      <c r="V41" s="187">
        <v>18800000</v>
      </c>
      <c r="W41" s="186">
        <f t="shared" si="6"/>
        <v>7.2741578492636796</v>
      </c>
      <c r="X41" s="52">
        <v>5</v>
      </c>
      <c r="Y41" s="68" t="s">
        <v>577</v>
      </c>
    </row>
    <row r="42" spans="1:25" x14ac:dyDescent="0.35">
      <c r="A42" s="49">
        <v>-0.14804489260047846</v>
      </c>
      <c r="B42" s="83" t="s">
        <v>59</v>
      </c>
      <c r="C42" s="50">
        <v>3.6164383561643834</v>
      </c>
      <c r="D42" s="50">
        <f t="shared" si="0"/>
        <v>0.55828106674937517</v>
      </c>
      <c r="E42" s="50">
        <v>0</v>
      </c>
      <c r="F42" s="50">
        <v>1.146128035678238</v>
      </c>
      <c r="G42" s="50">
        <v>3.29</v>
      </c>
      <c r="H42" s="50">
        <f t="shared" si="1"/>
        <v>0.51719589794997434</v>
      </c>
      <c r="I42" s="50">
        <v>0</v>
      </c>
      <c r="J42" s="50">
        <v>-7.0581074285707285E-2</v>
      </c>
      <c r="K42" s="50">
        <v>17</v>
      </c>
      <c r="L42" s="50">
        <f t="shared" si="2"/>
        <v>1.2304489213782739</v>
      </c>
      <c r="M42" s="50">
        <v>0</v>
      </c>
      <c r="N42" s="50">
        <v>85</v>
      </c>
      <c r="O42" s="50">
        <f t="shared" si="3"/>
        <v>1.9294189257142926</v>
      </c>
      <c r="P42" s="50">
        <v>32.9</v>
      </c>
      <c r="Q42" s="50">
        <f t="shared" si="4"/>
        <v>1.5171958979499742</v>
      </c>
      <c r="R42" s="50">
        <v>35.433808146393098</v>
      </c>
      <c r="S42" s="50">
        <f t="shared" si="5"/>
        <v>1.5494178293890581</v>
      </c>
      <c r="T42" s="50">
        <v>3.3345874007848226</v>
      </c>
      <c r="U42" s="50">
        <v>3.9771533739227865</v>
      </c>
      <c r="V42" s="186">
        <v>19000000</v>
      </c>
      <c r="W42" s="186">
        <f t="shared" si="6"/>
        <v>7.2787536009528289</v>
      </c>
      <c r="X42" s="50">
        <v>2</v>
      </c>
      <c r="Y42" s="102" t="s">
        <v>59</v>
      </c>
    </row>
    <row r="43" spans="1:25" x14ac:dyDescent="0.35">
      <c r="A43" s="67">
        <v>0.55506342865173885</v>
      </c>
      <c r="B43" s="52" t="s">
        <v>497</v>
      </c>
      <c r="C43" s="52">
        <v>2.6328767123287671</v>
      </c>
      <c r="D43" s="50">
        <f t="shared" si="0"/>
        <v>0.42043052321207064</v>
      </c>
      <c r="E43" s="52">
        <v>3.7358167906061537</v>
      </c>
      <c r="F43" s="52">
        <v>0.84509804001425681</v>
      </c>
      <c r="G43" s="52">
        <v>2.91</v>
      </c>
      <c r="H43" s="50">
        <f t="shared" si="1"/>
        <v>0.46389298898590731</v>
      </c>
      <c r="I43" s="52">
        <v>2.103233406386928</v>
      </c>
      <c r="J43" s="52">
        <v>0.17318626841227402</v>
      </c>
      <c r="K43" s="52">
        <v>10</v>
      </c>
      <c r="L43" s="50">
        <f t="shared" si="2"/>
        <v>1</v>
      </c>
      <c r="M43" s="52">
        <v>1</v>
      </c>
      <c r="N43" s="52">
        <v>92.8</v>
      </c>
      <c r="O43" s="50">
        <f t="shared" si="3"/>
        <v>1.9675479762188621</v>
      </c>
      <c r="P43" s="52">
        <v>27.6</v>
      </c>
      <c r="Q43" s="50">
        <f t="shared" si="4"/>
        <v>1.4409090820652177</v>
      </c>
      <c r="R43" s="52">
        <v>42.012447889189502</v>
      </c>
      <c r="S43" s="50">
        <f t="shared" si="5"/>
        <v>1.6233779867937734</v>
      </c>
      <c r="T43" s="52">
        <v>3.2887955392469697</v>
      </c>
      <c r="U43" s="52">
        <v>3.9279973385794986</v>
      </c>
      <c r="V43" s="187">
        <v>19500000</v>
      </c>
      <c r="W43" s="186">
        <f t="shared" si="6"/>
        <v>7.2900346113625183</v>
      </c>
      <c r="X43" s="52">
        <v>9</v>
      </c>
      <c r="Y43" s="68" t="s">
        <v>45</v>
      </c>
    </row>
    <row r="44" spans="1:25" x14ac:dyDescent="0.35">
      <c r="A44" s="49">
        <v>0.93682629938750739</v>
      </c>
      <c r="B44" s="50" t="s">
        <v>59</v>
      </c>
      <c r="C44" s="50">
        <v>4.7123287671232879</v>
      </c>
      <c r="D44" s="50">
        <f t="shared" si="0"/>
        <v>0.67323558245107418</v>
      </c>
      <c r="E44" s="50">
        <v>2.8904489647796185</v>
      </c>
      <c r="F44" s="50">
        <v>1.1760912590556813</v>
      </c>
      <c r="G44" s="50">
        <v>3.18</v>
      </c>
      <c r="H44" s="50">
        <f t="shared" si="1"/>
        <v>0.50242711998443268</v>
      </c>
      <c r="I44" s="50">
        <v>2.4068239403146179</v>
      </c>
      <c r="J44" s="50">
        <v>0.19312459835446161</v>
      </c>
      <c r="K44" s="50">
        <v>17</v>
      </c>
      <c r="L44" s="50">
        <f t="shared" si="2"/>
        <v>1.2304489213782739</v>
      </c>
      <c r="M44" s="50">
        <v>1</v>
      </c>
      <c r="N44" s="50">
        <v>94.1</v>
      </c>
      <c r="O44" s="50">
        <f t="shared" si="3"/>
        <v>1.973589623427257</v>
      </c>
      <c r="P44" s="50">
        <v>32.200000000000003</v>
      </c>
      <c r="Q44" s="50">
        <f t="shared" si="4"/>
        <v>1.507855871695831</v>
      </c>
      <c r="R44" s="50">
        <v>43.9397801796012</v>
      </c>
      <c r="S44" s="50">
        <f t="shared" si="5"/>
        <v>1.6428578799166489</v>
      </c>
      <c r="T44" s="50">
        <v>3.5043430043452655</v>
      </c>
      <c r="U44" s="50">
        <v>3.6731863116447854</v>
      </c>
      <c r="V44" s="186">
        <v>20000000</v>
      </c>
      <c r="W44" s="186">
        <f t="shared" si="6"/>
        <v>7.3010299956639813</v>
      </c>
      <c r="X44" s="50">
        <v>9</v>
      </c>
      <c r="Y44" s="66" t="s">
        <v>489</v>
      </c>
    </row>
    <row r="45" spans="1:25" x14ac:dyDescent="0.35">
      <c r="A45" s="67">
        <v>-2</v>
      </c>
      <c r="B45" s="52" t="s">
        <v>45</v>
      </c>
      <c r="C45" s="52">
        <v>4.956164383561644</v>
      </c>
      <c r="D45" s="50">
        <f t="shared" si="0"/>
        <v>0.69514570240333906</v>
      </c>
      <c r="E45" s="52">
        <v>0</v>
      </c>
      <c r="F45" s="52">
        <v>0.6020599913279624</v>
      </c>
      <c r="G45" s="52">
        <v>2.95</v>
      </c>
      <c r="H45" s="50">
        <f t="shared" si="1"/>
        <v>0.46982201597816303</v>
      </c>
      <c r="I45" s="52">
        <v>0</v>
      </c>
      <c r="J45" s="52">
        <v>1.703333929878037E-2</v>
      </c>
      <c r="K45" s="52">
        <v>14</v>
      </c>
      <c r="L45" s="50">
        <f t="shared" si="2"/>
        <v>1.146128035678238</v>
      </c>
      <c r="M45" s="52">
        <v>0</v>
      </c>
      <c r="N45" s="52">
        <v>85</v>
      </c>
      <c r="O45" s="50">
        <f t="shared" si="3"/>
        <v>1.9294189257142926</v>
      </c>
      <c r="P45" s="52">
        <v>27.2</v>
      </c>
      <c r="Q45" s="50">
        <f t="shared" si="4"/>
        <v>1.4345689040341987</v>
      </c>
      <c r="R45" s="52">
        <v>35.608384832026097</v>
      </c>
      <c r="S45" s="50">
        <f t="shared" si="5"/>
        <v>1.5515522748692276</v>
      </c>
      <c r="T45" s="52">
        <v>3.0958500844125241</v>
      </c>
      <c r="U45" s="52">
        <v>3.5078178355445662</v>
      </c>
      <c r="V45" s="187">
        <v>20000000</v>
      </c>
      <c r="W45" s="186">
        <f t="shared" si="6"/>
        <v>7.3010299956639813</v>
      </c>
      <c r="X45" s="52">
        <v>9</v>
      </c>
      <c r="Y45" s="68" t="s">
        <v>602</v>
      </c>
    </row>
    <row r="46" spans="1:25" x14ac:dyDescent="0.35">
      <c r="A46" s="49">
        <v>-2</v>
      </c>
      <c r="B46" s="50" t="s">
        <v>45</v>
      </c>
      <c r="C46" s="50">
        <v>4.956164383561644</v>
      </c>
      <c r="D46" s="50">
        <f t="shared" si="0"/>
        <v>0.69514570240333906</v>
      </c>
      <c r="E46" s="50">
        <v>0</v>
      </c>
      <c r="F46" s="50">
        <v>0.6020599913279624</v>
      </c>
      <c r="G46" s="50">
        <v>2.95</v>
      </c>
      <c r="H46" s="50">
        <f t="shared" si="1"/>
        <v>0.46982201597816303</v>
      </c>
      <c r="I46" s="50">
        <v>0</v>
      </c>
      <c r="J46" s="50">
        <v>1.703333929878037E-2</v>
      </c>
      <c r="K46" s="50">
        <v>14</v>
      </c>
      <c r="L46" s="50">
        <f t="shared" si="2"/>
        <v>1.146128035678238</v>
      </c>
      <c r="M46" s="50">
        <v>0</v>
      </c>
      <c r="N46" s="50">
        <v>85</v>
      </c>
      <c r="O46" s="50">
        <f t="shared" si="3"/>
        <v>1.9294189257142926</v>
      </c>
      <c r="P46" s="50">
        <v>27.2</v>
      </c>
      <c r="Q46" s="50">
        <f t="shared" si="4"/>
        <v>1.4345689040341987</v>
      </c>
      <c r="R46" s="50">
        <v>35.608384832026097</v>
      </c>
      <c r="S46" s="50">
        <f t="shared" si="5"/>
        <v>1.5515522748692276</v>
      </c>
      <c r="T46" s="50">
        <v>3.0958500844125241</v>
      </c>
      <c r="U46" s="50">
        <v>3.5078178355445662</v>
      </c>
      <c r="V46" s="186">
        <v>20000000</v>
      </c>
      <c r="W46" s="186">
        <f t="shared" si="6"/>
        <v>7.3010299956639813</v>
      </c>
      <c r="X46" s="50">
        <v>9</v>
      </c>
      <c r="Y46" s="66" t="s">
        <v>602</v>
      </c>
    </row>
    <row r="47" spans="1:25" x14ac:dyDescent="0.35">
      <c r="A47" s="67">
        <v>5.5348637040989412E-2</v>
      </c>
      <c r="B47" s="52" t="s">
        <v>59</v>
      </c>
      <c r="C47" s="52">
        <v>2.5232876712328767</v>
      </c>
      <c r="D47" s="50">
        <f t="shared" si="0"/>
        <v>0.40196676574037421</v>
      </c>
      <c r="E47" s="52">
        <v>0</v>
      </c>
      <c r="F47" s="52">
        <v>1.2041199826559248</v>
      </c>
      <c r="G47" s="52">
        <v>3.29</v>
      </c>
      <c r="H47" s="50">
        <f t="shared" si="1"/>
        <v>0.51719589794997434</v>
      </c>
      <c r="I47" s="52">
        <v>0</v>
      </c>
      <c r="J47" s="52">
        <v>-8.7739243075051505E-3</v>
      </c>
      <c r="K47" s="52">
        <v>13</v>
      </c>
      <c r="L47" s="50">
        <f t="shared" si="2"/>
        <v>1.1139433523068367</v>
      </c>
      <c r="M47" s="52">
        <v>0</v>
      </c>
      <c r="N47" s="52">
        <v>85</v>
      </c>
      <c r="O47" s="50">
        <f t="shared" si="3"/>
        <v>1.9294189257142926</v>
      </c>
      <c r="P47" s="52">
        <v>31.5</v>
      </c>
      <c r="Q47" s="50">
        <f t="shared" si="4"/>
        <v>1.4983105537896004</v>
      </c>
      <c r="R47" s="52">
        <v>35.516899069648296</v>
      </c>
      <c r="S47" s="50">
        <f t="shared" si="5"/>
        <v>1.5504350411232082</v>
      </c>
      <c r="T47" s="52">
        <v>3.3833706119727633</v>
      </c>
      <c r="U47" s="52">
        <v>3.9798077985646683</v>
      </c>
      <c r="V47" s="187">
        <v>20600000</v>
      </c>
      <c r="W47" s="186">
        <f t="shared" si="6"/>
        <v>7.3138672203691533</v>
      </c>
      <c r="X47" s="52">
        <v>5</v>
      </c>
      <c r="Y47" s="68" t="s">
        <v>59</v>
      </c>
    </row>
    <row r="48" spans="1:25" x14ac:dyDescent="0.35">
      <c r="A48" s="49">
        <v>0.45222844311731442</v>
      </c>
      <c r="B48" s="50" t="s">
        <v>5</v>
      </c>
      <c r="C48" s="50">
        <v>0.88767123287671235</v>
      </c>
      <c r="D48" s="50">
        <f t="shared" si="0"/>
        <v>-5.1747854249862557E-2</v>
      </c>
      <c r="E48" s="50">
        <v>3.7916829312790057</v>
      </c>
      <c r="F48" s="50">
        <v>1</v>
      </c>
      <c r="G48" s="50">
        <v>2.72</v>
      </c>
      <c r="H48" s="50">
        <f t="shared" si="1"/>
        <v>0.43456890403419873</v>
      </c>
      <c r="I48" s="50">
        <v>3.0355631414974997</v>
      </c>
      <c r="J48" s="50">
        <v>2.1189299069938092E-2</v>
      </c>
      <c r="K48" s="50">
        <v>22</v>
      </c>
      <c r="L48" s="50">
        <f t="shared" si="2"/>
        <v>1.3424226808222062</v>
      </c>
      <c r="M48" s="50">
        <v>1</v>
      </c>
      <c r="N48" s="50">
        <v>70</v>
      </c>
      <c r="O48" s="50">
        <f t="shared" si="3"/>
        <v>1.8450980400142569</v>
      </c>
      <c r="P48" s="50">
        <v>34.799999999999997</v>
      </c>
      <c r="Q48" s="50">
        <f t="shared" si="4"/>
        <v>1.541579243946581</v>
      </c>
      <c r="R48" s="50">
        <v>43.471204603938098</v>
      </c>
      <c r="S48" s="50">
        <f t="shared" si="5"/>
        <v>1.6382016748260968</v>
      </c>
      <c r="T48" s="50">
        <v>3.3787349600790799</v>
      </c>
      <c r="U48" s="50">
        <v>3.7392221923384441</v>
      </c>
      <c r="V48" s="186">
        <v>22000000</v>
      </c>
      <c r="W48" s="186">
        <f t="shared" si="6"/>
        <v>7.3424226808222066</v>
      </c>
      <c r="X48" s="50">
        <v>5</v>
      </c>
      <c r="Y48" s="66" t="s">
        <v>45</v>
      </c>
    </row>
    <row r="49" spans="1:25" x14ac:dyDescent="0.35">
      <c r="A49" s="67">
        <v>0.55017516002644007</v>
      </c>
      <c r="B49" s="52" t="s">
        <v>489</v>
      </c>
      <c r="C49" s="52">
        <v>4.5287671232876709</v>
      </c>
      <c r="D49" s="50">
        <f t="shared" si="0"/>
        <v>0.65597998911497279</v>
      </c>
      <c r="E49" s="52">
        <v>0</v>
      </c>
      <c r="F49" s="52">
        <v>0</v>
      </c>
      <c r="G49" s="52">
        <v>0</v>
      </c>
      <c r="H49" s="50">
        <v>0</v>
      </c>
      <c r="I49" s="52">
        <v>0</v>
      </c>
      <c r="J49" s="52">
        <v>-8.092190762392612E-2</v>
      </c>
      <c r="K49" s="52">
        <v>4</v>
      </c>
      <c r="L49" s="50">
        <f t="shared" si="2"/>
        <v>0.6020599913279624</v>
      </c>
      <c r="M49" s="52">
        <v>0</v>
      </c>
      <c r="N49" s="52">
        <v>70</v>
      </c>
      <c r="O49" s="50">
        <f t="shared" si="3"/>
        <v>1.8450980400142569</v>
      </c>
      <c r="P49" s="52">
        <v>27.61</v>
      </c>
      <c r="Q49" s="50">
        <f t="shared" si="4"/>
        <v>1.4410664066392631</v>
      </c>
      <c r="R49" s="52">
        <v>49.329709120205997</v>
      </c>
      <c r="S49" s="50">
        <f t="shared" si="5"/>
        <v>1.6931085545892062</v>
      </c>
      <c r="T49" s="52">
        <v>3.1532162502154288</v>
      </c>
      <c r="U49" s="52">
        <v>3.5175748361336181</v>
      </c>
      <c r="V49" s="187">
        <v>23000000</v>
      </c>
      <c r="W49" s="186">
        <f t="shared" si="6"/>
        <v>7.3617278360175931</v>
      </c>
      <c r="X49" s="52">
        <v>2</v>
      </c>
      <c r="Y49" s="68" t="s">
        <v>489</v>
      </c>
    </row>
    <row r="50" spans="1:25" x14ac:dyDescent="0.35">
      <c r="A50" s="49">
        <v>1.3542755076172064</v>
      </c>
      <c r="B50" s="50" t="s">
        <v>59</v>
      </c>
      <c r="C50" s="50">
        <v>4.2986301369863016</v>
      </c>
      <c r="D50" s="50">
        <f t="shared" si="0"/>
        <v>0.63333007913046202</v>
      </c>
      <c r="E50" s="50">
        <v>0</v>
      </c>
      <c r="F50" s="50">
        <v>2.1367205671564067</v>
      </c>
      <c r="G50" s="50">
        <v>3.29</v>
      </c>
      <c r="H50" s="50">
        <f t="shared" si="1"/>
        <v>0.51719589794997434</v>
      </c>
      <c r="I50" s="50">
        <v>0</v>
      </c>
      <c r="J50" s="50">
        <v>-6.0480747381381476E-2</v>
      </c>
      <c r="K50" s="50">
        <v>15</v>
      </c>
      <c r="L50" s="50">
        <f t="shared" si="2"/>
        <v>1.1760912590556813</v>
      </c>
      <c r="M50" s="50">
        <v>0</v>
      </c>
      <c r="N50" s="50">
        <v>85</v>
      </c>
      <c r="O50" s="50">
        <f t="shared" si="3"/>
        <v>1.9294189257142926</v>
      </c>
      <c r="P50" s="50">
        <v>32.9</v>
      </c>
      <c r="Q50" s="50">
        <f t="shared" si="4"/>
        <v>1.5171958979499742</v>
      </c>
      <c r="R50" s="50">
        <v>35.433808146393098</v>
      </c>
      <c r="S50" s="50">
        <f t="shared" si="5"/>
        <v>1.5494178293890581</v>
      </c>
      <c r="T50" s="50">
        <v>3.3833706119727633</v>
      </c>
      <c r="U50" s="50">
        <v>3.9798077985646683</v>
      </c>
      <c r="V50" s="186">
        <v>23000000</v>
      </c>
      <c r="W50" s="186">
        <f t="shared" si="6"/>
        <v>7.3617278360175931</v>
      </c>
      <c r="X50" s="50">
        <v>5</v>
      </c>
      <c r="Y50" s="66" t="s">
        <v>59</v>
      </c>
    </row>
    <row r="51" spans="1:25" x14ac:dyDescent="0.35">
      <c r="A51" s="67">
        <v>1.0615180379192151</v>
      </c>
      <c r="B51" s="52" t="s">
        <v>59</v>
      </c>
      <c r="C51" s="52">
        <v>3.8767123287671232</v>
      </c>
      <c r="D51" s="50">
        <f t="shared" si="0"/>
        <v>0.58846357540383432</v>
      </c>
      <c r="E51" s="52">
        <v>0</v>
      </c>
      <c r="F51" s="52">
        <v>1.0413926851582251</v>
      </c>
      <c r="G51" s="52">
        <v>3.29</v>
      </c>
      <c r="H51" s="50">
        <f t="shared" si="1"/>
        <v>0.51719589794997434</v>
      </c>
      <c r="I51" s="52">
        <v>0</v>
      </c>
      <c r="J51" s="52">
        <v>0.16731733474817609</v>
      </c>
      <c r="K51" s="52">
        <v>14</v>
      </c>
      <c r="L51" s="50">
        <f t="shared" si="2"/>
        <v>1.146128035678238</v>
      </c>
      <c r="M51" s="52">
        <v>0</v>
      </c>
      <c r="N51" s="52">
        <v>85</v>
      </c>
      <c r="O51" s="50">
        <f t="shared" si="3"/>
        <v>1.9294189257142926</v>
      </c>
      <c r="P51" s="52">
        <v>31.5</v>
      </c>
      <c r="Q51" s="50">
        <f t="shared" si="4"/>
        <v>1.4983105537896004</v>
      </c>
      <c r="R51" s="52">
        <v>37.589394702761602</v>
      </c>
      <c r="S51" s="50">
        <f t="shared" si="5"/>
        <v>1.575065332381355</v>
      </c>
      <c r="T51" s="52">
        <v>3.2910873360265542</v>
      </c>
      <c r="U51" s="52">
        <v>3.8371101975492712</v>
      </c>
      <c r="V51" s="187">
        <v>23000000</v>
      </c>
      <c r="W51" s="186">
        <f t="shared" si="6"/>
        <v>7.3617278360175931</v>
      </c>
      <c r="X51" s="52">
        <v>3</v>
      </c>
      <c r="Y51" s="68" t="s">
        <v>59</v>
      </c>
    </row>
    <row r="52" spans="1:25" x14ac:dyDescent="0.35">
      <c r="A52" s="49">
        <v>0.52589988515043506</v>
      </c>
      <c r="B52" s="50" t="s">
        <v>5</v>
      </c>
      <c r="C52" s="50">
        <v>2.0986301369863014</v>
      </c>
      <c r="D52" s="50">
        <f t="shared" si="0"/>
        <v>0.32193590517612924</v>
      </c>
      <c r="E52" s="50">
        <v>2.2426159575692655</v>
      </c>
      <c r="F52" s="50">
        <v>0.95424250943932487</v>
      </c>
      <c r="G52" s="50">
        <v>2.9</v>
      </c>
      <c r="H52" s="50">
        <f t="shared" si="1"/>
        <v>0.46239799789895608</v>
      </c>
      <c r="I52" s="50">
        <v>2.4705574852172743</v>
      </c>
      <c r="J52" s="50">
        <v>0.15228834438305647</v>
      </c>
      <c r="K52" s="50">
        <v>18</v>
      </c>
      <c r="L52" s="50">
        <f t="shared" si="2"/>
        <v>1.255272505103306</v>
      </c>
      <c r="M52" s="50">
        <v>1</v>
      </c>
      <c r="N52" s="50">
        <v>70</v>
      </c>
      <c r="O52" s="50">
        <f t="shared" si="3"/>
        <v>1.8450980400142569</v>
      </c>
      <c r="P52" s="50">
        <v>36.299999999999997</v>
      </c>
      <c r="Q52" s="50">
        <f t="shared" si="4"/>
        <v>1.5599066250361124</v>
      </c>
      <c r="R52" s="50">
        <v>44.332035658580502</v>
      </c>
      <c r="S52" s="50">
        <f t="shared" si="5"/>
        <v>1.6467176738887899</v>
      </c>
      <c r="T52" s="50">
        <v>3.2103561131344809</v>
      </c>
      <c r="U52" s="50">
        <v>3.6619768667491281</v>
      </c>
      <c r="V52" s="186">
        <v>23833625</v>
      </c>
      <c r="W52" s="186">
        <f t="shared" si="6"/>
        <v>7.3771901018415083</v>
      </c>
      <c r="X52" s="50">
        <v>2</v>
      </c>
      <c r="Y52" s="66" t="s">
        <v>6</v>
      </c>
    </row>
    <row r="53" spans="1:25" x14ac:dyDescent="0.35">
      <c r="A53" s="67">
        <v>0.97003677662255683</v>
      </c>
      <c r="B53" s="52" t="s">
        <v>2</v>
      </c>
      <c r="C53" s="52">
        <v>2.6794520547945204</v>
      </c>
      <c r="D53" s="50">
        <f t="shared" si="0"/>
        <v>0.42804599033112672</v>
      </c>
      <c r="E53" s="52">
        <v>2.9629325585580042</v>
      </c>
      <c r="F53" s="52">
        <v>0.47712125471966244</v>
      </c>
      <c r="G53" s="52">
        <v>2.62</v>
      </c>
      <c r="H53" s="50">
        <f t="shared" si="1"/>
        <v>0.41830129131974547</v>
      </c>
      <c r="I53" s="52">
        <v>2.9323046139517812</v>
      </c>
      <c r="J53" s="52">
        <v>0.17897694729316943</v>
      </c>
      <c r="K53" s="52">
        <v>12</v>
      </c>
      <c r="L53" s="50">
        <f t="shared" si="2"/>
        <v>1.0791812460476249</v>
      </c>
      <c r="M53" s="52">
        <v>1</v>
      </c>
      <c r="N53" s="52">
        <v>70</v>
      </c>
      <c r="O53" s="50">
        <f t="shared" si="3"/>
        <v>1.8450980400142569</v>
      </c>
      <c r="P53" s="52">
        <v>35.200000000000003</v>
      </c>
      <c r="Q53" s="50">
        <f t="shared" si="4"/>
        <v>1.546542663478131</v>
      </c>
      <c r="R53" s="52">
        <v>48.057282584935102</v>
      </c>
      <c r="S53" s="50">
        <f t="shared" si="5"/>
        <v>1.6817592098358938</v>
      </c>
      <c r="T53" s="52">
        <v>3.2699236952309461</v>
      </c>
      <c r="U53" s="52">
        <v>3.6984415808994222</v>
      </c>
      <c r="V53" s="187">
        <v>24000000</v>
      </c>
      <c r="W53" s="186">
        <f t="shared" si="6"/>
        <v>7.3802112417116064</v>
      </c>
      <c r="X53" s="52">
        <v>9</v>
      </c>
      <c r="Y53" s="68" t="s">
        <v>577</v>
      </c>
    </row>
    <row r="54" spans="1:25" x14ac:dyDescent="0.35">
      <c r="A54" s="49">
        <v>-2</v>
      </c>
      <c r="B54" s="50" t="s">
        <v>1</v>
      </c>
      <c r="C54" s="50">
        <v>4.8904109589041092</v>
      </c>
      <c r="D54" s="50">
        <f t="shared" si="0"/>
        <v>0.6893453559917373</v>
      </c>
      <c r="E54" s="50">
        <v>0</v>
      </c>
      <c r="F54" s="50">
        <v>0.3010299956639812</v>
      </c>
      <c r="G54" s="50">
        <v>3.42</v>
      </c>
      <c r="H54" s="50">
        <f t="shared" si="1"/>
        <v>0.53402610605613499</v>
      </c>
      <c r="I54" s="50">
        <v>0</v>
      </c>
      <c r="J54" s="50">
        <v>0.24551266781414982</v>
      </c>
      <c r="K54" s="50">
        <v>25</v>
      </c>
      <c r="L54" s="50">
        <f t="shared" si="2"/>
        <v>1.3979400086720377</v>
      </c>
      <c r="M54" s="50">
        <v>0</v>
      </c>
      <c r="N54" s="50">
        <v>88.8</v>
      </c>
      <c r="O54" s="50">
        <f t="shared" si="3"/>
        <v>1.9484129657786009</v>
      </c>
      <c r="P54" s="50">
        <v>41.9</v>
      </c>
      <c r="Q54" s="50">
        <f t="shared" si="4"/>
        <v>1.6222140229662954</v>
      </c>
      <c r="R54" s="50">
        <v>44.943689399743</v>
      </c>
      <c r="S54" s="50">
        <f t="shared" si="5"/>
        <v>1.6526687205126336</v>
      </c>
      <c r="T54" s="50">
        <v>3.5405797165044541</v>
      </c>
      <c r="U54" s="50">
        <v>3.8947589943718919</v>
      </c>
      <c r="V54" s="186">
        <v>24300000</v>
      </c>
      <c r="W54" s="186">
        <f t="shared" si="6"/>
        <v>7.3856062735983121</v>
      </c>
      <c r="X54" s="50">
        <v>3</v>
      </c>
      <c r="Y54" s="66" t="s">
        <v>577</v>
      </c>
    </row>
    <row r="55" spans="1:25" x14ac:dyDescent="0.35">
      <c r="A55" s="67">
        <v>0.53683585802401912</v>
      </c>
      <c r="B55" s="52" t="s">
        <v>1</v>
      </c>
      <c r="C55" s="52">
        <v>2.032876712328767</v>
      </c>
      <c r="D55" s="50">
        <f t="shared" si="0"/>
        <v>0.30811104082255236</v>
      </c>
      <c r="E55" s="52">
        <v>0</v>
      </c>
      <c r="F55" s="52">
        <v>0.3010299956639812</v>
      </c>
      <c r="G55" s="52">
        <v>3.42</v>
      </c>
      <c r="H55" s="50">
        <f t="shared" si="1"/>
        <v>0.53402610605613499</v>
      </c>
      <c r="I55" s="52">
        <v>0</v>
      </c>
      <c r="J55" s="52">
        <v>7.1882007306125359E-2</v>
      </c>
      <c r="K55" s="52">
        <v>18</v>
      </c>
      <c r="L55" s="50">
        <f t="shared" si="2"/>
        <v>1.255272505103306</v>
      </c>
      <c r="M55" s="52">
        <v>0</v>
      </c>
      <c r="N55" s="52">
        <v>70</v>
      </c>
      <c r="O55" s="50">
        <f t="shared" si="3"/>
        <v>1.8450980400142569</v>
      </c>
      <c r="P55" s="52">
        <v>41.7</v>
      </c>
      <c r="Q55" s="50">
        <f t="shared" si="4"/>
        <v>1.6201360549737576</v>
      </c>
      <c r="R55" s="52">
        <v>47.869460173510603</v>
      </c>
      <c r="S55" s="50">
        <f t="shared" si="5"/>
        <v>1.6800585299472204</v>
      </c>
      <c r="T55" s="52">
        <v>3.5405797165044541</v>
      </c>
      <c r="U55" s="52">
        <v>3.8947589943718919</v>
      </c>
      <c r="V55" s="187">
        <v>25000000</v>
      </c>
      <c r="W55" s="186">
        <f t="shared" si="6"/>
        <v>7.3979400086720375</v>
      </c>
      <c r="X55" s="52">
        <v>3</v>
      </c>
      <c r="Y55" s="68" t="s">
        <v>577</v>
      </c>
    </row>
    <row r="56" spans="1:25" x14ac:dyDescent="0.35">
      <c r="A56" s="49">
        <v>0.44715803134221921</v>
      </c>
      <c r="B56" s="50" t="s">
        <v>163</v>
      </c>
      <c r="C56" s="50">
        <v>7.0547945205479454</v>
      </c>
      <c r="D56" s="50">
        <f t="shared" si="0"/>
        <v>0.84848436892073509</v>
      </c>
      <c r="E56" s="50">
        <v>2.5362300726332561</v>
      </c>
      <c r="F56" s="50">
        <v>1.2041199826559248</v>
      </c>
      <c r="G56" s="50">
        <v>2.3199999999999998</v>
      </c>
      <c r="H56" s="50">
        <f t="shared" si="1"/>
        <v>0.36548798489089962</v>
      </c>
      <c r="I56" s="50">
        <v>2.756001823801419</v>
      </c>
      <c r="J56" s="50">
        <v>1.703333929878037E-2</v>
      </c>
      <c r="K56" s="50">
        <v>14</v>
      </c>
      <c r="L56" s="50">
        <f t="shared" si="2"/>
        <v>1.146128035678238</v>
      </c>
      <c r="M56" s="50">
        <v>1</v>
      </c>
      <c r="N56" s="50">
        <v>85</v>
      </c>
      <c r="O56" s="50">
        <f t="shared" si="3"/>
        <v>1.9294189257142926</v>
      </c>
      <c r="P56" s="50">
        <v>43.5</v>
      </c>
      <c r="Q56" s="50">
        <f t="shared" si="4"/>
        <v>1.6384892569546374</v>
      </c>
      <c r="R56" s="50">
        <v>52.924485315438503</v>
      </c>
      <c r="S56" s="50">
        <f t="shared" si="5"/>
        <v>1.7236566432478624</v>
      </c>
      <c r="T56" s="50">
        <v>3.25553976325445</v>
      </c>
      <c r="U56" s="50">
        <v>3.9251377454872847</v>
      </c>
      <c r="V56" s="186">
        <v>25000000</v>
      </c>
      <c r="W56" s="186">
        <f t="shared" si="6"/>
        <v>7.3979400086720375</v>
      </c>
      <c r="X56" s="50">
        <v>4</v>
      </c>
      <c r="Y56" s="66" t="s">
        <v>577</v>
      </c>
    </row>
    <row r="57" spans="1:25" x14ac:dyDescent="0.35">
      <c r="A57" s="67">
        <v>-2</v>
      </c>
      <c r="B57" s="52" t="s">
        <v>45</v>
      </c>
      <c r="C57" s="52">
        <v>1.1123287671232878</v>
      </c>
      <c r="D57" s="50">
        <f t="shared" si="0"/>
        <v>4.6233169120719446E-2</v>
      </c>
      <c r="E57" s="52">
        <v>0</v>
      </c>
      <c r="F57" s="52">
        <v>0</v>
      </c>
      <c r="G57" s="52">
        <v>2.95</v>
      </c>
      <c r="H57" s="50">
        <f t="shared" si="1"/>
        <v>0.46982201597816303</v>
      </c>
      <c r="I57" s="52">
        <v>0</v>
      </c>
      <c r="J57" s="52">
        <v>-8.6186147616283279E-2</v>
      </c>
      <c r="K57" s="52">
        <v>34</v>
      </c>
      <c r="L57" s="50">
        <f t="shared" si="2"/>
        <v>1.5314789170422551</v>
      </c>
      <c r="M57" s="52">
        <v>0</v>
      </c>
      <c r="N57" s="52">
        <v>85</v>
      </c>
      <c r="O57" s="50">
        <f t="shared" si="3"/>
        <v>1.9294189257142926</v>
      </c>
      <c r="P57" s="52">
        <v>28.2</v>
      </c>
      <c r="Q57" s="50">
        <f t="shared" si="4"/>
        <v>1.4502491083193612</v>
      </c>
      <c r="R57" s="52">
        <v>34.298950279384798</v>
      </c>
      <c r="S57" s="50">
        <f t="shared" si="5"/>
        <v>1.5352808286478177</v>
      </c>
      <c r="T57" s="52">
        <v>3.1527645837352773</v>
      </c>
      <c r="U57" s="52">
        <v>3.5411223705253856</v>
      </c>
      <c r="V57" s="187">
        <v>25000000</v>
      </c>
      <c r="W57" s="186">
        <f t="shared" si="6"/>
        <v>7.3979400086720375</v>
      </c>
      <c r="X57" s="52">
        <v>2</v>
      </c>
      <c r="Y57" s="68" t="s">
        <v>602</v>
      </c>
    </row>
    <row r="58" spans="1:25" x14ac:dyDescent="0.35">
      <c r="A58" s="49">
        <v>0.72966311961767405</v>
      </c>
      <c r="B58" s="50" t="s">
        <v>59</v>
      </c>
      <c r="C58" s="50">
        <v>3.1835616438356165</v>
      </c>
      <c r="D58" s="50">
        <f t="shared" si="0"/>
        <v>0.50291326359783728</v>
      </c>
      <c r="E58" s="50">
        <v>3.7707754512906644</v>
      </c>
      <c r="F58" s="50">
        <v>1.3424226808222062</v>
      </c>
      <c r="G58" s="50">
        <v>2.3199999999999998</v>
      </c>
      <c r="H58" s="50">
        <f t="shared" si="1"/>
        <v>0.36548798489089962</v>
      </c>
      <c r="I58" s="50">
        <v>2.1238516409670858</v>
      </c>
      <c r="J58" s="50">
        <v>0.11058971029924898</v>
      </c>
      <c r="K58" s="50">
        <v>19</v>
      </c>
      <c r="L58" s="50">
        <f t="shared" si="2"/>
        <v>1.2787536009528289</v>
      </c>
      <c r="M58" s="50">
        <v>1</v>
      </c>
      <c r="N58" s="50">
        <v>85</v>
      </c>
      <c r="O58" s="50">
        <f t="shared" si="3"/>
        <v>1.9294189257142926</v>
      </c>
      <c r="P58" s="50">
        <v>31.3</v>
      </c>
      <c r="Q58" s="50">
        <f t="shared" si="4"/>
        <v>1.4955443375464486</v>
      </c>
      <c r="R58" s="50">
        <v>38.7850112673514</v>
      </c>
      <c r="S58" s="50">
        <f t="shared" si="5"/>
        <v>1.5886639219461918</v>
      </c>
      <c r="T58" s="50">
        <v>3.0962405795987471</v>
      </c>
      <c r="U58" s="50">
        <v>3.4010931514437841</v>
      </c>
      <c r="V58" s="186">
        <v>26000000</v>
      </c>
      <c r="W58" s="186">
        <f t="shared" si="6"/>
        <v>7.4149733479708182</v>
      </c>
      <c r="X58" s="50">
        <v>4</v>
      </c>
      <c r="Y58" s="66" t="s">
        <v>45</v>
      </c>
    </row>
    <row r="59" spans="1:25" x14ac:dyDescent="0.35">
      <c r="A59" s="67">
        <v>0.63424467469936363</v>
      </c>
      <c r="B59" s="52" t="s">
        <v>45</v>
      </c>
      <c r="C59" s="52">
        <v>1.5534246575342465</v>
      </c>
      <c r="D59" s="50">
        <f t="shared" si="0"/>
        <v>0.19129019443643186</v>
      </c>
      <c r="E59" s="52">
        <v>0</v>
      </c>
      <c r="F59" s="52">
        <v>0.77815125038364363</v>
      </c>
      <c r="G59" s="52">
        <v>2.95</v>
      </c>
      <c r="H59" s="50">
        <f t="shared" si="1"/>
        <v>0.46982201597816303</v>
      </c>
      <c r="I59" s="52">
        <v>0</v>
      </c>
      <c r="J59" s="52">
        <v>0.14301480025409513</v>
      </c>
      <c r="K59" s="52">
        <v>9</v>
      </c>
      <c r="L59" s="50">
        <f t="shared" si="2"/>
        <v>0.95424250943932487</v>
      </c>
      <c r="M59" s="52">
        <v>0</v>
      </c>
      <c r="N59" s="52">
        <v>85</v>
      </c>
      <c r="O59" s="50">
        <f t="shared" si="3"/>
        <v>1.9294189257142926</v>
      </c>
      <c r="P59" s="52">
        <v>26.2</v>
      </c>
      <c r="Q59" s="50">
        <f t="shared" si="4"/>
        <v>1.4183012913197455</v>
      </c>
      <c r="R59" s="52">
        <v>37.8446121410093</v>
      </c>
      <c r="S59" s="50">
        <f t="shared" si="5"/>
        <v>1.5780040586317157</v>
      </c>
      <c r="T59" s="52">
        <v>3.3647319918335836</v>
      </c>
      <c r="U59" s="52">
        <v>3.568659604598353</v>
      </c>
      <c r="V59" s="187">
        <v>26000000</v>
      </c>
      <c r="W59" s="186">
        <f t="shared" si="6"/>
        <v>7.4149733479708182</v>
      </c>
      <c r="X59" s="52">
        <v>4</v>
      </c>
      <c r="Y59" s="68" t="s">
        <v>602</v>
      </c>
    </row>
    <row r="60" spans="1:25" x14ac:dyDescent="0.35">
      <c r="A60" s="49">
        <v>0.1337635315040327</v>
      </c>
      <c r="B60" s="50" t="s">
        <v>6</v>
      </c>
      <c r="C60" s="50">
        <v>3.0301369863013701</v>
      </c>
      <c r="D60" s="50">
        <f t="shared" si="0"/>
        <v>0.48146226251220475</v>
      </c>
      <c r="E60" s="50">
        <v>2.5075455505094206</v>
      </c>
      <c r="F60" s="50">
        <v>1.7993405494535817</v>
      </c>
      <c r="G60" s="50">
        <v>2.91</v>
      </c>
      <c r="H60" s="50">
        <f t="shared" si="1"/>
        <v>0.46389298898590731</v>
      </c>
      <c r="I60" s="50">
        <v>2.6517624473801109</v>
      </c>
      <c r="J60" s="50">
        <v>-0.13667713987954411</v>
      </c>
      <c r="K60" s="50">
        <v>19</v>
      </c>
      <c r="L60" s="50">
        <f t="shared" si="2"/>
        <v>1.2787536009528289</v>
      </c>
      <c r="M60" s="50">
        <v>1</v>
      </c>
      <c r="N60" s="50">
        <v>70</v>
      </c>
      <c r="O60" s="50">
        <f t="shared" si="3"/>
        <v>1.8450980400142569</v>
      </c>
      <c r="P60" s="50">
        <v>43.9</v>
      </c>
      <c r="Q60" s="50">
        <f t="shared" si="4"/>
        <v>1.6424645202421213</v>
      </c>
      <c r="R60" s="50">
        <v>50.068420233717902</v>
      </c>
      <c r="S60" s="50">
        <f t="shared" si="5"/>
        <v>1.6995638886906486</v>
      </c>
      <c r="T60" s="50">
        <v>3.2327651641054547</v>
      </c>
      <c r="U60" s="50">
        <v>3.9527244147731087</v>
      </c>
      <c r="V60" s="186">
        <v>26720000</v>
      </c>
      <c r="W60" s="186">
        <f t="shared" si="6"/>
        <v>7.4268364538035083</v>
      </c>
      <c r="X60" s="50">
        <v>1</v>
      </c>
      <c r="Y60" s="66" t="s">
        <v>59</v>
      </c>
    </row>
    <row r="61" spans="1:25" x14ac:dyDescent="0.35">
      <c r="A61" s="67">
        <v>0.74472749489669388</v>
      </c>
      <c r="B61" s="52" t="s">
        <v>2</v>
      </c>
      <c r="C61" s="52">
        <v>2.0575342465753423</v>
      </c>
      <c r="D61" s="50">
        <f t="shared" si="0"/>
        <v>0.31334707254769367</v>
      </c>
      <c r="E61" s="52">
        <v>2.2426159575692655</v>
      </c>
      <c r="F61" s="52">
        <v>0.77815125038364363</v>
      </c>
      <c r="G61" s="52">
        <v>2.84</v>
      </c>
      <c r="H61" s="50">
        <f t="shared" si="1"/>
        <v>0.45331834004703764</v>
      </c>
      <c r="I61" s="52">
        <v>2.0400878434698808</v>
      </c>
      <c r="J61" s="52">
        <v>2.9383777685209667E-2</v>
      </c>
      <c r="K61" s="52">
        <v>1</v>
      </c>
      <c r="L61" s="50">
        <f t="shared" si="2"/>
        <v>0</v>
      </c>
      <c r="M61" s="52">
        <v>1</v>
      </c>
      <c r="N61" s="52">
        <v>89.1</v>
      </c>
      <c r="O61" s="50">
        <f t="shared" si="3"/>
        <v>1.9498777040368747</v>
      </c>
      <c r="P61" s="52">
        <v>34.5</v>
      </c>
      <c r="Q61" s="50">
        <f t="shared" si="4"/>
        <v>1.5378190950732742</v>
      </c>
      <c r="R61" s="52">
        <v>44.696333437793797</v>
      </c>
      <c r="S61" s="50">
        <f t="shared" si="5"/>
        <v>1.6502718982315996</v>
      </c>
      <c r="T61" s="52">
        <v>3.8659974508347341</v>
      </c>
      <c r="U61" s="52">
        <v>3.8302925433451809</v>
      </c>
      <c r="V61" s="187">
        <v>27000000</v>
      </c>
      <c r="W61" s="186">
        <f t="shared" si="6"/>
        <v>7.4313637641589869</v>
      </c>
      <c r="X61" s="52">
        <v>2</v>
      </c>
      <c r="Y61" s="68" t="s">
        <v>5</v>
      </c>
    </row>
    <row r="62" spans="1:25" x14ac:dyDescent="0.35">
      <c r="A62" s="49">
        <v>0.83346575027523784</v>
      </c>
      <c r="B62" s="50" t="s">
        <v>6</v>
      </c>
      <c r="C62" s="50">
        <v>3.2301369863013698</v>
      </c>
      <c r="D62" s="50">
        <f t="shared" si="0"/>
        <v>0.50922094063861445</v>
      </c>
      <c r="E62" s="50">
        <v>3.7936074118204202</v>
      </c>
      <c r="F62" s="50">
        <v>1.4771212547196624</v>
      </c>
      <c r="G62" s="50">
        <v>2.92</v>
      </c>
      <c r="H62" s="50">
        <f t="shared" si="1"/>
        <v>0.46538285144841829</v>
      </c>
      <c r="I62" s="50">
        <v>2.7370600539441581</v>
      </c>
      <c r="J62" s="50">
        <v>0.11727129565576427</v>
      </c>
      <c r="K62" s="50">
        <v>47</v>
      </c>
      <c r="L62" s="50">
        <f t="shared" si="2"/>
        <v>1.6720978579357175</v>
      </c>
      <c r="M62" s="50">
        <v>1</v>
      </c>
      <c r="N62" s="50">
        <v>90.7</v>
      </c>
      <c r="O62" s="50">
        <f t="shared" si="3"/>
        <v>1.9576072870600953</v>
      </c>
      <c r="P62" s="50">
        <v>44.8</v>
      </c>
      <c r="Q62" s="50">
        <f t="shared" si="4"/>
        <v>1.651278013998144</v>
      </c>
      <c r="R62" s="50">
        <v>53.736888616883299</v>
      </c>
      <c r="S62" s="50">
        <f t="shared" si="5"/>
        <v>1.7302725170350541</v>
      </c>
      <c r="T62" s="50">
        <v>3.3885364494891754</v>
      </c>
      <c r="U62" s="50">
        <v>3.818148300254375</v>
      </c>
      <c r="V62" s="186">
        <v>27422566</v>
      </c>
      <c r="W62" s="186">
        <f t="shared" si="6"/>
        <v>7.4381080904060948</v>
      </c>
      <c r="X62" s="50">
        <v>2</v>
      </c>
      <c r="Y62" s="66" t="s">
        <v>602</v>
      </c>
    </row>
    <row r="63" spans="1:25" x14ac:dyDescent="0.35">
      <c r="A63" s="67">
        <v>0.75379478743384321</v>
      </c>
      <c r="B63" s="52" t="s">
        <v>163</v>
      </c>
      <c r="C63" s="52">
        <v>5.087671232876712</v>
      </c>
      <c r="D63" s="50">
        <f t="shared" si="0"/>
        <v>0.70651903928330573</v>
      </c>
      <c r="E63" s="52">
        <v>3.7899753459779522</v>
      </c>
      <c r="F63" s="52">
        <v>2.3961993470957363</v>
      </c>
      <c r="G63" s="52">
        <v>3.18</v>
      </c>
      <c r="H63" s="50">
        <f t="shared" si="1"/>
        <v>0.50242711998443268</v>
      </c>
      <c r="I63" s="52">
        <v>2.7670321178317625</v>
      </c>
      <c r="J63" s="52">
        <v>0.24054924828259971</v>
      </c>
      <c r="K63" s="52">
        <v>23</v>
      </c>
      <c r="L63" s="50">
        <f t="shared" si="2"/>
        <v>1.3617278360175928</v>
      </c>
      <c r="M63" s="52">
        <v>1</v>
      </c>
      <c r="N63" s="52">
        <v>83.7</v>
      </c>
      <c r="O63" s="50">
        <f t="shared" si="3"/>
        <v>1.92272545799326</v>
      </c>
      <c r="P63" s="52">
        <v>44.4</v>
      </c>
      <c r="Q63" s="50">
        <f t="shared" si="4"/>
        <v>1.6473829701146199</v>
      </c>
      <c r="R63" s="52">
        <v>57.107272870025099</v>
      </c>
      <c r="S63" s="50">
        <f t="shared" si="5"/>
        <v>1.7566914211387032</v>
      </c>
      <c r="T63" s="52">
        <v>3.4625325554497</v>
      </c>
      <c r="U63" s="52">
        <v>3.6240114106526287</v>
      </c>
      <c r="V63" s="187">
        <v>28970000</v>
      </c>
      <c r="W63" s="186">
        <f t="shared" si="6"/>
        <v>7.461948495203762</v>
      </c>
      <c r="X63" s="52">
        <v>5</v>
      </c>
      <c r="Y63" s="68" t="s">
        <v>45</v>
      </c>
    </row>
    <row r="64" spans="1:25" x14ac:dyDescent="0.35">
      <c r="A64" s="49">
        <v>6.8835171269757328E-2</v>
      </c>
      <c r="B64" s="50" t="s">
        <v>2</v>
      </c>
      <c r="C64" s="50">
        <v>1.5342465753424657</v>
      </c>
      <c r="D64" s="50">
        <f t="shared" si="0"/>
        <v>0.18589516254972568</v>
      </c>
      <c r="E64" s="50">
        <v>3.8335760926148099</v>
      </c>
      <c r="F64" s="50">
        <v>0.95424250943932487</v>
      </c>
      <c r="G64" s="50">
        <v>2.85</v>
      </c>
      <c r="H64" s="50">
        <f t="shared" si="1"/>
        <v>0.45484486000851021</v>
      </c>
      <c r="I64" s="50">
        <v>2.9138138523837167</v>
      </c>
      <c r="J64" s="50">
        <v>0.11058971029924898</v>
      </c>
      <c r="K64" s="50">
        <v>22</v>
      </c>
      <c r="L64" s="50">
        <f t="shared" si="2"/>
        <v>1.3424226808222062</v>
      </c>
      <c r="M64" s="50">
        <v>1</v>
      </c>
      <c r="N64" s="50">
        <v>70</v>
      </c>
      <c r="O64" s="50">
        <f t="shared" si="3"/>
        <v>1.8450980400142569</v>
      </c>
      <c r="P64" s="50">
        <v>34.4</v>
      </c>
      <c r="Q64" s="50">
        <f t="shared" si="4"/>
        <v>1.5365584425715302</v>
      </c>
      <c r="R64" s="50">
        <v>47.264053157349203</v>
      </c>
      <c r="S64" s="50">
        <f t="shared" si="5"/>
        <v>1.6745309620782511</v>
      </c>
      <c r="T64" s="50">
        <v>3.3348710074773962</v>
      </c>
      <c r="U64" s="50">
        <v>3.5008426709709495</v>
      </c>
      <c r="V64" s="186">
        <v>29250000</v>
      </c>
      <c r="W64" s="186">
        <f t="shared" si="6"/>
        <v>7.4661258704181996</v>
      </c>
      <c r="X64" s="50">
        <v>9</v>
      </c>
      <c r="Y64" s="66" t="s">
        <v>45</v>
      </c>
    </row>
    <row r="65" spans="1:25" x14ac:dyDescent="0.35">
      <c r="A65" s="67">
        <v>-2</v>
      </c>
      <c r="B65" s="52" t="s">
        <v>45</v>
      </c>
      <c r="C65" s="52">
        <v>2.1315068493150684</v>
      </c>
      <c r="D65" s="50">
        <f t="shared" si="0"/>
        <v>0.32868673253321423</v>
      </c>
      <c r="E65" s="52">
        <v>3.7707754512906644</v>
      </c>
      <c r="F65" s="52">
        <v>1.2787536009528289</v>
      </c>
      <c r="G65" s="52">
        <v>2.3199999999999998</v>
      </c>
      <c r="H65" s="50">
        <f t="shared" si="1"/>
        <v>0.36548798489089962</v>
      </c>
      <c r="I65" s="52">
        <v>2.1238516409670858</v>
      </c>
      <c r="J65" s="52">
        <v>-0.18708664335714442</v>
      </c>
      <c r="K65" s="52">
        <v>19</v>
      </c>
      <c r="L65" s="50">
        <f t="shared" si="2"/>
        <v>1.2787536009528289</v>
      </c>
      <c r="M65" s="52">
        <v>1</v>
      </c>
      <c r="N65" s="52">
        <v>85</v>
      </c>
      <c r="O65" s="50">
        <f t="shared" si="3"/>
        <v>1.9294189257142926</v>
      </c>
      <c r="P65" s="52">
        <v>28.2</v>
      </c>
      <c r="Q65" s="50">
        <f t="shared" si="4"/>
        <v>1.4502491083193612</v>
      </c>
      <c r="R65" s="52">
        <v>34.298950279384798</v>
      </c>
      <c r="S65" s="50">
        <f t="shared" si="5"/>
        <v>1.5352808286478177</v>
      </c>
      <c r="T65" s="52">
        <v>3.22246453795844</v>
      </c>
      <c r="U65" s="52">
        <v>3.7071267407396937</v>
      </c>
      <c r="V65" s="187">
        <v>30000000</v>
      </c>
      <c r="W65" s="186">
        <f t="shared" si="6"/>
        <v>7.4771212547196626</v>
      </c>
      <c r="X65" s="52">
        <v>4</v>
      </c>
      <c r="Y65" s="68" t="s">
        <v>577</v>
      </c>
    </row>
    <row r="66" spans="1:25" x14ac:dyDescent="0.35">
      <c r="A66" s="49">
        <v>-2</v>
      </c>
      <c r="B66" s="50" t="s">
        <v>45</v>
      </c>
      <c r="C66" s="50">
        <v>5.0383561643835613</v>
      </c>
      <c r="D66" s="50">
        <f t="shared" si="0"/>
        <v>0.70228886478160268</v>
      </c>
      <c r="E66" s="50">
        <v>0</v>
      </c>
      <c r="F66" s="50">
        <v>2.2013971243204513</v>
      </c>
      <c r="G66" s="50">
        <v>2.95</v>
      </c>
      <c r="H66" s="50">
        <f t="shared" si="1"/>
        <v>0.46982201597816303</v>
      </c>
      <c r="I66" s="50">
        <v>0</v>
      </c>
      <c r="J66" s="50">
        <v>0.24551266781414982</v>
      </c>
      <c r="K66" s="50">
        <v>11</v>
      </c>
      <c r="L66" s="50">
        <f t="shared" si="2"/>
        <v>1.0413926851582251</v>
      </c>
      <c r="M66" s="50">
        <v>0</v>
      </c>
      <c r="N66" s="50">
        <v>85</v>
      </c>
      <c r="O66" s="50">
        <f t="shared" si="3"/>
        <v>1.9294189257142926</v>
      </c>
      <c r="P66" s="50">
        <v>27</v>
      </c>
      <c r="Q66" s="50">
        <f t="shared" si="4"/>
        <v>1.4313637641589874</v>
      </c>
      <c r="R66" s="50">
        <v>37.123527923893597</v>
      </c>
      <c r="S66" s="50">
        <f t="shared" si="5"/>
        <v>1.5696492413904459</v>
      </c>
      <c r="T66" s="50">
        <v>3.3647319918335836</v>
      </c>
      <c r="U66" s="50">
        <v>3.568659604598353</v>
      </c>
      <c r="V66" s="186">
        <v>30000000</v>
      </c>
      <c r="W66" s="186">
        <f t="shared" si="6"/>
        <v>7.4771212547196626</v>
      </c>
      <c r="X66" s="50">
        <v>8</v>
      </c>
      <c r="Y66" s="66" t="s">
        <v>602</v>
      </c>
    </row>
    <row r="67" spans="1:25" x14ac:dyDescent="0.35">
      <c r="A67" s="67">
        <v>-2</v>
      </c>
      <c r="B67" s="52" t="s">
        <v>2</v>
      </c>
      <c r="C67" s="52">
        <v>2.1808219178082191</v>
      </c>
      <c r="D67" s="50">
        <f t="shared" ref="D67:D130" si="7">LOG(C67)</f>
        <v>0.3386202032811943</v>
      </c>
      <c r="E67" s="52">
        <v>0</v>
      </c>
      <c r="F67" s="52">
        <v>1.3617278360175928</v>
      </c>
      <c r="G67" s="52">
        <v>3.5</v>
      </c>
      <c r="H67" s="50">
        <f t="shared" ref="H67:H130" si="8">LOG(G67)</f>
        <v>0.54406804435027567</v>
      </c>
      <c r="I67" s="52">
        <v>0</v>
      </c>
      <c r="J67" s="52">
        <v>-0.29242982390206362</v>
      </c>
      <c r="K67" s="52">
        <v>10</v>
      </c>
      <c r="L67" s="50">
        <f t="shared" ref="L67:L130" si="9">IF(K67=0,0,LOG(K67))</f>
        <v>1</v>
      </c>
      <c r="M67" s="52">
        <v>0</v>
      </c>
      <c r="N67" s="52">
        <v>88.9</v>
      </c>
      <c r="O67" s="50">
        <f t="shared" ref="O67:O130" si="10">LOG(N67)</f>
        <v>1.9489017609702137</v>
      </c>
      <c r="P67" s="52">
        <v>34.9</v>
      </c>
      <c r="Q67" s="50">
        <f t="shared" ref="Q67:Q130" si="11">LOG(P67)</f>
        <v>1.5428254269591799</v>
      </c>
      <c r="R67" s="52">
        <v>42.817370475444001</v>
      </c>
      <c r="S67" s="50">
        <f t="shared" ref="S67:S130" si="12">LOG(R67)</f>
        <v>1.6316199926391717</v>
      </c>
      <c r="T67" s="52">
        <v>3.359479897098526</v>
      </c>
      <c r="U67" s="52">
        <v>3.9336135634448146</v>
      </c>
      <c r="V67" s="187">
        <v>30220000</v>
      </c>
      <c r="W67" s="186">
        <f t="shared" ref="W67:W130" si="13">LOG(V67)</f>
        <v>7.4802944600030061</v>
      </c>
      <c r="X67" s="52">
        <v>5</v>
      </c>
      <c r="Y67" s="68" t="s">
        <v>577</v>
      </c>
    </row>
    <row r="68" spans="1:25" x14ac:dyDescent="0.35">
      <c r="A68" s="49">
        <v>0.50218365862222958</v>
      </c>
      <c r="B68" s="50" t="s">
        <v>5</v>
      </c>
      <c r="C68" s="50">
        <v>1.9150684931506849</v>
      </c>
      <c r="D68" s="50">
        <f t="shared" si="7"/>
        <v>0.28218431128920668</v>
      </c>
      <c r="E68" s="50">
        <v>2.5542346870234227</v>
      </c>
      <c r="F68" s="50">
        <v>0.90308998699194354</v>
      </c>
      <c r="G68" s="50">
        <v>3.16</v>
      </c>
      <c r="H68" s="50">
        <f t="shared" si="8"/>
        <v>0.49968708261840383</v>
      </c>
      <c r="I68" s="50">
        <v>2.9876662649262746</v>
      </c>
      <c r="J68" s="50">
        <v>7.9181246047624818E-2</v>
      </c>
      <c r="K68" s="50">
        <v>3</v>
      </c>
      <c r="L68" s="50">
        <f t="shared" si="9"/>
        <v>0.47712125471966244</v>
      </c>
      <c r="M68" s="50">
        <v>1</v>
      </c>
      <c r="N68" s="50">
        <v>70</v>
      </c>
      <c r="O68" s="50">
        <f t="shared" si="10"/>
        <v>1.8450980400142569</v>
      </c>
      <c r="P68" s="50">
        <v>35</v>
      </c>
      <c r="Q68" s="50">
        <f t="shared" si="11"/>
        <v>1.5440680443502757</v>
      </c>
      <c r="R68" s="50">
        <v>42.243452783984999</v>
      </c>
      <c r="S68" s="50">
        <f t="shared" si="12"/>
        <v>1.625759408194035</v>
      </c>
      <c r="T68" s="50">
        <v>3.3438084825075891</v>
      </c>
      <c r="U68" s="50">
        <v>3.8895205457872843</v>
      </c>
      <c r="V68" s="186">
        <v>30300000</v>
      </c>
      <c r="W68" s="186">
        <f t="shared" si="13"/>
        <v>7.4814426285023048</v>
      </c>
      <c r="X68" s="50">
        <v>6</v>
      </c>
      <c r="Y68" s="66" t="s">
        <v>59</v>
      </c>
    </row>
    <row r="69" spans="1:25" x14ac:dyDescent="0.35">
      <c r="A69" s="67">
        <v>0.84764212996104238</v>
      </c>
      <c r="B69" s="52" t="s">
        <v>163</v>
      </c>
      <c r="C69" s="52">
        <v>3.3506849315068492</v>
      </c>
      <c r="D69" s="50">
        <f t="shared" si="7"/>
        <v>0.52513359257981074</v>
      </c>
      <c r="E69" s="52">
        <v>3.7899753459779522</v>
      </c>
      <c r="F69" s="52">
        <v>0</v>
      </c>
      <c r="G69" s="52">
        <v>3.18</v>
      </c>
      <c r="H69" s="50">
        <f t="shared" si="8"/>
        <v>0.50242711998443268</v>
      </c>
      <c r="I69" s="52">
        <v>2.7670321178317625</v>
      </c>
      <c r="J69" s="52">
        <v>0.24551266781414982</v>
      </c>
      <c r="K69" s="52">
        <v>12</v>
      </c>
      <c r="L69" s="50">
        <f t="shared" si="9"/>
        <v>1.0791812460476249</v>
      </c>
      <c r="M69" s="52">
        <v>1</v>
      </c>
      <c r="N69" s="52">
        <v>85.6</v>
      </c>
      <c r="O69" s="50">
        <f t="shared" si="10"/>
        <v>1.9324737646771533</v>
      </c>
      <c r="P69" s="52">
        <v>43.3</v>
      </c>
      <c r="Q69" s="50">
        <f t="shared" si="11"/>
        <v>1.6364878963533653</v>
      </c>
      <c r="R69" s="52">
        <v>56.2907330998475</v>
      </c>
      <c r="S69" s="50">
        <f t="shared" si="12"/>
        <v>1.750436904711814</v>
      </c>
      <c r="T69" s="52">
        <v>3.754643753838935</v>
      </c>
      <c r="U69" s="52">
        <v>3.8024607474309908</v>
      </c>
      <c r="V69" s="187">
        <v>31610000</v>
      </c>
      <c r="W69" s="186">
        <f t="shared" si="13"/>
        <v>7.4998244958395794</v>
      </c>
      <c r="X69" s="52">
        <v>9</v>
      </c>
      <c r="Y69" s="68" t="s">
        <v>45</v>
      </c>
    </row>
    <row r="70" spans="1:25" x14ac:dyDescent="0.35">
      <c r="A70" s="49">
        <v>0.37473642885801178</v>
      </c>
      <c r="B70" s="50" t="s">
        <v>59</v>
      </c>
      <c r="C70" s="50">
        <v>2.8410958904109589</v>
      </c>
      <c r="D70" s="50">
        <f t="shared" si="7"/>
        <v>0.45348589193256628</v>
      </c>
      <c r="E70" s="50">
        <v>0</v>
      </c>
      <c r="F70" s="50">
        <v>1</v>
      </c>
      <c r="G70" s="50">
        <v>3.29</v>
      </c>
      <c r="H70" s="50">
        <f t="shared" si="8"/>
        <v>0.51719589794997434</v>
      </c>
      <c r="I70" s="50">
        <v>0</v>
      </c>
      <c r="J70" s="50">
        <v>0.14612803567823801</v>
      </c>
      <c r="K70" s="50">
        <v>15</v>
      </c>
      <c r="L70" s="50">
        <f t="shared" si="9"/>
        <v>1.1760912590556813</v>
      </c>
      <c r="M70" s="50">
        <v>0</v>
      </c>
      <c r="N70" s="50">
        <v>85</v>
      </c>
      <c r="O70" s="50">
        <f t="shared" si="10"/>
        <v>1.9294189257142926</v>
      </c>
      <c r="P70" s="50">
        <v>31.3</v>
      </c>
      <c r="Q70" s="50">
        <f t="shared" si="11"/>
        <v>1.4955443375464486</v>
      </c>
      <c r="R70" s="50">
        <v>38.7850112673514</v>
      </c>
      <c r="S70" s="50">
        <f t="shared" si="12"/>
        <v>1.5886639219461918</v>
      </c>
      <c r="T70" s="50">
        <v>3.5347454529897258</v>
      </c>
      <c r="U70" s="50">
        <v>3.9695495619878729</v>
      </c>
      <c r="V70" s="186">
        <v>31984000</v>
      </c>
      <c r="W70" s="186">
        <f t="shared" si="13"/>
        <v>7.5049327767740417</v>
      </c>
      <c r="X70" s="50">
        <v>5</v>
      </c>
      <c r="Y70" s="66" t="s">
        <v>59</v>
      </c>
    </row>
    <row r="71" spans="1:25" x14ac:dyDescent="0.35">
      <c r="A71" s="67">
        <v>0.70560058323503183</v>
      </c>
      <c r="B71" s="52" t="s">
        <v>59</v>
      </c>
      <c r="C71" s="52">
        <v>2.9205479452054797</v>
      </c>
      <c r="D71" s="50">
        <f t="shared" si="7"/>
        <v>0.46546434023407879</v>
      </c>
      <c r="E71" s="52">
        <v>0</v>
      </c>
      <c r="F71" s="52">
        <v>1.5314789170422551</v>
      </c>
      <c r="G71" s="52">
        <v>3.29</v>
      </c>
      <c r="H71" s="50">
        <f t="shared" si="8"/>
        <v>0.51719589794997434</v>
      </c>
      <c r="I71" s="52">
        <v>0</v>
      </c>
      <c r="J71" s="52">
        <v>0.21484384804769791</v>
      </c>
      <c r="K71" s="52">
        <v>7</v>
      </c>
      <c r="L71" s="50">
        <f t="shared" si="9"/>
        <v>0.84509804001425681</v>
      </c>
      <c r="M71" s="52">
        <v>0</v>
      </c>
      <c r="N71" s="52">
        <v>100</v>
      </c>
      <c r="O71" s="50">
        <f t="shared" si="10"/>
        <v>2</v>
      </c>
      <c r="P71" s="52">
        <v>29.5</v>
      </c>
      <c r="Q71" s="50">
        <f t="shared" si="11"/>
        <v>1.469822015978163</v>
      </c>
      <c r="R71" s="52">
        <v>38.538703610951003</v>
      </c>
      <c r="S71" s="50">
        <f t="shared" si="12"/>
        <v>1.5858971014953607</v>
      </c>
      <c r="T71" s="52">
        <v>3.5347454529897258</v>
      </c>
      <c r="U71" s="52">
        <v>3.9695495619878729</v>
      </c>
      <c r="V71" s="187">
        <v>32500000</v>
      </c>
      <c r="W71" s="186">
        <f t="shared" si="13"/>
        <v>7.5118833609788744</v>
      </c>
      <c r="X71" s="52">
        <v>4</v>
      </c>
      <c r="Y71" s="68" t="s">
        <v>59</v>
      </c>
    </row>
    <row r="72" spans="1:25" x14ac:dyDescent="0.35">
      <c r="A72" s="49">
        <v>0.7995493950848741</v>
      </c>
      <c r="B72" s="50" t="s">
        <v>59</v>
      </c>
      <c r="C72" s="50">
        <v>3.9397260273972603</v>
      </c>
      <c r="D72" s="50">
        <f t="shared" si="7"/>
        <v>0.59546602159038908</v>
      </c>
      <c r="E72" s="50">
        <v>0</v>
      </c>
      <c r="F72" s="50">
        <v>1.3802112417116059</v>
      </c>
      <c r="G72" s="50">
        <v>3.29</v>
      </c>
      <c r="H72" s="50">
        <f t="shared" si="8"/>
        <v>0.51719589794997434</v>
      </c>
      <c r="I72" s="50">
        <v>0</v>
      </c>
      <c r="J72" s="50">
        <v>0.18184358794477254</v>
      </c>
      <c r="K72" s="50">
        <v>12</v>
      </c>
      <c r="L72" s="50">
        <f t="shared" si="9"/>
        <v>1.0791812460476249</v>
      </c>
      <c r="M72" s="50">
        <v>0</v>
      </c>
      <c r="N72" s="50">
        <v>94.1</v>
      </c>
      <c r="O72" s="50">
        <f t="shared" si="10"/>
        <v>1.973589623427257</v>
      </c>
      <c r="P72" s="50">
        <v>32.200000000000003</v>
      </c>
      <c r="Q72" s="50">
        <f t="shared" si="11"/>
        <v>1.507855871695831</v>
      </c>
      <c r="R72" s="50">
        <v>43.9397801796012</v>
      </c>
      <c r="S72" s="50">
        <f t="shared" si="12"/>
        <v>1.6428578799166489</v>
      </c>
      <c r="T72" s="50">
        <v>3.4875507829385946</v>
      </c>
      <c r="U72" s="50">
        <v>4</v>
      </c>
      <c r="V72" s="186">
        <v>33000000</v>
      </c>
      <c r="W72" s="186">
        <f t="shared" si="13"/>
        <v>7.5185139398778871</v>
      </c>
      <c r="X72" s="50">
        <v>6</v>
      </c>
      <c r="Y72" s="66" t="s">
        <v>59</v>
      </c>
    </row>
    <row r="73" spans="1:25" x14ac:dyDescent="0.35">
      <c r="A73" s="67">
        <v>1.4670033807127596</v>
      </c>
      <c r="B73" s="52" t="s">
        <v>5</v>
      </c>
      <c r="C73" s="52">
        <v>11.887671232876713</v>
      </c>
      <c r="D73" s="50">
        <f t="shared" si="7"/>
        <v>1.0750967856727371</v>
      </c>
      <c r="E73" s="52">
        <v>3.7916829312790057</v>
      </c>
      <c r="F73" s="52">
        <v>1.2041199826559248</v>
      </c>
      <c r="G73" s="52">
        <v>2.72</v>
      </c>
      <c r="H73" s="50">
        <f t="shared" si="8"/>
        <v>0.43456890403419873</v>
      </c>
      <c r="I73" s="52">
        <v>3.0355631414974997</v>
      </c>
      <c r="J73" s="52">
        <v>-4.3648054024500883E-3</v>
      </c>
      <c r="K73" s="52">
        <v>33</v>
      </c>
      <c r="L73" s="50">
        <f t="shared" si="9"/>
        <v>1.5185139398778875</v>
      </c>
      <c r="M73" s="52">
        <v>1</v>
      </c>
      <c r="N73" s="52">
        <v>70</v>
      </c>
      <c r="O73" s="50">
        <f t="shared" si="10"/>
        <v>1.8450980400142569</v>
      </c>
      <c r="P73" s="52">
        <v>37.200000000000003</v>
      </c>
      <c r="Q73" s="50">
        <f t="shared" si="11"/>
        <v>1.5705429398818975</v>
      </c>
      <c r="R73" s="52">
        <v>43.419976684252802</v>
      </c>
      <c r="S73" s="50">
        <f t="shared" si="12"/>
        <v>1.6376895859101317</v>
      </c>
      <c r="T73" s="52">
        <v>3.1527645837352773</v>
      </c>
      <c r="U73" s="52">
        <v>3.5411223705253856</v>
      </c>
      <c r="V73" s="187">
        <v>33423010</v>
      </c>
      <c r="W73" s="186">
        <f t="shared" si="13"/>
        <v>7.5240455588884867</v>
      </c>
      <c r="X73" s="52">
        <v>2</v>
      </c>
      <c r="Y73" s="68" t="s">
        <v>602</v>
      </c>
    </row>
    <row r="74" spans="1:25" x14ac:dyDescent="0.35">
      <c r="A74" s="49">
        <v>1.3592653130497758</v>
      </c>
      <c r="B74" s="50" t="s">
        <v>1</v>
      </c>
      <c r="C74" s="50">
        <v>2.4465753424657533</v>
      </c>
      <c r="D74" s="50">
        <f t="shared" si="7"/>
        <v>0.38855859443207169</v>
      </c>
      <c r="E74" s="50">
        <v>3.0625406208792199</v>
      </c>
      <c r="F74" s="50">
        <v>1</v>
      </c>
      <c r="G74" s="50">
        <v>3.06</v>
      </c>
      <c r="H74" s="50">
        <f t="shared" si="8"/>
        <v>0.48572142648158001</v>
      </c>
      <c r="I74" s="50">
        <v>2.8714756364568856</v>
      </c>
      <c r="J74" s="50">
        <v>0.10720996964786837</v>
      </c>
      <c r="K74" s="50">
        <v>28</v>
      </c>
      <c r="L74" s="50">
        <f t="shared" si="9"/>
        <v>1.4471580313422192</v>
      </c>
      <c r="M74" s="50">
        <v>1</v>
      </c>
      <c r="N74" s="50">
        <v>92.6</v>
      </c>
      <c r="O74" s="50">
        <f t="shared" si="10"/>
        <v>1.9666109866819343</v>
      </c>
      <c r="P74" s="50">
        <v>39.9</v>
      </c>
      <c r="Q74" s="50">
        <f t="shared" si="11"/>
        <v>1.6009728956867482</v>
      </c>
      <c r="R74" s="50">
        <v>43.966315241865303</v>
      </c>
      <c r="S74" s="50">
        <f t="shared" si="12"/>
        <v>1.6431200695045953</v>
      </c>
      <c r="T74" s="50">
        <v>3.2699236952309461</v>
      </c>
      <c r="U74" s="50">
        <v>3.6984415808994222</v>
      </c>
      <c r="V74" s="186">
        <v>33450000</v>
      </c>
      <c r="W74" s="186">
        <f t="shared" si="13"/>
        <v>7.524396122103842</v>
      </c>
      <c r="X74" s="50">
        <v>2</v>
      </c>
      <c r="Y74" s="66" t="s">
        <v>577</v>
      </c>
    </row>
    <row r="75" spans="1:25" x14ac:dyDescent="0.35">
      <c r="A75" s="67">
        <v>0.29846777889938081</v>
      </c>
      <c r="B75" s="52" t="s">
        <v>59</v>
      </c>
      <c r="C75" s="52">
        <v>1.210958904109589</v>
      </c>
      <c r="D75" s="50">
        <f t="shared" si="7"/>
        <v>8.3129404892617151E-2</v>
      </c>
      <c r="E75" s="52">
        <v>3.7707754512906644</v>
      </c>
      <c r="F75" s="52">
        <v>1.0413926851582251</v>
      </c>
      <c r="G75" s="52">
        <v>2.3199999999999998</v>
      </c>
      <c r="H75" s="50">
        <f t="shared" si="8"/>
        <v>0.36548798489089962</v>
      </c>
      <c r="I75" s="52">
        <v>2.1238516409670858</v>
      </c>
      <c r="J75" s="52">
        <v>4.1392685158225077E-2</v>
      </c>
      <c r="K75" s="52">
        <v>17</v>
      </c>
      <c r="L75" s="50">
        <f t="shared" si="9"/>
        <v>1.2304489213782739</v>
      </c>
      <c r="M75" s="52">
        <v>1</v>
      </c>
      <c r="N75" s="52">
        <v>85</v>
      </c>
      <c r="O75" s="50">
        <f t="shared" si="10"/>
        <v>1.9294189257142926</v>
      </c>
      <c r="P75" s="52">
        <v>32.299999999999997</v>
      </c>
      <c r="Q75" s="50">
        <f t="shared" si="11"/>
        <v>1.5092025223311027</v>
      </c>
      <c r="R75" s="52">
        <v>40.040400531970803</v>
      </c>
      <c r="S75" s="50">
        <f t="shared" si="12"/>
        <v>1.6024984131617945</v>
      </c>
      <c r="T75" s="52">
        <v>3.0958500844125241</v>
      </c>
      <c r="U75" s="52">
        <v>3.5078178355445662</v>
      </c>
      <c r="V75" s="187">
        <v>34000000</v>
      </c>
      <c r="W75" s="186">
        <f t="shared" si="13"/>
        <v>7.5314789170422554</v>
      </c>
      <c r="X75" s="52">
        <v>4</v>
      </c>
      <c r="Y75" s="68" t="s">
        <v>602</v>
      </c>
    </row>
    <row r="76" spans="1:25" x14ac:dyDescent="0.35">
      <c r="A76" s="49">
        <v>0.71406781442004763</v>
      </c>
      <c r="B76" s="50" t="s">
        <v>59</v>
      </c>
      <c r="C76" s="50">
        <v>5.9917808219178079</v>
      </c>
      <c r="D76" s="50">
        <f t="shared" si="7"/>
        <v>0.77755591858116235</v>
      </c>
      <c r="E76" s="50">
        <v>3.7707754512906644</v>
      </c>
      <c r="F76" s="50">
        <v>0.47712125471966244</v>
      </c>
      <c r="G76" s="50">
        <v>2.3199999999999998</v>
      </c>
      <c r="H76" s="50">
        <f t="shared" si="8"/>
        <v>0.36548798489089962</v>
      </c>
      <c r="I76" s="50">
        <v>2.1238516409670858</v>
      </c>
      <c r="J76" s="50">
        <v>0.43616264704075602</v>
      </c>
      <c r="K76" s="50">
        <v>0</v>
      </c>
      <c r="L76" s="50">
        <f t="shared" si="9"/>
        <v>0</v>
      </c>
      <c r="M76" s="50">
        <v>1</v>
      </c>
      <c r="N76" s="50">
        <v>89.8</v>
      </c>
      <c r="O76" s="50">
        <f t="shared" si="10"/>
        <v>1.9532763366673043</v>
      </c>
      <c r="P76" s="50">
        <v>31.2</v>
      </c>
      <c r="Q76" s="50">
        <f t="shared" si="11"/>
        <v>1.4941545940184429</v>
      </c>
      <c r="R76" s="50">
        <v>47.307367293927399</v>
      </c>
      <c r="S76" s="50">
        <f t="shared" si="12"/>
        <v>1.6749287797641836</v>
      </c>
      <c r="T76" s="50">
        <v>3.3647319918335836</v>
      </c>
      <c r="U76" s="50">
        <v>3.568659604598353</v>
      </c>
      <c r="V76" s="186">
        <v>34770000</v>
      </c>
      <c r="W76" s="186">
        <f t="shared" si="13"/>
        <v>7.5412046906832586</v>
      </c>
      <c r="X76" s="50">
        <v>2</v>
      </c>
      <c r="Y76" s="66" t="s">
        <v>602</v>
      </c>
    </row>
    <row r="77" spans="1:25" x14ac:dyDescent="0.35">
      <c r="A77" s="67">
        <v>-0.38021124171160592</v>
      </c>
      <c r="B77" s="108" t="s">
        <v>5</v>
      </c>
      <c r="C77" s="52">
        <v>6.2712328767123289</v>
      </c>
      <c r="D77" s="50">
        <f t="shared" si="7"/>
        <v>0.79735292821806825</v>
      </c>
      <c r="E77" s="52">
        <v>0</v>
      </c>
      <c r="F77" s="52">
        <v>0.6020599913279624</v>
      </c>
      <c r="G77" s="52">
        <v>3.28</v>
      </c>
      <c r="H77" s="50">
        <f t="shared" si="8"/>
        <v>0.5158738437116791</v>
      </c>
      <c r="I77" s="52">
        <v>0</v>
      </c>
      <c r="J77" s="52">
        <v>0.46389298898590731</v>
      </c>
      <c r="K77" s="52">
        <v>10</v>
      </c>
      <c r="L77" s="50">
        <f t="shared" si="9"/>
        <v>1</v>
      </c>
      <c r="M77" s="52">
        <v>0</v>
      </c>
      <c r="N77" s="52">
        <v>86.5</v>
      </c>
      <c r="O77" s="50">
        <f t="shared" si="10"/>
        <v>1.9370161074648142</v>
      </c>
      <c r="P77" s="52">
        <v>34.9</v>
      </c>
      <c r="Q77" s="50">
        <f t="shared" si="11"/>
        <v>1.5428254269591799</v>
      </c>
      <c r="R77" s="52">
        <v>47.583389080759602</v>
      </c>
      <c r="S77" s="50">
        <f t="shared" si="12"/>
        <v>1.6774553710063234</v>
      </c>
      <c r="T77" s="52">
        <v>3.2676062401770314</v>
      </c>
      <c r="U77" s="52">
        <v>3.9645616210373218</v>
      </c>
      <c r="V77" s="187">
        <v>36000000</v>
      </c>
      <c r="W77" s="186">
        <f t="shared" si="13"/>
        <v>7.5563025007672868</v>
      </c>
      <c r="X77" s="52">
        <v>3</v>
      </c>
      <c r="Y77" s="109" t="s">
        <v>5</v>
      </c>
    </row>
    <row r="78" spans="1:25" x14ac:dyDescent="0.35">
      <c r="A78" s="49">
        <v>-2</v>
      </c>
      <c r="B78" s="50" t="s">
        <v>45</v>
      </c>
      <c r="C78" s="50">
        <v>2.0821917808219177</v>
      </c>
      <c r="D78" s="50">
        <f t="shared" si="7"/>
        <v>0.31852072782431662</v>
      </c>
      <c r="E78" s="50">
        <v>0</v>
      </c>
      <c r="F78" s="50">
        <v>0</v>
      </c>
      <c r="G78" s="50">
        <v>2.95</v>
      </c>
      <c r="H78" s="50">
        <f t="shared" si="8"/>
        <v>0.46982201597816303</v>
      </c>
      <c r="I78" s="50">
        <v>0</v>
      </c>
      <c r="J78" s="50">
        <v>-0.19382002601611281</v>
      </c>
      <c r="K78" s="50">
        <v>8</v>
      </c>
      <c r="L78" s="50">
        <f t="shared" si="9"/>
        <v>0.90308998699194354</v>
      </c>
      <c r="M78" s="50">
        <v>0</v>
      </c>
      <c r="N78" s="50">
        <v>85</v>
      </c>
      <c r="O78" s="50">
        <f t="shared" si="10"/>
        <v>1.9294189257142926</v>
      </c>
      <c r="P78" s="50">
        <v>28.2</v>
      </c>
      <c r="Q78" s="50">
        <f t="shared" si="11"/>
        <v>1.4502491083193612</v>
      </c>
      <c r="R78" s="50">
        <v>34.298950279384798</v>
      </c>
      <c r="S78" s="50">
        <f t="shared" si="12"/>
        <v>1.5352808286478177</v>
      </c>
      <c r="T78" s="50">
        <v>3.1628767233771686</v>
      </c>
      <c r="U78" s="50">
        <v>3.6087947637270492</v>
      </c>
      <c r="V78" s="186">
        <v>36000000</v>
      </c>
      <c r="W78" s="186">
        <f t="shared" si="13"/>
        <v>7.5563025007672868</v>
      </c>
      <c r="X78" s="50">
        <v>9</v>
      </c>
      <c r="Y78" s="66" t="s">
        <v>602</v>
      </c>
    </row>
    <row r="79" spans="1:25" x14ac:dyDescent="0.35">
      <c r="A79" s="67">
        <v>0.52636707312615894</v>
      </c>
      <c r="B79" s="52" t="s">
        <v>45</v>
      </c>
      <c r="C79" s="52">
        <v>3.3150684931506849</v>
      </c>
      <c r="D79" s="50">
        <f t="shared" si="7"/>
        <v>0.52049250585997542</v>
      </c>
      <c r="E79" s="52">
        <v>3.7916829312790057</v>
      </c>
      <c r="F79" s="52">
        <v>0.95424250943932487</v>
      </c>
      <c r="G79" s="52">
        <v>2.72</v>
      </c>
      <c r="H79" s="50">
        <f t="shared" si="8"/>
        <v>0.43456890403419873</v>
      </c>
      <c r="I79" s="52">
        <v>3.0355618076671913</v>
      </c>
      <c r="J79" s="52">
        <v>0.11394335230683679</v>
      </c>
      <c r="K79" s="52">
        <v>9</v>
      </c>
      <c r="L79" s="50">
        <f t="shared" si="9"/>
        <v>0.95424250943932487</v>
      </c>
      <c r="M79" s="52">
        <v>1</v>
      </c>
      <c r="N79" s="52">
        <v>89.2</v>
      </c>
      <c r="O79" s="50">
        <f t="shared" si="10"/>
        <v>1.9503648543761232</v>
      </c>
      <c r="P79" s="52">
        <v>26</v>
      </c>
      <c r="Q79" s="50">
        <f t="shared" si="11"/>
        <v>1.414973347970818</v>
      </c>
      <c r="R79" s="52">
        <v>38.344872802923099</v>
      </c>
      <c r="S79" s="50">
        <f t="shared" si="12"/>
        <v>1.5837073014724459</v>
      </c>
      <c r="T79" s="52">
        <v>3.8659974508347341</v>
      </c>
      <c r="U79" s="52">
        <v>3.8302925433451809</v>
      </c>
      <c r="V79" s="187">
        <v>37200000</v>
      </c>
      <c r="W79" s="186">
        <f t="shared" si="13"/>
        <v>7.5705429398818973</v>
      </c>
      <c r="X79" s="52">
        <v>2</v>
      </c>
      <c r="Y79" s="68" t="s">
        <v>5</v>
      </c>
    </row>
    <row r="80" spans="1:25" x14ac:dyDescent="0.35">
      <c r="A80" s="49">
        <v>0.61729995788469927</v>
      </c>
      <c r="B80" s="50" t="s">
        <v>59</v>
      </c>
      <c r="C80" s="50">
        <v>6.0739726027397261</v>
      </c>
      <c r="D80" s="50">
        <f t="shared" si="7"/>
        <v>0.78347282865801349</v>
      </c>
      <c r="E80" s="50">
        <v>3.7707754512906644</v>
      </c>
      <c r="F80" s="50">
        <v>0.90308998699194354</v>
      </c>
      <c r="G80" s="50">
        <v>2.3199999999999998</v>
      </c>
      <c r="H80" s="50">
        <f t="shared" si="8"/>
        <v>0.36548798489089962</v>
      </c>
      <c r="I80" s="50">
        <v>2.1238516409670858</v>
      </c>
      <c r="J80" s="50">
        <v>8.6001717619175692E-3</v>
      </c>
      <c r="K80" s="50">
        <v>24</v>
      </c>
      <c r="L80" s="50">
        <f t="shared" si="9"/>
        <v>1.3802112417116059</v>
      </c>
      <c r="M80" s="50">
        <v>1</v>
      </c>
      <c r="N80" s="50">
        <v>85</v>
      </c>
      <c r="O80" s="50">
        <f t="shared" si="10"/>
        <v>1.9294189257142926</v>
      </c>
      <c r="P80" s="50">
        <v>32.299999999999997</v>
      </c>
      <c r="Q80" s="50">
        <f t="shared" si="11"/>
        <v>1.5092025223311027</v>
      </c>
      <c r="R80" s="50">
        <v>40.040400531970803</v>
      </c>
      <c r="S80" s="50">
        <f t="shared" si="12"/>
        <v>1.6024984131617945</v>
      </c>
      <c r="T80" s="50">
        <v>3.3348710074773962</v>
      </c>
      <c r="U80" s="50">
        <v>3.5008426709709495</v>
      </c>
      <c r="V80" s="186">
        <v>38570000</v>
      </c>
      <c r="W80" s="186">
        <f t="shared" si="13"/>
        <v>7.5862496388660423</v>
      </c>
      <c r="X80" s="50">
        <v>9</v>
      </c>
      <c r="Y80" s="66" t="s">
        <v>45</v>
      </c>
    </row>
    <row r="81" spans="1:25" x14ac:dyDescent="0.35">
      <c r="A81" s="67">
        <v>0.147699940896518</v>
      </c>
      <c r="B81" s="52" t="s">
        <v>2</v>
      </c>
      <c r="C81" s="52">
        <v>7.4356164383561643</v>
      </c>
      <c r="D81" s="50">
        <f t="shared" si="7"/>
        <v>0.87131697886724357</v>
      </c>
      <c r="E81" s="52">
        <v>3.8335760926148099</v>
      </c>
      <c r="F81" s="52">
        <v>1.7075701760979363</v>
      </c>
      <c r="G81" s="52">
        <v>2.85</v>
      </c>
      <c r="H81" s="50">
        <f t="shared" si="8"/>
        <v>0.45484486000851021</v>
      </c>
      <c r="I81" s="52">
        <v>2.9138138523837167</v>
      </c>
      <c r="J81" s="52">
        <v>0.35793484700045386</v>
      </c>
      <c r="K81" s="52">
        <v>43</v>
      </c>
      <c r="L81" s="50">
        <f t="shared" si="9"/>
        <v>1.6334684555795864</v>
      </c>
      <c r="M81" s="52">
        <v>1</v>
      </c>
      <c r="N81" s="52">
        <v>90.3</v>
      </c>
      <c r="O81" s="50">
        <f t="shared" si="10"/>
        <v>1.9556877503135057</v>
      </c>
      <c r="P81" s="52">
        <v>36.1</v>
      </c>
      <c r="Q81" s="50">
        <f t="shared" si="11"/>
        <v>1.5575072019056579</v>
      </c>
      <c r="R81" s="52">
        <v>47.576210837790804</v>
      </c>
      <c r="S81" s="50">
        <f t="shared" si="12"/>
        <v>1.6773898501062838</v>
      </c>
      <c r="T81" s="52">
        <v>3.1527645837352773</v>
      </c>
      <c r="U81" s="52">
        <v>3.5411223705253856</v>
      </c>
      <c r="V81" s="187">
        <v>38610000</v>
      </c>
      <c r="W81" s="186">
        <f t="shared" si="13"/>
        <v>7.5866998016240492</v>
      </c>
      <c r="X81" s="52">
        <v>9</v>
      </c>
      <c r="Y81" s="68" t="s">
        <v>602</v>
      </c>
    </row>
    <row r="82" spans="1:25" x14ac:dyDescent="0.35">
      <c r="A82" s="49">
        <v>-2</v>
      </c>
      <c r="B82" s="50" t="s">
        <v>45</v>
      </c>
      <c r="C82" s="50">
        <v>1.0082191780821919</v>
      </c>
      <c r="D82" s="50">
        <f t="shared" si="7"/>
        <v>3.5549542170429872E-3</v>
      </c>
      <c r="E82" s="50">
        <v>3.8229763963637051</v>
      </c>
      <c r="F82" s="50">
        <v>0.47712125471966244</v>
      </c>
      <c r="G82" s="50">
        <v>3.03</v>
      </c>
      <c r="H82" s="50">
        <f t="shared" si="8"/>
        <v>0.48144262850230496</v>
      </c>
      <c r="I82" s="50">
        <v>2.7113853790984517</v>
      </c>
      <c r="J82" s="50">
        <v>-7.5720713938118356E-2</v>
      </c>
      <c r="K82" s="50">
        <v>5</v>
      </c>
      <c r="L82" s="50">
        <f t="shared" si="9"/>
        <v>0.69897000433601886</v>
      </c>
      <c r="M82" s="50">
        <v>1</v>
      </c>
      <c r="N82" s="50">
        <v>85</v>
      </c>
      <c r="O82" s="50">
        <f t="shared" si="10"/>
        <v>1.9294189257142926</v>
      </c>
      <c r="P82" s="50">
        <v>27.2</v>
      </c>
      <c r="Q82" s="50">
        <f t="shared" si="11"/>
        <v>1.4345689040341987</v>
      </c>
      <c r="R82" s="50">
        <v>35.608384832026097</v>
      </c>
      <c r="S82" s="50">
        <f t="shared" si="12"/>
        <v>1.5515522748692276</v>
      </c>
      <c r="T82" s="50">
        <v>3.1532162502154288</v>
      </c>
      <c r="U82" s="50">
        <v>3.5175748361336181</v>
      </c>
      <c r="V82" s="186">
        <v>40000000</v>
      </c>
      <c r="W82" s="186">
        <f t="shared" si="13"/>
        <v>7.6020599913279625</v>
      </c>
      <c r="X82" s="50">
        <v>5</v>
      </c>
      <c r="Y82" s="66" t="s">
        <v>489</v>
      </c>
    </row>
    <row r="83" spans="1:25" x14ac:dyDescent="0.35">
      <c r="A83" s="67">
        <v>0.26717172840301384</v>
      </c>
      <c r="B83" s="52" t="s">
        <v>59</v>
      </c>
      <c r="C83" s="52">
        <v>6.0712328767123287</v>
      </c>
      <c r="D83" s="50">
        <f t="shared" si="7"/>
        <v>0.78327689159991742</v>
      </c>
      <c r="E83" s="52">
        <v>3.0625406208792199</v>
      </c>
      <c r="F83" s="52">
        <v>0.77815125038364363</v>
      </c>
      <c r="G83" s="52">
        <v>2.69</v>
      </c>
      <c r="H83" s="50">
        <f t="shared" si="8"/>
        <v>0.42975228000240795</v>
      </c>
      <c r="I83" s="52">
        <v>2.9323063057851897</v>
      </c>
      <c r="J83" s="52">
        <v>6.8185861746161619E-2</v>
      </c>
      <c r="K83" s="52">
        <v>11</v>
      </c>
      <c r="L83" s="50">
        <f t="shared" si="9"/>
        <v>1.0413926851582251</v>
      </c>
      <c r="M83" s="52">
        <v>1</v>
      </c>
      <c r="N83" s="52">
        <v>91.2</v>
      </c>
      <c r="O83" s="50">
        <f t="shared" si="10"/>
        <v>1.9599948383284163</v>
      </c>
      <c r="P83" s="52">
        <v>33</v>
      </c>
      <c r="Q83" s="50">
        <f t="shared" si="11"/>
        <v>1.5185139398778875</v>
      </c>
      <c r="R83" s="52">
        <v>40.902544500539101</v>
      </c>
      <c r="S83" s="50">
        <f t="shared" si="12"/>
        <v>1.6117503258110162</v>
      </c>
      <c r="T83" s="52">
        <v>3.4006741243771632</v>
      </c>
      <c r="U83" s="52">
        <v>3.8325618860191688</v>
      </c>
      <c r="V83" s="187">
        <v>40000000</v>
      </c>
      <c r="W83" s="186">
        <f t="shared" si="13"/>
        <v>7.6020599913279625</v>
      </c>
      <c r="X83" s="52">
        <v>2</v>
      </c>
      <c r="Y83" s="68" t="s">
        <v>2</v>
      </c>
    </row>
    <row r="84" spans="1:25" x14ac:dyDescent="0.35">
      <c r="A84" s="49">
        <v>-2</v>
      </c>
      <c r="B84" s="50" t="s">
        <v>45</v>
      </c>
      <c r="C84" s="50">
        <v>5.7424657534246579</v>
      </c>
      <c r="D84" s="50">
        <f t="shared" si="7"/>
        <v>0.75909841385521437</v>
      </c>
      <c r="E84" s="50">
        <v>0</v>
      </c>
      <c r="F84" s="50">
        <v>0.69897000433601886</v>
      </c>
      <c r="G84" s="50">
        <v>2.95</v>
      </c>
      <c r="H84" s="50">
        <f t="shared" si="8"/>
        <v>0.46982201597816303</v>
      </c>
      <c r="I84" s="50">
        <v>0</v>
      </c>
      <c r="J84" s="50">
        <v>-4.0958607678906384E-2</v>
      </c>
      <c r="K84" s="50">
        <v>13</v>
      </c>
      <c r="L84" s="50">
        <f t="shared" si="9"/>
        <v>1.1139433523068367</v>
      </c>
      <c r="M84" s="50">
        <v>0</v>
      </c>
      <c r="N84" s="50">
        <v>85</v>
      </c>
      <c r="O84" s="50">
        <f t="shared" si="10"/>
        <v>1.9294189257142926</v>
      </c>
      <c r="P84" s="50">
        <v>28.2</v>
      </c>
      <c r="Q84" s="50">
        <f t="shared" si="11"/>
        <v>1.4502491083193612</v>
      </c>
      <c r="R84" s="50">
        <v>34.298950279384798</v>
      </c>
      <c r="S84" s="50">
        <f t="shared" si="12"/>
        <v>1.5352808286478177</v>
      </c>
      <c r="T84" s="50">
        <v>3.0958500844125241</v>
      </c>
      <c r="U84" s="50">
        <v>3.5078178355445662</v>
      </c>
      <c r="V84" s="186">
        <v>40000000</v>
      </c>
      <c r="W84" s="186">
        <f t="shared" si="13"/>
        <v>7.6020599913279625</v>
      </c>
      <c r="X84" s="50">
        <v>9</v>
      </c>
      <c r="Y84" s="66" t="s">
        <v>602</v>
      </c>
    </row>
    <row r="85" spans="1:25" x14ac:dyDescent="0.35">
      <c r="A85" s="67">
        <v>0.36172783601759284</v>
      </c>
      <c r="B85" s="52" t="s">
        <v>45</v>
      </c>
      <c r="C85" s="52">
        <v>5.4164383561643836</v>
      </c>
      <c r="D85" s="50">
        <f t="shared" si="7"/>
        <v>0.73371380485719762</v>
      </c>
      <c r="E85" s="52">
        <v>0</v>
      </c>
      <c r="F85" s="52">
        <v>1.5314789170422551</v>
      </c>
      <c r="G85" s="52">
        <v>2.95</v>
      </c>
      <c r="H85" s="50">
        <f t="shared" si="8"/>
        <v>0.46982201597816303</v>
      </c>
      <c r="I85" s="52">
        <v>0</v>
      </c>
      <c r="J85" s="52">
        <v>-3.6212172654444715E-2</v>
      </c>
      <c r="K85" s="52">
        <v>18</v>
      </c>
      <c r="L85" s="50">
        <f t="shared" si="9"/>
        <v>1.255272505103306</v>
      </c>
      <c r="M85" s="52">
        <v>0</v>
      </c>
      <c r="N85" s="52">
        <v>85</v>
      </c>
      <c r="O85" s="50">
        <f t="shared" si="10"/>
        <v>1.9294189257142926</v>
      </c>
      <c r="P85" s="52">
        <v>25.9</v>
      </c>
      <c r="Q85" s="50">
        <f t="shared" si="11"/>
        <v>1.4132997640812519</v>
      </c>
      <c r="R85" s="52">
        <v>36.959146749272797</v>
      </c>
      <c r="S85" s="50">
        <f t="shared" si="12"/>
        <v>1.5677219364019672</v>
      </c>
      <c r="T85" s="52">
        <v>3.0958500844125241</v>
      </c>
      <c r="U85" s="52">
        <v>3.5078178355445662</v>
      </c>
      <c r="V85" s="187">
        <v>40000000</v>
      </c>
      <c r="W85" s="186">
        <f t="shared" si="13"/>
        <v>7.6020599913279625</v>
      </c>
      <c r="X85" s="52">
        <v>5</v>
      </c>
      <c r="Y85" s="68" t="s">
        <v>602</v>
      </c>
    </row>
    <row r="86" spans="1:25" x14ac:dyDescent="0.35">
      <c r="A86" s="49">
        <v>0.37473423390735744</v>
      </c>
      <c r="B86" s="50" t="s">
        <v>5</v>
      </c>
      <c r="C86" s="50">
        <v>13.484931506849316</v>
      </c>
      <c r="D86" s="50">
        <f t="shared" si="7"/>
        <v>1.129848744910309</v>
      </c>
      <c r="E86" s="50">
        <v>0</v>
      </c>
      <c r="F86" s="50">
        <v>1.6232492903979006</v>
      </c>
      <c r="G86" s="50">
        <v>3.28</v>
      </c>
      <c r="H86" s="50">
        <f t="shared" si="8"/>
        <v>0.5158738437116791</v>
      </c>
      <c r="I86" s="50">
        <v>0</v>
      </c>
      <c r="J86" s="50">
        <v>0.30319605742048883</v>
      </c>
      <c r="K86" s="50">
        <v>19</v>
      </c>
      <c r="L86" s="50">
        <f t="shared" si="9"/>
        <v>1.2787536009528289</v>
      </c>
      <c r="M86" s="50">
        <v>0</v>
      </c>
      <c r="N86" s="50">
        <v>70</v>
      </c>
      <c r="O86" s="50">
        <f t="shared" si="10"/>
        <v>1.8450980400142569</v>
      </c>
      <c r="P86" s="50">
        <v>35.6</v>
      </c>
      <c r="Q86" s="50">
        <f t="shared" si="11"/>
        <v>1.5514499979728751</v>
      </c>
      <c r="R86" s="50">
        <v>42.882578893959298</v>
      </c>
      <c r="S86" s="50">
        <f t="shared" si="12"/>
        <v>1.6322808952886716</v>
      </c>
      <c r="T86" s="50">
        <v>3.3740570806117947</v>
      </c>
      <c r="U86" s="50">
        <v>3.9700736609473402</v>
      </c>
      <c r="V86" s="186">
        <v>40929600</v>
      </c>
      <c r="W86" s="186">
        <f t="shared" si="13"/>
        <v>7.6120375003588876</v>
      </c>
      <c r="X86" s="50">
        <v>7</v>
      </c>
      <c r="Y86" s="66" t="s">
        <v>5</v>
      </c>
    </row>
    <row r="87" spans="1:25" x14ac:dyDescent="0.35">
      <c r="A87" s="67">
        <v>0.66217254470212683</v>
      </c>
      <c r="B87" s="52" t="s">
        <v>4</v>
      </c>
      <c r="C87" s="52">
        <v>5.4438356164383563</v>
      </c>
      <c r="D87" s="50">
        <f t="shared" si="7"/>
        <v>0.73590500265334047</v>
      </c>
      <c r="E87" s="52">
        <v>2.5987029826834349</v>
      </c>
      <c r="F87" s="52">
        <v>0.95424250943932487</v>
      </c>
      <c r="G87" s="52">
        <v>3.35</v>
      </c>
      <c r="H87" s="50">
        <f t="shared" si="8"/>
        <v>0.5250448070368452</v>
      </c>
      <c r="I87" s="52">
        <v>2.5401208298279827</v>
      </c>
      <c r="J87" s="52">
        <v>2.5305865264770262E-2</v>
      </c>
      <c r="K87" s="52">
        <v>11</v>
      </c>
      <c r="L87" s="50">
        <f t="shared" si="9"/>
        <v>1.0413926851582251</v>
      </c>
      <c r="M87" s="52">
        <v>1</v>
      </c>
      <c r="N87" s="52">
        <v>70</v>
      </c>
      <c r="O87" s="50">
        <f t="shared" si="10"/>
        <v>1.8450980400142569</v>
      </c>
      <c r="P87" s="52">
        <v>46.6</v>
      </c>
      <c r="Q87" s="50">
        <f t="shared" si="11"/>
        <v>1.6683859166900001</v>
      </c>
      <c r="R87" s="52">
        <v>52.311776995296299</v>
      </c>
      <c r="S87" s="50">
        <f t="shared" si="12"/>
        <v>1.7185994729646119</v>
      </c>
      <c r="T87" s="52">
        <v>3.277819633965128</v>
      </c>
      <c r="U87" s="52">
        <v>3.9304083853612104</v>
      </c>
      <c r="V87" s="187">
        <v>41225702</v>
      </c>
      <c r="W87" s="186">
        <f t="shared" si="13"/>
        <v>7.6151680596380977</v>
      </c>
      <c r="X87" s="52">
        <v>9</v>
      </c>
      <c r="Y87" s="68" t="s">
        <v>419</v>
      </c>
    </row>
    <row r="88" spans="1:25" x14ac:dyDescent="0.35">
      <c r="A88" s="49">
        <v>0.72989379285377709</v>
      </c>
      <c r="B88" s="50" t="s">
        <v>45</v>
      </c>
      <c r="C88" s="50">
        <v>3.3041095890410959</v>
      </c>
      <c r="D88" s="50">
        <f t="shared" si="7"/>
        <v>0.51905444334765782</v>
      </c>
      <c r="E88" s="50">
        <v>0</v>
      </c>
      <c r="F88" s="50">
        <v>0.6020599913279624</v>
      </c>
      <c r="G88" s="50">
        <v>2.95</v>
      </c>
      <c r="H88" s="50">
        <f t="shared" si="8"/>
        <v>0.46982201597816303</v>
      </c>
      <c r="I88" s="50">
        <v>0</v>
      </c>
      <c r="J88" s="50">
        <v>1.2837224705172217E-2</v>
      </c>
      <c r="K88" s="50">
        <v>15</v>
      </c>
      <c r="L88" s="50">
        <f t="shared" si="9"/>
        <v>1.1760912590556813</v>
      </c>
      <c r="M88" s="50">
        <v>0</v>
      </c>
      <c r="N88" s="50">
        <v>85</v>
      </c>
      <c r="O88" s="50">
        <f t="shared" si="10"/>
        <v>1.9294189257142926</v>
      </c>
      <c r="P88" s="50">
        <v>24.9</v>
      </c>
      <c r="Q88" s="50">
        <f t="shared" si="11"/>
        <v>1.3961993470957363</v>
      </c>
      <c r="R88" s="50">
        <v>36.710134890601303</v>
      </c>
      <c r="S88" s="50">
        <f t="shared" si="12"/>
        <v>1.564785980312654</v>
      </c>
      <c r="T88" s="50">
        <v>3.0958500844125241</v>
      </c>
      <c r="U88" s="50">
        <v>3.5078178355445662</v>
      </c>
      <c r="V88" s="186">
        <v>41600000</v>
      </c>
      <c r="W88" s="186">
        <f t="shared" si="13"/>
        <v>7.6190933306267423</v>
      </c>
      <c r="X88" s="50">
        <v>1</v>
      </c>
      <c r="Y88" s="66" t="s">
        <v>602</v>
      </c>
    </row>
    <row r="89" spans="1:25" x14ac:dyDescent="0.35">
      <c r="A89" s="67">
        <v>0.29178099986126038</v>
      </c>
      <c r="B89" s="52" t="s">
        <v>163</v>
      </c>
      <c r="C89" s="52">
        <v>2.3534246575342466</v>
      </c>
      <c r="D89" s="50">
        <f t="shared" si="7"/>
        <v>0.37170029937476762</v>
      </c>
      <c r="E89" s="52">
        <v>3.7899753459779522</v>
      </c>
      <c r="F89" s="52">
        <v>1.8864907251724818</v>
      </c>
      <c r="G89" s="52">
        <v>3.18</v>
      </c>
      <c r="H89" s="50">
        <f t="shared" si="8"/>
        <v>0.50242711998443268</v>
      </c>
      <c r="I89" s="52">
        <v>2.7670321178317625</v>
      </c>
      <c r="J89" s="52">
        <v>8.9905111439397931E-2</v>
      </c>
      <c r="K89" s="52">
        <v>18</v>
      </c>
      <c r="L89" s="50">
        <f t="shared" si="9"/>
        <v>1.255272505103306</v>
      </c>
      <c r="M89" s="52">
        <v>1</v>
      </c>
      <c r="N89" s="52">
        <v>70</v>
      </c>
      <c r="O89" s="50">
        <f t="shared" si="10"/>
        <v>1.8450980400142569</v>
      </c>
      <c r="P89" s="52">
        <v>42.9</v>
      </c>
      <c r="Q89" s="50">
        <f t="shared" si="11"/>
        <v>1.6324572921847242</v>
      </c>
      <c r="R89" s="52">
        <v>53.2941466273667</v>
      </c>
      <c r="S89" s="50">
        <f t="shared" si="12"/>
        <v>1.7266795124593939</v>
      </c>
      <c r="T89" s="52">
        <v>3.0958500844125241</v>
      </c>
      <c r="U89" s="52">
        <v>3.5078178355445662</v>
      </c>
      <c r="V89" s="187">
        <v>42000000</v>
      </c>
      <c r="W89" s="186">
        <f t="shared" si="13"/>
        <v>7.6232492903979008</v>
      </c>
      <c r="X89" s="52">
        <v>1</v>
      </c>
      <c r="Y89" s="68" t="s">
        <v>602</v>
      </c>
    </row>
    <row r="90" spans="1:25" x14ac:dyDescent="0.35">
      <c r="A90" s="49">
        <v>1.3528413607722642</v>
      </c>
      <c r="B90" s="83" t="s">
        <v>1</v>
      </c>
      <c r="C90" s="50">
        <v>7.86027397260274</v>
      </c>
      <c r="D90" s="50">
        <f t="shared" si="7"/>
        <v>0.89543768378952371</v>
      </c>
      <c r="E90" s="50">
        <v>0</v>
      </c>
      <c r="F90" s="50">
        <v>2.2253092817258628</v>
      </c>
      <c r="G90" s="50">
        <v>3.42</v>
      </c>
      <c r="H90" s="50">
        <f t="shared" si="8"/>
        <v>0.53402610605613499</v>
      </c>
      <c r="I90" s="50">
        <v>0</v>
      </c>
      <c r="J90" s="50">
        <v>0.11727129565576427</v>
      </c>
      <c r="K90" s="50">
        <v>2</v>
      </c>
      <c r="L90" s="50">
        <f t="shared" si="9"/>
        <v>0.3010299956639812</v>
      </c>
      <c r="M90" s="50">
        <v>0</v>
      </c>
      <c r="N90" s="50">
        <v>70</v>
      </c>
      <c r="O90" s="50">
        <f t="shared" si="10"/>
        <v>1.8450980400142569</v>
      </c>
      <c r="P90" s="50">
        <v>42.6</v>
      </c>
      <c r="Q90" s="50">
        <f t="shared" si="11"/>
        <v>1.6294095991027189</v>
      </c>
      <c r="R90" s="50">
        <v>42.063871143552703</v>
      </c>
      <c r="S90" s="50">
        <f t="shared" si="12"/>
        <v>1.6239092383674194</v>
      </c>
      <c r="T90" s="50">
        <v>3.3222069919483515</v>
      </c>
      <c r="U90" s="50">
        <v>3.9577021302433337</v>
      </c>
      <c r="V90" s="186">
        <v>43180000</v>
      </c>
      <c r="W90" s="186">
        <f t="shared" si="13"/>
        <v>7.6352826379982117</v>
      </c>
      <c r="X90" s="50">
        <v>5</v>
      </c>
      <c r="Y90" s="102" t="s">
        <v>1</v>
      </c>
    </row>
    <row r="91" spans="1:25" x14ac:dyDescent="0.35">
      <c r="A91" s="67">
        <v>0.35654732351381263</v>
      </c>
      <c r="B91" s="52" t="s">
        <v>163</v>
      </c>
      <c r="C91" s="52">
        <v>5.043835616438356</v>
      </c>
      <c r="D91" s="50">
        <f t="shared" si="7"/>
        <v>0.70276092404753998</v>
      </c>
      <c r="E91" s="52">
        <v>2.5362300726332561</v>
      </c>
      <c r="F91" s="52">
        <v>0.69897000433601886</v>
      </c>
      <c r="G91" s="52">
        <v>2.3199999999999998</v>
      </c>
      <c r="H91" s="50">
        <f t="shared" si="8"/>
        <v>0.36548798489089962</v>
      </c>
      <c r="I91" s="52">
        <v>2.756001823801419</v>
      </c>
      <c r="J91" s="52">
        <v>-9.1514981121350217E-2</v>
      </c>
      <c r="K91" s="52">
        <v>15</v>
      </c>
      <c r="L91" s="50">
        <f t="shared" si="9"/>
        <v>1.1760912590556813</v>
      </c>
      <c r="M91" s="52">
        <v>1</v>
      </c>
      <c r="N91" s="52">
        <v>85</v>
      </c>
      <c r="O91" s="50">
        <f t="shared" si="10"/>
        <v>1.9294189257142926</v>
      </c>
      <c r="P91" s="52">
        <v>44.2</v>
      </c>
      <c r="Q91" s="50">
        <f t="shared" si="11"/>
        <v>1.6454222693490919</v>
      </c>
      <c r="R91" s="52">
        <v>52.629944775121203</v>
      </c>
      <c r="S91" s="50">
        <f t="shared" si="12"/>
        <v>1.7212329143100249</v>
      </c>
      <c r="T91" s="52">
        <v>3.25553976325445</v>
      </c>
      <c r="U91" s="52">
        <v>3.9251377454872847</v>
      </c>
      <c r="V91" s="187">
        <v>44000000</v>
      </c>
      <c r="W91" s="186">
        <f t="shared" si="13"/>
        <v>7.6434526764861879</v>
      </c>
      <c r="X91" s="52">
        <v>5</v>
      </c>
      <c r="Y91" s="68" t="s">
        <v>577</v>
      </c>
    </row>
    <row r="92" spans="1:25" x14ac:dyDescent="0.35">
      <c r="A92" s="49">
        <v>0.28118837093097543</v>
      </c>
      <c r="B92" s="50" t="s">
        <v>59</v>
      </c>
      <c r="C92" s="50">
        <v>8.3835616438356162</v>
      </c>
      <c r="D92" s="50">
        <f t="shared" si="7"/>
        <v>0.92342856202510526</v>
      </c>
      <c r="E92" s="50">
        <v>3.7707754512906644</v>
      </c>
      <c r="F92" s="50">
        <v>1.4471580313422192</v>
      </c>
      <c r="G92" s="50">
        <v>2.3199999999999998</v>
      </c>
      <c r="H92" s="50">
        <f t="shared" si="8"/>
        <v>0.36548798489089962</v>
      </c>
      <c r="I92" s="50">
        <v>2.1238516409670858</v>
      </c>
      <c r="J92" s="50">
        <v>7.1882007306125359E-2</v>
      </c>
      <c r="K92" s="50">
        <v>33</v>
      </c>
      <c r="L92" s="50">
        <f t="shared" si="9"/>
        <v>1.5185139398778875</v>
      </c>
      <c r="M92" s="50">
        <v>1</v>
      </c>
      <c r="N92" s="50">
        <v>85</v>
      </c>
      <c r="O92" s="50">
        <f t="shared" si="10"/>
        <v>1.9294189257142926</v>
      </c>
      <c r="P92" s="50">
        <v>31.5</v>
      </c>
      <c r="Q92" s="50">
        <f t="shared" si="11"/>
        <v>1.4983105537896004</v>
      </c>
      <c r="R92" s="50">
        <v>35.516899069648296</v>
      </c>
      <c r="S92" s="50">
        <f t="shared" si="12"/>
        <v>1.5504350411232082</v>
      </c>
      <c r="T92" s="50">
        <v>3.3211431557469533</v>
      </c>
      <c r="U92" s="50">
        <v>3.9264410940169014</v>
      </c>
      <c r="V92" s="186">
        <v>44000000</v>
      </c>
      <c r="W92" s="186">
        <f t="shared" si="13"/>
        <v>7.6434526764861879</v>
      </c>
      <c r="X92" s="50">
        <v>1</v>
      </c>
      <c r="Y92" s="66" t="s">
        <v>45</v>
      </c>
    </row>
    <row r="93" spans="1:25" x14ac:dyDescent="0.35">
      <c r="A93" s="67">
        <v>0.96589849818814433</v>
      </c>
      <c r="B93" s="52" t="s">
        <v>4</v>
      </c>
      <c r="C93" s="52">
        <v>5.4164383561643836</v>
      </c>
      <c r="D93" s="50">
        <f t="shared" si="7"/>
        <v>0.73371380485719762</v>
      </c>
      <c r="E93" s="52">
        <v>0</v>
      </c>
      <c r="F93" s="52">
        <v>1.8692317197309762</v>
      </c>
      <c r="G93" s="52">
        <v>3.59</v>
      </c>
      <c r="H93" s="50">
        <f t="shared" si="8"/>
        <v>0.55509444857831913</v>
      </c>
      <c r="I93" s="52">
        <v>0</v>
      </c>
      <c r="J93" s="52">
        <v>-4.0958607678906384E-2</v>
      </c>
      <c r="K93" s="52">
        <v>4</v>
      </c>
      <c r="L93" s="50">
        <f t="shared" si="9"/>
        <v>0.6020599913279624</v>
      </c>
      <c r="M93" s="52">
        <v>0</v>
      </c>
      <c r="N93" s="52">
        <v>70</v>
      </c>
      <c r="O93" s="50">
        <f t="shared" si="10"/>
        <v>1.8450980400142569</v>
      </c>
      <c r="P93" s="52">
        <v>48.4</v>
      </c>
      <c r="Q93" s="50">
        <f t="shared" si="11"/>
        <v>1.6848453616444126</v>
      </c>
      <c r="R93" s="52">
        <v>56.929890049265502</v>
      </c>
      <c r="S93" s="50">
        <f t="shared" si="12"/>
        <v>1.7553403450438787</v>
      </c>
      <c r="T93" s="52">
        <v>3.1616209089088487</v>
      </c>
      <c r="U93" s="52">
        <v>3.7997633234477775</v>
      </c>
      <c r="V93" s="187">
        <v>45647180</v>
      </c>
      <c r="W93" s="186">
        <f t="shared" si="13"/>
        <v>7.6594139527735292</v>
      </c>
      <c r="X93" s="52">
        <v>9</v>
      </c>
      <c r="Y93" s="68" t="s">
        <v>4</v>
      </c>
    </row>
    <row r="94" spans="1:25" x14ac:dyDescent="0.35">
      <c r="A94" s="49">
        <v>0.5123812603488811</v>
      </c>
      <c r="B94" s="50" t="s">
        <v>4</v>
      </c>
      <c r="C94" s="50">
        <v>5.0246575342465754</v>
      </c>
      <c r="D94" s="50">
        <f t="shared" si="7"/>
        <v>0.70110646687752753</v>
      </c>
      <c r="E94" s="50">
        <v>0</v>
      </c>
      <c r="F94" s="50">
        <v>2.0827853703164503</v>
      </c>
      <c r="G94" s="50">
        <v>3.59</v>
      </c>
      <c r="H94" s="50">
        <f t="shared" si="8"/>
        <v>0.55509444857831913</v>
      </c>
      <c r="I94" s="50">
        <v>0</v>
      </c>
      <c r="J94" s="50">
        <v>0.32428245529769273</v>
      </c>
      <c r="K94" s="50">
        <v>6</v>
      </c>
      <c r="L94" s="50">
        <f t="shared" si="9"/>
        <v>0.77815125038364363</v>
      </c>
      <c r="M94" s="50">
        <v>0</v>
      </c>
      <c r="N94" s="50">
        <v>95.9</v>
      </c>
      <c r="O94" s="50">
        <f t="shared" si="10"/>
        <v>1.9818186071706636</v>
      </c>
      <c r="P94" s="50">
        <v>44.1</v>
      </c>
      <c r="Q94" s="50">
        <f t="shared" si="11"/>
        <v>1.6444385894678386</v>
      </c>
      <c r="R94" s="50">
        <v>52.700584961948799</v>
      </c>
      <c r="S94" s="50">
        <f t="shared" si="12"/>
        <v>1.721815435788193</v>
      </c>
      <c r="T94" s="50">
        <v>3.1884249941294067</v>
      </c>
      <c r="U94" s="50">
        <v>3.9391261945252749</v>
      </c>
      <c r="V94" s="186">
        <v>46270000</v>
      </c>
      <c r="W94" s="186">
        <f t="shared" si="13"/>
        <v>7.6652994994998966</v>
      </c>
      <c r="X94" s="50">
        <v>6</v>
      </c>
      <c r="Y94" s="66" t="s">
        <v>4</v>
      </c>
    </row>
    <row r="95" spans="1:25" x14ac:dyDescent="0.35">
      <c r="A95" s="67">
        <v>0.5831746471675886</v>
      </c>
      <c r="B95" s="52" t="s">
        <v>434</v>
      </c>
      <c r="C95" s="52">
        <v>3.4</v>
      </c>
      <c r="D95" s="50">
        <f t="shared" si="7"/>
        <v>0.53147891704225514</v>
      </c>
      <c r="E95" s="52">
        <v>3.8584156743566731</v>
      </c>
      <c r="F95" s="52">
        <v>1.3979400086720377</v>
      </c>
      <c r="G95" s="52">
        <v>2.66</v>
      </c>
      <c r="H95" s="50">
        <f t="shared" si="8"/>
        <v>0.42488163663106698</v>
      </c>
      <c r="I95" s="52">
        <v>2.8134697878296753</v>
      </c>
      <c r="J95" s="52">
        <v>0.11727129565576427</v>
      </c>
      <c r="K95" s="52">
        <v>12</v>
      </c>
      <c r="L95" s="50">
        <f t="shared" si="9"/>
        <v>1.0791812460476249</v>
      </c>
      <c r="M95" s="52">
        <v>1</v>
      </c>
      <c r="N95" s="52">
        <v>76.900000000000006</v>
      </c>
      <c r="O95" s="50">
        <f t="shared" si="10"/>
        <v>1.885926339801431</v>
      </c>
      <c r="P95" s="52">
        <v>44.05</v>
      </c>
      <c r="Q95" s="50">
        <f t="shared" si="11"/>
        <v>1.6439459127480667</v>
      </c>
      <c r="R95" s="52">
        <v>51.064530698041601</v>
      </c>
      <c r="S95" s="50">
        <f t="shared" si="12"/>
        <v>1.7081193449348573</v>
      </c>
      <c r="T95" s="52">
        <v>3.792430514795639</v>
      </c>
      <c r="U95" s="52">
        <v>3.5446460310848829</v>
      </c>
      <c r="V95" s="187">
        <v>47000000</v>
      </c>
      <c r="W95" s="186">
        <f t="shared" si="13"/>
        <v>7.6720978579357171</v>
      </c>
      <c r="X95" s="52">
        <v>6</v>
      </c>
      <c r="Y95" s="68" t="s">
        <v>45</v>
      </c>
    </row>
    <row r="96" spans="1:25" x14ac:dyDescent="0.35">
      <c r="A96" s="49">
        <v>0.84056111826942603</v>
      </c>
      <c r="B96" s="50" t="s">
        <v>45</v>
      </c>
      <c r="C96" s="50">
        <v>2.1753424657534248</v>
      </c>
      <c r="D96" s="50">
        <f t="shared" si="7"/>
        <v>0.33752763797062157</v>
      </c>
      <c r="E96" s="50">
        <v>0</v>
      </c>
      <c r="F96" s="50">
        <v>1.3424226808222062</v>
      </c>
      <c r="G96" s="50">
        <v>2.95</v>
      </c>
      <c r="H96" s="50">
        <f t="shared" si="8"/>
        <v>0.46982201597816303</v>
      </c>
      <c r="I96" s="50">
        <v>0</v>
      </c>
      <c r="J96" s="50">
        <v>8.6359830674748214E-2</v>
      </c>
      <c r="K96" s="50">
        <v>18</v>
      </c>
      <c r="L96" s="50">
        <f t="shared" si="9"/>
        <v>1.255272505103306</v>
      </c>
      <c r="M96" s="50">
        <v>0</v>
      </c>
      <c r="N96" s="50">
        <v>91.3</v>
      </c>
      <c r="O96" s="50">
        <f t="shared" si="10"/>
        <v>1.9604707775342989</v>
      </c>
      <c r="P96" s="50">
        <v>23.5</v>
      </c>
      <c r="Q96" s="50">
        <f t="shared" si="11"/>
        <v>1.3710678622717363</v>
      </c>
      <c r="R96" s="50">
        <v>43.1672842383418</v>
      </c>
      <c r="S96" s="50">
        <f t="shared" si="12"/>
        <v>1.6351547269652249</v>
      </c>
      <c r="T96" s="50">
        <v>3.1628767233771686</v>
      </c>
      <c r="U96" s="50">
        <v>3.6087947637270492</v>
      </c>
      <c r="V96" s="186">
        <v>48800000</v>
      </c>
      <c r="W96" s="186">
        <f t="shared" si="13"/>
        <v>7.6884198220027109</v>
      </c>
      <c r="X96" s="50">
        <v>2</v>
      </c>
      <c r="Y96" s="66" t="s">
        <v>602</v>
      </c>
    </row>
    <row r="97" spans="1:25" x14ac:dyDescent="0.35">
      <c r="A97" s="67">
        <v>1.3513916382751612</v>
      </c>
      <c r="B97" s="52" t="s">
        <v>2</v>
      </c>
      <c r="C97" s="52">
        <v>1.5506849315068494</v>
      </c>
      <c r="D97" s="50">
        <f t="shared" si="7"/>
        <v>0.19052356673179674</v>
      </c>
      <c r="E97" s="52">
        <v>3.8335760926148099</v>
      </c>
      <c r="F97" s="52">
        <v>2.4393326938302629</v>
      </c>
      <c r="G97" s="52">
        <v>2.85</v>
      </c>
      <c r="H97" s="50">
        <f t="shared" si="8"/>
        <v>0.45484486000851021</v>
      </c>
      <c r="I97" s="52">
        <v>2.9138138523837167</v>
      </c>
      <c r="J97" s="52">
        <v>4.5322978786657475E-2</v>
      </c>
      <c r="K97" s="52">
        <v>20</v>
      </c>
      <c r="L97" s="50">
        <f t="shared" si="9"/>
        <v>1.3010299956639813</v>
      </c>
      <c r="M97" s="52">
        <v>1</v>
      </c>
      <c r="N97" s="52">
        <v>70</v>
      </c>
      <c r="O97" s="50">
        <f t="shared" si="10"/>
        <v>1.8450980400142569</v>
      </c>
      <c r="P97" s="52">
        <v>33.9</v>
      </c>
      <c r="Q97" s="50">
        <f t="shared" si="11"/>
        <v>1.5301996982030821</v>
      </c>
      <c r="R97" s="52">
        <v>46.312020505412598</v>
      </c>
      <c r="S97" s="50">
        <f t="shared" si="12"/>
        <v>1.6656937288498501</v>
      </c>
      <c r="T97" s="52">
        <v>3.0962405795987471</v>
      </c>
      <c r="U97" s="52">
        <v>3.4010931514437841</v>
      </c>
      <c r="V97" s="187">
        <v>48978000</v>
      </c>
      <c r="W97" s="186">
        <f t="shared" si="13"/>
        <v>7.6900010468830642</v>
      </c>
      <c r="X97" s="52">
        <v>1</v>
      </c>
      <c r="Y97" s="68" t="s">
        <v>45</v>
      </c>
    </row>
    <row r="98" spans="1:25" x14ac:dyDescent="0.35">
      <c r="A98" s="49">
        <v>-0.20333242963631826</v>
      </c>
      <c r="B98" s="83" t="s">
        <v>59</v>
      </c>
      <c r="C98" s="50">
        <v>1.547945205479452</v>
      </c>
      <c r="D98" s="50">
        <f t="shared" si="7"/>
        <v>0.1897555833629638</v>
      </c>
      <c r="E98" s="50">
        <v>0</v>
      </c>
      <c r="F98" s="50">
        <v>2.0334237554869499</v>
      </c>
      <c r="G98" s="50">
        <v>3.29</v>
      </c>
      <c r="H98" s="50">
        <f t="shared" si="8"/>
        <v>0.51719589794997434</v>
      </c>
      <c r="I98" s="50">
        <v>0</v>
      </c>
      <c r="J98" s="50">
        <v>6.8185861746161619E-2</v>
      </c>
      <c r="K98" s="50">
        <v>18</v>
      </c>
      <c r="L98" s="50">
        <f t="shared" si="9"/>
        <v>1.255272505103306</v>
      </c>
      <c r="M98" s="50">
        <v>0</v>
      </c>
      <c r="N98" s="50">
        <v>85</v>
      </c>
      <c r="O98" s="50">
        <f t="shared" si="10"/>
        <v>1.9294189257142926</v>
      </c>
      <c r="P98" s="50">
        <v>32.299999999999997</v>
      </c>
      <c r="Q98" s="50">
        <f t="shared" si="11"/>
        <v>1.5092025223311027</v>
      </c>
      <c r="R98" s="50">
        <v>40.040400531970803</v>
      </c>
      <c r="S98" s="50">
        <f t="shared" si="12"/>
        <v>1.6024984131617945</v>
      </c>
      <c r="T98" s="50">
        <v>3.4636187843160156</v>
      </c>
      <c r="U98" s="50">
        <v>3.9690067974360175</v>
      </c>
      <c r="V98" s="186">
        <v>49000000</v>
      </c>
      <c r="W98" s="186">
        <f t="shared" si="13"/>
        <v>7.6901960800285138</v>
      </c>
      <c r="X98" s="50">
        <v>5</v>
      </c>
      <c r="Y98" s="102" t="s">
        <v>59</v>
      </c>
    </row>
    <row r="99" spans="1:25" x14ac:dyDescent="0.35">
      <c r="A99" s="67">
        <v>0.41630541559290174</v>
      </c>
      <c r="B99" s="52" t="s">
        <v>59</v>
      </c>
      <c r="C99" s="52">
        <v>7.441095890410959</v>
      </c>
      <c r="D99" s="50">
        <f t="shared" si="7"/>
        <v>0.87163690115198933</v>
      </c>
      <c r="E99" s="52">
        <v>3.7707754512906644</v>
      </c>
      <c r="F99" s="52">
        <v>0.6020599913279624</v>
      </c>
      <c r="G99" s="52">
        <v>2.3199999999999998</v>
      </c>
      <c r="H99" s="50">
        <f t="shared" si="8"/>
        <v>0.36548798489089962</v>
      </c>
      <c r="I99" s="52">
        <v>2.1238516409670858</v>
      </c>
      <c r="J99" s="52">
        <v>9.691001300805642E-2</v>
      </c>
      <c r="K99" s="52">
        <v>35</v>
      </c>
      <c r="L99" s="50">
        <f t="shared" si="9"/>
        <v>1.5440680443502757</v>
      </c>
      <c r="M99" s="52">
        <v>1</v>
      </c>
      <c r="N99" s="52">
        <v>85</v>
      </c>
      <c r="O99" s="50">
        <f t="shared" si="10"/>
        <v>1.9294189257142926</v>
      </c>
      <c r="P99" s="52">
        <v>31.3</v>
      </c>
      <c r="Q99" s="50">
        <f t="shared" si="11"/>
        <v>1.4955443375464486</v>
      </c>
      <c r="R99" s="52">
        <v>38.7850112673514</v>
      </c>
      <c r="S99" s="50">
        <f t="shared" si="12"/>
        <v>1.5886639219461918</v>
      </c>
      <c r="T99" s="52">
        <v>3.3885364494891754</v>
      </c>
      <c r="U99" s="52">
        <v>3.818148300254375</v>
      </c>
      <c r="V99" s="187">
        <v>49080000</v>
      </c>
      <c r="W99" s="186">
        <f t="shared" si="13"/>
        <v>7.690904554054967</v>
      </c>
      <c r="X99" s="52">
        <v>6</v>
      </c>
      <c r="Y99" s="68" t="s">
        <v>602</v>
      </c>
    </row>
    <row r="100" spans="1:25" x14ac:dyDescent="0.35">
      <c r="A100" s="49">
        <v>0.71933128698372661</v>
      </c>
      <c r="B100" s="50" t="s">
        <v>59</v>
      </c>
      <c r="C100" s="50">
        <v>4.9424657534246572</v>
      </c>
      <c r="D100" s="50">
        <f t="shared" si="7"/>
        <v>0.69394366874944824</v>
      </c>
      <c r="E100" s="50">
        <v>0</v>
      </c>
      <c r="F100" s="50">
        <v>0</v>
      </c>
      <c r="G100" s="50">
        <v>3.29</v>
      </c>
      <c r="H100" s="50">
        <f t="shared" si="8"/>
        <v>0.51719589794997434</v>
      </c>
      <c r="I100" s="50">
        <v>0</v>
      </c>
      <c r="J100" s="50">
        <v>-9.6910013008056392E-2</v>
      </c>
      <c r="K100" s="50">
        <v>15</v>
      </c>
      <c r="L100" s="50">
        <f t="shared" si="9"/>
        <v>1.1760912590556813</v>
      </c>
      <c r="M100" s="50">
        <v>0</v>
      </c>
      <c r="N100" s="50">
        <v>85</v>
      </c>
      <c r="O100" s="50">
        <f t="shared" si="10"/>
        <v>1.9294189257142926</v>
      </c>
      <c r="P100" s="50">
        <v>32.9</v>
      </c>
      <c r="Q100" s="50">
        <f t="shared" si="11"/>
        <v>1.5171958979499742</v>
      </c>
      <c r="R100" s="50">
        <v>35.433808146393098</v>
      </c>
      <c r="S100" s="50">
        <f t="shared" si="12"/>
        <v>1.5494178293890581</v>
      </c>
      <c r="T100" s="50">
        <v>3.3833706119727633</v>
      </c>
      <c r="U100" s="50">
        <v>3.9798077985646683</v>
      </c>
      <c r="V100" s="186">
        <v>50000000</v>
      </c>
      <c r="W100" s="186">
        <f t="shared" si="13"/>
        <v>7.6989700043360187</v>
      </c>
      <c r="X100" s="50">
        <v>5</v>
      </c>
      <c r="Y100" s="66" t="s">
        <v>59</v>
      </c>
    </row>
    <row r="101" spans="1:25" x14ac:dyDescent="0.35">
      <c r="A101" s="67">
        <v>-2</v>
      </c>
      <c r="B101" s="108" t="s">
        <v>59</v>
      </c>
      <c r="C101" s="52">
        <v>3.2</v>
      </c>
      <c r="D101" s="50">
        <f t="shared" si="7"/>
        <v>0.50514997831990605</v>
      </c>
      <c r="E101" s="52">
        <v>0</v>
      </c>
      <c r="F101" s="52">
        <v>1.0413926851582251</v>
      </c>
      <c r="G101" s="52">
        <v>3.29</v>
      </c>
      <c r="H101" s="50">
        <f t="shared" si="8"/>
        <v>0.51719589794997434</v>
      </c>
      <c r="I101" s="52">
        <v>0</v>
      </c>
      <c r="J101" s="52">
        <v>0.16435285578443709</v>
      </c>
      <c r="K101" s="52">
        <v>24</v>
      </c>
      <c r="L101" s="50">
        <f t="shared" si="9"/>
        <v>1.3802112417116059</v>
      </c>
      <c r="M101" s="52">
        <v>0</v>
      </c>
      <c r="N101" s="52">
        <v>94.7</v>
      </c>
      <c r="O101" s="50">
        <f t="shared" si="10"/>
        <v>1.9763499790032735</v>
      </c>
      <c r="P101" s="52">
        <v>32.4</v>
      </c>
      <c r="Q101" s="50">
        <f t="shared" si="11"/>
        <v>1.510545010206612</v>
      </c>
      <c r="R101" s="52">
        <v>45.737088331856903</v>
      </c>
      <c r="S101" s="50">
        <f t="shared" si="12"/>
        <v>1.6602685135357675</v>
      </c>
      <c r="T101" s="52">
        <v>3.5347454529897258</v>
      </c>
      <c r="U101" s="52">
        <v>3.9695495619878729</v>
      </c>
      <c r="V101" s="187">
        <v>50000000</v>
      </c>
      <c r="W101" s="186">
        <f t="shared" si="13"/>
        <v>7.6989700043360187</v>
      </c>
      <c r="X101" s="52">
        <v>5</v>
      </c>
      <c r="Y101" s="109" t="s">
        <v>59</v>
      </c>
    </row>
    <row r="102" spans="1:25" x14ac:dyDescent="0.35">
      <c r="A102" s="49">
        <v>0.56820172406699498</v>
      </c>
      <c r="B102" s="50" t="s">
        <v>45</v>
      </c>
      <c r="C102" s="50">
        <v>2.6136986301369864</v>
      </c>
      <c r="D102" s="50">
        <f t="shared" si="7"/>
        <v>0.41725551024762042</v>
      </c>
      <c r="E102" s="50">
        <v>0</v>
      </c>
      <c r="F102" s="50">
        <v>0.6020599913279624</v>
      </c>
      <c r="G102" s="50">
        <v>2.95</v>
      </c>
      <c r="H102" s="50">
        <f t="shared" si="8"/>
        <v>0.46982201597816303</v>
      </c>
      <c r="I102" s="50">
        <v>0</v>
      </c>
      <c r="J102" s="50">
        <v>-0.17392519729917361</v>
      </c>
      <c r="K102" s="50">
        <v>1</v>
      </c>
      <c r="L102" s="50">
        <f t="shared" si="9"/>
        <v>0</v>
      </c>
      <c r="M102" s="50">
        <v>0</v>
      </c>
      <c r="N102" s="50">
        <v>93.2</v>
      </c>
      <c r="O102" s="50">
        <f t="shared" si="10"/>
        <v>1.9694159123539814</v>
      </c>
      <c r="P102" s="50">
        <v>26.7</v>
      </c>
      <c r="Q102" s="50">
        <f t="shared" si="11"/>
        <v>1.4265112613645752</v>
      </c>
      <c r="R102" s="50">
        <v>36.669158714517401</v>
      </c>
      <c r="S102" s="50">
        <f t="shared" si="12"/>
        <v>1.5643009462345601</v>
      </c>
      <c r="T102" s="50">
        <v>3.3481258369969185</v>
      </c>
      <c r="U102" s="50">
        <v>3.8736689739586678</v>
      </c>
      <c r="V102" s="186">
        <v>50000000</v>
      </c>
      <c r="W102" s="186">
        <f t="shared" si="13"/>
        <v>7.6989700043360187</v>
      </c>
      <c r="X102" s="50">
        <v>1</v>
      </c>
      <c r="Y102" s="66" t="s">
        <v>45</v>
      </c>
    </row>
    <row r="103" spans="1:25" x14ac:dyDescent="0.35">
      <c r="A103" s="67">
        <v>0.20411998265592479</v>
      </c>
      <c r="B103" s="52" t="s">
        <v>59</v>
      </c>
      <c r="C103" s="52">
        <v>2.3835616438356166</v>
      </c>
      <c r="D103" s="50">
        <f t="shared" si="7"/>
        <v>0.37722638816214388</v>
      </c>
      <c r="E103" s="52">
        <v>0</v>
      </c>
      <c r="F103" s="52">
        <v>0</v>
      </c>
      <c r="G103" s="52">
        <v>3.29</v>
      </c>
      <c r="H103" s="50">
        <f t="shared" si="8"/>
        <v>0.51719589794997434</v>
      </c>
      <c r="I103" s="52">
        <v>0</v>
      </c>
      <c r="J103" s="52">
        <v>9.3421685162235063E-2</v>
      </c>
      <c r="K103" s="52">
        <v>19</v>
      </c>
      <c r="L103" s="50">
        <f t="shared" si="9"/>
        <v>1.2787536009528289</v>
      </c>
      <c r="M103" s="52">
        <v>0</v>
      </c>
      <c r="N103" s="52">
        <v>85</v>
      </c>
      <c r="O103" s="50">
        <f t="shared" si="10"/>
        <v>1.9294189257142926</v>
      </c>
      <c r="P103" s="52">
        <v>31.3</v>
      </c>
      <c r="Q103" s="50">
        <f t="shared" si="11"/>
        <v>1.4955443375464486</v>
      </c>
      <c r="R103" s="52">
        <v>38.7850112673514</v>
      </c>
      <c r="S103" s="50">
        <f t="shared" si="12"/>
        <v>1.5886639219461918</v>
      </c>
      <c r="T103" s="52">
        <v>3.2555397552391718</v>
      </c>
      <c r="U103" s="52">
        <v>3.9251377713585649</v>
      </c>
      <c r="V103" s="187">
        <v>50000000</v>
      </c>
      <c r="W103" s="186">
        <f t="shared" si="13"/>
        <v>7.6989700043360187</v>
      </c>
      <c r="X103" s="52">
        <v>5</v>
      </c>
      <c r="Y103" s="68" t="s">
        <v>577</v>
      </c>
    </row>
    <row r="104" spans="1:25" x14ac:dyDescent="0.35">
      <c r="A104" s="49">
        <v>0.79928626603598674</v>
      </c>
      <c r="B104" s="50" t="s">
        <v>59</v>
      </c>
      <c r="C104" s="50">
        <v>2.5671232876712327</v>
      </c>
      <c r="D104" s="50">
        <f t="shared" si="7"/>
        <v>0.40944672643130353</v>
      </c>
      <c r="E104" s="50">
        <v>0</v>
      </c>
      <c r="F104" s="50">
        <v>1.2041199826559248</v>
      </c>
      <c r="G104" s="50">
        <v>3.29</v>
      </c>
      <c r="H104" s="50">
        <f t="shared" si="8"/>
        <v>0.51719589794997434</v>
      </c>
      <c r="I104" s="50">
        <v>0</v>
      </c>
      <c r="J104" s="50">
        <v>0.11394335230683679</v>
      </c>
      <c r="K104" s="50">
        <v>19</v>
      </c>
      <c r="L104" s="50">
        <f t="shared" si="9"/>
        <v>1.2787536009528289</v>
      </c>
      <c r="M104" s="50">
        <v>0</v>
      </c>
      <c r="N104" s="50">
        <v>85</v>
      </c>
      <c r="O104" s="50">
        <f t="shared" si="10"/>
        <v>1.9294189257142926</v>
      </c>
      <c r="P104" s="50">
        <v>31.3</v>
      </c>
      <c r="Q104" s="50">
        <f t="shared" si="11"/>
        <v>1.4955443375464486</v>
      </c>
      <c r="R104" s="50">
        <v>38.7850112673514</v>
      </c>
      <c r="S104" s="50">
        <f t="shared" si="12"/>
        <v>1.5886639219461918</v>
      </c>
      <c r="T104" s="50">
        <v>3.2555397552391718</v>
      </c>
      <c r="U104" s="50">
        <v>3.9251377713585649</v>
      </c>
      <c r="V104" s="186">
        <v>50800000</v>
      </c>
      <c r="W104" s="186">
        <f t="shared" si="13"/>
        <v>7.7058637122839189</v>
      </c>
      <c r="X104" s="50">
        <v>5</v>
      </c>
      <c r="Y104" s="66" t="s">
        <v>577</v>
      </c>
    </row>
    <row r="105" spans="1:25" x14ac:dyDescent="0.35">
      <c r="A105" s="67">
        <v>-2</v>
      </c>
      <c r="B105" s="52" t="s">
        <v>45</v>
      </c>
      <c r="C105" s="52">
        <v>5.4684931506849317</v>
      </c>
      <c r="D105" s="50">
        <f t="shared" si="7"/>
        <v>0.73786767249487761</v>
      </c>
      <c r="E105" s="52">
        <v>0</v>
      </c>
      <c r="F105" s="52">
        <v>1.1139433523068367</v>
      </c>
      <c r="G105" s="52">
        <v>2.95</v>
      </c>
      <c r="H105" s="50">
        <f t="shared" si="8"/>
        <v>0.46982201597816303</v>
      </c>
      <c r="I105" s="52">
        <v>0</v>
      </c>
      <c r="J105" s="52">
        <v>-4.3648054024500883E-3</v>
      </c>
      <c r="K105" s="52">
        <v>38</v>
      </c>
      <c r="L105" s="50">
        <f t="shared" si="9"/>
        <v>1.5797835966168101</v>
      </c>
      <c r="M105" s="52">
        <v>0</v>
      </c>
      <c r="N105" s="52">
        <v>85</v>
      </c>
      <c r="O105" s="50">
        <f t="shared" si="10"/>
        <v>1.9294189257142926</v>
      </c>
      <c r="P105" s="52">
        <v>24.6</v>
      </c>
      <c r="Q105" s="50">
        <f t="shared" si="11"/>
        <v>1.3909351071033791</v>
      </c>
      <c r="R105" s="52">
        <v>36.876470987978301</v>
      </c>
      <c r="S105" s="50">
        <f t="shared" si="12"/>
        <v>1.5667493531684615</v>
      </c>
      <c r="T105" s="52">
        <v>3.1527645837352773</v>
      </c>
      <c r="U105" s="52">
        <v>3.5411223705253856</v>
      </c>
      <c r="V105" s="187">
        <v>51000000</v>
      </c>
      <c r="W105" s="186">
        <f t="shared" si="13"/>
        <v>7.7075701760979367</v>
      </c>
      <c r="X105" s="52">
        <v>2</v>
      </c>
      <c r="Y105" s="68" t="s">
        <v>602</v>
      </c>
    </row>
    <row r="106" spans="1:25" x14ac:dyDescent="0.35">
      <c r="A106" s="49">
        <v>-0.43880684783884277</v>
      </c>
      <c r="B106" s="83" t="s">
        <v>59</v>
      </c>
      <c r="C106" s="50">
        <v>9.2657534246575342</v>
      </c>
      <c r="D106" s="50">
        <f t="shared" si="7"/>
        <v>0.96688073880524827</v>
      </c>
      <c r="E106" s="50">
        <v>0</v>
      </c>
      <c r="F106" s="50">
        <v>0</v>
      </c>
      <c r="G106" s="50">
        <v>3.29</v>
      </c>
      <c r="H106" s="50">
        <f t="shared" si="8"/>
        <v>0.51719589794997434</v>
      </c>
      <c r="I106" s="50">
        <v>0</v>
      </c>
      <c r="J106" s="50">
        <v>0.17897694729316943</v>
      </c>
      <c r="K106" s="50">
        <v>0</v>
      </c>
      <c r="L106" s="50">
        <f t="shared" si="9"/>
        <v>0</v>
      </c>
      <c r="M106" s="50">
        <v>0</v>
      </c>
      <c r="N106" s="50">
        <v>85</v>
      </c>
      <c r="O106" s="50">
        <f t="shared" si="10"/>
        <v>1.9294189257142926</v>
      </c>
      <c r="P106" s="50">
        <v>30</v>
      </c>
      <c r="Q106" s="50">
        <f t="shared" si="11"/>
        <v>1.4771212547196624</v>
      </c>
      <c r="R106" s="50">
        <v>35.807885111275297</v>
      </c>
      <c r="S106" s="50">
        <f t="shared" si="12"/>
        <v>1.5539786714272548</v>
      </c>
      <c r="T106" s="50">
        <v>3.2860283894181141</v>
      </c>
      <c r="U106" s="50">
        <v>3.9098977130890344</v>
      </c>
      <c r="V106" s="186">
        <v>52000000</v>
      </c>
      <c r="W106" s="186">
        <f t="shared" si="13"/>
        <v>7.7160033436347994</v>
      </c>
      <c r="X106" s="50">
        <v>7</v>
      </c>
      <c r="Y106" s="102" t="s">
        <v>59</v>
      </c>
    </row>
    <row r="107" spans="1:25" x14ac:dyDescent="0.35">
      <c r="A107" s="67">
        <v>0.69897000433601886</v>
      </c>
      <c r="B107" s="52" t="s">
        <v>45</v>
      </c>
      <c r="C107" s="52">
        <v>4.978082191780822</v>
      </c>
      <c r="D107" s="50">
        <f t="shared" si="7"/>
        <v>0.69706206285155958</v>
      </c>
      <c r="E107" s="52">
        <v>0</v>
      </c>
      <c r="F107" s="52">
        <v>0</v>
      </c>
      <c r="G107" s="52">
        <v>2.95</v>
      </c>
      <c r="H107" s="50">
        <f t="shared" si="8"/>
        <v>0.46982201597816303</v>
      </c>
      <c r="I107" s="52">
        <v>0</v>
      </c>
      <c r="J107" s="52">
        <v>0.11058971029924898</v>
      </c>
      <c r="K107" s="52">
        <v>15</v>
      </c>
      <c r="L107" s="50">
        <f t="shared" si="9"/>
        <v>1.1760912590556813</v>
      </c>
      <c r="M107" s="52">
        <v>0</v>
      </c>
      <c r="N107" s="52">
        <v>85</v>
      </c>
      <c r="O107" s="50">
        <f t="shared" si="10"/>
        <v>1.9294189257142926</v>
      </c>
      <c r="P107" s="52">
        <v>24.9</v>
      </c>
      <c r="Q107" s="50">
        <f t="shared" si="11"/>
        <v>1.3961993470957363</v>
      </c>
      <c r="R107" s="52">
        <v>36.710134890601303</v>
      </c>
      <c r="S107" s="50">
        <f t="shared" si="12"/>
        <v>1.564785980312654</v>
      </c>
      <c r="T107" s="52">
        <v>3.0958500844125241</v>
      </c>
      <c r="U107" s="52">
        <v>3.5078178355445662</v>
      </c>
      <c r="V107" s="187">
        <v>52000000</v>
      </c>
      <c r="W107" s="186">
        <f t="shared" si="13"/>
        <v>7.7160033436347994</v>
      </c>
      <c r="X107" s="52">
        <v>9</v>
      </c>
      <c r="Y107" s="68" t="s">
        <v>602</v>
      </c>
    </row>
    <row r="108" spans="1:25" x14ac:dyDescent="0.35">
      <c r="A108" s="49">
        <v>-0.34515172353039719</v>
      </c>
      <c r="B108" s="50" t="s">
        <v>59</v>
      </c>
      <c r="C108" s="50">
        <v>1.8520547945205479</v>
      </c>
      <c r="D108" s="50">
        <f t="shared" si="7"/>
        <v>0.2676538314851612</v>
      </c>
      <c r="E108" s="50">
        <v>0</v>
      </c>
      <c r="F108" s="50">
        <v>1.3617278360175928</v>
      </c>
      <c r="G108" s="50">
        <v>3.29</v>
      </c>
      <c r="H108" s="50">
        <f t="shared" si="8"/>
        <v>0.51719589794997434</v>
      </c>
      <c r="I108" s="50">
        <v>0</v>
      </c>
      <c r="J108" s="50">
        <v>0.12057393120584989</v>
      </c>
      <c r="K108" s="50">
        <v>18</v>
      </c>
      <c r="L108" s="50">
        <f t="shared" si="9"/>
        <v>1.255272505103306</v>
      </c>
      <c r="M108" s="50">
        <v>0</v>
      </c>
      <c r="N108" s="50">
        <v>85</v>
      </c>
      <c r="O108" s="50">
        <f t="shared" si="10"/>
        <v>1.9294189257142926</v>
      </c>
      <c r="P108" s="50">
        <v>31.5</v>
      </c>
      <c r="Q108" s="50">
        <f t="shared" si="11"/>
        <v>1.4983105537896004</v>
      </c>
      <c r="R108" s="50">
        <v>37.589394702761602</v>
      </c>
      <c r="S108" s="50">
        <f t="shared" si="12"/>
        <v>1.575065332381355</v>
      </c>
      <c r="T108" s="50">
        <v>3.2555397552391718</v>
      </c>
      <c r="U108" s="50">
        <v>3.9251377713585649</v>
      </c>
      <c r="V108" s="186">
        <v>53000000</v>
      </c>
      <c r="W108" s="186">
        <f t="shared" si="13"/>
        <v>7.7242758696007892</v>
      </c>
      <c r="X108" s="50">
        <v>7</v>
      </c>
      <c r="Y108" s="66" t="s">
        <v>577</v>
      </c>
    </row>
    <row r="109" spans="1:25" x14ac:dyDescent="0.35">
      <c r="A109" s="67">
        <v>-4.8952980787425474E-4</v>
      </c>
      <c r="B109" s="52" t="s">
        <v>59</v>
      </c>
      <c r="C109" s="52">
        <v>3.128767123287671</v>
      </c>
      <c r="D109" s="50">
        <f t="shared" si="7"/>
        <v>0.49537323945335449</v>
      </c>
      <c r="E109" s="52">
        <v>3.7707754512906644</v>
      </c>
      <c r="F109" s="52">
        <v>1.9030899869919435</v>
      </c>
      <c r="G109" s="52">
        <v>2.3199999999999998</v>
      </c>
      <c r="H109" s="50">
        <f t="shared" si="8"/>
        <v>0.36548798489089962</v>
      </c>
      <c r="I109" s="52">
        <v>2.1238516409670858</v>
      </c>
      <c r="J109" s="52">
        <v>-0.13076828026902382</v>
      </c>
      <c r="K109" s="52">
        <v>18</v>
      </c>
      <c r="L109" s="50">
        <f t="shared" si="9"/>
        <v>1.255272505103306</v>
      </c>
      <c r="M109" s="52">
        <v>1</v>
      </c>
      <c r="N109" s="52">
        <v>85</v>
      </c>
      <c r="O109" s="50">
        <f t="shared" si="10"/>
        <v>1.9294189257142926</v>
      </c>
      <c r="P109" s="52">
        <v>32.700000000000003</v>
      </c>
      <c r="Q109" s="50">
        <f t="shared" si="11"/>
        <v>1.5145477526602862</v>
      </c>
      <c r="R109" s="52">
        <v>41.286751495766303</v>
      </c>
      <c r="S109" s="50">
        <f t="shared" si="12"/>
        <v>1.6158107132703448</v>
      </c>
      <c r="T109" s="52">
        <v>3.0958500844125241</v>
      </c>
      <c r="U109" s="52">
        <v>3.5078178355445662</v>
      </c>
      <c r="V109" s="187">
        <v>53260000</v>
      </c>
      <c r="W109" s="186">
        <f t="shared" si="13"/>
        <v>7.7264011621029223</v>
      </c>
      <c r="X109" s="52">
        <v>8</v>
      </c>
      <c r="Y109" s="68" t="s">
        <v>602</v>
      </c>
    </row>
    <row r="110" spans="1:25" x14ac:dyDescent="0.35">
      <c r="A110" s="49">
        <v>0.44944982812180406</v>
      </c>
      <c r="B110" s="50" t="s">
        <v>59</v>
      </c>
      <c r="C110" s="50">
        <v>2.3452054794520549</v>
      </c>
      <c r="D110" s="50">
        <f t="shared" si="7"/>
        <v>0.37018090022067857</v>
      </c>
      <c r="E110" s="50">
        <v>0</v>
      </c>
      <c r="F110" s="50">
        <v>0.6020599913279624</v>
      </c>
      <c r="G110" s="50">
        <v>3.29</v>
      </c>
      <c r="H110" s="50">
        <f t="shared" si="8"/>
        <v>0.51719589794997434</v>
      </c>
      <c r="I110" s="50">
        <v>0</v>
      </c>
      <c r="J110" s="50">
        <v>-6.5501548756432285E-2</v>
      </c>
      <c r="K110" s="50">
        <v>16</v>
      </c>
      <c r="L110" s="50">
        <f t="shared" si="9"/>
        <v>1.2041199826559248</v>
      </c>
      <c r="M110" s="50">
        <v>0</v>
      </c>
      <c r="N110" s="50">
        <v>85</v>
      </c>
      <c r="O110" s="50">
        <f t="shared" si="10"/>
        <v>1.9294189257142926</v>
      </c>
      <c r="P110" s="50">
        <v>32.6</v>
      </c>
      <c r="Q110" s="50">
        <f t="shared" si="11"/>
        <v>1.5132176000679389</v>
      </c>
      <c r="R110" s="50">
        <v>36.544739309553499</v>
      </c>
      <c r="S110" s="50">
        <f t="shared" si="12"/>
        <v>1.5628248682086028</v>
      </c>
      <c r="T110" s="50">
        <v>3.3833706119727633</v>
      </c>
      <c r="U110" s="50">
        <v>3.9798077985646683</v>
      </c>
      <c r="V110" s="186">
        <v>54000000</v>
      </c>
      <c r="W110" s="186">
        <f t="shared" si="13"/>
        <v>7.7323937598229682</v>
      </c>
      <c r="X110" s="50">
        <v>5</v>
      </c>
      <c r="Y110" s="66" t="s">
        <v>59</v>
      </c>
    </row>
    <row r="111" spans="1:25" x14ac:dyDescent="0.35">
      <c r="A111" s="67">
        <v>1.182622126214639</v>
      </c>
      <c r="B111" s="84" t="s">
        <v>45</v>
      </c>
      <c r="C111" s="52">
        <v>6.2547945205479456</v>
      </c>
      <c r="D111" s="50">
        <f t="shared" si="7"/>
        <v>0.79621304703376061</v>
      </c>
      <c r="E111" s="52">
        <v>0</v>
      </c>
      <c r="F111" s="52">
        <v>1.4771212547196624</v>
      </c>
      <c r="G111" s="52">
        <v>2.95</v>
      </c>
      <c r="H111" s="50">
        <f t="shared" si="8"/>
        <v>0.46982201597816303</v>
      </c>
      <c r="I111" s="52">
        <v>0</v>
      </c>
      <c r="J111" s="52">
        <v>8.6359830674748214E-2</v>
      </c>
      <c r="K111" s="52">
        <v>0</v>
      </c>
      <c r="L111" s="50">
        <f t="shared" si="9"/>
        <v>0</v>
      </c>
      <c r="M111" s="52">
        <v>0</v>
      </c>
      <c r="N111" s="52">
        <v>85</v>
      </c>
      <c r="O111" s="50">
        <f t="shared" si="10"/>
        <v>1.9294189257142926</v>
      </c>
      <c r="P111" s="52">
        <v>27</v>
      </c>
      <c r="Q111" s="50">
        <f t="shared" si="11"/>
        <v>1.4313637641589874</v>
      </c>
      <c r="R111" s="52">
        <v>37.123527923893597</v>
      </c>
      <c r="S111" s="50">
        <f t="shared" si="12"/>
        <v>1.5696492413904459</v>
      </c>
      <c r="T111" s="52">
        <v>3.3487219865577531</v>
      </c>
      <c r="U111" s="52">
        <v>3.7520876635386311</v>
      </c>
      <c r="V111" s="187">
        <v>55000000</v>
      </c>
      <c r="W111" s="186">
        <f t="shared" si="13"/>
        <v>7.7403626894942441</v>
      </c>
      <c r="X111" s="52">
        <v>8</v>
      </c>
      <c r="Y111" s="103" t="s">
        <v>45</v>
      </c>
    </row>
    <row r="112" spans="1:25" x14ac:dyDescent="0.35">
      <c r="A112" s="49">
        <v>0.19634405574552369</v>
      </c>
      <c r="B112" s="50" t="s">
        <v>45</v>
      </c>
      <c r="C112" s="50">
        <v>4.5342465753424657</v>
      </c>
      <c r="D112" s="50">
        <f t="shared" si="7"/>
        <v>0.65650513365526286</v>
      </c>
      <c r="E112" s="50">
        <v>0</v>
      </c>
      <c r="F112" s="50">
        <v>1.7403626894942439</v>
      </c>
      <c r="G112" s="50">
        <v>2.95</v>
      </c>
      <c r="H112" s="50">
        <f t="shared" si="8"/>
        <v>0.46982201597816303</v>
      </c>
      <c r="I112" s="50">
        <v>0</v>
      </c>
      <c r="J112" s="50">
        <v>-7.0581074285707285E-2</v>
      </c>
      <c r="K112" s="50">
        <v>6</v>
      </c>
      <c r="L112" s="50">
        <f t="shared" si="9"/>
        <v>0.77815125038364363</v>
      </c>
      <c r="M112" s="50">
        <v>0</v>
      </c>
      <c r="N112" s="50">
        <v>91.4</v>
      </c>
      <c r="O112" s="50">
        <f t="shared" si="10"/>
        <v>1.9609461957338314</v>
      </c>
      <c r="P112" s="50">
        <v>26.7</v>
      </c>
      <c r="Q112" s="50">
        <f t="shared" si="11"/>
        <v>1.4265112613645752</v>
      </c>
      <c r="R112" s="50">
        <v>37.425715444240403</v>
      </c>
      <c r="S112" s="50">
        <f t="shared" si="12"/>
        <v>1.5731701112332821</v>
      </c>
      <c r="T112" s="50">
        <v>3.792430514795639</v>
      </c>
      <c r="U112" s="50">
        <v>3.5446460310848829</v>
      </c>
      <c r="V112" s="186">
        <v>55930000</v>
      </c>
      <c r="W112" s="186">
        <f t="shared" si="13"/>
        <v>7.7476448193282481</v>
      </c>
      <c r="X112" s="50">
        <v>6</v>
      </c>
      <c r="Y112" s="66" t="s">
        <v>45</v>
      </c>
    </row>
    <row r="113" spans="1:25" x14ac:dyDescent="0.35">
      <c r="A113" s="67">
        <v>0.98506145820071134</v>
      </c>
      <c r="B113" s="52" t="s">
        <v>2</v>
      </c>
      <c r="C113" s="52">
        <v>4.6356164383561644</v>
      </c>
      <c r="D113" s="50">
        <f t="shared" si="7"/>
        <v>0.66610749424653004</v>
      </c>
      <c r="E113" s="52">
        <v>3.1177384910037165</v>
      </c>
      <c r="F113" s="52">
        <v>1.6232492903979006</v>
      </c>
      <c r="G113" s="52">
        <v>2.99</v>
      </c>
      <c r="H113" s="50">
        <f t="shared" si="8"/>
        <v>0.47567118832442967</v>
      </c>
      <c r="I113" s="52">
        <v>2.8969852540843504</v>
      </c>
      <c r="J113" s="52">
        <v>0.11058971029924898</v>
      </c>
      <c r="K113" s="52">
        <v>13</v>
      </c>
      <c r="L113" s="50">
        <f t="shared" si="9"/>
        <v>1.1139433523068367</v>
      </c>
      <c r="M113" s="52">
        <v>1</v>
      </c>
      <c r="N113" s="52">
        <v>70</v>
      </c>
      <c r="O113" s="50">
        <f t="shared" si="10"/>
        <v>1.8450980400142569</v>
      </c>
      <c r="P113" s="52">
        <v>34.4</v>
      </c>
      <c r="Q113" s="50">
        <f t="shared" si="11"/>
        <v>1.5365584425715302</v>
      </c>
      <c r="R113" s="52">
        <v>47.264053157349203</v>
      </c>
      <c r="S113" s="50">
        <f t="shared" si="12"/>
        <v>1.6745309620782511</v>
      </c>
      <c r="T113" s="52">
        <v>3.277819633965128</v>
      </c>
      <c r="U113" s="52">
        <v>3.9304083853612104</v>
      </c>
      <c r="V113" s="187">
        <v>57890000</v>
      </c>
      <c r="W113" s="186">
        <f t="shared" si="13"/>
        <v>7.7626035495668031</v>
      </c>
      <c r="X113" s="52">
        <v>5</v>
      </c>
      <c r="Y113" s="68" t="s">
        <v>577</v>
      </c>
    </row>
    <row r="114" spans="1:25" x14ac:dyDescent="0.35">
      <c r="A114" s="49">
        <v>-2</v>
      </c>
      <c r="B114" s="50" t="s">
        <v>45</v>
      </c>
      <c r="C114" s="50">
        <v>1.3095890410958904</v>
      </c>
      <c r="D114" s="50">
        <f t="shared" si="7"/>
        <v>0.11713503215564416</v>
      </c>
      <c r="E114" s="50">
        <v>0</v>
      </c>
      <c r="F114" s="50">
        <v>0.6020599913279624</v>
      </c>
      <c r="G114" s="50">
        <v>2.95</v>
      </c>
      <c r="H114" s="50">
        <f t="shared" si="8"/>
        <v>0.46982201597816303</v>
      </c>
      <c r="I114" s="50">
        <v>0</v>
      </c>
      <c r="J114" s="50">
        <v>-0.12493873660829995</v>
      </c>
      <c r="K114" s="50">
        <v>24</v>
      </c>
      <c r="L114" s="50">
        <f t="shared" si="9"/>
        <v>1.3802112417116059</v>
      </c>
      <c r="M114" s="50">
        <v>0</v>
      </c>
      <c r="N114" s="50">
        <v>85</v>
      </c>
      <c r="O114" s="50">
        <f t="shared" si="10"/>
        <v>1.9294189257142926</v>
      </c>
      <c r="P114" s="50">
        <v>28.2</v>
      </c>
      <c r="Q114" s="50">
        <f t="shared" si="11"/>
        <v>1.4502491083193612</v>
      </c>
      <c r="R114" s="50">
        <v>34.298950279384798</v>
      </c>
      <c r="S114" s="50">
        <f t="shared" si="12"/>
        <v>1.5352808286478177</v>
      </c>
      <c r="T114" s="50">
        <v>3.0687415514991745</v>
      </c>
      <c r="U114" s="50">
        <v>3.5297005493117593</v>
      </c>
      <c r="V114" s="186">
        <v>59000000</v>
      </c>
      <c r="W114" s="186">
        <f t="shared" si="13"/>
        <v>7.7708520116421438</v>
      </c>
      <c r="X114" s="50">
        <v>4</v>
      </c>
      <c r="Y114" s="66" t="s">
        <v>45</v>
      </c>
    </row>
    <row r="115" spans="1:25" x14ac:dyDescent="0.35">
      <c r="A115" s="67">
        <v>0.96614173273903259</v>
      </c>
      <c r="B115" s="52" t="s">
        <v>59</v>
      </c>
      <c r="C115" s="52">
        <v>1.5863013698630137</v>
      </c>
      <c r="D115" s="50">
        <f t="shared" si="7"/>
        <v>0.2003856992709615</v>
      </c>
      <c r="E115" s="52">
        <v>3.7707754512906644</v>
      </c>
      <c r="F115" s="52">
        <v>1.1139433523068367</v>
      </c>
      <c r="G115" s="52">
        <v>2.3199999999999998</v>
      </c>
      <c r="H115" s="50">
        <f t="shared" si="8"/>
        <v>0.36548798489089962</v>
      </c>
      <c r="I115" s="52">
        <v>2.1238516409670858</v>
      </c>
      <c r="J115" s="52">
        <v>-0.10237290870955855</v>
      </c>
      <c r="K115" s="52">
        <v>15</v>
      </c>
      <c r="L115" s="50">
        <f t="shared" si="9"/>
        <v>1.1760912590556813</v>
      </c>
      <c r="M115" s="52">
        <v>1</v>
      </c>
      <c r="N115" s="52">
        <v>85</v>
      </c>
      <c r="O115" s="50">
        <f t="shared" si="10"/>
        <v>1.9294189257142926</v>
      </c>
      <c r="P115" s="52">
        <v>32.9</v>
      </c>
      <c r="Q115" s="50">
        <f t="shared" si="11"/>
        <v>1.5171958979499742</v>
      </c>
      <c r="R115" s="52">
        <v>35.433808146393098</v>
      </c>
      <c r="S115" s="50">
        <f t="shared" si="12"/>
        <v>1.5494178293890581</v>
      </c>
      <c r="T115" s="52">
        <v>3.3647319918335836</v>
      </c>
      <c r="U115" s="52">
        <v>3.568659604598353</v>
      </c>
      <c r="V115" s="187">
        <v>60000000</v>
      </c>
      <c r="W115" s="186">
        <f t="shared" si="13"/>
        <v>7.7781512503836439</v>
      </c>
      <c r="X115" s="52">
        <v>6</v>
      </c>
      <c r="Y115" s="68" t="s">
        <v>602</v>
      </c>
    </row>
    <row r="116" spans="1:25" x14ac:dyDescent="0.35">
      <c r="A116" s="49">
        <v>0.9971862207753267</v>
      </c>
      <c r="B116" s="50" t="s">
        <v>45</v>
      </c>
      <c r="C116" s="50">
        <v>4.0465753424657533</v>
      </c>
      <c r="D116" s="50">
        <f t="shared" si="7"/>
        <v>0.60708763085547479</v>
      </c>
      <c r="E116" s="50">
        <v>3.7358167906061537</v>
      </c>
      <c r="F116" s="50">
        <v>1.3010299956639813</v>
      </c>
      <c r="G116" s="50">
        <v>2.81</v>
      </c>
      <c r="H116" s="50">
        <f t="shared" si="8"/>
        <v>0.44870631990507992</v>
      </c>
      <c r="I116" s="50">
        <v>2.103233406386928</v>
      </c>
      <c r="J116" s="50">
        <v>6.445798922691845E-2</v>
      </c>
      <c r="K116" s="50">
        <v>0</v>
      </c>
      <c r="L116" s="50">
        <f t="shared" si="9"/>
        <v>0</v>
      </c>
      <c r="M116" s="50">
        <v>1</v>
      </c>
      <c r="N116" s="50">
        <v>85</v>
      </c>
      <c r="O116" s="50">
        <f t="shared" si="10"/>
        <v>1.9294189257142926</v>
      </c>
      <c r="P116" s="50">
        <v>24.9</v>
      </c>
      <c r="Q116" s="50">
        <f t="shared" si="11"/>
        <v>1.3961993470957363</v>
      </c>
      <c r="R116" s="50">
        <v>36.710134890601303</v>
      </c>
      <c r="S116" s="50">
        <f t="shared" si="12"/>
        <v>1.564785980312654</v>
      </c>
      <c r="T116" s="50">
        <v>3.3884049978579722</v>
      </c>
      <c r="U116" s="50">
        <v>3.8579486949156889</v>
      </c>
      <c r="V116" s="186">
        <v>60390000</v>
      </c>
      <c r="W116" s="186">
        <f t="shared" si="13"/>
        <v>7.7809650296083168</v>
      </c>
      <c r="X116" s="50">
        <v>5</v>
      </c>
      <c r="Y116" s="66" t="s">
        <v>497</v>
      </c>
    </row>
    <row r="117" spans="1:25" x14ac:dyDescent="0.35">
      <c r="A117" s="67">
        <v>0.65402975999973634</v>
      </c>
      <c r="B117" s="108" t="s">
        <v>447</v>
      </c>
      <c r="C117" s="52">
        <v>2.8904109589041096</v>
      </c>
      <c r="D117" s="50">
        <f t="shared" si="7"/>
        <v>0.46095959517723678</v>
      </c>
      <c r="E117" s="52">
        <v>3.7845345619950592</v>
      </c>
      <c r="F117" s="52">
        <v>1.6532125137753437</v>
      </c>
      <c r="G117" s="52">
        <v>2.81</v>
      </c>
      <c r="H117" s="50">
        <f t="shared" si="8"/>
        <v>0.44870631990507992</v>
      </c>
      <c r="I117" s="52">
        <v>2.9168924084376502</v>
      </c>
      <c r="J117" s="52">
        <v>0.11394335230683679</v>
      </c>
      <c r="K117" s="52">
        <v>27</v>
      </c>
      <c r="L117" s="50">
        <f t="shared" si="9"/>
        <v>1.4313637641589874</v>
      </c>
      <c r="M117" s="52">
        <v>1</v>
      </c>
      <c r="N117" s="52">
        <v>77.5</v>
      </c>
      <c r="O117" s="50">
        <f t="shared" si="10"/>
        <v>1.8893017025063104</v>
      </c>
      <c r="P117" s="52">
        <v>33.590000000000003</v>
      </c>
      <c r="Q117" s="50">
        <f t="shared" si="11"/>
        <v>1.5262100038416644</v>
      </c>
      <c r="R117" s="52">
        <v>43.725055842540201</v>
      </c>
      <c r="S117" s="50">
        <f t="shared" si="12"/>
        <v>1.6407303728011791</v>
      </c>
      <c r="T117" s="52">
        <v>3.2302554789881364</v>
      </c>
      <c r="U117" s="52">
        <v>3.7665752718932795</v>
      </c>
      <c r="V117" s="187">
        <v>60465000</v>
      </c>
      <c r="W117" s="186">
        <f t="shared" si="13"/>
        <v>7.7815040572087328</v>
      </c>
      <c r="X117" s="52">
        <v>7</v>
      </c>
      <c r="Y117" s="109" t="s">
        <v>45</v>
      </c>
    </row>
    <row r="118" spans="1:25" x14ac:dyDescent="0.35">
      <c r="A118" s="49">
        <v>0.93175331002877337</v>
      </c>
      <c r="B118" s="50" t="s">
        <v>45</v>
      </c>
      <c r="C118" s="50">
        <v>7.8876712328767127</v>
      </c>
      <c r="D118" s="50">
        <f t="shared" si="7"/>
        <v>0.8969488004216073</v>
      </c>
      <c r="E118" s="50">
        <v>3.7358167906061537</v>
      </c>
      <c r="F118" s="50">
        <v>0</v>
      </c>
      <c r="G118" s="50">
        <v>2.81</v>
      </c>
      <c r="H118" s="50">
        <f t="shared" si="8"/>
        <v>0.44870631990507992</v>
      </c>
      <c r="I118" s="50">
        <v>2.103233406386928</v>
      </c>
      <c r="J118" s="50">
        <v>0.42813479402878879</v>
      </c>
      <c r="K118" s="50">
        <v>7</v>
      </c>
      <c r="L118" s="50">
        <f t="shared" si="9"/>
        <v>0.84509804001425681</v>
      </c>
      <c r="M118" s="50">
        <v>1</v>
      </c>
      <c r="N118" s="50">
        <v>91.3</v>
      </c>
      <c r="O118" s="50">
        <f t="shared" si="10"/>
        <v>1.9604707775342989</v>
      </c>
      <c r="P118" s="50">
        <v>23.5</v>
      </c>
      <c r="Q118" s="50">
        <f t="shared" si="11"/>
        <v>1.3710678622717363</v>
      </c>
      <c r="R118" s="50">
        <v>43.1672842383418</v>
      </c>
      <c r="S118" s="50">
        <f t="shared" si="12"/>
        <v>1.6351547269652249</v>
      </c>
      <c r="T118" s="50">
        <v>3.3884049978579722</v>
      </c>
      <c r="U118" s="50">
        <v>3.8579486949156889</v>
      </c>
      <c r="V118" s="186">
        <v>61120000</v>
      </c>
      <c r="W118" s="186">
        <f t="shared" si="13"/>
        <v>7.7861833455676335</v>
      </c>
      <c r="X118" s="50">
        <v>6</v>
      </c>
      <c r="Y118" s="66" t="s">
        <v>497</v>
      </c>
    </row>
    <row r="119" spans="1:25" x14ac:dyDescent="0.35">
      <c r="A119" s="67">
        <v>0.25065023940252346</v>
      </c>
      <c r="B119" s="52" t="s">
        <v>5</v>
      </c>
      <c r="C119" s="52">
        <v>7.4657534246575343</v>
      </c>
      <c r="D119" s="50">
        <f t="shared" si="7"/>
        <v>0.87307364215618655</v>
      </c>
      <c r="E119" s="52">
        <v>2.9607370758409366</v>
      </c>
      <c r="F119" s="52">
        <v>2.2430380486862944</v>
      </c>
      <c r="G119" s="52">
        <v>3.26</v>
      </c>
      <c r="H119" s="50">
        <f t="shared" si="8"/>
        <v>0.51321760006793893</v>
      </c>
      <c r="I119" s="52">
        <v>3.0947621912367507</v>
      </c>
      <c r="J119" s="52">
        <v>8.6001717619175692E-3</v>
      </c>
      <c r="K119" s="52">
        <v>10</v>
      </c>
      <c r="L119" s="50">
        <f t="shared" si="9"/>
        <v>1</v>
      </c>
      <c r="M119" s="52">
        <v>1</v>
      </c>
      <c r="N119" s="52">
        <v>70</v>
      </c>
      <c r="O119" s="50">
        <f t="shared" si="10"/>
        <v>1.8450980400142569</v>
      </c>
      <c r="P119" s="52">
        <v>37.200000000000003</v>
      </c>
      <c r="Q119" s="50">
        <f t="shared" si="11"/>
        <v>1.5705429398818975</v>
      </c>
      <c r="R119" s="52">
        <v>43.419976684252802</v>
      </c>
      <c r="S119" s="50">
        <f t="shared" si="12"/>
        <v>1.6376895859101317</v>
      </c>
      <c r="T119" s="52">
        <v>3.277819633965128</v>
      </c>
      <c r="U119" s="52">
        <v>3.9304083853612104</v>
      </c>
      <c r="V119" s="187">
        <v>61765000</v>
      </c>
      <c r="W119" s="186">
        <f t="shared" si="13"/>
        <v>7.7907424457557015</v>
      </c>
      <c r="X119" s="52">
        <v>7</v>
      </c>
      <c r="Y119" s="68" t="s">
        <v>577</v>
      </c>
    </row>
    <row r="120" spans="1:25" x14ac:dyDescent="0.35">
      <c r="A120" s="49">
        <v>0.44193238125204243</v>
      </c>
      <c r="B120" s="50" t="s">
        <v>59</v>
      </c>
      <c r="C120" s="50">
        <v>6.1863013698630134</v>
      </c>
      <c r="D120" s="50">
        <f t="shared" si="7"/>
        <v>0.79143107313247429</v>
      </c>
      <c r="E120" s="50">
        <v>3.7707754512906644</v>
      </c>
      <c r="F120" s="50">
        <v>0.77815125038364363</v>
      </c>
      <c r="G120" s="50">
        <v>2.3199999999999998</v>
      </c>
      <c r="H120" s="50">
        <f t="shared" si="8"/>
        <v>0.36548798489089962</v>
      </c>
      <c r="I120" s="50">
        <v>2.1238516409670858</v>
      </c>
      <c r="J120" s="50">
        <v>0.28555730900777382</v>
      </c>
      <c r="K120" s="50">
        <v>25</v>
      </c>
      <c r="L120" s="50">
        <f t="shared" si="9"/>
        <v>1.3979400086720377</v>
      </c>
      <c r="M120" s="50">
        <v>1</v>
      </c>
      <c r="N120" s="50">
        <v>94.7</v>
      </c>
      <c r="O120" s="50">
        <f t="shared" si="10"/>
        <v>1.9763499790032735</v>
      </c>
      <c r="P120" s="50">
        <v>32.4</v>
      </c>
      <c r="Q120" s="50">
        <f t="shared" si="11"/>
        <v>1.510545010206612</v>
      </c>
      <c r="R120" s="50">
        <v>45.737088331856903</v>
      </c>
      <c r="S120" s="50">
        <f t="shared" si="12"/>
        <v>1.6602685135357675</v>
      </c>
      <c r="T120" s="50">
        <v>3.0958500844125241</v>
      </c>
      <c r="U120" s="50">
        <v>3.5078178355445662</v>
      </c>
      <c r="V120" s="186">
        <v>61824279</v>
      </c>
      <c r="W120" s="186">
        <f t="shared" si="13"/>
        <v>7.7911590602836815</v>
      </c>
      <c r="X120" s="50">
        <v>7</v>
      </c>
      <c r="Y120" s="66" t="s">
        <v>602</v>
      </c>
    </row>
    <row r="121" spans="1:25" x14ac:dyDescent="0.35">
      <c r="A121" s="67">
        <v>0.43805723188001999</v>
      </c>
      <c r="B121" s="52" t="s">
        <v>59</v>
      </c>
      <c r="C121" s="52">
        <v>2.0301369863013701</v>
      </c>
      <c r="D121" s="50">
        <f t="shared" si="7"/>
        <v>0.30752534352285349</v>
      </c>
      <c r="E121" s="52">
        <v>3.7707754512906644</v>
      </c>
      <c r="F121" s="52">
        <v>1.3222192947339193</v>
      </c>
      <c r="G121" s="52">
        <v>2.3199999999999998</v>
      </c>
      <c r="H121" s="50">
        <f t="shared" si="8"/>
        <v>0.36548798489089962</v>
      </c>
      <c r="I121" s="52">
        <v>2.1238516409670858</v>
      </c>
      <c r="J121" s="52">
        <v>4.3213737826425782E-3</v>
      </c>
      <c r="K121" s="52">
        <v>7</v>
      </c>
      <c r="L121" s="50">
        <f t="shared" si="9"/>
        <v>0.84509804001425681</v>
      </c>
      <c r="M121" s="52">
        <v>1</v>
      </c>
      <c r="N121" s="52">
        <v>91.5</v>
      </c>
      <c r="O121" s="50">
        <f t="shared" si="10"/>
        <v>1.9614210940664483</v>
      </c>
      <c r="P121" s="52">
        <v>32.9</v>
      </c>
      <c r="Q121" s="50">
        <f t="shared" si="11"/>
        <v>1.5171958979499742</v>
      </c>
      <c r="R121" s="52">
        <v>40.767390998852598</v>
      </c>
      <c r="S121" s="50">
        <f t="shared" si="12"/>
        <v>1.6103129186864549</v>
      </c>
      <c r="T121" s="52">
        <v>3.754643753838935</v>
      </c>
      <c r="U121" s="52">
        <v>3.8024607474309908</v>
      </c>
      <c r="V121" s="187">
        <v>62000000</v>
      </c>
      <c r="W121" s="186">
        <f t="shared" si="13"/>
        <v>7.7923916894982534</v>
      </c>
      <c r="X121" s="52">
        <v>9</v>
      </c>
      <c r="Y121" s="68" t="s">
        <v>45</v>
      </c>
    </row>
    <row r="122" spans="1:25" x14ac:dyDescent="0.35">
      <c r="A122" s="49">
        <v>1.0469501621191397</v>
      </c>
      <c r="B122" s="50" t="s">
        <v>2</v>
      </c>
      <c r="C122" s="50">
        <v>5.5095890410958903</v>
      </c>
      <c r="D122" s="50">
        <f t="shared" si="7"/>
        <v>0.74111920614026727</v>
      </c>
      <c r="E122" s="50">
        <v>3.8335760926148099</v>
      </c>
      <c r="F122" s="50">
        <v>1.9637878273455553</v>
      </c>
      <c r="G122" s="50">
        <v>2.85</v>
      </c>
      <c r="H122" s="50">
        <f t="shared" si="8"/>
        <v>0.45484486000851021</v>
      </c>
      <c r="I122" s="50">
        <v>2.9138138523837167</v>
      </c>
      <c r="J122" s="50">
        <v>-3.6212172654444715E-2</v>
      </c>
      <c r="K122" s="50">
        <v>12</v>
      </c>
      <c r="L122" s="50">
        <f t="shared" si="9"/>
        <v>1.0791812460476249</v>
      </c>
      <c r="M122" s="50">
        <v>1</v>
      </c>
      <c r="N122" s="50">
        <v>70</v>
      </c>
      <c r="O122" s="50">
        <f t="shared" si="10"/>
        <v>1.8450980400142569</v>
      </c>
      <c r="P122" s="50">
        <v>36.200000000000003</v>
      </c>
      <c r="Q122" s="50">
        <f t="shared" si="11"/>
        <v>1.5587085705331658</v>
      </c>
      <c r="R122" s="50">
        <v>47.694345434117203</v>
      </c>
      <c r="S122" s="50">
        <f t="shared" si="12"/>
        <v>1.6784668928277571</v>
      </c>
      <c r="T122" s="50">
        <v>3.0958500844125241</v>
      </c>
      <c r="U122" s="50">
        <v>3.5078178355445662</v>
      </c>
      <c r="V122" s="186">
        <v>62827225</v>
      </c>
      <c r="W122" s="186">
        <f t="shared" si="13"/>
        <v>7.7981478778951168</v>
      </c>
      <c r="X122" s="50">
        <v>1</v>
      </c>
      <c r="Y122" s="66" t="s">
        <v>602</v>
      </c>
    </row>
    <row r="123" spans="1:25" x14ac:dyDescent="0.35">
      <c r="A123" s="67">
        <v>0.29196006238313771</v>
      </c>
      <c r="B123" s="52" t="s">
        <v>2</v>
      </c>
      <c r="C123" s="52">
        <v>2.7260273972602738</v>
      </c>
      <c r="D123" s="50">
        <f t="shared" si="7"/>
        <v>0.4355302162892507</v>
      </c>
      <c r="E123" s="52">
        <v>3.8335760926148099</v>
      </c>
      <c r="F123" s="52">
        <v>1.3424226808222062</v>
      </c>
      <c r="G123" s="52">
        <v>2.85</v>
      </c>
      <c r="H123" s="50">
        <f t="shared" si="8"/>
        <v>0.45484486000851021</v>
      </c>
      <c r="I123" s="52">
        <v>2.9138138523837167</v>
      </c>
      <c r="J123" s="52">
        <v>0.12057393120584989</v>
      </c>
      <c r="K123" s="52">
        <v>18</v>
      </c>
      <c r="L123" s="50">
        <f t="shared" si="9"/>
        <v>1.255272505103306</v>
      </c>
      <c r="M123" s="52">
        <v>1</v>
      </c>
      <c r="N123" s="52">
        <v>70</v>
      </c>
      <c r="O123" s="50">
        <f t="shared" si="10"/>
        <v>1.8450980400142569</v>
      </c>
      <c r="P123" s="52">
        <v>34.4</v>
      </c>
      <c r="Q123" s="50">
        <f t="shared" si="11"/>
        <v>1.5365584425715302</v>
      </c>
      <c r="R123" s="52">
        <v>47.264053157349203</v>
      </c>
      <c r="S123" s="50">
        <f t="shared" si="12"/>
        <v>1.6745309620782511</v>
      </c>
      <c r="T123" s="52">
        <v>3.20911860699078</v>
      </c>
      <c r="U123" s="52">
        <v>3.5849986651910224</v>
      </c>
      <c r="V123" s="187">
        <v>62900000</v>
      </c>
      <c r="W123" s="186">
        <f t="shared" si="13"/>
        <v>7.7986506454452691</v>
      </c>
      <c r="X123" s="52">
        <v>5</v>
      </c>
      <c r="Y123" s="68" t="s">
        <v>45</v>
      </c>
    </row>
    <row r="124" spans="1:25" x14ac:dyDescent="0.35">
      <c r="A124" s="49">
        <v>0.59470324156447552</v>
      </c>
      <c r="B124" s="50" t="s">
        <v>2</v>
      </c>
      <c r="C124" s="50">
        <v>2.9753424657534246</v>
      </c>
      <c r="D124" s="50">
        <f t="shared" si="7"/>
        <v>0.47353696079635343</v>
      </c>
      <c r="E124" s="50">
        <v>3.8335760926148099</v>
      </c>
      <c r="F124" s="50">
        <v>0.3010299956639812</v>
      </c>
      <c r="G124" s="50">
        <v>2.85</v>
      </c>
      <c r="H124" s="50">
        <f t="shared" si="8"/>
        <v>0.45484486000851021</v>
      </c>
      <c r="I124" s="50">
        <v>2.9138138523837167</v>
      </c>
      <c r="J124" s="50">
        <v>0.11058971029924898</v>
      </c>
      <c r="K124" s="50">
        <v>43</v>
      </c>
      <c r="L124" s="50">
        <f t="shared" si="9"/>
        <v>1.6334684555795864</v>
      </c>
      <c r="M124" s="50">
        <v>1</v>
      </c>
      <c r="N124" s="50">
        <v>88.2</v>
      </c>
      <c r="O124" s="50">
        <f t="shared" si="10"/>
        <v>1.9454685851318196</v>
      </c>
      <c r="P124" s="50">
        <v>37</v>
      </c>
      <c r="Q124" s="50">
        <f t="shared" si="11"/>
        <v>1.568201724066995</v>
      </c>
      <c r="R124" s="50">
        <v>43.709255262622698</v>
      </c>
      <c r="S124" s="50">
        <f t="shared" si="12"/>
        <v>1.6405734068536693</v>
      </c>
      <c r="T124" s="50">
        <v>3.3900400165248765</v>
      </c>
      <c r="U124" s="50">
        <v>3.8670608679422993</v>
      </c>
      <c r="V124" s="186">
        <v>64000000</v>
      </c>
      <c r="W124" s="186">
        <f t="shared" si="13"/>
        <v>7.8061799739838875</v>
      </c>
      <c r="X124" s="50">
        <v>9</v>
      </c>
      <c r="Y124" s="66" t="s">
        <v>45</v>
      </c>
    </row>
    <row r="125" spans="1:25" x14ac:dyDescent="0.35">
      <c r="A125" s="67">
        <v>-2</v>
      </c>
      <c r="B125" s="52" t="s">
        <v>59</v>
      </c>
      <c r="C125" s="52">
        <v>5.3589041095890408</v>
      </c>
      <c r="D125" s="50">
        <f t="shared" si="7"/>
        <v>0.72907598599510792</v>
      </c>
      <c r="E125" s="52">
        <v>0</v>
      </c>
      <c r="F125" s="52">
        <v>1.6127838567197355</v>
      </c>
      <c r="G125" s="52">
        <v>3.29</v>
      </c>
      <c r="H125" s="50">
        <f t="shared" si="8"/>
        <v>0.51719589794997434</v>
      </c>
      <c r="I125" s="52">
        <v>0</v>
      </c>
      <c r="J125" s="52">
        <v>4.3213737826425782E-3</v>
      </c>
      <c r="K125" s="52">
        <v>20</v>
      </c>
      <c r="L125" s="50">
        <f t="shared" si="9"/>
        <v>1.3010299956639813</v>
      </c>
      <c r="M125" s="52">
        <v>0</v>
      </c>
      <c r="N125" s="52">
        <v>85</v>
      </c>
      <c r="O125" s="50">
        <f t="shared" si="10"/>
        <v>1.9294189257142926</v>
      </c>
      <c r="P125" s="52">
        <v>32.299999999999997</v>
      </c>
      <c r="Q125" s="50">
        <f t="shared" si="11"/>
        <v>1.5092025223311027</v>
      </c>
      <c r="R125" s="52">
        <v>40.040400531970803</v>
      </c>
      <c r="S125" s="50">
        <f t="shared" si="12"/>
        <v>1.6024984131617945</v>
      </c>
      <c r="T125" s="52">
        <v>3.2555397552391718</v>
      </c>
      <c r="U125" s="52">
        <v>3.9251377713585649</v>
      </c>
      <c r="V125" s="187">
        <v>64000000</v>
      </c>
      <c r="W125" s="186">
        <f t="shared" si="13"/>
        <v>7.8061799739838875</v>
      </c>
      <c r="X125" s="52">
        <v>5</v>
      </c>
      <c r="Y125" s="68" t="s">
        <v>577</v>
      </c>
    </row>
    <row r="126" spans="1:25" x14ac:dyDescent="0.35">
      <c r="A126" s="49">
        <v>0.1290946963794577</v>
      </c>
      <c r="B126" s="50" t="s">
        <v>163</v>
      </c>
      <c r="C126" s="50">
        <v>5.3287671232876717</v>
      </c>
      <c r="D126" s="50">
        <f t="shared" si="7"/>
        <v>0.72662674120525184</v>
      </c>
      <c r="E126" s="50">
        <v>2.5362300726332561</v>
      </c>
      <c r="F126" s="50">
        <v>1.0791812460476249</v>
      </c>
      <c r="G126" s="50">
        <v>2.3199999999999998</v>
      </c>
      <c r="H126" s="50">
        <f t="shared" si="8"/>
        <v>0.36548798489089962</v>
      </c>
      <c r="I126" s="50">
        <v>2.756001823801419</v>
      </c>
      <c r="J126" s="50">
        <v>-8.7739243075051505E-3</v>
      </c>
      <c r="K126" s="50">
        <v>0</v>
      </c>
      <c r="L126" s="50">
        <f t="shared" si="9"/>
        <v>0</v>
      </c>
      <c r="M126" s="50">
        <v>1</v>
      </c>
      <c r="N126" s="50">
        <v>87.2</v>
      </c>
      <c r="O126" s="50">
        <f t="shared" si="10"/>
        <v>1.9405164849325673</v>
      </c>
      <c r="P126" s="50">
        <v>42.5</v>
      </c>
      <c r="Q126" s="50">
        <f t="shared" si="11"/>
        <v>1.6283889300503116</v>
      </c>
      <c r="R126" s="50">
        <v>52.565521078007201</v>
      </c>
      <c r="S126" s="50">
        <f t="shared" si="12"/>
        <v>1.7207009738992591</v>
      </c>
      <c r="T126" s="50">
        <v>3.3209851425446502</v>
      </c>
      <c r="U126" s="50">
        <v>3.9950367434689285</v>
      </c>
      <c r="V126" s="186">
        <v>65000000</v>
      </c>
      <c r="W126" s="186">
        <f t="shared" si="13"/>
        <v>7.8129133566428557</v>
      </c>
      <c r="X126" s="50">
        <v>8</v>
      </c>
      <c r="Y126" s="66" t="s">
        <v>59</v>
      </c>
    </row>
    <row r="127" spans="1:25" x14ac:dyDescent="0.35">
      <c r="A127" s="67">
        <v>0.14469393041723971</v>
      </c>
      <c r="B127" s="52" t="s">
        <v>59</v>
      </c>
      <c r="C127" s="52">
        <v>5.0630136986301366</v>
      </c>
      <c r="D127" s="50">
        <f t="shared" si="7"/>
        <v>0.70440910242761312</v>
      </c>
      <c r="E127" s="52">
        <v>3.7707754512906644</v>
      </c>
      <c r="F127" s="52">
        <v>0.3010299956639812</v>
      </c>
      <c r="G127" s="52">
        <v>2.3199999999999998</v>
      </c>
      <c r="H127" s="50">
        <f t="shared" si="8"/>
        <v>0.36548798489089962</v>
      </c>
      <c r="I127" s="52">
        <v>2.1238516409670858</v>
      </c>
      <c r="J127" s="52">
        <v>-2.6872146400301365E-2</v>
      </c>
      <c r="K127" s="52">
        <v>39</v>
      </c>
      <c r="L127" s="50">
        <f t="shared" si="9"/>
        <v>1.5910646070264991</v>
      </c>
      <c r="M127" s="52">
        <v>1</v>
      </c>
      <c r="N127" s="52">
        <v>85</v>
      </c>
      <c r="O127" s="50">
        <f t="shared" si="10"/>
        <v>1.9294189257142926</v>
      </c>
      <c r="P127" s="52">
        <v>32.700000000000003</v>
      </c>
      <c r="Q127" s="50">
        <f t="shared" si="11"/>
        <v>1.5145477526602862</v>
      </c>
      <c r="R127" s="52">
        <v>41.286751495766303</v>
      </c>
      <c r="S127" s="50">
        <f t="shared" si="12"/>
        <v>1.6158107132703448</v>
      </c>
      <c r="T127" s="52">
        <v>3.1527645837352773</v>
      </c>
      <c r="U127" s="52">
        <v>3.5411223705253856</v>
      </c>
      <c r="V127" s="187">
        <v>65000000</v>
      </c>
      <c r="W127" s="186">
        <f t="shared" si="13"/>
        <v>7.8129133566428557</v>
      </c>
      <c r="X127" s="52">
        <v>2</v>
      </c>
      <c r="Y127" s="68" t="s">
        <v>602</v>
      </c>
    </row>
    <row r="128" spans="1:25" x14ac:dyDescent="0.35">
      <c r="A128" s="49">
        <v>0.39120662601306921</v>
      </c>
      <c r="B128" s="50" t="s">
        <v>59</v>
      </c>
      <c r="C128" s="50">
        <v>2.1698630136986301</v>
      </c>
      <c r="D128" s="50">
        <f t="shared" si="7"/>
        <v>0.3364323171330188</v>
      </c>
      <c r="E128" s="50">
        <v>3.7707754512906644</v>
      </c>
      <c r="F128" s="50">
        <v>1.1139433523068367</v>
      </c>
      <c r="G128" s="50">
        <v>2.3199999999999998</v>
      </c>
      <c r="H128" s="50">
        <f t="shared" si="8"/>
        <v>0.36548798489089962</v>
      </c>
      <c r="I128" s="50">
        <v>2.1238516409670858</v>
      </c>
      <c r="J128" s="50">
        <v>8.2785370316450071E-2</v>
      </c>
      <c r="K128" s="50">
        <v>16</v>
      </c>
      <c r="L128" s="50">
        <f t="shared" si="9"/>
        <v>1.2041199826559248</v>
      </c>
      <c r="M128" s="50">
        <v>1</v>
      </c>
      <c r="N128" s="50">
        <v>94.6</v>
      </c>
      <c r="O128" s="50">
        <f t="shared" si="10"/>
        <v>1.9758911364017928</v>
      </c>
      <c r="P128" s="50">
        <v>33.200000000000003</v>
      </c>
      <c r="Q128" s="50">
        <f t="shared" si="11"/>
        <v>1.5211380837040362</v>
      </c>
      <c r="R128" s="50">
        <v>45.921427555082097</v>
      </c>
      <c r="S128" s="50">
        <f t="shared" si="12"/>
        <v>1.6620153804713207</v>
      </c>
      <c r="T128" s="50">
        <v>3.17328398991646</v>
      </c>
      <c r="U128" s="50">
        <v>3.8227937352435273</v>
      </c>
      <c r="V128" s="186">
        <v>65000000</v>
      </c>
      <c r="W128" s="186">
        <f t="shared" si="13"/>
        <v>7.8129133566428557</v>
      </c>
      <c r="X128" s="50">
        <v>8</v>
      </c>
      <c r="Y128" s="66" t="s">
        <v>45</v>
      </c>
    </row>
    <row r="129" spans="1:25" x14ac:dyDescent="0.35">
      <c r="A129" s="67">
        <v>0.18756410473159962</v>
      </c>
      <c r="B129" s="52" t="s">
        <v>2</v>
      </c>
      <c r="C129" s="52">
        <v>6.183561643835616</v>
      </c>
      <c r="D129" s="50">
        <f t="shared" si="7"/>
        <v>0.79123869462128726</v>
      </c>
      <c r="E129" s="52">
        <v>0</v>
      </c>
      <c r="F129" s="52">
        <v>1.3617278360175928</v>
      </c>
      <c r="G129" s="52">
        <v>3.5</v>
      </c>
      <c r="H129" s="50">
        <f t="shared" si="8"/>
        <v>0.54406804435027567</v>
      </c>
      <c r="I129" s="52">
        <v>0</v>
      </c>
      <c r="J129" s="52">
        <v>0.250420002308894</v>
      </c>
      <c r="K129" s="52">
        <v>46</v>
      </c>
      <c r="L129" s="50">
        <f t="shared" si="9"/>
        <v>1.6627578316815741</v>
      </c>
      <c r="M129" s="52">
        <v>0</v>
      </c>
      <c r="N129" s="52">
        <v>89.6</v>
      </c>
      <c r="O129" s="50">
        <f t="shared" si="10"/>
        <v>1.9523080096621253</v>
      </c>
      <c r="P129" s="52">
        <v>35.700000000000003</v>
      </c>
      <c r="Q129" s="50">
        <f t="shared" si="11"/>
        <v>1.5526682161121932</v>
      </c>
      <c r="R129" s="52">
        <v>44.7100017757258</v>
      </c>
      <c r="S129" s="50">
        <f t="shared" si="12"/>
        <v>1.6504046871166989</v>
      </c>
      <c r="T129" s="52">
        <v>3.1748092491298348</v>
      </c>
      <c r="U129" s="52">
        <v>3.5756423396072652</v>
      </c>
      <c r="V129" s="187">
        <v>65000000</v>
      </c>
      <c r="W129" s="186">
        <f t="shared" si="13"/>
        <v>7.8129133566428557</v>
      </c>
      <c r="X129" s="52">
        <v>8</v>
      </c>
      <c r="Y129" s="68" t="s">
        <v>1105</v>
      </c>
    </row>
    <row r="130" spans="1:25" x14ac:dyDescent="0.35">
      <c r="A130" s="49">
        <v>-2</v>
      </c>
      <c r="B130" s="50" t="s">
        <v>45</v>
      </c>
      <c r="C130" s="50">
        <v>2.515068493150685</v>
      </c>
      <c r="D130" s="50">
        <f t="shared" si="7"/>
        <v>0.40054981674476775</v>
      </c>
      <c r="E130" s="50">
        <v>0</v>
      </c>
      <c r="F130" s="50">
        <v>1.0791812460476249</v>
      </c>
      <c r="G130" s="50">
        <v>2.95</v>
      </c>
      <c r="H130" s="50">
        <f t="shared" si="8"/>
        <v>0.46982201597816303</v>
      </c>
      <c r="I130" s="50">
        <v>0</v>
      </c>
      <c r="J130" s="50">
        <v>-0.21467016498923297</v>
      </c>
      <c r="K130" s="50">
        <v>34</v>
      </c>
      <c r="L130" s="50">
        <f t="shared" si="9"/>
        <v>1.5314789170422551</v>
      </c>
      <c r="M130" s="50">
        <v>0</v>
      </c>
      <c r="N130" s="50">
        <v>85</v>
      </c>
      <c r="O130" s="50">
        <f t="shared" si="10"/>
        <v>1.9294189257142926</v>
      </c>
      <c r="P130" s="50">
        <v>28.2</v>
      </c>
      <c r="Q130" s="50">
        <f t="shared" si="11"/>
        <v>1.4502491083193612</v>
      </c>
      <c r="R130" s="50">
        <v>34.298950279384798</v>
      </c>
      <c r="S130" s="50">
        <f t="shared" si="12"/>
        <v>1.5352808286478177</v>
      </c>
      <c r="T130" s="50">
        <v>3.1527645837352773</v>
      </c>
      <c r="U130" s="50">
        <v>3.5411223705253856</v>
      </c>
      <c r="V130" s="186">
        <v>65580000</v>
      </c>
      <c r="W130" s="186">
        <f t="shared" si="13"/>
        <v>7.8167714123333463</v>
      </c>
      <c r="X130" s="50">
        <v>5</v>
      </c>
      <c r="Y130" s="66" t="s">
        <v>602</v>
      </c>
    </row>
    <row r="131" spans="1:25" x14ac:dyDescent="0.35">
      <c r="A131" s="67">
        <v>0.13448405451453033</v>
      </c>
      <c r="B131" s="52" t="s">
        <v>45</v>
      </c>
      <c r="C131" s="52">
        <v>6.6739726027397257</v>
      </c>
      <c r="D131" s="50">
        <f t="shared" ref="D131:D173" si="14">LOG(C131)</f>
        <v>0.82438441950436303</v>
      </c>
      <c r="E131" s="52">
        <v>0</v>
      </c>
      <c r="F131" s="52">
        <v>1.0791812460476249</v>
      </c>
      <c r="G131" s="52">
        <v>2.95</v>
      </c>
      <c r="H131" s="50">
        <f t="shared" ref="H131:H173" si="15">LOG(G131)</f>
        <v>0.46982201597816303</v>
      </c>
      <c r="I131" s="52">
        <v>0</v>
      </c>
      <c r="J131" s="52">
        <v>3.7426497940623665E-2</v>
      </c>
      <c r="K131" s="52">
        <v>13</v>
      </c>
      <c r="L131" s="50">
        <f t="shared" ref="L131:L173" si="16">IF(K131=0,0,LOG(K131))</f>
        <v>1.1139433523068367</v>
      </c>
      <c r="M131" s="52">
        <v>0</v>
      </c>
      <c r="N131" s="52">
        <v>85</v>
      </c>
      <c r="O131" s="50">
        <f t="shared" ref="O131:O173" si="17">LOG(N131)</f>
        <v>1.9294189257142926</v>
      </c>
      <c r="P131" s="52">
        <v>28.2</v>
      </c>
      <c r="Q131" s="50">
        <f t="shared" ref="Q131:Q173" si="18">LOG(P131)</f>
        <v>1.4502491083193612</v>
      </c>
      <c r="R131" s="52">
        <v>34.298950279384798</v>
      </c>
      <c r="S131" s="50">
        <f t="shared" ref="S131:S173" si="19">LOG(R131)</f>
        <v>1.5352808286478177</v>
      </c>
      <c r="T131" s="52">
        <v>3.0958500844125241</v>
      </c>
      <c r="U131" s="52">
        <v>3.5078178355445662</v>
      </c>
      <c r="V131" s="187">
        <v>67500000</v>
      </c>
      <c r="W131" s="186">
        <f t="shared" ref="W131:W173" si="20">LOG(V131)</f>
        <v>7.8293037728310253</v>
      </c>
      <c r="X131" s="52">
        <v>5</v>
      </c>
      <c r="Y131" s="68" t="s">
        <v>602</v>
      </c>
    </row>
    <row r="132" spans="1:25" x14ac:dyDescent="0.35">
      <c r="A132" s="49">
        <v>0.13448405451453033</v>
      </c>
      <c r="B132" s="50" t="s">
        <v>45</v>
      </c>
      <c r="C132" s="50">
        <v>6.6739726027397257</v>
      </c>
      <c r="D132" s="50">
        <f t="shared" si="14"/>
        <v>0.82438441950436303</v>
      </c>
      <c r="E132" s="50">
        <v>0</v>
      </c>
      <c r="F132" s="50">
        <v>1.0791812460476249</v>
      </c>
      <c r="G132" s="50">
        <v>2.95</v>
      </c>
      <c r="H132" s="50">
        <f t="shared" si="15"/>
        <v>0.46982201597816303</v>
      </c>
      <c r="I132" s="50">
        <v>0</v>
      </c>
      <c r="J132" s="50">
        <v>3.7426497940623665E-2</v>
      </c>
      <c r="K132" s="50">
        <v>13</v>
      </c>
      <c r="L132" s="50">
        <f t="shared" si="16"/>
        <v>1.1139433523068367</v>
      </c>
      <c r="M132" s="50">
        <v>0</v>
      </c>
      <c r="N132" s="50">
        <v>85</v>
      </c>
      <c r="O132" s="50">
        <f t="shared" si="17"/>
        <v>1.9294189257142926</v>
      </c>
      <c r="P132" s="50">
        <v>28.2</v>
      </c>
      <c r="Q132" s="50">
        <f t="shared" si="18"/>
        <v>1.4502491083193612</v>
      </c>
      <c r="R132" s="50">
        <v>34.298950279384798</v>
      </c>
      <c r="S132" s="50">
        <f t="shared" si="19"/>
        <v>1.5352808286478177</v>
      </c>
      <c r="T132" s="50">
        <v>3.0958500844125241</v>
      </c>
      <c r="U132" s="50">
        <v>3.5078178355445662</v>
      </c>
      <c r="V132" s="186">
        <v>67500000</v>
      </c>
      <c r="W132" s="186">
        <f t="shared" si="20"/>
        <v>7.8293037728310253</v>
      </c>
      <c r="X132" s="50">
        <v>5</v>
      </c>
      <c r="Y132" s="66" t="s">
        <v>602</v>
      </c>
    </row>
    <row r="133" spans="1:25" x14ac:dyDescent="0.35">
      <c r="A133" s="67">
        <v>0.77671186392993052</v>
      </c>
      <c r="B133" s="52" t="s">
        <v>59</v>
      </c>
      <c r="C133" s="52">
        <v>2.6794520547945204</v>
      </c>
      <c r="D133" s="50">
        <f t="shared" si="14"/>
        <v>0.42804599033112672</v>
      </c>
      <c r="E133" s="52">
        <v>2.6674249329872439</v>
      </c>
      <c r="F133" s="52">
        <v>1.1760912590556813</v>
      </c>
      <c r="G133" s="52">
        <v>2.81</v>
      </c>
      <c r="H133" s="50">
        <f t="shared" si="15"/>
        <v>0.44870631990507992</v>
      </c>
      <c r="I133" s="52">
        <v>2.2881746749783951</v>
      </c>
      <c r="J133" s="52">
        <v>-3.6212172654444715E-2</v>
      </c>
      <c r="K133" s="52">
        <v>0</v>
      </c>
      <c r="L133" s="50">
        <f t="shared" si="16"/>
        <v>0</v>
      </c>
      <c r="M133" s="52">
        <v>1</v>
      </c>
      <c r="N133" s="52">
        <v>85</v>
      </c>
      <c r="O133" s="50">
        <f t="shared" si="17"/>
        <v>1.9294189257142926</v>
      </c>
      <c r="P133" s="52">
        <v>32.6</v>
      </c>
      <c r="Q133" s="50">
        <f t="shared" si="18"/>
        <v>1.5132176000679389</v>
      </c>
      <c r="R133" s="52">
        <v>36.544739309553499</v>
      </c>
      <c r="S133" s="50">
        <f t="shared" si="19"/>
        <v>1.5628248682086028</v>
      </c>
      <c r="T133" s="52">
        <v>3.3884049978579722</v>
      </c>
      <c r="U133" s="52">
        <v>3.8579486949156889</v>
      </c>
      <c r="V133" s="187">
        <v>68000000</v>
      </c>
      <c r="W133" s="186">
        <f t="shared" si="20"/>
        <v>7.8325089127062366</v>
      </c>
      <c r="X133" s="52">
        <v>5</v>
      </c>
      <c r="Y133" s="68" t="s">
        <v>497</v>
      </c>
    </row>
    <row r="134" spans="1:25" x14ac:dyDescent="0.35">
      <c r="A134" s="49">
        <v>0.55837223743297271</v>
      </c>
      <c r="B134" s="50" t="s">
        <v>497</v>
      </c>
      <c r="C134" s="50">
        <v>2.0493150684931507</v>
      </c>
      <c r="D134" s="50">
        <f t="shared" si="14"/>
        <v>0.31160873340798667</v>
      </c>
      <c r="E134" s="50">
        <v>3.7358167906061537</v>
      </c>
      <c r="F134" s="50">
        <v>1.3802112417116059</v>
      </c>
      <c r="G134" s="50">
        <v>2.91</v>
      </c>
      <c r="H134" s="50">
        <f t="shared" si="15"/>
        <v>0.46389298898590731</v>
      </c>
      <c r="I134" s="50">
        <v>2.103233406386928</v>
      </c>
      <c r="J134" s="50">
        <v>7.9181246047624818E-2</v>
      </c>
      <c r="K134" s="50">
        <v>6</v>
      </c>
      <c r="L134" s="50">
        <f t="shared" si="16"/>
        <v>0.77815125038364363</v>
      </c>
      <c r="M134" s="50">
        <v>1</v>
      </c>
      <c r="N134" s="50">
        <v>85</v>
      </c>
      <c r="O134" s="50">
        <f t="shared" si="17"/>
        <v>1.9294189257142926</v>
      </c>
      <c r="P134" s="50">
        <v>30.8</v>
      </c>
      <c r="Q134" s="50">
        <f t="shared" si="18"/>
        <v>1.4885507165004443</v>
      </c>
      <c r="R134" s="50">
        <v>34.575632305406103</v>
      </c>
      <c r="S134" s="50">
        <f t="shared" si="19"/>
        <v>1.5387701310586521</v>
      </c>
      <c r="T134" s="50">
        <v>3.1628767233771686</v>
      </c>
      <c r="U134" s="50">
        <v>3.6087947637270492</v>
      </c>
      <c r="V134" s="186">
        <v>68310000</v>
      </c>
      <c r="W134" s="186">
        <f t="shared" si="20"/>
        <v>7.8344842853348053</v>
      </c>
      <c r="X134" s="50">
        <v>6</v>
      </c>
      <c r="Y134" s="66" t="s">
        <v>602</v>
      </c>
    </row>
    <row r="135" spans="1:25" x14ac:dyDescent="0.35">
      <c r="A135" s="67">
        <v>1.0004480078390166</v>
      </c>
      <c r="B135" s="52" t="s">
        <v>163</v>
      </c>
      <c r="C135" s="52">
        <v>8.1863013698630134</v>
      </c>
      <c r="D135" s="50">
        <f t="shared" si="14"/>
        <v>0.91308772868688648</v>
      </c>
      <c r="E135" s="52">
        <v>2.5362300726332561</v>
      </c>
      <c r="F135" s="52">
        <v>1</v>
      </c>
      <c r="G135" s="52">
        <v>2.3199999999999998</v>
      </c>
      <c r="H135" s="50">
        <f t="shared" si="15"/>
        <v>0.36548798489089962</v>
      </c>
      <c r="I135" s="52">
        <v>2.756001823801419</v>
      </c>
      <c r="J135" s="52">
        <v>0.11727129565576427</v>
      </c>
      <c r="K135" s="52">
        <v>16</v>
      </c>
      <c r="L135" s="50">
        <f t="shared" si="16"/>
        <v>1.2041199826559248</v>
      </c>
      <c r="M135" s="52">
        <v>1</v>
      </c>
      <c r="N135" s="52">
        <v>70</v>
      </c>
      <c r="O135" s="50">
        <f t="shared" si="17"/>
        <v>1.8450980400142569</v>
      </c>
      <c r="P135" s="52">
        <v>42.4</v>
      </c>
      <c r="Q135" s="50">
        <f t="shared" si="18"/>
        <v>1.6273658565927327</v>
      </c>
      <c r="R135" s="52">
        <v>52.984855215816303</v>
      </c>
      <c r="S135" s="50">
        <f t="shared" si="19"/>
        <v>1.7241517519382803</v>
      </c>
      <c r="T135" s="52">
        <v>3.5347454529897258</v>
      </c>
      <c r="U135" s="52">
        <v>3.9695495619878729</v>
      </c>
      <c r="V135" s="187">
        <v>68985000</v>
      </c>
      <c r="W135" s="186">
        <f t="shared" si="20"/>
        <v>7.8387546686297185</v>
      </c>
      <c r="X135" s="52">
        <v>5</v>
      </c>
      <c r="Y135" s="68" t="s">
        <v>59</v>
      </c>
    </row>
    <row r="136" spans="1:25" x14ac:dyDescent="0.35">
      <c r="A136" s="49">
        <v>-2</v>
      </c>
      <c r="B136" s="50" t="s">
        <v>45</v>
      </c>
      <c r="C136" s="50">
        <v>3.8136986301369862</v>
      </c>
      <c r="D136" s="50">
        <f t="shared" si="14"/>
        <v>0.58134637081806861</v>
      </c>
      <c r="E136" s="50">
        <v>0</v>
      </c>
      <c r="F136" s="50">
        <v>0.84509804001425681</v>
      </c>
      <c r="G136" s="50">
        <v>2.95</v>
      </c>
      <c r="H136" s="50">
        <f t="shared" si="15"/>
        <v>0.46982201597816303</v>
      </c>
      <c r="I136" s="50">
        <v>0</v>
      </c>
      <c r="J136" s="50">
        <v>-0.11918640771920865</v>
      </c>
      <c r="K136" s="50">
        <v>0</v>
      </c>
      <c r="L136" s="50">
        <f t="shared" si="16"/>
        <v>0</v>
      </c>
      <c r="M136" s="50">
        <v>0</v>
      </c>
      <c r="N136" s="50">
        <v>91.4</v>
      </c>
      <c r="O136" s="50">
        <f t="shared" si="17"/>
        <v>1.9609461957338314</v>
      </c>
      <c r="P136" s="50">
        <v>26.7</v>
      </c>
      <c r="Q136" s="50">
        <f t="shared" si="18"/>
        <v>1.4265112613645752</v>
      </c>
      <c r="R136" s="50">
        <v>37.425715444240403</v>
      </c>
      <c r="S136" s="50">
        <f t="shared" si="19"/>
        <v>1.5731701112332821</v>
      </c>
      <c r="T136" s="50">
        <v>3.3647319780710983</v>
      </c>
      <c r="U136" s="50">
        <v>3.5686596122879011</v>
      </c>
      <c r="V136" s="186">
        <v>69000000</v>
      </c>
      <c r="W136" s="186">
        <f t="shared" si="20"/>
        <v>7.8388490907372557</v>
      </c>
      <c r="X136" s="50">
        <v>2</v>
      </c>
      <c r="Y136" s="66" t="s">
        <v>602</v>
      </c>
    </row>
    <row r="137" spans="1:25" x14ac:dyDescent="0.35">
      <c r="A137" s="67">
        <v>1.5928223783612254</v>
      </c>
      <c r="B137" s="52" t="s">
        <v>45</v>
      </c>
      <c r="C137" s="52">
        <v>6.7068493150684931</v>
      </c>
      <c r="D137" s="50">
        <f t="shared" si="14"/>
        <v>0.82651854901704891</v>
      </c>
      <c r="E137" s="52">
        <v>0</v>
      </c>
      <c r="F137" s="52">
        <v>2.2041199826559246</v>
      </c>
      <c r="G137" s="52">
        <v>2.95</v>
      </c>
      <c r="H137" s="50">
        <f t="shared" si="15"/>
        <v>0.46982201597816303</v>
      </c>
      <c r="I137" s="52">
        <v>0</v>
      </c>
      <c r="J137" s="52">
        <v>0.49136169383427269</v>
      </c>
      <c r="K137" s="52">
        <v>17</v>
      </c>
      <c r="L137" s="50">
        <f t="shared" si="16"/>
        <v>1.2304489213782739</v>
      </c>
      <c r="M137" s="52">
        <v>0</v>
      </c>
      <c r="N137" s="52">
        <v>85</v>
      </c>
      <c r="O137" s="50">
        <f t="shared" si="17"/>
        <v>1.9294189257142926</v>
      </c>
      <c r="P137" s="52">
        <v>25.9</v>
      </c>
      <c r="Q137" s="50">
        <f t="shared" si="18"/>
        <v>1.4132997640812519</v>
      </c>
      <c r="R137" s="52">
        <v>38.808513566771097</v>
      </c>
      <c r="S137" s="50">
        <f t="shared" si="19"/>
        <v>1.5889270088283503</v>
      </c>
      <c r="T137" s="52">
        <v>3.0687415514991745</v>
      </c>
      <c r="U137" s="52">
        <v>3.5297005493117593</v>
      </c>
      <c r="V137" s="187">
        <v>69040000</v>
      </c>
      <c r="W137" s="186">
        <f t="shared" si="20"/>
        <v>7.8391007827071535</v>
      </c>
      <c r="X137" s="52">
        <v>5</v>
      </c>
      <c r="Y137" s="68" t="s">
        <v>45</v>
      </c>
    </row>
    <row r="138" spans="1:25" x14ac:dyDescent="0.35">
      <c r="A138" s="49">
        <v>0.28812141671823749</v>
      </c>
      <c r="B138" s="50" t="s">
        <v>59</v>
      </c>
      <c r="C138" s="50">
        <v>1.8958904109589041</v>
      </c>
      <c r="D138" s="50">
        <f t="shared" si="14"/>
        <v>0.27781323000028307</v>
      </c>
      <c r="E138" s="50">
        <v>3.7707754512906644</v>
      </c>
      <c r="F138" s="50">
        <v>0</v>
      </c>
      <c r="G138" s="50">
        <v>2.3199999999999998</v>
      </c>
      <c r="H138" s="50">
        <f t="shared" si="15"/>
        <v>0.36548798489089962</v>
      </c>
      <c r="I138" s="50">
        <v>2.1238516409670858</v>
      </c>
      <c r="J138" s="50">
        <v>5.3078443483419682E-2</v>
      </c>
      <c r="K138" s="50">
        <v>26</v>
      </c>
      <c r="L138" s="50">
        <f t="shared" si="16"/>
        <v>1.414973347970818</v>
      </c>
      <c r="M138" s="50">
        <v>1</v>
      </c>
      <c r="N138" s="50">
        <v>100</v>
      </c>
      <c r="O138" s="50">
        <f t="shared" si="17"/>
        <v>2</v>
      </c>
      <c r="P138" s="50">
        <v>30.9</v>
      </c>
      <c r="Q138" s="50">
        <f t="shared" si="18"/>
        <v>1.4899584794248346</v>
      </c>
      <c r="R138" s="50">
        <v>49.329709120205997</v>
      </c>
      <c r="S138" s="50">
        <f t="shared" si="19"/>
        <v>1.6931085545892062</v>
      </c>
      <c r="T138" s="50">
        <v>3.1527645837352773</v>
      </c>
      <c r="U138" s="50">
        <v>3.5411223705253856</v>
      </c>
      <c r="V138" s="186">
        <v>70000000</v>
      </c>
      <c r="W138" s="186">
        <f t="shared" si="20"/>
        <v>7.8450980400142569</v>
      </c>
      <c r="X138" s="50">
        <v>4</v>
      </c>
      <c r="Y138" s="66" t="s">
        <v>602</v>
      </c>
    </row>
    <row r="139" spans="1:25" x14ac:dyDescent="0.35">
      <c r="A139" s="67">
        <v>0.51662979600333603</v>
      </c>
      <c r="B139" s="52" t="s">
        <v>59</v>
      </c>
      <c r="C139" s="52">
        <v>2.1616438356164385</v>
      </c>
      <c r="D139" s="50">
        <f t="shared" si="14"/>
        <v>0.3347841387529456</v>
      </c>
      <c r="E139" s="52">
        <v>0</v>
      </c>
      <c r="F139" s="52">
        <v>0</v>
      </c>
      <c r="G139" s="52">
        <v>3.29</v>
      </c>
      <c r="H139" s="50">
        <f t="shared" si="15"/>
        <v>0.51719589794997434</v>
      </c>
      <c r="I139" s="52">
        <v>0</v>
      </c>
      <c r="J139" s="52">
        <v>0.11058971029924898</v>
      </c>
      <c r="K139" s="52">
        <v>10</v>
      </c>
      <c r="L139" s="50">
        <f t="shared" si="16"/>
        <v>1</v>
      </c>
      <c r="M139" s="52">
        <v>0</v>
      </c>
      <c r="N139" s="52">
        <v>85</v>
      </c>
      <c r="O139" s="50">
        <f t="shared" si="17"/>
        <v>1.9294189257142926</v>
      </c>
      <c r="P139" s="52">
        <v>31.5</v>
      </c>
      <c r="Q139" s="50">
        <f t="shared" si="18"/>
        <v>1.4983105537896004</v>
      </c>
      <c r="R139" s="52">
        <v>35.516899069648296</v>
      </c>
      <c r="S139" s="50">
        <f t="shared" si="19"/>
        <v>1.5504350411232082</v>
      </c>
      <c r="T139" s="52">
        <v>3.5347454529897258</v>
      </c>
      <c r="U139" s="52">
        <v>3.9695495619878729</v>
      </c>
      <c r="V139" s="187">
        <v>70000000</v>
      </c>
      <c r="W139" s="186">
        <f t="shared" si="20"/>
        <v>7.8450980400142569</v>
      </c>
      <c r="X139" s="52">
        <v>5</v>
      </c>
      <c r="Y139" s="68" t="s">
        <v>59</v>
      </c>
    </row>
    <row r="140" spans="1:25" x14ac:dyDescent="0.35">
      <c r="A140" s="49">
        <v>0.25661085587556831</v>
      </c>
      <c r="B140" s="50" t="s">
        <v>59</v>
      </c>
      <c r="C140" s="50">
        <v>12.758904109589041</v>
      </c>
      <c r="D140" s="50">
        <f t="shared" si="14"/>
        <v>1.1058133734762565</v>
      </c>
      <c r="E140" s="50">
        <v>0</v>
      </c>
      <c r="F140" s="50">
        <v>0.77815125038364363</v>
      </c>
      <c r="G140" s="50">
        <v>3.29</v>
      </c>
      <c r="H140" s="50">
        <f t="shared" si="15"/>
        <v>0.51719589794997434</v>
      </c>
      <c r="I140" s="50">
        <v>0</v>
      </c>
      <c r="J140" s="50">
        <v>0.27875360095282892</v>
      </c>
      <c r="K140" s="50">
        <v>20</v>
      </c>
      <c r="L140" s="50">
        <f t="shared" si="16"/>
        <v>1.3010299956639813</v>
      </c>
      <c r="M140" s="50">
        <v>0</v>
      </c>
      <c r="N140" s="50">
        <v>85</v>
      </c>
      <c r="O140" s="50">
        <f t="shared" si="17"/>
        <v>1.9294189257142926</v>
      </c>
      <c r="P140" s="50">
        <v>32.299999999999997</v>
      </c>
      <c r="Q140" s="50">
        <f t="shared" si="18"/>
        <v>1.5092025223311027</v>
      </c>
      <c r="R140" s="50">
        <v>40.040400531970803</v>
      </c>
      <c r="S140" s="50">
        <f t="shared" si="19"/>
        <v>1.6024984131617945</v>
      </c>
      <c r="T140" s="50">
        <v>3.2555397552391718</v>
      </c>
      <c r="U140" s="50">
        <v>3.9251377713585649</v>
      </c>
      <c r="V140" s="186">
        <v>72000000</v>
      </c>
      <c r="W140" s="186">
        <f t="shared" si="20"/>
        <v>7.8573324964312681</v>
      </c>
      <c r="X140" s="50">
        <v>6</v>
      </c>
      <c r="Y140" s="66" t="s">
        <v>59</v>
      </c>
    </row>
    <row r="141" spans="1:25" x14ac:dyDescent="0.35">
      <c r="A141" s="67">
        <v>0.25661085587556831</v>
      </c>
      <c r="B141" s="52" t="s">
        <v>59</v>
      </c>
      <c r="C141" s="52">
        <v>12.295890410958904</v>
      </c>
      <c r="D141" s="50">
        <f t="shared" si="14"/>
        <v>1.0897599837916303</v>
      </c>
      <c r="E141" s="52">
        <v>0</v>
      </c>
      <c r="F141" s="52">
        <v>0</v>
      </c>
      <c r="G141" s="52">
        <v>3.29</v>
      </c>
      <c r="H141" s="50">
        <f t="shared" si="15"/>
        <v>0.51719589794997434</v>
      </c>
      <c r="I141" s="52">
        <v>0</v>
      </c>
      <c r="J141" s="52">
        <v>0.31597034545691782</v>
      </c>
      <c r="K141" s="52">
        <v>20</v>
      </c>
      <c r="L141" s="50">
        <f t="shared" si="16"/>
        <v>1.3010299956639813</v>
      </c>
      <c r="M141" s="52">
        <v>0</v>
      </c>
      <c r="N141" s="52">
        <v>85</v>
      </c>
      <c r="O141" s="50">
        <f t="shared" si="17"/>
        <v>1.9294189257142926</v>
      </c>
      <c r="P141" s="52">
        <v>32.299999999999997</v>
      </c>
      <c r="Q141" s="50">
        <f t="shared" si="18"/>
        <v>1.5092025223311027</v>
      </c>
      <c r="R141" s="52">
        <v>40.040400531970803</v>
      </c>
      <c r="S141" s="50">
        <f t="shared" si="19"/>
        <v>1.6024984131617945</v>
      </c>
      <c r="T141" s="52">
        <v>3.2555397552391718</v>
      </c>
      <c r="U141" s="52">
        <v>3.9251377713585649</v>
      </c>
      <c r="V141" s="187">
        <v>72000000</v>
      </c>
      <c r="W141" s="186">
        <f t="shared" si="20"/>
        <v>7.8573324964312681</v>
      </c>
      <c r="X141" s="52">
        <v>6</v>
      </c>
      <c r="Y141" s="68" t="s">
        <v>577</v>
      </c>
    </row>
    <row r="142" spans="1:25" x14ac:dyDescent="0.35">
      <c r="A142" s="49">
        <v>0.51850866474122814</v>
      </c>
      <c r="B142" s="50" t="s">
        <v>5</v>
      </c>
      <c r="C142" s="50">
        <v>4</v>
      </c>
      <c r="D142" s="50">
        <f t="shared" si="14"/>
        <v>0.6020599913279624</v>
      </c>
      <c r="E142" s="50">
        <v>2.5542346870234227</v>
      </c>
      <c r="F142" s="50">
        <v>1.0791812460476249</v>
      </c>
      <c r="G142" s="50">
        <v>3.16</v>
      </c>
      <c r="H142" s="50">
        <f t="shared" si="15"/>
        <v>0.49968708261840383</v>
      </c>
      <c r="I142" s="50">
        <v>2.9876662649262746</v>
      </c>
      <c r="J142" s="50">
        <v>-6.5501548756432285E-2</v>
      </c>
      <c r="K142" s="50">
        <v>16</v>
      </c>
      <c r="L142" s="50">
        <f t="shared" si="16"/>
        <v>1.2041199826559248</v>
      </c>
      <c r="M142" s="50">
        <v>1</v>
      </c>
      <c r="N142" s="50">
        <v>70</v>
      </c>
      <c r="O142" s="50">
        <f t="shared" si="17"/>
        <v>1.8450980400142569</v>
      </c>
      <c r="P142" s="50">
        <v>36.9</v>
      </c>
      <c r="Q142" s="50">
        <f t="shared" si="18"/>
        <v>1.5670263661590604</v>
      </c>
      <c r="R142" s="50">
        <v>42.177001683602199</v>
      </c>
      <c r="S142" s="50">
        <f t="shared" si="19"/>
        <v>1.6250757029864513</v>
      </c>
      <c r="T142" s="50">
        <v>3.2555397552391718</v>
      </c>
      <c r="U142" s="50">
        <v>3.9251377713585649</v>
      </c>
      <c r="V142" s="186">
        <v>72250000</v>
      </c>
      <c r="W142" s="186">
        <f t="shared" si="20"/>
        <v>7.8588378514285857</v>
      </c>
      <c r="X142" s="50">
        <v>9</v>
      </c>
      <c r="Y142" s="66" t="s">
        <v>577</v>
      </c>
    </row>
    <row r="143" spans="1:25" x14ac:dyDescent="0.35">
      <c r="A143" s="67">
        <v>0.36712606125781805</v>
      </c>
      <c r="B143" s="52" t="s">
        <v>59</v>
      </c>
      <c r="C143" s="52">
        <v>1.8849315068493151</v>
      </c>
      <c r="D143" s="50">
        <f t="shared" si="14"/>
        <v>0.27529557377903663</v>
      </c>
      <c r="E143" s="52">
        <v>0</v>
      </c>
      <c r="F143" s="52">
        <v>1.4913616938342726</v>
      </c>
      <c r="G143" s="52">
        <v>3.29</v>
      </c>
      <c r="H143" s="50">
        <f t="shared" si="15"/>
        <v>0.51719589794997434</v>
      </c>
      <c r="I143" s="52">
        <v>0</v>
      </c>
      <c r="J143" s="52">
        <v>8.9905111439397931E-2</v>
      </c>
      <c r="K143" s="52">
        <v>19</v>
      </c>
      <c r="L143" s="50">
        <f t="shared" si="16"/>
        <v>1.2787536009528289</v>
      </c>
      <c r="M143" s="52">
        <v>0</v>
      </c>
      <c r="N143" s="52">
        <v>85</v>
      </c>
      <c r="O143" s="50">
        <f t="shared" si="17"/>
        <v>1.9294189257142926</v>
      </c>
      <c r="P143" s="52">
        <v>31.3</v>
      </c>
      <c r="Q143" s="50">
        <f t="shared" si="18"/>
        <v>1.4955443375464486</v>
      </c>
      <c r="R143" s="52">
        <v>38.7850112673514</v>
      </c>
      <c r="S143" s="50">
        <f t="shared" si="19"/>
        <v>1.5886639219461918</v>
      </c>
      <c r="T143" s="52">
        <v>3.2555397552391718</v>
      </c>
      <c r="U143" s="52">
        <v>3.9251377713585649</v>
      </c>
      <c r="V143" s="187">
        <v>73000000</v>
      </c>
      <c r="W143" s="186">
        <f t="shared" si="20"/>
        <v>7.8633228601204559</v>
      </c>
      <c r="X143" s="52">
        <v>7</v>
      </c>
      <c r="Y143" s="68" t="s">
        <v>577</v>
      </c>
    </row>
    <row r="144" spans="1:25" x14ac:dyDescent="0.35">
      <c r="A144" s="49">
        <v>0.56544893688616582</v>
      </c>
      <c r="B144" s="50" t="s">
        <v>59</v>
      </c>
      <c r="C144" s="50">
        <v>4.6630136986301371</v>
      </c>
      <c r="D144" s="50">
        <f t="shared" si="14"/>
        <v>0.66866669129209433</v>
      </c>
      <c r="E144" s="50">
        <v>3.7707754512906644</v>
      </c>
      <c r="F144" s="50">
        <v>1</v>
      </c>
      <c r="G144" s="50">
        <v>2.3199999999999998</v>
      </c>
      <c r="H144" s="50">
        <f t="shared" si="15"/>
        <v>0.36548798489089962</v>
      </c>
      <c r="I144" s="50">
        <v>2.1238516409670858</v>
      </c>
      <c r="J144" s="50">
        <v>0.26245108973042947</v>
      </c>
      <c r="K144" s="50">
        <v>23</v>
      </c>
      <c r="L144" s="50">
        <f t="shared" si="16"/>
        <v>1.3617278360175928</v>
      </c>
      <c r="M144" s="50">
        <v>1</v>
      </c>
      <c r="N144" s="50">
        <v>85</v>
      </c>
      <c r="O144" s="50">
        <f t="shared" si="17"/>
        <v>1.9294189257142926</v>
      </c>
      <c r="P144" s="50">
        <v>31.3</v>
      </c>
      <c r="Q144" s="50">
        <f t="shared" si="18"/>
        <v>1.4955443375464486</v>
      </c>
      <c r="R144" s="50">
        <v>38.7850112673514</v>
      </c>
      <c r="S144" s="50">
        <f t="shared" si="19"/>
        <v>1.5886639219461918</v>
      </c>
      <c r="T144" s="50">
        <v>3.3348710074773962</v>
      </c>
      <c r="U144" s="50">
        <v>3.5008426709709495</v>
      </c>
      <c r="V144" s="186">
        <v>74000000</v>
      </c>
      <c r="W144" s="186">
        <f t="shared" si="20"/>
        <v>7.8692317197309762</v>
      </c>
      <c r="X144" s="50">
        <v>9</v>
      </c>
      <c r="Y144" s="66" t="s">
        <v>45</v>
      </c>
    </row>
    <row r="145" spans="1:25" x14ac:dyDescent="0.35">
      <c r="A145" s="67">
        <v>0.29559965097806595</v>
      </c>
      <c r="B145" s="52" t="s">
        <v>5</v>
      </c>
      <c r="C145" s="52">
        <v>3.0657534246575344</v>
      </c>
      <c r="D145" s="50">
        <f t="shared" si="14"/>
        <v>0.48653722207187539</v>
      </c>
      <c r="E145" s="52">
        <v>3.7916829312790057</v>
      </c>
      <c r="F145" s="52">
        <v>2.0492180226701815</v>
      </c>
      <c r="G145" s="52">
        <v>2.72</v>
      </c>
      <c r="H145" s="50">
        <f t="shared" si="15"/>
        <v>0.43456890403419873</v>
      </c>
      <c r="I145" s="52">
        <v>3.0355631414974997</v>
      </c>
      <c r="J145" s="52">
        <v>-6.0480747381381476E-2</v>
      </c>
      <c r="K145" s="52">
        <v>16</v>
      </c>
      <c r="L145" s="50">
        <f t="shared" si="16"/>
        <v>1.2041199826559248</v>
      </c>
      <c r="M145" s="52">
        <v>1</v>
      </c>
      <c r="N145" s="52">
        <v>70</v>
      </c>
      <c r="O145" s="50">
        <f t="shared" si="17"/>
        <v>1.8450980400142569</v>
      </c>
      <c r="P145" s="52">
        <v>36.9</v>
      </c>
      <c r="Q145" s="50">
        <f t="shared" si="18"/>
        <v>1.5670263661590604</v>
      </c>
      <c r="R145" s="52">
        <v>42.177001683602199</v>
      </c>
      <c r="S145" s="50">
        <f t="shared" si="19"/>
        <v>1.6250757029864513</v>
      </c>
      <c r="T145" s="52">
        <v>3.6224784109972026</v>
      </c>
      <c r="U145" s="52">
        <v>3.7852505485064163</v>
      </c>
      <c r="V145" s="187">
        <v>74207250</v>
      </c>
      <c r="W145" s="186">
        <f t="shared" si="20"/>
        <v>7.8704463376399296</v>
      </c>
      <c r="X145" s="52">
        <v>1</v>
      </c>
      <c r="Y145" s="68" t="s">
        <v>45</v>
      </c>
    </row>
    <row r="146" spans="1:25" x14ac:dyDescent="0.35">
      <c r="A146" s="49">
        <v>0.84683175282325729</v>
      </c>
      <c r="B146" s="50" t="s">
        <v>45</v>
      </c>
      <c r="C146" s="50">
        <v>4.3589041095890408</v>
      </c>
      <c r="D146" s="50">
        <f t="shared" si="14"/>
        <v>0.63937731519010677</v>
      </c>
      <c r="E146" s="50">
        <v>0</v>
      </c>
      <c r="F146" s="50">
        <v>0</v>
      </c>
      <c r="G146" s="50">
        <v>2.95</v>
      </c>
      <c r="H146" s="50">
        <f t="shared" si="15"/>
        <v>0.46982201597816303</v>
      </c>
      <c r="I146" s="50">
        <v>0</v>
      </c>
      <c r="J146" s="50">
        <v>6.069784035361165E-2</v>
      </c>
      <c r="K146" s="50">
        <v>7</v>
      </c>
      <c r="L146" s="50">
        <f t="shared" si="16"/>
        <v>0.84509804001425681</v>
      </c>
      <c r="M146" s="50">
        <v>0</v>
      </c>
      <c r="N146" s="50">
        <v>85</v>
      </c>
      <c r="O146" s="50">
        <f t="shared" si="17"/>
        <v>1.9294189257142926</v>
      </c>
      <c r="P146" s="50">
        <v>27.4</v>
      </c>
      <c r="Q146" s="50">
        <f t="shared" si="18"/>
        <v>1.4377505628203879</v>
      </c>
      <c r="R146" s="50">
        <v>35.968444143503902</v>
      </c>
      <c r="S146" s="50">
        <f t="shared" si="19"/>
        <v>1.5559216523165715</v>
      </c>
      <c r="T146" s="50">
        <v>3.1814248062191788</v>
      </c>
      <c r="U146" s="50">
        <v>3.7294207535322617</v>
      </c>
      <c r="V146" s="186">
        <v>75000000</v>
      </c>
      <c r="W146" s="186">
        <f t="shared" si="20"/>
        <v>7.8750612633917001</v>
      </c>
      <c r="X146" s="50">
        <v>6</v>
      </c>
      <c r="Y146" s="66" t="s">
        <v>45</v>
      </c>
    </row>
    <row r="147" spans="1:25" x14ac:dyDescent="0.35">
      <c r="A147" s="67">
        <v>0.12493873660829993</v>
      </c>
      <c r="B147" s="52" t="s">
        <v>59</v>
      </c>
      <c r="C147" s="52">
        <v>5.2136986301369861</v>
      </c>
      <c r="D147" s="50">
        <f t="shared" si="14"/>
        <v>0.71714592383054576</v>
      </c>
      <c r="E147" s="52">
        <v>0</v>
      </c>
      <c r="F147" s="52">
        <v>0.3010299956639812</v>
      </c>
      <c r="G147" s="52">
        <v>3.29</v>
      </c>
      <c r="H147" s="50">
        <f t="shared" si="15"/>
        <v>0.51719589794997434</v>
      </c>
      <c r="I147" s="52">
        <v>0</v>
      </c>
      <c r="J147" s="52">
        <v>-2.2276394711152253E-2</v>
      </c>
      <c r="K147" s="52">
        <v>16</v>
      </c>
      <c r="L147" s="50">
        <f t="shared" si="16"/>
        <v>1.2041199826559248</v>
      </c>
      <c r="M147" s="52">
        <v>0</v>
      </c>
      <c r="N147" s="52">
        <v>85</v>
      </c>
      <c r="O147" s="50">
        <f t="shared" si="17"/>
        <v>1.9294189257142926</v>
      </c>
      <c r="P147" s="52">
        <v>32.299999999999997</v>
      </c>
      <c r="Q147" s="50">
        <f t="shared" si="18"/>
        <v>1.5092025223311027</v>
      </c>
      <c r="R147" s="52">
        <v>40.040400531970803</v>
      </c>
      <c r="S147" s="50">
        <f t="shared" si="19"/>
        <v>1.6024984131617945</v>
      </c>
      <c r="T147" s="52">
        <v>3.5347454529897258</v>
      </c>
      <c r="U147" s="52">
        <v>3.9695495619878729</v>
      </c>
      <c r="V147" s="187">
        <v>75000000</v>
      </c>
      <c r="W147" s="186">
        <f t="shared" si="20"/>
        <v>7.8750612633917001</v>
      </c>
      <c r="X147" s="52">
        <v>2</v>
      </c>
      <c r="Y147" s="68" t="s">
        <v>59</v>
      </c>
    </row>
    <row r="148" spans="1:25" x14ac:dyDescent="0.35">
      <c r="A148" s="49">
        <v>-2</v>
      </c>
      <c r="B148" s="50" t="s">
        <v>45</v>
      </c>
      <c r="C148" s="50">
        <v>3.473972602739726</v>
      </c>
      <c r="D148" s="50">
        <f t="shared" si="14"/>
        <v>0.54082638908923919</v>
      </c>
      <c r="E148" s="50">
        <v>0</v>
      </c>
      <c r="F148" s="50">
        <v>0.69897000433601886</v>
      </c>
      <c r="G148" s="50">
        <v>2.95</v>
      </c>
      <c r="H148" s="50">
        <f t="shared" si="15"/>
        <v>0.46982201597816303</v>
      </c>
      <c r="I148" s="50">
        <v>0</v>
      </c>
      <c r="J148" s="50">
        <v>3.342375548694973E-2</v>
      </c>
      <c r="K148" s="50">
        <v>18</v>
      </c>
      <c r="L148" s="50">
        <f t="shared" si="16"/>
        <v>1.255272505103306</v>
      </c>
      <c r="M148" s="50">
        <v>0</v>
      </c>
      <c r="N148" s="50">
        <v>85</v>
      </c>
      <c r="O148" s="50">
        <f t="shared" si="17"/>
        <v>1.9294189257142926</v>
      </c>
      <c r="P148" s="50">
        <v>25.9</v>
      </c>
      <c r="Q148" s="50">
        <f t="shared" si="18"/>
        <v>1.4132997640812519</v>
      </c>
      <c r="R148" s="50">
        <v>36.959146749272797</v>
      </c>
      <c r="S148" s="50">
        <f t="shared" si="19"/>
        <v>1.5677219364019672</v>
      </c>
      <c r="T148" s="50">
        <v>3.0958500844125241</v>
      </c>
      <c r="U148" s="50">
        <v>3.5078178355445662</v>
      </c>
      <c r="V148" s="186">
        <v>75000000</v>
      </c>
      <c r="W148" s="186">
        <f t="shared" si="20"/>
        <v>7.8750612633917001</v>
      </c>
      <c r="X148" s="50">
        <v>3</v>
      </c>
      <c r="Y148" s="66" t="s">
        <v>602</v>
      </c>
    </row>
    <row r="149" spans="1:25" x14ac:dyDescent="0.35">
      <c r="A149" s="67">
        <v>-0.57818060962777795</v>
      </c>
      <c r="B149" s="52" t="s">
        <v>59</v>
      </c>
      <c r="C149" s="52">
        <v>3.6767123287671235</v>
      </c>
      <c r="D149" s="50">
        <f t="shared" si="14"/>
        <v>0.56545965137649856</v>
      </c>
      <c r="E149" s="52">
        <v>0</v>
      </c>
      <c r="F149" s="52">
        <v>2.1072099696478683</v>
      </c>
      <c r="G149" s="52">
        <v>3.29</v>
      </c>
      <c r="H149" s="50">
        <f t="shared" si="15"/>
        <v>0.51719589794997434</v>
      </c>
      <c r="I149" s="52">
        <v>0</v>
      </c>
      <c r="J149" s="52">
        <v>0.14612803567823801</v>
      </c>
      <c r="K149" s="52">
        <v>2</v>
      </c>
      <c r="L149" s="50">
        <f t="shared" si="16"/>
        <v>0.3010299956639812</v>
      </c>
      <c r="M149" s="52">
        <v>0</v>
      </c>
      <c r="N149" s="52">
        <v>94.1</v>
      </c>
      <c r="O149" s="50">
        <f t="shared" si="17"/>
        <v>1.973589623427257</v>
      </c>
      <c r="P149" s="52">
        <v>32.200000000000003</v>
      </c>
      <c r="Q149" s="50">
        <f t="shared" si="18"/>
        <v>1.507855871695831</v>
      </c>
      <c r="R149" s="52">
        <v>43.9397801796012</v>
      </c>
      <c r="S149" s="50">
        <f t="shared" si="19"/>
        <v>1.6428578799166489</v>
      </c>
      <c r="T149" s="52">
        <v>3.3209851425446502</v>
      </c>
      <c r="U149" s="52">
        <v>3.9950367434689285</v>
      </c>
      <c r="V149" s="187">
        <v>75720000</v>
      </c>
      <c r="W149" s="186">
        <f t="shared" si="20"/>
        <v>7.8792106052917594</v>
      </c>
      <c r="X149" s="52">
        <v>7</v>
      </c>
      <c r="Y149" s="68" t="s">
        <v>59</v>
      </c>
    </row>
    <row r="150" spans="1:25" x14ac:dyDescent="0.35">
      <c r="A150" s="49">
        <v>0.71556926615548055</v>
      </c>
      <c r="B150" s="50" t="s">
        <v>163</v>
      </c>
      <c r="C150" s="50">
        <v>2.6876712328767125</v>
      </c>
      <c r="D150" s="50">
        <f t="shared" si="14"/>
        <v>0.42937614292347381</v>
      </c>
      <c r="E150" s="50">
        <v>2.5362300726332561</v>
      </c>
      <c r="F150" s="50">
        <v>0</v>
      </c>
      <c r="G150" s="50">
        <v>2.3199999999999998</v>
      </c>
      <c r="H150" s="50">
        <f t="shared" si="15"/>
        <v>0.36548798489089962</v>
      </c>
      <c r="I150" s="50">
        <v>2.756001823801419</v>
      </c>
      <c r="J150" s="50">
        <v>-7.5720713938118356E-2</v>
      </c>
      <c r="K150" s="50">
        <v>14</v>
      </c>
      <c r="L150" s="50">
        <f t="shared" si="16"/>
        <v>1.146128035678238</v>
      </c>
      <c r="M150" s="50">
        <v>1</v>
      </c>
      <c r="N150" s="50">
        <v>85</v>
      </c>
      <c r="O150" s="50">
        <f t="shared" si="17"/>
        <v>1.9294189257142926</v>
      </c>
      <c r="P150" s="50">
        <v>44.2</v>
      </c>
      <c r="Q150" s="50">
        <f t="shared" si="18"/>
        <v>1.6454222693490919</v>
      </c>
      <c r="R150" s="50">
        <v>52.629944775121203</v>
      </c>
      <c r="S150" s="50">
        <f t="shared" si="19"/>
        <v>1.7212329143100249</v>
      </c>
      <c r="T150" s="50">
        <v>3.3833706119727633</v>
      </c>
      <c r="U150" s="50">
        <v>3.9798077985646683</v>
      </c>
      <c r="V150" s="186">
        <v>77000000</v>
      </c>
      <c r="W150" s="186">
        <f t="shared" si="20"/>
        <v>7.8864907251724823</v>
      </c>
      <c r="X150" s="50">
        <v>5</v>
      </c>
      <c r="Y150" s="66" t="s">
        <v>59</v>
      </c>
    </row>
    <row r="151" spans="1:25" x14ac:dyDescent="0.35">
      <c r="A151" s="67">
        <v>0.17720340942504884</v>
      </c>
      <c r="B151" s="52" t="s">
        <v>163</v>
      </c>
      <c r="C151" s="52">
        <v>7.375342465753425</v>
      </c>
      <c r="D151" s="50">
        <f t="shared" si="14"/>
        <v>0.86778219109546451</v>
      </c>
      <c r="E151" s="52">
        <v>2.5362300726332561</v>
      </c>
      <c r="F151" s="52">
        <v>1.255272505103306</v>
      </c>
      <c r="G151" s="52">
        <v>2.3199999999999998</v>
      </c>
      <c r="H151" s="50">
        <f t="shared" si="15"/>
        <v>0.36548798489089962</v>
      </c>
      <c r="I151" s="52">
        <v>2.756001823801419</v>
      </c>
      <c r="J151" s="52">
        <v>2.1189299069938092E-2</v>
      </c>
      <c r="K151" s="52">
        <v>13</v>
      </c>
      <c r="L151" s="50">
        <f t="shared" si="16"/>
        <v>1.1139433523068367</v>
      </c>
      <c r="M151" s="52">
        <v>1</v>
      </c>
      <c r="N151" s="52">
        <v>85</v>
      </c>
      <c r="O151" s="50">
        <f t="shared" si="17"/>
        <v>1.9294189257142926</v>
      </c>
      <c r="P151" s="52">
        <v>43.5</v>
      </c>
      <c r="Q151" s="50">
        <f t="shared" si="18"/>
        <v>1.6384892569546374</v>
      </c>
      <c r="R151" s="52">
        <v>52.924485315438503</v>
      </c>
      <c r="S151" s="50">
        <f t="shared" si="19"/>
        <v>1.7236566432478624</v>
      </c>
      <c r="T151" s="52">
        <v>3.3833706119727633</v>
      </c>
      <c r="U151" s="52">
        <v>3.9798077985646683</v>
      </c>
      <c r="V151" s="187">
        <v>78000000</v>
      </c>
      <c r="W151" s="186">
        <f t="shared" si="20"/>
        <v>7.8920946026904808</v>
      </c>
      <c r="X151" s="52">
        <v>1</v>
      </c>
      <c r="Y151" s="68" t="s">
        <v>59</v>
      </c>
    </row>
    <row r="152" spans="1:25" x14ac:dyDescent="0.35">
      <c r="A152" s="49">
        <v>-7.90325429903092E-3</v>
      </c>
      <c r="B152" s="50" t="s">
        <v>2</v>
      </c>
      <c r="C152" s="50">
        <v>4.5534246575342463</v>
      </c>
      <c r="D152" s="50">
        <f t="shared" si="14"/>
        <v>0.65833815499161741</v>
      </c>
      <c r="E152" s="50">
        <v>3.8335760926148099</v>
      </c>
      <c r="F152" s="50">
        <v>1.9493900066449128</v>
      </c>
      <c r="G152" s="50">
        <v>2.85</v>
      </c>
      <c r="H152" s="50">
        <f t="shared" si="15"/>
        <v>0.45484486000851021</v>
      </c>
      <c r="I152" s="50">
        <v>2.9138138523837167</v>
      </c>
      <c r="J152" s="50">
        <v>-9.1514981121350217E-2</v>
      </c>
      <c r="K152" s="50">
        <v>13</v>
      </c>
      <c r="L152" s="50">
        <f t="shared" si="16"/>
        <v>1.1139433523068367</v>
      </c>
      <c r="M152" s="50">
        <v>1</v>
      </c>
      <c r="N152" s="50">
        <v>70</v>
      </c>
      <c r="O152" s="50">
        <f t="shared" si="17"/>
        <v>1.8450980400142569</v>
      </c>
      <c r="P152" s="50">
        <v>36.200000000000003</v>
      </c>
      <c r="Q152" s="50">
        <f t="shared" si="18"/>
        <v>1.5587085705331658</v>
      </c>
      <c r="R152" s="50">
        <v>44.748733746598099</v>
      </c>
      <c r="S152" s="50">
        <f t="shared" si="19"/>
        <v>1.6507807506095689</v>
      </c>
      <c r="T152" s="50">
        <v>3.0958500844125241</v>
      </c>
      <c r="U152" s="50">
        <v>3.5078178355445662</v>
      </c>
      <c r="V152" s="186">
        <v>78750000</v>
      </c>
      <c r="W152" s="186">
        <f t="shared" si="20"/>
        <v>7.8962505624616384</v>
      </c>
      <c r="X152" s="50">
        <v>5</v>
      </c>
      <c r="Y152" s="66" t="s">
        <v>602</v>
      </c>
    </row>
    <row r="153" spans="1:25" x14ac:dyDescent="0.35">
      <c r="A153" s="67">
        <v>0.41029207058620576</v>
      </c>
      <c r="B153" s="52" t="s">
        <v>59</v>
      </c>
      <c r="C153" s="52">
        <v>3.106849315068493</v>
      </c>
      <c r="D153" s="50">
        <f t="shared" si="14"/>
        <v>0.49232019010041306</v>
      </c>
      <c r="E153" s="52">
        <v>0</v>
      </c>
      <c r="F153" s="52">
        <v>1.6020599913279623</v>
      </c>
      <c r="G153" s="52">
        <v>3.29</v>
      </c>
      <c r="H153" s="50">
        <f t="shared" si="15"/>
        <v>0.51719589794997434</v>
      </c>
      <c r="I153" s="52">
        <v>0</v>
      </c>
      <c r="J153" s="52">
        <v>0.10037054511756291</v>
      </c>
      <c r="K153" s="52">
        <v>8</v>
      </c>
      <c r="L153" s="50">
        <f t="shared" si="16"/>
        <v>0.90308998699194354</v>
      </c>
      <c r="M153" s="52">
        <v>0</v>
      </c>
      <c r="N153" s="52">
        <v>92</v>
      </c>
      <c r="O153" s="50">
        <f t="shared" si="17"/>
        <v>1.9637878273455553</v>
      </c>
      <c r="P153" s="52">
        <v>31.8</v>
      </c>
      <c r="Q153" s="50">
        <f t="shared" si="18"/>
        <v>1.5024271199844328</v>
      </c>
      <c r="R153" s="52">
        <v>43.012424801889097</v>
      </c>
      <c r="S153" s="50">
        <f t="shared" si="19"/>
        <v>1.6335939263577708</v>
      </c>
      <c r="T153" s="52">
        <v>3.3948757743780882</v>
      </c>
      <c r="U153" s="52">
        <v>3.9596629940481844</v>
      </c>
      <c r="V153" s="187">
        <v>80000000</v>
      </c>
      <c r="W153" s="186">
        <f t="shared" si="20"/>
        <v>7.9030899869919438</v>
      </c>
      <c r="X153" s="52">
        <v>5</v>
      </c>
      <c r="Y153" s="68" t="s">
        <v>59</v>
      </c>
    </row>
    <row r="154" spans="1:25" x14ac:dyDescent="0.35">
      <c r="A154" s="49">
        <v>-0.68983793479554678</v>
      </c>
      <c r="B154" s="50" t="s">
        <v>163</v>
      </c>
      <c r="C154" s="50">
        <v>1.4931506849315068</v>
      </c>
      <c r="D154" s="50">
        <f t="shared" si="14"/>
        <v>0.17410363782016772</v>
      </c>
      <c r="E154" s="50">
        <v>3.7899753459779522</v>
      </c>
      <c r="F154" s="50">
        <v>0.84509804001425681</v>
      </c>
      <c r="G154" s="50">
        <v>3.18</v>
      </c>
      <c r="H154" s="50">
        <f t="shared" si="15"/>
        <v>0.50242711998443268</v>
      </c>
      <c r="I154" s="50">
        <v>2.7670321178317625</v>
      </c>
      <c r="J154" s="50">
        <v>4.1392685158225077E-2</v>
      </c>
      <c r="K154" s="50">
        <v>17</v>
      </c>
      <c r="L154" s="50">
        <f t="shared" si="16"/>
        <v>1.2304489213782739</v>
      </c>
      <c r="M154" s="50">
        <v>1</v>
      </c>
      <c r="N154" s="50">
        <v>70</v>
      </c>
      <c r="O154" s="50">
        <f t="shared" si="17"/>
        <v>1.8450980400142569</v>
      </c>
      <c r="P154" s="50">
        <v>42.4</v>
      </c>
      <c r="Q154" s="50">
        <f t="shared" si="18"/>
        <v>1.6273658565927327</v>
      </c>
      <c r="R154" s="50">
        <v>52.984855215816303</v>
      </c>
      <c r="S154" s="50">
        <f t="shared" si="19"/>
        <v>1.7241517519382803</v>
      </c>
      <c r="T154" s="50">
        <v>3.4269037046073545</v>
      </c>
      <c r="U154" s="50">
        <v>3.857855755812408</v>
      </c>
      <c r="V154" s="186">
        <v>80000000</v>
      </c>
      <c r="W154" s="186">
        <f t="shared" si="20"/>
        <v>7.9030899869919438</v>
      </c>
      <c r="X154" s="50">
        <v>5</v>
      </c>
      <c r="Y154" s="66" t="s">
        <v>45</v>
      </c>
    </row>
    <row r="155" spans="1:25" x14ac:dyDescent="0.35">
      <c r="A155" s="67">
        <v>0.24874460454816136</v>
      </c>
      <c r="B155" s="52" t="s">
        <v>1</v>
      </c>
      <c r="C155" s="52">
        <v>1.3917808219178083</v>
      </c>
      <c r="D155" s="50">
        <f t="shared" si="14"/>
        <v>0.14357084782744456</v>
      </c>
      <c r="E155" s="52">
        <v>0</v>
      </c>
      <c r="F155" s="52">
        <v>0.90308998699194354</v>
      </c>
      <c r="G155" s="52">
        <v>3.42</v>
      </c>
      <c r="H155" s="50">
        <f t="shared" si="15"/>
        <v>0.53402610605613499</v>
      </c>
      <c r="I155" s="52">
        <v>0</v>
      </c>
      <c r="J155" s="52">
        <v>5.6904851336472641E-2</v>
      </c>
      <c r="K155" s="52">
        <v>24</v>
      </c>
      <c r="L155" s="50">
        <f t="shared" si="16"/>
        <v>1.3802112417116059</v>
      </c>
      <c r="M155" s="52">
        <v>0</v>
      </c>
      <c r="N155" s="52">
        <v>92.1</v>
      </c>
      <c r="O155" s="50">
        <f t="shared" si="17"/>
        <v>1.9642596301968489</v>
      </c>
      <c r="P155" s="52">
        <v>38.4</v>
      </c>
      <c r="Q155" s="50">
        <f t="shared" si="18"/>
        <v>1.5843312243675307</v>
      </c>
      <c r="R155" s="52">
        <v>48.799820147807203</v>
      </c>
      <c r="S155" s="50">
        <f t="shared" si="19"/>
        <v>1.688418221409292</v>
      </c>
      <c r="T155" s="52">
        <v>3.2596780568098533</v>
      </c>
      <c r="U155" s="52">
        <v>4</v>
      </c>
      <c r="V155" s="187">
        <v>81330000</v>
      </c>
      <c r="W155" s="186">
        <f t="shared" si="20"/>
        <v>7.9102507723001478</v>
      </c>
      <c r="X155" s="52">
        <v>4</v>
      </c>
      <c r="Y155" s="68" t="s">
        <v>1</v>
      </c>
    </row>
    <row r="156" spans="1:25" x14ac:dyDescent="0.35">
      <c r="A156" s="49">
        <v>-0.36974580803344115</v>
      </c>
      <c r="B156" s="50" t="s">
        <v>59</v>
      </c>
      <c r="C156" s="50">
        <v>8.8876712328767127</v>
      </c>
      <c r="D156" s="50">
        <f t="shared" si="14"/>
        <v>0.94878798108264373</v>
      </c>
      <c r="E156" s="50">
        <v>0</v>
      </c>
      <c r="F156" s="50">
        <v>0</v>
      </c>
      <c r="G156" s="50">
        <v>3.29</v>
      </c>
      <c r="H156" s="50">
        <f t="shared" si="15"/>
        <v>0.51719589794997434</v>
      </c>
      <c r="I156" s="50">
        <v>0</v>
      </c>
      <c r="J156" s="50">
        <v>0.11394335230683679</v>
      </c>
      <c r="K156" s="50">
        <v>13</v>
      </c>
      <c r="L156" s="50">
        <f t="shared" si="16"/>
        <v>1.1139433523068367</v>
      </c>
      <c r="M156" s="50">
        <v>0</v>
      </c>
      <c r="N156" s="50">
        <v>85</v>
      </c>
      <c r="O156" s="50">
        <f t="shared" si="17"/>
        <v>1.9294189257142926</v>
      </c>
      <c r="P156" s="50">
        <v>31.5</v>
      </c>
      <c r="Q156" s="50">
        <f t="shared" si="18"/>
        <v>1.4983105537896004</v>
      </c>
      <c r="R156" s="50">
        <v>35.516899069648296</v>
      </c>
      <c r="S156" s="50">
        <f t="shared" si="19"/>
        <v>1.5504350411232082</v>
      </c>
      <c r="T156" s="50">
        <v>3.2699236952309465</v>
      </c>
      <c r="U156" s="50">
        <v>3.6984415808994222</v>
      </c>
      <c r="V156" s="186">
        <v>82000000</v>
      </c>
      <c r="W156" s="186">
        <f t="shared" si="20"/>
        <v>7.9138138523837167</v>
      </c>
      <c r="X156" s="50">
        <v>5</v>
      </c>
      <c r="Y156" s="66" t="s">
        <v>577</v>
      </c>
    </row>
    <row r="157" spans="1:25" x14ac:dyDescent="0.35">
      <c r="A157" s="67">
        <v>0.33871328580219212</v>
      </c>
      <c r="B157" s="52" t="s">
        <v>5</v>
      </c>
      <c r="C157" s="52">
        <v>5.1726027397260275</v>
      </c>
      <c r="D157" s="50">
        <f t="shared" si="14"/>
        <v>0.71370912550557541</v>
      </c>
      <c r="E157" s="52">
        <v>2.5542346870234227</v>
      </c>
      <c r="F157" s="52">
        <v>1.8633228601204559</v>
      </c>
      <c r="G157" s="52">
        <v>3.16</v>
      </c>
      <c r="H157" s="50">
        <f t="shared" si="15"/>
        <v>0.49968708261840383</v>
      </c>
      <c r="I157" s="52">
        <v>2.9876662649262746</v>
      </c>
      <c r="J157" s="52">
        <v>-3.1517051446064911E-2</v>
      </c>
      <c r="K157" s="52">
        <v>5</v>
      </c>
      <c r="L157" s="50">
        <f t="shared" si="16"/>
        <v>0.69897000433601886</v>
      </c>
      <c r="M157" s="52">
        <v>1</v>
      </c>
      <c r="N157" s="52">
        <v>88.4</v>
      </c>
      <c r="O157" s="50">
        <f t="shared" si="17"/>
        <v>1.9464522650130731</v>
      </c>
      <c r="P157" s="52">
        <v>35.700000000000003</v>
      </c>
      <c r="Q157" s="50">
        <f t="shared" si="18"/>
        <v>1.5526682161121932</v>
      </c>
      <c r="R157" s="52">
        <v>42.337645557762798</v>
      </c>
      <c r="S157" s="50">
        <f t="shared" si="19"/>
        <v>1.6267267027692975</v>
      </c>
      <c r="T157" s="52">
        <v>3.3438084825075891</v>
      </c>
      <c r="U157" s="52">
        <v>3.8895205457872843</v>
      </c>
      <c r="V157" s="187">
        <v>82520000</v>
      </c>
      <c r="W157" s="186">
        <f t="shared" si="20"/>
        <v>7.9165592193011136</v>
      </c>
      <c r="X157" s="52">
        <v>5</v>
      </c>
      <c r="Y157" s="68" t="s">
        <v>59</v>
      </c>
    </row>
    <row r="158" spans="1:25" x14ac:dyDescent="0.35">
      <c r="A158" s="49">
        <v>0.37675070960209955</v>
      </c>
      <c r="B158" s="50" t="s">
        <v>59</v>
      </c>
      <c r="C158" s="50">
        <v>1.263013698630137</v>
      </c>
      <c r="D158" s="50">
        <f t="shared" si="14"/>
        <v>0.10140806093317345</v>
      </c>
      <c r="E158" s="50">
        <v>3.7707754512906644</v>
      </c>
      <c r="F158" s="50">
        <v>1.2787536009528289</v>
      </c>
      <c r="G158" s="50">
        <v>2.3199999999999998</v>
      </c>
      <c r="H158" s="50">
        <f t="shared" si="15"/>
        <v>0.36548798489089962</v>
      </c>
      <c r="I158" s="50">
        <v>2.1238516409670858</v>
      </c>
      <c r="J158" s="50">
        <v>5.6904851336472641E-2</v>
      </c>
      <c r="K158" s="50">
        <v>38</v>
      </c>
      <c r="L158" s="50">
        <f t="shared" si="16"/>
        <v>1.5797835966168101</v>
      </c>
      <c r="M158" s="50">
        <v>1</v>
      </c>
      <c r="N158" s="50">
        <v>91.5</v>
      </c>
      <c r="O158" s="50">
        <f t="shared" si="17"/>
        <v>1.9614210940664483</v>
      </c>
      <c r="P158" s="50">
        <v>32.9</v>
      </c>
      <c r="Q158" s="50">
        <f t="shared" si="18"/>
        <v>1.5171958979499742</v>
      </c>
      <c r="R158" s="50">
        <v>40.767390998852598</v>
      </c>
      <c r="S158" s="50">
        <f t="shared" si="19"/>
        <v>1.6103129186864549</v>
      </c>
      <c r="T158" s="50">
        <v>3.3885364494891754</v>
      </c>
      <c r="U158" s="50">
        <v>3.818148300254375</v>
      </c>
      <c r="V158" s="186">
        <v>84000000</v>
      </c>
      <c r="W158" s="186">
        <f t="shared" si="20"/>
        <v>7.924279286061882</v>
      </c>
      <c r="X158" s="50">
        <v>9</v>
      </c>
      <c r="Y158" s="66" t="s">
        <v>602</v>
      </c>
    </row>
    <row r="159" spans="1:25" x14ac:dyDescent="0.35">
      <c r="A159" s="67">
        <v>0.24358103609649076</v>
      </c>
      <c r="B159" s="52" t="s">
        <v>59</v>
      </c>
      <c r="C159" s="52">
        <v>10.441095890410958</v>
      </c>
      <c r="D159" s="50">
        <f t="shared" si="14"/>
        <v>1.0187460843156924</v>
      </c>
      <c r="E159" s="52">
        <v>0</v>
      </c>
      <c r="F159" s="52">
        <v>1.3979400086720377</v>
      </c>
      <c r="G159" s="52">
        <v>3.29</v>
      </c>
      <c r="H159" s="50">
        <f t="shared" si="15"/>
        <v>0.51719589794997434</v>
      </c>
      <c r="I159" s="52">
        <v>0</v>
      </c>
      <c r="J159" s="52">
        <v>0.5877109650189114</v>
      </c>
      <c r="K159" s="52">
        <v>10</v>
      </c>
      <c r="L159" s="50">
        <f t="shared" si="16"/>
        <v>1</v>
      </c>
      <c r="M159" s="52">
        <v>0</v>
      </c>
      <c r="N159" s="52">
        <v>100</v>
      </c>
      <c r="O159" s="50">
        <f t="shared" si="17"/>
        <v>2</v>
      </c>
      <c r="P159" s="52">
        <v>32.9</v>
      </c>
      <c r="Q159" s="50">
        <f t="shared" si="18"/>
        <v>1.5171958979499742</v>
      </c>
      <c r="R159" s="52">
        <v>49.329709120205997</v>
      </c>
      <c r="S159" s="50">
        <f t="shared" si="19"/>
        <v>1.6931085545892062</v>
      </c>
      <c r="T159" s="52">
        <v>3.2327651641054547</v>
      </c>
      <c r="U159" s="52">
        <v>3.9527244147731087</v>
      </c>
      <c r="V159" s="187">
        <v>84500000</v>
      </c>
      <c r="W159" s="186">
        <f t="shared" si="20"/>
        <v>7.9268567089496926</v>
      </c>
      <c r="X159" s="52">
        <v>8</v>
      </c>
      <c r="Y159" s="68" t="s">
        <v>59</v>
      </c>
    </row>
    <row r="160" spans="1:25" x14ac:dyDescent="0.35">
      <c r="A160" s="49">
        <v>0.25809188504009289</v>
      </c>
      <c r="B160" s="50" t="s">
        <v>59</v>
      </c>
      <c r="C160" s="50">
        <v>4.1287671232876715</v>
      </c>
      <c r="D160" s="50">
        <f t="shared" si="14"/>
        <v>0.61582038785815718</v>
      </c>
      <c r="E160" s="50">
        <v>0</v>
      </c>
      <c r="F160" s="50">
        <v>0.3010299956639812</v>
      </c>
      <c r="G160" s="50">
        <v>3.29</v>
      </c>
      <c r="H160" s="50">
        <f t="shared" si="15"/>
        <v>0.51719589794997434</v>
      </c>
      <c r="I160" s="50">
        <v>0</v>
      </c>
      <c r="J160" s="50">
        <v>0.27184160653649897</v>
      </c>
      <c r="K160" s="50">
        <v>23</v>
      </c>
      <c r="L160" s="50">
        <f t="shared" si="16"/>
        <v>1.3617278360175928</v>
      </c>
      <c r="M160" s="50">
        <v>0</v>
      </c>
      <c r="N160" s="50">
        <v>85</v>
      </c>
      <c r="O160" s="50">
        <f t="shared" si="17"/>
        <v>1.9294189257142926</v>
      </c>
      <c r="P160" s="50">
        <v>31.3</v>
      </c>
      <c r="Q160" s="50">
        <f t="shared" si="18"/>
        <v>1.4955443375464486</v>
      </c>
      <c r="R160" s="50">
        <v>38.7850112673514</v>
      </c>
      <c r="S160" s="50">
        <f t="shared" si="19"/>
        <v>1.5886639219461918</v>
      </c>
      <c r="T160" s="50">
        <v>3.2327651641054547</v>
      </c>
      <c r="U160" s="50">
        <v>3.9527244147731087</v>
      </c>
      <c r="V160" s="186">
        <v>84660000</v>
      </c>
      <c r="W160" s="186">
        <f t="shared" si="20"/>
        <v>7.9276782641379917</v>
      </c>
      <c r="X160" s="50">
        <v>1</v>
      </c>
      <c r="Y160" s="66" t="s">
        <v>59</v>
      </c>
    </row>
    <row r="161" spans="1:25" x14ac:dyDescent="0.35">
      <c r="A161" s="67">
        <v>5.2852307325275676E-2</v>
      </c>
      <c r="B161" s="52" t="s">
        <v>447</v>
      </c>
      <c r="C161" s="52">
        <v>2.6876712328767125</v>
      </c>
      <c r="D161" s="50">
        <f t="shared" si="14"/>
        <v>0.42937614292347381</v>
      </c>
      <c r="E161" s="52">
        <v>3.1016130541812235</v>
      </c>
      <c r="F161" s="52">
        <v>0</v>
      </c>
      <c r="G161" s="52">
        <v>2.4700000000000002</v>
      </c>
      <c r="H161" s="50">
        <f t="shared" si="15"/>
        <v>0.39269695325966575</v>
      </c>
      <c r="I161" s="52">
        <v>2.9811387826406603</v>
      </c>
      <c r="J161" s="52">
        <v>0.19865708695442263</v>
      </c>
      <c r="K161" s="52">
        <v>7</v>
      </c>
      <c r="L161" s="50">
        <f t="shared" si="16"/>
        <v>0.84509804001425681</v>
      </c>
      <c r="M161" s="52">
        <v>1</v>
      </c>
      <c r="N161" s="52">
        <v>70</v>
      </c>
      <c r="O161" s="50">
        <f t="shared" si="17"/>
        <v>1.8450980400142569</v>
      </c>
      <c r="P161" s="52">
        <v>31.23</v>
      </c>
      <c r="Q161" s="50">
        <f t="shared" si="18"/>
        <v>1.4945719842301985</v>
      </c>
      <c r="R161" s="52">
        <v>44.330850769696298</v>
      </c>
      <c r="S161" s="50">
        <f t="shared" si="19"/>
        <v>1.6467060660847843</v>
      </c>
      <c r="T161" s="52">
        <v>3.5347454529897258</v>
      </c>
      <c r="U161" s="52">
        <v>3.9695495619878729</v>
      </c>
      <c r="V161" s="187">
        <v>85000000</v>
      </c>
      <c r="W161" s="186">
        <f t="shared" si="20"/>
        <v>7.9294189257142929</v>
      </c>
      <c r="X161" s="52">
        <v>1</v>
      </c>
      <c r="Y161" s="68" t="s">
        <v>59</v>
      </c>
    </row>
    <row r="162" spans="1:25" x14ac:dyDescent="0.35">
      <c r="A162" s="49">
        <v>0.95451372538741597</v>
      </c>
      <c r="B162" s="50" t="s">
        <v>59</v>
      </c>
      <c r="C162" s="50">
        <v>10.575342465753424</v>
      </c>
      <c r="D162" s="50">
        <f t="shared" si="14"/>
        <v>1.0242944402152803</v>
      </c>
      <c r="E162" s="50">
        <v>0</v>
      </c>
      <c r="F162" s="50">
        <v>1.3979400086720377</v>
      </c>
      <c r="G162" s="50">
        <v>3.29</v>
      </c>
      <c r="H162" s="50">
        <f t="shared" si="15"/>
        <v>0.51719589794997434</v>
      </c>
      <c r="I162" s="50">
        <v>0</v>
      </c>
      <c r="J162" s="50">
        <v>0.2528530309798932</v>
      </c>
      <c r="K162" s="50">
        <v>5</v>
      </c>
      <c r="L162" s="50">
        <f t="shared" si="16"/>
        <v>0.69897000433601886</v>
      </c>
      <c r="M162" s="50">
        <v>0</v>
      </c>
      <c r="N162" s="50">
        <v>91.2</v>
      </c>
      <c r="O162" s="50">
        <f t="shared" si="17"/>
        <v>1.9599948383284163</v>
      </c>
      <c r="P162" s="50">
        <v>33</v>
      </c>
      <c r="Q162" s="50">
        <f t="shared" si="18"/>
        <v>1.5185139398778875</v>
      </c>
      <c r="R162" s="50">
        <v>40.902544500539101</v>
      </c>
      <c r="S162" s="50">
        <f t="shared" si="19"/>
        <v>1.6117503258110162</v>
      </c>
      <c r="T162" s="50">
        <v>3.3438084825075891</v>
      </c>
      <c r="U162" s="50">
        <v>3.8895205457872843</v>
      </c>
      <c r="V162" s="186">
        <v>88399000</v>
      </c>
      <c r="W162" s="186">
        <f t="shared" si="20"/>
        <v>7.9464473521517798</v>
      </c>
      <c r="X162" s="50">
        <v>5</v>
      </c>
      <c r="Y162" s="66" t="s">
        <v>59</v>
      </c>
    </row>
    <row r="163" spans="1:25" x14ac:dyDescent="0.35">
      <c r="A163" s="67">
        <v>2.7898069076135487E-3</v>
      </c>
      <c r="B163" s="52" t="s">
        <v>5</v>
      </c>
      <c r="C163" s="52">
        <v>3.43013698630137</v>
      </c>
      <c r="D163" s="50">
        <f t="shared" si="14"/>
        <v>0.5353114644179362</v>
      </c>
      <c r="E163" s="52">
        <v>2.5542346870234227</v>
      </c>
      <c r="F163" s="52">
        <v>1.2787536009528289</v>
      </c>
      <c r="G163" s="52">
        <v>3.16</v>
      </c>
      <c r="H163" s="50">
        <f t="shared" si="15"/>
        <v>0.49968708261840383</v>
      </c>
      <c r="I163" s="52">
        <v>2.9876662649262746</v>
      </c>
      <c r="J163" s="52">
        <v>0.16731733474817609</v>
      </c>
      <c r="K163" s="52">
        <v>2</v>
      </c>
      <c r="L163" s="50">
        <f t="shared" si="16"/>
        <v>0.3010299956639812</v>
      </c>
      <c r="M163" s="52">
        <v>1</v>
      </c>
      <c r="N163" s="52">
        <v>70</v>
      </c>
      <c r="O163" s="50">
        <f t="shared" si="17"/>
        <v>1.8450980400142569</v>
      </c>
      <c r="P163" s="52">
        <v>35</v>
      </c>
      <c r="Q163" s="50">
        <f t="shared" si="18"/>
        <v>1.5440680443502757</v>
      </c>
      <c r="R163" s="52">
        <v>43.580897040130701</v>
      </c>
      <c r="S163" s="50">
        <f t="shared" si="19"/>
        <v>1.6392961652303231</v>
      </c>
      <c r="T163" s="52">
        <v>3.2860283894181141</v>
      </c>
      <c r="U163" s="52">
        <v>3.9098977130890344</v>
      </c>
      <c r="V163" s="187">
        <v>90000000</v>
      </c>
      <c r="W163" s="186">
        <f t="shared" si="20"/>
        <v>7.9542425094393252</v>
      </c>
      <c r="X163" s="52">
        <v>2</v>
      </c>
      <c r="Y163" s="68" t="s">
        <v>59</v>
      </c>
    </row>
    <row r="164" spans="1:25" x14ac:dyDescent="0.35">
      <c r="A164" s="49">
        <v>0.77815125038364363</v>
      </c>
      <c r="B164" s="50" t="s">
        <v>45</v>
      </c>
      <c r="C164" s="50">
        <v>2.1479452054794521</v>
      </c>
      <c r="D164" s="50">
        <f t="shared" si="14"/>
        <v>0.33202319822796372</v>
      </c>
      <c r="E164" s="50">
        <v>0</v>
      </c>
      <c r="F164" s="50">
        <v>1.5440680443502757</v>
      </c>
      <c r="G164" s="50">
        <v>2.95</v>
      </c>
      <c r="H164" s="50">
        <f t="shared" si="15"/>
        <v>0.46982201597816303</v>
      </c>
      <c r="I164" s="50">
        <v>0</v>
      </c>
      <c r="J164" s="50">
        <v>4.5322978786657475E-2</v>
      </c>
      <c r="K164" s="50">
        <v>7</v>
      </c>
      <c r="L164" s="50">
        <f t="shared" si="16"/>
        <v>0.84509804001425681</v>
      </c>
      <c r="M164" s="50">
        <v>0</v>
      </c>
      <c r="N164" s="50">
        <v>89.2</v>
      </c>
      <c r="O164" s="50">
        <f t="shared" si="17"/>
        <v>1.9503648543761232</v>
      </c>
      <c r="P164" s="50">
        <v>26</v>
      </c>
      <c r="Q164" s="50">
        <f t="shared" si="18"/>
        <v>1.414973347970818</v>
      </c>
      <c r="R164" s="50">
        <v>38.344872802923099</v>
      </c>
      <c r="S164" s="50">
        <f t="shared" si="19"/>
        <v>1.5837073014724459</v>
      </c>
      <c r="T164" s="50">
        <v>3.447158031342219</v>
      </c>
      <c r="U164" s="50">
        <v>3.9259642328190694</v>
      </c>
      <c r="V164" s="186">
        <v>90000000</v>
      </c>
      <c r="W164" s="186">
        <f t="shared" si="20"/>
        <v>7.9542425094393252</v>
      </c>
      <c r="X164" s="50">
        <v>9</v>
      </c>
      <c r="Y164" s="66" t="s">
        <v>45</v>
      </c>
    </row>
    <row r="165" spans="1:25" x14ac:dyDescent="0.35">
      <c r="A165" s="67">
        <v>-2</v>
      </c>
      <c r="B165" s="52" t="s">
        <v>59</v>
      </c>
      <c r="C165" s="52">
        <v>3.8575342465753426</v>
      </c>
      <c r="D165" s="50">
        <f t="shared" si="14"/>
        <v>0.58630979034961872</v>
      </c>
      <c r="E165" s="52">
        <v>0</v>
      </c>
      <c r="F165" s="52">
        <v>1.5910646070264991</v>
      </c>
      <c r="G165" s="52">
        <v>3.29</v>
      </c>
      <c r="H165" s="50">
        <f t="shared" si="15"/>
        <v>0.51719589794997434</v>
      </c>
      <c r="I165" s="52">
        <v>0</v>
      </c>
      <c r="J165" s="52">
        <v>0.13353890837021748</v>
      </c>
      <c r="K165" s="52">
        <v>28</v>
      </c>
      <c r="L165" s="50">
        <f t="shared" si="16"/>
        <v>1.4471580313422192</v>
      </c>
      <c r="M165" s="52">
        <v>0</v>
      </c>
      <c r="N165" s="52">
        <v>92</v>
      </c>
      <c r="O165" s="50">
        <f t="shared" si="17"/>
        <v>1.9637878273455553</v>
      </c>
      <c r="P165" s="52">
        <v>31.8</v>
      </c>
      <c r="Q165" s="50">
        <f t="shared" si="18"/>
        <v>1.5024271199844328</v>
      </c>
      <c r="R165" s="52">
        <v>43.012424801889097</v>
      </c>
      <c r="S165" s="50">
        <f t="shared" si="19"/>
        <v>1.6335939263577708</v>
      </c>
      <c r="T165" s="52">
        <v>3.2676062401770314</v>
      </c>
      <c r="U165" s="52">
        <v>3.9645616210373218</v>
      </c>
      <c r="V165" s="187">
        <v>90000000</v>
      </c>
      <c r="W165" s="186">
        <f t="shared" si="20"/>
        <v>7.9542425094393252</v>
      </c>
      <c r="X165" s="52" t="s">
        <v>1323</v>
      </c>
      <c r="Y165" s="68" t="s">
        <v>59</v>
      </c>
    </row>
    <row r="166" spans="1:25" x14ac:dyDescent="0.35">
      <c r="A166" s="49">
        <v>0.94884747755261878</v>
      </c>
      <c r="B166" s="50" t="s">
        <v>59</v>
      </c>
      <c r="C166" s="50">
        <v>2.1095890410958904</v>
      </c>
      <c r="D166" s="50">
        <f t="shared" si="14"/>
        <v>0.32419786071600715</v>
      </c>
      <c r="E166" s="50">
        <v>2.8904489647796185</v>
      </c>
      <c r="F166" s="50">
        <v>1.146128035678238</v>
      </c>
      <c r="G166" s="50">
        <v>3.18</v>
      </c>
      <c r="H166" s="50">
        <f t="shared" si="15"/>
        <v>0.50242711998443268</v>
      </c>
      <c r="I166" s="50">
        <v>2.4068239403146179</v>
      </c>
      <c r="J166" s="50">
        <v>9.3421685162235063E-2</v>
      </c>
      <c r="K166" s="50">
        <v>15</v>
      </c>
      <c r="L166" s="50">
        <f t="shared" si="16"/>
        <v>1.1760912590556813</v>
      </c>
      <c r="M166" s="50">
        <v>1</v>
      </c>
      <c r="N166" s="50">
        <v>94.6</v>
      </c>
      <c r="O166" s="50">
        <f t="shared" si="17"/>
        <v>1.9758911364017928</v>
      </c>
      <c r="P166" s="50">
        <v>33.200000000000003</v>
      </c>
      <c r="Q166" s="50">
        <f t="shared" si="18"/>
        <v>1.5211380837040362</v>
      </c>
      <c r="R166" s="50">
        <v>45.921427555082097</v>
      </c>
      <c r="S166" s="50">
        <f t="shared" si="19"/>
        <v>1.6620153804713207</v>
      </c>
      <c r="T166" s="50">
        <v>3.1532162502154288</v>
      </c>
      <c r="U166" s="50">
        <v>3.5175748361336181</v>
      </c>
      <c r="V166" s="186">
        <v>90000000</v>
      </c>
      <c r="W166" s="186">
        <f t="shared" si="20"/>
        <v>7.9542425094393252</v>
      </c>
      <c r="X166" s="50">
        <v>6</v>
      </c>
      <c r="Y166" s="66" t="s">
        <v>489</v>
      </c>
    </row>
    <row r="167" spans="1:25" x14ac:dyDescent="0.35">
      <c r="A167" s="67">
        <v>0.29623111278221248</v>
      </c>
      <c r="B167" s="52" t="s">
        <v>59</v>
      </c>
      <c r="C167" s="52">
        <v>1.8054794520547945</v>
      </c>
      <c r="D167" s="50">
        <f t="shared" si="14"/>
        <v>0.25659255013753518</v>
      </c>
      <c r="E167" s="52">
        <v>0</v>
      </c>
      <c r="F167" s="52">
        <v>0.3010299956639812</v>
      </c>
      <c r="G167" s="52">
        <v>3.29</v>
      </c>
      <c r="H167" s="50">
        <f t="shared" si="15"/>
        <v>0.51719589794997434</v>
      </c>
      <c r="I167" s="52">
        <v>0</v>
      </c>
      <c r="J167" s="52">
        <v>0.21748394421390627</v>
      </c>
      <c r="K167" s="52">
        <v>9</v>
      </c>
      <c r="L167" s="50">
        <f t="shared" si="16"/>
        <v>0.95424250943932487</v>
      </c>
      <c r="M167" s="52">
        <v>0</v>
      </c>
      <c r="N167" s="52">
        <v>85</v>
      </c>
      <c r="O167" s="50">
        <f t="shared" si="17"/>
        <v>1.9294189257142926</v>
      </c>
      <c r="P167" s="52">
        <v>30</v>
      </c>
      <c r="Q167" s="50">
        <f t="shared" si="18"/>
        <v>1.4771212547196624</v>
      </c>
      <c r="R167" s="52">
        <v>35.807885111275297</v>
      </c>
      <c r="S167" s="50">
        <f t="shared" si="19"/>
        <v>1.5539786714272548</v>
      </c>
      <c r="T167" s="52">
        <v>3.5347454529897258</v>
      </c>
      <c r="U167" s="52">
        <v>3.9695495619878729</v>
      </c>
      <c r="V167" s="187">
        <v>91000000</v>
      </c>
      <c r="W167" s="186">
        <f t="shared" si="20"/>
        <v>7.9590413923210939</v>
      </c>
      <c r="X167" s="52">
        <v>5</v>
      </c>
      <c r="Y167" s="68" t="s">
        <v>59</v>
      </c>
    </row>
    <row r="168" spans="1:25" x14ac:dyDescent="0.35">
      <c r="A168" s="49">
        <v>0.43439130751080973</v>
      </c>
      <c r="B168" s="50" t="s">
        <v>59</v>
      </c>
      <c r="C168" s="50">
        <v>3.0712328767123287</v>
      </c>
      <c r="D168" s="50">
        <f t="shared" si="14"/>
        <v>0.48731274813849845</v>
      </c>
      <c r="E168" s="50">
        <v>3.7707754512906644</v>
      </c>
      <c r="F168" s="50">
        <v>1.1139433523068367</v>
      </c>
      <c r="G168" s="50">
        <v>2.3199999999999998</v>
      </c>
      <c r="H168" s="50">
        <f t="shared" si="15"/>
        <v>0.36548798489089962</v>
      </c>
      <c r="I168" s="50">
        <v>2.1238516409670858</v>
      </c>
      <c r="J168" s="50">
        <v>0.10720996964786837</v>
      </c>
      <c r="K168" s="50">
        <v>36</v>
      </c>
      <c r="L168" s="50">
        <f t="shared" si="16"/>
        <v>1.5563025007672873</v>
      </c>
      <c r="M168" s="50">
        <v>1</v>
      </c>
      <c r="N168" s="50">
        <v>85</v>
      </c>
      <c r="O168" s="50">
        <f t="shared" si="17"/>
        <v>1.9294189257142926</v>
      </c>
      <c r="P168" s="50">
        <v>32.299999999999997</v>
      </c>
      <c r="Q168" s="50">
        <f t="shared" si="18"/>
        <v>1.5092025223311027</v>
      </c>
      <c r="R168" s="50">
        <v>40.040400531970803</v>
      </c>
      <c r="S168" s="50">
        <f t="shared" si="19"/>
        <v>1.6024984131617945</v>
      </c>
      <c r="T168" s="50">
        <v>3.3885364494891754</v>
      </c>
      <c r="U168" s="50">
        <v>3.818148300254375</v>
      </c>
      <c r="V168" s="186">
        <v>92000000</v>
      </c>
      <c r="W168" s="186">
        <f t="shared" si="20"/>
        <v>7.9637878273455556</v>
      </c>
      <c r="X168" s="50">
        <v>5</v>
      </c>
      <c r="Y168" s="66" t="s">
        <v>602</v>
      </c>
    </row>
    <row r="169" spans="1:25" x14ac:dyDescent="0.35">
      <c r="A169" s="67">
        <v>0.33686842089268865</v>
      </c>
      <c r="B169" s="52" t="s">
        <v>59</v>
      </c>
      <c r="C169" s="52">
        <v>0.9452054794520548</v>
      </c>
      <c r="D169" s="50">
        <f t="shared" si="14"/>
        <v>-2.4473769383200585E-2</v>
      </c>
      <c r="E169" s="52">
        <v>3.7707754512906644</v>
      </c>
      <c r="F169" s="52">
        <v>2.0827853703164503</v>
      </c>
      <c r="G169" s="52">
        <v>2.3199999999999998</v>
      </c>
      <c r="H169" s="50">
        <f t="shared" si="15"/>
        <v>0.36548798489089962</v>
      </c>
      <c r="I169" s="52">
        <v>2.1238516409670858</v>
      </c>
      <c r="J169" s="52">
        <v>2.1189299069938092E-2</v>
      </c>
      <c r="K169" s="52">
        <v>3</v>
      </c>
      <c r="L169" s="50">
        <f t="shared" si="16"/>
        <v>0.47712125471966244</v>
      </c>
      <c r="M169" s="52">
        <v>1</v>
      </c>
      <c r="N169" s="52">
        <v>85</v>
      </c>
      <c r="O169" s="50">
        <f t="shared" si="17"/>
        <v>1.9294189257142926</v>
      </c>
      <c r="P169" s="52">
        <v>32.299999999999997</v>
      </c>
      <c r="Q169" s="50">
        <f t="shared" si="18"/>
        <v>1.5092025223311027</v>
      </c>
      <c r="R169" s="52">
        <v>40.040400531970803</v>
      </c>
      <c r="S169" s="50">
        <f t="shared" si="19"/>
        <v>1.6024984131617945</v>
      </c>
      <c r="T169" s="52">
        <v>3.3130759152940494</v>
      </c>
      <c r="U169" s="52">
        <v>3.7917344972186413</v>
      </c>
      <c r="V169" s="187">
        <v>93000000</v>
      </c>
      <c r="W169" s="186">
        <f t="shared" si="20"/>
        <v>7.9684829485539348</v>
      </c>
      <c r="X169" s="52">
        <v>5</v>
      </c>
      <c r="Y169" s="68" t="s">
        <v>45</v>
      </c>
    </row>
    <row r="170" spans="1:25" x14ac:dyDescent="0.35">
      <c r="A170" s="49">
        <v>-0.43496105178239375</v>
      </c>
      <c r="B170" s="106" t="s">
        <v>59</v>
      </c>
      <c r="C170" s="50">
        <v>5.6904109589041099</v>
      </c>
      <c r="D170" s="50">
        <f t="shared" si="14"/>
        <v>0.75514363207862445</v>
      </c>
      <c r="E170" s="50">
        <v>0</v>
      </c>
      <c r="F170" s="50">
        <v>1.3424226808222062</v>
      </c>
      <c r="G170" s="50">
        <v>3.29</v>
      </c>
      <c r="H170" s="50">
        <f t="shared" si="15"/>
        <v>0.51719589794997434</v>
      </c>
      <c r="I170" s="50">
        <v>0</v>
      </c>
      <c r="J170" s="50">
        <v>0.20951501454263097</v>
      </c>
      <c r="K170" s="50">
        <v>22</v>
      </c>
      <c r="L170" s="50">
        <f t="shared" si="16"/>
        <v>1.3424226808222062</v>
      </c>
      <c r="M170" s="50">
        <v>0</v>
      </c>
      <c r="N170" s="50">
        <v>94.9</v>
      </c>
      <c r="O170" s="50">
        <f t="shared" si="17"/>
        <v>1.9772662124272926</v>
      </c>
      <c r="P170" s="50">
        <v>32.299999999999997</v>
      </c>
      <c r="Q170" s="50">
        <f t="shared" si="18"/>
        <v>1.5092025223311027</v>
      </c>
      <c r="R170" s="50">
        <v>47.560703662314701</v>
      </c>
      <c r="S170" s="50">
        <f t="shared" si="19"/>
        <v>1.6772482713966061</v>
      </c>
      <c r="T170" s="50">
        <v>3.5347454529897258</v>
      </c>
      <c r="U170" s="50">
        <v>3.9695495619878729</v>
      </c>
      <c r="V170" s="186">
        <v>95286000</v>
      </c>
      <c r="W170" s="186">
        <f t="shared" si="20"/>
        <v>7.9790290961326695</v>
      </c>
      <c r="X170" s="50">
        <v>5</v>
      </c>
      <c r="Y170" s="107" t="s">
        <v>59</v>
      </c>
    </row>
    <row r="171" spans="1:25" x14ac:dyDescent="0.35">
      <c r="A171" s="67">
        <v>0.39051099108289822</v>
      </c>
      <c r="B171" s="52" t="s">
        <v>4</v>
      </c>
      <c r="C171" s="52">
        <v>2.7397260273972601</v>
      </c>
      <c r="D171" s="50">
        <f t="shared" si="14"/>
        <v>0.43770713554352525</v>
      </c>
      <c r="E171" s="52">
        <v>2.6208956659919629</v>
      </c>
      <c r="F171" s="52">
        <v>1.2304489213782739</v>
      </c>
      <c r="G171" s="52">
        <v>3.49</v>
      </c>
      <c r="H171" s="50">
        <f t="shared" si="15"/>
        <v>0.5428254269591799</v>
      </c>
      <c r="I171" s="52">
        <v>2.3401134757058348</v>
      </c>
      <c r="J171" s="52">
        <v>0.17609125905568124</v>
      </c>
      <c r="K171" s="52">
        <v>9</v>
      </c>
      <c r="L171" s="50">
        <f t="shared" si="16"/>
        <v>0.95424250943932487</v>
      </c>
      <c r="M171" s="52">
        <v>1</v>
      </c>
      <c r="N171" s="52">
        <v>94.6</v>
      </c>
      <c r="O171" s="50">
        <f t="shared" si="17"/>
        <v>1.9758911364017928</v>
      </c>
      <c r="P171" s="52">
        <v>42.6</v>
      </c>
      <c r="Q171" s="50">
        <f t="shared" si="18"/>
        <v>1.6294095991027189</v>
      </c>
      <c r="R171" s="52">
        <v>51.303664454517403</v>
      </c>
      <c r="S171" s="50">
        <f t="shared" si="19"/>
        <v>1.7101483864673446</v>
      </c>
      <c r="T171" s="52">
        <v>3.3222069919483515</v>
      </c>
      <c r="U171" s="52">
        <v>3.9577021302433337</v>
      </c>
      <c r="V171" s="187">
        <v>95490000</v>
      </c>
      <c r="W171" s="186">
        <f t="shared" si="20"/>
        <v>7.9799578933406652</v>
      </c>
      <c r="X171" s="52">
        <v>7</v>
      </c>
      <c r="Y171" s="68" t="s">
        <v>1</v>
      </c>
    </row>
    <row r="172" spans="1:25" x14ac:dyDescent="0.35">
      <c r="A172" s="49">
        <v>0.13917923677347679</v>
      </c>
      <c r="B172" s="83" t="s">
        <v>45</v>
      </c>
      <c r="C172" s="50">
        <v>3.4684931506849317</v>
      </c>
      <c r="D172" s="50">
        <f t="shared" si="14"/>
        <v>0.54014084122486161</v>
      </c>
      <c r="E172" s="50">
        <v>0</v>
      </c>
      <c r="F172" s="50">
        <v>1.4313637641589874</v>
      </c>
      <c r="G172" s="50">
        <v>2.95</v>
      </c>
      <c r="H172" s="50">
        <f t="shared" si="15"/>
        <v>0.46982201597816303</v>
      </c>
      <c r="I172" s="50">
        <v>0</v>
      </c>
      <c r="J172" s="50">
        <v>-8.092190762392612E-2</v>
      </c>
      <c r="K172" s="50">
        <v>23</v>
      </c>
      <c r="L172" s="50">
        <f t="shared" si="16"/>
        <v>1.3617278360175928</v>
      </c>
      <c r="M172" s="50">
        <v>0</v>
      </c>
      <c r="N172" s="50">
        <v>91.4</v>
      </c>
      <c r="O172" s="50">
        <f t="shared" si="17"/>
        <v>1.9609461957338314</v>
      </c>
      <c r="P172" s="50">
        <v>26.7</v>
      </c>
      <c r="Q172" s="50">
        <f t="shared" si="18"/>
        <v>1.4265112613645752</v>
      </c>
      <c r="R172" s="50">
        <v>37.425715444240403</v>
      </c>
      <c r="S172" s="50">
        <f t="shared" si="19"/>
        <v>1.5731701112332821</v>
      </c>
      <c r="T172" s="50">
        <v>3.4471580313422194</v>
      </c>
      <c r="U172" s="50">
        <v>3.8325089127062362</v>
      </c>
      <c r="V172" s="186">
        <v>98100000</v>
      </c>
      <c r="W172" s="186">
        <f t="shared" si="20"/>
        <v>7.9916690073799481</v>
      </c>
      <c r="X172" s="50">
        <v>6</v>
      </c>
      <c r="Y172" s="102" t="s">
        <v>45</v>
      </c>
    </row>
    <row r="173" spans="1:25" x14ac:dyDescent="0.35">
      <c r="A173" s="67">
        <v>0.66216735642827007</v>
      </c>
      <c r="B173" s="52" t="s">
        <v>447</v>
      </c>
      <c r="C173" s="52">
        <v>2.419178082191781</v>
      </c>
      <c r="D173" s="50">
        <f t="shared" si="14"/>
        <v>0.38366783912109392</v>
      </c>
      <c r="E173" s="52">
        <v>3.7845345619950592</v>
      </c>
      <c r="F173" s="52">
        <v>1.3424226808222062</v>
      </c>
      <c r="G173" s="52">
        <v>2.81</v>
      </c>
      <c r="H173" s="50">
        <f t="shared" si="15"/>
        <v>0.44870631990507992</v>
      </c>
      <c r="I173" s="52">
        <v>2.9168924084376502</v>
      </c>
      <c r="J173" s="52">
        <v>-1.322826573375516E-2</v>
      </c>
      <c r="K173" s="52">
        <v>70</v>
      </c>
      <c r="L173" s="50">
        <f t="shared" si="16"/>
        <v>1.8450980400142569</v>
      </c>
      <c r="M173" s="52">
        <v>1</v>
      </c>
      <c r="N173" s="52">
        <v>70</v>
      </c>
      <c r="O173" s="50">
        <f t="shared" si="17"/>
        <v>1.8450980400142569</v>
      </c>
      <c r="P173" s="52">
        <v>32.840000000000003</v>
      </c>
      <c r="Q173" s="50">
        <f t="shared" si="18"/>
        <v>1.5164031484474032</v>
      </c>
      <c r="R173" s="52">
        <v>38.458217540970502</v>
      </c>
      <c r="S173" s="50">
        <f t="shared" si="19"/>
        <v>1.5849891517157813</v>
      </c>
      <c r="T173" s="52">
        <v>3.3779512479807074</v>
      </c>
      <c r="U173" s="52">
        <v>3.7669888618571257</v>
      </c>
      <c r="V173" s="187">
        <v>99200000</v>
      </c>
      <c r="W173" s="186">
        <f t="shared" si="20"/>
        <v>7.9965116721541785</v>
      </c>
      <c r="X173" s="52">
        <v>6</v>
      </c>
      <c r="Y173" s="68" t="s">
        <v>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7"/>
  <sheetViews>
    <sheetView topLeftCell="A332" workbookViewId="0">
      <selection activeCell="AF13" sqref="AF13"/>
    </sheetView>
  </sheetViews>
  <sheetFormatPr defaultRowHeight="14.5" x14ac:dyDescent="0.35"/>
  <cols>
    <col min="4" max="4" width="9.1796875" style="137"/>
    <col min="8" max="8" width="9.1796875" style="137"/>
    <col min="12" max="12" width="9.1796875" style="137"/>
    <col min="15" max="15" width="9.1796875" style="137"/>
    <col min="17" max="17" width="9.1796875" style="137"/>
    <col min="19" max="19" width="9.1796875" style="137"/>
    <col min="22" max="22" width="17.26953125" bestFit="1" customWidth="1"/>
    <col min="23" max="23" width="17.26953125" style="137" customWidth="1"/>
  </cols>
  <sheetData>
    <row r="1" spans="1:25" x14ac:dyDescent="0.35">
      <c r="A1" s="98" t="s">
        <v>1330</v>
      </c>
      <c r="B1" s="100" t="s">
        <v>11</v>
      </c>
      <c r="C1" s="99" t="s">
        <v>23</v>
      </c>
      <c r="D1" s="99" t="s">
        <v>1390</v>
      </c>
      <c r="E1" s="99" t="s">
        <v>1332</v>
      </c>
      <c r="F1" s="99" t="s">
        <v>1313</v>
      </c>
      <c r="G1" s="99" t="s">
        <v>1314</v>
      </c>
      <c r="H1" s="99" t="s">
        <v>1380</v>
      </c>
      <c r="I1" s="99" t="s">
        <v>1315</v>
      </c>
      <c r="J1" s="99" t="s">
        <v>1316</v>
      </c>
      <c r="K1" s="99" t="s">
        <v>40</v>
      </c>
      <c r="L1" s="99" t="s">
        <v>1392</v>
      </c>
      <c r="M1" s="99" t="s">
        <v>1318</v>
      </c>
      <c r="N1" s="99" t="s">
        <v>35</v>
      </c>
      <c r="O1" s="99" t="s">
        <v>1384</v>
      </c>
      <c r="P1" s="99" t="s">
        <v>36</v>
      </c>
      <c r="Q1" s="99" t="s">
        <v>1377</v>
      </c>
      <c r="R1" s="99" t="s">
        <v>37</v>
      </c>
      <c r="S1" s="99" t="s">
        <v>1389</v>
      </c>
      <c r="T1" s="99" t="s">
        <v>31</v>
      </c>
      <c r="U1" s="99" t="s">
        <v>33</v>
      </c>
      <c r="V1" s="99" t="s">
        <v>1317</v>
      </c>
      <c r="W1" s="99" t="s">
        <v>1389</v>
      </c>
      <c r="X1" s="99" t="s">
        <v>1322</v>
      </c>
      <c r="Y1" s="105" t="s">
        <v>13</v>
      </c>
    </row>
    <row r="2" spans="1:25" x14ac:dyDescent="0.35">
      <c r="A2" s="49">
        <v>0</v>
      </c>
      <c r="B2" s="50" t="s">
        <v>59</v>
      </c>
      <c r="C2" s="50">
        <v>8.1013698630136979</v>
      </c>
      <c r="D2" s="50">
        <f>LOG(C2)</f>
        <v>0.90855846006964291</v>
      </c>
      <c r="E2" s="50">
        <v>0</v>
      </c>
      <c r="F2" s="50">
        <v>0.3010299956639812</v>
      </c>
      <c r="G2" s="50">
        <v>3.29</v>
      </c>
      <c r="H2" s="50">
        <f>LOG(G2)</f>
        <v>0.51719589794997434</v>
      </c>
      <c r="I2" s="50">
        <v>0</v>
      </c>
      <c r="J2" s="50">
        <v>0.10720996964786837</v>
      </c>
      <c r="K2" s="50">
        <v>18</v>
      </c>
      <c r="L2" s="50">
        <f>IF(K2=0,0,LOG(K2))</f>
        <v>1.255272505103306</v>
      </c>
      <c r="M2" s="50">
        <v>0</v>
      </c>
      <c r="N2" s="50">
        <v>91.2</v>
      </c>
      <c r="O2" s="50">
        <f>LOG(N2)</f>
        <v>1.9599948383284163</v>
      </c>
      <c r="P2" s="50">
        <v>33</v>
      </c>
      <c r="Q2" s="50">
        <f>LOG(P2)</f>
        <v>1.5185139398778875</v>
      </c>
      <c r="R2" s="50">
        <v>40.902544500539101</v>
      </c>
      <c r="S2" s="50">
        <f>LOG(R2)</f>
        <v>1.6117503258110162</v>
      </c>
      <c r="T2" s="50">
        <v>3.2457564512341266</v>
      </c>
      <c r="U2" s="50">
        <v>3.8622739403850663</v>
      </c>
      <c r="V2" s="186">
        <v>100000000</v>
      </c>
      <c r="W2" s="186">
        <f>LOG(V2)</f>
        <v>8</v>
      </c>
      <c r="X2" s="50">
        <v>5</v>
      </c>
      <c r="Y2" s="66" t="s">
        <v>59</v>
      </c>
    </row>
    <row r="3" spans="1:25" x14ac:dyDescent="0.35">
      <c r="A3" s="67">
        <v>0.3010299956639812</v>
      </c>
      <c r="B3" s="52" t="s">
        <v>59</v>
      </c>
      <c r="C3" s="52">
        <v>3.6054794520547944</v>
      </c>
      <c r="D3" s="50">
        <f t="shared" ref="D3:D66" si="0">LOG(C3)</f>
        <v>0.55696302482146198</v>
      </c>
      <c r="E3" s="52">
        <v>0</v>
      </c>
      <c r="F3" s="52">
        <v>1.3222192947339193</v>
      </c>
      <c r="G3" s="52">
        <v>3.29</v>
      </c>
      <c r="H3" s="50">
        <f t="shared" ref="H3:H66" si="1">LOG(G3)</f>
        <v>0.51719589794997434</v>
      </c>
      <c r="I3" s="52">
        <v>0</v>
      </c>
      <c r="J3" s="52">
        <v>0.14612803567823801</v>
      </c>
      <c r="K3" s="52">
        <v>3</v>
      </c>
      <c r="L3" s="50">
        <f t="shared" ref="L3:L66" si="2">IF(K3=0,0,LOG(K3))</f>
        <v>0.47712125471966244</v>
      </c>
      <c r="M3" s="52">
        <v>0</v>
      </c>
      <c r="N3" s="52">
        <v>92</v>
      </c>
      <c r="O3" s="50">
        <f t="shared" ref="O3:O66" si="3">LOG(N3)</f>
        <v>1.9637878273455553</v>
      </c>
      <c r="P3" s="52">
        <v>31.8</v>
      </c>
      <c r="Q3" s="50">
        <f t="shared" ref="Q3:Q66" si="4">LOG(P3)</f>
        <v>1.5024271199844328</v>
      </c>
      <c r="R3" s="52">
        <v>43.012424801889097</v>
      </c>
      <c r="S3" s="50">
        <f t="shared" ref="S3:S66" si="5">LOG(R3)</f>
        <v>1.6335939263577708</v>
      </c>
      <c r="T3" s="52">
        <v>3.3209851425446502</v>
      </c>
      <c r="U3" s="52">
        <v>3.9950367434689285</v>
      </c>
      <c r="V3" s="187">
        <v>100000000</v>
      </c>
      <c r="W3" s="186">
        <f t="shared" ref="W3:W66" si="6">LOG(V3)</f>
        <v>8</v>
      </c>
      <c r="X3" s="52">
        <v>5</v>
      </c>
      <c r="Y3" s="68" t="s">
        <v>59</v>
      </c>
    </row>
    <row r="4" spans="1:25" x14ac:dyDescent="0.35">
      <c r="A4" s="49">
        <v>0.33645973384852951</v>
      </c>
      <c r="B4" s="50" t="s">
        <v>45</v>
      </c>
      <c r="C4" s="50">
        <v>1.9205479452054794</v>
      </c>
      <c r="D4" s="50">
        <f t="shared" si="0"/>
        <v>0.28342515351018394</v>
      </c>
      <c r="E4" s="50">
        <v>3.8229763963637051</v>
      </c>
      <c r="F4" s="50">
        <v>0.84509804001425681</v>
      </c>
      <c r="G4" s="50">
        <v>3.03</v>
      </c>
      <c r="H4" s="50">
        <f t="shared" si="1"/>
        <v>0.48144262850230496</v>
      </c>
      <c r="I4" s="50">
        <v>2.7113853790984517</v>
      </c>
      <c r="J4" s="50">
        <v>0.10037054511756291</v>
      </c>
      <c r="K4" s="50">
        <v>20</v>
      </c>
      <c r="L4" s="50">
        <f t="shared" si="2"/>
        <v>1.3010299956639813</v>
      </c>
      <c r="M4" s="50">
        <v>1</v>
      </c>
      <c r="N4" s="50">
        <v>84.7</v>
      </c>
      <c r="O4" s="50">
        <f t="shared" si="3"/>
        <v>1.927883410330707</v>
      </c>
      <c r="P4" s="50">
        <v>25.9</v>
      </c>
      <c r="Q4" s="50">
        <f t="shared" si="4"/>
        <v>1.4132997640812519</v>
      </c>
      <c r="R4" s="50">
        <v>38.207924771594499</v>
      </c>
      <c r="S4" s="50">
        <f t="shared" si="5"/>
        <v>1.5821534500223446</v>
      </c>
      <c r="T4" s="50">
        <v>3.1532162502154288</v>
      </c>
      <c r="U4" s="50">
        <v>3.5175748361336181</v>
      </c>
      <c r="V4" s="186">
        <v>100000000</v>
      </c>
      <c r="W4" s="186">
        <f t="shared" si="6"/>
        <v>8</v>
      </c>
      <c r="X4" s="50">
        <v>3</v>
      </c>
      <c r="Y4" s="66" t="s">
        <v>489</v>
      </c>
    </row>
    <row r="5" spans="1:25" x14ac:dyDescent="0.35">
      <c r="A5" s="67">
        <v>-8.7739243075051505E-3</v>
      </c>
      <c r="B5" s="52" t="s">
        <v>45</v>
      </c>
      <c r="C5" s="52">
        <v>2.1150684931506851</v>
      </c>
      <c r="D5" s="50">
        <f t="shared" si="0"/>
        <v>0.32532443587926146</v>
      </c>
      <c r="E5" s="52">
        <v>0</v>
      </c>
      <c r="F5" s="52">
        <v>0</v>
      </c>
      <c r="G5" s="52">
        <v>2.95</v>
      </c>
      <c r="H5" s="50">
        <f t="shared" si="1"/>
        <v>0.46982201597816303</v>
      </c>
      <c r="I5" s="52">
        <v>0</v>
      </c>
      <c r="J5" s="52">
        <v>5.6904851336472641E-2</v>
      </c>
      <c r="K5" s="52">
        <v>5</v>
      </c>
      <c r="L5" s="50">
        <f t="shared" si="2"/>
        <v>0.69897000433601886</v>
      </c>
      <c r="M5" s="52">
        <v>0</v>
      </c>
      <c r="N5" s="52">
        <v>85</v>
      </c>
      <c r="O5" s="50">
        <f t="shared" si="3"/>
        <v>1.9294189257142926</v>
      </c>
      <c r="P5" s="52">
        <v>25.7</v>
      </c>
      <c r="Q5" s="50">
        <f t="shared" si="4"/>
        <v>1.4099331233312946</v>
      </c>
      <c r="R5" s="52">
        <v>39.367752568237798</v>
      </c>
      <c r="S5" s="50">
        <f t="shared" si="5"/>
        <v>1.5951406224338005</v>
      </c>
      <c r="T5" s="52">
        <v>3.0958500844125241</v>
      </c>
      <c r="U5" s="52">
        <v>3.5078178355445662</v>
      </c>
      <c r="V5" s="187">
        <v>100000000</v>
      </c>
      <c r="W5" s="186">
        <f t="shared" si="6"/>
        <v>8</v>
      </c>
      <c r="X5" s="52">
        <v>9</v>
      </c>
      <c r="Y5" s="68" t="s">
        <v>602</v>
      </c>
    </row>
    <row r="6" spans="1:25" x14ac:dyDescent="0.35">
      <c r="A6" s="49">
        <v>0.71911574387644306</v>
      </c>
      <c r="B6" s="50" t="s">
        <v>45</v>
      </c>
      <c r="C6" s="50">
        <v>7.3726027397260276</v>
      </c>
      <c r="D6" s="50">
        <f t="shared" si="0"/>
        <v>0.86762083330727979</v>
      </c>
      <c r="E6" s="50">
        <v>0</v>
      </c>
      <c r="F6" s="50">
        <v>1.2304489213782739</v>
      </c>
      <c r="G6" s="50">
        <v>2.95</v>
      </c>
      <c r="H6" s="50">
        <f t="shared" si="1"/>
        <v>0.46982201597816303</v>
      </c>
      <c r="I6" s="50">
        <v>0</v>
      </c>
      <c r="J6" s="50">
        <v>2.9383777685209667E-2</v>
      </c>
      <c r="K6" s="50">
        <v>12</v>
      </c>
      <c r="L6" s="50">
        <f t="shared" si="2"/>
        <v>1.0791812460476249</v>
      </c>
      <c r="M6" s="50">
        <v>0</v>
      </c>
      <c r="N6" s="50">
        <v>85</v>
      </c>
      <c r="O6" s="50">
        <f t="shared" si="3"/>
        <v>1.9294189257142926</v>
      </c>
      <c r="P6" s="50">
        <v>24.6</v>
      </c>
      <c r="Q6" s="50">
        <f t="shared" si="4"/>
        <v>1.3909351071033791</v>
      </c>
      <c r="R6" s="50">
        <v>36.876470987978301</v>
      </c>
      <c r="S6" s="50">
        <f t="shared" si="5"/>
        <v>1.5667493531684615</v>
      </c>
      <c r="T6" s="50">
        <v>3.1628767233771686</v>
      </c>
      <c r="U6" s="50">
        <v>3.6087947637270492</v>
      </c>
      <c r="V6" s="186">
        <v>100000000</v>
      </c>
      <c r="W6" s="186">
        <f t="shared" si="6"/>
        <v>8</v>
      </c>
      <c r="X6" s="50">
        <v>9</v>
      </c>
      <c r="Y6" s="66" t="s">
        <v>602</v>
      </c>
    </row>
    <row r="7" spans="1:25" x14ac:dyDescent="0.35">
      <c r="A7" s="67">
        <v>-9.2616714924626583E-3</v>
      </c>
      <c r="B7" s="52" t="s">
        <v>45</v>
      </c>
      <c r="C7" s="52">
        <v>2.1150684931506851</v>
      </c>
      <c r="D7" s="50">
        <f t="shared" si="0"/>
        <v>0.32532443587926146</v>
      </c>
      <c r="E7" s="52">
        <v>0</v>
      </c>
      <c r="F7" s="52">
        <v>1.5797835966168101</v>
      </c>
      <c r="G7" s="52">
        <v>2.95</v>
      </c>
      <c r="H7" s="50">
        <f t="shared" si="1"/>
        <v>0.46982201597816303</v>
      </c>
      <c r="I7" s="52">
        <v>0</v>
      </c>
      <c r="J7" s="52">
        <v>5.6904851336472641E-2</v>
      </c>
      <c r="K7" s="52">
        <v>5</v>
      </c>
      <c r="L7" s="50">
        <f t="shared" si="2"/>
        <v>0.69897000433601886</v>
      </c>
      <c r="M7" s="52">
        <v>0</v>
      </c>
      <c r="N7" s="52">
        <v>85</v>
      </c>
      <c r="O7" s="50">
        <f t="shared" si="3"/>
        <v>1.9294189257142926</v>
      </c>
      <c r="P7" s="52">
        <v>25.7</v>
      </c>
      <c r="Q7" s="50">
        <f t="shared" si="4"/>
        <v>1.4099331233312946</v>
      </c>
      <c r="R7" s="52">
        <v>39.367752568237798</v>
      </c>
      <c r="S7" s="50">
        <f t="shared" si="5"/>
        <v>1.5951406224338005</v>
      </c>
      <c r="T7" s="52">
        <v>3.0958500844125241</v>
      </c>
      <c r="U7" s="52">
        <v>3.5078178355445662</v>
      </c>
      <c r="V7" s="187">
        <v>100000000</v>
      </c>
      <c r="W7" s="186">
        <f t="shared" si="6"/>
        <v>8</v>
      </c>
      <c r="X7" s="52">
        <v>9</v>
      </c>
      <c r="Y7" s="68" t="s">
        <v>602</v>
      </c>
    </row>
    <row r="8" spans="1:25" x14ac:dyDescent="0.35">
      <c r="A8" s="49">
        <v>0.97132548522960493</v>
      </c>
      <c r="B8" s="50" t="s">
        <v>59</v>
      </c>
      <c r="C8" s="50">
        <v>4.7835616438356166</v>
      </c>
      <c r="D8" s="50">
        <f t="shared" si="0"/>
        <v>0.67975137491307625</v>
      </c>
      <c r="E8" s="50">
        <v>3.7707754512906644</v>
      </c>
      <c r="F8" s="50">
        <v>2.2227164711475833</v>
      </c>
      <c r="G8" s="50">
        <v>2.3199999999999998</v>
      </c>
      <c r="H8" s="50">
        <f t="shared" si="1"/>
        <v>0.36548798489089962</v>
      </c>
      <c r="I8" s="50">
        <v>2.1238516409670858</v>
      </c>
      <c r="J8" s="50">
        <v>0.250420002308894</v>
      </c>
      <c r="K8" s="50">
        <v>16</v>
      </c>
      <c r="L8" s="50">
        <f t="shared" si="2"/>
        <v>1.2041199826559248</v>
      </c>
      <c r="M8" s="50">
        <v>1</v>
      </c>
      <c r="N8" s="50">
        <v>85</v>
      </c>
      <c r="O8" s="50">
        <f t="shared" si="3"/>
        <v>1.9294189257142926</v>
      </c>
      <c r="P8" s="50">
        <v>31.3</v>
      </c>
      <c r="Q8" s="50">
        <f t="shared" si="4"/>
        <v>1.4955443375464486</v>
      </c>
      <c r="R8" s="50">
        <v>38.7850112673514</v>
      </c>
      <c r="S8" s="50">
        <f t="shared" si="5"/>
        <v>1.5886639219461918</v>
      </c>
      <c r="T8" s="50">
        <v>3.0958500844125241</v>
      </c>
      <c r="U8" s="50">
        <v>3.5078178355445662</v>
      </c>
      <c r="V8" s="186">
        <v>100950000</v>
      </c>
      <c r="W8" s="186">
        <f t="shared" si="6"/>
        <v>8.0041063232796574</v>
      </c>
      <c r="X8" s="50">
        <v>8</v>
      </c>
      <c r="Y8" s="66" t="s">
        <v>602</v>
      </c>
    </row>
    <row r="9" spans="1:25" x14ac:dyDescent="0.35">
      <c r="A9" s="67">
        <v>-0.18150906085328272</v>
      </c>
      <c r="B9" s="52" t="s">
        <v>419</v>
      </c>
      <c r="C9" s="52">
        <v>7.0191780821917806</v>
      </c>
      <c r="D9" s="50">
        <f t="shared" si="0"/>
        <v>0.84628626095219273</v>
      </c>
      <c r="E9" s="52">
        <v>2.8967741575094288</v>
      </c>
      <c r="F9" s="52">
        <v>0</v>
      </c>
      <c r="G9" s="52">
        <v>3.48</v>
      </c>
      <c r="H9" s="50">
        <f t="shared" si="1"/>
        <v>0.54157924394658097</v>
      </c>
      <c r="I9" s="52">
        <v>1.888366730171237</v>
      </c>
      <c r="J9" s="52">
        <v>-5.551732784983137E-2</v>
      </c>
      <c r="K9" s="52">
        <v>10</v>
      </c>
      <c r="L9" s="50">
        <f t="shared" si="2"/>
        <v>1</v>
      </c>
      <c r="M9" s="52">
        <v>1</v>
      </c>
      <c r="N9" s="52">
        <v>70</v>
      </c>
      <c r="O9" s="50">
        <f t="shared" si="3"/>
        <v>1.8450980400142569</v>
      </c>
      <c r="P9" s="52">
        <v>44.3</v>
      </c>
      <c r="Q9" s="50">
        <f t="shared" si="4"/>
        <v>1.6464037262230695</v>
      </c>
      <c r="R9" s="52">
        <v>50.959243005601799</v>
      </c>
      <c r="S9" s="50">
        <f t="shared" si="5"/>
        <v>1.7072229679746294</v>
      </c>
      <c r="T9" s="52">
        <v>3.277819633965128</v>
      </c>
      <c r="U9" s="52">
        <v>3.9304083853612104</v>
      </c>
      <c r="V9" s="187">
        <v>102521000</v>
      </c>
      <c r="W9" s="186">
        <f t="shared" si="6"/>
        <v>8.010812833684307</v>
      </c>
      <c r="X9" s="52">
        <v>5</v>
      </c>
      <c r="Y9" s="68" t="s">
        <v>577</v>
      </c>
    </row>
    <row r="10" spans="1:25" x14ac:dyDescent="0.35">
      <c r="A10" s="49">
        <v>0.76042248342321206</v>
      </c>
      <c r="B10" s="50" t="s">
        <v>45</v>
      </c>
      <c r="C10" s="50">
        <v>11.517808219178082</v>
      </c>
      <c r="D10" s="50">
        <f t="shared" si="0"/>
        <v>1.06136984289973</v>
      </c>
      <c r="E10" s="50">
        <v>0</v>
      </c>
      <c r="F10" s="50">
        <v>1.4623979978989561</v>
      </c>
      <c r="G10" s="50">
        <v>2.95</v>
      </c>
      <c r="H10" s="50">
        <f t="shared" si="1"/>
        <v>0.46982201597816303</v>
      </c>
      <c r="I10" s="50">
        <v>0</v>
      </c>
      <c r="J10" s="50">
        <v>0.26717172840301384</v>
      </c>
      <c r="K10" s="50">
        <v>12</v>
      </c>
      <c r="L10" s="50">
        <f t="shared" si="2"/>
        <v>1.0791812460476249</v>
      </c>
      <c r="M10" s="50">
        <v>0</v>
      </c>
      <c r="N10" s="50">
        <v>85</v>
      </c>
      <c r="O10" s="50">
        <f t="shared" si="3"/>
        <v>1.9294189257142926</v>
      </c>
      <c r="P10" s="50">
        <v>24.6</v>
      </c>
      <c r="Q10" s="50">
        <f t="shared" si="4"/>
        <v>1.3909351071033791</v>
      </c>
      <c r="R10" s="50">
        <v>36.876470987978301</v>
      </c>
      <c r="S10" s="50">
        <f t="shared" si="5"/>
        <v>1.5667493531684615</v>
      </c>
      <c r="T10" s="50">
        <v>3.1628765880980758</v>
      </c>
      <c r="U10" s="50">
        <v>3.6087947386421786</v>
      </c>
      <c r="V10" s="186">
        <v>105000000</v>
      </c>
      <c r="W10" s="186">
        <f t="shared" si="6"/>
        <v>8.0211892990699383</v>
      </c>
      <c r="X10" s="50">
        <v>2</v>
      </c>
      <c r="Y10" s="66" t="s">
        <v>602</v>
      </c>
    </row>
    <row r="11" spans="1:25" x14ac:dyDescent="0.35">
      <c r="A11" s="67">
        <v>0.51450379065407925</v>
      </c>
      <c r="B11" s="52" t="s">
        <v>2</v>
      </c>
      <c r="C11" s="52">
        <v>10.893150684931507</v>
      </c>
      <c r="D11" s="50">
        <f t="shared" si="0"/>
        <v>1.0371535112688011</v>
      </c>
      <c r="E11" s="52">
        <v>0</v>
      </c>
      <c r="F11" s="52">
        <v>1</v>
      </c>
      <c r="G11" s="52">
        <v>3.5</v>
      </c>
      <c r="H11" s="50">
        <f t="shared" si="1"/>
        <v>0.54406804435027567</v>
      </c>
      <c r="I11" s="52">
        <v>0</v>
      </c>
      <c r="J11" s="52">
        <v>0.24303804868629444</v>
      </c>
      <c r="K11" s="52">
        <v>40</v>
      </c>
      <c r="L11" s="50">
        <f t="shared" si="2"/>
        <v>1.6020599913279623</v>
      </c>
      <c r="M11" s="52">
        <v>0</v>
      </c>
      <c r="N11" s="52">
        <v>70</v>
      </c>
      <c r="O11" s="50">
        <f t="shared" si="3"/>
        <v>1.8450980400142569</v>
      </c>
      <c r="P11" s="52">
        <v>33.9</v>
      </c>
      <c r="Q11" s="50">
        <f t="shared" si="4"/>
        <v>1.5301996982030821</v>
      </c>
      <c r="R11" s="52">
        <v>46.200073016176603</v>
      </c>
      <c r="S11" s="50">
        <f t="shared" si="5"/>
        <v>1.664642661930531</v>
      </c>
      <c r="T11" s="52">
        <v>3.1748092491298348</v>
      </c>
      <c r="U11" s="52">
        <v>3.5756423396072652</v>
      </c>
      <c r="V11" s="187">
        <v>108337600</v>
      </c>
      <c r="W11" s="186">
        <f t="shared" si="6"/>
        <v>8.0347792104435261</v>
      </c>
      <c r="X11" s="52">
        <v>1</v>
      </c>
      <c r="Y11" s="68" t="s">
        <v>1105</v>
      </c>
    </row>
    <row r="12" spans="1:25" x14ac:dyDescent="0.35">
      <c r="A12" s="49">
        <v>4.5322978786657475E-2</v>
      </c>
      <c r="B12" s="50" t="s">
        <v>45</v>
      </c>
      <c r="C12" s="50">
        <v>2.6273972602739728</v>
      </c>
      <c r="D12" s="50">
        <f t="shared" si="0"/>
        <v>0.41952574271418891</v>
      </c>
      <c r="E12" s="50">
        <v>0</v>
      </c>
      <c r="F12" s="50">
        <v>0.6020599913279624</v>
      </c>
      <c r="G12" s="50">
        <v>2.95</v>
      </c>
      <c r="H12" s="50">
        <f t="shared" si="1"/>
        <v>0.46982201597816303</v>
      </c>
      <c r="I12" s="50">
        <v>0</v>
      </c>
      <c r="J12" s="50">
        <v>4.3213737826425782E-3</v>
      </c>
      <c r="K12" s="50">
        <v>13</v>
      </c>
      <c r="L12" s="50">
        <f t="shared" si="2"/>
        <v>1.1139433523068367</v>
      </c>
      <c r="M12" s="50">
        <v>0</v>
      </c>
      <c r="N12" s="50">
        <v>85</v>
      </c>
      <c r="O12" s="50">
        <f t="shared" si="3"/>
        <v>1.9294189257142926</v>
      </c>
      <c r="P12" s="50">
        <v>27.2</v>
      </c>
      <c r="Q12" s="50">
        <f t="shared" si="4"/>
        <v>1.4345689040341987</v>
      </c>
      <c r="R12" s="50">
        <v>35.608384832026097</v>
      </c>
      <c r="S12" s="50">
        <f t="shared" si="5"/>
        <v>1.5515522748692276</v>
      </c>
      <c r="T12" s="50">
        <v>3.9186507422978978</v>
      </c>
      <c r="U12" s="50">
        <v>3.9937960064170404</v>
      </c>
      <c r="V12" s="186">
        <v>110000000</v>
      </c>
      <c r="W12" s="186">
        <f t="shared" si="6"/>
        <v>8.0413926851582254</v>
      </c>
      <c r="X12" s="50">
        <v>3</v>
      </c>
      <c r="Y12" s="66" t="s">
        <v>45</v>
      </c>
    </row>
    <row r="13" spans="1:25" x14ac:dyDescent="0.35">
      <c r="A13" s="67">
        <v>0.18905623622004888</v>
      </c>
      <c r="B13" s="52" t="s">
        <v>2</v>
      </c>
      <c r="C13" s="52">
        <v>6.5890410958904111</v>
      </c>
      <c r="D13" s="50">
        <f t="shared" si="0"/>
        <v>0.81882221625337592</v>
      </c>
      <c r="E13" s="52">
        <v>2.9629325585580042</v>
      </c>
      <c r="F13" s="52">
        <v>0</v>
      </c>
      <c r="G13" s="52">
        <v>2.62</v>
      </c>
      <c r="H13" s="50">
        <f t="shared" si="1"/>
        <v>0.41830129131974547</v>
      </c>
      <c r="I13" s="52">
        <v>2.9323046139517812</v>
      </c>
      <c r="J13" s="52">
        <v>8.2785370316450071E-2</v>
      </c>
      <c r="K13" s="52">
        <v>19</v>
      </c>
      <c r="L13" s="50">
        <f t="shared" si="2"/>
        <v>1.2787536009528289</v>
      </c>
      <c r="M13" s="52">
        <v>1</v>
      </c>
      <c r="N13" s="52">
        <v>70</v>
      </c>
      <c r="O13" s="50">
        <f t="shared" si="3"/>
        <v>1.8450980400142569</v>
      </c>
      <c r="P13" s="52">
        <v>33.9</v>
      </c>
      <c r="Q13" s="50">
        <f t="shared" si="4"/>
        <v>1.5301996982030821</v>
      </c>
      <c r="R13" s="52">
        <v>46.312020505412598</v>
      </c>
      <c r="S13" s="50">
        <f t="shared" si="5"/>
        <v>1.6656937288498501</v>
      </c>
      <c r="T13" s="52">
        <v>3.3833706119727633</v>
      </c>
      <c r="U13" s="52">
        <v>3.9798077985646683</v>
      </c>
      <c r="V13" s="187">
        <v>110000000</v>
      </c>
      <c r="W13" s="186">
        <f t="shared" si="6"/>
        <v>8.0413926851582254</v>
      </c>
      <c r="X13" s="52">
        <v>2</v>
      </c>
      <c r="Y13" s="68" t="s">
        <v>59</v>
      </c>
    </row>
    <row r="14" spans="1:25" x14ac:dyDescent="0.35">
      <c r="A14" s="49">
        <v>-0.32057210338788111</v>
      </c>
      <c r="B14" s="50" t="s">
        <v>163</v>
      </c>
      <c r="C14" s="50">
        <v>4.3698630136986303</v>
      </c>
      <c r="D14" s="50">
        <f t="shared" si="0"/>
        <v>0.64046782293672522</v>
      </c>
      <c r="E14" s="50">
        <v>3.7899753459779522</v>
      </c>
      <c r="F14" s="50">
        <v>2.1003705451175629</v>
      </c>
      <c r="G14" s="50">
        <v>3.18</v>
      </c>
      <c r="H14" s="50">
        <f t="shared" si="1"/>
        <v>0.50242711998443268</v>
      </c>
      <c r="I14" s="50">
        <v>2.7670321178317625</v>
      </c>
      <c r="J14" s="50">
        <v>-4.3648054024500883E-3</v>
      </c>
      <c r="K14" s="50">
        <v>4</v>
      </c>
      <c r="L14" s="50">
        <f t="shared" si="2"/>
        <v>0.6020599913279624</v>
      </c>
      <c r="M14" s="50">
        <v>1</v>
      </c>
      <c r="N14" s="50">
        <v>88</v>
      </c>
      <c r="O14" s="50">
        <f t="shared" si="3"/>
        <v>1.9444826721501687</v>
      </c>
      <c r="P14" s="50">
        <v>43.3</v>
      </c>
      <c r="Q14" s="50">
        <f t="shared" si="4"/>
        <v>1.6364878963533653</v>
      </c>
      <c r="R14" s="50">
        <v>52.875711995394298</v>
      </c>
      <c r="S14" s="50">
        <f t="shared" si="5"/>
        <v>1.7232562283942385</v>
      </c>
      <c r="T14" s="50">
        <v>3.2986404739170001</v>
      </c>
      <c r="U14" s="50">
        <v>3.7777539086524472</v>
      </c>
      <c r="V14" s="186">
        <v>110000000</v>
      </c>
      <c r="W14" s="186">
        <f t="shared" si="6"/>
        <v>8.0413926851582254</v>
      </c>
      <c r="X14" s="50">
        <v>5</v>
      </c>
      <c r="Y14" s="66" t="s">
        <v>45</v>
      </c>
    </row>
    <row r="15" spans="1:25" x14ac:dyDescent="0.35">
      <c r="A15" s="67">
        <v>0.73282827159698616</v>
      </c>
      <c r="B15" s="52" t="s">
        <v>59</v>
      </c>
      <c r="C15" s="52">
        <v>6.7945205479452051</v>
      </c>
      <c r="D15" s="50">
        <f t="shared" si="0"/>
        <v>0.83215881636974154</v>
      </c>
      <c r="E15" s="52">
        <v>0</v>
      </c>
      <c r="F15" s="52">
        <v>1.1139433523068367</v>
      </c>
      <c r="G15" s="52">
        <v>3.29</v>
      </c>
      <c r="H15" s="50">
        <f t="shared" si="1"/>
        <v>0.51719589794997434</v>
      </c>
      <c r="I15" s="52">
        <v>0</v>
      </c>
      <c r="J15" s="52">
        <v>4.1392685158225077E-2</v>
      </c>
      <c r="K15" s="52">
        <v>17</v>
      </c>
      <c r="L15" s="50">
        <f t="shared" si="2"/>
        <v>1.2304489213782739</v>
      </c>
      <c r="M15" s="52">
        <v>0</v>
      </c>
      <c r="N15" s="52">
        <v>85</v>
      </c>
      <c r="O15" s="50">
        <f t="shared" si="3"/>
        <v>1.9294189257142926</v>
      </c>
      <c r="P15" s="52">
        <v>32.6</v>
      </c>
      <c r="Q15" s="50">
        <f t="shared" si="4"/>
        <v>1.5132176000679389</v>
      </c>
      <c r="R15" s="52">
        <v>36.544739309553499</v>
      </c>
      <c r="S15" s="50">
        <f t="shared" si="5"/>
        <v>1.5628248682086028</v>
      </c>
      <c r="T15" s="52">
        <v>3.2555397552391718</v>
      </c>
      <c r="U15" s="52">
        <v>3.9251377713585649</v>
      </c>
      <c r="V15" s="187">
        <v>111000000</v>
      </c>
      <c r="W15" s="186">
        <f t="shared" si="6"/>
        <v>8.0453229787866576</v>
      </c>
      <c r="X15" s="52">
        <v>2</v>
      </c>
      <c r="Y15" s="68" t="s">
        <v>577</v>
      </c>
    </row>
    <row r="16" spans="1:25" x14ac:dyDescent="0.35">
      <c r="A16" s="49">
        <v>-0.68554703136658657</v>
      </c>
      <c r="B16" s="50" t="s">
        <v>59</v>
      </c>
      <c r="C16" s="50">
        <v>4.1589041095890407</v>
      </c>
      <c r="D16" s="50">
        <f t="shared" si="0"/>
        <v>0.61897890710298675</v>
      </c>
      <c r="E16" s="50">
        <v>0</v>
      </c>
      <c r="F16" s="50">
        <v>0</v>
      </c>
      <c r="G16" s="50">
        <v>3.29</v>
      </c>
      <c r="H16" s="50">
        <f t="shared" si="1"/>
        <v>0.51719589794997434</v>
      </c>
      <c r="I16" s="50">
        <v>0</v>
      </c>
      <c r="J16" s="50">
        <v>-0.10790539730951958</v>
      </c>
      <c r="K16" s="50">
        <v>11</v>
      </c>
      <c r="L16" s="50">
        <f t="shared" si="2"/>
        <v>1.0413926851582251</v>
      </c>
      <c r="M16" s="50">
        <v>0</v>
      </c>
      <c r="N16" s="50">
        <v>85</v>
      </c>
      <c r="O16" s="50">
        <f t="shared" si="3"/>
        <v>1.9294189257142926</v>
      </c>
      <c r="P16" s="50">
        <v>32.200000000000003</v>
      </c>
      <c r="Q16" s="50">
        <f t="shared" si="4"/>
        <v>1.507855871695831</v>
      </c>
      <c r="R16" s="50">
        <v>35.326012114535303</v>
      </c>
      <c r="S16" s="50">
        <f t="shared" si="5"/>
        <v>1.548094613534351</v>
      </c>
      <c r="T16" s="50">
        <v>3.5347454529897258</v>
      </c>
      <c r="U16" s="50">
        <v>3.9695495619878729</v>
      </c>
      <c r="V16" s="186">
        <v>111500000</v>
      </c>
      <c r="W16" s="186">
        <f t="shared" si="6"/>
        <v>8.0472748673841803</v>
      </c>
      <c r="X16" s="50">
        <v>5</v>
      </c>
      <c r="Y16" s="66" t="s">
        <v>59</v>
      </c>
    </row>
    <row r="17" spans="1:25" x14ac:dyDescent="0.35">
      <c r="A17" s="67">
        <v>7.9155415173775334E-2</v>
      </c>
      <c r="B17" s="52" t="s">
        <v>59</v>
      </c>
      <c r="C17" s="52">
        <v>3.5178082191780824</v>
      </c>
      <c r="D17" s="50">
        <f t="shared" si="0"/>
        <v>0.54627215927635975</v>
      </c>
      <c r="E17" s="52">
        <v>0</v>
      </c>
      <c r="F17" s="52">
        <v>0.69897000433601886</v>
      </c>
      <c r="G17" s="52">
        <v>3.29</v>
      </c>
      <c r="H17" s="50">
        <f t="shared" si="1"/>
        <v>0.51719589794997434</v>
      </c>
      <c r="I17" s="52">
        <v>0</v>
      </c>
      <c r="J17" s="52">
        <v>1.703333929878037E-2</v>
      </c>
      <c r="K17" s="52">
        <v>18</v>
      </c>
      <c r="L17" s="50">
        <f t="shared" si="2"/>
        <v>1.255272505103306</v>
      </c>
      <c r="M17" s="52">
        <v>0</v>
      </c>
      <c r="N17" s="52">
        <v>85</v>
      </c>
      <c r="O17" s="50">
        <f t="shared" si="3"/>
        <v>1.9294189257142926</v>
      </c>
      <c r="P17" s="52">
        <v>31.5</v>
      </c>
      <c r="Q17" s="50">
        <f t="shared" si="4"/>
        <v>1.4983105537896004</v>
      </c>
      <c r="R17" s="52">
        <v>37.589394702761602</v>
      </c>
      <c r="S17" s="50">
        <f t="shared" si="5"/>
        <v>1.575065332381355</v>
      </c>
      <c r="T17" s="52">
        <v>3.2555397552391718</v>
      </c>
      <c r="U17" s="52">
        <v>3.9251377713585649</v>
      </c>
      <c r="V17" s="187">
        <v>112090000</v>
      </c>
      <c r="W17" s="186">
        <f t="shared" si="6"/>
        <v>8.0495668691646518</v>
      </c>
      <c r="X17" s="52">
        <v>5</v>
      </c>
      <c r="Y17" s="68" t="s">
        <v>577</v>
      </c>
    </row>
    <row r="18" spans="1:25" x14ac:dyDescent="0.35">
      <c r="A18" s="49">
        <v>0.24167638572197084</v>
      </c>
      <c r="B18" s="50" t="s">
        <v>2</v>
      </c>
      <c r="C18" s="50">
        <v>2.9506849315068493</v>
      </c>
      <c r="D18" s="50">
        <f t="shared" si="0"/>
        <v>0.46992283884150687</v>
      </c>
      <c r="E18" s="50">
        <v>2.9629325585580042</v>
      </c>
      <c r="F18" s="50">
        <v>1.9084850188786497</v>
      </c>
      <c r="G18" s="50">
        <v>2.62</v>
      </c>
      <c r="H18" s="50">
        <f t="shared" si="1"/>
        <v>0.41830129131974547</v>
      </c>
      <c r="I18" s="50">
        <v>2.9323046139517812</v>
      </c>
      <c r="J18" s="50">
        <v>0.10037054511756291</v>
      </c>
      <c r="K18" s="50">
        <v>4</v>
      </c>
      <c r="L18" s="50">
        <f t="shared" si="2"/>
        <v>0.6020599913279624</v>
      </c>
      <c r="M18" s="50">
        <v>1</v>
      </c>
      <c r="N18" s="50">
        <v>70</v>
      </c>
      <c r="O18" s="50">
        <f t="shared" si="3"/>
        <v>1.8450980400142569</v>
      </c>
      <c r="P18" s="50">
        <v>33.9</v>
      </c>
      <c r="Q18" s="50">
        <f t="shared" si="4"/>
        <v>1.5301996982030821</v>
      </c>
      <c r="R18" s="50">
        <v>46.312020505412598</v>
      </c>
      <c r="S18" s="50">
        <f t="shared" si="5"/>
        <v>1.6656937288498501</v>
      </c>
      <c r="T18" s="50">
        <v>3.2860283894181141</v>
      </c>
      <c r="U18" s="50">
        <v>3.9098977130890344</v>
      </c>
      <c r="V18" s="186">
        <v>115000000</v>
      </c>
      <c r="W18" s="186">
        <f t="shared" si="6"/>
        <v>8.0606978403536118</v>
      </c>
      <c r="X18" s="50">
        <v>5</v>
      </c>
      <c r="Y18" s="66" t="s">
        <v>59</v>
      </c>
    </row>
    <row r="19" spans="1:25" x14ac:dyDescent="0.35">
      <c r="A19" s="67">
        <v>0.70626924307751826</v>
      </c>
      <c r="B19" s="52" t="s">
        <v>59</v>
      </c>
      <c r="C19" s="52">
        <v>4.5041095890410956</v>
      </c>
      <c r="D19" s="50">
        <f t="shared" si="0"/>
        <v>0.65360894874755682</v>
      </c>
      <c r="E19" s="52">
        <v>3.7707754512906644</v>
      </c>
      <c r="F19" s="52">
        <v>0.69897000433601886</v>
      </c>
      <c r="G19" s="52">
        <v>2.3199999999999998</v>
      </c>
      <c r="H19" s="50">
        <f t="shared" si="1"/>
        <v>0.36548798489089962</v>
      </c>
      <c r="I19" s="52">
        <v>2.1238516409670858</v>
      </c>
      <c r="J19" s="52">
        <v>0.20139712432045145</v>
      </c>
      <c r="K19" s="52">
        <v>29</v>
      </c>
      <c r="L19" s="50">
        <f t="shared" si="2"/>
        <v>1.4623979978989561</v>
      </c>
      <c r="M19" s="52">
        <v>1</v>
      </c>
      <c r="N19" s="52">
        <v>94.1</v>
      </c>
      <c r="O19" s="50">
        <f t="shared" si="3"/>
        <v>1.973589623427257</v>
      </c>
      <c r="P19" s="52">
        <v>32.200000000000003</v>
      </c>
      <c r="Q19" s="50">
        <f t="shared" si="4"/>
        <v>1.507855871695831</v>
      </c>
      <c r="R19" s="52">
        <v>43.9397801796012</v>
      </c>
      <c r="S19" s="50">
        <f t="shared" si="5"/>
        <v>1.6428578799166489</v>
      </c>
      <c r="T19" s="52">
        <v>3.1134603742158462</v>
      </c>
      <c r="U19" s="52">
        <v>3.7799945853255905</v>
      </c>
      <c r="V19" s="187">
        <v>118000000</v>
      </c>
      <c r="W19" s="186">
        <f t="shared" si="6"/>
        <v>8.0718820073061259</v>
      </c>
      <c r="X19" s="52">
        <v>5</v>
      </c>
      <c r="Y19" s="68" t="s">
        <v>45</v>
      </c>
    </row>
    <row r="20" spans="1:25" x14ac:dyDescent="0.35">
      <c r="A20" s="49">
        <v>0.33775280268872104</v>
      </c>
      <c r="B20" s="50" t="s">
        <v>59</v>
      </c>
      <c r="C20" s="50">
        <v>4.4109589041095889</v>
      </c>
      <c r="D20" s="50">
        <f t="shared" si="0"/>
        <v>0.64453301157537501</v>
      </c>
      <c r="E20" s="50">
        <v>0</v>
      </c>
      <c r="F20" s="50">
        <v>1.3424226808222062</v>
      </c>
      <c r="G20" s="50">
        <v>3.29</v>
      </c>
      <c r="H20" s="50">
        <f t="shared" si="1"/>
        <v>0.51719589794997434</v>
      </c>
      <c r="I20" s="50">
        <v>0</v>
      </c>
      <c r="J20" s="50">
        <v>0.17897694729316943</v>
      </c>
      <c r="K20" s="50">
        <v>0</v>
      </c>
      <c r="L20" s="50">
        <f t="shared" si="2"/>
        <v>0</v>
      </c>
      <c r="M20" s="50">
        <v>0</v>
      </c>
      <c r="N20" s="50">
        <v>94.6</v>
      </c>
      <c r="O20" s="50">
        <f t="shared" si="3"/>
        <v>1.9758911364017928</v>
      </c>
      <c r="P20" s="50">
        <v>33.200000000000003</v>
      </c>
      <c r="Q20" s="50">
        <f t="shared" si="4"/>
        <v>1.5211380837040362</v>
      </c>
      <c r="R20" s="50">
        <v>45.921427555082097</v>
      </c>
      <c r="S20" s="50">
        <f t="shared" si="5"/>
        <v>1.6620153804713207</v>
      </c>
      <c r="T20" s="50">
        <v>3.3209851425446502</v>
      </c>
      <c r="U20" s="50">
        <v>3.9950367434689285</v>
      </c>
      <c r="V20" s="186">
        <v>119000000</v>
      </c>
      <c r="W20" s="186">
        <f t="shared" si="6"/>
        <v>8.075546961392531</v>
      </c>
      <c r="X20" s="50">
        <v>4</v>
      </c>
      <c r="Y20" s="66" t="s">
        <v>59</v>
      </c>
    </row>
    <row r="21" spans="1:25" x14ac:dyDescent="0.35">
      <c r="A21" s="67">
        <v>0.3035644433514339</v>
      </c>
      <c r="B21" s="52" t="s">
        <v>434</v>
      </c>
      <c r="C21" s="52">
        <v>2.8547945205479452</v>
      </c>
      <c r="D21" s="50">
        <f t="shared" si="0"/>
        <v>0.45557485450703095</v>
      </c>
      <c r="E21" s="52">
        <v>3.8584156743566731</v>
      </c>
      <c r="F21" s="52">
        <v>1.5314789170422551</v>
      </c>
      <c r="G21" s="52">
        <v>2.66</v>
      </c>
      <c r="H21" s="50">
        <f t="shared" si="1"/>
        <v>0.42488163663106698</v>
      </c>
      <c r="I21" s="52">
        <v>2.8134697878296753</v>
      </c>
      <c r="J21" s="52">
        <v>8.6359830674748214E-2</v>
      </c>
      <c r="K21" s="52">
        <v>12</v>
      </c>
      <c r="L21" s="50">
        <f t="shared" si="2"/>
        <v>1.0791812460476249</v>
      </c>
      <c r="M21" s="52">
        <v>1</v>
      </c>
      <c r="N21" s="52">
        <v>76.900000000000006</v>
      </c>
      <c r="O21" s="50">
        <f t="shared" si="3"/>
        <v>1.885926339801431</v>
      </c>
      <c r="P21" s="52">
        <v>44.05</v>
      </c>
      <c r="Q21" s="50">
        <f t="shared" si="4"/>
        <v>1.6439459127480667</v>
      </c>
      <c r="R21" s="52">
        <v>51.064530698041601</v>
      </c>
      <c r="S21" s="50">
        <f t="shared" si="5"/>
        <v>1.7081193449348573</v>
      </c>
      <c r="T21" s="52">
        <v>3.1867416979308154</v>
      </c>
      <c r="U21" s="52">
        <v>3.6572619512401316</v>
      </c>
      <c r="V21" s="187">
        <v>119600000</v>
      </c>
      <c r="W21" s="186">
        <f t="shared" si="6"/>
        <v>8.0777311796523925</v>
      </c>
      <c r="X21" s="52">
        <v>9</v>
      </c>
      <c r="Y21" s="68" t="s">
        <v>45</v>
      </c>
    </row>
    <row r="22" spans="1:25" x14ac:dyDescent="0.35">
      <c r="A22" s="49">
        <v>0.84198480459011393</v>
      </c>
      <c r="B22" s="50" t="s">
        <v>45</v>
      </c>
      <c r="C22" s="50">
        <v>1.7205479452054795</v>
      </c>
      <c r="D22" s="50">
        <f t="shared" si="0"/>
        <v>0.23566677928072144</v>
      </c>
      <c r="E22" s="50">
        <v>0</v>
      </c>
      <c r="F22" s="50">
        <v>2.1335389083702174</v>
      </c>
      <c r="G22" s="50">
        <v>2.95</v>
      </c>
      <c r="H22" s="50">
        <f t="shared" si="1"/>
        <v>0.46982201597816303</v>
      </c>
      <c r="I22" s="50">
        <v>0</v>
      </c>
      <c r="J22" s="50">
        <v>5.6904851336472641E-2</v>
      </c>
      <c r="K22" s="50">
        <v>15</v>
      </c>
      <c r="L22" s="50">
        <f t="shared" si="2"/>
        <v>1.1760912590556813</v>
      </c>
      <c r="M22" s="50">
        <v>0</v>
      </c>
      <c r="N22" s="50">
        <v>85</v>
      </c>
      <c r="O22" s="50">
        <f t="shared" si="3"/>
        <v>1.9294189257142926</v>
      </c>
      <c r="P22" s="50">
        <v>24.4</v>
      </c>
      <c r="Q22" s="50">
        <f t="shared" si="4"/>
        <v>1.3873898263387294</v>
      </c>
      <c r="R22" s="50">
        <v>37.256914365427299</v>
      </c>
      <c r="S22" s="50">
        <f t="shared" si="5"/>
        <v>1.5712068835833228</v>
      </c>
      <c r="T22" s="50">
        <v>3.9186507422978978</v>
      </c>
      <c r="U22" s="50">
        <v>3.9937960064170404</v>
      </c>
      <c r="V22" s="186">
        <v>120000000</v>
      </c>
      <c r="W22" s="186">
        <f t="shared" si="6"/>
        <v>8.0791812460476251</v>
      </c>
      <c r="X22" s="50">
        <v>3</v>
      </c>
      <c r="Y22" s="66" t="s">
        <v>45</v>
      </c>
    </row>
    <row r="23" spans="1:25" x14ac:dyDescent="0.35">
      <c r="A23" s="67">
        <v>-7.9181246047624804E-2</v>
      </c>
      <c r="B23" s="52" t="s">
        <v>59</v>
      </c>
      <c r="C23" s="52">
        <v>7.0739726027397261</v>
      </c>
      <c r="D23" s="50">
        <f t="shared" si="0"/>
        <v>0.84966337347392684</v>
      </c>
      <c r="E23" s="52">
        <v>3.7707754512906644</v>
      </c>
      <c r="F23" s="52">
        <v>0.77815125038364363</v>
      </c>
      <c r="G23" s="52">
        <v>2.3199999999999998</v>
      </c>
      <c r="H23" s="50">
        <f t="shared" si="1"/>
        <v>0.36548798489089962</v>
      </c>
      <c r="I23" s="52">
        <v>2.1238516409670858</v>
      </c>
      <c r="J23" s="52">
        <v>0.34635297445063856</v>
      </c>
      <c r="K23" s="52">
        <v>26</v>
      </c>
      <c r="L23" s="50">
        <f t="shared" si="2"/>
        <v>1.414973347970818</v>
      </c>
      <c r="M23" s="52">
        <v>1</v>
      </c>
      <c r="N23" s="52">
        <v>94.6</v>
      </c>
      <c r="O23" s="50">
        <f t="shared" si="3"/>
        <v>1.9758911364017928</v>
      </c>
      <c r="P23" s="52">
        <v>33.200000000000003</v>
      </c>
      <c r="Q23" s="50">
        <f t="shared" si="4"/>
        <v>1.5211380837040362</v>
      </c>
      <c r="R23" s="52">
        <v>45.921427555082097</v>
      </c>
      <c r="S23" s="50">
        <f t="shared" si="5"/>
        <v>1.6620153804713207</v>
      </c>
      <c r="T23" s="52">
        <v>3.3647319780710983</v>
      </c>
      <c r="U23" s="52">
        <v>3.5686596122879011</v>
      </c>
      <c r="V23" s="187">
        <v>120000000</v>
      </c>
      <c r="W23" s="186">
        <f t="shared" si="6"/>
        <v>8.0791812460476251</v>
      </c>
      <c r="X23" s="52">
        <v>7</v>
      </c>
      <c r="Y23" s="68" t="s">
        <v>45</v>
      </c>
    </row>
    <row r="24" spans="1:25" x14ac:dyDescent="0.35">
      <c r="A24" s="49">
        <v>0.63682209758717434</v>
      </c>
      <c r="B24" s="50" t="s">
        <v>45</v>
      </c>
      <c r="C24" s="50">
        <v>8.912328767123288</v>
      </c>
      <c r="D24" s="50">
        <f t="shared" si="0"/>
        <v>0.94999119882537886</v>
      </c>
      <c r="E24" s="50">
        <v>0</v>
      </c>
      <c r="F24" s="50">
        <v>2.0253058652647704</v>
      </c>
      <c r="G24" s="50">
        <v>2.95</v>
      </c>
      <c r="H24" s="50">
        <f t="shared" si="1"/>
        <v>0.46982201597816303</v>
      </c>
      <c r="I24" s="50">
        <v>0</v>
      </c>
      <c r="J24" s="50">
        <v>-4.3648054024500883E-3</v>
      </c>
      <c r="K24" s="50">
        <v>12</v>
      </c>
      <c r="L24" s="50">
        <f t="shared" si="2"/>
        <v>1.0791812460476249</v>
      </c>
      <c r="M24" s="50">
        <v>0</v>
      </c>
      <c r="N24" s="50">
        <v>85</v>
      </c>
      <c r="O24" s="50">
        <f t="shared" si="3"/>
        <v>1.9294189257142926</v>
      </c>
      <c r="P24" s="50">
        <v>27.8</v>
      </c>
      <c r="Q24" s="50">
        <f t="shared" si="4"/>
        <v>1.4440447959180762</v>
      </c>
      <c r="R24" s="50">
        <v>34.656907836978597</v>
      </c>
      <c r="S24" s="50">
        <f t="shared" si="5"/>
        <v>1.5397898114291337</v>
      </c>
      <c r="T24" s="50">
        <v>3.0958500844125241</v>
      </c>
      <c r="U24" s="50">
        <v>3.5078178355445662</v>
      </c>
      <c r="V24" s="186">
        <v>120000000</v>
      </c>
      <c r="W24" s="186">
        <f t="shared" si="6"/>
        <v>8.0791812460476251</v>
      </c>
      <c r="X24" s="50">
        <v>1</v>
      </c>
      <c r="Y24" s="66" t="s">
        <v>602</v>
      </c>
    </row>
    <row r="25" spans="1:25" x14ac:dyDescent="0.35">
      <c r="A25" s="67">
        <v>0.26766945270390896</v>
      </c>
      <c r="B25" s="52" t="s">
        <v>163</v>
      </c>
      <c r="C25" s="52">
        <v>6.021917808219178</v>
      </c>
      <c r="D25" s="50">
        <f t="shared" si="0"/>
        <v>0.779734823630997</v>
      </c>
      <c r="E25" s="52">
        <v>2.5362300726332561</v>
      </c>
      <c r="F25" s="52">
        <v>2.3909351071033793</v>
      </c>
      <c r="G25" s="52">
        <v>2.3199999999999998</v>
      </c>
      <c r="H25" s="50">
        <f t="shared" si="1"/>
        <v>0.36548798489089962</v>
      </c>
      <c r="I25" s="52">
        <v>2.756001823801419</v>
      </c>
      <c r="J25" s="52">
        <v>-7.0581074285707285E-2</v>
      </c>
      <c r="K25" s="52">
        <v>12</v>
      </c>
      <c r="L25" s="50">
        <f t="shared" si="2"/>
        <v>1.0791812460476249</v>
      </c>
      <c r="M25" s="52">
        <v>1</v>
      </c>
      <c r="N25" s="52">
        <v>70</v>
      </c>
      <c r="O25" s="50">
        <f t="shared" si="3"/>
        <v>1.8450980400142569</v>
      </c>
      <c r="P25" s="52">
        <v>43.4</v>
      </c>
      <c r="Q25" s="50">
        <f t="shared" si="4"/>
        <v>1.6374897295125106</v>
      </c>
      <c r="R25" s="52">
        <v>51.652289181886701</v>
      </c>
      <c r="S25" s="50">
        <f t="shared" si="5"/>
        <v>1.7130895738136374</v>
      </c>
      <c r="T25" s="52">
        <v>3.5347454529897258</v>
      </c>
      <c r="U25" s="52">
        <v>3.9695495619878729</v>
      </c>
      <c r="V25" s="187">
        <v>120910000</v>
      </c>
      <c r="W25" s="186">
        <f t="shared" si="6"/>
        <v>8.0824622211686297</v>
      </c>
      <c r="X25" s="52">
        <v>7</v>
      </c>
      <c r="Y25" s="68" t="s">
        <v>59</v>
      </c>
    </row>
    <row r="26" spans="1:25" x14ac:dyDescent="0.35">
      <c r="A26" s="49">
        <v>-0.3953586931471641</v>
      </c>
      <c r="B26" s="50" t="s">
        <v>59</v>
      </c>
      <c r="C26" s="50">
        <v>4.9616438356164387</v>
      </c>
      <c r="D26" s="50">
        <f t="shared" si="0"/>
        <v>0.69562558585758372</v>
      </c>
      <c r="E26" s="50">
        <v>0</v>
      </c>
      <c r="F26" s="50">
        <v>0</v>
      </c>
      <c r="G26" s="50">
        <v>3.29</v>
      </c>
      <c r="H26" s="50">
        <f t="shared" si="1"/>
        <v>0.51719589794997434</v>
      </c>
      <c r="I26" s="50">
        <v>0</v>
      </c>
      <c r="J26" s="50">
        <v>-2.6872146400301365E-2</v>
      </c>
      <c r="K26" s="50">
        <v>16</v>
      </c>
      <c r="L26" s="50">
        <f t="shared" si="2"/>
        <v>1.2041199826559248</v>
      </c>
      <c r="M26" s="50">
        <v>0</v>
      </c>
      <c r="N26" s="50">
        <v>85</v>
      </c>
      <c r="O26" s="50">
        <f t="shared" si="3"/>
        <v>1.9294189257142926</v>
      </c>
      <c r="P26" s="50">
        <v>30</v>
      </c>
      <c r="Q26" s="50">
        <f t="shared" si="4"/>
        <v>1.4771212547196624</v>
      </c>
      <c r="R26" s="50">
        <v>35.807885111275297</v>
      </c>
      <c r="S26" s="50">
        <f t="shared" si="5"/>
        <v>1.5539786714272548</v>
      </c>
      <c r="T26" s="50">
        <v>3.2224645332922388</v>
      </c>
      <c r="U26" s="50">
        <v>3.707126713924402</v>
      </c>
      <c r="V26" s="186">
        <v>121028501</v>
      </c>
      <c r="W26" s="186">
        <f t="shared" si="6"/>
        <v>8.082887654361798</v>
      </c>
      <c r="X26" s="50">
        <v>6</v>
      </c>
      <c r="Y26" s="66" t="s">
        <v>577</v>
      </c>
    </row>
    <row r="27" spans="1:25" x14ac:dyDescent="0.35">
      <c r="A27" s="67">
        <v>0.2521295122717786</v>
      </c>
      <c r="B27" s="52" t="s">
        <v>59</v>
      </c>
      <c r="C27" s="52">
        <v>5.5178082191780824</v>
      </c>
      <c r="D27" s="50">
        <f t="shared" si="0"/>
        <v>0.74176660176112452</v>
      </c>
      <c r="E27" s="52">
        <v>0</v>
      </c>
      <c r="F27" s="52">
        <v>1.0791812460476249</v>
      </c>
      <c r="G27" s="52">
        <v>3.29</v>
      </c>
      <c r="H27" s="50">
        <f t="shared" si="1"/>
        <v>0.51719589794997434</v>
      </c>
      <c r="I27" s="52">
        <v>0</v>
      </c>
      <c r="J27" s="52">
        <v>1.2837224705172217E-2</v>
      </c>
      <c r="K27" s="52">
        <v>19</v>
      </c>
      <c r="L27" s="50">
        <f t="shared" si="2"/>
        <v>1.2787536009528289</v>
      </c>
      <c r="M27" s="52">
        <v>0</v>
      </c>
      <c r="N27" s="52">
        <v>91.2</v>
      </c>
      <c r="O27" s="50">
        <f t="shared" si="3"/>
        <v>1.9599948383284163</v>
      </c>
      <c r="P27" s="52">
        <v>33</v>
      </c>
      <c r="Q27" s="50">
        <f t="shared" si="4"/>
        <v>1.5185139398778875</v>
      </c>
      <c r="R27" s="52">
        <v>40.902544500539101</v>
      </c>
      <c r="S27" s="50">
        <f t="shared" si="5"/>
        <v>1.6117503258110162</v>
      </c>
      <c r="T27" s="52">
        <v>3.5347454529897258</v>
      </c>
      <c r="U27" s="52">
        <v>3.9695495619878729</v>
      </c>
      <c r="V27" s="187">
        <v>122500000</v>
      </c>
      <c r="W27" s="186">
        <f t="shared" si="6"/>
        <v>8.0881360887005513</v>
      </c>
      <c r="X27" s="52">
        <v>2</v>
      </c>
      <c r="Y27" s="68" t="s">
        <v>59</v>
      </c>
    </row>
    <row r="28" spans="1:25" x14ac:dyDescent="0.35">
      <c r="A28" s="49">
        <v>0.18533191579059388</v>
      </c>
      <c r="B28" s="50" t="s">
        <v>59</v>
      </c>
      <c r="C28" s="50">
        <v>4.8054794520547945</v>
      </c>
      <c r="D28" s="50">
        <f t="shared" si="0"/>
        <v>0.68173672457354706</v>
      </c>
      <c r="E28" s="50">
        <v>0</v>
      </c>
      <c r="F28" s="50">
        <v>0</v>
      </c>
      <c r="G28" s="50">
        <v>3.29</v>
      </c>
      <c r="H28" s="50">
        <f t="shared" si="1"/>
        <v>0.51719589794997434</v>
      </c>
      <c r="I28" s="50">
        <v>0</v>
      </c>
      <c r="J28" s="50">
        <v>-4.0958607678906384E-2</v>
      </c>
      <c r="K28" s="50">
        <v>17</v>
      </c>
      <c r="L28" s="50">
        <f t="shared" si="2"/>
        <v>1.2304489213782739</v>
      </c>
      <c r="M28" s="50">
        <v>0</v>
      </c>
      <c r="N28" s="50">
        <v>85</v>
      </c>
      <c r="O28" s="50">
        <f t="shared" si="3"/>
        <v>1.9294189257142926</v>
      </c>
      <c r="P28" s="50">
        <v>32.700000000000003</v>
      </c>
      <c r="Q28" s="50">
        <f t="shared" si="4"/>
        <v>1.5145477526602862</v>
      </c>
      <c r="R28" s="50">
        <v>41.286751495766303</v>
      </c>
      <c r="S28" s="50">
        <f t="shared" si="5"/>
        <v>1.6158107132703448</v>
      </c>
      <c r="T28" s="50">
        <v>3.5347454529897258</v>
      </c>
      <c r="U28" s="50">
        <v>3.9695495619878729</v>
      </c>
      <c r="V28" s="186">
        <v>124000000</v>
      </c>
      <c r="W28" s="186">
        <f t="shared" si="6"/>
        <v>8.0934216851622356</v>
      </c>
      <c r="X28" s="50">
        <v>5</v>
      </c>
      <c r="Y28" s="66" t="s">
        <v>59</v>
      </c>
    </row>
    <row r="29" spans="1:25" x14ac:dyDescent="0.35">
      <c r="A29" s="67">
        <v>0.38021124171160603</v>
      </c>
      <c r="B29" s="52" t="s">
        <v>45</v>
      </c>
      <c r="C29" s="52">
        <v>1.3479452054794521</v>
      </c>
      <c r="D29" s="50">
        <f t="shared" si="0"/>
        <v>0.12967223831088562</v>
      </c>
      <c r="E29" s="52">
        <v>0</v>
      </c>
      <c r="F29" s="52">
        <v>0</v>
      </c>
      <c r="G29" s="52">
        <v>2.95</v>
      </c>
      <c r="H29" s="50">
        <f t="shared" si="1"/>
        <v>0.46982201597816303</v>
      </c>
      <c r="I29" s="52">
        <v>0</v>
      </c>
      <c r="J29" s="52">
        <v>3.7426497940623665E-2</v>
      </c>
      <c r="K29" s="52">
        <v>34</v>
      </c>
      <c r="L29" s="50">
        <f t="shared" si="2"/>
        <v>1.5314789170422551</v>
      </c>
      <c r="M29" s="52">
        <v>0</v>
      </c>
      <c r="N29" s="52">
        <v>91.3</v>
      </c>
      <c r="O29" s="50">
        <f t="shared" si="3"/>
        <v>1.9604707775342989</v>
      </c>
      <c r="P29" s="52">
        <v>23.5</v>
      </c>
      <c r="Q29" s="50">
        <f t="shared" si="4"/>
        <v>1.3710678622717363</v>
      </c>
      <c r="R29" s="52">
        <v>43.1672842383418</v>
      </c>
      <c r="S29" s="50">
        <f t="shared" si="5"/>
        <v>1.6351547269652249</v>
      </c>
      <c r="T29" s="52">
        <v>3.0687415514991745</v>
      </c>
      <c r="U29" s="52">
        <v>3.5297005493117593</v>
      </c>
      <c r="V29" s="187">
        <v>125000000</v>
      </c>
      <c r="W29" s="186">
        <f t="shared" si="6"/>
        <v>8.0969100130080562</v>
      </c>
      <c r="X29" s="52">
        <v>1</v>
      </c>
      <c r="Y29" s="68" t="s">
        <v>45</v>
      </c>
    </row>
    <row r="30" spans="1:25" x14ac:dyDescent="0.35">
      <c r="A30" s="49">
        <v>0.22475751901294613</v>
      </c>
      <c r="B30" s="50" t="s">
        <v>2</v>
      </c>
      <c r="C30" s="50">
        <v>5.2136986301369861</v>
      </c>
      <c r="D30" s="50">
        <f t="shared" si="0"/>
        <v>0.71714592383054576</v>
      </c>
      <c r="E30" s="50">
        <v>2.9629325585580042</v>
      </c>
      <c r="F30" s="50">
        <v>1.2041199826559248</v>
      </c>
      <c r="G30" s="50">
        <v>2.62</v>
      </c>
      <c r="H30" s="50">
        <f t="shared" si="1"/>
        <v>0.41830129131974547</v>
      </c>
      <c r="I30" s="50">
        <v>2.9323046139517812</v>
      </c>
      <c r="J30" s="50">
        <v>0.2355284469075489</v>
      </c>
      <c r="K30" s="50">
        <v>10</v>
      </c>
      <c r="L30" s="50">
        <f t="shared" si="2"/>
        <v>1</v>
      </c>
      <c r="M30" s="50">
        <v>1</v>
      </c>
      <c r="N30" s="50">
        <v>89.6</v>
      </c>
      <c r="O30" s="50">
        <f t="shared" si="3"/>
        <v>1.9523080096621253</v>
      </c>
      <c r="P30" s="50">
        <v>35</v>
      </c>
      <c r="Q30" s="50">
        <f t="shared" si="4"/>
        <v>1.5440680443502757</v>
      </c>
      <c r="R30" s="50">
        <v>47.255451423610303</v>
      </c>
      <c r="S30" s="50">
        <f t="shared" si="5"/>
        <v>1.6744519162659719</v>
      </c>
      <c r="T30" s="50">
        <v>3.2860283894181141</v>
      </c>
      <c r="U30" s="50">
        <v>3.9098977130890344</v>
      </c>
      <c r="V30" s="186">
        <v>125158911</v>
      </c>
      <c r="W30" s="186">
        <f t="shared" si="6"/>
        <v>8.0974617757209728</v>
      </c>
      <c r="X30" s="50">
        <v>1</v>
      </c>
      <c r="Y30" s="66" t="s">
        <v>59</v>
      </c>
    </row>
    <row r="31" spans="1:25" x14ac:dyDescent="0.35">
      <c r="A31" s="67">
        <v>0.3406889680132057</v>
      </c>
      <c r="B31" s="52" t="s">
        <v>45</v>
      </c>
      <c r="C31" s="52">
        <v>4.3068493150684928</v>
      </c>
      <c r="D31" s="50">
        <f t="shared" si="0"/>
        <v>0.63415967724691436</v>
      </c>
      <c r="E31" s="52">
        <v>0</v>
      </c>
      <c r="F31" s="52">
        <v>1.6532125137753437</v>
      </c>
      <c r="G31" s="52">
        <v>2.95</v>
      </c>
      <c r="H31" s="50">
        <f t="shared" si="1"/>
        <v>0.46982201597816303</v>
      </c>
      <c r="I31" s="52">
        <v>0</v>
      </c>
      <c r="J31" s="52">
        <v>4.9218022670181653E-2</v>
      </c>
      <c r="K31" s="52">
        <v>17</v>
      </c>
      <c r="L31" s="50">
        <f t="shared" si="2"/>
        <v>1.2304489213782739</v>
      </c>
      <c r="M31" s="52">
        <v>0</v>
      </c>
      <c r="N31" s="52">
        <v>85</v>
      </c>
      <c r="O31" s="50">
        <f t="shared" si="3"/>
        <v>1.9294189257142926</v>
      </c>
      <c r="P31" s="52">
        <v>24.6</v>
      </c>
      <c r="Q31" s="50">
        <f t="shared" si="4"/>
        <v>1.3909351071033791</v>
      </c>
      <c r="R31" s="52">
        <v>36.876470987978301</v>
      </c>
      <c r="S31" s="50">
        <f t="shared" si="5"/>
        <v>1.5667493531684615</v>
      </c>
      <c r="T31" s="52">
        <v>3.0958500844125241</v>
      </c>
      <c r="U31" s="52">
        <v>3.5078178355445662</v>
      </c>
      <c r="V31" s="187">
        <v>125500000</v>
      </c>
      <c r="W31" s="186">
        <f t="shared" si="6"/>
        <v>8.0986437258170572</v>
      </c>
      <c r="X31" s="52">
        <v>5</v>
      </c>
      <c r="Y31" s="68" t="s">
        <v>602</v>
      </c>
    </row>
    <row r="32" spans="1:25" x14ac:dyDescent="0.35">
      <c r="A32" s="49">
        <v>-3.3241325847105839E-2</v>
      </c>
      <c r="B32" s="83" t="s">
        <v>4</v>
      </c>
      <c r="C32" s="50">
        <v>4.4027397260273968</v>
      </c>
      <c r="D32" s="50">
        <f t="shared" si="0"/>
        <v>0.64372301230686979</v>
      </c>
      <c r="E32" s="50">
        <v>3.1566248585544785</v>
      </c>
      <c r="F32" s="50">
        <v>1.8808135922807914</v>
      </c>
      <c r="G32" s="50">
        <v>3.03</v>
      </c>
      <c r="H32" s="50">
        <f t="shared" si="1"/>
        <v>0.48144262850230496</v>
      </c>
      <c r="I32" s="50">
        <v>2.8438554226231609</v>
      </c>
      <c r="J32" s="50">
        <v>-1.322826573375516E-2</v>
      </c>
      <c r="K32" s="50">
        <v>9</v>
      </c>
      <c r="L32" s="50">
        <f t="shared" si="2"/>
        <v>0.95424250943932487</v>
      </c>
      <c r="M32" s="50">
        <v>1</v>
      </c>
      <c r="N32" s="50">
        <v>70</v>
      </c>
      <c r="O32" s="50">
        <f t="shared" si="3"/>
        <v>1.8450980400142569</v>
      </c>
      <c r="P32" s="50">
        <v>48.4</v>
      </c>
      <c r="Q32" s="50">
        <f t="shared" si="4"/>
        <v>1.6848453616444126</v>
      </c>
      <c r="R32" s="50">
        <v>56.929890049265502</v>
      </c>
      <c r="S32" s="50">
        <f t="shared" si="5"/>
        <v>1.7553403450438787</v>
      </c>
      <c r="T32" s="50">
        <v>3.277819633965128</v>
      </c>
      <c r="U32" s="50">
        <v>3.9304083853612104</v>
      </c>
      <c r="V32" s="186">
        <v>125670000</v>
      </c>
      <c r="W32" s="186">
        <f t="shared" si="6"/>
        <v>8.0992316150808819</v>
      </c>
      <c r="X32" s="50">
        <v>6</v>
      </c>
      <c r="Y32" s="102" t="s">
        <v>59</v>
      </c>
    </row>
    <row r="33" spans="1:25" x14ac:dyDescent="0.35">
      <c r="A33" s="67">
        <v>-0.74686876610010333</v>
      </c>
      <c r="B33" s="52" t="s">
        <v>59</v>
      </c>
      <c r="C33" s="52">
        <v>13.641095890410959</v>
      </c>
      <c r="D33" s="50">
        <f t="shared" si="0"/>
        <v>1.1348492618189847</v>
      </c>
      <c r="E33" s="52">
        <v>0</v>
      </c>
      <c r="F33" s="52">
        <v>1</v>
      </c>
      <c r="G33" s="52">
        <v>3.29</v>
      </c>
      <c r="H33" s="50">
        <f t="shared" si="1"/>
        <v>0.51719589794997434</v>
      </c>
      <c r="I33" s="52">
        <v>0</v>
      </c>
      <c r="J33" s="52">
        <v>3.342375548694973E-2</v>
      </c>
      <c r="K33" s="52">
        <v>18</v>
      </c>
      <c r="L33" s="50">
        <f t="shared" si="2"/>
        <v>1.255272505103306</v>
      </c>
      <c r="M33" s="52">
        <v>0</v>
      </c>
      <c r="N33" s="52">
        <v>85</v>
      </c>
      <c r="O33" s="50">
        <f t="shared" si="3"/>
        <v>1.9294189257142926</v>
      </c>
      <c r="P33" s="52">
        <v>32.200000000000003</v>
      </c>
      <c r="Q33" s="50">
        <f t="shared" si="4"/>
        <v>1.507855871695831</v>
      </c>
      <c r="R33" s="52">
        <v>35.326012114535303</v>
      </c>
      <c r="S33" s="50">
        <f t="shared" si="5"/>
        <v>1.548094613534351</v>
      </c>
      <c r="T33" s="52">
        <v>3.2224645332922388</v>
      </c>
      <c r="U33" s="52">
        <v>3.707126713924402</v>
      </c>
      <c r="V33" s="187">
        <v>126865700</v>
      </c>
      <c r="W33" s="186">
        <f t="shared" si="6"/>
        <v>8.1033442200910457</v>
      </c>
      <c r="X33" s="52">
        <v>5</v>
      </c>
      <c r="Y33" s="68" t="s">
        <v>577</v>
      </c>
    </row>
    <row r="34" spans="1:25" x14ac:dyDescent="0.35">
      <c r="A34" s="49">
        <v>-0.13768510304979162</v>
      </c>
      <c r="B34" s="50" t="s">
        <v>6</v>
      </c>
      <c r="C34" s="50">
        <v>2.4821917808219176</v>
      </c>
      <c r="D34" s="50">
        <f t="shared" si="0"/>
        <v>0.39483533322033831</v>
      </c>
      <c r="E34" s="50">
        <v>2.2426159575692655</v>
      </c>
      <c r="F34" s="50">
        <v>1.146128035678238</v>
      </c>
      <c r="G34" s="50">
        <v>3.18</v>
      </c>
      <c r="H34" s="50">
        <f t="shared" si="1"/>
        <v>0.50242711998443268</v>
      </c>
      <c r="I34" s="50">
        <v>2.4705574852172743</v>
      </c>
      <c r="J34" s="50">
        <v>9.3421685162235063E-2</v>
      </c>
      <c r="K34" s="50">
        <v>16</v>
      </c>
      <c r="L34" s="50">
        <f t="shared" si="2"/>
        <v>1.2041199826559248</v>
      </c>
      <c r="M34" s="50">
        <v>1</v>
      </c>
      <c r="N34" s="50">
        <v>70</v>
      </c>
      <c r="O34" s="50">
        <f t="shared" si="3"/>
        <v>1.8450980400142569</v>
      </c>
      <c r="P34" s="50">
        <v>44.1</v>
      </c>
      <c r="Q34" s="50">
        <f t="shared" si="4"/>
        <v>1.6444385894678386</v>
      </c>
      <c r="R34" s="50">
        <v>50.560579232511799</v>
      </c>
      <c r="S34" s="50">
        <f t="shared" si="5"/>
        <v>1.703812040670742</v>
      </c>
      <c r="T34" s="50">
        <v>3.3740570806117947</v>
      </c>
      <c r="U34" s="50">
        <v>3.9700736609473402</v>
      </c>
      <c r="V34" s="186">
        <v>130000000</v>
      </c>
      <c r="W34" s="186">
        <f t="shared" si="6"/>
        <v>8.1139433523068369</v>
      </c>
      <c r="X34" s="50">
        <v>7</v>
      </c>
      <c r="Y34" s="66" t="s">
        <v>5</v>
      </c>
    </row>
    <row r="35" spans="1:25" x14ac:dyDescent="0.35">
      <c r="A35" s="67">
        <v>1.1704873815376828</v>
      </c>
      <c r="B35" s="52" t="s">
        <v>45</v>
      </c>
      <c r="C35" s="52">
        <v>6.0027397260273974</v>
      </c>
      <c r="D35" s="50">
        <f t="shared" si="0"/>
        <v>0.77834951310423062</v>
      </c>
      <c r="E35" s="52">
        <v>0</v>
      </c>
      <c r="F35" s="52">
        <v>0</v>
      </c>
      <c r="G35" s="52">
        <v>2.95</v>
      </c>
      <c r="H35" s="50">
        <f t="shared" si="1"/>
        <v>0.46982201597816303</v>
      </c>
      <c r="I35" s="52">
        <v>0</v>
      </c>
      <c r="J35" s="52">
        <v>1.703333929878037E-2</v>
      </c>
      <c r="K35" s="52">
        <v>16</v>
      </c>
      <c r="L35" s="50">
        <f t="shared" si="2"/>
        <v>1.2041199826559248</v>
      </c>
      <c r="M35" s="52">
        <v>0</v>
      </c>
      <c r="N35" s="52">
        <v>85</v>
      </c>
      <c r="O35" s="50">
        <f t="shared" si="3"/>
        <v>1.9294189257142926</v>
      </c>
      <c r="P35" s="52">
        <v>24.6</v>
      </c>
      <c r="Q35" s="50">
        <f t="shared" si="4"/>
        <v>1.3909351071033791</v>
      </c>
      <c r="R35" s="52">
        <v>36.876470987978301</v>
      </c>
      <c r="S35" s="50">
        <f t="shared" si="5"/>
        <v>1.5667493531684615</v>
      </c>
      <c r="T35" s="52">
        <v>3.9186507422978978</v>
      </c>
      <c r="U35" s="52">
        <v>3.9937960064170404</v>
      </c>
      <c r="V35" s="187">
        <v>130000000</v>
      </c>
      <c r="W35" s="186">
        <f t="shared" si="6"/>
        <v>8.1139433523068369</v>
      </c>
      <c r="X35" s="52">
        <v>3</v>
      </c>
      <c r="Y35" s="68" t="s">
        <v>45</v>
      </c>
    </row>
    <row r="36" spans="1:25" x14ac:dyDescent="0.35">
      <c r="A36" s="49">
        <v>0.28399665636520083</v>
      </c>
      <c r="B36" s="50" t="s">
        <v>59</v>
      </c>
      <c r="C36" s="50">
        <v>2.978082191780822</v>
      </c>
      <c r="D36" s="50">
        <f t="shared" si="0"/>
        <v>0.47393667962981983</v>
      </c>
      <c r="E36" s="50">
        <v>0</v>
      </c>
      <c r="F36" s="50">
        <v>1.4913616938342726</v>
      </c>
      <c r="G36" s="50">
        <v>3.29</v>
      </c>
      <c r="H36" s="50">
        <f t="shared" si="1"/>
        <v>0.51719589794997434</v>
      </c>
      <c r="I36" s="50">
        <v>0</v>
      </c>
      <c r="J36" s="50">
        <v>0.10380372095595687</v>
      </c>
      <c r="K36" s="50">
        <v>13</v>
      </c>
      <c r="L36" s="50">
        <f t="shared" si="2"/>
        <v>1.1139433523068367</v>
      </c>
      <c r="M36" s="50">
        <v>0</v>
      </c>
      <c r="N36" s="50">
        <v>92</v>
      </c>
      <c r="O36" s="50">
        <f t="shared" si="3"/>
        <v>1.9637878273455553</v>
      </c>
      <c r="P36" s="50">
        <v>31.8</v>
      </c>
      <c r="Q36" s="50">
        <f t="shared" si="4"/>
        <v>1.5024271199844328</v>
      </c>
      <c r="R36" s="50">
        <v>43.012424801889097</v>
      </c>
      <c r="S36" s="50">
        <f t="shared" si="5"/>
        <v>1.6335939263577708</v>
      </c>
      <c r="T36" s="50">
        <v>3.4875507829385946</v>
      </c>
      <c r="U36" s="50">
        <v>4</v>
      </c>
      <c r="V36" s="186">
        <v>130000000</v>
      </c>
      <c r="W36" s="186">
        <f t="shared" si="6"/>
        <v>8.1139433523068369</v>
      </c>
      <c r="X36" s="50">
        <v>5</v>
      </c>
      <c r="Y36" s="66" t="s">
        <v>59</v>
      </c>
    </row>
    <row r="37" spans="1:25" x14ac:dyDescent="0.35">
      <c r="A37" s="67">
        <v>-2</v>
      </c>
      <c r="B37" s="52" t="s">
        <v>45</v>
      </c>
      <c r="C37" s="52">
        <v>4.161643835616438</v>
      </c>
      <c r="D37" s="50">
        <f t="shared" si="0"/>
        <v>0.61926490940631163</v>
      </c>
      <c r="E37" s="52">
        <v>0</v>
      </c>
      <c r="F37" s="52">
        <v>1.6720978579357175</v>
      </c>
      <c r="G37" s="52">
        <v>2.95</v>
      </c>
      <c r="H37" s="50">
        <f t="shared" si="1"/>
        <v>0.46982201597816303</v>
      </c>
      <c r="I37" s="52">
        <v>0</v>
      </c>
      <c r="J37" s="52">
        <v>-4.5757490560675115E-2</v>
      </c>
      <c r="K37" s="52">
        <v>1</v>
      </c>
      <c r="L37" s="50">
        <f t="shared" si="2"/>
        <v>0</v>
      </c>
      <c r="M37" s="52">
        <v>0</v>
      </c>
      <c r="N37" s="52">
        <v>93.2</v>
      </c>
      <c r="O37" s="50">
        <f t="shared" si="3"/>
        <v>1.9694159123539814</v>
      </c>
      <c r="P37" s="52">
        <v>26.7</v>
      </c>
      <c r="Q37" s="50">
        <f t="shared" si="4"/>
        <v>1.4265112613645752</v>
      </c>
      <c r="R37" s="52">
        <v>36.669158714517401</v>
      </c>
      <c r="S37" s="50">
        <f t="shared" si="5"/>
        <v>1.5643009462345601</v>
      </c>
      <c r="T37" s="52">
        <v>3.3481258369969185</v>
      </c>
      <c r="U37" s="52">
        <v>3.8736689739586678</v>
      </c>
      <c r="V37" s="187">
        <v>130000000</v>
      </c>
      <c r="W37" s="186">
        <f t="shared" si="6"/>
        <v>8.1139433523068369</v>
      </c>
      <c r="X37" s="52">
        <v>4</v>
      </c>
      <c r="Y37" s="68" t="s">
        <v>45</v>
      </c>
    </row>
    <row r="38" spans="1:25" x14ac:dyDescent="0.35">
      <c r="A38" s="49">
        <v>0.39755231136672903</v>
      </c>
      <c r="B38" s="50" t="s">
        <v>489</v>
      </c>
      <c r="C38" s="50">
        <v>8.3890410958904109</v>
      </c>
      <c r="D38" s="50">
        <f t="shared" si="0"/>
        <v>0.92371232190576746</v>
      </c>
      <c r="E38" s="50">
        <v>3.8229763963637051</v>
      </c>
      <c r="F38" s="50">
        <v>1.6232492903979006</v>
      </c>
      <c r="G38" s="50">
        <v>3.03</v>
      </c>
      <c r="H38" s="50">
        <f t="shared" si="1"/>
        <v>0.48144262850230496</v>
      </c>
      <c r="I38" s="50">
        <v>2.7113853790984517</v>
      </c>
      <c r="J38" s="50">
        <v>0.12057393120584989</v>
      </c>
      <c r="K38" s="50">
        <v>14</v>
      </c>
      <c r="L38" s="50">
        <f t="shared" si="2"/>
        <v>1.146128035678238</v>
      </c>
      <c r="M38" s="50">
        <v>1</v>
      </c>
      <c r="N38" s="50">
        <v>70</v>
      </c>
      <c r="O38" s="50">
        <f t="shared" si="3"/>
        <v>1.8450980400142569</v>
      </c>
      <c r="P38" s="50">
        <v>26.36</v>
      </c>
      <c r="Q38" s="50">
        <f t="shared" si="4"/>
        <v>1.4209454059219722</v>
      </c>
      <c r="R38" s="50">
        <v>49.329709120205997</v>
      </c>
      <c r="S38" s="50">
        <f t="shared" si="5"/>
        <v>1.6931085545892062</v>
      </c>
      <c r="T38" s="50">
        <v>3.1611681223374744</v>
      </c>
      <c r="U38" s="50">
        <v>3.6619163036888955</v>
      </c>
      <c r="V38" s="186">
        <v>130000000</v>
      </c>
      <c r="W38" s="186">
        <f t="shared" si="6"/>
        <v>8.1139433523068369</v>
      </c>
      <c r="X38" s="50">
        <v>9</v>
      </c>
      <c r="Y38" s="66" t="s">
        <v>45</v>
      </c>
    </row>
    <row r="39" spans="1:25" x14ac:dyDescent="0.35">
      <c r="A39" s="67">
        <v>0.18375870000821695</v>
      </c>
      <c r="B39" s="52" t="s">
        <v>163</v>
      </c>
      <c r="C39" s="52">
        <v>5.0684931506849313</v>
      </c>
      <c r="D39" s="50">
        <f t="shared" si="0"/>
        <v>0.70487886394653909</v>
      </c>
      <c r="E39" s="52">
        <v>3.7899753459779522</v>
      </c>
      <c r="F39" s="52">
        <v>1.6627578316815741</v>
      </c>
      <c r="G39" s="52">
        <v>3.18</v>
      </c>
      <c r="H39" s="50">
        <f t="shared" si="1"/>
        <v>0.50242711998443268</v>
      </c>
      <c r="I39" s="52">
        <v>2.7670321178317625</v>
      </c>
      <c r="J39" s="52">
        <v>-1.7728766960431602E-2</v>
      </c>
      <c r="K39" s="52">
        <v>23</v>
      </c>
      <c r="L39" s="50">
        <f t="shared" si="2"/>
        <v>1.3617278360175928</v>
      </c>
      <c r="M39" s="52">
        <v>1</v>
      </c>
      <c r="N39" s="52">
        <v>87.2</v>
      </c>
      <c r="O39" s="50">
        <f t="shared" si="3"/>
        <v>1.9405164849325673</v>
      </c>
      <c r="P39" s="52">
        <v>42.5</v>
      </c>
      <c r="Q39" s="50">
        <f t="shared" si="4"/>
        <v>1.6283889300503116</v>
      </c>
      <c r="R39" s="52">
        <v>52.565521078007201</v>
      </c>
      <c r="S39" s="50">
        <f t="shared" si="5"/>
        <v>1.7207009738992591</v>
      </c>
      <c r="T39" s="52">
        <v>3.0962405795987471</v>
      </c>
      <c r="U39" s="52">
        <v>3.4010931514437841</v>
      </c>
      <c r="V39" s="187">
        <v>131000000</v>
      </c>
      <c r="W39" s="186">
        <f t="shared" si="6"/>
        <v>8.1172712956557636</v>
      </c>
      <c r="X39" s="52">
        <v>5</v>
      </c>
      <c r="Y39" s="68" t="s">
        <v>45</v>
      </c>
    </row>
    <row r="40" spans="1:25" x14ac:dyDescent="0.35">
      <c r="A40" s="49">
        <v>-0.46757593681343196</v>
      </c>
      <c r="B40" s="50" t="s">
        <v>59</v>
      </c>
      <c r="C40" s="50">
        <v>6.1013698630136988</v>
      </c>
      <c r="D40" s="50">
        <f t="shared" si="0"/>
        <v>0.78542735257756346</v>
      </c>
      <c r="E40" s="50">
        <v>0</v>
      </c>
      <c r="F40" s="50">
        <v>0</v>
      </c>
      <c r="G40" s="50">
        <v>3.29</v>
      </c>
      <c r="H40" s="50">
        <f t="shared" si="1"/>
        <v>0.51719589794997434</v>
      </c>
      <c r="I40" s="50">
        <v>0</v>
      </c>
      <c r="J40" s="50">
        <v>-4.3648054024500883E-3</v>
      </c>
      <c r="K40" s="50">
        <v>17</v>
      </c>
      <c r="L40" s="50">
        <f t="shared" si="2"/>
        <v>1.2304489213782739</v>
      </c>
      <c r="M40" s="50">
        <v>0</v>
      </c>
      <c r="N40" s="50">
        <v>85</v>
      </c>
      <c r="O40" s="50">
        <f t="shared" si="3"/>
        <v>1.9294189257142926</v>
      </c>
      <c r="P40" s="50">
        <v>31.5</v>
      </c>
      <c r="Q40" s="50">
        <f t="shared" si="4"/>
        <v>1.4983105537896004</v>
      </c>
      <c r="R40" s="50">
        <v>35.516899069648296</v>
      </c>
      <c r="S40" s="50">
        <f t="shared" si="5"/>
        <v>1.5504350411232082</v>
      </c>
      <c r="T40" s="50">
        <v>3.2224645332922388</v>
      </c>
      <c r="U40" s="50">
        <v>3.707126713924402</v>
      </c>
      <c r="V40" s="186">
        <v>135000000</v>
      </c>
      <c r="W40" s="186">
        <f t="shared" si="6"/>
        <v>8.1303337684950066</v>
      </c>
      <c r="X40" s="50">
        <v>1</v>
      </c>
      <c r="Y40" s="66" t="s">
        <v>577</v>
      </c>
    </row>
    <row r="41" spans="1:25" x14ac:dyDescent="0.35">
      <c r="A41" s="67">
        <v>0.32150923106716078</v>
      </c>
      <c r="B41" s="52" t="s">
        <v>2</v>
      </c>
      <c r="C41" s="52">
        <v>2.8301369863013699</v>
      </c>
      <c r="D41" s="50">
        <f t="shared" si="0"/>
        <v>0.4518074570631459</v>
      </c>
      <c r="E41" s="52">
        <v>2.9629325585580042</v>
      </c>
      <c r="F41" s="52">
        <v>0.6020599913279624</v>
      </c>
      <c r="G41" s="52">
        <v>2.62</v>
      </c>
      <c r="H41" s="50">
        <f t="shared" si="1"/>
        <v>0.41830129131974547</v>
      </c>
      <c r="I41" s="52">
        <v>2.9323046139517812</v>
      </c>
      <c r="J41" s="52">
        <v>-0.10237290870955855</v>
      </c>
      <c r="K41" s="52">
        <v>15</v>
      </c>
      <c r="L41" s="50">
        <f t="shared" si="2"/>
        <v>1.1760912590556813</v>
      </c>
      <c r="M41" s="52">
        <v>1</v>
      </c>
      <c r="N41" s="52">
        <v>70</v>
      </c>
      <c r="O41" s="50">
        <f t="shared" si="3"/>
        <v>1.8450980400142569</v>
      </c>
      <c r="P41" s="52">
        <v>36.200000000000003</v>
      </c>
      <c r="Q41" s="50">
        <f t="shared" si="4"/>
        <v>1.5587085705331658</v>
      </c>
      <c r="R41" s="52">
        <v>44.748733746598099</v>
      </c>
      <c r="S41" s="50">
        <f t="shared" si="5"/>
        <v>1.6507807506095689</v>
      </c>
      <c r="T41" s="52">
        <v>3.2699236952309461</v>
      </c>
      <c r="U41" s="52">
        <v>3.6984415808994222</v>
      </c>
      <c r="V41" s="187">
        <v>137000000</v>
      </c>
      <c r="W41" s="186">
        <f t="shared" si="6"/>
        <v>8.1367205671564076</v>
      </c>
      <c r="X41" s="52">
        <v>2</v>
      </c>
      <c r="Y41" s="68" t="s">
        <v>577</v>
      </c>
    </row>
    <row r="42" spans="1:25" x14ac:dyDescent="0.35">
      <c r="A42" s="49">
        <v>0.42241377805523822</v>
      </c>
      <c r="B42" s="106" t="s">
        <v>45</v>
      </c>
      <c r="C42" s="50">
        <v>3.871232876712329</v>
      </c>
      <c r="D42" s="50">
        <f t="shared" si="0"/>
        <v>0.58784929739208391</v>
      </c>
      <c r="E42" s="50">
        <v>3.7707754512906644</v>
      </c>
      <c r="F42" s="50">
        <v>1.505149978319906</v>
      </c>
      <c r="G42" s="50">
        <v>2.3199999999999998</v>
      </c>
      <c r="H42" s="50">
        <f t="shared" si="1"/>
        <v>0.36548798489089962</v>
      </c>
      <c r="I42" s="50">
        <v>2.1238516409670858</v>
      </c>
      <c r="J42" s="50">
        <v>0.18184358794477254</v>
      </c>
      <c r="K42" s="50">
        <v>31</v>
      </c>
      <c r="L42" s="50">
        <f t="shared" si="2"/>
        <v>1.4913616938342726</v>
      </c>
      <c r="M42" s="50">
        <v>1</v>
      </c>
      <c r="N42" s="50">
        <v>90.5</v>
      </c>
      <c r="O42" s="50">
        <f t="shared" si="3"/>
        <v>1.9566485792052033</v>
      </c>
      <c r="P42" s="50">
        <v>25.7</v>
      </c>
      <c r="Q42" s="50">
        <f t="shared" si="4"/>
        <v>1.4099331233312946</v>
      </c>
      <c r="R42" s="50">
        <v>39.010023979360902</v>
      </c>
      <c r="S42" s="50">
        <f t="shared" si="5"/>
        <v>1.5911762172715689</v>
      </c>
      <c r="T42" s="50">
        <v>3.4436974992327127</v>
      </c>
      <c r="U42" s="50">
        <v>3.8586708472035309</v>
      </c>
      <c r="V42" s="186">
        <v>138000000</v>
      </c>
      <c r="W42" s="186">
        <f t="shared" si="6"/>
        <v>8.1398790864012369</v>
      </c>
      <c r="X42" s="50">
        <v>6</v>
      </c>
      <c r="Y42" s="107" t="s">
        <v>59</v>
      </c>
    </row>
    <row r="43" spans="1:25" x14ac:dyDescent="0.35">
      <c r="A43" s="67">
        <v>0.27946274375238006</v>
      </c>
      <c r="B43" s="52" t="s">
        <v>163</v>
      </c>
      <c r="C43" s="52">
        <v>1.9534246575342467</v>
      </c>
      <c r="D43" s="50">
        <f t="shared" si="0"/>
        <v>0.2907966653953909</v>
      </c>
      <c r="E43" s="52">
        <v>2.5362300726332561</v>
      </c>
      <c r="F43" s="52">
        <v>1.146128035678238</v>
      </c>
      <c r="G43" s="52">
        <v>2.3199999999999998</v>
      </c>
      <c r="H43" s="50">
        <f t="shared" si="1"/>
        <v>0.36548798489089962</v>
      </c>
      <c r="I43" s="52">
        <v>2.756001823801419</v>
      </c>
      <c r="J43" s="52">
        <v>9.3421685162235063E-2</v>
      </c>
      <c r="K43" s="52">
        <v>15</v>
      </c>
      <c r="L43" s="50">
        <f t="shared" si="2"/>
        <v>1.1760912590556813</v>
      </c>
      <c r="M43" s="52">
        <v>1</v>
      </c>
      <c r="N43" s="52">
        <v>70</v>
      </c>
      <c r="O43" s="50">
        <f t="shared" si="3"/>
        <v>1.8450980400142569</v>
      </c>
      <c r="P43" s="52">
        <v>42.2</v>
      </c>
      <c r="Q43" s="50">
        <f t="shared" si="4"/>
        <v>1.6253124509616739</v>
      </c>
      <c r="R43" s="52">
        <v>53.270504198897903</v>
      </c>
      <c r="S43" s="50">
        <f t="shared" si="5"/>
        <v>1.7264868073491786</v>
      </c>
      <c r="T43" s="52">
        <v>3.5347454529897258</v>
      </c>
      <c r="U43" s="52">
        <v>3.9695495619878729</v>
      </c>
      <c r="V43" s="187">
        <v>138552000</v>
      </c>
      <c r="W43" s="186">
        <f t="shared" si="6"/>
        <v>8.1416127992102378</v>
      </c>
      <c r="X43" s="52">
        <v>5</v>
      </c>
      <c r="Y43" s="68" t="s">
        <v>59</v>
      </c>
    </row>
    <row r="44" spans="1:25" x14ac:dyDescent="0.35">
      <c r="A44" s="49">
        <v>2.1660617565076304E-3</v>
      </c>
      <c r="B44" s="50" t="s">
        <v>45</v>
      </c>
      <c r="C44" s="50">
        <v>4.9260273972602739</v>
      </c>
      <c r="D44" s="50">
        <f t="shared" si="0"/>
        <v>0.69249682294073522</v>
      </c>
      <c r="E44" s="50">
        <v>0</v>
      </c>
      <c r="F44" s="50">
        <v>1.6901960800285136</v>
      </c>
      <c r="G44" s="50">
        <v>2.95</v>
      </c>
      <c r="H44" s="50">
        <f t="shared" si="1"/>
        <v>0.46982201597816303</v>
      </c>
      <c r="I44" s="50">
        <v>0</v>
      </c>
      <c r="J44" s="50">
        <v>-8.6186147616283279E-2</v>
      </c>
      <c r="K44" s="50">
        <v>7</v>
      </c>
      <c r="L44" s="50">
        <f t="shared" si="2"/>
        <v>0.84509804001425681</v>
      </c>
      <c r="M44" s="50">
        <v>0</v>
      </c>
      <c r="N44" s="50">
        <v>85</v>
      </c>
      <c r="O44" s="50">
        <f t="shared" si="3"/>
        <v>1.9294189257142926</v>
      </c>
      <c r="P44" s="50">
        <v>27.8</v>
      </c>
      <c r="Q44" s="50">
        <f t="shared" si="4"/>
        <v>1.4440447959180762</v>
      </c>
      <c r="R44" s="50">
        <v>34.656907836978597</v>
      </c>
      <c r="S44" s="50">
        <f t="shared" si="5"/>
        <v>1.5397898114291337</v>
      </c>
      <c r="T44" s="50">
        <v>3.1628767233771686</v>
      </c>
      <c r="U44" s="50">
        <v>3.6087947637270492</v>
      </c>
      <c r="V44" s="186">
        <v>140000000</v>
      </c>
      <c r="W44" s="186">
        <f t="shared" si="6"/>
        <v>8.1461280356782382</v>
      </c>
      <c r="X44" s="50">
        <v>3</v>
      </c>
      <c r="Y44" s="66" t="s">
        <v>602</v>
      </c>
    </row>
    <row r="45" spans="1:25" x14ac:dyDescent="0.35">
      <c r="A45" s="67">
        <v>0.19431047720533817</v>
      </c>
      <c r="B45" s="84" t="s">
        <v>45</v>
      </c>
      <c r="C45" s="52">
        <v>5.2986301369863016</v>
      </c>
      <c r="D45" s="50">
        <f t="shared" si="0"/>
        <v>0.72416360529050816</v>
      </c>
      <c r="E45" s="52">
        <v>0</v>
      </c>
      <c r="F45" s="52">
        <v>0.90308998699194354</v>
      </c>
      <c r="G45" s="52">
        <v>2.95</v>
      </c>
      <c r="H45" s="50">
        <f t="shared" si="1"/>
        <v>0.46982201597816303</v>
      </c>
      <c r="I45" s="52">
        <v>0</v>
      </c>
      <c r="J45" s="52">
        <v>-4.5757490560675115E-2</v>
      </c>
      <c r="K45" s="52">
        <v>18</v>
      </c>
      <c r="L45" s="50">
        <f t="shared" si="2"/>
        <v>1.255272505103306</v>
      </c>
      <c r="M45" s="52">
        <v>0</v>
      </c>
      <c r="N45" s="52">
        <v>91.4</v>
      </c>
      <c r="O45" s="50">
        <f t="shared" si="3"/>
        <v>1.9609461957338314</v>
      </c>
      <c r="P45" s="52">
        <v>26.7</v>
      </c>
      <c r="Q45" s="50">
        <f t="shared" si="4"/>
        <v>1.4265112613645752</v>
      </c>
      <c r="R45" s="52">
        <v>37.425715444240403</v>
      </c>
      <c r="S45" s="50">
        <f t="shared" si="5"/>
        <v>1.5731701112332821</v>
      </c>
      <c r="T45" s="52">
        <v>3.4237087385413827</v>
      </c>
      <c r="U45" s="52">
        <v>3.6955278601067114</v>
      </c>
      <c r="V45" s="187">
        <v>141600000</v>
      </c>
      <c r="W45" s="186">
        <f t="shared" si="6"/>
        <v>8.151063253353751</v>
      </c>
      <c r="X45" s="52">
        <v>4</v>
      </c>
      <c r="Y45" s="103" t="s">
        <v>45</v>
      </c>
    </row>
    <row r="46" spans="1:25" x14ac:dyDescent="0.35">
      <c r="A46" s="49">
        <v>0.34735724705707294</v>
      </c>
      <c r="B46" s="50" t="s">
        <v>2</v>
      </c>
      <c r="C46" s="50">
        <v>9.169863013698631</v>
      </c>
      <c r="D46" s="50">
        <f t="shared" si="0"/>
        <v>0.96236284790130244</v>
      </c>
      <c r="E46" s="50">
        <v>3.8335760926148099</v>
      </c>
      <c r="F46" s="50">
        <v>1.0791812460476249</v>
      </c>
      <c r="G46" s="50">
        <v>2.85</v>
      </c>
      <c r="H46" s="50">
        <f t="shared" si="1"/>
        <v>0.45484486000851021</v>
      </c>
      <c r="I46" s="50">
        <v>2.9138138523837167</v>
      </c>
      <c r="J46" s="50">
        <v>0.22271647114758325</v>
      </c>
      <c r="K46" s="50">
        <v>17</v>
      </c>
      <c r="L46" s="50">
        <f t="shared" si="2"/>
        <v>1.2304489213782739</v>
      </c>
      <c r="M46" s="50">
        <v>1</v>
      </c>
      <c r="N46" s="50">
        <v>70</v>
      </c>
      <c r="O46" s="50">
        <f t="shared" si="3"/>
        <v>1.8450980400142569</v>
      </c>
      <c r="P46" s="50">
        <v>33.9</v>
      </c>
      <c r="Q46" s="50">
        <f t="shared" si="4"/>
        <v>1.5301996982030821</v>
      </c>
      <c r="R46" s="50">
        <v>46.312020505412598</v>
      </c>
      <c r="S46" s="50">
        <f t="shared" si="5"/>
        <v>1.6656937288498501</v>
      </c>
      <c r="T46" s="50">
        <v>3.0958500844125241</v>
      </c>
      <c r="U46" s="50">
        <v>3.5078178355445662</v>
      </c>
      <c r="V46" s="186">
        <v>142063002</v>
      </c>
      <c r="W46" s="186">
        <f t="shared" si="6"/>
        <v>8.15248098771362</v>
      </c>
      <c r="X46" s="50">
        <v>9</v>
      </c>
      <c r="Y46" s="66" t="s">
        <v>602</v>
      </c>
    </row>
    <row r="47" spans="1:25" x14ac:dyDescent="0.35">
      <c r="A47" s="67">
        <v>0.37614287957719328</v>
      </c>
      <c r="B47" s="52" t="s">
        <v>59</v>
      </c>
      <c r="C47" s="52">
        <v>2.6958904109589041</v>
      </c>
      <c r="D47" s="50">
        <f t="shared" si="0"/>
        <v>0.43070223397486684</v>
      </c>
      <c r="E47" s="52">
        <v>0</v>
      </c>
      <c r="F47" s="52">
        <v>1.6020599913279623</v>
      </c>
      <c r="G47" s="52">
        <v>3.29</v>
      </c>
      <c r="H47" s="50">
        <f t="shared" si="1"/>
        <v>0.51719589794997434</v>
      </c>
      <c r="I47" s="52">
        <v>0</v>
      </c>
      <c r="J47" s="52">
        <v>8.2785370316450071E-2</v>
      </c>
      <c r="K47" s="52">
        <v>17</v>
      </c>
      <c r="L47" s="50">
        <f t="shared" si="2"/>
        <v>1.2304489213782739</v>
      </c>
      <c r="M47" s="52">
        <v>0</v>
      </c>
      <c r="N47" s="52">
        <v>92</v>
      </c>
      <c r="O47" s="50">
        <f t="shared" si="3"/>
        <v>1.9637878273455553</v>
      </c>
      <c r="P47" s="52">
        <v>31.8</v>
      </c>
      <c r="Q47" s="50">
        <f t="shared" si="4"/>
        <v>1.5024271199844328</v>
      </c>
      <c r="R47" s="52">
        <v>43.012424801889097</v>
      </c>
      <c r="S47" s="50">
        <f t="shared" si="5"/>
        <v>1.6335939263577708</v>
      </c>
      <c r="T47" s="52">
        <v>3.3136191229720016</v>
      </c>
      <c r="U47" s="52">
        <v>4</v>
      </c>
      <c r="V47" s="187">
        <v>143000000</v>
      </c>
      <c r="W47" s="186">
        <f t="shared" si="6"/>
        <v>8.1553360374650623</v>
      </c>
      <c r="X47" s="52">
        <v>6</v>
      </c>
      <c r="Y47" s="68" t="s">
        <v>59</v>
      </c>
    </row>
    <row r="48" spans="1:25" x14ac:dyDescent="0.35">
      <c r="A48" s="49">
        <v>0.23657200643706269</v>
      </c>
      <c r="B48" s="50" t="s">
        <v>2</v>
      </c>
      <c r="C48" s="50">
        <v>2.3890410958904109</v>
      </c>
      <c r="D48" s="50">
        <f t="shared" si="0"/>
        <v>0.37822362047609248</v>
      </c>
      <c r="E48" s="50">
        <v>0</v>
      </c>
      <c r="F48" s="50">
        <v>1.7781512503836436</v>
      </c>
      <c r="G48" s="50">
        <v>3.5</v>
      </c>
      <c r="H48" s="50">
        <f t="shared" si="1"/>
        <v>0.54406804435027567</v>
      </c>
      <c r="I48" s="50">
        <v>0</v>
      </c>
      <c r="J48" s="50">
        <v>7.1882007306125359E-2</v>
      </c>
      <c r="K48" s="50">
        <v>12</v>
      </c>
      <c r="L48" s="50">
        <f t="shared" si="2"/>
        <v>1.0791812460476249</v>
      </c>
      <c r="M48" s="50">
        <v>0</v>
      </c>
      <c r="N48" s="50">
        <v>90.3</v>
      </c>
      <c r="O48" s="50">
        <f t="shared" si="3"/>
        <v>1.9556877503135057</v>
      </c>
      <c r="P48" s="50">
        <v>36.1</v>
      </c>
      <c r="Q48" s="50">
        <f t="shared" si="4"/>
        <v>1.5575072019056579</v>
      </c>
      <c r="R48" s="50">
        <v>47.576210837790804</v>
      </c>
      <c r="S48" s="50">
        <f t="shared" si="5"/>
        <v>1.6773898501062838</v>
      </c>
      <c r="T48" s="50">
        <v>3.359479897098526</v>
      </c>
      <c r="U48" s="50">
        <v>3.9336135634448146</v>
      </c>
      <c r="V48" s="186">
        <v>145000000</v>
      </c>
      <c r="W48" s="186">
        <f t="shared" si="6"/>
        <v>8.1613680022349744</v>
      </c>
      <c r="X48" s="50">
        <v>1</v>
      </c>
      <c r="Y48" s="66" t="s">
        <v>577</v>
      </c>
    </row>
    <row r="49" spans="1:25" x14ac:dyDescent="0.35">
      <c r="A49" s="67">
        <v>0.17955968750028012</v>
      </c>
      <c r="B49" s="52" t="s">
        <v>59</v>
      </c>
      <c r="C49" s="52">
        <v>10.468493150684932</v>
      </c>
      <c r="D49" s="50">
        <f t="shared" si="0"/>
        <v>1.0198841732319341</v>
      </c>
      <c r="E49" s="52">
        <v>0</v>
      </c>
      <c r="F49" s="52">
        <v>1.8864907251724818</v>
      </c>
      <c r="G49" s="52">
        <v>3.29</v>
      </c>
      <c r="H49" s="50">
        <f t="shared" si="1"/>
        <v>0.51719589794997434</v>
      </c>
      <c r="I49" s="52">
        <v>0</v>
      </c>
      <c r="J49" s="52">
        <v>0.23044892137827391</v>
      </c>
      <c r="K49" s="52">
        <v>23</v>
      </c>
      <c r="L49" s="50">
        <f t="shared" si="2"/>
        <v>1.3617278360175928</v>
      </c>
      <c r="M49" s="52">
        <v>0</v>
      </c>
      <c r="N49" s="52">
        <v>91.2</v>
      </c>
      <c r="O49" s="50">
        <f t="shared" si="3"/>
        <v>1.9599948383284163</v>
      </c>
      <c r="P49" s="52">
        <v>33</v>
      </c>
      <c r="Q49" s="50">
        <f t="shared" si="4"/>
        <v>1.5185139398778875</v>
      </c>
      <c r="R49" s="52">
        <v>40.902544500539101</v>
      </c>
      <c r="S49" s="50">
        <f t="shared" si="5"/>
        <v>1.6117503258110162</v>
      </c>
      <c r="T49" s="52">
        <v>3.2555397552391718</v>
      </c>
      <c r="U49" s="52">
        <v>3.9251377713585649</v>
      </c>
      <c r="V49" s="187">
        <v>145500000</v>
      </c>
      <c r="W49" s="186">
        <f t="shared" si="6"/>
        <v>8.1628629933219266</v>
      </c>
      <c r="X49" s="52">
        <v>5</v>
      </c>
      <c r="Y49" s="68" t="s">
        <v>577</v>
      </c>
    </row>
    <row r="50" spans="1:25" x14ac:dyDescent="0.35">
      <c r="A50" s="49">
        <v>0.386410680043898</v>
      </c>
      <c r="B50" s="50" t="s">
        <v>59</v>
      </c>
      <c r="C50" s="50">
        <v>1.904109589041096</v>
      </c>
      <c r="D50" s="50">
        <f t="shared" si="0"/>
        <v>0.27969194013363918</v>
      </c>
      <c r="E50" s="50">
        <v>3.7707754512906644</v>
      </c>
      <c r="F50" s="50">
        <v>1.255272505103306</v>
      </c>
      <c r="G50" s="50">
        <v>2.3199999999999998</v>
      </c>
      <c r="H50" s="50">
        <f t="shared" si="1"/>
        <v>0.36548798489089962</v>
      </c>
      <c r="I50" s="50">
        <v>2.1238516409670858</v>
      </c>
      <c r="J50" s="50">
        <v>9.3421685162235063E-2</v>
      </c>
      <c r="K50" s="50">
        <v>21</v>
      </c>
      <c r="L50" s="50">
        <f t="shared" si="2"/>
        <v>1.3222192947339193</v>
      </c>
      <c r="M50" s="50">
        <v>1</v>
      </c>
      <c r="N50" s="50">
        <v>85</v>
      </c>
      <c r="O50" s="50">
        <f t="shared" si="3"/>
        <v>1.9294189257142926</v>
      </c>
      <c r="P50" s="50">
        <v>32.700000000000003</v>
      </c>
      <c r="Q50" s="50">
        <f t="shared" si="4"/>
        <v>1.5145477526602862</v>
      </c>
      <c r="R50" s="50">
        <v>41.286751495766303</v>
      </c>
      <c r="S50" s="50">
        <f t="shared" si="5"/>
        <v>1.6158107132703448</v>
      </c>
      <c r="T50" s="50">
        <v>3.0962405795987471</v>
      </c>
      <c r="U50" s="50">
        <v>3.4010931514437841</v>
      </c>
      <c r="V50" s="186">
        <v>147874000</v>
      </c>
      <c r="W50" s="186">
        <f t="shared" si="6"/>
        <v>8.1698918207233895</v>
      </c>
      <c r="X50" s="50">
        <v>5</v>
      </c>
      <c r="Y50" s="66" t="s">
        <v>45</v>
      </c>
    </row>
    <row r="51" spans="1:25" x14ac:dyDescent="0.35">
      <c r="A51" s="67">
        <v>0.48060958256548381</v>
      </c>
      <c r="B51" s="52" t="s">
        <v>59</v>
      </c>
      <c r="C51" s="52">
        <v>5.043835616438356</v>
      </c>
      <c r="D51" s="50">
        <f t="shared" si="0"/>
        <v>0.70276092404753998</v>
      </c>
      <c r="E51" s="52">
        <v>3.7707754512906644</v>
      </c>
      <c r="F51" s="52">
        <v>1.3222192947339193</v>
      </c>
      <c r="G51" s="52">
        <v>2.3199999999999998</v>
      </c>
      <c r="H51" s="50">
        <f t="shared" si="1"/>
        <v>0.36548798489089962</v>
      </c>
      <c r="I51" s="52">
        <v>2.1238516409670858</v>
      </c>
      <c r="J51" s="52">
        <v>0.22010808804005513</v>
      </c>
      <c r="K51" s="52">
        <v>18</v>
      </c>
      <c r="L51" s="50">
        <f t="shared" si="2"/>
        <v>1.255272505103306</v>
      </c>
      <c r="M51" s="52">
        <v>1</v>
      </c>
      <c r="N51" s="52">
        <v>94.1</v>
      </c>
      <c r="O51" s="50">
        <f t="shared" si="3"/>
        <v>1.973589623427257</v>
      </c>
      <c r="P51" s="52">
        <v>32.200000000000003</v>
      </c>
      <c r="Q51" s="50">
        <f t="shared" si="4"/>
        <v>1.507855871695831</v>
      </c>
      <c r="R51" s="52">
        <v>43.9397801796012</v>
      </c>
      <c r="S51" s="50">
        <f t="shared" si="5"/>
        <v>1.6428578799166489</v>
      </c>
      <c r="T51" s="52">
        <v>3.17328398991646</v>
      </c>
      <c r="U51" s="52">
        <v>3.8227937352435273</v>
      </c>
      <c r="V51" s="187">
        <v>148800000</v>
      </c>
      <c r="W51" s="186">
        <f t="shared" si="6"/>
        <v>8.1726029312098607</v>
      </c>
      <c r="X51" s="52">
        <v>4</v>
      </c>
      <c r="Y51" s="68" t="s">
        <v>45</v>
      </c>
    </row>
    <row r="52" spans="1:25" x14ac:dyDescent="0.35">
      <c r="A52" s="49">
        <v>-0.21230723712155383</v>
      </c>
      <c r="B52" s="50" t="s">
        <v>2</v>
      </c>
      <c r="C52" s="50">
        <v>2.0027397260273974</v>
      </c>
      <c r="D52" s="50">
        <f t="shared" si="0"/>
        <v>0.30162451250138578</v>
      </c>
      <c r="E52" s="50">
        <v>2.8358680570524939</v>
      </c>
      <c r="F52" s="50">
        <v>1.7242758696007889</v>
      </c>
      <c r="G52" s="50">
        <v>2.74</v>
      </c>
      <c r="H52" s="50">
        <f t="shared" si="1"/>
        <v>0.43775056282038799</v>
      </c>
      <c r="I52" s="50">
        <v>3.1502958128255383</v>
      </c>
      <c r="J52" s="50">
        <v>0.10037054511756291</v>
      </c>
      <c r="K52" s="50">
        <v>9</v>
      </c>
      <c r="L52" s="50">
        <f t="shared" si="2"/>
        <v>0.95424250943932487</v>
      </c>
      <c r="M52" s="50">
        <v>1</v>
      </c>
      <c r="N52" s="50">
        <v>70</v>
      </c>
      <c r="O52" s="50">
        <f t="shared" si="3"/>
        <v>1.8450980400142569</v>
      </c>
      <c r="P52" s="50">
        <v>34.6</v>
      </c>
      <c r="Q52" s="50">
        <f t="shared" si="4"/>
        <v>1.5390760987927767</v>
      </c>
      <c r="R52" s="50">
        <v>47.8156192569637</v>
      </c>
      <c r="S52" s="50">
        <f t="shared" si="5"/>
        <v>1.6795697846681461</v>
      </c>
      <c r="T52" s="50">
        <v>3.0840515198150036</v>
      </c>
      <c r="U52" s="50">
        <v>3.905035725793323</v>
      </c>
      <c r="V52" s="186">
        <v>148860000</v>
      </c>
      <c r="W52" s="186">
        <f t="shared" si="6"/>
        <v>8.1727780146558526</v>
      </c>
      <c r="X52" s="50">
        <v>7</v>
      </c>
      <c r="Y52" s="66" t="s">
        <v>163</v>
      </c>
    </row>
    <row r="53" spans="1:25" x14ac:dyDescent="0.35">
      <c r="A53" s="67">
        <v>0.4259687322722811</v>
      </c>
      <c r="B53" s="52" t="s">
        <v>45</v>
      </c>
      <c r="C53" s="52">
        <v>2.6027397260273974</v>
      </c>
      <c r="D53" s="50">
        <f t="shared" si="0"/>
        <v>0.41543074083237308</v>
      </c>
      <c r="E53" s="52">
        <v>0</v>
      </c>
      <c r="F53" s="52">
        <v>0.95424250943932487</v>
      </c>
      <c r="G53" s="52">
        <v>2.95</v>
      </c>
      <c r="H53" s="50">
        <f t="shared" si="1"/>
        <v>0.46982201597816303</v>
      </c>
      <c r="I53" s="52">
        <v>0</v>
      </c>
      <c r="J53" s="52">
        <v>0.17609125905568124</v>
      </c>
      <c r="K53" s="52">
        <v>36</v>
      </c>
      <c r="L53" s="50">
        <f t="shared" si="2"/>
        <v>1.5563025007672873</v>
      </c>
      <c r="M53" s="52">
        <v>0</v>
      </c>
      <c r="N53" s="52">
        <v>91.1</v>
      </c>
      <c r="O53" s="50">
        <f t="shared" si="3"/>
        <v>1.9595183769729982</v>
      </c>
      <c r="P53" s="52">
        <v>24.1</v>
      </c>
      <c r="Q53" s="50">
        <f t="shared" si="4"/>
        <v>1.3820170425748683</v>
      </c>
      <c r="R53" s="52">
        <v>40.229046020662899</v>
      </c>
      <c r="S53" s="50">
        <f t="shared" si="5"/>
        <v>1.6045397339663818</v>
      </c>
      <c r="T53" s="52">
        <v>3.0687415514991745</v>
      </c>
      <c r="U53" s="52">
        <v>3.5297005493117593</v>
      </c>
      <c r="V53" s="187">
        <v>150000000</v>
      </c>
      <c r="W53" s="186">
        <f t="shared" si="6"/>
        <v>8.1760912590556813</v>
      </c>
      <c r="X53" s="52">
        <v>4</v>
      </c>
      <c r="Y53" s="68" t="s">
        <v>45</v>
      </c>
    </row>
    <row r="54" spans="1:25" x14ac:dyDescent="0.35">
      <c r="A54" s="49">
        <v>0.51673804142676738</v>
      </c>
      <c r="B54" s="50" t="s">
        <v>2</v>
      </c>
      <c r="C54" s="50">
        <v>2.3890410958904109</v>
      </c>
      <c r="D54" s="50">
        <f t="shared" si="0"/>
        <v>0.37822362047609248</v>
      </c>
      <c r="E54" s="50">
        <v>2.9629325585580042</v>
      </c>
      <c r="F54" s="50">
        <v>1.7781512503836436</v>
      </c>
      <c r="G54" s="50">
        <v>2.62</v>
      </c>
      <c r="H54" s="50">
        <f t="shared" si="1"/>
        <v>0.41830129131974547</v>
      </c>
      <c r="I54" s="50">
        <v>2.9323046139517812</v>
      </c>
      <c r="J54" s="50">
        <v>0.10720996964786837</v>
      </c>
      <c r="K54" s="50">
        <v>2</v>
      </c>
      <c r="L54" s="50">
        <f t="shared" si="2"/>
        <v>0.3010299956639812</v>
      </c>
      <c r="M54" s="50">
        <v>1</v>
      </c>
      <c r="N54" s="50">
        <v>70</v>
      </c>
      <c r="O54" s="50">
        <f t="shared" si="3"/>
        <v>1.8450980400142569</v>
      </c>
      <c r="P54" s="50">
        <v>34.4</v>
      </c>
      <c r="Q54" s="50">
        <f t="shared" si="4"/>
        <v>1.5365584425715302</v>
      </c>
      <c r="R54" s="50">
        <v>47.264053157349203</v>
      </c>
      <c r="S54" s="50">
        <f t="shared" si="5"/>
        <v>1.6745309620782511</v>
      </c>
      <c r="T54" s="50">
        <v>3.2860283894181141</v>
      </c>
      <c r="U54" s="50">
        <v>3.9098977130890344</v>
      </c>
      <c r="V54" s="186">
        <v>150000000</v>
      </c>
      <c r="W54" s="186">
        <f t="shared" si="6"/>
        <v>8.1760912590556813</v>
      </c>
      <c r="X54" s="50">
        <v>5</v>
      </c>
      <c r="Y54" s="66" t="s">
        <v>59</v>
      </c>
    </row>
    <row r="55" spans="1:25" x14ac:dyDescent="0.35">
      <c r="A55" s="67">
        <v>0.28307026740134966</v>
      </c>
      <c r="B55" s="52" t="s">
        <v>59</v>
      </c>
      <c r="C55" s="52">
        <v>2.9452054794520546</v>
      </c>
      <c r="D55" s="50">
        <f t="shared" si="0"/>
        <v>0.46911559979514939</v>
      </c>
      <c r="E55" s="52">
        <v>3.7707754512906644</v>
      </c>
      <c r="F55" s="52">
        <v>0.47712125471966244</v>
      </c>
      <c r="G55" s="52">
        <v>2.3199999999999998</v>
      </c>
      <c r="H55" s="50">
        <f t="shared" si="1"/>
        <v>0.36548798489089962</v>
      </c>
      <c r="I55" s="52">
        <v>2.1238516409670858</v>
      </c>
      <c r="J55" s="52">
        <v>0.18184358794477254</v>
      </c>
      <c r="K55" s="52">
        <v>0</v>
      </c>
      <c r="L55" s="50">
        <f t="shared" si="2"/>
        <v>0</v>
      </c>
      <c r="M55" s="52">
        <v>1</v>
      </c>
      <c r="N55" s="52">
        <v>85</v>
      </c>
      <c r="O55" s="50">
        <f t="shared" si="3"/>
        <v>1.9294189257142926</v>
      </c>
      <c r="P55" s="52">
        <v>31.3</v>
      </c>
      <c r="Q55" s="50">
        <f t="shared" si="4"/>
        <v>1.4955443375464486</v>
      </c>
      <c r="R55" s="52">
        <v>38.7850112673514</v>
      </c>
      <c r="S55" s="50">
        <f t="shared" si="5"/>
        <v>1.5886639219461918</v>
      </c>
      <c r="T55" s="52">
        <v>3.0958500844125241</v>
      </c>
      <c r="U55" s="52">
        <v>3.5078178355445662</v>
      </c>
      <c r="V55" s="187">
        <v>150000000</v>
      </c>
      <c r="W55" s="186">
        <f t="shared" si="6"/>
        <v>8.1760912590556813</v>
      </c>
      <c r="X55" s="52">
        <v>9</v>
      </c>
      <c r="Y55" s="68" t="s">
        <v>602</v>
      </c>
    </row>
    <row r="56" spans="1:25" x14ac:dyDescent="0.35">
      <c r="A56" s="49">
        <v>0.38394695043285532</v>
      </c>
      <c r="B56" s="50" t="s">
        <v>45</v>
      </c>
      <c r="C56" s="50">
        <v>3.2630136986301368</v>
      </c>
      <c r="D56" s="50">
        <f t="shared" si="0"/>
        <v>0.51361889702630281</v>
      </c>
      <c r="E56" s="50">
        <v>3.7358167906061537</v>
      </c>
      <c r="F56" s="50">
        <v>2.0374264979406238</v>
      </c>
      <c r="G56" s="50">
        <v>2.81</v>
      </c>
      <c r="H56" s="50">
        <f t="shared" si="1"/>
        <v>0.44870631990507992</v>
      </c>
      <c r="I56" s="50">
        <v>2.103233406386928</v>
      </c>
      <c r="J56" s="50">
        <v>-6.5501548756432285E-2</v>
      </c>
      <c r="K56" s="50">
        <v>0</v>
      </c>
      <c r="L56" s="50">
        <f t="shared" si="2"/>
        <v>0</v>
      </c>
      <c r="M56" s="50">
        <v>1</v>
      </c>
      <c r="N56" s="50">
        <v>85</v>
      </c>
      <c r="O56" s="50">
        <f t="shared" si="3"/>
        <v>1.9294189257142926</v>
      </c>
      <c r="P56" s="50">
        <v>28.2</v>
      </c>
      <c r="Q56" s="50">
        <f t="shared" si="4"/>
        <v>1.4502491083193612</v>
      </c>
      <c r="R56" s="50">
        <v>34.298950279384798</v>
      </c>
      <c r="S56" s="50">
        <f t="shared" si="5"/>
        <v>1.5352808286478177</v>
      </c>
      <c r="T56" s="50">
        <v>3.3884049978579722</v>
      </c>
      <c r="U56" s="50">
        <v>3.8579486949156889</v>
      </c>
      <c r="V56" s="186">
        <v>150000000</v>
      </c>
      <c r="W56" s="186">
        <f t="shared" si="6"/>
        <v>8.1760912590556813</v>
      </c>
      <c r="X56" s="50" t="s">
        <v>1323</v>
      </c>
      <c r="Y56" s="66" t="s">
        <v>497</v>
      </c>
    </row>
    <row r="57" spans="1:25" x14ac:dyDescent="0.35">
      <c r="A57" s="67">
        <v>0.35303028293240818</v>
      </c>
      <c r="B57" s="52" t="s">
        <v>45</v>
      </c>
      <c r="C57" s="52">
        <v>2.473972602739726</v>
      </c>
      <c r="D57" s="50">
        <f t="shared" si="0"/>
        <v>0.39339488585703108</v>
      </c>
      <c r="E57" s="52">
        <v>3.7707754512906644</v>
      </c>
      <c r="F57" s="52">
        <v>1.4471580313422192</v>
      </c>
      <c r="G57" s="52">
        <v>2.3199999999999998</v>
      </c>
      <c r="H57" s="50">
        <f t="shared" si="1"/>
        <v>0.36548798489089962</v>
      </c>
      <c r="I57" s="52">
        <v>2.1238516409670858</v>
      </c>
      <c r="J57" s="52">
        <v>0.17897694729316943</v>
      </c>
      <c r="K57" s="52">
        <v>26</v>
      </c>
      <c r="L57" s="50">
        <f t="shared" si="2"/>
        <v>1.414973347970818</v>
      </c>
      <c r="M57" s="52">
        <v>1</v>
      </c>
      <c r="N57" s="52">
        <v>91</v>
      </c>
      <c r="O57" s="50">
        <f t="shared" si="3"/>
        <v>1.9590413923210936</v>
      </c>
      <c r="P57" s="52">
        <v>23.9</v>
      </c>
      <c r="Q57" s="50">
        <f t="shared" si="4"/>
        <v>1.3783979009481377</v>
      </c>
      <c r="R57" s="52">
        <v>42.048698215007001</v>
      </c>
      <c r="S57" s="50">
        <f t="shared" si="5"/>
        <v>1.6237525550259535</v>
      </c>
      <c r="T57" s="52">
        <v>3.2699236952309461</v>
      </c>
      <c r="U57" s="52">
        <v>3.6984415808994222</v>
      </c>
      <c r="V57" s="187">
        <v>151260000</v>
      </c>
      <c r="W57" s="186">
        <f t="shared" si="6"/>
        <v>8.1797240960600899</v>
      </c>
      <c r="X57" s="52">
        <v>9</v>
      </c>
      <c r="Y57" s="68" t="s">
        <v>577</v>
      </c>
    </row>
    <row r="58" spans="1:25" x14ac:dyDescent="0.35">
      <c r="A58" s="49">
        <v>0.63106976869808307</v>
      </c>
      <c r="B58" s="50" t="s">
        <v>5</v>
      </c>
      <c r="C58" s="50">
        <v>2.2136986301369861</v>
      </c>
      <c r="D58" s="50">
        <f t="shared" si="0"/>
        <v>0.34511849631811142</v>
      </c>
      <c r="E58" s="50">
        <v>0</v>
      </c>
      <c r="F58" s="50">
        <v>1.9444826721501687</v>
      </c>
      <c r="G58" s="50">
        <v>3.28</v>
      </c>
      <c r="H58" s="50">
        <f t="shared" si="1"/>
        <v>0.5158738437116791</v>
      </c>
      <c r="I58" s="50">
        <v>0</v>
      </c>
      <c r="J58" s="50">
        <v>0.10720996964786837</v>
      </c>
      <c r="K58" s="50">
        <v>23</v>
      </c>
      <c r="L58" s="50">
        <f t="shared" si="2"/>
        <v>1.3617278360175928</v>
      </c>
      <c r="M58" s="50">
        <v>0</v>
      </c>
      <c r="N58" s="50">
        <v>70</v>
      </c>
      <c r="O58" s="50">
        <f t="shared" si="3"/>
        <v>1.8450980400142569</v>
      </c>
      <c r="P58" s="50">
        <v>35</v>
      </c>
      <c r="Q58" s="50">
        <f t="shared" si="4"/>
        <v>1.5440680443502757</v>
      </c>
      <c r="R58" s="50">
        <v>42.243452783984999</v>
      </c>
      <c r="S58" s="50">
        <f t="shared" si="5"/>
        <v>1.625759408194035</v>
      </c>
      <c r="T58" s="50">
        <v>3.3740570806117947</v>
      </c>
      <c r="U58" s="50">
        <v>3.9700736609473402</v>
      </c>
      <c r="V58" s="186">
        <v>152000000</v>
      </c>
      <c r="W58" s="186">
        <f t="shared" si="6"/>
        <v>8.1818435879447726</v>
      </c>
      <c r="X58" s="50">
        <v>1</v>
      </c>
      <c r="Y58" s="66" t="s">
        <v>5</v>
      </c>
    </row>
    <row r="59" spans="1:25" x14ac:dyDescent="0.35">
      <c r="A59" s="67">
        <v>0.32679085780840267</v>
      </c>
      <c r="B59" s="52" t="s">
        <v>447</v>
      </c>
      <c r="C59" s="52">
        <v>3.7643835616438355</v>
      </c>
      <c r="D59" s="50">
        <f t="shared" si="0"/>
        <v>0.57569386826705693</v>
      </c>
      <c r="E59" s="52">
        <v>3.7845345619950592</v>
      </c>
      <c r="F59" s="52">
        <v>0.90308998699194354</v>
      </c>
      <c r="G59" s="52">
        <v>2.81</v>
      </c>
      <c r="H59" s="50">
        <f t="shared" si="1"/>
        <v>0.44870631990507992</v>
      </c>
      <c r="I59" s="52">
        <v>2.9168924084376502</v>
      </c>
      <c r="J59" s="52">
        <v>-9.1514981121350217E-2</v>
      </c>
      <c r="K59" s="52">
        <v>38</v>
      </c>
      <c r="L59" s="50">
        <f t="shared" si="2"/>
        <v>1.5797835966168101</v>
      </c>
      <c r="M59" s="52">
        <v>1</v>
      </c>
      <c r="N59" s="52">
        <v>78.7</v>
      </c>
      <c r="O59" s="50">
        <f t="shared" si="3"/>
        <v>1.8959747323590646</v>
      </c>
      <c r="P59" s="52">
        <v>35.93</v>
      </c>
      <c r="Q59" s="50">
        <f t="shared" si="4"/>
        <v>1.5554572172046495</v>
      </c>
      <c r="R59" s="52">
        <v>38.284221616827402</v>
      </c>
      <c r="S59" s="50">
        <f t="shared" si="5"/>
        <v>1.5830198215761455</v>
      </c>
      <c r="T59" s="52">
        <v>3.3885364494891754</v>
      </c>
      <c r="U59" s="52">
        <v>3.818148300254375</v>
      </c>
      <c r="V59" s="187">
        <v>153000000</v>
      </c>
      <c r="W59" s="186">
        <f t="shared" si="6"/>
        <v>8.1846914308175993</v>
      </c>
      <c r="X59" s="52">
        <v>5</v>
      </c>
      <c r="Y59" s="68" t="s">
        <v>602</v>
      </c>
    </row>
    <row r="60" spans="1:25" x14ac:dyDescent="0.35">
      <c r="A60" s="49">
        <v>0.2107296090219849</v>
      </c>
      <c r="B60" s="50" t="s">
        <v>163</v>
      </c>
      <c r="C60" s="50">
        <v>2.5890410958904111</v>
      </c>
      <c r="D60" s="50">
        <f t="shared" si="0"/>
        <v>0.41313894405278828</v>
      </c>
      <c r="E60" s="50">
        <v>0</v>
      </c>
      <c r="F60" s="50">
        <v>2.012837224705172</v>
      </c>
      <c r="G60" s="50">
        <v>3.18</v>
      </c>
      <c r="H60" s="50">
        <f t="shared" si="1"/>
        <v>0.50242711998443268</v>
      </c>
      <c r="I60" s="50">
        <v>0</v>
      </c>
      <c r="J60" s="50">
        <v>0.14301480025409513</v>
      </c>
      <c r="K60" s="50">
        <v>9</v>
      </c>
      <c r="L60" s="50">
        <f t="shared" si="2"/>
        <v>0.95424250943932487</v>
      </c>
      <c r="M60" s="50">
        <v>0</v>
      </c>
      <c r="N60" s="50">
        <v>70</v>
      </c>
      <c r="O60" s="50">
        <f t="shared" si="3"/>
        <v>1.8450980400142569</v>
      </c>
      <c r="P60" s="50">
        <v>42.2</v>
      </c>
      <c r="Q60" s="50">
        <f t="shared" si="4"/>
        <v>1.6253124509616739</v>
      </c>
      <c r="R60" s="50">
        <v>53.270504198897903</v>
      </c>
      <c r="S60" s="50">
        <f t="shared" si="5"/>
        <v>1.7264868073491786</v>
      </c>
      <c r="T60" s="50">
        <v>3.0840515907405019</v>
      </c>
      <c r="U60" s="50">
        <v>3.9050357126538633</v>
      </c>
      <c r="V60" s="186">
        <v>153890000</v>
      </c>
      <c r="W60" s="186">
        <f t="shared" si="6"/>
        <v>8.187210399650052</v>
      </c>
      <c r="X60" s="50">
        <v>1</v>
      </c>
      <c r="Y60" s="66" t="s">
        <v>163</v>
      </c>
    </row>
    <row r="61" spans="1:25" x14ac:dyDescent="0.35">
      <c r="A61" s="67">
        <v>0.24900099565997116</v>
      </c>
      <c r="B61" s="52" t="s">
        <v>6</v>
      </c>
      <c r="C61" s="52">
        <v>3.7561643835616438</v>
      </c>
      <c r="D61" s="50">
        <f t="shared" si="0"/>
        <v>0.57474459033303793</v>
      </c>
      <c r="E61" s="52">
        <v>3.7936074118204202</v>
      </c>
      <c r="F61" s="52">
        <v>0</v>
      </c>
      <c r="G61" s="52">
        <v>2.92</v>
      </c>
      <c r="H61" s="50">
        <f t="shared" si="1"/>
        <v>0.46538285144841829</v>
      </c>
      <c r="I61" s="52">
        <v>2.7370600539441581</v>
      </c>
      <c r="J61" s="52">
        <v>-2.6872146400301365E-2</v>
      </c>
      <c r="K61" s="52">
        <v>13</v>
      </c>
      <c r="L61" s="50">
        <f t="shared" si="2"/>
        <v>1.1139433523068367</v>
      </c>
      <c r="M61" s="52">
        <v>1</v>
      </c>
      <c r="N61" s="52">
        <v>93.7</v>
      </c>
      <c r="O61" s="50">
        <f t="shared" si="3"/>
        <v>1.9717395908877782</v>
      </c>
      <c r="P61" s="52">
        <v>43.3</v>
      </c>
      <c r="Q61" s="50">
        <f t="shared" si="4"/>
        <v>1.6364878963533653</v>
      </c>
      <c r="R61" s="52">
        <v>50.280752820308301</v>
      </c>
      <c r="S61" s="50">
        <f t="shared" si="5"/>
        <v>1.7014017714653555</v>
      </c>
      <c r="T61" s="52">
        <v>3.17328398991646</v>
      </c>
      <c r="U61" s="52">
        <v>3.8227937352435273</v>
      </c>
      <c r="V61" s="187">
        <v>155000000</v>
      </c>
      <c r="W61" s="186">
        <f t="shared" si="6"/>
        <v>8.1903316981702918</v>
      </c>
      <c r="X61" s="52">
        <v>1</v>
      </c>
      <c r="Y61" s="68" t="s">
        <v>45</v>
      </c>
    </row>
    <row r="62" spans="1:25" x14ac:dyDescent="0.35">
      <c r="A62" s="49">
        <v>0.28183944852207177</v>
      </c>
      <c r="B62" s="50" t="s">
        <v>163</v>
      </c>
      <c r="C62" s="50">
        <v>2.1917808219178081</v>
      </c>
      <c r="D62" s="50">
        <f t="shared" si="0"/>
        <v>0.34079712253546884</v>
      </c>
      <c r="E62" s="50">
        <v>0</v>
      </c>
      <c r="F62" s="50">
        <v>1.7781512503836436</v>
      </c>
      <c r="G62" s="50">
        <v>3.18</v>
      </c>
      <c r="H62" s="50">
        <f t="shared" si="1"/>
        <v>0.50242711998443268</v>
      </c>
      <c r="I62" s="50">
        <v>0</v>
      </c>
      <c r="J62" s="50">
        <v>0.11394335230683679</v>
      </c>
      <c r="K62" s="50">
        <v>11</v>
      </c>
      <c r="L62" s="50">
        <f t="shared" si="2"/>
        <v>1.0413926851582251</v>
      </c>
      <c r="M62" s="50">
        <v>0</v>
      </c>
      <c r="N62" s="50">
        <v>70</v>
      </c>
      <c r="O62" s="50">
        <f t="shared" si="3"/>
        <v>1.8450980400142569</v>
      </c>
      <c r="P62" s="50">
        <v>42.9</v>
      </c>
      <c r="Q62" s="50">
        <f t="shared" si="4"/>
        <v>1.6324572921847242</v>
      </c>
      <c r="R62" s="50">
        <v>53.2941466273667</v>
      </c>
      <c r="S62" s="50">
        <f t="shared" si="5"/>
        <v>1.7266795124593939</v>
      </c>
      <c r="T62" s="50">
        <v>3.0840515907405019</v>
      </c>
      <c r="U62" s="50">
        <v>3.9050357126538633</v>
      </c>
      <c r="V62" s="186">
        <v>155000000</v>
      </c>
      <c r="W62" s="186">
        <f t="shared" si="6"/>
        <v>8.1903316981702918</v>
      </c>
      <c r="X62" s="50">
        <v>8</v>
      </c>
      <c r="Y62" s="66" t="s">
        <v>163</v>
      </c>
    </row>
    <row r="63" spans="1:25" x14ac:dyDescent="0.35">
      <c r="A63" s="67">
        <v>-1.6922705116064297E-2</v>
      </c>
      <c r="B63" s="52" t="s">
        <v>5</v>
      </c>
      <c r="C63" s="52">
        <v>1.010958904109589</v>
      </c>
      <c r="D63" s="50">
        <f t="shared" si="0"/>
        <v>4.7335017025856435E-3</v>
      </c>
      <c r="E63" s="52">
        <v>0</v>
      </c>
      <c r="F63" s="52">
        <v>1.919078092376074</v>
      </c>
      <c r="G63" s="52">
        <v>3.28</v>
      </c>
      <c r="H63" s="50">
        <f t="shared" si="1"/>
        <v>0.5158738437116791</v>
      </c>
      <c r="I63" s="52">
        <v>0</v>
      </c>
      <c r="J63" s="52">
        <v>-7.0581074285707285E-2</v>
      </c>
      <c r="K63" s="52">
        <v>18</v>
      </c>
      <c r="L63" s="50">
        <f t="shared" si="2"/>
        <v>1.255272505103306</v>
      </c>
      <c r="M63" s="52">
        <v>0</v>
      </c>
      <c r="N63" s="52">
        <v>70</v>
      </c>
      <c r="O63" s="50">
        <f t="shared" si="3"/>
        <v>1.8450980400142569</v>
      </c>
      <c r="P63" s="52">
        <v>36.9</v>
      </c>
      <c r="Q63" s="50">
        <f t="shared" si="4"/>
        <v>1.5670263661590604</v>
      </c>
      <c r="R63" s="52">
        <v>42.177001683602199</v>
      </c>
      <c r="S63" s="50">
        <f t="shared" si="5"/>
        <v>1.6250757029864513</v>
      </c>
      <c r="T63" s="52">
        <v>3.3740570806117947</v>
      </c>
      <c r="U63" s="52">
        <v>3.9700736609473402</v>
      </c>
      <c r="V63" s="187">
        <v>157000000</v>
      </c>
      <c r="W63" s="186">
        <f t="shared" si="6"/>
        <v>8.1958996524092331</v>
      </c>
      <c r="X63" s="52">
        <v>1</v>
      </c>
      <c r="Y63" s="68" t="s">
        <v>5</v>
      </c>
    </row>
    <row r="64" spans="1:25" x14ac:dyDescent="0.35">
      <c r="A64" s="49">
        <v>0.61212131733585828</v>
      </c>
      <c r="B64" s="50" t="s">
        <v>59</v>
      </c>
      <c r="C64" s="50">
        <v>5.624657534246575</v>
      </c>
      <c r="D64" s="50">
        <f t="shared" si="0"/>
        <v>0.75009608491411717</v>
      </c>
      <c r="E64" s="50">
        <v>3.7707754512906644</v>
      </c>
      <c r="F64" s="50">
        <v>1.8976270912904414</v>
      </c>
      <c r="G64" s="50">
        <v>2.3199999999999998</v>
      </c>
      <c r="H64" s="50">
        <f t="shared" si="1"/>
        <v>0.36548798489089962</v>
      </c>
      <c r="I64" s="50">
        <v>2.1238516409670858</v>
      </c>
      <c r="J64" s="50">
        <v>0.28103336724772759</v>
      </c>
      <c r="K64" s="50">
        <v>26</v>
      </c>
      <c r="L64" s="50">
        <f t="shared" si="2"/>
        <v>1.414973347970818</v>
      </c>
      <c r="M64" s="50">
        <v>1</v>
      </c>
      <c r="N64" s="50">
        <v>94.7</v>
      </c>
      <c r="O64" s="50">
        <f t="shared" si="3"/>
        <v>1.9763499790032735</v>
      </c>
      <c r="P64" s="50">
        <v>32.4</v>
      </c>
      <c r="Q64" s="50">
        <f t="shared" si="4"/>
        <v>1.510545010206612</v>
      </c>
      <c r="R64" s="50">
        <v>45.737088331856903</v>
      </c>
      <c r="S64" s="50">
        <f t="shared" si="5"/>
        <v>1.6602685135357675</v>
      </c>
      <c r="T64" s="50">
        <v>3.3647319918335836</v>
      </c>
      <c r="U64" s="50">
        <v>3.568659604598353</v>
      </c>
      <c r="V64" s="186">
        <v>160000000</v>
      </c>
      <c r="W64" s="186">
        <f t="shared" si="6"/>
        <v>8.204119982655925</v>
      </c>
      <c r="X64" s="50">
        <v>1</v>
      </c>
      <c r="Y64" s="66" t="s">
        <v>602</v>
      </c>
    </row>
    <row r="65" spans="1:25" x14ac:dyDescent="0.35">
      <c r="A65" s="67">
        <v>0.51452289435065757</v>
      </c>
      <c r="B65" s="52" t="s">
        <v>45</v>
      </c>
      <c r="C65" s="52">
        <v>5.0986301369863014</v>
      </c>
      <c r="D65" s="50">
        <f t="shared" si="0"/>
        <v>0.70745350867429235</v>
      </c>
      <c r="E65" s="52">
        <v>0</v>
      </c>
      <c r="F65" s="52">
        <v>1.7242758696007889</v>
      </c>
      <c r="G65" s="52">
        <v>2.95</v>
      </c>
      <c r="H65" s="50">
        <f t="shared" si="1"/>
        <v>0.46982201597816303</v>
      </c>
      <c r="I65" s="52">
        <v>0</v>
      </c>
      <c r="J65" s="52">
        <v>-7.0581074285707285E-2</v>
      </c>
      <c r="K65" s="52">
        <v>12</v>
      </c>
      <c r="L65" s="50">
        <f t="shared" si="2"/>
        <v>1.0791812460476249</v>
      </c>
      <c r="M65" s="52">
        <v>0</v>
      </c>
      <c r="N65" s="52">
        <v>85</v>
      </c>
      <c r="O65" s="50">
        <f t="shared" si="3"/>
        <v>1.9294189257142926</v>
      </c>
      <c r="P65" s="52">
        <v>27.8</v>
      </c>
      <c r="Q65" s="50">
        <f t="shared" si="4"/>
        <v>1.4440447959180762</v>
      </c>
      <c r="R65" s="52">
        <v>34.656907836978597</v>
      </c>
      <c r="S65" s="50">
        <f t="shared" si="5"/>
        <v>1.5397898114291337</v>
      </c>
      <c r="T65" s="52">
        <v>3.0958500844125241</v>
      </c>
      <c r="U65" s="52">
        <v>3.5078178355445662</v>
      </c>
      <c r="V65" s="187">
        <v>161890000</v>
      </c>
      <c r="W65" s="186">
        <f t="shared" si="6"/>
        <v>8.2092200230649937</v>
      </c>
      <c r="X65" s="52">
        <v>2</v>
      </c>
      <c r="Y65" s="68" t="s">
        <v>602</v>
      </c>
    </row>
    <row r="66" spans="1:25" x14ac:dyDescent="0.35">
      <c r="A66" s="49">
        <v>0.51452289435065757</v>
      </c>
      <c r="B66" s="50" t="s">
        <v>45</v>
      </c>
      <c r="C66" s="50">
        <v>5.0986301369863014</v>
      </c>
      <c r="D66" s="50">
        <f t="shared" si="0"/>
        <v>0.70745350867429235</v>
      </c>
      <c r="E66" s="50">
        <v>0</v>
      </c>
      <c r="F66" s="50">
        <v>1.3617278360175928</v>
      </c>
      <c r="G66" s="50">
        <v>2.95</v>
      </c>
      <c r="H66" s="50">
        <f t="shared" si="1"/>
        <v>0.46982201597816303</v>
      </c>
      <c r="I66" s="50">
        <v>0</v>
      </c>
      <c r="J66" s="50">
        <v>-7.0581074285707285E-2</v>
      </c>
      <c r="K66" s="50">
        <v>12</v>
      </c>
      <c r="L66" s="50">
        <f t="shared" si="2"/>
        <v>1.0791812460476249</v>
      </c>
      <c r="M66" s="50">
        <v>0</v>
      </c>
      <c r="N66" s="50">
        <v>85</v>
      </c>
      <c r="O66" s="50">
        <f t="shared" si="3"/>
        <v>1.9294189257142926</v>
      </c>
      <c r="P66" s="50">
        <v>27.8</v>
      </c>
      <c r="Q66" s="50">
        <f t="shared" si="4"/>
        <v>1.4440447959180762</v>
      </c>
      <c r="R66" s="50">
        <v>34.656907836978597</v>
      </c>
      <c r="S66" s="50">
        <f t="shared" si="5"/>
        <v>1.5397898114291337</v>
      </c>
      <c r="T66" s="50">
        <v>3.0958500844125241</v>
      </c>
      <c r="U66" s="50">
        <v>3.5078178355445662</v>
      </c>
      <c r="V66" s="186">
        <v>161890000</v>
      </c>
      <c r="W66" s="186">
        <f t="shared" si="6"/>
        <v>8.2092200230649937</v>
      </c>
      <c r="X66" s="50">
        <v>2</v>
      </c>
      <c r="Y66" s="66" t="s">
        <v>602</v>
      </c>
    </row>
    <row r="67" spans="1:25" x14ac:dyDescent="0.35">
      <c r="A67" s="67">
        <v>8.3405285057375253E-2</v>
      </c>
      <c r="B67" s="52" t="s">
        <v>59</v>
      </c>
      <c r="C67" s="52">
        <v>2.4767123287671233</v>
      </c>
      <c r="D67" s="50">
        <f t="shared" ref="D67:D130" si="7">LOG(C67)</f>
        <v>0.39387556601888862</v>
      </c>
      <c r="E67" s="52">
        <v>3.7707754512906644</v>
      </c>
      <c r="F67" s="52">
        <v>1</v>
      </c>
      <c r="G67" s="52">
        <v>2.3199999999999998</v>
      </c>
      <c r="H67" s="50">
        <f t="shared" ref="H67:H130" si="8">LOG(G67)</f>
        <v>0.36548798489089962</v>
      </c>
      <c r="I67" s="52">
        <v>2.1238516409670858</v>
      </c>
      <c r="J67" s="52">
        <v>9.691001300805642E-2</v>
      </c>
      <c r="K67" s="52">
        <v>19</v>
      </c>
      <c r="L67" s="50">
        <f t="shared" ref="L67:L130" si="9">IF(K67=0,0,LOG(K67))</f>
        <v>1.2787536009528289</v>
      </c>
      <c r="M67" s="52">
        <v>1</v>
      </c>
      <c r="N67" s="52">
        <v>85</v>
      </c>
      <c r="O67" s="50">
        <f t="shared" ref="O67:O130" si="10">LOG(N67)</f>
        <v>1.9294189257142926</v>
      </c>
      <c r="P67" s="52">
        <v>32.299999999999997</v>
      </c>
      <c r="Q67" s="50">
        <f t="shared" ref="Q67:Q130" si="11">LOG(P67)</f>
        <v>1.5092025223311027</v>
      </c>
      <c r="R67" s="52">
        <v>40.040400531970803</v>
      </c>
      <c r="S67" s="50">
        <f t="shared" ref="S67:S130" si="12">LOG(R67)</f>
        <v>1.6024984131617945</v>
      </c>
      <c r="T67" s="52">
        <v>3.3647319918335836</v>
      </c>
      <c r="U67" s="52">
        <v>3.568659604598353</v>
      </c>
      <c r="V67" s="187">
        <v>162000000</v>
      </c>
      <c r="W67" s="186">
        <f t="shared" ref="W67:W130" si="13">LOG(V67)</f>
        <v>8.2095150145426317</v>
      </c>
      <c r="X67" s="52">
        <v>2</v>
      </c>
      <c r="Y67" s="68" t="s">
        <v>602</v>
      </c>
    </row>
    <row r="68" spans="1:25" x14ac:dyDescent="0.35">
      <c r="A68" s="49">
        <v>0.26556229421670802</v>
      </c>
      <c r="B68" s="50" t="s">
        <v>1</v>
      </c>
      <c r="C68" s="50">
        <v>3.4602739726027396</v>
      </c>
      <c r="D68" s="50">
        <f t="shared" si="7"/>
        <v>0.53911048609885603</v>
      </c>
      <c r="E68" s="50">
        <v>2.6208956659919629</v>
      </c>
      <c r="F68" s="50">
        <v>1.2041199826559248</v>
      </c>
      <c r="G68" s="50">
        <v>3.65</v>
      </c>
      <c r="H68" s="50">
        <f t="shared" si="8"/>
        <v>0.56229286445647475</v>
      </c>
      <c r="I68" s="50">
        <v>2.3401134757058348</v>
      </c>
      <c r="J68" s="50">
        <v>2.9383777685209667E-2</v>
      </c>
      <c r="K68" s="50">
        <v>12</v>
      </c>
      <c r="L68" s="50">
        <f t="shared" si="9"/>
        <v>1.0791812460476249</v>
      </c>
      <c r="M68" s="50">
        <v>1</v>
      </c>
      <c r="N68" s="50">
        <v>70</v>
      </c>
      <c r="O68" s="50">
        <f t="shared" si="10"/>
        <v>1.8450980400142569</v>
      </c>
      <c r="P68" s="50">
        <v>42.1</v>
      </c>
      <c r="Q68" s="50">
        <f t="shared" si="11"/>
        <v>1.6242820958356683</v>
      </c>
      <c r="R68" s="50">
        <v>43.801966655694599</v>
      </c>
      <c r="S68" s="50">
        <f t="shared" si="12"/>
        <v>1.6414936102424893</v>
      </c>
      <c r="T68" s="50">
        <v>3.212261842580872</v>
      </c>
      <c r="U68" s="50">
        <v>3.9329492300777744</v>
      </c>
      <c r="V68" s="186">
        <v>163662957</v>
      </c>
      <c r="W68" s="186">
        <f t="shared" si="13"/>
        <v>8.213950393578326</v>
      </c>
      <c r="X68" s="50">
        <v>2</v>
      </c>
      <c r="Y68" s="66" t="s">
        <v>4</v>
      </c>
    </row>
    <row r="69" spans="1:25" x14ac:dyDescent="0.35">
      <c r="A69" s="67">
        <v>0.2400010119608123</v>
      </c>
      <c r="B69" s="52" t="s">
        <v>5</v>
      </c>
      <c r="C69" s="52">
        <v>7.2986301369863016</v>
      </c>
      <c r="D69" s="50">
        <f t="shared" si="7"/>
        <v>0.86324135604178875</v>
      </c>
      <c r="E69" s="52">
        <v>2.5542346870234227</v>
      </c>
      <c r="F69" s="52">
        <v>0</v>
      </c>
      <c r="G69" s="52">
        <v>3.16</v>
      </c>
      <c r="H69" s="50">
        <f t="shared" si="8"/>
        <v>0.49968708261840383</v>
      </c>
      <c r="I69" s="52">
        <v>2.9876662649262746</v>
      </c>
      <c r="J69" s="52">
        <v>0.12057393120584989</v>
      </c>
      <c r="K69" s="52">
        <v>16</v>
      </c>
      <c r="L69" s="50">
        <f t="shared" si="9"/>
        <v>1.2041199826559248</v>
      </c>
      <c r="M69" s="52">
        <v>1</v>
      </c>
      <c r="N69" s="52">
        <v>85</v>
      </c>
      <c r="O69" s="50">
        <f t="shared" si="10"/>
        <v>1.9294189257142926</v>
      </c>
      <c r="P69" s="52">
        <v>36.799999999999997</v>
      </c>
      <c r="Q69" s="50">
        <f t="shared" si="11"/>
        <v>1.5658478186735176</v>
      </c>
      <c r="R69" s="52">
        <v>45.479154360161097</v>
      </c>
      <c r="S69" s="50">
        <f t="shared" si="12"/>
        <v>1.6578123808149479</v>
      </c>
      <c r="T69" s="52">
        <v>3.22246453795844</v>
      </c>
      <c r="U69" s="52">
        <v>3.7071267407396937</v>
      </c>
      <c r="V69" s="187">
        <v>164000000</v>
      </c>
      <c r="W69" s="186">
        <f t="shared" si="13"/>
        <v>8.214843848047698</v>
      </c>
      <c r="X69" s="52">
        <v>1</v>
      </c>
      <c r="Y69" s="68" t="s">
        <v>577</v>
      </c>
    </row>
    <row r="70" spans="1:25" x14ac:dyDescent="0.35">
      <c r="A70" s="49">
        <v>0.77469071827413716</v>
      </c>
      <c r="B70" s="50" t="s">
        <v>2</v>
      </c>
      <c r="C70" s="50">
        <v>2.6</v>
      </c>
      <c r="D70" s="50">
        <f t="shared" si="7"/>
        <v>0.41497334797081797</v>
      </c>
      <c r="E70" s="50">
        <v>3.1177384910037165</v>
      </c>
      <c r="F70" s="50">
        <v>1.4313637641589874</v>
      </c>
      <c r="G70" s="50">
        <v>2.99</v>
      </c>
      <c r="H70" s="50">
        <f t="shared" si="8"/>
        <v>0.47567118832442967</v>
      </c>
      <c r="I70" s="50">
        <v>2.8969852540843504</v>
      </c>
      <c r="J70" s="50">
        <v>0.11058971029924898</v>
      </c>
      <c r="K70" s="50">
        <v>16</v>
      </c>
      <c r="L70" s="50">
        <f t="shared" si="9"/>
        <v>1.2041199826559248</v>
      </c>
      <c r="M70" s="50">
        <v>1</v>
      </c>
      <c r="N70" s="50">
        <v>70</v>
      </c>
      <c r="O70" s="50">
        <f t="shared" si="10"/>
        <v>1.8450980400142569</v>
      </c>
      <c r="P70" s="50">
        <v>33.9</v>
      </c>
      <c r="Q70" s="50">
        <f t="shared" si="11"/>
        <v>1.5301996982030821</v>
      </c>
      <c r="R70" s="50">
        <v>46.200073016176603</v>
      </c>
      <c r="S70" s="50">
        <f t="shared" si="12"/>
        <v>1.664642661930531</v>
      </c>
      <c r="T70" s="50">
        <v>3.277819633965128</v>
      </c>
      <c r="U70" s="50">
        <v>3.9304083853612104</v>
      </c>
      <c r="V70" s="186">
        <v>168000000</v>
      </c>
      <c r="W70" s="186">
        <f t="shared" si="13"/>
        <v>8.2253092817258633</v>
      </c>
      <c r="X70" s="50">
        <v>5</v>
      </c>
      <c r="Y70" s="66" t="s">
        <v>577</v>
      </c>
    </row>
    <row r="71" spans="1:25" x14ac:dyDescent="0.35">
      <c r="A71" s="67">
        <v>0.37377713170619614</v>
      </c>
      <c r="B71" s="52" t="s">
        <v>5</v>
      </c>
      <c r="C71" s="52">
        <v>4.0520547945205481</v>
      </c>
      <c r="D71" s="50">
        <f t="shared" si="7"/>
        <v>0.60767530954041771</v>
      </c>
      <c r="E71" s="52">
        <v>0</v>
      </c>
      <c r="F71" s="52">
        <v>1.9344984512435677</v>
      </c>
      <c r="G71" s="52">
        <v>3.28</v>
      </c>
      <c r="H71" s="50">
        <f t="shared" si="8"/>
        <v>0.5158738437116791</v>
      </c>
      <c r="I71" s="52">
        <v>0</v>
      </c>
      <c r="J71" s="52">
        <v>0.16435285578443709</v>
      </c>
      <c r="K71" s="52">
        <v>15</v>
      </c>
      <c r="L71" s="50">
        <f t="shared" si="9"/>
        <v>1.1760912590556813</v>
      </c>
      <c r="M71" s="52">
        <v>0</v>
      </c>
      <c r="N71" s="52">
        <v>89.7</v>
      </c>
      <c r="O71" s="50">
        <f t="shared" si="10"/>
        <v>1.9527924430440922</v>
      </c>
      <c r="P71" s="52">
        <v>37</v>
      </c>
      <c r="Q71" s="50">
        <f t="shared" si="11"/>
        <v>1.568201724066995</v>
      </c>
      <c r="R71" s="52">
        <v>45.741556971826803</v>
      </c>
      <c r="S71" s="50">
        <f t="shared" si="12"/>
        <v>1.660310943234538</v>
      </c>
      <c r="T71" s="52">
        <v>3.4636187843160156</v>
      </c>
      <c r="U71" s="52">
        <v>3.9690067974360175</v>
      </c>
      <c r="V71" s="187">
        <v>170000000</v>
      </c>
      <c r="W71" s="186">
        <f t="shared" si="13"/>
        <v>8.2304489213782741</v>
      </c>
      <c r="X71" s="52">
        <v>1</v>
      </c>
      <c r="Y71" s="68" t="s">
        <v>5</v>
      </c>
    </row>
    <row r="72" spans="1:25" x14ac:dyDescent="0.35">
      <c r="A72" s="49">
        <v>0.24667233334138849</v>
      </c>
      <c r="B72" s="50" t="s">
        <v>59</v>
      </c>
      <c r="C72" s="50">
        <v>4.3506849315068497</v>
      </c>
      <c r="D72" s="50">
        <f t="shared" si="7"/>
        <v>0.63855763363460283</v>
      </c>
      <c r="E72" s="50">
        <v>3.7707754512906644</v>
      </c>
      <c r="F72" s="50">
        <v>1.3617278360175928</v>
      </c>
      <c r="G72" s="50">
        <v>2.3199999999999998</v>
      </c>
      <c r="H72" s="50">
        <f t="shared" si="8"/>
        <v>0.36548798489089962</v>
      </c>
      <c r="I72" s="50">
        <v>2.1238516409670858</v>
      </c>
      <c r="J72" s="50">
        <v>4.1392685158225077E-2</v>
      </c>
      <c r="K72" s="50">
        <v>15</v>
      </c>
      <c r="L72" s="50">
        <f t="shared" si="9"/>
        <v>1.1760912590556813</v>
      </c>
      <c r="M72" s="50">
        <v>1</v>
      </c>
      <c r="N72" s="50">
        <v>90.8</v>
      </c>
      <c r="O72" s="50">
        <f t="shared" si="10"/>
        <v>1.958085848521085</v>
      </c>
      <c r="P72" s="50">
        <v>32.299999999999997</v>
      </c>
      <c r="Q72" s="50">
        <f t="shared" si="11"/>
        <v>1.5092025223311027</v>
      </c>
      <c r="R72" s="50">
        <v>44.4007960521485</v>
      </c>
      <c r="S72" s="50">
        <f t="shared" si="12"/>
        <v>1.6473907565550749</v>
      </c>
      <c r="T72" s="50">
        <v>3.5314789170422549</v>
      </c>
      <c r="U72" s="50">
        <v>3.9474994335880176</v>
      </c>
      <c r="V72" s="186">
        <v>170000000</v>
      </c>
      <c r="W72" s="186">
        <f t="shared" si="13"/>
        <v>8.2304489213782741</v>
      </c>
      <c r="X72" s="50">
        <v>9</v>
      </c>
      <c r="Y72" s="66" t="s">
        <v>45</v>
      </c>
    </row>
    <row r="73" spans="1:25" x14ac:dyDescent="0.35">
      <c r="A73" s="67">
        <v>6.8033885271827341E-2</v>
      </c>
      <c r="B73" s="52" t="s">
        <v>59</v>
      </c>
      <c r="C73" s="52">
        <v>3.8684931506849316</v>
      </c>
      <c r="D73" s="50">
        <f t="shared" si="7"/>
        <v>0.58754183225931023</v>
      </c>
      <c r="E73" s="52">
        <v>0</v>
      </c>
      <c r="F73" s="52">
        <v>0</v>
      </c>
      <c r="G73" s="52">
        <v>3.29</v>
      </c>
      <c r="H73" s="50">
        <f t="shared" si="8"/>
        <v>0.51719589794997434</v>
      </c>
      <c r="I73" s="52">
        <v>0</v>
      </c>
      <c r="J73" s="52">
        <v>0.26481782300953643</v>
      </c>
      <c r="K73" s="52">
        <v>11</v>
      </c>
      <c r="L73" s="50">
        <f t="shared" si="9"/>
        <v>1.0413926851582251</v>
      </c>
      <c r="M73" s="52">
        <v>0</v>
      </c>
      <c r="N73" s="52">
        <v>85</v>
      </c>
      <c r="O73" s="50">
        <f t="shared" si="10"/>
        <v>1.9294189257142926</v>
      </c>
      <c r="P73" s="52">
        <v>29.3</v>
      </c>
      <c r="Q73" s="50">
        <f t="shared" si="11"/>
        <v>1.4668676203541096</v>
      </c>
      <c r="R73" s="52">
        <v>36.913126831903199</v>
      </c>
      <c r="S73" s="50">
        <f t="shared" si="12"/>
        <v>1.5671808349091383</v>
      </c>
      <c r="T73" s="52">
        <v>3.3833706119727633</v>
      </c>
      <c r="U73" s="52">
        <v>3.9798077985646683</v>
      </c>
      <c r="V73" s="187">
        <v>171000000</v>
      </c>
      <c r="W73" s="186">
        <f t="shared" si="13"/>
        <v>8.2329961103921541</v>
      </c>
      <c r="X73" s="52">
        <v>5</v>
      </c>
      <c r="Y73" s="68" t="s">
        <v>59</v>
      </c>
    </row>
    <row r="74" spans="1:25" x14ac:dyDescent="0.35">
      <c r="A74" s="49">
        <v>-2</v>
      </c>
      <c r="B74" s="50" t="s">
        <v>45</v>
      </c>
      <c r="C74" s="50">
        <v>1.0630136986301371</v>
      </c>
      <c r="D74" s="50">
        <f t="shared" si="7"/>
        <v>2.6538861137732565E-2</v>
      </c>
      <c r="E74" s="50">
        <v>0</v>
      </c>
      <c r="F74" s="50">
        <v>0.6020599913279624</v>
      </c>
      <c r="G74" s="50">
        <v>2.95</v>
      </c>
      <c r="H74" s="50">
        <f t="shared" si="8"/>
        <v>0.46982201597816303</v>
      </c>
      <c r="I74" s="50">
        <v>0</v>
      </c>
      <c r="J74" s="50">
        <v>-8.6186147616283279E-2</v>
      </c>
      <c r="K74" s="50">
        <v>8</v>
      </c>
      <c r="L74" s="50">
        <f t="shared" si="9"/>
        <v>0.90308998699194354</v>
      </c>
      <c r="M74" s="50">
        <v>0</v>
      </c>
      <c r="N74" s="50">
        <v>85</v>
      </c>
      <c r="O74" s="50">
        <f t="shared" si="10"/>
        <v>1.9294189257142926</v>
      </c>
      <c r="P74" s="50">
        <v>28.2</v>
      </c>
      <c r="Q74" s="50">
        <f t="shared" si="11"/>
        <v>1.4502491083193612</v>
      </c>
      <c r="R74" s="50">
        <v>34.298950279384798</v>
      </c>
      <c r="S74" s="50">
        <f t="shared" si="12"/>
        <v>1.5352808286478177</v>
      </c>
      <c r="T74" s="50">
        <v>3.1628767233771686</v>
      </c>
      <c r="U74" s="50">
        <v>3.6087947637270492</v>
      </c>
      <c r="V74" s="186">
        <v>175000000</v>
      </c>
      <c r="W74" s="186">
        <f t="shared" si="13"/>
        <v>8.2430380486862944</v>
      </c>
      <c r="X74" s="50">
        <v>4</v>
      </c>
      <c r="Y74" s="66" t="s">
        <v>602</v>
      </c>
    </row>
    <row r="75" spans="1:25" x14ac:dyDescent="0.35">
      <c r="A75" s="67">
        <v>0.52917492333003802</v>
      </c>
      <c r="B75" s="52" t="s">
        <v>2</v>
      </c>
      <c r="C75" s="52">
        <v>1.9178082191780821</v>
      </c>
      <c r="D75" s="50">
        <f t="shared" si="7"/>
        <v>0.28280517555778212</v>
      </c>
      <c r="E75" s="52">
        <v>3.8335760926148099</v>
      </c>
      <c r="F75" s="52">
        <v>2.0606978403536118</v>
      </c>
      <c r="G75" s="52">
        <v>2.85</v>
      </c>
      <c r="H75" s="50">
        <f t="shared" si="8"/>
        <v>0.45484486000851021</v>
      </c>
      <c r="I75" s="52">
        <v>2.9138138523837167</v>
      </c>
      <c r="J75" s="52">
        <v>5.3078443483419682E-2</v>
      </c>
      <c r="K75" s="52">
        <v>9</v>
      </c>
      <c r="L75" s="50">
        <f t="shared" si="9"/>
        <v>0.95424250943932487</v>
      </c>
      <c r="M75" s="52">
        <v>1</v>
      </c>
      <c r="N75" s="52">
        <v>70</v>
      </c>
      <c r="O75" s="50">
        <f t="shared" si="10"/>
        <v>1.8450980400142569</v>
      </c>
      <c r="P75" s="52">
        <v>33.9</v>
      </c>
      <c r="Q75" s="50">
        <f t="shared" si="11"/>
        <v>1.5301996982030821</v>
      </c>
      <c r="R75" s="52">
        <v>46.312020505412598</v>
      </c>
      <c r="S75" s="50">
        <f t="shared" si="12"/>
        <v>1.6656937288498501</v>
      </c>
      <c r="T75" s="52">
        <v>3.17328398991646</v>
      </c>
      <c r="U75" s="52">
        <v>3.8227937352435273</v>
      </c>
      <c r="V75" s="187">
        <v>175100000</v>
      </c>
      <c r="W75" s="186">
        <f t="shared" si="13"/>
        <v>8.243286146083447</v>
      </c>
      <c r="X75" s="52">
        <v>1</v>
      </c>
      <c r="Y75" s="68" t="s">
        <v>45</v>
      </c>
    </row>
    <row r="76" spans="1:25" x14ac:dyDescent="0.35">
      <c r="A76" s="49">
        <v>1.0002720910982315</v>
      </c>
      <c r="B76" s="50" t="s">
        <v>1</v>
      </c>
      <c r="C76" s="50">
        <v>8.9972602739726035</v>
      </c>
      <c r="D76" s="50">
        <f t="shared" si="7"/>
        <v>0.95411028399092845</v>
      </c>
      <c r="E76" s="50">
        <v>3.7947040944998616</v>
      </c>
      <c r="F76" s="50">
        <v>0.69897000433601886</v>
      </c>
      <c r="G76" s="50">
        <v>2.93</v>
      </c>
      <c r="H76" s="50">
        <f t="shared" si="8"/>
        <v>0.4668676203541095</v>
      </c>
      <c r="I76" s="50">
        <v>2.7962273140294389</v>
      </c>
      <c r="J76" s="50">
        <v>-4.0958607678906384E-2</v>
      </c>
      <c r="K76" s="50">
        <v>14</v>
      </c>
      <c r="L76" s="50">
        <f t="shared" si="9"/>
        <v>1.146128035678238</v>
      </c>
      <c r="M76" s="50">
        <v>1</v>
      </c>
      <c r="N76" s="50">
        <v>70</v>
      </c>
      <c r="O76" s="50">
        <f t="shared" si="10"/>
        <v>1.8450980400142569</v>
      </c>
      <c r="P76" s="50">
        <v>42.1</v>
      </c>
      <c r="Q76" s="50">
        <f t="shared" si="11"/>
        <v>1.6242820958356683</v>
      </c>
      <c r="R76" s="50">
        <v>43.801966655694599</v>
      </c>
      <c r="S76" s="50">
        <f t="shared" si="12"/>
        <v>1.6414936102424893</v>
      </c>
      <c r="T76" s="50">
        <v>3.0958500844125241</v>
      </c>
      <c r="U76" s="50">
        <v>3.5078178355445662</v>
      </c>
      <c r="V76" s="186">
        <v>175520000</v>
      </c>
      <c r="W76" s="186">
        <f t="shared" si="13"/>
        <v>8.2443266102306367</v>
      </c>
      <c r="X76" s="50">
        <v>3</v>
      </c>
      <c r="Y76" s="66" t="s">
        <v>602</v>
      </c>
    </row>
    <row r="77" spans="1:25" x14ac:dyDescent="0.35">
      <c r="A77" s="67">
        <v>0.73282827159698616</v>
      </c>
      <c r="B77" s="52" t="s">
        <v>59</v>
      </c>
      <c r="C77" s="52">
        <v>4.1452054794520548</v>
      </c>
      <c r="D77" s="50">
        <f t="shared" si="7"/>
        <v>0.61754606356671204</v>
      </c>
      <c r="E77" s="52">
        <v>0</v>
      </c>
      <c r="F77" s="52">
        <v>2.167317334748176</v>
      </c>
      <c r="G77" s="52">
        <v>3.29</v>
      </c>
      <c r="H77" s="50">
        <f t="shared" si="8"/>
        <v>0.51719589794997434</v>
      </c>
      <c r="I77" s="52">
        <v>0</v>
      </c>
      <c r="J77" s="52">
        <v>-2.2276394711152253E-2</v>
      </c>
      <c r="K77" s="52">
        <v>12</v>
      </c>
      <c r="L77" s="50">
        <f t="shared" si="9"/>
        <v>1.0791812460476249</v>
      </c>
      <c r="M77" s="52">
        <v>0</v>
      </c>
      <c r="N77" s="52">
        <v>85</v>
      </c>
      <c r="O77" s="50">
        <f t="shared" si="10"/>
        <v>1.9294189257142926</v>
      </c>
      <c r="P77" s="52">
        <v>32.9</v>
      </c>
      <c r="Q77" s="50">
        <f t="shared" si="11"/>
        <v>1.5171958979499742</v>
      </c>
      <c r="R77" s="52">
        <v>35.433808146393098</v>
      </c>
      <c r="S77" s="50">
        <f t="shared" si="12"/>
        <v>1.5494178293890581</v>
      </c>
      <c r="T77" s="52">
        <v>3.5347454529897258</v>
      </c>
      <c r="U77" s="52">
        <v>3.9695495619878729</v>
      </c>
      <c r="V77" s="187">
        <v>175750000</v>
      </c>
      <c r="W77" s="186">
        <f t="shared" si="13"/>
        <v>8.2448953336918613</v>
      </c>
      <c r="X77" s="52">
        <v>5</v>
      </c>
      <c r="Y77" s="68" t="s">
        <v>59</v>
      </c>
    </row>
    <row r="78" spans="1:25" x14ac:dyDescent="0.35">
      <c r="A78" s="49">
        <v>0.7861201800549189</v>
      </c>
      <c r="B78" s="50" t="s">
        <v>2</v>
      </c>
      <c r="C78" s="50">
        <v>4.3890410958904109</v>
      </c>
      <c r="D78" s="50">
        <f t="shared" si="7"/>
        <v>0.64236964729174417</v>
      </c>
      <c r="E78" s="50">
        <v>3.8335760926148099</v>
      </c>
      <c r="F78" s="50">
        <v>1.6127838567197355</v>
      </c>
      <c r="G78" s="50">
        <v>2.85</v>
      </c>
      <c r="H78" s="50">
        <f t="shared" si="8"/>
        <v>0.45484486000851021</v>
      </c>
      <c r="I78" s="50">
        <v>2.9138138523837167</v>
      </c>
      <c r="J78" s="50">
        <v>0.21218760440395779</v>
      </c>
      <c r="K78" s="50">
        <v>26</v>
      </c>
      <c r="L78" s="50">
        <f t="shared" si="9"/>
        <v>1.414973347970818</v>
      </c>
      <c r="M78" s="50">
        <v>1</v>
      </c>
      <c r="N78" s="50">
        <v>92.1</v>
      </c>
      <c r="O78" s="50">
        <f t="shared" si="10"/>
        <v>1.9642596301968489</v>
      </c>
      <c r="P78" s="50">
        <v>36.799999999999997</v>
      </c>
      <c r="Q78" s="50">
        <f t="shared" si="11"/>
        <v>1.5658478186735176</v>
      </c>
      <c r="R78" s="50">
        <v>44.688349184782602</v>
      </c>
      <c r="S78" s="50">
        <f t="shared" si="12"/>
        <v>1.6501943118503011</v>
      </c>
      <c r="T78" s="50">
        <v>3.0958500844125241</v>
      </c>
      <c r="U78" s="50">
        <v>3.5078178355445662</v>
      </c>
      <c r="V78" s="186">
        <v>180000000</v>
      </c>
      <c r="W78" s="186">
        <f t="shared" si="13"/>
        <v>8.2552725051033065</v>
      </c>
      <c r="X78" s="50">
        <v>7</v>
      </c>
      <c r="Y78" s="66" t="s">
        <v>45</v>
      </c>
    </row>
    <row r="79" spans="1:25" x14ac:dyDescent="0.35">
      <c r="A79" s="67">
        <v>0.52287874528033762</v>
      </c>
      <c r="B79" s="52" t="s">
        <v>163</v>
      </c>
      <c r="C79" s="52">
        <v>4.7616438356164386</v>
      </c>
      <c r="D79" s="50">
        <f t="shared" si="7"/>
        <v>0.67775690765617302</v>
      </c>
      <c r="E79" s="52">
        <v>2.5362300726332561</v>
      </c>
      <c r="F79" s="52">
        <v>1.0791812460476249</v>
      </c>
      <c r="G79" s="52">
        <v>2.3199999999999998</v>
      </c>
      <c r="H79" s="50">
        <f t="shared" si="8"/>
        <v>0.36548798489089962</v>
      </c>
      <c r="I79" s="52">
        <v>2.756001823801419</v>
      </c>
      <c r="J79" s="52">
        <v>0.20139712432045145</v>
      </c>
      <c r="K79" s="52">
        <v>77</v>
      </c>
      <c r="L79" s="50">
        <f t="shared" si="9"/>
        <v>1.8864907251724818</v>
      </c>
      <c r="M79" s="52">
        <v>1</v>
      </c>
      <c r="N79" s="52">
        <v>85.6</v>
      </c>
      <c r="O79" s="50">
        <f t="shared" si="10"/>
        <v>1.9324737646771533</v>
      </c>
      <c r="P79" s="52">
        <v>43.3</v>
      </c>
      <c r="Q79" s="50">
        <f t="shared" si="11"/>
        <v>1.6364878963533653</v>
      </c>
      <c r="R79" s="52">
        <v>56.2907330998475</v>
      </c>
      <c r="S79" s="50">
        <f t="shared" si="12"/>
        <v>1.750436904711814</v>
      </c>
      <c r="T79" s="52">
        <v>3.3314213062933389</v>
      </c>
      <c r="U79" s="52">
        <v>3.884802064783424</v>
      </c>
      <c r="V79" s="187">
        <v>180000000</v>
      </c>
      <c r="W79" s="186">
        <f t="shared" si="13"/>
        <v>8.2552725051033065</v>
      </c>
      <c r="X79" s="52">
        <v>9</v>
      </c>
      <c r="Y79" s="68" t="s">
        <v>59</v>
      </c>
    </row>
    <row r="80" spans="1:25" x14ac:dyDescent="0.35">
      <c r="A80" s="49">
        <v>0.52287874528033762</v>
      </c>
      <c r="B80" s="50" t="s">
        <v>5</v>
      </c>
      <c r="C80" s="50">
        <v>2.2438356164383562</v>
      </c>
      <c r="D80" s="50">
        <f t="shared" si="7"/>
        <v>0.35099103730394376</v>
      </c>
      <c r="E80" s="50">
        <v>2.5542346870234227</v>
      </c>
      <c r="F80" s="50">
        <v>1.146128035678238</v>
      </c>
      <c r="G80" s="50">
        <v>3.16</v>
      </c>
      <c r="H80" s="50">
        <f t="shared" si="8"/>
        <v>0.49968708261840383</v>
      </c>
      <c r="I80" s="50">
        <v>2.9876662649262746</v>
      </c>
      <c r="J80" s="50">
        <v>0.13353890837021748</v>
      </c>
      <c r="K80" s="50">
        <v>16</v>
      </c>
      <c r="L80" s="50">
        <f t="shared" si="9"/>
        <v>1.2041199826559248</v>
      </c>
      <c r="M80" s="50">
        <v>1</v>
      </c>
      <c r="N80" s="50">
        <v>80</v>
      </c>
      <c r="O80" s="50">
        <f t="shared" si="10"/>
        <v>1.9030899869919435</v>
      </c>
      <c r="P80" s="50">
        <v>38.4</v>
      </c>
      <c r="Q80" s="50">
        <f t="shared" si="11"/>
        <v>1.5843312243675307</v>
      </c>
      <c r="R80" s="50">
        <v>43.580244996378802</v>
      </c>
      <c r="S80" s="50">
        <f t="shared" si="12"/>
        <v>1.639289667403498</v>
      </c>
      <c r="T80" s="50">
        <v>3.2860283894181141</v>
      </c>
      <c r="U80" s="50">
        <v>3.9098977130890344</v>
      </c>
      <c r="V80" s="186">
        <v>180000000</v>
      </c>
      <c r="W80" s="186">
        <f t="shared" si="13"/>
        <v>8.2552725051033065</v>
      </c>
      <c r="X80" s="50">
        <v>9</v>
      </c>
      <c r="Y80" s="66" t="s">
        <v>59</v>
      </c>
    </row>
    <row r="81" spans="1:25" x14ac:dyDescent="0.35">
      <c r="A81" s="67">
        <v>0.27598931896671886</v>
      </c>
      <c r="B81" s="52" t="s">
        <v>3</v>
      </c>
      <c r="C81" s="52">
        <v>3.6520547945205482</v>
      </c>
      <c r="D81" s="50">
        <f t="shared" si="7"/>
        <v>0.56253728495738453</v>
      </c>
      <c r="E81" s="52">
        <v>2.9808892467722719</v>
      </c>
      <c r="F81" s="52">
        <v>1.8260748027008264</v>
      </c>
      <c r="G81" s="52">
        <v>3.13</v>
      </c>
      <c r="H81" s="50">
        <f t="shared" si="8"/>
        <v>0.49554433754644844</v>
      </c>
      <c r="I81" s="52">
        <v>2.7343997425205671</v>
      </c>
      <c r="J81" s="52">
        <v>0.17026171539495738</v>
      </c>
      <c r="K81" s="52">
        <v>28</v>
      </c>
      <c r="L81" s="50">
        <f t="shared" si="9"/>
        <v>1.4471580313422192</v>
      </c>
      <c r="M81" s="52">
        <v>1</v>
      </c>
      <c r="N81" s="52">
        <v>98.4</v>
      </c>
      <c r="O81" s="50">
        <f t="shared" si="10"/>
        <v>1.9929950984313416</v>
      </c>
      <c r="P81" s="52">
        <v>45.9</v>
      </c>
      <c r="Q81" s="50">
        <f t="shared" si="11"/>
        <v>1.6618126855372612</v>
      </c>
      <c r="R81" s="52">
        <v>55.820378229102602</v>
      </c>
      <c r="S81" s="50">
        <f t="shared" si="12"/>
        <v>1.7467927748658987</v>
      </c>
      <c r="T81" s="52">
        <v>3.3833706119727633</v>
      </c>
      <c r="U81" s="52">
        <v>3.9798077985646683</v>
      </c>
      <c r="V81" s="187">
        <v>180090000</v>
      </c>
      <c r="W81" s="186">
        <f t="shared" si="13"/>
        <v>8.2554895980755365</v>
      </c>
      <c r="X81" s="52">
        <v>1</v>
      </c>
      <c r="Y81" s="68" t="s">
        <v>59</v>
      </c>
    </row>
    <row r="82" spans="1:25" x14ac:dyDescent="0.35">
      <c r="A82" s="49">
        <v>0</v>
      </c>
      <c r="B82" s="50" t="s">
        <v>59</v>
      </c>
      <c r="C82" s="50">
        <v>4.7315068493150685</v>
      </c>
      <c r="D82" s="50">
        <f t="shared" si="7"/>
        <v>0.67499947311098407</v>
      </c>
      <c r="E82" s="50">
        <v>3.7707754512906644</v>
      </c>
      <c r="F82" s="50">
        <v>1.4913616938342726</v>
      </c>
      <c r="G82" s="50">
        <v>2.3199999999999998</v>
      </c>
      <c r="H82" s="50">
        <f t="shared" si="8"/>
        <v>0.36548798489089962</v>
      </c>
      <c r="I82" s="50">
        <v>2.1238516409670858</v>
      </c>
      <c r="J82" s="50">
        <v>-7.0581074285707285E-2</v>
      </c>
      <c r="K82" s="50">
        <v>33</v>
      </c>
      <c r="L82" s="50">
        <f t="shared" si="9"/>
        <v>1.5185139398778875</v>
      </c>
      <c r="M82" s="50">
        <v>1</v>
      </c>
      <c r="N82" s="50">
        <v>85</v>
      </c>
      <c r="O82" s="50">
        <f t="shared" si="10"/>
        <v>1.9294189257142926</v>
      </c>
      <c r="P82" s="50">
        <v>32.200000000000003</v>
      </c>
      <c r="Q82" s="50">
        <f t="shared" si="11"/>
        <v>1.507855871695831</v>
      </c>
      <c r="R82" s="50">
        <v>35.326012114535303</v>
      </c>
      <c r="S82" s="50">
        <f t="shared" si="12"/>
        <v>1.548094613534351</v>
      </c>
      <c r="T82" s="50">
        <v>3.1527645837352773</v>
      </c>
      <c r="U82" s="50">
        <v>3.5411223705253856</v>
      </c>
      <c r="V82" s="186">
        <v>180360000</v>
      </c>
      <c r="W82" s="186">
        <f t="shared" si="13"/>
        <v>8.2561402266345336</v>
      </c>
      <c r="X82" s="50">
        <v>5</v>
      </c>
      <c r="Y82" s="66" t="s">
        <v>602</v>
      </c>
    </row>
    <row r="83" spans="1:25" x14ac:dyDescent="0.35">
      <c r="A83" s="67">
        <v>0.28280517555778212</v>
      </c>
      <c r="B83" s="52" t="s">
        <v>5</v>
      </c>
      <c r="C83" s="52">
        <v>7.6410958904109592</v>
      </c>
      <c r="D83" s="50">
        <f t="shared" si="7"/>
        <v>0.88315564980957517</v>
      </c>
      <c r="E83" s="52">
        <v>2.5542346870234227</v>
      </c>
      <c r="F83" s="52">
        <v>1.2041199826559248</v>
      </c>
      <c r="G83" s="52">
        <v>3.16</v>
      </c>
      <c r="H83" s="50">
        <f t="shared" si="8"/>
        <v>0.49968708261840383</v>
      </c>
      <c r="I83" s="52">
        <v>2.9876662649262746</v>
      </c>
      <c r="J83" s="52">
        <v>0.12710479836480765</v>
      </c>
      <c r="K83" s="52">
        <v>23</v>
      </c>
      <c r="L83" s="50">
        <f t="shared" si="9"/>
        <v>1.3617278360175928</v>
      </c>
      <c r="M83" s="52">
        <v>1</v>
      </c>
      <c r="N83" s="52">
        <v>70</v>
      </c>
      <c r="O83" s="50">
        <f t="shared" si="10"/>
        <v>1.8450980400142569</v>
      </c>
      <c r="P83" s="52">
        <v>34.799999999999997</v>
      </c>
      <c r="Q83" s="50">
        <f t="shared" si="11"/>
        <v>1.541579243946581</v>
      </c>
      <c r="R83" s="52">
        <v>44.539498059710198</v>
      </c>
      <c r="S83" s="50">
        <f t="shared" si="12"/>
        <v>1.6487453184203718</v>
      </c>
      <c r="T83" s="52">
        <v>3.2327651641054547</v>
      </c>
      <c r="U83" s="52">
        <v>3.9527244147731087</v>
      </c>
      <c r="V83" s="187">
        <v>182500000</v>
      </c>
      <c r="W83" s="186">
        <f t="shared" si="13"/>
        <v>8.2612628687924943</v>
      </c>
      <c r="X83" s="52">
        <v>6</v>
      </c>
      <c r="Y83" s="68" t="s">
        <v>59</v>
      </c>
    </row>
    <row r="84" spans="1:25" x14ac:dyDescent="0.35">
      <c r="A84" s="49">
        <v>0.12671499463410296</v>
      </c>
      <c r="B84" s="50" t="s">
        <v>59</v>
      </c>
      <c r="C84" s="50">
        <v>4.602739726027397</v>
      </c>
      <c r="D84" s="50">
        <f t="shared" si="7"/>
        <v>0.66301641726938809</v>
      </c>
      <c r="E84" s="50">
        <v>0</v>
      </c>
      <c r="F84" s="50">
        <v>2.0569048513364727</v>
      </c>
      <c r="G84" s="50">
        <v>3.29</v>
      </c>
      <c r="H84" s="50">
        <f t="shared" si="8"/>
        <v>0.51719589794997434</v>
      </c>
      <c r="I84" s="50">
        <v>0</v>
      </c>
      <c r="J84" s="50">
        <v>-6.5501548756432285E-2</v>
      </c>
      <c r="K84" s="50">
        <v>19</v>
      </c>
      <c r="L84" s="50">
        <f t="shared" si="9"/>
        <v>1.2787536009528289</v>
      </c>
      <c r="M84" s="50">
        <v>0</v>
      </c>
      <c r="N84" s="50">
        <v>85</v>
      </c>
      <c r="O84" s="50">
        <f t="shared" si="10"/>
        <v>1.9294189257142926</v>
      </c>
      <c r="P84" s="50">
        <v>32.200000000000003</v>
      </c>
      <c r="Q84" s="50">
        <f t="shared" si="11"/>
        <v>1.507855871695831</v>
      </c>
      <c r="R84" s="50">
        <v>35.326012114535303</v>
      </c>
      <c r="S84" s="50">
        <f t="shared" si="12"/>
        <v>1.548094613534351</v>
      </c>
      <c r="T84" s="50">
        <v>3.2327651641054547</v>
      </c>
      <c r="U84" s="50">
        <v>3.9527244147731087</v>
      </c>
      <c r="V84" s="186">
        <v>183000000</v>
      </c>
      <c r="W84" s="186">
        <f t="shared" si="13"/>
        <v>8.2624510897304297</v>
      </c>
      <c r="X84" s="50">
        <v>5</v>
      </c>
      <c r="Y84" s="66" t="s">
        <v>59</v>
      </c>
    </row>
    <row r="85" spans="1:25" x14ac:dyDescent="0.35">
      <c r="A85" s="67">
        <v>0.38247249775835224</v>
      </c>
      <c r="B85" s="84" t="s">
        <v>59</v>
      </c>
      <c r="C85" s="52">
        <v>3.1095890410958904</v>
      </c>
      <c r="D85" s="50">
        <f t="shared" si="7"/>
        <v>0.49270299707266679</v>
      </c>
      <c r="E85" s="52">
        <v>0</v>
      </c>
      <c r="F85" s="52">
        <v>1.0413926851582251</v>
      </c>
      <c r="G85" s="52">
        <v>3.29</v>
      </c>
      <c r="H85" s="50">
        <f t="shared" si="8"/>
        <v>0.51719589794997434</v>
      </c>
      <c r="I85" s="52">
        <v>0</v>
      </c>
      <c r="J85" s="52">
        <v>0.15836249209524964</v>
      </c>
      <c r="K85" s="52">
        <v>11</v>
      </c>
      <c r="L85" s="50">
        <f t="shared" si="9"/>
        <v>1.0413926851582251</v>
      </c>
      <c r="M85" s="52">
        <v>0</v>
      </c>
      <c r="N85" s="52">
        <v>94.9</v>
      </c>
      <c r="O85" s="50">
        <f t="shared" si="10"/>
        <v>1.9772662124272926</v>
      </c>
      <c r="P85" s="52">
        <v>32.299999999999997</v>
      </c>
      <c r="Q85" s="50">
        <f t="shared" si="11"/>
        <v>1.5092025223311027</v>
      </c>
      <c r="R85" s="52">
        <v>47.560703662314701</v>
      </c>
      <c r="S85" s="50">
        <f t="shared" si="12"/>
        <v>1.6772482713966061</v>
      </c>
      <c r="T85" s="52">
        <v>3.1872550351599198</v>
      </c>
      <c r="U85" s="52">
        <v>3.8872244231830928</v>
      </c>
      <c r="V85" s="187">
        <v>185000000</v>
      </c>
      <c r="W85" s="186">
        <f t="shared" si="13"/>
        <v>8.2671717284030137</v>
      </c>
      <c r="X85" s="52">
        <v>6</v>
      </c>
      <c r="Y85" s="103" t="s">
        <v>59</v>
      </c>
    </row>
    <row r="86" spans="1:25" x14ac:dyDescent="0.35">
      <c r="A86" s="49">
        <v>0.1386957688604587</v>
      </c>
      <c r="B86" s="50" t="s">
        <v>5</v>
      </c>
      <c r="C86" s="50">
        <v>8.5506849315068489</v>
      </c>
      <c r="D86" s="50">
        <f t="shared" si="7"/>
        <v>0.93200090420885795</v>
      </c>
      <c r="E86" s="50">
        <v>3.7916829312790057</v>
      </c>
      <c r="F86" s="50">
        <v>1.8976270912904414</v>
      </c>
      <c r="G86" s="50">
        <v>2.72</v>
      </c>
      <c r="H86" s="50">
        <f t="shared" si="8"/>
        <v>0.43456890403419873</v>
      </c>
      <c r="I86" s="50">
        <v>3.0355631414974997</v>
      </c>
      <c r="J86" s="50">
        <v>0.28103336724772759</v>
      </c>
      <c r="K86" s="50">
        <v>16</v>
      </c>
      <c r="L86" s="50">
        <f t="shared" si="9"/>
        <v>1.2041199826559248</v>
      </c>
      <c r="M86" s="50">
        <v>1</v>
      </c>
      <c r="N86" s="50">
        <v>88</v>
      </c>
      <c r="O86" s="50">
        <f t="shared" si="10"/>
        <v>1.9444826721501687</v>
      </c>
      <c r="P86" s="50">
        <v>35.9</v>
      </c>
      <c r="Q86" s="50">
        <f t="shared" si="11"/>
        <v>1.5550944485783191</v>
      </c>
      <c r="R86" s="50">
        <v>43.1081369225492</v>
      </c>
      <c r="S86" s="50">
        <f t="shared" si="12"/>
        <v>1.634559253618429</v>
      </c>
      <c r="T86" s="50">
        <v>3.1628767233771686</v>
      </c>
      <c r="U86" s="50">
        <v>3.6087947637270492</v>
      </c>
      <c r="V86" s="186">
        <v>186740000</v>
      </c>
      <c r="W86" s="186">
        <f t="shared" si="13"/>
        <v>8.271237354470836</v>
      </c>
      <c r="X86" s="50">
        <v>7</v>
      </c>
      <c r="Y86" s="66" t="s">
        <v>602</v>
      </c>
    </row>
    <row r="87" spans="1:25" x14ac:dyDescent="0.35">
      <c r="A87" s="67">
        <v>0.53415975569002661</v>
      </c>
      <c r="B87" s="52" t="s">
        <v>419</v>
      </c>
      <c r="C87" s="52">
        <v>2.6931506849315068</v>
      </c>
      <c r="D87" s="50">
        <f t="shared" si="7"/>
        <v>0.43026065337566088</v>
      </c>
      <c r="E87" s="52">
        <v>2.8967741575094288</v>
      </c>
      <c r="F87" s="52">
        <v>0.84509804001425681</v>
      </c>
      <c r="G87" s="52">
        <v>3.48</v>
      </c>
      <c r="H87" s="50">
        <f t="shared" si="8"/>
        <v>0.54157924394658097</v>
      </c>
      <c r="I87" s="52">
        <v>1.888366730171237</v>
      </c>
      <c r="J87" s="52">
        <v>9.3421685162235063E-2</v>
      </c>
      <c r="K87" s="52">
        <v>15</v>
      </c>
      <c r="L87" s="50">
        <f t="shared" si="9"/>
        <v>1.1760912590556813</v>
      </c>
      <c r="M87" s="52">
        <v>1</v>
      </c>
      <c r="N87" s="52">
        <v>85</v>
      </c>
      <c r="O87" s="50">
        <f t="shared" si="10"/>
        <v>1.9294189257142926</v>
      </c>
      <c r="P87" s="52">
        <v>41.8</v>
      </c>
      <c r="Q87" s="50">
        <f t="shared" si="11"/>
        <v>1.6211762817750353</v>
      </c>
      <c r="R87" s="52">
        <v>49.305577465499702</v>
      </c>
      <c r="S87" s="50">
        <f t="shared" si="12"/>
        <v>1.6928960496115248</v>
      </c>
      <c r="T87" s="52">
        <v>3.277819633965128</v>
      </c>
      <c r="U87" s="52">
        <v>3.9304083853612104</v>
      </c>
      <c r="V87" s="187">
        <v>190000000</v>
      </c>
      <c r="W87" s="186">
        <f t="shared" si="13"/>
        <v>8.2787536009528289</v>
      </c>
      <c r="X87" s="52">
        <v>4</v>
      </c>
      <c r="Y87" s="68" t="s">
        <v>577</v>
      </c>
    </row>
    <row r="88" spans="1:25" x14ac:dyDescent="0.35">
      <c r="A88" s="49">
        <v>-2</v>
      </c>
      <c r="B88" s="50" t="s">
        <v>45</v>
      </c>
      <c r="C88" s="50">
        <v>7.6219178082191785</v>
      </c>
      <c r="D88" s="50">
        <f t="shared" si="7"/>
        <v>0.88206426119955295</v>
      </c>
      <c r="E88" s="50">
        <v>0</v>
      </c>
      <c r="F88" s="50">
        <v>1.2041199826559248</v>
      </c>
      <c r="G88" s="50">
        <v>2.95</v>
      </c>
      <c r="H88" s="50">
        <f t="shared" si="8"/>
        <v>0.46982201597816303</v>
      </c>
      <c r="I88" s="50">
        <v>0</v>
      </c>
      <c r="J88" s="50">
        <v>-0.16115090926274472</v>
      </c>
      <c r="K88" s="50">
        <v>14</v>
      </c>
      <c r="L88" s="50">
        <f t="shared" si="9"/>
        <v>1.146128035678238</v>
      </c>
      <c r="M88" s="50">
        <v>0</v>
      </c>
      <c r="N88" s="50">
        <v>85</v>
      </c>
      <c r="O88" s="50">
        <f t="shared" si="10"/>
        <v>1.9294189257142926</v>
      </c>
      <c r="P88" s="50">
        <v>27.2</v>
      </c>
      <c r="Q88" s="50">
        <f t="shared" si="11"/>
        <v>1.4345689040341987</v>
      </c>
      <c r="R88" s="50">
        <v>35.608384832026097</v>
      </c>
      <c r="S88" s="50">
        <f t="shared" si="12"/>
        <v>1.5515522748692276</v>
      </c>
      <c r="T88" s="50">
        <v>3.0958500844125241</v>
      </c>
      <c r="U88" s="50">
        <v>3.5078178355445662</v>
      </c>
      <c r="V88" s="186">
        <v>190000000</v>
      </c>
      <c r="W88" s="186">
        <f t="shared" si="13"/>
        <v>8.2787536009528289</v>
      </c>
      <c r="X88" s="50">
        <v>5</v>
      </c>
      <c r="Y88" s="66" t="s">
        <v>602</v>
      </c>
    </row>
    <row r="89" spans="1:25" x14ac:dyDescent="0.35">
      <c r="A89" s="67">
        <v>-2</v>
      </c>
      <c r="B89" s="52" t="s">
        <v>45</v>
      </c>
      <c r="C89" s="52">
        <v>7.6219178082191785</v>
      </c>
      <c r="D89" s="50">
        <f t="shared" si="7"/>
        <v>0.88206426119955295</v>
      </c>
      <c r="E89" s="52">
        <v>0</v>
      </c>
      <c r="F89" s="52">
        <v>1.2041199826559248</v>
      </c>
      <c r="G89" s="52">
        <v>2.95</v>
      </c>
      <c r="H89" s="50">
        <f t="shared" si="8"/>
        <v>0.46982201597816303</v>
      </c>
      <c r="I89" s="52">
        <v>0</v>
      </c>
      <c r="J89" s="52">
        <v>-0.16115090926274472</v>
      </c>
      <c r="K89" s="52">
        <v>14</v>
      </c>
      <c r="L89" s="50">
        <f t="shared" si="9"/>
        <v>1.146128035678238</v>
      </c>
      <c r="M89" s="52">
        <v>0</v>
      </c>
      <c r="N89" s="52">
        <v>85</v>
      </c>
      <c r="O89" s="50">
        <f t="shared" si="10"/>
        <v>1.9294189257142926</v>
      </c>
      <c r="P89" s="52">
        <v>27.2</v>
      </c>
      <c r="Q89" s="50">
        <f t="shared" si="11"/>
        <v>1.4345689040341987</v>
      </c>
      <c r="R89" s="52">
        <v>35.608384832026097</v>
      </c>
      <c r="S89" s="50">
        <f t="shared" si="12"/>
        <v>1.5515522748692276</v>
      </c>
      <c r="T89" s="52">
        <v>3.0958500844125241</v>
      </c>
      <c r="U89" s="52">
        <v>3.5078178355445662</v>
      </c>
      <c r="V89" s="187">
        <v>190000000</v>
      </c>
      <c r="W89" s="186">
        <f t="shared" si="13"/>
        <v>8.2787536009528289</v>
      </c>
      <c r="X89" s="52">
        <v>5</v>
      </c>
      <c r="Y89" s="68" t="s">
        <v>602</v>
      </c>
    </row>
    <row r="90" spans="1:25" x14ac:dyDescent="0.35">
      <c r="A90" s="49">
        <v>-0.20972030619471799</v>
      </c>
      <c r="B90" s="50" t="s">
        <v>45</v>
      </c>
      <c r="C90" s="50">
        <v>1.263013698630137</v>
      </c>
      <c r="D90" s="50">
        <f t="shared" si="7"/>
        <v>0.10140806093317345</v>
      </c>
      <c r="E90" s="50">
        <v>0</v>
      </c>
      <c r="F90" s="50">
        <v>1.4913616938342726</v>
      </c>
      <c r="G90" s="50">
        <v>2.95</v>
      </c>
      <c r="H90" s="50">
        <f t="shared" si="8"/>
        <v>0.46982201597816303</v>
      </c>
      <c r="I90" s="50">
        <v>0</v>
      </c>
      <c r="J90" s="50">
        <v>7.9181246047624818E-2</v>
      </c>
      <c r="K90" s="50">
        <v>21</v>
      </c>
      <c r="L90" s="50">
        <f t="shared" si="9"/>
        <v>1.3222192947339193</v>
      </c>
      <c r="M90" s="50">
        <v>0</v>
      </c>
      <c r="N90" s="50">
        <v>90.5</v>
      </c>
      <c r="O90" s="50">
        <f t="shared" si="10"/>
        <v>1.9566485792052033</v>
      </c>
      <c r="P90" s="50">
        <v>25.7</v>
      </c>
      <c r="Q90" s="50">
        <f t="shared" si="11"/>
        <v>1.4099331233312946</v>
      </c>
      <c r="R90" s="50">
        <v>39.010023979360902</v>
      </c>
      <c r="S90" s="50">
        <f t="shared" si="12"/>
        <v>1.5911762172715689</v>
      </c>
      <c r="T90" s="50">
        <v>3.1628767233771686</v>
      </c>
      <c r="U90" s="50">
        <v>3.6087947637270492</v>
      </c>
      <c r="V90" s="186">
        <v>190440000</v>
      </c>
      <c r="W90" s="186">
        <f t="shared" si="13"/>
        <v>8.2797581728024738</v>
      </c>
      <c r="X90" s="50">
        <v>9</v>
      </c>
      <c r="Y90" s="66" t="s">
        <v>602</v>
      </c>
    </row>
    <row r="91" spans="1:25" x14ac:dyDescent="0.35">
      <c r="A91" s="67">
        <v>1.1455353366441925</v>
      </c>
      <c r="B91" s="52" t="s">
        <v>45</v>
      </c>
      <c r="C91" s="52">
        <v>3.9643835616438357</v>
      </c>
      <c r="D91" s="50">
        <f t="shared" si="7"/>
        <v>0.59817566666256272</v>
      </c>
      <c r="E91" s="52">
        <v>0</v>
      </c>
      <c r="F91" s="52">
        <v>1.6434526764861874</v>
      </c>
      <c r="G91" s="52">
        <v>2.95</v>
      </c>
      <c r="H91" s="50">
        <f t="shared" si="8"/>
        <v>0.46982201597816303</v>
      </c>
      <c r="I91" s="52">
        <v>0</v>
      </c>
      <c r="J91" s="52">
        <v>7.1882007306125359E-2</v>
      </c>
      <c r="K91" s="52">
        <v>7</v>
      </c>
      <c r="L91" s="50">
        <f t="shared" si="9"/>
        <v>0.84509804001425681</v>
      </c>
      <c r="M91" s="52">
        <v>0</v>
      </c>
      <c r="N91" s="52">
        <v>85</v>
      </c>
      <c r="O91" s="50">
        <f t="shared" si="10"/>
        <v>1.9294189257142926</v>
      </c>
      <c r="P91" s="52">
        <v>27.4</v>
      </c>
      <c r="Q91" s="50">
        <f t="shared" si="11"/>
        <v>1.4377505628203879</v>
      </c>
      <c r="R91" s="52">
        <v>35.968444143503902</v>
      </c>
      <c r="S91" s="50">
        <f t="shared" si="12"/>
        <v>1.5559216523165715</v>
      </c>
      <c r="T91" s="52">
        <v>3.1814248062191788</v>
      </c>
      <c r="U91" s="52">
        <v>3.7294207535322617</v>
      </c>
      <c r="V91" s="187">
        <v>191690000</v>
      </c>
      <c r="W91" s="186">
        <f t="shared" si="13"/>
        <v>8.2825994573845971</v>
      </c>
      <c r="X91" s="52">
        <v>4</v>
      </c>
      <c r="Y91" s="68" t="s">
        <v>45</v>
      </c>
    </row>
    <row r="92" spans="1:25" x14ac:dyDescent="0.35">
      <c r="A92" s="49">
        <v>0.32860990173839816</v>
      </c>
      <c r="B92" s="50" t="s">
        <v>2</v>
      </c>
      <c r="C92" s="50">
        <v>6.8657534246575347</v>
      </c>
      <c r="D92" s="50">
        <f t="shared" si="7"/>
        <v>0.83668820220165652</v>
      </c>
      <c r="E92" s="50">
        <v>2.9629325585580042</v>
      </c>
      <c r="F92" s="50">
        <v>2.167317334748176</v>
      </c>
      <c r="G92" s="50">
        <v>2.62</v>
      </c>
      <c r="H92" s="50">
        <f t="shared" si="8"/>
        <v>0.41830129131974547</v>
      </c>
      <c r="I92" s="50">
        <v>2.9323046139517812</v>
      </c>
      <c r="J92" s="50">
        <v>0.31806333496276157</v>
      </c>
      <c r="K92" s="50">
        <v>24</v>
      </c>
      <c r="L92" s="50">
        <f t="shared" si="9"/>
        <v>1.3802112417116059</v>
      </c>
      <c r="M92" s="50">
        <v>1</v>
      </c>
      <c r="N92" s="50">
        <v>90.3</v>
      </c>
      <c r="O92" s="50">
        <f t="shared" si="10"/>
        <v>1.9556877503135057</v>
      </c>
      <c r="P92" s="50">
        <v>36.1</v>
      </c>
      <c r="Q92" s="50">
        <f t="shared" si="11"/>
        <v>1.5575072019056579</v>
      </c>
      <c r="R92" s="50">
        <v>47.576210837790804</v>
      </c>
      <c r="S92" s="50">
        <f t="shared" si="12"/>
        <v>1.6773898501062838</v>
      </c>
      <c r="T92" s="50">
        <v>3.3833706119727633</v>
      </c>
      <c r="U92" s="50">
        <v>3.9798077985646683</v>
      </c>
      <c r="V92" s="186">
        <v>193114000</v>
      </c>
      <c r="W92" s="186">
        <f t="shared" si="13"/>
        <v>8.2858137595502335</v>
      </c>
      <c r="X92" s="50">
        <v>1</v>
      </c>
      <c r="Y92" s="66" t="s">
        <v>59</v>
      </c>
    </row>
    <row r="93" spans="1:25" x14ac:dyDescent="0.35">
      <c r="A93" s="67">
        <v>-7.0317785716319775E-2</v>
      </c>
      <c r="B93" s="52" t="s">
        <v>59</v>
      </c>
      <c r="C93" s="52">
        <v>3.9150684931506849</v>
      </c>
      <c r="D93" s="50">
        <f t="shared" si="7"/>
        <v>0.59273936433449548</v>
      </c>
      <c r="E93" s="52">
        <v>0</v>
      </c>
      <c r="F93" s="52">
        <v>1.7993405494535817</v>
      </c>
      <c r="G93" s="52">
        <v>3.29</v>
      </c>
      <c r="H93" s="50">
        <f t="shared" si="8"/>
        <v>0.51719589794997434</v>
      </c>
      <c r="I93" s="52">
        <v>0</v>
      </c>
      <c r="J93" s="52">
        <v>-0.13076828026902382</v>
      </c>
      <c r="K93" s="52">
        <v>19</v>
      </c>
      <c r="L93" s="50">
        <f t="shared" si="9"/>
        <v>1.2787536009528289</v>
      </c>
      <c r="M93" s="52">
        <v>0</v>
      </c>
      <c r="N93" s="52">
        <v>85</v>
      </c>
      <c r="O93" s="50">
        <f t="shared" si="10"/>
        <v>1.9294189257142926</v>
      </c>
      <c r="P93" s="52">
        <v>32.200000000000003</v>
      </c>
      <c r="Q93" s="50">
        <f t="shared" si="11"/>
        <v>1.507855871695831</v>
      </c>
      <c r="R93" s="52">
        <v>35.326012114535303</v>
      </c>
      <c r="S93" s="50">
        <f t="shared" si="12"/>
        <v>1.548094613534351</v>
      </c>
      <c r="T93" s="52">
        <v>3.2327651641054547</v>
      </c>
      <c r="U93" s="52">
        <v>3.9527244147731087</v>
      </c>
      <c r="V93" s="187">
        <v>194000000</v>
      </c>
      <c r="W93" s="186">
        <f t="shared" si="13"/>
        <v>8.2878017299302265</v>
      </c>
      <c r="X93" s="52">
        <v>1</v>
      </c>
      <c r="Y93" s="68" t="s">
        <v>59</v>
      </c>
    </row>
    <row r="94" spans="1:25" x14ac:dyDescent="0.35">
      <c r="A94" s="49">
        <v>-0.58883172559420727</v>
      </c>
      <c r="B94" s="50" t="s">
        <v>59</v>
      </c>
      <c r="C94" s="50">
        <v>3.106849315068493</v>
      </c>
      <c r="D94" s="50">
        <f t="shared" si="7"/>
        <v>0.49232019010041306</v>
      </c>
      <c r="E94" s="50">
        <v>0</v>
      </c>
      <c r="F94" s="50">
        <v>0.90308998699194354</v>
      </c>
      <c r="G94" s="50">
        <v>3.29</v>
      </c>
      <c r="H94" s="50">
        <f t="shared" si="8"/>
        <v>0.51719589794997434</v>
      </c>
      <c r="I94" s="50">
        <v>0</v>
      </c>
      <c r="J94" s="50">
        <v>-0.18708664335714442</v>
      </c>
      <c r="K94" s="50">
        <v>19</v>
      </c>
      <c r="L94" s="50">
        <f t="shared" si="9"/>
        <v>1.2787536009528289</v>
      </c>
      <c r="M94" s="50">
        <v>0</v>
      </c>
      <c r="N94" s="50">
        <v>85</v>
      </c>
      <c r="O94" s="50">
        <f t="shared" si="10"/>
        <v>1.9294189257142926</v>
      </c>
      <c r="P94" s="50">
        <v>32.200000000000003</v>
      </c>
      <c r="Q94" s="50">
        <f t="shared" si="11"/>
        <v>1.507855871695831</v>
      </c>
      <c r="R94" s="50">
        <v>35.326012114535303</v>
      </c>
      <c r="S94" s="50">
        <f t="shared" si="12"/>
        <v>1.548094613534351</v>
      </c>
      <c r="T94" s="50">
        <v>3.2327651641054547</v>
      </c>
      <c r="U94" s="50">
        <v>3.9527244147731087</v>
      </c>
      <c r="V94" s="186">
        <v>194000000</v>
      </c>
      <c r="W94" s="186">
        <f t="shared" si="13"/>
        <v>8.2878017299302265</v>
      </c>
      <c r="X94" s="50">
        <v>1</v>
      </c>
      <c r="Y94" s="66" t="s">
        <v>59</v>
      </c>
    </row>
    <row r="95" spans="1:25" x14ac:dyDescent="0.35">
      <c r="A95" s="67">
        <v>0.76929065710878552</v>
      </c>
      <c r="B95" s="52" t="s">
        <v>1</v>
      </c>
      <c r="C95" s="52">
        <v>10.731506849315069</v>
      </c>
      <c r="D95" s="50">
        <f t="shared" si="7"/>
        <v>1.0306607070913911</v>
      </c>
      <c r="E95" s="52">
        <v>2.6208956659919629</v>
      </c>
      <c r="F95" s="52">
        <v>2.0293837776852097</v>
      </c>
      <c r="G95" s="52">
        <v>3.65</v>
      </c>
      <c r="H95" s="50">
        <f t="shared" si="8"/>
        <v>0.56229286445647475</v>
      </c>
      <c r="I95" s="52">
        <v>2.3401134757058348</v>
      </c>
      <c r="J95" s="52">
        <v>0.24054924828259971</v>
      </c>
      <c r="K95" s="52">
        <v>1</v>
      </c>
      <c r="L95" s="50">
        <f t="shared" si="9"/>
        <v>0</v>
      </c>
      <c r="M95" s="52">
        <v>1</v>
      </c>
      <c r="N95" s="52">
        <v>70</v>
      </c>
      <c r="O95" s="50">
        <f t="shared" si="10"/>
        <v>1.8450980400142569</v>
      </c>
      <c r="P95" s="52">
        <v>42.4</v>
      </c>
      <c r="Q95" s="50">
        <f t="shared" si="11"/>
        <v>1.6273658565927327</v>
      </c>
      <c r="R95" s="52">
        <v>44.9782573439335</v>
      </c>
      <c r="S95" s="50">
        <f t="shared" si="12"/>
        <v>1.6530026249418825</v>
      </c>
      <c r="T95" s="52">
        <v>3.1884249941294067</v>
      </c>
      <c r="U95" s="52">
        <v>3.9391261945252749</v>
      </c>
      <c r="V95" s="187">
        <v>197318285</v>
      </c>
      <c r="W95" s="186">
        <f t="shared" si="13"/>
        <v>8.2951673321181332</v>
      </c>
      <c r="X95" s="52">
        <v>6</v>
      </c>
      <c r="Y95" s="68" t="s">
        <v>4</v>
      </c>
    </row>
    <row r="96" spans="1:25" x14ac:dyDescent="0.35">
      <c r="A96" s="49">
        <v>3.1647391927806502E-2</v>
      </c>
      <c r="B96" s="50" t="s">
        <v>59</v>
      </c>
      <c r="C96" s="50">
        <v>4.2109589041095887</v>
      </c>
      <c r="D96" s="50">
        <f t="shared" si="7"/>
        <v>0.62438100304327038</v>
      </c>
      <c r="E96" s="50">
        <v>3.7707754512906644</v>
      </c>
      <c r="F96" s="50">
        <v>0</v>
      </c>
      <c r="G96" s="50">
        <v>2.3199999999999998</v>
      </c>
      <c r="H96" s="50">
        <f t="shared" si="8"/>
        <v>0.36548798489089962</v>
      </c>
      <c r="I96" s="50">
        <v>2.1238516409670858</v>
      </c>
      <c r="J96" s="50">
        <v>0.35410843914740087</v>
      </c>
      <c r="K96" s="50">
        <v>3</v>
      </c>
      <c r="L96" s="50">
        <f t="shared" si="9"/>
        <v>0.47712125471966244</v>
      </c>
      <c r="M96" s="50">
        <v>1</v>
      </c>
      <c r="N96" s="50">
        <v>100</v>
      </c>
      <c r="O96" s="50">
        <f t="shared" si="10"/>
        <v>2</v>
      </c>
      <c r="P96" s="50">
        <v>29.5</v>
      </c>
      <c r="Q96" s="50">
        <f t="shared" si="11"/>
        <v>1.469822015978163</v>
      </c>
      <c r="R96" s="50">
        <v>38.538703610951003</v>
      </c>
      <c r="S96" s="50">
        <f t="shared" si="12"/>
        <v>1.5858971014953607</v>
      </c>
      <c r="T96" s="50">
        <v>3.1628767233771686</v>
      </c>
      <c r="U96" s="50">
        <v>3.6087947637270492</v>
      </c>
      <c r="V96" s="186">
        <v>199890000</v>
      </c>
      <c r="W96" s="186">
        <f t="shared" si="13"/>
        <v>8.3007910679877988</v>
      </c>
      <c r="X96" s="50">
        <v>4</v>
      </c>
      <c r="Y96" s="66" t="s">
        <v>602</v>
      </c>
    </row>
    <row r="97" spans="1:25" x14ac:dyDescent="0.35">
      <c r="A97" s="67">
        <v>-2</v>
      </c>
      <c r="B97" s="52" t="s">
        <v>45</v>
      </c>
      <c r="C97" s="52">
        <v>4.8712328767123285</v>
      </c>
      <c r="D97" s="50">
        <f t="shared" si="7"/>
        <v>0.68763889217772012</v>
      </c>
      <c r="E97" s="52">
        <v>0</v>
      </c>
      <c r="F97" s="52">
        <v>1.146128035678238</v>
      </c>
      <c r="G97" s="52">
        <v>2.95</v>
      </c>
      <c r="H97" s="50">
        <f t="shared" si="8"/>
        <v>0.46982201597816303</v>
      </c>
      <c r="I97" s="52">
        <v>0</v>
      </c>
      <c r="J97" s="52">
        <v>-4.5757490560675115E-2</v>
      </c>
      <c r="K97" s="52">
        <v>24</v>
      </c>
      <c r="L97" s="50">
        <f t="shared" si="9"/>
        <v>1.3802112417116059</v>
      </c>
      <c r="M97" s="52">
        <v>0</v>
      </c>
      <c r="N97" s="52">
        <v>85</v>
      </c>
      <c r="O97" s="50">
        <f t="shared" si="10"/>
        <v>1.9294189257142926</v>
      </c>
      <c r="P97" s="52">
        <v>28.2</v>
      </c>
      <c r="Q97" s="50">
        <f t="shared" si="11"/>
        <v>1.4502491083193612</v>
      </c>
      <c r="R97" s="52">
        <v>34.298950279384798</v>
      </c>
      <c r="S97" s="50">
        <f t="shared" si="12"/>
        <v>1.5352808286478177</v>
      </c>
      <c r="T97" s="52">
        <v>3.0687415514991745</v>
      </c>
      <c r="U97" s="52">
        <v>3.5297005493117593</v>
      </c>
      <c r="V97" s="187">
        <v>200000000</v>
      </c>
      <c r="W97" s="186">
        <f t="shared" si="13"/>
        <v>8.3010299956639813</v>
      </c>
      <c r="X97" s="52">
        <v>4</v>
      </c>
      <c r="Y97" s="68" t="s">
        <v>45</v>
      </c>
    </row>
    <row r="98" spans="1:25" x14ac:dyDescent="0.35">
      <c r="A98" s="49">
        <v>0.80823731347034766</v>
      </c>
      <c r="B98" s="50" t="s">
        <v>2</v>
      </c>
      <c r="C98" s="50">
        <v>3.7232876712328768</v>
      </c>
      <c r="D98" s="50">
        <f t="shared" si="7"/>
        <v>0.57092659227601961</v>
      </c>
      <c r="E98" s="50">
        <v>2.9629325585580042</v>
      </c>
      <c r="F98" s="50">
        <v>1.1139433523068367</v>
      </c>
      <c r="G98" s="50">
        <v>2.62</v>
      </c>
      <c r="H98" s="50">
        <f t="shared" si="8"/>
        <v>0.41830129131974547</v>
      </c>
      <c r="I98" s="50">
        <v>2.9323046139517812</v>
      </c>
      <c r="J98" s="50">
        <v>0.21748394421390627</v>
      </c>
      <c r="K98" s="50">
        <v>18</v>
      </c>
      <c r="L98" s="50">
        <f t="shared" si="9"/>
        <v>1.255272505103306</v>
      </c>
      <c r="M98" s="50">
        <v>1</v>
      </c>
      <c r="N98" s="50">
        <v>70</v>
      </c>
      <c r="O98" s="50">
        <f t="shared" si="10"/>
        <v>1.8450980400142569</v>
      </c>
      <c r="P98" s="50">
        <v>34.6</v>
      </c>
      <c r="Q98" s="50">
        <f t="shared" si="11"/>
        <v>1.5390760987927767</v>
      </c>
      <c r="R98" s="50">
        <v>47.8156192569637</v>
      </c>
      <c r="S98" s="50">
        <f t="shared" si="12"/>
        <v>1.6795697846681461</v>
      </c>
      <c r="T98" s="50">
        <v>3.2699236952309461</v>
      </c>
      <c r="U98" s="50">
        <v>3.6984415808994222</v>
      </c>
      <c r="V98" s="186">
        <v>200000000</v>
      </c>
      <c r="W98" s="186">
        <f t="shared" si="13"/>
        <v>8.3010299956639813</v>
      </c>
      <c r="X98" s="50">
        <v>4</v>
      </c>
      <c r="Y98" s="66" t="s">
        <v>577</v>
      </c>
    </row>
    <row r="99" spans="1:25" x14ac:dyDescent="0.35">
      <c r="A99" s="67">
        <v>0.43112242240123261</v>
      </c>
      <c r="B99" s="52" t="s">
        <v>45</v>
      </c>
      <c r="C99" s="52">
        <v>2.441095890410959</v>
      </c>
      <c r="D99" s="50">
        <f t="shared" si="7"/>
        <v>0.38758483958040008</v>
      </c>
      <c r="E99" s="52">
        <v>0</v>
      </c>
      <c r="F99" s="52">
        <v>0</v>
      </c>
      <c r="G99" s="52">
        <v>2.95</v>
      </c>
      <c r="H99" s="50">
        <f t="shared" si="8"/>
        <v>0.46982201597816303</v>
      </c>
      <c r="I99" s="52">
        <v>0</v>
      </c>
      <c r="J99" s="52">
        <v>5.3078443483419682E-2</v>
      </c>
      <c r="K99" s="52">
        <v>33</v>
      </c>
      <c r="L99" s="50">
        <f t="shared" si="9"/>
        <v>1.5185139398778875</v>
      </c>
      <c r="M99" s="52">
        <v>0</v>
      </c>
      <c r="N99" s="52">
        <v>90.5</v>
      </c>
      <c r="O99" s="50">
        <f t="shared" si="10"/>
        <v>1.9566485792052033</v>
      </c>
      <c r="P99" s="52">
        <v>25.7</v>
      </c>
      <c r="Q99" s="50">
        <f t="shared" si="11"/>
        <v>1.4099331233312946</v>
      </c>
      <c r="R99" s="52">
        <v>39.010023979360902</v>
      </c>
      <c r="S99" s="50">
        <f t="shared" si="12"/>
        <v>1.5911762172715689</v>
      </c>
      <c r="T99" s="52">
        <v>3.1606353037386858</v>
      </c>
      <c r="U99" s="52">
        <v>3.9767438733352263</v>
      </c>
      <c r="V99" s="187">
        <v>200000000</v>
      </c>
      <c r="W99" s="186">
        <f t="shared" si="13"/>
        <v>8.3010299956639813</v>
      </c>
      <c r="X99" s="52">
        <v>2</v>
      </c>
      <c r="Y99" s="68" t="s">
        <v>45</v>
      </c>
    </row>
    <row r="100" spans="1:25" x14ac:dyDescent="0.35">
      <c r="A100" s="49">
        <v>0.10720996964786837</v>
      </c>
      <c r="B100" s="50" t="s">
        <v>59</v>
      </c>
      <c r="C100" s="50">
        <v>4.9726027397260273</v>
      </c>
      <c r="D100" s="50">
        <f t="shared" si="7"/>
        <v>0.69658376491565666</v>
      </c>
      <c r="E100" s="50">
        <v>0</v>
      </c>
      <c r="F100" s="50">
        <v>1.4771212547196624</v>
      </c>
      <c r="G100" s="50">
        <v>3.29</v>
      </c>
      <c r="H100" s="50">
        <f t="shared" si="8"/>
        <v>0.51719589794997434</v>
      </c>
      <c r="I100" s="50">
        <v>0</v>
      </c>
      <c r="J100" s="50">
        <v>0.22788670461367352</v>
      </c>
      <c r="K100" s="50">
        <v>25</v>
      </c>
      <c r="L100" s="50">
        <f t="shared" si="9"/>
        <v>1.3979400086720377</v>
      </c>
      <c r="M100" s="50">
        <v>0</v>
      </c>
      <c r="N100" s="50">
        <v>94.9</v>
      </c>
      <c r="O100" s="50">
        <f t="shared" si="10"/>
        <v>1.9772662124272926</v>
      </c>
      <c r="P100" s="50">
        <v>32.299999999999997</v>
      </c>
      <c r="Q100" s="50">
        <f t="shared" si="11"/>
        <v>1.5092025223311027</v>
      </c>
      <c r="R100" s="50">
        <v>47.560703662314701</v>
      </c>
      <c r="S100" s="50">
        <f t="shared" si="12"/>
        <v>1.6772482713966061</v>
      </c>
      <c r="T100" s="50">
        <v>3.3833706119727633</v>
      </c>
      <c r="U100" s="50">
        <v>3.9798077985646683</v>
      </c>
      <c r="V100" s="186">
        <v>200000000</v>
      </c>
      <c r="W100" s="186">
        <f t="shared" si="13"/>
        <v>8.3010299956639813</v>
      </c>
      <c r="X100" s="50">
        <v>6</v>
      </c>
      <c r="Y100" s="66" t="s">
        <v>59</v>
      </c>
    </row>
    <row r="101" spans="1:25" x14ac:dyDescent="0.35">
      <c r="A101" s="67">
        <v>0.24303804868629444</v>
      </c>
      <c r="B101" s="52" t="s">
        <v>59</v>
      </c>
      <c r="C101" s="52">
        <v>2.5397260273972604</v>
      </c>
      <c r="D101" s="50">
        <f t="shared" si="7"/>
        <v>0.40478686968802241</v>
      </c>
      <c r="E101" s="52">
        <v>0</v>
      </c>
      <c r="F101" s="52">
        <v>1.8633228601204559</v>
      </c>
      <c r="G101" s="52">
        <v>3.29</v>
      </c>
      <c r="H101" s="50">
        <f t="shared" si="8"/>
        <v>0.51719589794997434</v>
      </c>
      <c r="I101" s="52">
        <v>0</v>
      </c>
      <c r="J101" s="52">
        <v>-0.11918640771920865</v>
      </c>
      <c r="K101" s="52">
        <v>19</v>
      </c>
      <c r="L101" s="50">
        <f t="shared" si="9"/>
        <v>1.2787536009528289</v>
      </c>
      <c r="M101" s="52">
        <v>0</v>
      </c>
      <c r="N101" s="52">
        <v>91.2</v>
      </c>
      <c r="O101" s="50">
        <f t="shared" si="10"/>
        <v>1.9599948383284163</v>
      </c>
      <c r="P101" s="52">
        <v>33</v>
      </c>
      <c r="Q101" s="50">
        <f t="shared" si="11"/>
        <v>1.5185139398778875</v>
      </c>
      <c r="R101" s="52">
        <v>40.902544500539101</v>
      </c>
      <c r="S101" s="50">
        <f t="shared" si="12"/>
        <v>1.6117503258110162</v>
      </c>
      <c r="T101" s="52">
        <v>3.5347454529897258</v>
      </c>
      <c r="U101" s="52">
        <v>3.9695495619878729</v>
      </c>
      <c r="V101" s="187">
        <v>200000000</v>
      </c>
      <c r="W101" s="186">
        <f t="shared" si="13"/>
        <v>8.3010299956639813</v>
      </c>
      <c r="X101" s="52">
        <v>7</v>
      </c>
      <c r="Y101" s="68" t="s">
        <v>59</v>
      </c>
    </row>
    <row r="102" spans="1:25" x14ac:dyDescent="0.35">
      <c r="A102" s="49">
        <v>7.9181246047624818E-2</v>
      </c>
      <c r="B102" s="50" t="s">
        <v>163</v>
      </c>
      <c r="C102" s="50">
        <v>8.0493150684931507</v>
      </c>
      <c r="D102" s="50">
        <f t="shared" si="7"/>
        <v>0.90575892699776295</v>
      </c>
      <c r="E102" s="50">
        <v>3.7899753459779522</v>
      </c>
      <c r="F102" s="50">
        <v>0</v>
      </c>
      <c r="G102" s="50">
        <v>3.18</v>
      </c>
      <c r="H102" s="50">
        <f t="shared" si="8"/>
        <v>0.50242711998443268</v>
      </c>
      <c r="I102" s="50">
        <v>2.7670321178317625</v>
      </c>
      <c r="J102" s="50">
        <v>0.14921911265537988</v>
      </c>
      <c r="K102" s="50">
        <v>19</v>
      </c>
      <c r="L102" s="50">
        <f t="shared" si="9"/>
        <v>1.2787536009528289</v>
      </c>
      <c r="M102" s="50">
        <v>1</v>
      </c>
      <c r="N102" s="50">
        <v>70</v>
      </c>
      <c r="O102" s="50">
        <f t="shared" si="10"/>
        <v>1.8450980400142569</v>
      </c>
      <c r="P102" s="50">
        <v>42.2</v>
      </c>
      <c r="Q102" s="50">
        <f t="shared" si="11"/>
        <v>1.6253124509616739</v>
      </c>
      <c r="R102" s="50">
        <v>53.270504198897903</v>
      </c>
      <c r="S102" s="50">
        <f t="shared" si="12"/>
        <v>1.7264868073491786</v>
      </c>
      <c r="T102" s="50">
        <v>3.20911860699078</v>
      </c>
      <c r="U102" s="50">
        <v>3.5849986651910224</v>
      </c>
      <c r="V102" s="186">
        <v>200000000</v>
      </c>
      <c r="W102" s="186">
        <f t="shared" si="13"/>
        <v>8.3010299956639813</v>
      </c>
      <c r="X102" s="50">
        <v>8</v>
      </c>
      <c r="Y102" s="66" t="s">
        <v>45</v>
      </c>
    </row>
    <row r="103" spans="1:25" x14ac:dyDescent="0.35">
      <c r="A103" s="67">
        <v>0.37120259555558283</v>
      </c>
      <c r="B103" s="52" t="s">
        <v>434</v>
      </c>
      <c r="C103" s="52">
        <v>5.7726027397260271</v>
      </c>
      <c r="D103" s="50">
        <f t="shared" si="7"/>
        <v>0.76137167115162541</v>
      </c>
      <c r="E103" s="52">
        <v>3.8584156743566731</v>
      </c>
      <c r="F103" s="52">
        <v>1.414973347970818</v>
      </c>
      <c r="G103" s="52">
        <v>2.66</v>
      </c>
      <c r="H103" s="50">
        <f t="shared" si="8"/>
        <v>0.42488163663106698</v>
      </c>
      <c r="I103" s="52">
        <v>2.8134697878296753</v>
      </c>
      <c r="J103" s="52">
        <v>-2.2276394711152253E-2</v>
      </c>
      <c r="K103" s="52">
        <v>20</v>
      </c>
      <c r="L103" s="50">
        <f t="shared" si="9"/>
        <v>1.3010299956639813</v>
      </c>
      <c r="M103" s="52">
        <v>1</v>
      </c>
      <c r="N103" s="52">
        <v>70</v>
      </c>
      <c r="O103" s="50">
        <f t="shared" si="10"/>
        <v>1.8450980400142569</v>
      </c>
      <c r="P103" s="52">
        <v>39.33</v>
      </c>
      <c r="Q103" s="50">
        <f t="shared" si="11"/>
        <v>1.5947239464097467</v>
      </c>
      <c r="R103" s="52">
        <v>46.838198746764199</v>
      </c>
      <c r="S103" s="50">
        <f t="shared" si="12"/>
        <v>1.6706001850898524</v>
      </c>
      <c r="T103" s="52">
        <v>3.20911860699078</v>
      </c>
      <c r="U103" s="52">
        <v>3.5849986651910224</v>
      </c>
      <c r="V103" s="187">
        <v>200000000</v>
      </c>
      <c r="W103" s="186">
        <f t="shared" si="13"/>
        <v>8.3010299956639813</v>
      </c>
      <c r="X103" s="52">
        <v>9</v>
      </c>
      <c r="Y103" s="68" t="s">
        <v>45</v>
      </c>
    </row>
    <row r="104" spans="1:25" x14ac:dyDescent="0.35">
      <c r="A104" s="49">
        <v>4.1392685158225077E-2</v>
      </c>
      <c r="B104" s="50" t="s">
        <v>59</v>
      </c>
      <c r="C104" s="50">
        <v>4.6684931506849319</v>
      </c>
      <c r="D104" s="50">
        <f t="shared" si="7"/>
        <v>0.66917672597420663</v>
      </c>
      <c r="E104" s="50">
        <v>3.7707754512906644</v>
      </c>
      <c r="F104" s="50">
        <v>1.0413926851582251</v>
      </c>
      <c r="G104" s="50">
        <v>2.3199999999999998</v>
      </c>
      <c r="H104" s="50">
        <f t="shared" si="8"/>
        <v>0.36548798489089962</v>
      </c>
      <c r="I104" s="50">
        <v>2.1238516409670858</v>
      </c>
      <c r="J104" s="50">
        <v>0.22788670461367352</v>
      </c>
      <c r="K104" s="50">
        <v>21</v>
      </c>
      <c r="L104" s="50">
        <f t="shared" si="9"/>
        <v>1.3222192947339193</v>
      </c>
      <c r="M104" s="50">
        <v>1</v>
      </c>
      <c r="N104" s="50">
        <v>94.1</v>
      </c>
      <c r="O104" s="50">
        <f t="shared" si="10"/>
        <v>1.973589623427257</v>
      </c>
      <c r="P104" s="50">
        <v>32.200000000000003</v>
      </c>
      <c r="Q104" s="50">
        <f t="shared" si="11"/>
        <v>1.507855871695831</v>
      </c>
      <c r="R104" s="50">
        <v>43.9397801796012</v>
      </c>
      <c r="S104" s="50">
        <f t="shared" si="12"/>
        <v>1.6428578799166489</v>
      </c>
      <c r="T104" s="50">
        <v>3.3265688034989269</v>
      </c>
      <c r="U104" s="50">
        <v>3.64990043303693</v>
      </c>
      <c r="V104" s="186">
        <v>200000000</v>
      </c>
      <c r="W104" s="186">
        <f t="shared" si="13"/>
        <v>8.3010299956639813</v>
      </c>
      <c r="X104" s="50">
        <v>5</v>
      </c>
      <c r="Y104" s="66" t="s">
        <v>45</v>
      </c>
    </row>
    <row r="105" spans="1:25" x14ac:dyDescent="0.35">
      <c r="A105" s="67">
        <v>0</v>
      </c>
      <c r="B105" s="52" t="s">
        <v>45</v>
      </c>
      <c r="C105" s="52">
        <v>7.536986301369863</v>
      </c>
      <c r="D105" s="50">
        <f t="shared" si="7"/>
        <v>0.87719772593320877</v>
      </c>
      <c r="E105" s="52">
        <v>0</v>
      </c>
      <c r="F105" s="52">
        <v>1</v>
      </c>
      <c r="G105" s="52">
        <v>2.95</v>
      </c>
      <c r="H105" s="50">
        <f t="shared" si="8"/>
        <v>0.46982201597816303</v>
      </c>
      <c r="I105" s="52">
        <v>0</v>
      </c>
      <c r="J105" s="52">
        <v>0.14301480025409513</v>
      </c>
      <c r="K105" s="52">
        <v>8</v>
      </c>
      <c r="L105" s="50">
        <f t="shared" si="9"/>
        <v>0.90308998699194354</v>
      </c>
      <c r="M105" s="52">
        <v>0</v>
      </c>
      <c r="N105" s="52">
        <v>91.4</v>
      </c>
      <c r="O105" s="50">
        <f t="shared" si="10"/>
        <v>1.9609461957338314</v>
      </c>
      <c r="P105" s="52">
        <v>26.7</v>
      </c>
      <c r="Q105" s="50">
        <f t="shared" si="11"/>
        <v>1.4265112613645752</v>
      </c>
      <c r="R105" s="52">
        <v>37.425715444240403</v>
      </c>
      <c r="S105" s="50">
        <f t="shared" si="12"/>
        <v>1.5731701112332821</v>
      </c>
      <c r="T105" s="52">
        <v>3.5168755324519045</v>
      </c>
      <c r="U105" s="52">
        <v>3.8089018284940463</v>
      </c>
      <c r="V105" s="187">
        <v>200000000</v>
      </c>
      <c r="W105" s="186">
        <f t="shared" si="13"/>
        <v>8.3010299956639813</v>
      </c>
      <c r="X105" s="52">
        <v>4</v>
      </c>
      <c r="Y105" s="68" t="s">
        <v>602</v>
      </c>
    </row>
    <row r="106" spans="1:25" x14ac:dyDescent="0.35">
      <c r="A106" s="49">
        <v>-0.66181268553726114</v>
      </c>
      <c r="B106" s="50" t="s">
        <v>45</v>
      </c>
      <c r="C106" s="50">
        <v>2.2986301369863016</v>
      </c>
      <c r="D106" s="50">
        <f t="shared" si="7"/>
        <v>0.36146909637222563</v>
      </c>
      <c r="E106" s="50">
        <v>0</v>
      </c>
      <c r="F106" s="50">
        <v>1.6434526764861874</v>
      </c>
      <c r="G106" s="50">
        <v>2.95</v>
      </c>
      <c r="H106" s="50">
        <f t="shared" si="8"/>
        <v>0.46982201597816303</v>
      </c>
      <c r="I106" s="50">
        <v>0</v>
      </c>
      <c r="J106" s="50">
        <v>-6.0480747381381476E-2</v>
      </c>
      <c r="K106" s="50">
        <v>42</v>
      </c>
      <c r="L106" s="50">
        <f t="shared" si="9"/>
        <v>1.6232492903979006</v>
      </c>
      <c r="M106" s="50">
        <v>0</v>
      </c>
      <c r="N106" s="50">
        <v>92.6</v>
      </c>
      <c r="O106" s="50">
        <f t="shared" si="10"/>
        <v>1.9666109866819343</v>
      </c>
      <c r="P106" s="50">
        <v>25.7</v>
      </c>
      <c r="Q106" s="50">
        <f t="shared" si="11"/>
        <v>1.4099331233312946</v>
      </c>
      <c r="R106" s="50">
        <v>39.823361151429197</v>
      </c>
      <c r="S106" s="50">
        <f t="shared" si="12"/>
        <v>1.6001379123442065</v>
      </c>
      <c r="T106" s="50">
        <v>3.1527645837352773</v>
      </c>
      <c r="U106" s="50">
        <v>3.5411223705253856</v>
      </c>
      <c r="V106" s="186">
        <v>201960000</v>
      </c>
      <c r="W106" s="186">
        <f t="shared" si="13"/>
        <v>8.305265362023448</v>
      </c>
      <c r="X106" s="50">
        <v>2</v>
      </c>
      <c r="Y106" s="66" t="s">
        <v>602</v>
      </c>
    </row>
    <row r="107" spans="1:25" x14ac:dyDescent="0.35">
      <c r="A107" s="67">
        <v>9.691001300805642E-2</v>
      </c>
      <c r="B107" s="52" t="s">
        <v>2</v>
      </c>
      <c r="C107" s="52">
        <v>3.7780821917808218</v>
      </c>
      <c r="D107" s="50">
        <f t="shared" si="7"/>
        <v>0.57727140171937508</v>
      </c>
      <c r="E107" s="52">
        <v>2.9629325585580042</v>
      </c>
      <c r="F107" s="52">
        <v>1.4623979978989561</v>
      </c>
      <c r="G107" s="52">
        <v>2.62</v>
      </c>
      <c r="H107" s="50">
        <f t="shared" si="8"/>
        <v>0.41830129131974547</v>
      </c>
      <c r="I107" s="52">
        <v>2.9323046139517812</v>
      </c>
      <c r="J107" s="52">
        <v>-4.5757490560675115E-2</v>
      </c>
      <c r="K107" s="52">
        <v>7</v>
      </c>
      <c r="L107" s="50">
        <f t="shared" si="9"/>
        <v>0.84509804001425681</v>
      </c>
      <c r="M107" s="52">
        <v>1</v>
      </c>
      <c r="N107" s="52">
        <v>88.9</v>
      </c>
      <c r="O107" s="50">
        <f t="shared" si="10"/>
        <v>1.9489017609702137</v>
      </c>
      <c r="P107" s="52">
        <v>34.9</v>
      </c>
      <c r="Q107" s="50">
        <f t="shared" si="11"/>
        <v>1.5428254269591799</v>
      </c>
      <c r="R107" s="52">
        <v>42.817370475444001</v>
      </c>
      <c r="S107" s="50">
        <f t="shared" si="12"/>
        <v>1.6316199926391717</v>
      </c>
      <c r="T107" s="52">
        <v>3.2860283894181141</v>
      </c>
      <c r="U107" s="52">
        <v>3.9098977130890344</v>
      </c>
      <c r="V107" s="187">
        <v>204800000</v>
      </c>
      <c r="W107" s="186">
        <f t="shared" si="13"/>
        <v>8.3113299523037938</v>
      </c>
      <c r="X107" s="52">
        <v>1</v>
      </c>
      <c r="Y107" s="68" t="s">
        <v>59</v>
      </c>
    </row>
    <row r="108" spans="1:25" x14ac:dyDescent="0.35">
      <c r="A108" s="49">
        <v>0.2338176423292847</v>
      </c>
      <c r="B108" s="50" t="s">
        <v>59</v>
      </c>
      <c r="C108" s="50">
        <v>3.8273972602739725</v>
      </c>
      <c r="D108" s="50">
        <f t="shared" si="7"/>
        <v>0.58290354165770719</v>
      </c>
      <c r="E108" s="50">
        <v>0</v>
      </c>
      <c r="F108" s="50">
        <v>0.95424250943932487</v>
      </c>
      <c r="G108" s="50">
        <v>3.29</v>
      </c>
      <c r="H108" s="50">
        <f t="shared" si="8"/>
        <v>0.51719589794997434</v>
      </c>
      <c r="I108" s="50">
        <v>0</v>
      </c>
      <c r="J108" s="50">
        <v>9.691001300805642E-2</v>
      </c>
      <c r="K108" s="50">
        <v>2</v>
      </c>
      <c r="L108" s="50">
        <f t="shared" si="9"/>
        <v>0.3010299956639812</v>
      </c>
      <c r="M108" s="50">
        <v>0</v>
      </c>
      <c r="N108" s="50">
        <v>85</v>
      </c>
      <c r="O108" s="50">
        <f t="shared" si="10"/>
        <v>1.9294189257142926</v>
      </c>
      <c r="P108" s="50">
        <v>32.299999999999997</v>
      </c>
      <c r="Q108" s="50">
        <f t="shared" si="11"/>
        <v>1.5092025223311027</v>
      </c>
      <c r="R108" s="50">
        <v>40.040400531970803</v>
      </c>
      <c r="S108" s="50">
        <f t="shared" si="12"/>
        <v>1.6024984131617945</v>
      </c>
      <c r="T108" s="50">
        <v>3.3438084825075891</v>
      </c>
      <c r="U108" s="50">
        <v>3.8895205457872843</v>
      </c>
      <c r="V108" s="186">
        <v>207210000</v>
      </c>
      <c r="W108" s="186">
        <f t="shared" si="13"/>
        <v>8.3164107107258101</v>
      </c>
      <c r="X108" s="50">
        <v>5</v>
      </c>
      <c r="Y108" s="66" t="s">
        <v>59</v>
      </c>
    </row>
    <row r="109" spans="1:25" x14ac:dyDescent="0.35">
      <c r="A109" s="67">
        <v>0.63617917447656325</v>
      </c>
      <c r="B109" s="52" t="s">
        <v>6</v>
      </c>
      <c r="C109" s="52">
        <v>4.3726027397260276</v>
      </c>
      <c r="D109" s="50">
        <f t="shared" si="7"/>
        <v>0.64074002255823592</v>
      </c>
      <c r="E109" s="52">
        <v>2.4227867541517965</v>
      </c>
      <c r="F109" s="52">
        <v>1.8260748027008264</v>
      </c>
      <c r="G109" s="52">
        <v>3.07</v>
      </c>
      <c r="H109" s="50">
        <f t="shared" si="8"/>
        <v>0.48713837547718647</v>
      </c>
      <c r="I109" s="52">
        <v>2.9283958522567137</v>
      </c>
      <c r="J109" s="52">
        <v>0.20682587603184968</v>
      </c>
      <c r="K109" s="52">
        <v>15</v>
      </c>
      <c r="L109" s="50">
        <f t="shared" si="9"/>
        <v>1.1760912590556813</v>
      </c>
      <c r="M109" s="52">
        <v>1</v>
      </c>
      <c r="N109" s="52">
        <v>91.6</v>
      </c>
      <c r="O109" s="50">
        <f t="shared" si="10"/>
        <v>1.9618954736678504</v>
      </c>
      <c r="P109" s="52">
        <v>45.1</v>
      </c>
      <c r="Q109" s="50">
        <f t="shared" si="11"/>
        <v>1.6541765418779606</v>
      </c>
      <c r="R109" s="52">
        <v>55.827525017854398</v>
      </c>
      <c r="S109" s="50">
        <f t="shared" si="12"/>
        <v>1.7468483748517865</v>
      </c>
      <c r="T109" s="52">
        <v>3.2258683317817765</v>
      </c>
      <c r="U109" s="52">
        <v>3.9615291224236637</v>
      </c>
      <c r="V109" s="187">
        <v>208000000</v>
      </c>
      <c r="W109" s="186">
        <f t="shared" si="13"/>
        <v>8.318063334962762</v>
      </c>
      <c r="X109" s="52">
        <v>1</v>
      </c>
      <c r="Y109" s="68" t="s">
        <v>163</v>
      </c>
    </row>
    <row r="110" spans="1:25" x14ac:dyDescent="0.35">
      <c r="A110" s="49">
        <v>0.22184874961635639</v>
      </c>
      <c r="B110" s="50" t="s">
        <v>45</v>
      </c>
      <c r="C110" s="50">
        <v>4.8082191780821919</v>
      </c>
      <c r="D110" s="50">
        <f t="shared" si="7"/>
        <v>0.68198425634536819</v>
      </c>
      <c r="E110" s="50">
        <v>0</v>
      </c>
      <c r="F110" s="50">
        <v>1.7853298350107671</v>
      </c>
      <c r="G110" s="50">
        <v>2.95</v>
      </c>
      <c r="H110" s="50">
        <f t="shared" si="8"/>
        <v>0.46982201597816303</v>
      </c>
      <c r="I110" s="50">
        <v>0</v>
      </c>
      <c r="J110" s="50">
        <v>-4.0958607678906384E-2</v>
      </c>
      <c r="K110" s="50">
        <v>2</v>
      </c>
      <c r="L110" s="50">
        <f t="shared" si="9"/>
        <v>0.3010299956639812</v>
      </c>
      <c r="M110" s="50">
        <v>0</v>
      </c>
      <c r="N110" s="50">
        <v>91.4</v>
      </c>
      <c r="O110" s="50">
        <f t="shared" si="10"/>
        <v>1.9609461957338314</v>
      </c>
      <c r="P110" s="50">
        <v>26.7</v>
      </c>
      <c r="Q110" s="50">
        <f t="shared" si="11"/>
        <v>1.4265112613645752</v>
      </c>
      <c r="R110" s="50">
        <v>37.425715444240403</v>
      </c>
      <c r="S110" s="50">
        <f t="shared" si="12"/>
        <v>1.5731701112332821</v>
      </c>
      <c r="T110" s="50">
        <v>3.3481258369969185</v>
      </c>
      <c r="U110" s="50">
        <v>3.8736689739586678</v>
      </c>
      <c r="V110" s="186">
        <v>210000000</v>
      </c>
      <c r="W110" s="186">
        <f t="shared" si="13"/>
        <v>8.3222192947339195</v>
      </c>
      <c r="X110" s="50">
        <v>2</v>
      </c>
      <c r="Y110" s="66" t="s">
        <v>45</v>
      </c>
    </row>
    <row r="111" spans="1:25" x14ac:dyDescent="0.35">
      <c r="A111" s="67">
        <v>0.15490195998574319</v>
      </c>
      <c r="B111" s="52" t="s">
        <v>5</v>
      </c>
      <c r="C111" s="52">
        <v>5.2438356164383562</v>
      </c>
      <c r="D111" s="50">
        <f t="shared" si="7"/>
        <v>0.7196490689843501</v>
      </c>
      <c r="E111" s="52">
        <v>3.7916829312790057</v>
      </c>
      <c r="F111" s="52">
        <v>0</v>
      </c>
      <c r="G111" s="52">
        <v>2.72</v>
      </c>
      <c r="H111" s="50">
        <f t="shared" si="8"/>
        <v>0.43456890403419873</v>
      </c>
      <c r="I111" s="52">
        <v>3.0355631414974997</v>
      </c>
      <c r="J111" s="52">
        <v>0.16435285578443709</v>
      </c>
      <c r="K111" s="52">
        <v>9</v>
      </c>
      <c r="L111" s="50">
        <f t="shared" si="9"/>
        <v>0.95424250943932487</v>
      </c>
      <c r="M111" s="52">
        <v>1</v>
      </c>
      <c r="N111" s="52">
        <v>85</v>
      </c>
      <c r="O111" s="50">
        <f t="shared" si="10"/>
        <v>1.9294189257142926</v>
      </c>
      <c r="P111" s="52">
        <v>37.299999999999997</v>
      </c>
      <c r="Q111" s="50">
        <f t="shared" si="11"/>
        <v>1.5717088318086876</v>
      </c>
      <c r="R111" s="52">
        <v>46.9693144722524</v>
      </c>
      <c r="S111" s="50">
        <f t="shared" si="12"/>
        <v>1.6718142216035041</v>
      </c>
      <c r="T111" s="52">
        <v>3.3151244779693188</v>
      </c>
      <c r="U111" s="52">
        <v>3.8475683751239629</v>
      </c>
      <c r="V111" s="187">
        <v>210000000</v>
      </c>
      <c r="W111" s="186">
        <f t="shared" si="13"/>
        <v>8.3222192947339195</v>
      </c>
      <c r="X111" s="52">
        <v>1</v>
      </c>
      <c r="Y111" s="68" t="s">
        <v>45</v>
      </c>
    </row>
    <row r="112" spans="1:25" x14ac:dyDescent="0.35">
      <c r="A112" s="49">
        <v>-0.49717729747086076</v>
      </c>
      <c r="B112" s="50" t="s">
        <v>59</v>
      </c>
      <c r="C112" s="50">
        <v>0.4</v>
      </c>
      <c r="D112" s="50">
        <f t="shared" si="7"/>
        <v>-0.3979400086720376</v>
      </c>
      <c r="E112" s="50">
        <v>0</v>
      </c>
      <c r="F112" s="50">
        <v>1.2787536009528289</v>
      </c>
      <c r="G112" s="50">
        <v>3.29</v>
      </c>
      <c r="H112" s="50">
        <f t="shared" si="8"/>
        <v>0.51719589794997434</v>
      </c>
      <c r="I112" s="50">
        <v>0</v>
      </c>
      <c r="J112" s="50">
        <v>1.2837224705172217E-2</v>
      </c>
      <c r="K112" s="50">
        <v>20</v>
      </c>
      <c r="L112" s="50">
        <f t="shared" si="9"/>
        <v>1.3010299956639813</v>
      </c>
      <c r="M112" s="50">
        <v>0</v>
      </c>
      <c r="N112" s="50">
        <v>85</v>
      </c>
      <c r="O112" s="50">
        <f t="shared" si="10"/>
        <v>1.9294189257142926</v>
      </c>
      <c r="P112" s="50">
        <v>32.9</v>
      </c>
      <c r="Q112" s="50">
        <f t="shared" si="11"/>
        <v>1.5171958979499742</v>
      </c>
      <c r="R112" s="50">
        <v>35.433808146393098</v>
      </c>
      <c r="S112" s="50">
        <f t="shared" si="12"/>
        <v>1.5494178293890581</v>
      </c>
      <c r="T112" s="50">
        <v>3.2327651641054547</v>
      </c>
      <c r="U112" s="50">
        <v>3.9527244147731087</v>
      </c>
      <c r="V112" s="186">
        <v>210500000</v>
      </c>
      <c r="W112" s="186">
        <f t="shared" si="13"/>
        <v>8.3232521001716879</v>
      </c>
      <c r="X112" s="50">
        <v>5</v>
      </c>
      <c r="Y112" s="66" t="s">
        <v>59</v>
      </c>
    </row>
    <row r="113" spans="1:25" x14ac:dyDescent="0.35">
      <c r="A113" s="67">
        <v>0.41497334797081797</v>
      </c>
      <c r="B113" s="108" t="s">
        <v>59</v>
      </c>
      <c r="C113" s="52">
        <v>7.6</v>
      </c>
      <c r="D113" s="50">
        <f t="shared" si="7"/>
        <v>0.88081359228079137</v>
      </c>
      <c r="E113" s="52">
        <v>0</v>
      </c>
      <c r="F113" s="52">
        <v>1.2041199826559248</v>
      </c>
      <c r="G113" s="52">
        <v>3.29</v>
      </c>
      <c r="H113" s="50">
        <f t="shared" si="8"/>
        <v>0.51719589794997434</v>
      </c>
      <c r="I113" s="52">
        <v>0</v>
      </c>
      <c r="J113" s="52">
        <v>0.30963016742589877</v>
      </c>
      <c r="K113" s="52">
        <v>23</v>
      </c>
      <c r="L113" s="50">
        <f t="shared" si="9"/>
        <v>1.3617278360175928</v>
      </c>
      <c r="M113" s="52">
        <v>0</v>
      </c>
      <c r="N113" s="52">
        <v>94.6</v>
      </c>
      <c r="O113" s="50">
        <f t="shared" si="10"/>
        <v>1.9758911364017928</v>
      </c>
      <c r="P113" s="52">
        <v>33.200000000000003</v>
      </c>
      <c r="Q113" s="50">
        <f t="shared" si="11"/>
        <v>1.5211380837040362</v>
      </c>
      <c r="R113" s="52">
        <v>45.921427555082097</v>
      </c>
      <c r="S113" s="50">
        <f t="shared" si="12"/>
        <v>1.6620153804713207</v>
      </c>
      <c r="T113" s="52">
        <v>3.5347454529897258</v>
      </c>
      <c r="U113" s="52">
        <v>3.9695495619878729</v>
      </c>
      <c r="V113" s="187">
        <v>215000000</v>
      </c>
      <c r="W113" s="186">
        <f t="shared" si="13"/>
        <v>8.3324384599156058</v>
      </c>
      <c r="X113" s="52">
        <v>5</v>
      </c>
      <c r="Y113" s="109" t="s">
        <v>59</v>
      </c>
    </row>
    <row r="114" spans="1:25" x14ac:dyDescent="0.35">
      <c r="A114" s="49">
        <v>0.33137510772884793</v>
      </c>
      <c r="B114" s="50" t="s">
        <v>4</v>
      </c>
      <c r="C114" s="50">
        <v>5.6356164383561644</v>
      </c>
      <c r="D114" s="50">
        <f t="shared" si="7"/>
        <v>0.7509414272382493</v>
      </c>
      <c r="E114" s="50">
        <v>0</v>
      </c>
      <c r="F114" s="50">
        <v>1.7634279935629373</v>
      </c>
      <c r="G114" s="50">
        <v>3.59</v>
      </c>
      <c r="H114" s="50">
        <f t="shared" si="8"/>
        <v>0.55509444857831913</v>
      </c>
      <c r="I114" s="50">
        <v>0</v>
      </c>
      <c r="J114" s="50">
        <v>-4.5757490560675115E-2</v>
      </c>
      <c r="K114" s="50">
        <v>5</v>
      </c>
      <c r="L114" s="50">
        <f t="shared" si="9"/>
        <v>0.69897000433601886</v>
      </c>
      <c r="M114" s="50">
        <v>0</v>
      </c>
      <c r="N114" s="50">
        <v>70</v>
      </c>
      <c r="O114" s="50">
        <f t="shared" si="10"/>
        <v>1.8450980400142569</v>
      </c>
      <c r="P114" s="50">
        <v>48.8</v>
      </c>
      <c r="Q114" s="50">
        <f t="shared" si="11"/>
        <v>1.6884198220027107</v>
      </c>
      <c r="R114" s="50">
        <v>56.244853437044902</v>
      </c>
      <c r="S114" s="50">
        <f t="shared" si="12"/>
        <v>1.750082789429638</v>
      </c>
      <c r="T114" s="50">
        <v>3.1616209089088487</v>
      </c>
      <c r="U114" s="50">
        <v>3.7997633234477775</v>
      </c>
      <c r="V114" s="186">
        <v>216809269</v>
      </c>
      <c r="W114" s="186">
        <f t="shared" si="13"/>
        <v>8.3360778451611068</v>
      </c>
      <c r="X114" s="50">
        <v>5</v>
      </c>
      <c r="Y114" s="66" t="s">
        <v>4</v>
      </c>
    </row>
    <row r="115" spans="1:25" x14ac:dyDescent="0.35">
      <c r="A115" s="67">
        <v>0.58142087451127222</v>
      </c>
      <c r="B115" s="52" t="s">
        <v>59</v>
      </c>
      <c r="C115" s="52">
        <v>3.8684931506849316</v>
      </c>
      <c r="D115" s="50">
        <f t="shared" si="7"/>
        <v>0.58754183225931023</v>
      </c>
      <c r="E115" s="52">
        <v>0</v>
      </c>
      <c r="F115" s="52">
        <v>1.8061799739838871</v>
      </c>
      <c r="G115" s="52">
        <v>3.29</v>
      </c>
      <c r="H115" s="50">
        <f t="shared" si="8"/>
        <v>0.51719589794997434</v>
      </c>
      <c r="I115" s="52">
        <v>0</v>
      </c>
      <c r="J115" s="52">
        <v>0.17026171539495738</v>
      </c>
      <c r="K115" s="52">
        <v>29</v>
      </c>
      <c r="L115" s="50">
        <f t="shared" si="9"/>
        <v>1.4623979978989561</v>
      </c>
      <c r="M115" s="52">
        <v>0</v>
      </c>
      <c r="N115" s="52">
        <v>94.1</v>
      </c>
      <c r="O115" s="50">
        <f t="shared" si="10"/>
        <v>1.973589623427257</v>
      </c>
      <c r="P115" s="52">
        <v>32.200000000000003</v>
      </c>
      <c r="Q115" s="50">
        <f t="shared" si="11"/>
        <v>1.507855871695831</v>
      </c>
      <c r="R115" s="52">
        <v>43.9397801796012</v>
      </c>
      <c r="S115" s="50">
        <f t="shared" si="12"/>
        <v>1.6428578799166489</v>
      </c>
      <c r="T115" s="52">
        <v>3.2555397552391718</v>
      </c>
      <c r="U115" s="52">
        <v>3.9251377713585649</v>
      </c>
      <c r="V115" s="187">
        <v>218910000</v>
      </c>
      <c r="W115" s="186">
        <f t="shared" si="13"/>
        <v>8.3402656009723302</v>
      </c>
      <c r="X115" s="52">
        <v>2</v>
      </c>
      <c r="Y115" s="68" t="s">
        <v>577</v>
      </c>
    </row>
    <row r="116" spans="1:25" x14ac:dyDescent="0.35">
      <c r="A116" s="49">
        <v>-0.15050885164204009</v>
      </c>
      <c r="B116" s="50" t="s">
        <v>5</v>
      </c>
      <c r="C116" s="50">
        <v>5.0383561643835613</v>
      </c>
      <c r="D116" s="50">
        <f t="shared" si="7"/>
        <v>0.70228886478160268</v>
      </c>
      <c r="E116" s="50">
        <v>3.7916829312790057</v>
      </c>
      <c r="F116" s="50">
        <v>0.77815125038364363</v>
      </c>
      <c r="G116" s="50">
        <v>2.72</v>
      </c>
      <c r="H116" s="50">
        <f t="shared" si="8"/>
        <v>0.43456890403419873</v>
      </c>
      <c r="I116" s="50">
        <v>3.0355631414974997</v>
      </c>
      <c r="J116" s="50">
        <v>0.22271647114758325</v>
      </c>
      <c r="K116" s="50">
        <v>12</v>
      </c>
      <c r="L116" s="50">
        <f t="shared" si="9"/>
        <v>1.0791812460476249</v>
      </c>
      <c r="M116" s="50">
        <v>1</v>
      </c>
      <c r="N116" s="50">
        <v>83</v>
      </c>
      <c r="O116" s="50">
        <f t="shared" si="10"/>
        <v>1.919078092376074</v>
      </c>
      <c r="P116" s="50">
        <v>36.1</v>
      </c>
      <c r="Q116" s="50">
        <f t="shared" si="11"/>
        <v>1.5575072019056579</v>
      </c>
      <c r="R116" s="50">
        <v>46.521758221126703</v>
      </c>
      <c r="S116" s="50">
        <f t="shared" si="12"/>
        <v>1.6676561198849535</v>
      </c>
      <c r="T116" s="50">
        <v>3.1630287862164392</v>
      </c>
      <c r="U116" s="50">
        <v>3.8199093495153855</v>
      </c>
      <c r="V116" s="186">
        <v>219200000</v>
      </c>
      <c r="W116" s="186">
        <f t="shared" si="13"/>
        <v>8.3408405498123308</v>
      </c>
      <c r="X116" s="50">
        <v>3</v>
      </c>
      <c r="Y116" s="66" t="s">
        <v>45</v>
      </c>
    </row>
    <row r="117" spans="1:25" x14ac:dyDescent="0.35">
      <c r="A117" s="67">
        <v>0.12115543630776511</v>
      </c>
      <c r="B117" s="52" t="s">
        <v>163</v>
      </c>
      <c r="C117" s="52">
        <v>8.7452054794520553</v>
      </c>
      <c r="D117" s="50">
        <f t="shared" si="7"/>
        <v>0.94177001822221718</v>
      </c>
      <c r="E117" s="52">
        <v>3.7899753459779522</v>
      </c>
      <c r="F117" s="52">
        <v>1.5563025007672873</v>
      </c>
      <c r="G117" s="52">
        <v>3.18</v>
      </c>
      <c r="H117" s="50">
        <f t="shared" si="8"/>
        <v>0.50242711998443268</v>
      </c>
      <c r="I117" s="52">
        <v>2.7670321178317625</v>
      </c>
      <c r="J117" s="52">
        <v>0.12385164096708581</v>
      </c>
      <c r="K117" s="52">
        <v>11</v>
      </c>
      <c r="L117" s="50">
        <f t="shared" si="9"/>
        <v>1.0413926851582251</v>
      </c>
      <c r="M117" s="52">
        <v>1</v>
      </c>
      <c r="N117" s="52">
        <v>85</v>
      </c>
      <c r="O117" s="50">
        <f t="shared" si="10"/>
        <v>1.9294189257142926</v>
      </c>
      <c r="P117" s="52">
        <v>43.5</v>
      </c>
      <c r="Q117" s="50">
        <f t="shared" si="11"/>
        <v>1.6384892569546374</v>
      </c>
      <c r="R117" s="52">
        <v>52.924485315438503</v>
      </c>
      <c r="S117" s="50">
        <f t="shared" si="12"/>
        <v>1.7236566432478624</v>
      </c>
      <c r="T117" s="52">
        <v>3.0958500844125241</v>
      </c>
      <c r="U117" s="52">
        <v>3.5078178355445662</v>
      </c>
      <c r="V117" s="187">
        <v>219403000</v>
      </c>
      <c r="W117" s="186">
        <f t="shared" si="13"/>
        <v>8.3412425615911907</v>
      </c>
      <c r="X117" s="52">
        <v>1</v>
      </c>
      <c r="Y117" s="68" t="s">
        <v>602</v>
      </c>
    </row>
    <row r="118" spans="1:25" x14ac:dyDescent="0.35">
      <c r="A118" s="49">
        <v>0.60940035449370578</v>
      </c>
      <c r="B118" s="50" t="s">
        <v>497</v>
      </c>
      <c r="C118" s="50">
        <v>5.4986301369863018</v>
      </c>
      <c r="D118" s="50">
        <f t="shared" si="7"/>
        <v>0.74025450803101089</v>
      </c>
      <c r="E118" s="50">
        <v>2.6674249329872439</v>
      </c>
      <c r="F118" s="50">
        <v>1.505149978319906</v>
      </c>
      <c r="G118" s="50">
        <v>2.61</v>
      </c>
      <c r="H118" s="50">
        <f t="shared" si="8"/>
        <v>0.41664050733828095</v>
      </c>
      <c r="I118" s="50">
        <v>2.2881746749783951</v>
      </c>
      <c r="J118" s="50">
        <v>0.250420002308894</v>
      </c>
      <c r="K118" s="50">
        <v>25</v>
      </c>
      <c r="L118" s="50">
        <f t="shared" si="9"/>
        <v>1.3979400086720377</v>
      </c>
      <c r="M118" s="50">
        <v>1</v>
      </c>
      <c r="N118" s="50">
        <v>92.8</v>
      </c>
      <c r="O118" s="50">
        <f t="shared" si="10"/>
        <v>1.9675479762188621</v>
      </c>
      <c r="P118" s="50">
        <v>27</v>
      </c>
      <c r="Q118" s="50">
        <f t="shared" si="11"/>
        <v>1.4313637641589874</v>
      </c>
      <c r="R118" s="50">
        <v>65.041501268831993</v>
      </c>
      <c r="S118" s="50">
        <f t="shared" si="12"/>
        <v>1.8131905569593969</v>
      </c>
      <c r="T118" s="50">
        <v>3.2699236952309461</v>
      </c>
      <c r="U118" s="50">
        <v>3.6984415808994222</v>
      </c>
      <c r="V118" s="186">
        <v>220000000</v>
      </c>
      <c r="W118" s="186">
        <f t="shared" si="13"/>
        <v>8.3424226808222066</v>
      </c>
      <c r="X118" s="50">
        <v>2</v>
      </c>
      <c r="Y118" s="66" t="s">
        <v>577</v>
      </c>
    </row>
    <row r="119" spans="1:25" x14ac:dyDescent="0.35">
      <c r="A119" s="67">
        <v>0.33674583275077291</v>
      </c>
      <c r="B119" s="84" t="s">
        <v>59</v>
      </c>
      <c r="C119" s="52">
        <v>8.6630136986301363</v>
      </c>
      <c r="D119" s="50">
        <f t="shared" si="7"/>
        <v>0.93766900113971552</v>
      </c>
      <c r="E119" s="52">
        <v>0</v>
      </c>
      <c r="F119" s="52">
        <v>0.77815125038364363</v>
      </c>
      <c r="G119" s="52">
        <v>3.29</v>
      </c>
      <c r="H119" s="50">
        <f t="shared" si="8"/>
        <v>0.51719589794997434</v>
      </c>
      <c r="I119" s="52">
        <v>0</v>
      </c>
      <c r="J119" s="52">
        <v>0.40483371661993806</v>
      </c>
      <c r="K119" s="52">
        <v>24</v>
      </c>
      <c r="L119" s="50">
        <f t="shared" si="9"/>
        <v>1.3802112417116059</v>
      </c>
      <c r="M119" s="52">
        <v>0</v>
      </c>
      <c r="N119" s="52">
        <v>89.8</v>
      </c>
      <c r="O119" s="50">
        <f t="shared" si="10"/>
        <v>1.9532763366673043</v>
      </c>
      <c r="P119" s="52">
        <v>31.2</v>
      </c>
      <c r="Q119" s="50">
        <f t="shared" si="11"/>
        <v>1.4941545940184429</v>
      </c>
      <c r="R119" s="52">
        <v>47.307367293927399</v>
      </c>
      <c r="S119" s="50">
        <f t="shared" si="12"/>
        <v>1.6749287797641836</v>
      </c>
      <c r="T119" s="52">
        <v>3.2699236952309465</v>
      </c>
      <c r="U119" s="52">
        <v>3.6984415808994222</v>
      </c>
      <c r="V119" s="187">
        <v>222300000</v>
      </c>
      <c r="W119" s="186">
        <f t="shared" si="13"/>
        <v>8.346939462698991</v>
      </c>
      <c r="X119" s="52">
        <v>6</v>
      </c>
      <c r="Y119" s="103" t="s">
        <v>59</v>
      </c>
    </row>
    <row r="120" spans="1:25" x14ac:dyDescent="0.35">
      <c r="A120" s="49">
        <v>0.35878060088391328</v>
      </c>
      <c r="B120" s="50" t="s">
        <v>59</v>
      </c>
      <c r="C120" s="50">
        <v>2.8876712328767122</v>
      </c>
      <c r="D120" s="50">
        <f t="shared" si="7"/>
        <v>0.46054774642005308</v>
      </c>
      <c r="E120" s="50">
        <v>0</v>
      </c>
      <c r="F120" s="50">
        <v>1.6901960800285136</v>
      </c>
      <c r="G120" s="50">
        <v>3.29</v>
      </c>
      <c r="H120" s="50">
        <f t="shared" si="8"/>
        <v>0.51719589794997434</v>
      </c>
      <c r="I120" s="50">
        <v>0</v>
      </c>
      <c r="J120" s="50">
        <v>6.8185861746161619E-2</v>
      </c>
      <c r="K120" s="50">
        <v>21</v>
      </c>
      <c r="L120" s="50">
        <f t="shared" si="9"/>
        <v>1.3222192947339193</v>
      </c>
      <c r="M120" s="50">
        <v>0</v>
      </c>
      <c r="N120" s="50">
        <v>85</v>
      </c>
      <c r="O120" s="50">
        <f t="shared" si="10"/>
        <v>1.9294189257142926</v>
      </c>
      <c r="P120" s="50">
        <v>32.700000000000003</v>
      </c>
      <c r="Q120" s="50">
        <f t="shared" si="11"/>
        <v>1.5145477526602862</v>
      </c>
      <c r="R120" s="50">
        <v>41.286751495766303</v>
      </c>
      <c r="S120" s="50">
        <f t="shared" si="12"/>
        <v>1.6158107132703448</v>
      </c>
      <c r="T120" s="50">
        <v>3.2555397552391718</v>
      </c>
      <c r="U120" s="50">
        <v>3.9251377713585649</v>
      </c>
      <c r="V120" s="186">
        <v>225000000</v>
      </c>
      <c r="W120" s="186">
        <f t="shared" si="13"/>
        <v>8.3521825181113627</v>
      </c>
      <c r="X120" s="50">
        <v>1</v>
      </c>
      <c r="Y120" s="66" t="s">
        <v>59</v>
      </c>
    </row>
    <row r="121" spans="1:25" x14ac:dyDescent="0.35">
      <c r="A121" s="67">
        <v>0.5561298209815333</v>
      </c>
      <c r="B121" s="52" t="s">
        <v>59</v>
      </c>
      <c r="C121" s="52">
        <v>6.0739726027397261</v>
      </c>
      <c r="D121" s="50">
        <f t="shared" si="7"/>
        <v>0.78347282865801349</v>
      </c>
      <c r="E121" s="52">
        <v>0</v>
      </c>
      <c r="F121" s="52">
        <v>0.6020599913279624</v>
      </c>
      <c r="G121" s="52">
        <v>3.29</v>
      </c>
      <c r="H121" s="50">
        <f t="shared" si="8"/>
        <v>0.51719589794997434</v>
      </c>
      <c r="I121" s="52">
        <v>0</v>
      </c>
      <c r="J121" s="52">
        <v>2.5305865264770262E-2</v>
      </c>
      <c r="K121" s="52">
        <v>15</v>
      </c>
      <c r="L121" s="50">
        <f t="shared" si="9"/>
        <v>1.1760912590556813</v>
      </c>
      <c r="M121" s="52">
        <v>0</v>
      </c>
      <c r="N121" s="52">
        <v>85</v>
      </c>
      <c r="O121" s="50">
        <f t="shared" si="10"/>
        <v>1.9294189257142926</v>
      </c>
      <c r="P121" s="52">
        <v>31.3</v>
      </c>
      <c r="Q121" s="50">
        <f t="shared" si="11"/>
        <v>1.4955443375464486</v>
      </c>
      <c r="R121" s="52">
        <v>38.7850112673514</v>
      </c>
      <c r="S121" s="50">
        <f t="shared" si="12"/>
        <v>1.5886639219461918</v>
      </c>
      <c r="T121" s="52">
        <v>3.5347454529897258</v>
      </c>
      <c r="U121" s="52">
        <v>3.9695495619878729</v>
      </c>
      <c r="V121" s="187">
        <v>225000000</v>
      </c>
      <c r="W121" s="186">
        <f t="shared" si="13"/>
        <v>8.3521825181113627</v>
      </c>
      <c r="X121" s="52">
        <v>7</v>
      </c>
      <c r="Y121" s="68" t="s">
        <v>59</v>
      </c>
    </row>
    <row r="122" spans="1:25" x14ac:dyDescent="0.35">
      <c r="A122" s="49">
        <v>0.35878060088391328</v>
      </c>
      <c r="B122" s="50" t="s">
        <v>59</v>
      </c>
      <c r="C122" s="50">
        <v>2.4712328767123286</v>
      </c>
      <c r="D122" s="50">
        <f t="shared" si="7"/>
        <v>0.39291367308546699</v>
      </c>
      <c r="E122" s="50">
        <v>0</v>
      </c>
      <c r="F122" s="50">
        <v>1.6901960800285136</v>
      </c>
      <c r="G122" s="50">
        <v>3.29</v>
      </c>
      <c r="H122" s="50">
        <f t="shared" si="8"/>
        <v>0.51719589794997434</v>
      </c>
      <c r="I122" s="50">
        <v>0</v>
      </c>
      <c r="J122" s="50">
        <v>3.7426497940623665E-2</v>
      </c>
      <c r="K122" s="50">
        <v>21</v>
      </c>
      <c r="L122" s="50">
        <f t="shared" si="9"/>
        <v>1.3222192947339193</v>
      </c>
      <c r="M122" s="50">
        <v>0</v>
      </c>
      <c r="N122" s="50">
        <v>85</v>
      </c>
      <c r="O122" s="50">
        <f t="shared" si="10"/>
        <v>1.9294189257142926</v>
      </c>
      <c r="P122" s="50">
        <v>32.700000000000003</v>
      </c>
      <c r="Q122" s="50">
        <f t="shared" si="11"/>
        <v>1.5145477526602862</v>
      </c>
      <c r="R122" s="50">
        <v>41.286751495766303</v>
      </c>
      <c r="S122" s="50">
        <f t="shared" si="12"/>
        <v>1.6158107132703448</v>
      </c>
      <c r="T122" s="50">
        <v>3.2555397552391718</v>
      </c>
      <c r="U122" s="50">
        <v>3.9251377713585649</v>
      </c>
      <c r="V122" s="186">
        <v>225000000</v>
      </c>
      <c r="W122" s="186">
        <f t="shared" si="13"/>
        <v>8.3521825181113627</v>
      </c>
      <c r="X122" s="50">
        <v>1</v>
      </c>
      <c r="Y122" s="66" t="s">
        <v>577</v>
      </c>
    </row>
    <row r="123" spans="1:25" x14ac:dyDescent="0.35">
      <c r="A123" s="67">
        <v>0.77011529478710161</v>
      </c>
      <c r="B123" s="52" t="s">
        <v>45</v>
      </c>
      <c r="C123" s="52">
        <v>2.2876712328767121</v>
      </c>
      <c r="D123" s="50">
        <f t="shared" si="7"/>
        <v>0.35939361102712736</v>
      </c>
      <c r="E123" s="52">
        <v>0</v>
      </c>
      <c r="F123" s="52">
        <v>0.6020599913279624</v>
      </c>
      <c r="G123" s="52">
        <v>2.95</v>
      </c>
      <c r="H123" s="50">
        <f t="shared" si="8"/>
        <v>0.46982201597816303</v>
      </c>
      <c r="I123" s="52">
        <v>0</v>
      </c>
      <c r="J123" s="52">
        <v>0.10720996964786837</v>
      </c>
      <c r="K123" s="52">
        <v>20</v>
      </c>
      <c r="L123" s="50">
        <f t="shared" si="9"/>
        <v>1.3010299956639813</v>
      </c>
      <c r="M123" s="52">
        <v>0</v>
      </c>
      <c r="N123" s="52">
        <v>85</v>
      </c>
      <c r="O123" s="50">
        <f t="shared" si="10"/>
        <v>1.9294189257142926</v>
      </c>
      <c r="P123" s="52">
        <v>25.9</v>
      </c>
      <c r="Q123" s="50">
        <f t="shared" si="11"/>
        <v>1.4132997640812519</v>
      </c>
      <c r="R123" s="52">
        <v>36.959146749272797</v>
      </c>
      <c r="S123" s="50">
        <f t="shared" si="12"/>
        <v>1.5677219364019672</v>
      </c>
      <c r="T123" s="52">
        <v>3.3647319918335836</v>
      </c>
      <c r="U123" s="52">
        <v>3.568659604598353</v>
      </c>
      <c r="V123" s="187">
        <v>225000000</v>
      </c>
      <c r="W123" s="186">
        <f t="shared" si="13"/>
        <v>8.3521825181113627</v>
      </c>
      <c r="X123" s="52">
        <v>1</v>
      </c>
      <c r="Y123" s="68" t="s">
        <v>602</v>
      </c>
    </row>
    <row r="124" spans="1:25" x14ac:dyDescent="0.35">
      <c r="A124" s="49">
        <v>0.61827553556615344</v>
      </c>
      <c r="B124" s="50" t="s">
        <v>59</v>
      </c>
      <c r="C124" s="50">
        <v>5.5260273972602736</v>
      </c>
      <c r="D124" s="50">
        <f t="shared" si="7"/>
        <v>0.74241303375629075</v>
      </c>
      <c r="E124" s="50">
        <v>0</v>
      </c>
      <c r="F124" s="50">
        <v>1.146128035678238</v>
      </c>
      <c r="G124" s="50">
        <v>3.29</v>
      </c>
      <c r="H124" s="50">
        <f t="shared" si="8"/>
        <v>0.51719589794997434</v>
      </c>
      <c r="I124" s="50">
        <v>0</v>
      </c>
      <c r="J124" s="50">
        <v>-4.3648054024500883E-3</v>
      </c>
      <c r="K124" s="50">
        <v>20</v>
      </c>
      <c r="L124" s="50">
        <f t="shared" si="9"/>
        <v>1.3010299956639813</v>
      </c>
      <c r="M124" s="50">
        <v>0</v>
      </c>
      <c r="N124" s="50">
        <v>85</v>
      </c>
      <c r="O124" s="50">
        <f t="shared" si="10"/>
        <v>1.9294189257142926</v>
      </c>
      <c r="P124" s="50">
        <v>32.299999999999997</v>
      </c>
      <c r="Q124" s="50">
        <f t="shared" si="11"/>
        <v>1.5092025223311027</v>
      </c>
      <c r="R124" s="50">
        <v>40.040400531970803</v>
      </c>
      <c r="S124" s="50">
        <f t="shared" si="12"/>
        <v>1.6024984131617945</v>
      </c>
      <c r="T124" s="50">
        <v>3.2555397552391718</v>
      </c>
      <c r="U124" s="50">
        <v>3.9251377713585649</v>
      </c>
      <c r="V124" s="186">
        <v>230000000</v>
      </c>
      <c r="W124" s="186">
        <f t="shared" si="13"/>
        <v>8.3617278360175931</v>
      </c>
      <c r="X124" s="50">
        <v>5</v>
      </c>
      <c r="Y124" s="66" t="s">
        <v>59</v>
      </c>
    </row>
    <row r="125" spans="1:25" x14ac:dyDescent="0.35">
      <c r="A125" s="67">
        <v>0.29148467775775083</v>
      </c>
      <c r="B125" s="52" t="s">
        <v>59</v>
      </c>
      <c r="C125" s="52">
        <v>5.0630136986301366</v>
      </c>
      <c r="D125" s="50">
        <f t="shared" si="7"/>
        <v>0.70440910242761312</v>
      </c>
      <c r="E125" s="52">
        <v>3.7707754512906644</v>
      </c>
      <c r="F125" s="52">
        <v>0</v>
      </c>
      <c r="G125" s="52">
        <v>2.3199999999999998</v>
      </c>
      <c r="H125" s="50">
        <f t="shared" si="8"/>
        <v>0.36548798489089962</v>
      </c>
      <c r="I125" s="52">
        <v>2.1238516409670858</v>
      </c>
      <c r="J125" s="52">
        <v>-4.3648054024500883E-3</v>
      </c>
      <c r="K125" s="52">
        <v>18</v>
      </c>
      <c r="L125" s="50">
        <f t="shared" si="9"/>
        <v>1.255272505103306</v>
      </c>
      <c r="M125" s="52">
        <v>1</v>
      </c>
      <c r="N125" s="52">
        <v>85</v>
      </c>
      <c r="O125" s="50">
        <f t="shared" si="10"/>
        <v>1.9294189257142926</v>
      </c>
      <c r="P125" s="52">
        <v>32.700000000000003</v>
      </c>
      <c r="Q125" s="50">
        <f t="shared" si="11"/>
        <v>1.5145477526602862</v>
      </c>
      <c r="R125" s="52">
        <v>41.286751495766303</v>
      </c>
      <c r="S125" s="50">
        <f t="shared" si="12"/>
        <v>1.6158107132703448</v>
      </c>
      <c r="T125" s="52">
        <v>3.0958500844125241</v>
      </c>
      <c r="U125" s="52">
        <v>3.5078178355445662</v>
      </c>
      <c r="V125" s="187">
        <v>230000000</v>
      </c>
      <c r="W125" s="186">
        <f t="shared" si="13"/>
        <v>8.3617278360175931</v>
      </c>
      <c r="X125" s="52">
        <v>5</v>
      </c>
      <c r="Y125" s="68" t="s">
        <v>602</v>
      </c>
    </row>
    <row r="126" spans="1:25" x14ac:dyDescent="0.35">
      <c r="A126" s="49">
        <v>0.55208601636612376</v>
      </c>
      <c r="B126" s="50" t="s">
        <v>59</v>
      </c>
      <c r="C126" s="50">
        <v>2.8356164383561642</v>
      </c>
      <c r="D126" s="50">
        <f t="shared" si="7"/>
        <v>0.45264748533646182</v>
      </c>
      <c r="E126" s="50">
        <v>3.7707754512906644</v>
      </c>
      <c r="F126" s="50">
        <v>1.7781512503836436</v>
      </c>
      <c r="G126" s="50">
        <v>2.3199999999999998</v>
      </c>
      <c r="H126" s="50">
        <f t="shared" si="8"/>
        <v>0.36548798489089962</v>
      </c>
      <c r="I126" s="50">
        <v>2.1238516409670858</v>
      </c>
      <c r="J126" s="50">
        <v>8.2785370316450071E-2</v>
      </c>
      <c r="K126" s="50">
        <v>29</v>
      </c>
      <c r="L126" s="50">
        <f t="shared" si="9"/>
        <v>1.4623979978989561</v>
      </c>
      <c r="M126" s="50">
        <v>1</v>
      </c>
      <c r="N126" s="50">
        <v>94.1</v>
      </c>
      <c r="O126" s="50">
        <f t="shared" si="10"/>
        <v>1.973589623427257</v>
      </c>
      <c r="P126" s="50">
        <v>32.200000000000003</v>
      </c>
      <c r="Q126" s="50">
        <f t="shared" si="11"/>
        <v>1.507855871695831</v>
      </c>
      <c r="R126" s="50">
        <v>43.9397801796012</v>
      </c>
      <c r="S126" s="50">
        <f t="shared" si="12"/>
        <v>1.6428578799166489</v>
      </c>
      <c r="T126" s="50">
        <v>3.20911860699078</v>
      </c>
      <c r="U126" s="50">
        <v>3.5849986651910224</v>
      </c>
      <c r="V126" s="186">
        <v>230000000</v>
      </c>
      <c r="W126" s="186">
        <f t="shared" si="13"/>
        <v>8.3617278360175931</v>
      </c>
      <c r="X126" s="50">
        <v>2</v>
      </c>
      <c r="Y126" s="66" t="s">
        <v>45</v>
      </c>
    </row>
    <row r="127" spans="1:25" x14ac:dyDescent="0.35">
      <c r="A127" s="67">
        <v>-4.6324331383241914E-2</v>
      </c>
      <c r="B127" s="52" t="s">
        <v>59</v>
      </c>
      <c r="C127" s="52">
        <v>5.536986301369863</v>
      </c>
      <c r="D127" s="50">
        <f t="shared" si="7"/>
        <v>0.74327344905882931</v>
      </c>
      <c r="E127" s="52">
        <v>0</v>
      </c>
      <c r="F127" s="52">
        <v>1.146128035678238</v>
      </c>
      <c r="G127" s="52">
        <v>3.29</v>
      </c>
      <c r="H127" s="50">
        <f t="shared" si="8"/>
        <v>0.51719589794997434</v>
      </c>
      <c r="I127" s="52">
        <v>0</v>
      </c>
      <c r="J127" s="52">
        <v>-1.322826573375516E-2</v>
      </c>
      <c r="K127" s="52">
        <v>20</v>
      </c>
      <c r="L127" s="50">
        <f t="shared" si="9"/>
        <v>1.3010299956639813</v>
      </c>
      <c r="M127" s="52">
        <v>0</v>
      </c>
      <c r="N127" s="52">
        <v>85</v>
      </c>
      <c r="O127" s="50">
        <f t="shared" si="10"/>
        <v>1.9294189257142926</v>
      </c>
      <c r="P127" s="52">
        <v>32.299999999999997</v>
      </c>
      <c r="Q127" s="50">
        <f t="shared" si="11"/>
        <v>1.5092025223311027</v>
      </c>
      <c r="R127" s="52">
        <v>40.040400531970803</v>
      </c>
      <c r="S127" s="50">
        <f t="shared" si="12"/>
        <v>1.6024984131617945</v>
      </c>
      <c r="T127" s="52">
        <v>3.2555397552391718</v>
      </c>
      <c r="U127" s="52">
        <v>3.9251377713585649</v>
      </c>
      <c r="V127" s="187">
        <v>230000000</v>
      </c>
      <c r="W127" s="186">
        <f t="shared" si="13"/>
        <v>8.3617278360175931</v>
      </c>
      <c r="X127" s="52">
        <v>5</v>
      </c>
      <c r="Y127" s="68" t="s">
        <v>577</v>
      </c>
    </row>
    <row r="128" spans="1:25" x14ac:dyDescent="0.35">
      <c r="A128" s="49">
        <v>-5.9314001215981953E-2</v>
      </c>
      <c r="B128" s="50" t="s">
        <v>45</v>
      </c>
      <c r="C128" s="50">
        <v>3.2958904109589042</v>
      </c>
      <c r="D128" s="50">
        <f t="shared" si="7"/>
        <v>0.51797276288337002</v>
      </c>
      <c r="E128" s="50">
        <v>0</v>
      </c>
      <c r="F128" s="50">
        <v>1.2787536009528289</v>
      </c>
      <c r="G128" s="50">
        <v>2.95</v>
      </c>
      <c r="H128" s="50">
        <f t="shared" si="8"/>
        <v>0.46982201597816303</v>
      </c>
      <c r="I128" s="50">
        <v>0</v>
      </c>
      <c r="J128" s="50">
        <v>0.13672056715640679</v>
      </c>
      <c r="K128" s="50">
        <v>12</v>
      </c>
      <c r="L128" s="50">
        <f t="shared" si="9"/>
        <v>1.0791812460476249</v>
      </c>
      <c r="M128" s="50">
        <v>0</v>
      </c>
      <c r="N128" s="50">
        <v>85</v>
      </c>
      <c r="O128" s="50">
        <f t="shared" si="10"/>
        <v>1.9294189257142926</v>
      </c>
      <c r="P128" s="50">
        <v>24.6</v>
      </c>
      <c r="Q128" s="50">
        <f t="shared" si="11"/>
        <v>1.3909351071033791</v>
      </c>
      <c r="R128" s="50">
        <v>36.876470987978301</v>
      </c>
      <c r="S128" s="50">
        <f t="shared" si="12"/>
        <v>1.5667493531684615</v>
      </c>
      <c r="T128" s="50">
        <v>3.1628767233771686</v>
      </c>
      <c r="U128" s="50">
        <v>3.6087947637270492</v>
      </c>
      <c r="V128" s="186">
        <v>235000000</v>
      </c>
      <c r="W128" s="186">
        <f t="shared" si="13"/>
        <v>8.3710678622717367</v>
      </c>
      <c r="X128" s="50">
        <v>9</v>
      </c>
      <c r="Y128" s="66" t="s">
        <v>602</v>
      </c>
    </row>
    <row r="129" spans="1:25" x14ac:dyDescent="0.35">
      <c r="A129" s="67">
        <v>-5.9271633089329853E-2</v>
      </c>
      <c r="B129" s="52" t="s">
        <v>45</v>
      </c>
      <c r="C129" s="52">
        <v>3.2958904109589042</v>
      </c>
      <c r="D129" s="50">
        <f t="shared" si="7"/>
        <v>0.51797276288337002</v>
      </c>
      <c r="E129" s="52">
        <v>0</v>
      </c>
      <c r="F129" s="52">
        <v>1.3222192947339193</v>
      </c>
      <c r="G129" s="52">
        <v>2.95</v>
      </c>
      <c r="H129" s="50">
        <f t="shared" si="8"/>
        <v>0.46982201597816303</v>
      </c>
      <c r="I129" s="52">
        <v>0</v>
      </c>
      <c r="J129" s="52">
        <v>0.11058971029924898</v>
      </c>
      <c r="K129" s="52">
        <v>5</v>
      </c>
      <c r="L129" s="50">
        <f t="shared" si="9"/>
        <v>0.69897000433601886</v>
      </c>
      <c r="M129" s="52">
        <v>0</v>
      </c>
      <c r="N129" s="52">
        <v>85</v>
      </c>
      <c r="O129" s="50">
        <f t="shared" si="10"/>
        <v>1.9294189257142926</v>
      </c>
      <c r="P129" s="52">
        <v>24.6</v>
      </c>
      <c r="Q129" s="50">
        <f t="shared" si="11"/>
        <v>1.3909351071033791</v>
      </c>
      <c r="R129" s="52">
        <v>36.876470987978301</v>
      </c>
      <c r="S129" s="50">
        <f t="shared" si="12"/>
        <v>1.5667493531684615</v>
      </c>
      <c r="T129" s="52">
        <v>3.5168755324519045</v>
      </c>
      <c r="U129" s="52">
        <v>3.8089018284940463</v>
      </c>
      <c r="V129" s="187">
        <v>235000000</v>
      </c>
      <c r="W129" s="186">
        <f t="shared" si="13"/>
        <v>8.3710678622717367</v>
      </c>
      <c r="X129" s="52">
        <v>9</v>
      </c>
      <c r="Y129" s="68" t="s">
        <v>602</v>
      </c>
    </row>
    <row r="130" spans="1:25" x14ac:dyDescent="0.35">
      <c r="A130" s="49">
        <v>0.66076339551899865</v>
      </c>
      <c r="B130" s="50" t="s">
        <v>4</v>
      </c>
      <c r="C130" s="50">
        <v>2.7315068493150685</v>
      </c>
      <c r="D130" s="50">
        <f t="shared" si="7"/>
        <v>0.43640229385518103</v>
      </c>
      <c r="E130" s="50">
        <v>0</v>
      </c>
      <c r="F130" s="50">
        <v>1.3222192947339193</v>
      </c>
      <c r="G130" s="50">
        <v>3.59</v>
      </c>
      <c r="H130" s="50">
        <f t="shared" si="8"/>
        <v>0.55509444857831913</v>
      </c>
      <c r="I130" s="50">
        <v>0</v>
      </c>
      <c r="J130" s="50">
        <v>0.13672056715640679</v>
      </c>
      <c r="K130" s="50">
        <v>9</v>
      </c>
      <c r="L130" s="50">
        <f t="shared" si="9"/>
        <v>0.95424250943932487</v>
      </c>
      <c r="M130" s="50">
        <v>0</v>
      </c>
      <c r="N130" s="50">
        <v>70</v>
      </c>
      <c r="O130" s="50">
        <f t="shared" si="10"/>
        <v>1.8450980400142569</v>
      </c>
      <c r="P130" s="50">
        <v>45.5</v>
      </c>
      <c r="Q130" s="50">
        <f t="shared" si="11"/>
        <v>1.6580113966571124</v>
      </c>
      <c r="R130" s="50">
        <v>53.974932698910798</v>
      </c>
      <c r="S130" s="50">
        <f t="shared" si="12"/>
        <v>1.7321921094868633</v>
      </c>
      <c r="T130" s="50">
        <v>3.1616209089088487</v>
      </c>
      <c r="U130" s="50">
        <v>3.7997633234477775</v>
      </c>
      <c r="V130" s="186">
        <v>235637477</v>
      </c>
      <c r="W130" s="186">
        <f t="shared" si="13"/>
        <v>8.3722443640434001</v>
      </c>
      <c r="X130" s="50">
        <v>4</v>
      </c>
      <c r="Y130" s="66" t="s">
        <v>4</v>
      </c>
    </row>
    <row r="131" spans="1:25" x14ac:dyDescent="0.35">
      <c r="A131" s="67">
        <v>0.64341739841377443</v>
      </c>
      <c r="B131" s="52" t="s">
        <v>2</v>
      </c>
      <c r="C131" s="52">
        <v>3.8219178082191783</v>
      </c>
      <c r="D131" s="50">
        <f t="shared" ref="D131:D194" si="14">LOG(C131)</f>
        <v>0.58228134315314173</v>
      </c>
      <c r="E131" s="52">
        <v>3.8335760926148099</v>
      </c>
      <c r="F131" s="52">
        <v>0</v>
      </c>
      <c r="G131" s="52">
        <v>2.85</v>
      </c>
      <c r="H131" s="50">
        <f t="shared" ref="H131:H194" si="15">LOG(G131)</f>
        <v>0.45484486000851021</v>
      </c>
      <c r="I131" s="52">
        <v>2.9138138523837167</v>
      </c>
      <c r="J131" s="52">
        <v>0.18184358794477254</v>
      </c>
      <c r="K131" s="52">
        <v>32</v>
      </c>
      <c r="L131" s="50">
        <f t="shared" ref="L131:L194" si="16">IF(K131=0,0,LOG(K131))</f>
        <v>1.505149978319906</v>
      </c>
      <c r="M131" s="52">
        <v>1</v>
      </c>
      <c r="N131" s="52">
        <v>90.5</v>
      </c>
      <c r="O131" s="50">
        <f t="shared" ref="O131:O194" si="17">LOG(N131)</f>
        <v>1.9566485792052033</v>
      </c>
      <c r="P131" s="52">
        <v>36.4</v>
      </c>
      <c r="Q131" s="50">
        <f t="shared" ref="Q131:Q194" si="18">LOG(P131)</f>
        <v>1.5611013836490559</v>
      </c>
      <c r="R131" s="52">
        <v>44.295389122127702</v>
      </c>
      <c r="S131" s="50">
        <f t="shared" ref="S131:S194" si="19">LOG(R131)</f>
        <v>1.6463585211883986</v>
      </c>
      <c r="T131" s="52">
        <v>3.3348710074773962</v>
      </c>
      <c r="U131" s="52">
        <v>3.5008426709709495</v>
      </c>
      <c r="V131" s="187">
        <v>237000000</v>
      </c>
      <c r="W131" s="186">
        <f t="shared" ref="W131:W194" si="20">LOG(V131)</f>
        <v>8.3747483460101044</v>
      </c>
      <c r="X131" s="52">
        <v>4</v>
      </c>
      <c r="Y131" s="68" t="s">
        <v>45</v>
      </c>
    </row>
    <row r="132" spans="1:25" x14ac:dyDescent="0.35">
      <c r="A132" s="49">
        <v>-0.47639682672533018</v>
      </c>
      <c r="B132" s="50" t="s">
        <v>2</v>
      </c>
      <c r="C132" s="50">
        <v>4.9095890410958907</v>
      </c>
      <c r="D132" s="50">
        <f t="shared" si="14"/>
        <v>0.69104514086963176</v>
      </c>
      <c r="E132" s="50">
        <v>3.8335760926148099</v>
      </c>
      <c r="F132" s="50">
        <v>1</v>
      </c>
      <c r="G132" s="50">
        <v>2.85</v>
      </c>
      <c r="H132" s="50">
        <f t="shared" si="15"/>
        <v>0.45484486000851021</v>
      </c>
      <c r="I132" s="50">
        <v>2.9138138523837167</v>
      </c>
      <c r="J132" s="50">
        <v>0.18184358794477254</v>
      </c>
      <c r="K132" s="50">
        <v>43</v>
      </c>
      <c r="L132" s="50">
        <f t="shared" si="16"/>
        <v>1.6334684555795864</v>
      </c>
      <c r="M132" s="50">
        <v>1</v>
      </c>
      <c r="N132" s="50">
        <v>89.6</v>
      </c>
      <c r="O132" s="50">
        <f t="shared" si="17"/>
        <v>1.9523080096621253</v>
      </c>
      <c r="P132" s="50">
        <v>35.700000000000003</v>
      </c>
      <c r="Q132" s="50">
        <f t="shared" si="18"/>
        <v>1.5526682161121932</v>
      </c>
      <c r="R132" s="50">
        <v>44.7100017757258</v>
      </c>
      <c r="S132" s="50">
        <f t="shared" si="19"/>
        <v>1.6504046871166989</v>
      </c>
      <c r="T132" s="50">
        <v>3.3885364494891754</v>
      </c>
      <c r="U132" s="50">
        <v>3.818148300254375</v>
      </c>
      <c r="V132" s="186">
        <v>239600000</v>
      </c>
      <c r="W132" s="186">
        <f t="shared" si="20"/>
        <v>8.3794868137172731</v>
      </c>
      <c r="X132" s="50">
        <v>9</v>
      </c>
      <c r="Y132" s="66" t="s">
        <v>602</v>
      </c>
    </row>
    <row r="133" spans="1:25" x14ac:dyDescent="0.35">
      <c r="A133" s="67">
        <v>0.59613873729166744</v>
      </c>
      <c r="B133" s="52" t="s">
        <v>2</v>
      </c>
      <c r="C133" s="52">
        <v>3.2082191780821918</v>
      </c>
      <c r="D133" s="50">
        <f t="shared" si="14"/>
        <v>0.50626403061588843</v>
      </c>
      <c r="E133" s="52">
        <v>3.8335760926148099</v>
      </c>
      <c r="F133" s="52">
        <v>0.84509804001425681</v>
      </c>
      <c r="G133" s="52">
        <v>2.85</v>
      </c>
      <c r="H133" s="50">
        <f t="shared" si="15"/>
        <v>0.45484486000851021</v>
      </c>
      <c r="I133" s="52">
        <v>2.9138138523837167</v>
      </c>
      <c r="J133" s="52">
        <v>0.22788670461367352</v>
      </c>
      <c r="K133" s="52">
        <v>35</v>
      </c>
      <c r="L133" s="50">
        <f t="shared" si="16"/>
        <v>1.5440680443502757</v>
      </c>
      <c r="M133" s="52">
        <v>1</v>
      </c>
      <c r="N133" s="52">
        <v>89.6</v>
      </c>
      <c r="O133" s="50">
        <f t="shared" si="17"/>
        <v>1.9523080096621253</v>
      </c>
      <c r="P133" s="52">
        <v>35.700000000000003</v>
      </c>
      <c r="Q133" s="50">
        <f t="shared" si="18"/>
        <v>1.5526682161121932</v>
      </c>
      <c r="R133" s="52">
        <v>44.7100017757258</v>
      </c>
      <c r="S133" s="50">
        <f t="shared" si="19"/>
        <v>1.6504046871166989</v>
      </c>
      <c r="T133" s="52">
        <v>3.0687415514991745</v>
      </c>
      <c r="U133" s="52">
        <v>3.5297005493117593</v>
      </c>
      <c r="V133" s="187">
        <v>240000000</v>
      </c>
      <c r="W133" s="186">
        <f t="shared" si="20"/>
        <v>8.3802112417116064</v>
      </c>
      <c r="X133" s="52">
        <v>4</v>
      </c>
      <c r="Y133" s="68" t="s">
        <v>45</v>
      </c>
    </row>
    <row r="134" spans="1:25" x14ac:dyDescent="0.35">
      <c r="A134" s="49">
        <v>0.37281998167896813</v>
      </c>
      <c r="B134" s="50" t="s">
        <v>163</v>
      </c>
      <c r="C134" s="50">
        <v>4.4821917808219176</v>
      </c>
      <c r="D134" s="50">
        <f t="shared" si="14"/>
        <v>0.65149043487882952</v>
      </c>
      <c r="E134" s="50">
        <v>0</v>
      </c>
      <c r="F134" s="50">
        <v>0.95424250943932487</v>
      </c>
      <c r="G134" s="50">
        <v>3.18</v>
      </c>
      <c r="H134" s="50">
        <f t="shared" si="15"/>
        <v>0.50242711998443268</v>
      </c>
      <c r="I134" s="50">
        <v>0</v>
      </c>
      <c r="J134" s="50">
        <v>0.2253092817258629</v>
      </c>
      <c r="K134" s="50">
        <v>17</v>
      </c>
      <c r="L134" s="50">
        <f t="shared" si="16"/>
        <v>1.2304489213782739</v>
      </c>
      <c r="M134" s="50">
        <v>0</v>
      </c>
      <c r="N134" s="50">
        <v>85.6</v>
      </c>
      <c r="O134" s="50">
        <f t="shared" si="17"/>
        <v>1.9324737646771533</v>
      </c>
      <c r="P134" s="50">
        <v>43.3</v>
      </c>
      <c r="Q134" s="50">
        <f t="shared" si="18"/>
        <v>1.6364878963533653</v>
      </c>
      <c r="R134" s="50">
        <v>56.2907330998475</v>
      </c>
      <c r="S134" s="50">
        <f t="shared" si="19"/>
        <v>1.750436904711814</v>
      </c>
      <c r="T134" s="50">
        <v>3.0840515907405019</v>
      </c>
      <c r="U134" s="50">
        <v>3.9050357126538633</v>
      </c>
      <c r="V134" s="186">
        <v>240000000</v>
      </c>
      <c r="W134" s="186">
        <f t="shared" si="20"/>
        <v>8.3802112417116064</v>
      </c>
      <c r="X134" s="50">
        <v>8</v>
      </c>
      <c r="Y134" s="66" t="s">
        <v>163</v>
      </c>
    </row>
    <row r="135" spans="1:25" x14ac:dyDescent="0.35">
      <c r="A135" s="67">
        <v>-5.8286466278308156E-2</v>
      </c>
      <c r="B135" s="84" t="s">
        <v>2</v>
      </c>
      <c r="C135" s="52">
        <v>4.2164383561643834</v>
      </c>
      <c r="D135" s="50">
        <f t="shared" si="14"/>
        <v>0.62494575537500396</v>
      </c>
      <c r="E135" s="52">
        <v>2.9629325585580042</v>
      </c>
      <c r="F135" s="52">
        <v>1.6812412373755872</v>
      </c>
      <c r="G135" s="52">
        <v>2.62</v>
      </c>
      <c r="H135" s="50">
        <f t="shared" si="15"/>
        <v>0.41830129131974547</v>
      </c>
      <c r="I135" s="52">
        <v>2.9323046139517812</v>
      </c>
      <c r="J135" s="52">
        <v>-4.3648054024500883E-3</v>
      </c>
      <c r="K135" s="52">
        <v>16</v>
      </c>
      <c r="L135" s="50">
        <f t="shared" si="16"/>
        <v>1.2041199826559248</v>
      </c>
      <c r="M135" s="52">
        <v>1</v>
      </c>
      <c r="N135" s="52">
        <v>70</v>
      </c>
      <c r="O135" s="50">
        <f t="shared" si="17"/>
        <v>1.8450980400142569</v>
      </c>
      <c r="P135" s="52">
        <v>35</v>
      </c>
      <c r="Q135" s="50">
        <f t="shared" si="18"/>
        <v>1.5440680443502757</v>
      </c>
      <c r="R135" s="52">
        <v>46.908044131476899</v>
      </c>
      <c r="S135" s="50">
        <f t="shared" si="19"/>
        <v>1.6712473250679141</v>
      </c>
      <c r="T135" s="52">
        <v>3.2699236952309465</v>
      </c>
      <c r="U135" s="52">
        <v>3.6984415808994222</v>
      </c>
      <c r="V135" s="187">
        <v>240650000</v>
      </c>
      <c r="W135" s="186">
        <f t="shared" si="20"/>
        <v>8.3813858660133764</v>
      </c>
      <c r="X135" s="52">
        <v>1</v>
      </c>
      <c r="Y135" s="103" t="s">
        <v>59</v>
      </c>
    </row>
    <row r="136" spans="1:25" x14ac:dyDescent="0.35">
      <c r="A136" s="49">
        <v>0.36644217422112635</v>
      </c>
      <c r="B136" s="50" t="s">
        <v>163</v>
      </c>
      <c r="C136" s="50">
        <v>3.0657534246575344</v>
      </c>
      <c r="D136" s="50">
        <f t="shared" si="14"/>
        <v>0.48653722207187539</v>
      </c>
      <c r="E136" s="50">
        <v>3.7899753459779522</v>
      </c>
      <c r="F136" s="50">
        <v>1.7781512503836436</v>
      </c>
      <c r="G136" s="50">
        <v>3.18</v>
      </c>
      <c r="H136" s="50">
        <f t="shared" si="15"/>
        <v>0.50242711998443268</v>
      </c>
      <c r="I136" s="50">
        <v>2.7670321178317625</v>
      </c>
      <c r="J136" s="50">
        <v>0.14612803567823801</v>
      </c>
      <c r="K136" s="50">
        <v>6</v>
      </c>
      <c r="L136" s="50">
        <f t="shared" si="16"/>
        <v>0.77815125038364363</v>
      </c>
      <c r="M136" s="50">
        <v>1</v>
      </c>
      <c r="N136" s="50">
        <v>70</v>
      </c>
      <c r="O136" s="50">
        <f t="shared" si="17"/>
        <v>1.8450980400142569</v>
      </c>
      <c r="P136" s="50">
        <v>42.4</v>
      </c>
      <c r="Q136" s="50">
        <f t="shared" si="18"/>
        <v>1.6273658565927327</v>
      </c>
      <c r="R136" s="50">
        <v>52.984855215816303</v>
      </c>
      <c r="S136" s="50">
        <f t="shared" si="19"/>
        <v>1.7241517519382803</v>
      </c>
      <c r="T136" s="50">
        <v>3.7516212028445941</v>
      </c>
      <c r="U136" s="50">
        <v>3.677201259573847</v>
      </c>
      <c r="V136" s="186">
        <v>243000000</v>
      </c>
      <c r="W136" s="186">
        <f t="shared" si="20"/>
        <v>8.385606273598313</v>
      </c>
      <c r="X136" s="50">
        <v>8</v>
      </c>
      <c r="Y136" s="66" t="s">
        <v>45</v>
      </c>
    </row>
    <row r="137" spans="1:25" x14ac:dyDescent="0.35">
      <c r="A137" s="67">
        <v>0.78952095735475225</v>
      </c>
      <c r="B137" s="52" t="s">
        <v>4</v>
      </c>
      <c r="C137" s="52">
        <v>2.956164383561644</v>
      </c>
      <c r="D137" s="50">
        <f t="shared" si="14"/>
        <v>0.47072858022643599</v>
      </c>
      <c r="E137" s="52">
        <v>0</v>
      </c>
      <c r="F137" s="52">
        <v>1.505149978319906</v>
      </c>
      <c r="G137" s="52">
        <v>3.59</v>
      </c>
      <c r="H137" s="50">
        <f t="shared" si="15"/>
        <v>0.55509444857831913</v>
      </c>
      <c r="I137" s="52">
        <v>0</v>
      </c>
      <c r="J137" s="52">
        <v>0.10037054511756291</v>
      </c>
      <c r="K137" s="52">
        <v>25</v>
      </c>
      <c r="L137" s="50">
        <f t="shared" si="16"/>
        <v>1.3979400086720377</v>
      </c>
      <c r="M137" s="52">
        <v>0</v>
      </c>
      <c r="N137" s="52">
        <v>91.1</v>
      </c>
      <c r="O137" s="50">
        <f t="shared" si="17"/>
        <v>1.9595183769729982</v>
      </c>
      <c r="P137" s="52">
        <v>42.6</v>
      </c>
      <c r="Q137" s="50">
        <f t="shared" si="18"/>
        <v>1.6294095991027189</v>
      </c>
      <c r="R137" s="52">
        <v>51.076866471704001</v>
      </c>
      <c r="S137" s="50">
        <f t="shared" si="19"/>
        <v>1.7082242457606944</v>
      </c>
      <c r="T137" s="52">
        <v>3.212261842580872</v>
      </c>
      <c r="U137" s="52">
        <v>3.9329492300777744</v>
      </c>
      <c r="V137" s="187">
        <v>243540000</v>
      </c>
      <c r="W137" s="186">
        <f t="shared" si="20"/>
        <v>8.3865703017009299</v>
      </c>
      <c r="X137" s="52">
        <v>6</v>
      </c>
      <c r="Y137" s="68" t="s">
        <v>4</v>
      </c>
    </row>
    <row r="138" spans="1:25" x14ac:dyDescent="0.35">
      <c r="A138" s="49">
        <v>0.31840409173340389</v>
      </c>
      <c r="B138" s="50" t="s">
        <v>45</v>
      </c>
      <c r="C138" s="50">
        <v>2.5534246575342467</v>
      </c>
      <c r="D138" s="50">
        <f t="shared" si="14"/>
        <v>0.4071230478975067</v>
      </c>
      <c r="E138" s="50">
        <v>0</v>
      </c>
      <c r="F138" s="50">
        <v>1.8061799739838871</v>
      </c>
      <c r="G138" s="50">
        <v>2.95</v>
      </c>
      <c r="H138" s="50">
        <f t="shared" si="15"/>
        <v>0.46982201597816303</v>
      </c>
      <c r="I138" s="50">
        <v>0</v>
      </c>
      <c r="J138" s="50">
        <v>0.20112389720737955</v>
      </c>
      <c r="K138" s="50">
        <v>6</v>
      </c>
      <c r="L138" s="50">
        <f t="shared" si="16"/>
        <v>0.77815125038364363</v>
      </c>
      <c r="M138" s="50">
        <v>0</v>
      </c>
      <c r="N138" s="50">
        <v>85</v>
      </c>
      <c r="O138" s="50">
        <f t="shared" si="17"/>
        <v>1.9294189257142926</v>
      </c>
      <c r="P138" s="50">
        <v>26</v>
      </c>
      <c r="Q138" s="50">
        <f t="shared" si="18"/>
        <v>1.414973347970818</v>
      </c>
      <c r="R138" s="50">
        <v>40.815825693332798</v>
      </c>
      <c r="S138" s="50">
        <f t="shared" si="19"/>
        <v>1.6108285865865359</v>
      </c>
      <c r="T138" s="50">
        <v>3.0687415514991745</v>
      </c>
      <c r="U138" s="50">
        <v>3.5297005493117593</v>
      </c>
      <c r="V138" s="186">
        <v>245000000</v>
      </c>
      <c r="W138" s="186">
        <f t="shared" si="20"/>
        <v>8.3891660843645326</v>
      </c>
      <c r="X138" s="50">
        <v>4</v>
      </c>
      <c r="Y138" s="66" t="s">
        <v>45</v>
      </c>
    </row>
    <row r="139" spans="1:25" x14ac:dyDescent="0.35">
      <c r="A139" s="67">
        <v>0.37291200297010657</v>
      </c>
      <c r="B139" s="52" t="s">
        <v>6</v>
      </c>
      <c r="C139" s="52">
        <v>4.7589041095890412</v>
      </c>
      <c r="D139" s="50">
        <f t="shared" si="14"/>
        <v>0.67750695399062388</v>
      </c>
      <c r="E139" s="52">
        <v>2.5075455505094206</v>
      </c>
      <c r="F139" s="52">
        <v>1.8864907251724818</v>
      </c>
      <c r="G139" s="52">
        <v>2.91</v>
      </c>
      <c r="H139" s="50">
        <f t="shared" si="15"/>
        <v>0.46389298898590731</v>
      </c>
      <c r="I139" s="52">
        <v>2.6517624473801109</v>
      </c>
      <c r="J139" s="52">
        <v>0.13987908640123647</v>
      </c>
      <c r="K139" s="52">
        <v>21</v>
      </c>
      <c r="L139" s="50">
        <f t="shared" si="16"/>
        <v>1.3222192947339193</v>
      </c>
      <c r="M139" s="52">
        <v>1</v>
      </c>
      <c r="N139" s="52">
        <v>70</v>
      </c>
      <c r="O139" s="50">
        <f t="shared" si="17"/>
        <v>1.8450980400142569</v>
      </c>
      <c r="P139" s="52">
        <v>43.6</v>
      </c>
      <c r="Q139" s="50">
        <f t="shared" si="18"/>
        <v>1.6394864892685861</v>
      </c>
      <c r="R139" s="52">
        <v>49.506498643412101</v>
      </c>
      <c r="S139" s="50">
        <f t="shared" si="19"/>
        <v>1.6946622118572952</v>
      </c>
      <c r="T139" s="52">
        <v>3.2224645332922388</v>
      </c>
      <c r="U139" s="52">
        <v>3.707126713924402</v>
      </c>
      <c r="V139" s="187">
        <v>250000000</v>
      </c>
      <c r="W139" s="186">
        <f t="shared" si="20"/>
        <v>8.3979400086720375</v>
      </c>
      <c r="X139" s="52">
        <v>1</v>
      </c>
      <c r="Y139" s="68" t="s">
        <v>59</v>
      </c>
    </row>
    <row r="140" spans="1:25" x14ac:dyDescent="0.35">
      <c r="A140" s="49">
        <v>0.2966651902615311</v>
      </c>
      <c r="B140" s="50" t="s">
        <v>434</v>
      </c>
      <c r="C140" s="50">
        <v>8.4027397260273968</v>
      </c>
      <c r="D140" s="50">
        <f t="shared" si="14"/>
        <v>0.9244209115260108</v>
      </c>
      <c r="E140" s="50">
        <v>3.8584156743566731</v>
      </c>
      <c r="F140" s="50">
        <v>1.7708520116421442</v>
      </c>
      <c r="G140" s="50">
        <v>2.66</v>
      </c>
      <c r="H140" s="50">
        <f t="shared" si="15"/>
        <v>0.42488163663106698</v>
      </c>
      <c r="I140" s="50">
        <v>2.8134697878296753</v>
      </c>
      <c r="J140" s="50">
        <v>0.12385164096708581</v>
      </c>
      <c r="K140" s="50">
        <v>4</v>
      </c>
      <c r="L140" s="50">
        <f t="shared" si="16"/>
        <v>0.6020599913279624</v>
      </c>
      <c r="M140" s="50">
        <v>1</v>
      </c>
      <c r="N140" s="50">
        <v>70</v>
      </c>
      <c r="O140" s="50">
        <f t="shared" si="17"/>
        <v>1.8450980400142569</v>
      </c>
      <c r="P140" s="50">
        <v>39.33</v>
      </c>
      <c r="Q140" s="50">
        <f t="shared" si="18"/>
        <v>1.5947239464097467</v>
      </c>
      <c r="R140" s="50">
        <v>46.838198746764199</v>
      </c>
      <c r="S140" s="50">
        <f t="shared" si="19"/>
        <v>1.6706001850898524</v>
      </c>
      <c r="T140" s="50">
        <v>3.348721986001856</v>
      </c>
      <c r="U140" s="50">
        <v>3.7520876635386311</v>
      </c>
      <c r="V140" s="186">
        <v>250000000</v>
      </c>
      <c r="W140" s="186">
        <f t="shared" si="20"/>
        <v>8.3979400086720375</v>
      </c>
      <c r="X140" s="50">
        <v>5</v>
      </c>
      <c r="Y140" s="66" t="s">
        <v>45</v>
      </c>
    </row>
    <row r="141" spans="1:25" x14ac:dyDescent="0.35">
      <c r="A141" s="67">
        <v>4.1392685158225077E-2</v>
      </c>
      <c r="B141" s="52" t="s">
        <v>45</v>
      </c>
      <c r="C141" s="52">
        <v>5.8493150684931505</v>
      </c>
      <c r="D141" s="50">
        <f t="shared" si="14"/>
        <v>0.76710501490456795</v>
      </c>
      <c r="E141" s="52">
        <v>3.7707754512906644</v>
      </c>
      <c r="F141" s="52">
        <v>1.0791812460476249</v>
      </c>
      <c r="G141" s="52">
        <v>2.3199999999999998</v>
      </c>
      <c r="H141" s="50">
        <f t="shared" si="15"/>
        <v>0.36548798489089962</v>
      </c>
      <c r="I141" s="52">
        <v>2.1238516409670858</v>
      </c>
      <c r="J141" s="52">
        <v>0.24797326636180664</v>
      </c>
      <c r="K141" s="52">
        <v>6</v>
      </c>
      <c r="L141" s="50">
        <f t="shared" si="16"/>
        <v>0.77815125038364363</v>
      </c>
      <c r="M141" s="52">
        <v>1</v>
      </c>
      <c r="N141" s="52">
        <v>91.3</v>
      </c>
      <c r="O141" s="50">
        <f t="shared" si="17"/>
        <v>1.9604707775342989</v>
      </c>
      <c r="P141" s="52">
        <v>23.5</v>
      </c>
      <c r="Q141" s="50">
        <f t="shared" si="18"/>
        <v>1.3710678622717363</v>
      </c>
      <c r="R141" s="52">
        <v>43.1672842383418</v>
      </c>
      <c r="S141" s="50">
        <f t="shared" si="19"/>
        <v>1.6351547269652249</v>
      </c>
      <c r="T141" s="52">
        <v>3.1185638922971846</v>
      </c>
      <c r="U141" s="52">
        <v>3.4832528165335011</v>
      </c>
      <c r="V141" s="187">
        <v>250000000</v>
      </c>
      <c r="W141" s="186">
        <f t="shared" si="20"/>
        <v>8.3979400086720375</v>
      </c>
      <c r="X141" s="52">
        <v>9</v>
      </c>
      <c r="Y141" s="68" t="s">
        <v>59</v>
      </c>
    </row>
    <row r="142" spans="1:25" x14ac:dyDescent="0.35">
      <c r="A142" s="49">
        <v>0.3010299956639812</v>
      </c>
      <c r="B142" s="50" t="s">
        <v>45</v>
      </c>
      <c r="C142" s="50">
        <v>2.9972602739726026</v>
      </c>
      <c r="D142" s="50">
        <f t="shared" si="14"/>
        <v>0.47672445754093723</v>
      </c>
      <c r="E142" s="50">
        <v>0</v>
      </c>
      <c r="F142" s="50">
        <v>1</v>
      </c>
      <c r="G142" s="50">
        <v>2.95</v>
      </c>
      <c r="H142" s="50">
        <f t="shared" si="15"/>
        <v>0.46982201597816303</v>
      </c>
      <c r="I142" s="50">
        <v>0</v>
      </c>
      <c r="J142" s="50">
        <v>-0.14874165128092473</v>
      </c>
      <c r="K142" s="50">
        <v>12</v>
      </c>
      <c r="L142" s="50">
        <f t="shared" si="16"/>
        <v>1.0791812460476249</v>
      </c>
      <c r="M142" s="50">
        <v>0</v>
      </c>
      <c r="N142" s="50">
        <v>85</v>
      </c>
      <c r="O142" s="50">
        <f t="shared" si="17"/>
        <v>1.9294189257142926</v>
      </c>
      <c r="P142" s="50">
        <v>27.8</v>
      </c>
      <c r="Q142" s="50">
        <f t="shared" si="18"/>
        <v>1.4440447959180762</v>
      </c>
      <c r="R142" s="50">
        <v>34.656907836978597</v>
      </c>
      <c r="S142" s="50">
        <f t="shared" si="19"/>
        <v>1.5397898114291337</v>
      </c>
      <c r="T142" s="50">
        <v>3.0958500844125241</v>
      </c>
      <c r="U142" s="50">
        <v>3.5078178355445662</v>
      </c>
      <c r="V142" s="186">
        <v>250000000</v>
      </c>
      <c r="W142" s="186">
        <f t="shared" si="20"/>
        <v>8.3979400086720375</v>
      </c>
      <c r="X142" s="50">
        <v>1</v>
      </c>
      <c r="Y142" s="66" t="s">
        <v>602</v>
      </c>
    </row>
    <row r="143" spans="1:25" x14ac:dyDescent="0.35">
      <c r="A143" s="67">
        <v>0.3010299956639812</v>
      </c>
      <c r="B143" s="52" t="s">
        <v>45</v>
      </c>
      <c r="C143" s="52">
        <v>2.9972602739726026</v>
      </c>
      <c r="D143" s="50">
        <f t="shared" si="14"/>
        <v>0.47672445754093723</v>
      </c>
      <c r="E143" s="52">
        <v>0</v>
      </c>
      <c r="F143" s="52">
        <v>1.8388490907372552</v>
      </c>
      <c r="G143" s="52">
        <v>2.95</v>
      </c>
      <c r="H143" s="50">
        <f t="shared" si="15"/>
        <v>0.46982201597816303</v>
      </c>
      <c r="I143" s="52">
        <v>0</v>
      </c>
      <c r="J143" s="52">
        <v>-0.14874165128092473</v>
      </c>
      <c r="K143" s="52">
        <v>12</v>
      </c>
      <c r="L143" s="50">
        <f t="shared" si="16"/>
        <v>1.0791812460476249</v>
      </c>
      <c r="M143" s="52">
        <v>0</v>
      </c>
      <c r="N143" s="52">
        <v>85</v>
      </c>
      <c r="O143" s="50">
        <f t="shared" si="17"/>
        <v>1.9294189257142926</v>
      </c>
      <c r="P143" s="52">
        <v>27.8</v>
      </c>
      <c r="Q143" s="50">
        <f t="shared" si="18"/>
        <v>1.4440447959180762</v>
      </c>
      <c r="R143" s="52">
        <v>34.656907836978597</v>
      </c>
      <c r="S143" s="50">
        <f t="shared" si="19"/>
        <v>1.5397898114291337</v>
      </c>
      <c r="T143" s="52">
        <v>3.0958500844125241</v>
      </c>
      <c r="U143" s="52">
        <v>3.5078178355445662</v>
      </c>
      <c r="V143" s="187">
        <v>250000000</v>
      </c>
      <c r="W143" s="186">
        <f t="shared" si="20"/>
        <v>8.3979400086720375</v>
      </c>
      <c r="X143" s="52">
        <v>1</v>
      </c>
      <c r="Y143" s="68" t="s">
        <v>602</v>
      </c>
    </row>
    <row r="144" spans="1:25" x14ac:dyDescent="0.35">
      <c r="A144" s="49">
        <v>0.35495284653698561</v>
      </c>
      <c r="B144" s="50" t="s">
        <v>163</v>
      </c>
      <c r="C144" s="50">
        <v>4.3863013698630136</v>
      </c>
      <c r="D144" s="50">
        <f t="shared" si="14"/>
        <v>0.64209846746282506</v>
      </c>
      <c r="E144" s="50">
        <v>0</v>
      </c>
      <c r="F144" s="50">
        <v>1.8808135922807914</v>
      </c>
      <c r="G144" s="50">
        <v>3.18</v>
      </c>
      <c r="H144" s="50">
        <f t="shared" si="15"/>
        <v>0.50242711998443268</v>
      </c>
      <c r="I144" s="50">
        <v>0</v>
      </c>
      <c r="J144" s="50">
        <v>0.19589965240923368</v>
      </c>
      <c r="K144" s="50">
        <v>4</v>
      </c>
      <c r="L144" s="50">
        <f t="shared" si="16"/>
        <v>0.6020599913279624</v>
      </c>
      <c r="M144" s="50">
        <v>0</v>
      </c>
      <c r="N144" s="50">
        <v>70</v>
      </c>
      <c r="O144" s="50">
        <f t="shared" si="17"/>
        <v>1.8450980400142569</v>
      </c>
      <c r="P144" s="50">
        <v>42.4</v>
      </c>
      <c r="Q144" s="50">
        <f t="shared" si="18"/>
        <v>1.6273658565927327</v>
      </c>
      <c r="R144" s="50">
        <v>52.795294707427601</v>
      </c>
      <c r="S144" s="50">
        <f t="shared" si="19"/>
        <v>1.7225952184872551</v>
      </c>
      <c r="T144" s="50">
        <v>3.2258683344006376</v>
      </c>
      <c r="U144" s="50">
        <v>3.9615291321450066</v>
      </c>
      <c r="V144" s="186">
        <v>256000000</v>
      </c>
      <c r="W144" s="186">
        <f t="shared" si="20"/>
        <v>8.40823996531185</v>
      </c>
      <c r="X144" s="50">
        <v>7</v>
      </c>
      <c r="Y144" s="66" t="s">
        <v>163</v>
      </c>
    </row>
    <row r="145" spans="1:25" x14ac:dyDescent="0.35">
      <c r="A145" s="67">
        <v>0.51369238553641938</v>
      </c>
      <c r="B145" s="52" t="s">
        <v>45</v>
      </c>
      <c r="C145" s="52">
        <v>1.1342465753424658</v>
      </c>
      <c r="D145" s="50">
        <f t="shared" si="14"/>
        <v>5.4707476664424243E-2</v>
      </c>
      <c r="E145" s="52">
        <v>0</v>
      </c>
      <c r="F145" s="52">
        <v>1.1760912590556813</v>
      </c>
      <c r="G145" s="52">
        <v>2.95</v>
      </c>
      <c r="H145" s="50">
        <f t="shared" si="15"/>
        <v>0.46982201597816303</v>
      </c>
      <c r="I145" s="52">
        <v>0</v>
      </c>
      <c r="J145" s="52">
        <v>0.12710479836480765</v>
      </c>
      <c r="K145" s="52">
        <v>7</v>
      </c>
      <c r="L145" s="50">
        <f t="shared" si="16"/>
        <v>0.84509804001425681</v>
      </c>
      <c r="M145" s="52">
        <v>0</v>
      </c>
      <c r="N145" s="52">
        <v>85</v>
      </c>
      <c r="O145" s="50">
        <f t="shared" si="17"/>
        <v>1.9294189257142926</v>
      </c>
      <c r="P145" s="52">
        <v>27.4</v>
      </c>
      <c r="Q145" s="50">
        <f t="shared" si="18"/>
        <v>1.4377505628203879</v>
      </c>
      <c r="R145" s="52">
        <v>35.968444143503902</v>
      </c>
      <c r="S145" s="50">
        <f t="shared" si="19"/>
        <v>1.5559216523165715</v>
      </c>
      <c r="T145" s="52">
        <v>3.1814248062191788</v>
      </c>
      <c r="U145" s="52">
        <v>3.7294207535322617</v>
      </c>
      <c r="V145" s="187">
        <v>258000000</v>
      </c>
      <c r="W145" s="186">
        <f t="shared" si="20"/>
        <v>8.4116197059632309</v>
      </c>
      <c r="X145" s="52">
        <v>2</v>
      </c>
      <c r="Y145" s="68" t="s">
        <v>45</v>
      </c>
    </row>
    <row r="146" spans="1:25" x14ac:dyDescent="0.35">
      <c r="A146" s="49">
        <v>0.22606403032051303</v>
      </c>
      <c r="B146" s="50" t="s">
        <v>1</v>
      </c>
      <c r="C146" s="50">
        <v>5.8794520547945206</v>
      </c>
      <c r="D146" s="50">
        <f t="shared" si="14"/>
        <v>0.76933685317345757</v>
      </c>
      <c r="E146" s="50">
        <v>2.6208956659919629</v>
      </c>
      <c r="F146" s="50">
        <v>1.0791812460476249</v>
      </c>
      <c r="G146" s="50">
        <v>3.65</v>
      </c>
      <c r="H146" s="50">
        <f t="shared" si="15"/>
        <v>0.56229286445647475</v>
      </c>
      <c r="I146" s="50">
        <v>2.3401134757058348</v>
      </c>
      <c r="J146" s="50">
        <v>0.2944662261615929</v>
      </c>
      <c r="K146" s="50">
        <v>18</v>
      </c>
      <c r="L146" s="50">
        <f t="shared" si="16"/>
        <v>1.255272505103306</v>
      </c>
      <c r="M146" s="50">
        <v>1</v>
      </c>
      <c r="N146" s="50">
        <v>88.4</v>
      </c>
      <c r="O146" s="50">
        <f t="shared" si="17"/>
        <v>1.9464522650130731</v>
      </c>
      <c r="P146" s="50">
        <v>41.5</v>
      </c>
      <c r="Q146" s="50">
        <f t="shared" si="18"/>
        <v>1.6180480967120927</v>
      </c>
      <c r="R146" s="50">
        <v>42.888893081396603</v>
      </c>
      <c r="S146" s="50">
        <f t="shared" si="19"/>
        <v>1.6323448376859169</v>
      </c>
      <c r="T146" s="50">
        <v>3.1616209089088487</v>
      </c>
      <c r="U146" s="50">
        <v>3.7997633234477775</v>
      </c>
      <c r="V146" s="186">
        <v>261450000</v>
      </c>
      <c r="W146" s="186">
        <f t="shared" si="20"/>
        <v>8.4173886461656746</v>
      </c>
      <c r="X146" s="50">
        <v>4</v>
      </c>
      <c r="Y146" s="66" t="s">
        <v>4</v>
      </c>
    </row>
    <row r="147" spans="1:25" x14ac:dyDescent="0.35">
      <c r="A147" s="67">
        <v>-3.4354409190743784E-2</v>
      </c>
      <c r="B147" s="52" t="s">
        <v>163</v>
      </c>
      <c r="C147" s="52">
        <v>4.7287671232876711</v>
      </c>
      <c r="D147" s="50">
        <f t="shared" si="14"/>
        <v>0.67474792692271612</v>
      </c>
      <c r="E147" s="52">
        <v>3.7899753459779522</v>
      </c>
      <c r="F147" s="52">
        <v>1.4623979978989561</v>
      </c>
      <c r="G147" s="52">
        <v>3.18</v>
      </c>
      <c r="H147" s="50">
        <f t="shared" si="15"/>
        <v>0.50242711998443268</v>
      </c>
      <c r="I147" s="52">
        <v>2.7670321178317625</v>
      </c>
      <c r="J147" s="52">
        <v>-2.6872146400301365E-2</v>
      </c>
      <c r="K147" s="52">
        <v>19</v>
      </c>
      <c r="L147" s="50">
        <f t="shared" si="16"/>
        <v>1.2787536009528289</v>
      </c>
      <c r="M147" s="52">
        <v>1</v>
      </c>
      <c r="N147" s="52">
        <v>88</v>
      </c>
      <c r="O147" s="50">
        <f t="shared" si="17"/>
        <v>1.9444826721501687</v>
      </c>
      <c r="P147" s="52">
        <v>43.3</v>
      </c>
      <c r="Q147" s="50">
        <f t="shared" si="18"/>
        <v>1.6364878963533653</v>
      </c>
      <c r="R147" s="52">
        <v>52.875711995394298</v>
      </c>
      <c r="S147" s="50">
        <f t="shared" si="19"/>
        <v>1.7232562283942385</v>
      </c>
      <c r="T147" s="52">
        <v>3.0958500844125241</v>
      </c>
      <c r="U147" s="52">
        <v>3.5078178355445662</v>
      </c>
      <c r="V147" s="187">
        <v>264410000</v>
      </c>
      <c r="W147" s="186">
        <f t="shared" si="20"/>
        <v>8.4222778761641806</v>
      </c>
      <c r="X147" s="52">
        <v>8</v>
      </c>
      <c r="Y147" s="68" t="s">
        <v>602</v>
      </c>
    </row>
    <row r="148" spans="1:25" x14ac:dyDescent="0.35">
      <c r="A148" s="49">
        <v>9.1633117733940173E-2</v>
      </c>
      <c r="B148" s="50" t="s">
        <v>2</v>
      </c>
      <c r="C148" s="50">
        <v>2.0027397260273974</v>
      </c>
      <c r="D148" s="50">
        <f t="shared" si="14"/>
        <v>0.30162451250138578</v>
      </c>
      <c r="E148" s="50">
        <v>3.8335760926148099</v>
      </c>
      <c r="F148" s="50">
        <v>1.1760912590556813</v>
      </c>
      <c r="G148" s="50">
        <v>2.85</v>
      </c>
      <c r="H148" s="50">
        <f t="shared" si="15"/>
        <v>0.45484486000851021</v>
      </c>
      <c r="I148" s="50">
        <v>2.9138138523837167</v>
      </c>
      <c r="J148" s="50">
        <v>0.10720996964786837</v>
      </c>
      <c r="K148" s="50">
        <v>13</v>
      </c>
      <c r="L148" s="50">
        <f t="shared" si="16"/>
        <v>1.1139433523068367</v>
      </c>
      <c r="M148" s="50">
        <v>1</v>
      </c>
      <c r="N148" s="50">
        <v>70</v>
      </c>
      <c r="O148" s="50">
        <f t="shared" si="17"/>
        <v>1.8450980400142569</v>
      </c>
      <c r="P148" s="50">
        <v>33.9</v>
      </c>
      <c r="Q148" s="50">
        <f t="shared" si="18"/>
        <v>1.5301996982030821</v>
      </c>
      <c r="R148" s="50">
        <v>46.200073016176603</v>
      </c>
      <c r="S148" s="50">
        <f t="shared" si="19"/>
        <v>1.664642661930531</v>
      </c>
      <c r="T148" s="50">
        <v>3.1628767233771686</v>
      </c>
      <c r="U148" s="50">
        <v>3.6087947637270492</v>
      </c>
      <c r="V148" s="186">
        <v>265000000</v>
      </c>
      <c r="W148" s="186">
        <f t="shared" si="20"/>
        <v>8.423245873936807</v>
      </c>
      <c r="X148" s="50">
        <v>4</v>
      </c>
      <c r="Y148" s="66" t="s">
        <v>602</v>
      </c>
    </row>
    <row r="149" spans="1:25" x14ac:dyDescent="0.35">
      <c r="A149" s="67">
        <v>-0.24743312956303581</v>
      </c>
      <c r="B149" s="52" t="s">
        <v>45</v>
      </c>
      <c r="C149" s="52">
        <v>2.7342465753424658</v>
      </c>
      <c r="D149" s="50">
        <f t="shared" si="14"/>
        <v>0.43683767683089642</v>
      </c>
      <c r="E149" s="52">
        <v>0</v>
      </c>
      <c r="F149" s="52">
        <v>2.4871383754771865</v>
      </c>
      <c r="G149" s="52">
        <v>2.95</v>
      </c>
      <c r="H149" s="50">
        <f t="shared" si="15"/>
        <v>0.46982201597816303</v>
      </c>
      <c r="I149" s="52">
        <v>0</v>
      </c>
      <c r="J149" s="52">
        <v>2.9383777685209667E-2</v>
      </c>
      <c r="K149" s="52">
        <v>3</v>
      </c>
      <c r="L149" s="50">
        <f t="shared" si="16"/>
        <v>0.47712125471966244</v>
      </c>
      <c r="M149" s="52">
        <v>0</v>
      </c>
      <c r="N149" s="52">
        <v>85</v>
      </c>
      <c r="O149" s="50">
        <f t="shared" si="17"/>
        <v>1.9294189257142926</v>
      </c>
      <c r="P149" s="52">
        <v>24.9</v>
      </c>
      <c r="Q149" s="50">
        <f t="shared" si="18"/>
        <v>1.3961993470957363</v>
      </c>
      <c r="R149" s="52">
        <v>36.710134890601303</v>
      </c>
      <c r="S149" s="50">
        <f t="shared" si="19"/>
        <v>1.564785980312654</v>
      </c>
      <c r="T149" s="52">
        <v>3.4988083133366845</v>
      </c>
      <c r="U149" s="52">
        <v>3.6287469025639267</v>
      </c>
      <c r="V149" s="187">
        <v>265170000</v>
      </c>
      <c r="W149" s="186">
        <f t="shared" si="20"/>
        <v>8.4235243886187163</v>
      </c>
      <c r="X149" s="52">
        <v>5</v>
      </c>
      <c r="Y149" s="68" t="s">
        <v>602</v>
      </c>
    </row>
    <row r="150" spans="1:25" x14ac:dyDescent="0.35">
      <c r="A150" s="49">
        <v>0.67392371517510419</v>
      </c>
      <c r="B150" s="50" t="s">
        <v>59</v>
      </c>
      <c r="C150" s="50">
        <v>9.2246575342465746</v>
      </c>
      <c r="D150" s="50">
        <f t="shared" si="14"/>
        <v>0.96495025193161388</v>
      </c>
      <c r="E150" s="50">
        <v>3.7707754512906644</v>
      </c>
      <c r="F150" s="50">
        <v>1.3010299956639813</v>
      </c>
      <c r="G150" s="50">
        <v>2.3199999999999998</v>
      </c>
      <c r="H150" s="50">
        <f t="shared" si="15"/>
        <v>0.36548798489089962</v>
      </c>
      <c r="I150" s="50">
        <v>2.1238516409670858</v>
      </c>
      <c r="J150" s="50">
        <v>0.20951501454263097</v>
      </c>
      <c r="K150" s="50">
        <v>21</v>
      </c>
      <c r="L150" s="50">
        <f t="shared" si="16"/>
        <v>1.3222192947339193</v>
      </c>
      <c r="M150" s="50">
        <v>1</v>
      </c>
      <c r="N150" s="50">
        <v>91.5</v>
      </c>
      <c r="O150" s="50">
        <f t="shared" si="17"/>
        <v>1.9614210940664483</v>
      </c>
      <c r="P150" s="50">
        <v>32.9</v>
      </c>
      <c r="Q150" s="50">
        <f t="shared" si="18"/>
        <v>1.5171958979499742</v>
      </c>
      <c r="R150" s="50">
        <v>40.767390998852598</v>
      </c>
      <c r="S150" s="50">
        <f t="shared" si="19"/>
        <v>1.6103129186864549</v>
      </c>
      <c r="T150" s="50">
        <v>3.3647319918335836</v>
      </c>
      <c r="U150" s="50">
        <v>3.568659604598353</v>
      </c>
      <c r="V150" s="186">
        <v>265460000</v>
      </c>
      <c r="W150" s="186">
        <f t="shared" si="20"/>
        <v>8.4239990900577286</v>
      </c>
      <c r="X150" s="50">
        <v>5</v>
      </c>
      <c r="Y150" s="66" t="s">
        <v>602</v>
      </c>
    </row>
    <row r="151" spans="1:25" x14ac:dyDescent="0.35">
      <c r="A151" s="67">
        <v>0.23010916470304998</v>
      </c>
      <c r="B151" s="52" t="s">
        <v>163</v>
      </c>
      <c r="C151" s="52">
        <v>4.0767123287671234</v>
      </c>
      <c r="D151" s="50">
        <f t="shared" si="14"/>
        <v>0.61031006675338517</v>
      </c>
      <c r="E151" s="52">
        <v>2.5362300726332561</v>
      </c>
      <c r="F151" s="52">
        <v>1.6127838567197355</v>
      </c>
      <c r="G151" s="52">
        <v>2.3199999999999998</v>
      </c>
      <c r="H151" s="50">
        <f t="shared" si="15"/>
        <v>0.36548798489089962</v>
      </c>
      <c r="I151" s="52">
        <v>2.756001823801419</v>
      </c>
      <c r="J151" s="52">
        <v>-5.0609993355087209E-2</v>
      </c>
      <c r="K151" s="52">
        <v>4</v>
      </c>
      <c r="L151" s="50">
        <f t="shared" si="16"/>
        <v>0.6020599913279624</v>
      </c>
      <c r="M151" s="52">
        <v>1</v>
      </c>
      <c r="N151" s="52">
        <v>70</v>
      </c>
      <c r="O151" s="50">
        <f t="shared" si="17"/>
        <v>1.8450980400142569</v>
      </c>
      <c r="P151" s="52">
        <v>43.4</v>
      </c>
      <c r="Q151" s="50">
        <f t="shared" si="18"/>
        <v>1.6374897295125106</v>
      </c>
      <c r="R151" s="52">
        <v>51.652289181886701</v>
      </c>
      <c r="S151" s="50">
        <f t="shared" si="19"/>
        <v>1.7130895738136374</v>
      </c>
      <c r="T151" s="52">
        <v>3.25553976325445</v>
      </c>
      <c r="U151" s="52">
        <v>3.9251377454872847</v>
      </c>
      <c r="V151" s="187">
        <v>266804219</v>
      </c>
      <c r="W151" s="186">
        <f t="shared" si="20"/>
        <v>8.4261926928379598</v>
      </c>
      <c r="X151" s="52">
        <v>5</v>
      </c>
      <c r="Y151" s="68" t="s">
        <v>577</v>
      </c>
    </row>
    <row r="152" spans="1:25" x14ac:dyDescent="0.35">
      <c r="A152" s="49">
        <v>5.9997929675285368E-2</v>
      </c>
      <c r="B152" s="50" t="s">
        <v>163</v>
      </c>
      <c r="C152" s="50">
        <v>8.0684931506849313</v>
      </c>
      <c r="D152" s="50">
        <f t="shared" si="14"/>
        <v>0.90679243466664572</v>
      </c>
      <c r="E152" s="50">
        <v>0</v>
      </c>
      <c r="F152" s="50">
        <v>1.7923916894982539</v>
      </c>
      <c r="G152" s="50">
        <v>3.18</v>
      </c>
      <c r="H152" s="50">
        <f t="shared" si="15"/>
        <v>0.50242711998443268</v>
      </c>
      <c r="I152" s="50">
        <v>0</v>
      </c>
      <c r="J152" s="50">
        <v>0.13033376849500614</v>
      </c>
      <c r="K152" s="50">
        <v>0</v>
      </c>
      <c r="L152" s="50">
        <f t="shared" si="16"/>
        <v>0</v>
      </c>
      <c r="M152" s="50">
        <v>0</v>
      </c>
      <c r="N152" s="50">
        <v>85</v>
      </c>
      <c r="O152" s="50">
        <f t="shared" si="17"/>
        <v>1.9294189257142926</v>
      </c>
      <c r="P152" s="50">
        <v>43.5</v>
      </c>
      <c r="Q152" s="50">
        <f t="shared" si="18"/>
        <v>1.6384892569546374</v>
      </c>
      <c r="R152" s="50">
        <v>52.924485315438503</v>
      </c>
      <c r="S152" s="50">
        <f t="shared" si="19"/>
        <v>1.7236566432478624</v>
      </c>
      <c r="T152" s="50">
        <v>3.2258683344006376</v>
      </c>
      <c r="U152" s="50">
        <v>3.9615291321450066</v>
      </c>
      <c r="V152" s="186">
        <v>270000000</v>
      </c>
      <c r="W152" s="186">
        <f t="shared" si="20"/>
        <v>8.4313637641589878</v>
      </c>
      <c r="X152" s="50">
        <v>5</v>
      </c>
      <c r="Y152" s="66" t="s">
        <v>163</v>
      </c>
    </row>
    <row r="153" spans="1:25" x14ac:dyDescent="0.35">
      <c r="A153" s="67">
        <v>-2</v>
      </c>
      <c r="B153" s="52" t="s">
        <v>45</v>
      </c>
      <c r="C153" s="52">
        <v>3.7643835616438355</v>
      </c>
      <c r="D153" s="50">
        <f t="shared" si="14"/>
        <v>0.57569386826705693</v>
      </c>
      <c r="E153" s="52">
        <v>0</v>
      </c>
      <c r="F153" s="52">
        <v>1.2041199826559248</v>
      </c>
      <c r="G153" s="52">
        <v>2.95</v>
      </c>
      <c r="H153" s="50">
        <f t="shared" si="15"/>
        <v>0.46982201597816303</v>
      </c>
      <c r="I153" s="52">
        <v>0</v>
      </c>
      <c r="J153" s="52">
        <v>-0.14266750356873156</v>
      </c>
      <c r="K153" s="52">
        <v>39</v>
      </c>
      <c r="L153" s="50">
        <f t="shared" si="16"/>
        <v>1.5910646070264991</v>
      </c>
      <c r="M153" s="52">
        <v>0</v>
      </c>
      <c r="N153" s="52">
        <v>85</v>
      </c>
      <c r="O153" s="50">
        <f t="shared" si="17"/>
        <v>1.9294189257142926</v>
      </c>
      <c r="P153" s="52">
        <v>25.9</v>
      </c>
      <c r="Q153" s="50">
        <f t="shared" si="18"/>
        <v>1.4132997640812519</v>
      </c>
      <c r="R153" s="52">
        <v>36.959146749272797</v>
      </c>
      <c r="S153" s="50">
        <f t="shared" si="19"/>
        <v>1.5677219364019672</v>
      </c>
      <c r="T153" s="52">
        <v>3.1527645837352773</v>
      </c>
      <c r="U153" s="52">
        <v>3.5411223705253856</v>
      </c>
      <c r="V153" s="187">
        <v>270000000</v>
      </c>
      <c r="W153" s="186">
        <f t="shared" si="20"/>
        <v>8.4313637641589878</v>
      </c>
      <c r="X153" s="52">
        <v>2</v>
      </c>
      <c r="Y153" s="68" t="s">
        <v>602</v>
      </c>
    </row>
    <row r="154" spans="1:25" x14ac:dyDescent="0.35">
      <c r="A154" s="49">
        <v>0.12677710745562698</v>
      </c>
      <c r="B154" s="50" t="s">
        <v>45</v>
      </c>
      <c r="C154" s="50">
        <v>1.1095890410958904</v>
      </c>
      <c r="D154" s="50">
        <f t="shared" si="14"/>
        <v>4.5162158758193849E-2</v>
      </c>
      <c r="E154" s="50">
        <v>0</v>
      </c>
      <c r="F154" s="50">
        <v>1.3424226808222062</v>
      </c>
      <c r="G154" s="50">
        <v>2.95</v>
      </c>
      <c r="H154" s="50">
        <f t="shared" si="15"/>
        <v>0.46982201597816303</v>
      </c>
      <c r="I154" s="50">
        <v>0</v>
      </c>
      <c r="J154" s="50">
        <v>1.2837224705172217E-2</v>
      </c>
      <c r="K154" s="50">
        <v>1</v>
      </c>
      <c r="L154" s="50">
        <f t="shared" si="16"/>
        <v>0</v>
      </c>
      <c r="M154" s="50">
        <v>0</v>
      </c>
      <c r="N154" s="50">
        <v>85</v>
      </c>
      <c r="O154" s="50">
        <f t="shared" si="17"/>
        <v>1.9294189257142926</v>
      </c>
      <c r="P154" s="50">
        <v>24.6</v>
      </c>
      <c r="Q154" s="50">
        <f t="shared" si="18"/>
        <v>1.3909351071033791</v>
      </c>
      <c r="R154" s="50">
        <v>36.876470987978301</v>
      </c>
      <c r="S154" s="50">
        <f t="shared" si="19"/>
        <v>1.5667493531684615</v>
      </c>
      <c r="T154" s="50">
        <v>3.0958500844125241</v>
      </c>
      <c r="U154" s="50">
        <v>3.5078178355445662</v>
      </c>
      <c r="V154" s="186">
        <v>271100000</v>
      </c>
      <c r="W154" s="186">
        <f t="shared" si="20"/>
        <v>8.4331295175804861</v>
      </c>
      <c r="X154" s="50">
        <v>3</v>
      </c>
      <c r="Y154" s="66" t="s">
        <v>602</v>
      </c>
    </row>
    <row r="155" spans="1:25" x14ac:dyDescent="0.35">
      <c r="A155" s="67">
        <v>0.45307083395064052</v>
      </c>
      <c r="B155" s="52" t="s">
        <v>59</v>
      </c>
      <c r="C155" s="52">
        <v>3.8</v>
      </c>
      <c r="D155" s="50">
        <f t="shared" si="14"/>
        <v>0.57978359661681012</v>
      </c>
      <c r="E155" s="52">
        <v>3.7707754512906644</v>
      </c>
      <c r="F155" s="52">
        <v>1.6232492903979006</v>
      </c>
      <c r="G155" s="52">
        <v>2.3199999999999998</v>
      </c>
      <c r="H155" s="50">
        <f t="shared" si="15"/>
        <v>0.36548798489089962</v>
      </c>
      <c r="I155" s="52">
        <v>2.1238516409670858</v>
      </c>
      <c r="J155" s="52">
        <v>8.2785370316450071E-2</v>
      </c>
      <c r="K155" s="52">
        <v>4</v>
      </c>
      <c r="L155" s="50">
        <f t="shared" si="16"/>
        <v>0.6020599913279624</v>
      </c>
      <c r="M155" s="52">
        <v>1</v>
      </c>
      <c r="N155" s="52">
        <v>85</v>
      </c>
      <c r="O155" s="50">
        <f t="shared" si="17"/>
        <v>1.9294189257142926</v>
      </c>
      <c r="P155" s="52">
        <v>32.299999999999997</v>
      </c>
      <c r="Q155" s="50">
        <f t="shared" si="18"/>
        <v>1.5092025223311027</v>
      </c>
      <c r="R155" s="52">
        <v>40.040400531970803</v>
      </c>
      <c r="S155" s="50">
        <f t="shared" si="19"/>
        <v>1.6024984131617945</v>
      </c>
      <c r="T155" s="52">
        <v>3.348721986001856</v>
      </c>
      <c r="U155" s="52">
        <v>3.7520876635386311</v>
      </c>
      <c r="V155" s="187">
        <v>273500000</v>
      </c>
      <c r="W155" s="186">
        <f t="shared" si="20"/>
        <v>8.4369573306694488</v>
      </c>
      <c r="X155" s="52">
        <v>5</v>
      </c>
      <c r="Y155" s="68" t="s">
        <v>45</v>
      </c>
    </row>
    <row r="156" spans="1:25" x14ac:dyDescent="0.35">
      <c r="A156" s="49">
        <v>4.0163924050212831E-2</v>
      </c>
      <c r="B156" s="50" t="s">
        <v>163</v>
      </c>
      <c r="C156" s="50">
        <v>3.0547945205479454</v>
      </c>
      <c r="D156" s="50">
        <f t="shared" si="14"/>
        <v>0.48498200292770483</v>
      </c>
      <c r="E156" s="50">
        <v>3.127956346922264</v>
      </c>
      <c r="F156" s="50">
        <v>2.2787536009528289</v>
      </c>
      <c r="G156" s="50">
        <v>2.93</v>
      </c>
      <c r="H156" s="50">
        <f t="shared" si="15"/>
        <v>0.4668676203541095</v>
      </c>
      <c r="I156" s="50">
        <v>2.307496037913213</v>
      </c>
      <c r="J156" s="50">
        <v>-4.5757490560675115E-2</v>
      </c>
      <c r="K156" s="50">
        <v>12</v>
      </c>
      <c r="L156" s="50">
        <f t="shared" si="16"/>
        <v>1.0791812460476249</v>
      </c>
      <c r="M156" s="50">
        <v>1</v>
      </c>
      <c r="N156" s="50">
        <v>70</v>
      </c>
      <c r="O156" s="50">
        <f t="shared" si="17"/>
        <v>1.8450980400142569</v>
      </c>
      <c r="P156" s="50">
        <v>43.1</v>
      </c>
      <c r="Q156" s="50">
        <f t="shared" si="18"/>
        <v>1.6344772701607315</v>
      </c>
      <c r="R156" s="50">
        <v>51.718307112209096</v>
      </c>
      <c r="S156" s="50">
        <f t="shared" si="19"/>
        <v>1.7136443007431839</v>
      </c>
      <c r="T156" s="50">
        <v>3.277819633965128</v>
      </c>
      <c r="U156" s="50">
        <v>3.9304083853612104</v>
      </c>
      <c r="V156" s="186">
        <v>273500000</v>
      </c>
      <c r="W156" s="186">
        <f t="shared" si="20"/>
        <v>8.4369573306694488</v>
      </c>
      <c r="X156" s="50">
        <v>1</v>
      </c>
      <c r="Y156" s="66" t="s">
        <v>577</v>
      </c>
    </row>
    <row r="157" spans="1:25" x14ac:dyDescent="0.35">
      <c r="A157" s="67">
        <v>-0.12160259330391791</v>
      </c>
      <c r="B157" s="84" t="s">
        <v>4</v>
      </c>
      <c r="C157" s="52">
        <v>1.3205479452054794</v>
      </c>
      <c r="D157" s="50">
        <f t="shared" si="14"/>
        <v>0.12075417378237484</v>
      </c>
      <c r="E157" s="52">
        <v>0</v>
      </c>
      <c r="F157" s="52">
        <v>1.7160033436347992</v>
      </c>
      <c r="G157" s="52">
        <v>3.59</v>
      </c>
      <c r="H157" s="50">
        <f t="shared" si="15"/>
        <v>0.55509444857831913</v>
      </c>
      <c r="I157" s="52">
        <v>0</v>
      </c>
      <c r="J157" s="52">
        <v>6.069784035361165E-2</v>
      </c>
      <c r="K157" s="52">
        <v>15</v>
      </c>
      <c r="L157" s="50">
        <f t="shared" si="16"/>
        <v>1.1760912590556813</v>
      </c>
      <c r="M157" s="52">
        <v>0</v>
      </c>
      <c r="N157" s="52">
        <v>70</v>
      </c>
      <c r="O157" s="50">
        <f t="shared" si="17"/>
        <v>1.8450980400142569</v>
      </c>
      <c r="P157" s="52">
        <v>45.7</v>
      </c>
      <c r="Q157" s="50">
        <f t="shared" si="18"/>
        <v>1.6599162000698502</v>
      </c>
      <c r="R157" s="52">
        <v>52.379377176281302</v>
      </c>
      <c r="S157" s="50">
        <f t="shared" si="19"/>
        <v>1.7191603300855409</v>
      </c>
      <c r="T157" s="52">
        <v>3.212261842580872</v>
      </c>
      <c r="U157" s="52">
        <v>3.9329492300777744</v>
      </c>
      <c r="V157" s="187">
        <v>274920000</v>
      </c>
      <c r="W157" s="186">
        <f t="shared" si="20"/>
        <v>8.4392063352370226</v>
      </c>
      <c r="X157" s="52">
        <v>7</v>
      </c>
      <c r="Y157" s="103" t="s">
        <v>4</v>
      </c>
    </row>
    <row r="158" spans="1:25" x14ac:dyDescent="0.35">
      <c r="A158" s="49">
        <v>0.39973663535655063</v>
      </c>
      <c r="B158" s="50" t="s">
        <v>4</v>
      </c>
      <c r="C158" s="50">
        <v>2.9150684931506849</v>
      </c>
      <c r="D158" s="50">
        <f t="shared" si="14"/>
        <v>0.46464876350255468</v>
      </c>
      <c r="E158" s="50">
        <v>0</v>
      </c>
      <c r="F158" s="50">
        <v>2.0293837776852097</v>
      </c>
      <c r="G158" s="50">
        <v>3.59</v>
      </c>
      <c r="H158" s="50">
        <f t="shared" si="15"/>
        <v>0.55509444857831913</v>
      </c>
      <c r="I158" s="50">
        <v>0</v>
      </c>
      <c r="J158" s="50">
        <v>0.13353890837021748</v>
      </c>
      <c r="K158" s="50">
        <v>1</v>
      </c>
      <c r="L158" s="50">
        <f t="shared" si="16"/>
        <v>0</v>
      </c>
      <c r="M158" s="50">
        <v>0</v>
      </c>
      <c r="N158" s="50">
        <v>70</v>
      </c>
      <c r="O158" s="50">
        <f t="shared" si="17"/>
        <v>1.8450980400142569</v>
      </c>
      <c r="P158" s="50">
        <v>45.7</v>
      </c>
      <c r="Q158" s="50">
        <f t="shared" si="18"/>
        <v>1.6599162000698502</v>
      </c>
      <c r="R158" s="50">
        <v>52.379377176281302</v>
      </c>
      <c r="S158" s="50">
        <f t="shared" si="19"/>
        <v>1.7191603300855409</v>
      </c>
      <c r="T158" s="50">
        <v>3.1884249941294067</v>
      </c>
      <c r="U158" s="50">
        <v>3.9391261945252749</v>
      </c>
      <c r="V158" s="186">
        <v>275000000</v>
      </c>
      <c r="W158" s="186">
        <f t="shared" si="20"/>
        <v>8.4393326938302629</v>
      </c>
      <c r="X158" s="50">
        <v>1</v>
      </c>
      <c r="Y158" s="66" t="s">
        <v>4</v>
      </c>
    </row>
    <row r="159" spans="1:25" x14ac:dyDescent="0.35">
      <c r="A159" s="67">
        <v>-2</v>
      </c>
      <c r="B159" s="52" t="s">
        <v>45</v>
      </c>
      <c r="C159" s="52">
        <v>4.3178082191780822</v>
      </c>
      <c r="D159" s="50">
        <f t="shared" si="14"/>
        <v>0.6352633486970618</v>
      </c>
      <c r="E159" s="52">
        <v>0</v>
      </c>
      <c r="F159" s="52">
        <v>0.47712125471966244</v>
      </c>
      <c r="G159" s="52">
        <v>2.95</v>
      </c>
      <c r="H159" s="50">
        <f t="shared" si="15"/>
        <v>0.46982201597816303</v>
      </c>
      <c r="I159" s="52">
        <v>0</v>
      </c>
      <c r="J159" s="52">
        <v>2.9383777685209667E-2</v>
      </c>
      <c r="K159" s="52">
        <v>14</v>
      </c>
      <c r="L159" s="50">
        <f t="shared" si="16"/>
        <v>1.146128035678238</v>
      </c>
      <c r="M159" s="52">
        <v>0</v>
      </c>
      <c r="N159" s="52">
        <v>85</v>
      </c>
      <c r="O159" s="50">
        <f t="shared" si="17"/>
        <v>1.9294189257142926</v>
      </c>
      <c r="P159" s="52">
        <v>27.2</v>
      </c>
      <c r="Q159" s="50">
        <f t="shared" si="18"/>
        <v>1.4345689040341987</v>
      </c>
      <c r="R159" s="52">
        <v>35.608384832026097</v>
      </c>
      <c r="S159" s="50">
        <f t="shared" si="19"/>
        <v>1.5515522748692276</v>
      </c>
      <c r="T159" s="52">
        <v>3.0958500844125241</v>
      </c>
      <c r="U159" s="52">
        <v>3.5078178355445662</v>
      </c>
      <c r="V159" s="187">
        <v>275000000</v>
      </c>
      <c r="W159" s="186">
        <f t="shared" si="20"/>
        <v>8.4393326938302629</v>
      </c>
      <c r="X159" s="52">
        <v>4</v>
      </c>
      <c r="Y159" s="68" t="s">
        <v>602</v>
      </c>
    </row>
    <row r="160" spans="1:25" x14ac:dyDescent="0.35">
      <c r="A160" s="49">
        <v>0.64781748188863753</v>
      </c>
      <c r="B160" s="50" t="s">
        <v>59</v>
      </c>
      <c r="C160" s="50">
        <v>5.1068493150684935</v>
      </c>
      <c r="D160" s="50">
        <f t="shared" si="14"/>
        <v>0.70815304356148789</v>
      </c>
      <c r="E160" s="50">
        <v>0</v>
      </c>
      <c r="F160" s="50">
        <v>0</v>
      </c>
      <c r="G160" s="50">
        <v>3.29</v>
      </c>
      <c r="H160" s="50">
        <f t="shared" si="15"/>
        <v>0.51719589794997434</v>
      </c>
      <c r="I160" s="50">
        <v>0</v>
      </c>
      <c r="J160" s="50">
        <v>-7.0581074285707285E-2</v>
      </c>
      <c r="K160" s="50">
        <v>12</v>
      </c>
      <c r="L160" s="50">
        <f t="shared" si="16"/>
        <v>1.0791812460476249</v>
      </c>
      <c r="M160" s="50">
        <v>0</v>
      </c>
      <c r="N160" s="50">
        <v>85</v>
      </c>
      <c r="O160" s="50">
        <f t="shared" si="17"/>
        <v>1.9294189257142926</v>
      </c>
      <c r="P160" s="50">
        <v>30</v>
      </c>
      <c r="Q160" s="50">
        <f t="shared" si="18"/>
        <v>1.4771212547196624</v>
      </c>
      <c r="R160" s="50">
        <v>35.807885111275297</v>
      </c>
      <c r="S160" s="50">
        <f t="shared" si="19"/>
        <v>1.5539786714272548</v>
      </c>
      <c r="T160" s="50">
        <v>3.3833706119727633</v>
      </c>
      <c r="U160" s="50">
        <v>3.9798077985646683</v>
      </c>
      <c r="V160" s="186">
        <v>279000000</v>
      </c>
      <c r="W160" s="186">
        <f t="shared" si="20"/>
        <v>8.4456042032735983</v>
      </c>
      <c r="X160" s="50">
        <v>5</v>
      </c>
      <c r="Y160" s="66" t="s">
        <v>59</v>
      </c>
    </row>
    <row r="161" spans="1:25" x14ac:dyDescent="0.35">
      <c r="A161" s="67">
        <v>0.38535088136401707</v>
      </c>
      <c r="B161" s="52" t="s">
        <v>59</v>
      </c>
      <c r="C161" s="52">
        <v>5.117808219178082</v>
      </c>
      <c r="D161" s="50">
        <f t="shared" si="14"/>
        <v>0.70908400743759981</v>
      </c>
      <c r="E161" s="52">
        <v>3.7707754512906644</v>
      </c>
      <c r="F161" s="52">
        <v>1.9590413923210936</v>
      </c>
      <c r="G161" s="52">
        <v>2.3199999999999998</v>
      </c>
      <c r="H161" s="50">
        <f t="shared" si="15"/>
        <v>0.36548798489089962</v>
      </c>
      <c r="I161" s="52">
        <v>2.1238516409670858</v>
      </c>
      <c r="J161" s="52">
        <v>0.28330122870354957</v>
      </c>
      <c r="K161" s="52">
        <v>44</v>
      </c>
      <c r="L161" s="50">
        <f t="shared" si="16"/>
        <v>1.6434526764861874</v>
      </c>
      <c r="M161" s="52">
        <v>1</v>
      </c>
      <c r="N161" s="52">
        <v>94.9</v>
      </c>
      <c r="O161" s="50">
        <f t="shared" si="17"/>
        <v>1.9772662124272926</v>
      </c>
      <c r="P161" s="52">
        <v>32.299999999999997</v>
      </c>
      <c r="Q161" s="50">
        <f t="shared" si="18"/>
        <v>1.5092025223311027</v>
      </c>
      <c r="R161" s="52">
        <v>47.560703662314701</v>
      </c>
      <c r="S161" s="50">
        <f t="shared" si="19"/>
        <v>1.6772482713966061</v>
      </c>
      <c r="T161" s="52">
        <v>3.1527645837352773</v>
      </c>
      <c r="U161" s="52">
        <v>3.5411223705253856</v>
      </c>
      <c r="V161" s="187">
        <v>280000000</v>
      </c>
      <c r="W161" s="186">
        <f t="shared" si="20"/>
        <v>8.4471580313422194</v>
      </c>
      <c r="X161" s="52">
        <v>1</v>
      </c>
      <c r="Y161" s="68" t="s">
        <v>602</v>
      </c>
    </row>
    <row r="162" spans="1:25" x14ac:dyDescent="0.35">
      <c r="A162" s="49">
        <v>0.1075961808622074</v>
      </c>
      <c r="B162" s="50" t="s">
        <v>45</v>
      </c>
      <c r="C162" s="50">
        <v>3.3178082191780822</v>
      </c>
      <c r="D162" s="50">
        <f t="shared" si="14"/>
        <v>0.52085127868657755</v>
      </c>
      <c r="E162" s="50">
        <v>0</v>
      </c>
      <c r="F162" s="50">
        <v>1.5797835966168101</v>
      </c>
      <c r="G162" s="50">
        <v>2.95</v>
      </c>
      <c r="H162" s="50">
        <f t="shared" si="15"/>
        <v>0.46982201597816303</v>
      </c>
      <c r="I162" s="50">
        <v>0</v>
      </c>
      <c r="J162" s="50">
        <v>-0.20065945054641829</v>
      </c>
      <c r="K162" s="50">
        <v>12</v>
      </c>
      <c r="L162" s="50">
        <f t="shared" si="16"/>
        <v>1.0791812460476249</v>
      </c>
      <c r="M162" s="50">
        <v>0</v>
      </c>
      <c r="N162" s="50">
        <v>85</v>
      </c>
      <c r="O162" s="50">
        <f t="shared" si="17"/>
        <v>1.9294189257142926</v>
      </c>
      <c r="P162" s="50">
        <v>27.8</v>
      </c>
      <c r="Q162" s="50">
        <f t="shared" si="18"/>
        <v>1.4440447959180762</v>
      </c>
      <c r="R162" s="50">
        <v>34.656907836978597</v>
      </c>
      <c r="S162" s="50">
        <f t="shared" si="19"/>
        <v>1.5397898114291337</v>
      </c>
      <c r="T162" s="50">
        <v>3.0958500844125241</v>
      </c>
      <c r="U162" s="50">
        <v>3.5078178355445662</v>
      </c>
      <c r="V162" s="186">
        <v>281000000</v>
      </c>
      <c r="W162" s="186">
        <f t="shared" si="20"/>
        <v>8.4487063199050798</v>
      </c>
      <c r="X162" s="50">
        <v>4</v>
      </c>
      <c r="Y162" s="66" t="s">
        <v>602</v>
      </c>
    </row>
    <row r="163" spans="1:25" x14ac:dyDescent="0.35">
      <c r="A163" s="67">
        <v>-2</v>
      </c>
      <c r="B163" s="52" t="s">
        <v>59</v>
      </c>
      <c r="C163" s="52">
        <v>3.7095890410958905</v>
      </c>
      <c r="D163" s="50">
        <f t="shared" si="14"/>
        <v>0.56932579989265086</v>
      </c>
      <c r="E163" s="52">
        <v>3.7707754512906644</v>
      </c>
      <c r="F163" s="52">
        <v>0.6020599913279624</v>
      </c>
      <c r="G163" s="52">
        <v>2.3199999999999998</v>
      </c>
      <c r="H163" s="50">
        <f t="shared" si="15"/>
        <v>0.36548798489089962</v>
      </c>
      <c r="I163" s="52">
        <v>2.1238516409670858</v>
      </c>
      <c r="J163" s="52">
        <v>-1.322826573375516E-2</v>
      </c>
      <c r="K163" s="52">
        <v>15</v>
      </c>
      <c r="L163" s="50">
        <f t="shared" si="16"/>
        <v>1.1760912590556813</v>
      </c>
      <c r="M163" s="52">
        <v>1</v>
      </c>
      <c r="N163" s="52">
        <v>91.2</v>
      </c>
      <c r="O163" s="50">
        <f t="shared" si="17"/>
        <v>1.9599948383284163</v>
      </c>
      <c r="P163" s="52">
        <v>33</v>
      </c>
      <c r="Q163" s="50">
        <f t="shared" si="18"/>
        <v>1.5185139398778875</v>
      </c>
      <c r="R163" s="52">
        <v>40.902544500539101</v>
      </c>
      <c r="S163" s="50">
        <f t="shared" si="19"/>
        <v>1.6117503258110162</v>
      </c>
      <c r="T163" s="52">
        <v>3.3265688034989269</v>
      </c>
      <c r="U163" s="52">
        <v>3.64990043303693</v>
      </c>
      <c r="V163" s="187">
        <v>286700000</v>
      </c>
      <c r="W163" s="186">
        <f t="shared" si="20"/>
        <v>8.4574276929464851</v>
      </c>
      <c r="X163" s="52">
        <v>5</v>
      </c>
      <c r="Y163" s="68" t="s">
        <v>45</v>
      </c>
    </row>
    <row r="164" spans="1:25" x14ac:dyDescent="0.35">
      <c r="A164" s="49">
        <v>0.29550329383784157</v>
      </c>
      <c r="B164" s="50" t="s">
        <v>59</v>
      </c>
      <c r="C164" s="50">
        <v>1.4</v>
      </c>
      <c r="D164" s="50">
        <f t="shared" si="14"/>
        <v>0.14612803567823801</v>
      </c>
      <c r="E164" s="50">
        <v>0</v>
      </c>
      <c r="F164" s="50">
        <v>1.0791812460476249</v>
      </c>
      <c r="G164" s="50">
        <v>3.29</v>
      </c>
      <c r="H164" s="50">
        <f t="shared" si="15"/>
        <v>0.51719589794997434</v>
      </c>
      <c r="I164" s="50">
        <v>0</v>
      </c>
      <c r="J164" s="50">
        <v>6.069784035361165E-2</v>
      </c>
      <c r="K164" s="50">
        <v>3</v>
      </c>
      <c r="L164" s="50">
        <f t="shared" si="16"/>
        <v>0.47712125471966244</v>
      </c>
      <c r="M164" s="50">
        <v>0</v>
      </c>
      <c r="N164" s="50">
        <v>85</v>
      </c>
      <c r="O164" s="50">
        <f t="shared" si="17"/>
        <v>1.9294189257142926</v>
      </c>
      <c r="P164" s="50">
        <v>32.700000000000003</v>
      </c>
      <c r="Q164" s="50">
        <f t="shared" si="18"/>
        <v>1.5145477526602862</v>
      </c>
      <c r="R164" s="50">
        <v>41.286751495766303</v>
      </c>
      <c r="S164" s="50">
        <f t="shared" si="19"/>
        <v>1.6158107132703448</v>
      </c>
      <c r="T164" s="50">
        <v>3.3438084825075891</v>
      </c>
      <c r="U164" s="50">
        <v>3.8895205457872843</v>
      </c>
      <c r="V164" s="186">
        <v>288650000</v>
      </c>
      <c r="W164" s="186">
        <f t="shared" si="20"/>
        <v>8.4603715618346502</v>
      </c>
      <c r="X164" s="50">
        <v>6</v>
      </c>
      <c r="Y164" s="66" t="s">
        <v>59</v>
      </c>
    </row>
    <row r="165" spans="1:25" x14ac:dyDescent="0.35">
      <c r="A165" s="67">
        <v>0.17274634950008499</v>
      </c>
      <c r="B165" s="52" t="s">
        <v>59</v>
      </c>
      <c r="C165" s="52">
        <v>1.9561643835616438</v>
      </c>
      <c r="D165" s="50">
        <f t="shared" si="14"/>
        <v>0.29140534731969969</v>
      </c>
      <c r="E165" s="52">
        <v>3.7707754512906644</v>
      </c>
      <c r="F165" s="52">
        <v>1.414973347970818</v>
      </c>
      <c r="G165" s="52">
        <v>2.3199999999999998</v>
      </c>
      <c r="H165" s="50">
        <f t="shared" si="15"/>
        <v>0.36548798489089962</v>
      </c>
      <c r="I165" s="52">
        <v>2.1238516409670858</v>
      </c>
      <c r="J165" s="52">
        <v>7.554696139253074E-2</v>
      </c>
      <c r="K165" s="52">
        <v>18</v>
      </c>
      <c r="L165" s="50">
        <f t="shared" si="16"/>
        <v>1.255272505103306</v>
      </c>
      <c r="M165" s="52">
        <v>1</v>
      </c>
      <c r="N165" s="52">
        <v>85</v>
      </c>
      <c r="O165" s="50">
        <f t="shared" si="17"/>
        <v>1.9294189257142926</v>
      </c>
      <c r="P165" s="52">
        <v>32.700000000000003</v>
      </c>
      <c r="Q165" s="50">
        <f t="shared" si="18"/>
        <v>1.5145477526602862</v>
      </c>
      <c r="R165" s="52">
        <v>41.286751495766303</v>
      </c>
      <c r="S165" s="50">
        <f t="shared" si="19"/>
        <v>1.6158107132703448</v>
      </c>
      <c r="T165" s="52">
        <v>3.3151244779693188</v>
      </c>
      <c r="U165" s="52">
        <v>3.8475683751239629</v>
      </c>
      <c r="V165" s="187">
        <v>293000000</v>
      </c>
      <c r="W165" s="186">
        <f t="shared" si="20"/>
        <v>8.46686762035411</v>
      </c>
      <c r="X165" s="52">
        <v>5</v>
      </c>
      <c r="Y165" s="68" t="s">
        <v>45</v>
      </c>
    </row>
    <row r="166" spans="1:25" x14ac:dyDescent="0.35">
      <c r="A166" s="49">
        <v>0.37337794474981029</v>
      </c>
      <c r="B166" s="50" t="s">
        <v>2</v>
      </c>
      <c r="C166" s="50">
        <v>2.6547945205479451</v>
      </c>
      <c r="D166" s="50">
        <f t="shared" si="14"/>
        <v>0.4240309125942906</v>
      </c>
      <c r="E166" s="50">
        <v>3.8335760926148099</v>
      </c>
      <c r="F166" s="50">
        <v>0.3010299956639812</v>
      </c>
      <c r="G166" s="50">
        <v>2.85</v>
      </c>
      <c r="H166" s="50">
        <f t="shared" si="15"/>
        <v>0.45484486000851021</v>
      </c>
      <c r="I166" s="50">
        <v>2.9138138523837167</v>
      </c>
      <c r="J166" s="50">
        <v>7.9181246047624818E-2</v>
      </c>
      <c r="K166" s="50">
        <v>17</v>
      </c>
      <c r="L166" s="50">
        <f t="shared" si="16"/>
        <v>1.2304489213782739</v>
      </c>
      <c r="M166" s="50">
        <v>1</v>
      </c>
      <c r="N166" s="50">
        <v>70</v>
      </c>
      <c r="O166" s="50">
        <f t="shared" si="17"/>
        <v>1.8450980400142569</v>
      </c>
      <c r="P166" s="50">
        <v>33.9</v>
      </c>
      <c r="Q166" s="50">
        <f t="shared" si="18"/>
        <v>1.5301996982030821</v>
      </c>
      <c r="R166" s="50">
        <v>46.312020505412598</v>
      </c>
      <c r="S166" s="50">
        <f t="shared" si="19"/>
        <v>1.6656937288498501</v>
      </c>
      <c r="T166" s="50">
        <v>3.0958500844125241</v>
      </c>
      <c r="U166" s="50">
        <v>3.5078178355445662</v>
      </c>
      <c r="V166" s="186">
        <v>300000000</v>
      </c>
      <c r="W166" s="186">
        <f t="shared" si="20"/>
        <v>8.4771212547196626</v>
      </c>
      <c r="X166" s="50">
        <v>8</v>
      </c>
      <c r="Y166" s="66" t="s">
        <v>45</v>
      </c>
    </row>
    <row r="167" spans="1:25" x14ac:dyDescent="0.35">
      <c r="A167" s="67">
        <v>0.12493873660829993</v>
      </c>
      <c r="B167" s="52" t="s">
        <v>163</v>
      </c>
      <c r="C167" s="52">
        <v>3.8767123287671232</v>
      </c>
      <c r="D167" s="50">
        <f t="shared" si="14"/>
        <v>0.58846357540383432</v>
      </c>
      <c r="E167" s="52">
        <v>2.5362300726332561</v>
      </c>
      <c r="F167" s="52">
        <v>1.8061799739838871</v>
      </c>
      <c r="G167" s="52">
        <v>2.3199999999999998</v>
      </c>
      <c r="H167" s="50">
        <f t="shared" si="15"/>
        <v>0.36548798489089962</v>
      </c>
      <c r="I167" s="52">
        <v>2.756001823801419</v>
      </c>
      <c r="J167" s="52">
        <v>4.5322978786657475E-2</v>
      </c>
      <c r="K167" s="52">
        <v>21</v>
      </c>
      <c r="L167" s="50">
        <f t="shared" si="16"/>
        <v>1.3222192947339193</v>
      </c>
      <c r="M167" s="52">
        <v>1</v>
      </c>
      <c r="N167" s="52">
        <v>70</v>
      </c>
      <c r="O167" s="50">
        <f t="shared" si="17"/>
        <v>1.8450980400142569</v>
      </c>
      <c r="P167" s="52">
        <v>42.4</v>
      </c>
      <c r="Q167" s="50">
        <f t="shared" si="18"/>
        <v>1.6273658565927327</v>
      </c>
      <c r="R167" s="52">
        <v>52.795294707427601</v>
      </c>
      <c r="S167" s="50">
        <f t="shared" si="19"/>
        <v>1.7225952184872551</v>
      </c>
      <c r="T167" s="52">
        <v>3.2224645332922388</v>
      </c>
      <c r="U167" s="52">
        <v>3.707126713924402</v>
      </c>
      <c r="V167" s="187">
        <v>300000000</v>
      </c>
      <c r="W167" s="186">
        <f t="shared" si="20"/>
        <v>8.4771212547196626</v>
      </c>
      <c r="X167" s="52">
        <v>2</v>
      </c>
      <c r="Y167" s="68" t="s">
        <v>59</v>
      </c>
    </row>
    <row r="168" spans="1:25" x14ac:dyDescent="0.35">
      <c r="A168" s="49">
        <v>0.36797678529459443</v>
      </c>
      <c r="B168" s="50" t="s">
        <v>5</v>
      </c>
      <c r="C168" s="50">
        <v>3.0794520547945203</v>
      </c>
      <c r="D168" s="50">
        <f t="shared" si="14"/>
        <v>0.48847344677656757</v>
      </c>
      <c r="E168" s="50">
        <v>2.5542346870234227</v>
      </c>
      <c r="F168" s="50">
        <v>1.146128035678238</v>
      </c>
      <c r="G168" s="50">
        <v>3.16</v>
      </c>
      <c r="H168" s="50">
        <f t="shared" si="15"/>
        <v>0.49968708261840383</v>
      </c>
      <c r="I168" s="50">
        <v>2.9876662649262746</v>
      </c>
      <c r="J168" s="50">
        <v>0.12385164096708581</v>
      </c>
      <c r="K168" s="50">
        <v>24</v>
      </c>
      <c r="L168" s="50">
        <f t="shared" si="16"/>
        <v>1.3802112417116059</v>
      </c>
      <c r="M168" s="50">
        <v>1</v>
      </c>
      <c r="N168" s="50">
        <v>70</v>
      </c>
      <c r="O168" s="50">
        <f t="shared" si="17"/>
        <v>1.8450980400142569</v>
      </c>
      <c r="P168" s="50">
        <v>34.799999999999997</v>
      </c>
      <c r="Q168" s="50">
        <f t="shared" si="18"/>
        <v>1.541579243946581</v>
      </c>
      <c r="R168" s="50">
        <v>43.471204603938098</v>
      </c>
      <c r="S168" s="50">
        <f t="shared" si="19"/>
        <v>1.6382016748260968</v>
      </c>
      <c r="T168" s="50">
        <v>3.2327651641054547</v>
      </c>
      <c r="U168" s="50">
        <v>3.9527244147731087</v>
      </c>
      <c r="V168" s="186">
        <v>300000000</v>
      </c>
      <c r="W168" s="186">
        <f t="shared" si="20"/>
        <v>8.4771212547196626</v>
      </c>
      <c r="X168" s="50">
        <v>9</v>
      </c>
      <c r="Y168" s="66" t="s">
        <v>59</v>
      </c>
    </row>
    <row r="169" spans="1:25" x14ac:dyDescent="0.35">
      <c r="A169" s="67">
        <v>0.24539996693467084</v>
      </c>
      <c r="B169" s="52" t="s">
        <v>1</v>
      </c>
      <c r="C169" s="52">
        <v>7.4246575342465757</v>
      </c>
      <c r="D169" s="50">
        <f t="shared" si="14"/>
        <v>0.87067642641793108</v>
      </c>
      <c r="E169" s="52">
        <v>0</v>
      </c>
      <c r="F169" s="52">
        <v>1.1139433523068367</v>
      </c>
      <c r="G169" s="52">
        <v>3.42</v>
      </c>
      <c r="H169" s="50">
        <f t="shared" si="15"/>
        <v>0.53402610605613499</v>
      </c>
      <c r="I169" s="52">
        <v>0</v>
      </c>
      <c r="J169" s="52">
        <v>8.9905111439397931E-2</v>
      </c>
      <c r="K169" s="52">
        <v>15</v>
      </c>
      <c r="L169" s="50">
        <f t="shared" si="16"/>
        <v>1.1760912590556813</v>
      </c>
      <c r="M169" s="52">
        <v>0</v>
      </c>
      <c r="N169" s="52">
        <v>70</v>
      </c>
      <c r="O169" s="50">
        <f t="shared" si="17"/>
        <v>1.8450980400142569</v>
      </c>
      <c r="P169" s="52">
        <v>42.4</v>
      </c>
      <c r="Q169" s="50">
        <f t="shared" si="18"/>
        <v>1.6273658565927327</v>
      </c>
      <c r="R169" s="52">
        <v>44.9782573439335</v>
      </c>
      <c r="S169" s="50">
        <f t="shared" si="19"/>
        <v>1.6530026249418825</v>
      </c>
      <c r="T169" s="52">
        <v>3.277819633965128</v>
      </c>
      <c r="U169" s="52">
        <v>3.9304083853612104</v>
      </c>
      <c r="V169" s="187">
        <v>300000000</v>
      </c>
      <c r="W169" s="186">
        <f t="shared" si="20"/>
        <v>8.4771212547196626</v>
      </c>
      <c r="X169" s="52">
        <v>7</v>
      </c>
      <c r="Y169" s="68" t="s">
        <v>577</v>
      </c>
    </row>
    <row r="170" spans="1:25" x14ac:dyDescent="0.35">
      <c r="A170" s="49">
        <v>-2</v>
      </c>
      <c r="B170" s="50" t="s">
        <v>59</v>
      </c>
      <c r="C170" s="50">
        <v>2.6547945205479451</v>
      </c>
      <c r="D170" s="50">
        <f t="shared" si="14"/>
        <v>0.4240309125942906</v>
      </c>
      <c r="E170" s="50">
        <v>3.7707754512906644</v>
      </c>
      <c r="F170" s="50">
        <v>1.414973347970818</v>
      </c>
      <c r="G170" s="50">
        <v>2.3199999999999998</v>
      </c>
      <c r="H170" s="50">
        <f t="shared" si="15"/>
        <v>0.36548798489089962</v>
      </c>
      <c r="I170" s="50">
        <v>2.1238516409670858</v>
      </c>
      <c r="J170" s="50">
        <v>0.13353890837021748</v>
      </c>
      <c r="K170" s="50">
        <v>18</v>
      </c>
      <c r="L170" s="50">
        <f t="shared" si="16"/>
        <v>1.255272505103306</v>
      </c>
      <c r="M170" s="50">
        <v>1</v>
      </c>
      <c r="N170" s="50">
        <v>94.9</v>
      </c>
      <c r="O170" s="50">
        <f t="shared" si="17"/>
        <v>1.9772662124272926</v>
      </c>
      <c r="P170" s="50">
        <v>32.299999999999997</v>
      </c>
      <c r="Q170" s="50">
        <f t="shared" si="18"/>
        <v>1.5092025223311027</v>
      </c>
      <c r="R170" s="50">
        <v>47.560703662314701</v>
      </c>
      <c r="S170" s="50">
        <f t="shared" si="19"/>
        <v>1.6772482713966061</v>
      </c>
      <c r="T170" s="50">
        <v>3.1628767233771686</v>
      </c>
      <c r="U170" s="50">
        <v>3.6087947637270492</v>
      </c>
      <c r="V170" s="186">
        <v>300000000</v>
      </c>
      <c r="W170" s="186">
        <f t="shared" si="20"/>
        <v>8.4771212547196626</v>
      </c>
      <c r="X170" s="50">
        <v>5</v>
      </c>
      <c r="Y170" s="66" t="s">
        <v>602</v>
      </c>
    </row>
    <row r="171" spans="1:25" x14ac:dyDescent="0.35">
      <c r="A171" s="67">
        <v>0.13353890837021754</v>
      </c>
      <c r="B171" s="52" t="s">
        <v>2</v>
      </c>
      <c r="C171" s="52">
        <v>5.624657534246575</v>
      </c>
      <c r="D171" s="50">
        <f t="shared" si="14"/>
        <v>0.75009608491411717</v>
      </c>
      <c r="E171" s="52">
        <v>0</v>
      </c>
      <c r="F171" s="52">
        <v>2.1105897102992488</v>
      </c>
      <c r="G171" s="52">
        <v>3.5</v>
      </c>
      <c r="H171" s="50">
        <f t="shared" si="15"/>
        <v>0.54406804435027567</v>
      </c>
      <c r="I171" s="52">
        <v>0</v>
      </c>
      <c r="J171" s="52">
        <v>-2.2276394711152253E-2</v>
      </c>
      <c r="K171" s="52">
        <v>42</v>
      </c>
      <c r="L171" s="50">
        <f t="shared" si="16"/>
        <v>1.6232492903979006</v>
      </c>
      <c r="M171" s="52">
        <v>0</v>
      </c>
      <c r="N171" s="52">
        <v>88.9</v>
      </c>
      <c r="O171" s="50">
        <f t="shared" si="17"/>
        <v>1.9489017609702137</v>
      </c>
      <c r="P171" s="52">
        <v>34.9</v>
      </c>
      <c r="Q171" s="50">
        <f t="shared" si="18"/>
        <v>1.5428254269591799</v>
      </c>
      <c r="R171" s="52">
        <v>42.817370475444001</v>
      </c>
      <c r="S171" s="50">
        <f t="shared" si="19"/>
        <v>1.6316199926391717</v>
      </c>
      <c r="T171" s="52">
        <v>3.1748092491298348</v>
      </c>
      <c r="U171" s="52">
        <v>3.5756423396072652</v>
      </c>
      <c r="V171" s="187">
        <v>300000000</v>
      </c>
      <c r="W171" s="186">
        <f t="shared" si="20"/>
        <v>8.4771212547196626</v>
      </c>
      <c r="X171" s="52">
        <v>1</v>
      </c>
      <c r="Y171" s="68" t="s">
        <v>1105</v>
      </c>
    </row>
    <row r="172" spans="1:25" x14ac:dyDescent="0.35">
      <c r="A172" s="49">
        <v>0.33579210192319309</v>
      </c>
      <c r="B172" s="50" t="s">
        <v>45</v>
      </c>
      <c r="C172" s="50">
        <v>1.3616438356164384</v>
      </c>
      <c r="D172" s="50">
        <f t="shared" si="14"/>
        <v>0.13406352427685744</v>
      </c>
      <c r="E172" s="50">
        <v>0</v>
      </c>
      <c r="F172" s="50">
        <v>1.6812412373755872</v>
      </c>
      <c r="G172" s="50">
        <v>2.95</v>
      </c>
      <c r="H172" s="50">
        <f t="shared" si="15"/>
        <v>0.46982201597816303</v>
      </c>
      <c r="I172" s="50">
        <v>0</v>
      </c>
      <c r="J172" s="50">
        <v>0.12057393120584989</v>
      </c>
      <c r="K172" s="50">
        <v>16</v>
      </c>
      <c r="L172" s="50">
        <f t="shared" si="16"/>
        <v>1.2041199826559248</v>
      </c>
      <c r="M172" s="50">
        <v>0</v>
      </c>
      <c r="N172" s="50">
        <v>85</v>
      </c>
      <c r="O172" s="50">
        <f t="shared" si="17"/>
        <v>1.9294189257142926</v>
      </c>
      <c r="P172" s="50">
        <v>24.4</v>
      </c>
      <c r="Q172" s="50">
        <f t="shared" si="18"/>
        <v>1.3873898263387294</v>
      </c>
      <c r="R172" s="50">
        <v>37.256914365427299</v>
      </c>
      <c r="S172" s="50">
        <f t="shared" si="19"/>
        <v>1.5712068835833228</v>
      </c>
      <c r="T172" s="50">
        <v>3.0958500844125241</v>
      </c>
      <c r="U172" s="50">
        <v>3.5078178355445662</v>
      </c>
      <c r="V172" s="186">
        <v>300000000</v>
      </c>
      <c r="W172" s="186">
        <f t="shared" si="20"/>
        <v>8.4771212547196626</v>
      </c>
      <c r="X172" s="50">
        <v>1</v>
      </c>
      <c r="Y172" s="66" t="s">
        <v>602</v>
      </c>
    </row>
    <row r="173" spans="1:25" x14ac:dyDescent="0.35">
      <c r="A173" s="67">
        <v>-5.9058784041745138</v>
      </c>
      <c r="B173" s="52" t="s">
        <v>45</v>
      </c>
      <c r="C173" s="52">
        <v>0.52054794520547942</v>
      </c>
      <c r="D173" s="50">
        <f t="shared" si="14"/>
        <v>-0.28353926350364578</v>
      </c>
      <c r="E173" s="52">
        <v>0</v>
      </c>
      <c r="F173" s="52">
        <v>0.3010299956639812</v>
      </c>
      <c r="G173" s="52">
        <v>2.95</v>
      </c>
      <c r="H173" s="50">
        <f t="shared" si="15"/>
        <v>0.46982201597816303</v>
      </c>
      <c r="I173" s="52">
        <v>0</v>
      </c>
      <c r="J173" s="52">
        <v>2.9383777685209667E-2</v>
      </c>
      <c r="K173" s="52">
        <v>26</v>
      </c>
      <c r="L173" s="50">
        <f t="shared" si="16"/>
        <v>1.414973347970818</v>
      </c>
      <c r="M173" s="52">
        <v>0</v>
      </c>
      <c r="N173" s="52">
        <v>82.7</v>
      </c>
      <c r="O173" s="50">
        <f t="shared" si="17"/>
        <v>1.9175055095525466</v>
      </c>
      <c r="P173" s="52" t="e">
        <v>#REF!</v>
      </c>
      <c r="Q173" s="50" t="e">
        <f t="shared" si="18"/>
        <v>#REF!</v>
      </c>
      <c r="R173" s="52">
        <v>37.950861553017603</v>
      </c>
      <c r="S173" s="50">
        <f t="shared" si="19"/>
        <v>1.5792216396115846</v>
      </c>
      <c r="T173" s="52">
        <v>3.1628767233771686</v>
      </c>
      <c r="U173" s="52">
        <v>3.6087947637270492</v>
      </c>
      <c r="V173" s="187">
        <v>300000000</v>
      </c>
      <c r="W173" s="186">
        <f t="shared" si="20"/>
        <v>8.4771212547196626</v>
      </c>
      <c r="X173" s="52">
        <v>2</v>
      </c>
      <c r="Y173" s="68" t="s">
        <v>602</v>
      </c>
    </row>
    <row r="174" spans="1:25" x14ac:dyDescent="0.35">
      <c r="A174" s="49">
        <v>0.33579210192319309</v>
      </c>
      <c r="B174" s="50" t="s">
        <v>45</v>
      </c>
      <c r="C174" s="50">
        <v>1.3616438356164384</v>
      </c>
      <c r="D174" s="50">
        <f t="shared" si="14"/>
        <v>0.13406352427685744</v>
      </c>
      <c r="E174" s="50">
        <v>0</v>
      </c>
      <c r="F174" s="50">
        <v>1.6812412373755872</v>
      </c>
      <c r="G174" s="50">
        <v>2.95</v>
      </c>
      <c r="H174" s="50">
        <f t="shared" si="15"/>
        <v>0.46982201597816303</v>
      </c>
      <c r="I174" s="50">
        <v>0</v>
      </c>
      <c r="J174" s="50">
        <v>0.12057393120584989</v>
      </c>
      <c r="K174" s="50">
        <v>16</v>
      </c>
      <c r="L174" s="50">
        <f t="shared" si="16"/>
        <v>1.2041199826559248</v>
      </c>
      <c r="M174" s="50">
        <v>0</v>
      </c>
      <c r="N174" s="50">
        <v>85</v>
      </c>
      <c r="O174" s="50">
        <f t="shared" si="17"/>
        <v>1.9294189257142926</v>
      </c>
      <c r="P174" s="50">
        <v>24.4</v>
      </c>
      <c r="Q174" s="50">
        <f t="shared" si="18"/>
        <v>1.3873898263387294</v>
      </c>
      <c r="R174" s="50">
        <v>37.256914365427299</v>
      </c>
      <c r="S174" s="50">
        <f t="shared" si="19"/>
        <v>1.5712068835833228</v>
      </c>
      <c r="T174" s="50">
        <v>3.0958500844125241</v>
      </c>
      <c r="U174" s="50">
        <v>3.5078178355445662</v>
      </c>
      <c r="V174" s="186">
        <v>300000000</v>
      </c>
      <c r="W174" s="186">
        <f t="shared" si="20"/>
        <v>8.4771212547196626</v>
      </c>
      <c r="X174" s="50">
        <v>1</v>
      </c>
      <c r="Y174" s="66" t="s">
        <v>602</v>
      </c>
    </row>
    <row r="175" spans="1:25" x14ac:dyDescent="0.35">
      <c r="A175" s="67">
        <v>0.69179141970889546</v>
      </c>
      <c r="B175" s="52" t="s">
        <v>59</v>
      </c>
      <c r="C175" s="52">
        <v>1.4602739726027398</v>
      </c>
      <c r="D175" s="50">
        <f t="shared" si="14"/>
        <v>0.16443434457009759</v>
      </c>
      <c r="E175" s="52">
        <v>3.7707754512906644</v>
      </c>
      <c r="F175" s="52">
        <v>0.3010299956639812</v>
      </c>
      <c r="G175" s="52">
        <v>2.3199999999999998</v>
      </c>
      <c r="H175" s="50">
        <f t="shared" si="15"/>
        <v>0.36548798489089962</v>
      </c>
      <c r="I175" s="52">
        <v>2.1238516409670858</v>
      </c>
      <c r="J175" s="52">
        <v>0.16435285578443709</v>
      </c>
      <c r="K175" s="52">
        <v>20</v>
      </c>
      <c r="L175" s="50">
        <f t="shared" si="16"/>
        <v>1.3010299956639813</v>
      </c>
      <c r="M175" s="52">
        <v>1</v>
      </c>
      <c r="N175" s="52">
        <v>85</v>
      </c>
      <c r="O175" s="50">
        <f t="shared" si="17"/>
        <v>1.9294189257142926</v>
      </c>
      <c r="P175" s="52">
        <v>29.3</v>
      </c>
      <c r="Q175" s="50">
        <f t="shared" si="18"/>
        <v>1.4668676203541096</v>
      </c>
      <c r="R175" s="52">
        <v>36.913126831903199</v>
      </c>
      <c r="S175" s="50">
        <f t="shared" si="19"/>
        <v>1.5671808349091383</v>
      </c>
      <c r="T175" s="52">
        <v>3.0687415514991745</v>
      </c>
      <c r="U175" s="52">
        <v>3.5297005493117593</v>
      </c>
      <c r="V175" s="187">
        <v>305000000</v>
      </c>
      <c r="W175" s="186">
        <f t="shared" si="20"/>
        <v>8.4842998393467859</v>
      </c>
      <c r="X175" s="52">
        <v>4</v>
      </c>
      <c r="Y175" s="68" t="s">
        <v>45</v>
      </c>
    </row>
    <row r="176" spans="1:25" x14ac:dyDescent="0.35">
      <c r="A176" s="49">
        <v>0.37787002589670354</v>
      </c>
      <c r="B176" s="50" t="s">
        <v>45</v>
      </c>
      <c r="C176" s="50">
        <v>4.2</v>
      </c>
      <c r="D176" s="50">
        <f t="shared" si="14"/>
        <v>0.62324929039790045</v>
      </c>
      <c r="E176" s="50">
        <v>0</v>
      </c>
      <c r="F176" s="50">
        <v>1.2304489213782739</v>
      </c>
      <c r="G176" s="50">
        <v>2.95</v>
      </c>
      <c r="H176" s="50">
        <f t="shared" si="15"/>
        <v>0.46982201597816303</v>
      </c>
      <c r="I176" s="50">
        <v>0</v>
      </c>
      <c r="J176" s="50">
        <v>0.17026171539495738</v>
      </c>
      <c r="K176" s="50">
        <v>15</v>
      </c>
      <c r="L176" s="50">
        <f t="shared" si="16"/>
        <v>1.1760912590556813</v>
      </c>
      <c r="M176" s="50">
        <v>0</v>
      </c>
      <c r="N176" s="50">
        <v>89.2</v>
      </c>
      <c r="O176" s="50">
        <f t="shared" si="17"/>
        <v>1.9503648543761232</v>
      </c>
      <c r="P176" s="50">
        <v>26</v>
      </c>
      <c r="Q176" s="50">
        <f t="shared" si="18"/>
        <v>1.414973347970818</v>
      </c>
      <c r="R176" s="50">
        <v>38.344872802923099</v>
      </c>
      <c r="S176" s="50">
        <f t="shared" si="19"/>
        <v>1.5837073014724459</v>
      </c>
      <c r="T176" s="50">
        <v>3.5168755324519045</v>
      </c>
      <c r="U176" s="50">
        <v>3.8089018284940463</v>
      </c>
      <c r="V176" s="186">
        <v>310000000</v>
      </c>
      <c r="W176" s="186">
        <f t="shared" si="20"/>
        <v>8.4913616938342731</v>
      </c>
      <c r="X176" s="50">
        <v>9</v>
      </c>
      <c r="Y176" s="66" t="s">
        <v>45</v>
      </c>
    </row>
    <row r="177" spans="1:25" x14ac:dyDescent="0.35">
      <c r="A177" s="67">
        <v>0.27300127206373764</v>
      </c>
      <c r="B177" s="52" t="s">
        <v>163</v>
      </c>
      <c r="C177" s="52">
        <v>1.9397260273972603</v>
      </c>
      <c r="D177" s="50">
        <f t="shared" si="14"/>
        <v>0.28774039323329431</v>
      </c>
      <c r="E177" s="52">
        <v>2.5362300726332561</v>
      </c>
      <c r="F177" s="52">
        <v>1.1760912590556813</v>
      </c>
      <c r="G177" s="52">
        <v>2.3199999999999998</v>
      </c>
      <c r="H177" s="50">
        <f t="shared" si="15"/>
        <v>0.36548798489089962</v>
      </c>
      <c r="I177" s="52">
        <v>2.756001823801419</v>
      </c>
      <c r="J177" s="52">
        <v>8.9905111439397931E-2</v>
      </c>
      <c r="K177" s="52">
        <v>0</v>
      </c>
      <c r="L177" s="50">
        <f t="shared" si="16"/>
        <v>0</v>
      </c>
      <c r="M177" s="52">
        <v>1</v>
      </c>
      <c r="N177" s="52">
        <v>70</v>
      </c>
      <c r="O177" s="50">
        <f t="shared" si="17"/>
        <v>1.8450980400142569</v>
      </c>
      <c r="P177" s="52">
        <v>42.9</v>
      </c>
      <c r="Q177" s="50">
        <f t="shared" si="18"/>
        <v>1.6324572921847242</v>
      </c>
      <c r="R177" s="52">
        <v>53.2941466273667</v>
      </c>
      <c r="S177" s="50">
        <f t="shared" si="19"/>
        <v>1.7266795124593939</v>
      </c>
      <c r="T177" s="52">
        <v>3.3209851425446502</v>
      </c>
      <c r="U177" s="52">
        <v>3.9950367434689285</v>
      </c>
      <c r="V177" s="187">
        <v>320000000</v>
      </c>
      <c r="W177" s="186">
        <f t="shared" si="20"/>
        <v>8.5051499783199063</v>
      </c>
      <c r="X177" s="52">
        <v>2</v>
      </c>
      <c r="Y177" s="68" t="s">
        <v>59</v>
      </c>
    </row>
    <row r="178" spans="1:25" x14ac:dyDescent="0.35">
      <c r="A178" s="49">
        <v>0.53289365565722702</v>
      </c>
      <c r="B178" s="50" t="s">
        <v>59</v>
      </c>
      <c r="C178" s="50">
        <v>12.621917808219179</v>
      </c>
      <c r="D178" s="50">
        <f t="shared" si="14"/>
        <v>1.1011253477962051</v>
      </c>
      <c r="E178" s="50">
        <v>0</v>
      </c>
      <c r="F178" s="50">
        <v>1.8573324964312685</v>
      </c>
      <c r="G178" s="50">
        <v>3.29</v>
      </c>
      <c r="H178" s="50">
        <f t="shared" si="15"/>
        <v>0.51719589794997434</v>
      </c>
      <c r="I178" s="50">
        <v>0</v>
      </c>
      <c r="J178" s="50">
        <v>0.33243845991560533</v>
      </c>
      <c r="K178" s="50">
        <v>24</v>
      </c>
      <c r="L178" s="50">
        <f t="shared" si="16"/>
        <v>1.3802112417116059</v>
      </c>
      <c r="M178" s="50">
        <v>0</v>
      </c>
      <c r="N178" s="50">
        <v>85</v>
      </c>
      <c r="O178" s="50">
        <f t="shared" si="17"/>
        <v>1.9294189257142926</v>
      </c>
      <c r="P178" s="50">
        <v>32.299999999999997</v>
      </c>
      <c r="Q178" s="50">
        <f t="shared" si="18"/>
        <v>1.5092025223311027</v>
      </c>
      <c r="R178" s="50">
        <v>40.040400531970803</v>
      </c>
      <c r="S178" s="50">
        <f t="shared" si="19"/>
        <v>1.6024984131617945</v>
      </c>
      <c r="T178" s="50">
        <v>3.2327651641054547</v>
      </c>
      <c r="U178" s="50">
        <v>3.9527244147731087</v>
      </c>
      <c r="V178" s="186">
        <v>320000000</v>
      </c>
      <c r="W178" s="186">
        <f t="shared" si="20"/>
        <v>8.5051499783199063</v>
      </c>
      <c r="X178" s="50">
        <v>8</v>
      </c>
      <c r="Y178" s="66" t="s">
        <v>59</v>
      </c>
    </row>
    <row r="179" spans="1:25" x14ac:dyDescent="0.35">
      <c r="A179" s="67">
        <v>0.21994454276156311</v>
      </c>
      <c r="B179" s="52" t="s">
        <v>59</v>
      </c>
      <c r="C179" s="52">
        <v>8.5123287671232877</v>
      </c>
      <c r="D179" s="50">
        <f t="shared" si="14"/>
        <v>0.93004838879849971</v>
      </c>
      <c r="E179" s="52">
        <v>0</v>
      </c>
      <c r="F179" s="52">
        <v>1.0413926851582251</v>
      </c>
      <c r="G179" s="52">
        <v>3.29</v>
      </c>
      <c r="H179" s="50">
        <f t="shared" si="15"/>
        <v>0.51719589794997434</v>
      </c>
      <c r="I179" s="52">
        <v>0</v>
      </c>
      <c r="J179" s="52">
        <v>0.18184358794477254</v>
      </c>
      <c r="K179" s="52">
        <v>21</v>
      </c>
      <c r="L179" s="50">
        <f t="shared" si="16"/>
        <v>1.3222192947339193</v>
      </c>
      <c r="M179" s="52">
        <v>0</v>
      </c>
      <c r="N179" s="52">
        <v>91.5</v>
      </c>
      <c r="O179" s="50">
        <f t="shared" si="17"/>
        <v>1.9614210940664483</v>
      </c>
      <c r="P179" s="52">
        <v>32.9</v>
      </c>
      <c r="Q179" s="50">
        <f t="shared" si="18"/>
        <v>1.5171958979499742</v>
      </c>
      <c r="R179" s="52">
        <v>40.767390998852598</v>
      </c>
      <c r="S179" s="50">
        <f t="shared" si="19"/>
        <v>1.6103129186864549</v>
      </c>
      <c r="T179" s="52">
        <v>3.2699236952309465</v>
      </c>
      <c r="U179" s="52">
        <v>3.6984415808994222</v>
      </c>
      <c r="V179" s="187">
        <v>320000000</v>
      </c>
      <c r="W179" s="186">
        <f t="shared" si="20"/>
        <v>8.5051499783199063</v>
      </c>
      <c r="X179" s="52">
        <v>4</v>
      </c>
      <c r="Y179" s="68" t="s">
        <v>577</v>
      </c>
    </row>
    <row r="180" spans="1:25" x14ac:dyDescent="0.35">
      <c r="A180" s="49">
        <v>-2</v>
      </c>
      <c r="B180" s="50" t="s">
        <v>45</v>
      </c>
      <c r="C180" s="50">
        <v>4.3068493150684928</v>
      </c>
      <c r="D180" s="50">
        <f t="shared" si="14"/>
        <v>0.63415967724691436</v>
      </c>
      <c r="E180" s="50">
        <v>0</v>
      </c>
      <c r="F180" s="50">
        <v>0.77815125038364363</v>
      </c>
      <c r="G180" s="50">
        <v>2.95</v>
      </c>
      <c r="H180" s="50">
        <f t="shared" si="15"/>
        <v>0.46982201597816303</v>
      </c>
      <c r="I180" s="50">
        <v>0</v>
      </c>
      <c r="J180" s="50">
        <v>0.30319605742048883</v>
      </c>
      <c r="K180" s="50">
        <v>11</v>
      </c>
      <c r="L180" s="50">
        <f t="shared" si="16"/>
        <v>1.0413926851582251</v>
      </c>
      <c r="M180" s="50">
        <v>0</v>
      </c>
      <c r="N180" s="50">
        <v>85</v>
      </c>
      <c r="O180" s="50">
        <f t="shared" si="17"/>
        <v>1.9294189257142926</v>
      </c>
      <c r="P180" s="50">
        <v>27</v>
      </c>
      <c r="Q180" s="50">
        <f t="shared" si="18"/>
        <v>1.4313637641589874</v>
      </c>
      <c r="R180" s="50">
        <v>37.123527923893597</v>
      </c>
      <c r="S180" s="50">
        <f t="shared" si="19"/>
        <v>1.5696492413904459</v>
      </c>
      <c r="T180" s="50">
        <v>3.3647319918335836</v>
      </c>
      <c r="U180" s="50">
        <v>3.568659604598353</v>
      </c>
      <c r="V180" s="186">
        <v>320000000</v>
      </c>
      <c r="W180" s="186">
        <f t="shared" si="20"/>
        <v>8.5051499783199063</v>
      </c>
      <c r="X180" s="50">
        <v>5</v>
      </c>
      <c r="Y180" s="66" t="s">
        <v>602</v>
      </c>
    </row>
    <row r="181" spans="1:25" x14ac:dyDescent="0.35">
      <c r="A181" s="67">
        <v>0.13382641228938827</v>
      </c>
      <c r="B181" s="52" t="s">
        <v>45</v>
      </c>
      <c r="C181" s="52">
        <v>7.8547945205479452</v>
      </c>
      <c r="D181" s="50">
        <f t="shared" si="14"/>
        <v>0.8951348284900098</v>
      </c>
      <c r="E181" s="52">
        <v>3.7707754512906644</v>
      </c>
      <c r="F181" s="52">
        <v>1.8692317197309762</v>
      </c>
      <c r="G181" s="52">
        <v>2.3199999999999998</v>
      </c>
      <c r="H181" s="50">
        <f t="shared" si="15"/>
        <v>0.36548798489089962</v>
      </c>
      <c r="I181" s="52">
        <v>2.1238516409670858</v>
      </c>
      <c r="J181" s="52">
        <v>4.5322978786657475E-2</v>
      </c>
      <c r="K181" s="52">
        <v>22</v>
      </c>
      <c r="L181" s="50">
        <f t="shared" si="16"/>
        <v>1.3424226808222062</v>
      </c>
      <c r="M181" s="52">
        <v>1</v>
      </c>
      <c r="N181" s="52">
        <v>85</v>
      </c>
      <c r="O181" s="50">
        <f t="shared" si="17"/>
        <v>1.9294189257142926</v>
      </c>
      <c r="P181" s="52">
        <v>27.8</v>
      </c>
      <c r="Q181" s="50">
        <f t="shared" si="18"/>
        <v>1.4440447959180762</v>
      </c>
      <c r="R181" s="52">
        <v>34.656907836978597</v>
      </c>
      <c r="S181" s="50">
        <f t="shared" si="19"/>
        <v>1.5397898114291337</v>
      </c>
      <c r="T181" s="52">
        <v>3.0962405795987471</v>
      </c>
      <c r="U181" s="52">
        <v>3.4010931514437841</v>
      </c>
      <c r="V181" s="187">
        <v>322000000</v>
      </c>
      <c r="W181" s="186">
        <f t="shared" si="20"/>
        <v>8.5078558716958312</v>
      </c>
      <c r="X181" s="52">
        <v>8</v>
      </c>
      <c r="Y181" s="68" t="s">
        <v>59</v>
      </c>
    </row>
    <row r="182" spans="1:25" x14ac:dyDescent="0.35">
      <c r="A182" s="49">
        <v>-2.9999301058829555E-2</v>
      </c>
      <c r="B182" s="50" t="s">
        <v>4</v>
      </c>
      <c r="C182" s="50">
        <v>14.665753424657535</v>
      </c>
      <c r="D182" s="50">
        <f t="shared" si="14"/>
        <v>1.1663043789269569</v>
      </c>
      <c r="E182" s="50">
        <v>3.8219626565950726</v>
      </c>
      <c r="F182" s="50">
        <v>1.954242509439325</v>
      </c>
      <c r="G182" s="50">
        <v>3.03</v>
      </c>
      <c r="H182" s="50">
        <f t="shared" si="15"/>
        <v>0.48144262850230496</v>
      </c>
      <c r="I182" s="50">
        <v>2.9079485216122722</v>
      </c>
      <c r="J182" s="50">
        <v>0.34635297445063856</v>
      </c>
      <c r="K182" s="50">
        <v>7</v>
      </c>
      <c r="L182" s="50">
        <f t="shared" si="16"/>
        <v>0.84509804001425681</v>
      </c>
      <c r="M182" s="50">
        <v>1</v>
      </c>
      <c r="N182" s="50">
        <v>70</v>
      </c>
      <c r="O182" s="50">
        <f t="shared" si="17"/>
        <v>1.8450980400142569</v>
      </c>
      <c r="P182" s="50">
        <v>45.2</v>
      </c>
      <c r="Q182" s="50">
        <f t="shared" si="18"/>
        <v>1.6551384348113822</v>
      </c>
      <c r="R182" s="50">
        <v>53.8530722517336</v>
      </c>
      <c r="S182" s="50">
        <f t="shared" si="19"/>
        <v>1.7312104843083773</v>
      </c>
      <c r="T182" s="50">
        <v>3.4646002676582905</v>
      </c>
      <c r="U182" s="50">
        <v>3.9695495619878729</v>
      </c>
      <c r="V182" s="186">
        <v>328023677</v>
      </c>
      <c r="W182" s="186">
        <f t="shared" si="20"/>
        <v>8.5159051925510969</v>
      </c>
      <c r="X182" s="50">
        <v>5</v>
      </c>
      <c r="Y182" s="66" t="s">
        <v>45</v>
      </c>
    </row>
    <row r="183" spans="1:25" x14ac:dyDescent="0.35">
      <c r="A183" s="67">
        <v>0.35654732351381263</v>
      </c>
      <c r="B183" s="52" t="s">
        <v>163</v>
      </c>
      <c r="C183" s="52">
        <v>2.4575342465753423</v>
      </c>
      <c r="D183" s="50">
        <f t="shared" si="14"/>
        <v>0.39049957858761736</v>
      </c>
      <c r="E183" s="52">
        <v>2.5362300726332561</v>
      </c>
      <c r="F183" s="52">
        <v>1.5563025007672873</v>
      </c>
      <c r="G183" s="52">
        <v>2.3199999999999998</v>
      </c>
      <c r="H183" s="50">
        <f t="shared" si="15"/>
        <v>0.36548798489089962</v>
      </c>
      <c r="I183" s="52">
        <v>2.756001823801419</v>
      </c>
      <c r="J183" s="52">
        <v>9.691001300805642E-2</v>
      </c>
      <c r="K183" s="52">
        <v>19</v>
      </c>
      <c r="L183" s="50">
        <f t="shared" si="16"/>
        <v>1.2787536009528289</v>
      </c>
      <c r="M183" s="52">
        <v>1</v>
      </c>
      <c r="N183" s="52">
        <v>70</v>
      </c>
      <c r="O183" s="50">
        <f t="shared" si="17"/>
        <v>1.8450980400142569</v>
      </c>
      <c r="P183" s="52">
        <v>42.2</v>
      </c>
      <c r="Q183" s="50">
        <f t="shared" si="18"/>
        <v>1.6253124509616739</v>
      </c>
      <c r="R183" s="52">
        <v>53.270504198897903</v>
      </c>
      <c r="S183" s="50">
        <f t="shared" si="19"/>
        <v>1.7264868073491786</v>
      </c>
      <c r="T183" s="52">
        <v>3.2555397552391718</v>
      </c>
      <c r="U183" s="52">
        <v>3.9251377713585649</v>
      </c>
      <c r="V183" s="187">
        <v>330000000</v>
      </c>
      <c r="W183" s="186">
        <f t="shared" si="20"/>
        <v>8.518513939877888</v>
      </c>
      <c r="X183" s="52">
        <v>7</v>
      </c>
      <c r="Y183" s="68" t="s">
        <v>59</v>
      </c>
    </row>
    <row r="184" spans="1:25" x14ac:dyDescent="0.35">
      <c r="A184" s="49">
        <v>1.2964977164367635E-2</v>
      </c>
      <c r="B184" s="50" t="s">
        <v>45</v>
      </c>
      <c r="C184" s="50">
        <v>11.863013698630137</v>
      </c>
      <c r="D184" s="50">
        <f t="shared" si="14"/>
        <v>1.0741950318968907</v>
      </c>
      <c r="E184" s="50">
        <v>0</v>
      </c>
      <c r="F184" s="50">
        <v>1.7781512503836436</v>
      </c>
      <c r="G184" s="50">
        <v>2.95</v>
      </c>
      <c r="H184" s="50">
        <f t="shared" si="15"/>
        <v>0.46982201597816303</v>
      </c>
      <c r="I184" s="50">
        <v>0</v>
      </c>
      <c r="J184" s="50">
        <v>0.36642295722597273</v>
      </c>
      <c r="K184" s="50">
        <v>5</v>
      </c>
      <c r="L184" s="50">
        <f t="shared" si="16"/>
        <v>0.69897000433601886</v>
      </c>
      <c r="M184" s="50">
        <v>0</v>
      </c>
      <c r="N184" s="50">
        <v>85</v>
      </c>
      <c r="O184" s="50">
        <f t="shared" si="17"/>
        <v>1.9294189257142926</v>
      </c>
      <c r="P184" s="50">
        <v>25.9</v>
      </c>
      <c r="Q184" s="50">
        <f t="shared" si="18"/>
        <v>1.4132997640812519</v>
      </c>
      <c r="R184" s="50">
        <v>40.815825693332798</v>
      </c>
      <c r="S184" s="50">
        <f t="shared" si="19"/>
        <v>1.6108285865865359</v>
      </c>
      <c r="T184" s="50">
        <v>3.0687415514991745</v>
      </c>
      <c r="U184" s="50">
        <v>3.5297005493117593</v>
      </c>
      <c r="V184" s="186">
        <v>330000000</v>
      </c>
      <c r="W184" s="186">
        <f t="shared" si="20"/>
        <v>8.518513939877888</v>
      </c>
      <c r="X184" s="50">
        <v>1</v>
      </c>
      <c r="Y184" s="66" t="s">
        <v>45</v>
      </c>
    </row>
    <row r="185" spans="1:25" x14ac:dyDescent="0.35">
      <c r="A185" s="67">
        <v>0.38064575348562374</v>
      </c>
      <c r="B185" s="52" t="s">
        <v>59</v>
      </c>
      <c r="C185" s="52">
        <v>2.7150684931506848</v>
      </c>
      <c r="D185" s="50">
        <f t="shared" si="14"/>
        <v>0.4337807900288006</v>
      </c>
      <c r="E185" s="52">
        <v>0</v>
      </c>
      <c r="F185" s="52">
        <v>1.505149978319906</v>
      </c>
      <c r="G185" s="52">
        <v>3.29</v>
      </c>
      <c r="H185" s="50">
        <f t="shared" si="15"/>
        <v>0.51719589794997434</v>
      </c>
      <c r="I185" s="52">
        <v>0</v>
      </c>
      <c r="J185" s="52">
        <v>0.11394335230683679</v>
      </c>
      <c r="K185" s="52">
        <v>21</v>
      </c>
      <c r="L185" s="50">
        <f t="shared" si="16"/>
        <v>1.3222192947339193</v>
      </c>
      <c r="M185" s="52">
        <v>0</v>
      </c>
      <c r="N185" s="52">
        <v>85</v>
      </c>
      <c r="O185" s="50">
        <f t="shared" si="17"/>
        <v>1.9294189257142926</v>
      </c>
      <c r="P185" s="52">
        <v>31.5</v>
      </c>
      <c r="Q185" s="50">
        <f t="shared" si="18"/>
        <v>1.4983105537896004</v>
      </c>
      <c r="R185" s="52">
        <v>37.589394702761602</v>
      </c>
      <c r="S185" s="50">
        <f t="shared" si="19"/>
        <v>1.575065332381355</v>
      </c>
      <c r="T185" s="52">
        <v>3.2224645332922388</v>
      </c>
      <c r="U185" s="52">
        <v>3.707126713924402</v>
      </c>
      <c r="V185" s="187">
        <v>333000000</v>
      </c>
      <c r="W185" s="186">
        <f t="shared" si="20"/>
        <v>8.5224442335063202</v>
      </c>
      <c r="X185" s="52">
        <v>5</v>
      </c>
      <c r="Y185" s="68" t="s">
        <v>59</v>
      </c>
    </row>
    <row r="186" spans="1:25" x14ac:dyDescent="0.35">
      <c r="A186" s="49">
        <v>0.375735713440081</v>
      </c>
      <c r="B186" s="50" t="s">
        <v>2</v>
      </c>
      <c r="C186" s="50">
        <v>3.2958904109589042</v>
      </c>
      <c r="D186" s="50">
        <f t="shared" si="14"/>
        <v>0.51797276288337002</v>
      </c>
      <c r="E186" s="50">
        <v>2.9629325585580042</v>
      </c>
      <c r="F186" s="50">
        <v>0.95424250943932487</v>
      </c>
      <c r="G186" s="50">
        <v>2.62</v>
      </c>
      <c r="H186" s="50">
        <f t="shared" si="15"/>
        <v>0.41830129131974547</v>
      </c>
      <c r="I186" s="50">
        <v>2.9323046139517812</v>
      </c>
      <c r="J186" s="50">
        <v>0.18469143081759881</v>
      </c>
      <c r="K186" s="50">
        <v>27</v>
      </c>
      <c r="L186" s="50">
        <f t="shared" si="16"/>
        <v>1.4313637641589874</v>
      </c>
      <c r="M186" s="50">
        <v>1</v>
      </c>
      <c r="N186" s="50">
        <v>89.6</v>
      </c>
      <c r="O186" s="50">
        <f t="shared" si="17"/>
        <v>1.9523080096621253</v>
      </c>
      <c r="P186" s="50">
        <v>35.700000000000003</v>
      </c>
      <c r="Q186" s="50">
        <f t="shared" si="18"/>
        <v>1.5526682161121932</v>
      </c>
      <c r="R186" s="50">
        <v>44.7100017757258</v>
      </c>
      <c r="S186" s="50">
        <f t="shared" si="19"/>
        <v>1.6504046871166989</v>
      </c>
      <c r="T186" s="50">
        <v>3.25553976325445</v>
      </c>
      <c r="U186" s="50">
        <v>3.9251377454872847</v>
      </c>
      <c r="V186" s="186">
        <v>336786189</v>
      </c>
      <c r="W186" s="186">
        <f t="shared" si="20"/>
        <v>8.5273542735518628</v>
      </c>
      <c r="X186" s="50">
        <v>8</v>
      </c>
      <c r="Y186" s="66" t="s">
        <v>577</v>
      </c>
    </row>
    <row r="187" spans="1:25" x14ac:dyDescent="0.35">
      <c r="A187" s="67">
        <v>3.7937368562579774E-2</v>
      </c>
      <c r="B187" s="52" t="s">
        <v>163</v>
      </c>
      <c r="C187" s="52">
        <v>2.1397260273972605</v>
      </c>
      <c r="D187" s="50">
        <f t="shared" si="14"/>
        <v>0.33035816942082569</v>
      </c>
      <c r="E187" s="52">
        <v>2.5362300726332561</v>
      </c>
      <c r="F187" s="52">
        <v>1.4471580313422192</v>
      </c>
      <c r="G187" s="52">
        <v>2.3199999999999998</v>
      </c>
      <c r="H187" s="50">
        <f t="shared" si="15"/>
        <v>0.36548798489089962</v>
      </c>
      <c r="I187" s="52">
        <v>2.756001823801419</v>
      </c>
      <c r="J187" s="52">
        <v>7.9181246047624818E-2</v>
      </c>
      <c r="K187" s="52">
        <v>27</v>
      </c>
      <c r="L187" s="50">
        <f t="shared" si="16"/>
        <v>1.4313637641589874</v>
      </c>
      <c r="M187" s="52">
        <v>1</v>
      </c>
      <c r="N187" s="52">
        <v>70</v>
      </c>
      <c r="O187" s="50">
        <f t="shared" si="17"/>
        <v>1.8450980400142569</v>
      </c>
      <c r="P187" s="52">
        <v>42.4</v>
      </c>
      <c r="Q187" s="50">
        <f t="shared" si="18"/>
        <v>1.6273658565927327</v>
      </c>
      <c r="R187" s="52">
        <v>52.984855215816303</v>
      </c>
      <c r="S187" s="50">
        <f t="shared" si="19"/>
        <v>1.7241517519382803</v>
      </c>
      <c r="T187" s="52">
        <v>3.0962405795987471</v>
      </c>
      <c r="U187" s="52">
        <v>3.4010931514437841</v>
      </c>
      <c r="V187" s="187">
        <v>337000000</v>
      </c>
      <c r="W187" s="186">
        <f t="shared" si="20"/>
        <v>8.5276299008713394</v>
      </c>
      <c r="X187" s="52">
        <v>4</v>
      </c>
      <c r="Y187" s="68" t="s">
        <v>59</v>
      </c>
    </row>
    <row r="188" spans="1:25" x14ac:dyDescent="0.35">
      <c r="A188" s="49">
        <v>0.20801431373935986</v>
      </c>
      <c r="B188" s="50" t="s">
        <v>45</v>
      </c>
      <c r="C188" s="50">
        <v>3.2301369863013698</v>
      </c>
      <c r="D188" s="50">
        <f t="shared" si="14"/>
        <v>0.50922094063861445</v>
      </c>
      <c r="E188" s="50">
        <v>0</v>
      </c>
      <c r="F188" s="50">
        <v>1.0413926851582251</v>
      </c>
      <c r="G188" s="50">
        <v>2.95</v>
      </c>
      <c r="H188" s="50">
        <f t="shared" si="15"/>
        <v>0.46982201597816303</v>
      </c>
      <c r="I188" s="50">
        <v>0</v>
      </c>
      <c r="J188" s="50">
        <v>0.31175386105575426</v>
      </c>
      <c r="K188" s="50">
        <v>19</v>
      </c>
      <c r="L188" s="50">
        <f t="shared" si="16"/>
        <v>1.2787536009528289</v>
      </c>
      <c r="M188" s="50">
        <v>0</v>
      </c>
      <c r="N188" s="50">
        <v>85</v>
      </c>
      <c r="O188" s="50">
        <f t="shared" si="17"/>
        <v>1.9294189257142926</v>
      </c>
      <c r="P188" s="50">
        <v>26.5</v>
      </c>
      <c r="Q188" s="50">
        <f t="shared" si="18"/>
        <v>1.4232458739368079</v>
      </c>
      <c r="R188" s="50">
        <v>37.808596853116498</v>
      </c>
      <c r="S188" s="50">
        <f t="shared" si="19"/>
        <v>1.577590560190987</v>
      </c>
      <c r="T188" s="50">
        <v>3.0687415514991745</v>
      </c>
      <c r="U188" s="50">
        <v>3.5297005493117593</v>
      </c>
      <c r="V188" s="186">
        <v>340000000</v>
      </c>
      <c r="W188" s="186">
        <f t="shared" si="20"/>
        <v>8.5314789170422554</v>
      </c>
      <c r="X188" s="50">
        <v>5</v>
      </c>
      <c r="Y188" s="66" t="s">
        <v>45</v>
      </c>
    </row>
    <row r="189" spans="1:25" x14ac:dyDescent="0.35">
      <c r="A189" s="67">
        <v>0.27470105694163205</v>
      </c>
      <c r="B189" s="52" t="s">
        <v>434</v>
      </c>
      <c r="C189" s="52">
        <v>2.1945205479452055</v>
      </c>
      <c r="D189" s="50">
        <f t="shared" si="14"/>
        <v>0.34133965162776297</v>
      </c>
      <c r="E189" s="52">
        <v>3.1568882168601933</v>
      </c>
      <c r="F189" s="52">
        <v>1.255272505103306</v>
      </c>
      <c r="G189" s="52">
        <v>2.5099999999999998</v>
      </c>
      <c r="H189" s="50">
        <f t="shared" si="15"/>
        <v>0.39967372148103808</v>
      </c>
      <c r="I189" s="52">
        <v>2.7825920506710684</v>
      </c>
      <c r="J189" s="52">
        <v>3.7426497940623665E-2</v>
      </c>
      <c r="K189" s="52">
        <v>79</v>
      </c>
      <c r="L189" s="50">
        <f t="shared" si="16"/>
        <v>1.8976270912904414</v>
      </c>
      <c r="M189" s="52">
        <v>1</v>
      </c>
      <c r="N189" s="52">
        <v>76.900000000000006</v>
      </c>
      <c r="O189" s="50">
        <f t="shared" si="17"/>
        <v>1.885926339801431</v>
      </c>
      <c r="P189" s="52">
        <v>44.05</v>
      </c>
      <c r="Q189" s="50">
        <f t="shared" si="18"/>
        <v>1.6439459127480667</v>
      </c>
      <c r="R189" s="52">
        <v>51.064530698041601</v>
      </c>
      <c r="S189" s="50">
        <f t="shared" si="19"/>
        <v>1.7081193449348573</v>
      </c>
      <c r="T189" s="52">
        <v>3.3314213062933389</v>
      </c>
      <c r="U189" s="52">
        <v>3.884802064783424</v>
      </c>
      <c r="V189" s="187">
        <v>340000000</v>
      </c>
      <c r="W189" s="186">
        <f t="shared" si="20"/>
        <v>8.5314789170422554</v>
      </c>
      <c r="X189" s="52">
        <v>2</v>
      </c>
      <c r="Y189" s="68" t="s">
        <v>59</v>
      </c>
    </row>
    <row r="190" spans="1:25" x14ac:dyDescent="0.35">
      <c r="A190" s="49">
        <v>0.23201101174001795</v>
      </c>
      <c r="B190" s="50" t="s">
        <v>59</v>
      </c>
      <c r="C190" s="50">
        <v>4.1753424657534248</v>
      </c>
      <c r="D190" s="50">
        <f t="shared" si="14"/>
        <v>0.62069210254710705</v>
      </c>
      <c r="E190" s="50">
        <v>3.7707754512906644</v>
      </c>
      <c r="F190" s="50">
        <v>0.84509804001425681</v>
      </c>
      <c r="G190" s="50">
        <v>2.3199999999999998</v>
      </c>
      <c r="H190" s="50">
        <f t="shared" si="15"/>
        <v>0.36548798489089962</v>
      </c>
      <c r="I190" s="50">
        <v>2.1238516409670858</v>
      </c>
      <c r="J190" s="50">
        <v>0.26481782300953643</v>
      </c>
      <c r="K190" s="50">
        <v>14</v>
      </c>
      <c r="L190" s="50">
        <f t="shared" si="16"/>
        <v>1.146128035678238</v>
      </c>
      <c r="M190" s="50">
        <v>1</v>
      </c>
      <c r="N190" s="50">
        <v>89.8</v>
      </c>
      <c r="O190" s="50">
        <f t="shared" si="17"/>
        <v>1.9532763366673043</v>
      </c>
      <c r="P190" s="50">
        <v>31.2</v>
      </c>
      <c r="Q190" s="50">
        <f t="shared" si="18"/>
        <v>1.4941545940184429</v>
      </c>
      <c r="R190" s="50">
        <v>47.307367293927399</v>
      </c>
      <c r="S190" s="50">
        <f t="shared" si="19"/>
        <v>1.6749287797641836</v>
      </c>
      <c r="T190" s="50">
        <v>3.1574743240259107</v>
      </c>
      <c r="U190" s="50">
        <v>3.7043045135512243</v>
      </c>
      <c r="V190" s="186">
        <v>342170000</v>
      </c>
      <c r="W190" s="186">
        <f t="shared" si="20"/>
        <v>8.53424192979422</v>
      </c>
      <c r="X190" s="50">
        <v>8</v>
      </c>
      <c r="Y190" s="66" t="s">
        <v>45</v>
      </c>
    </row>
    <row r="191" spans="1:25" x14ac:dyDescent="0.35">
      <c r="A191" s="67">
        <v>0.24285713034087314</v>
      </c>
      <c r="B191" s="52" t="s">
        <v>163</v>
      </c>
      <c r="C191" s="52">
        <v>6.4273972602739722</v>
      </c>
      <c r="D191" s="50">
        <f t="shared" si="14"/>
        <v>0.80803514332303572</v>
      </c>
      <c r="E191" s="52">
        <v>2.5362300726332561</v>
      </c>
      <c r="F191" s="52">
        <v>1.5314789170422551</v>
      </c>
      <c r="G191" s="52">
        <v>2.3199999999999998</v>
      </c>
      <c r="H191" s="50">
        <f t="shared" si="15"/>
        <v>0.36548798489089962</v>
      </c>
      <c r="I191" s="52">
        <v>2.756001823801419</v>
      </c>
      <c r="J191" s="52">
        <v>6.069784035361165E-2</v>
      </c>
      <c r="K191" s="52">
        <v>23</v>
      </c>
      <c r="L191" s="50">
        <f t="shared" si="16"/>
        <v>1.3617278360175928</v>
      </c>
      <c r="M191" s="52">
        <v>1</v>
      </c>
      <c r="N191" s="52">
        <v>87.2</v>
      </c>
      <c r="O191" s="50">
        <f t="shared" si="17"/>
        <v>1.9405164849325673</v>
      </c>
      <c r="P191" s="52">
        <v>42.5</v>
      </c>
      <c r="Q191" s="50">
        <f t="shared" si="18"/>
        <v>1.6283889300503116</v>
      </c>
      <c r="R191" s="52">
        <v>52.565521078007201</v>
      </c>
      <c r="S191" s="50">
        <f t="shared" si="19"/>
        <v>1.7207009738992591</v>
      </c>
      <c r="T191" s="52">
        <v>3.25553976325445</v>
      </c>
      <c r="U191" s="52">
        <v>3.9251377454872847</v>
      </c>
      <c r="V191" s="187">
        <v>343000000</v>
      </c>
      <c r="W191" s="186">
        <f t="shared" si="20"/>
        <v>8.5352941200427708</v>
      </c>
      <c r="X191" s="52">
        <v>1</v>
      </c>
      <c r="Y191" s="68" t="s">
        <v>577</v>
      </c>
    </row>
    <row r="192" spans="1:25" x14ac:dyDescent="0.35">
      <c r="A192" s="49">
        <v>0.10790099091053558</v>
      </c>
      <c r="B192" s="83" t="s">
        <v>45</v>
      </c>
      <c r="C192" s="50">
        <v>2.1041095890410957</v>
      </c>
      <c r="D192" s="50">
        <f t="shared" si="14"/>
        <v>0.32306835557503727</v>
      </c>
      <c r="E192" s="50">
        <v>0</v>
      </c>
      <c r="F192" s="50">
        <v>2.0863598306747484</v>
      </c>
      <c r="G192" s="50">
        <v>2.95</v>
      </c>
      <c r="H192" s="50">
        <f t="shared" si="15"/>
        <v>0.46982201597816303</v>
      </c>
      <c r="I192" s="50">
        <v>0</v>
      </c>
      <c r="J192" s="50">
        <v>0.14921911265537988</v>
      </c>
      <c r="K192" s="50">
        <v>34</v>
      </c>
      <c r="L192" s="50">
        <f t="shared" si="16"/>
        <v>1.5314789170422551</v>
      </c>
      <c r="M192" s="50">
        <v>0</v>
      </c>
      <c r="N192" s="50">
        <v>85</v>
      </c>
      <c r="O192" s="50">
        <f t="shared" si="17"/>
        <v>1.9294189257142926</v>
      </c>
      <c r="P192" s="50">
        <v>24.9</v>
      </c>
      <c r="Q192" s="50">
        <f t="shared" si="18"/>
        <v>1.3961993470957363</v>
      </c>
      <c r="R192" s="50">
        <v>36.710134890601303</v>
      </c>
      <c r="S192" s="50">
        <f t="shared" si="19"/>
        <v>1.564785980312654</v>
      </c>
      <c r="T192" s="50">
        <v>3.388536521693045</v>
      </c>
      <c r="U192" s="50">
        <v>3.8181482680887449</v>
      </c>
      <c r="V192" s="186">
        <v>350000000</v>
      </c>
      <c r="W192" s="186">
        <f t="shared" si="20"/>
        <v>8.5440680443502757</v>
      </c>
      <c r="X192" s="50">
        <v>5</v>
      </c>
      <c r="Y192" s="102" t="s">
        <v>45</v>
      </c>
    </row>
    <row r="193" spans="1:25" x14ac:dyDescent="0.35">
      <c r="A193" s="67">
        <v>0.3010299956639812</v>
      </c>
      <c r="B193" s="52" t="s">
        <v>163</v>
      </c>
      <c r="C193" s="52">
        <v>2.5013698630136987</v>
      </c>
      <c r="D193" s="50">
        <f t="shared" si="14"/>
        <v>0.39817791307782424</v>
      </c>
      <c r="E193" s="52">
        <v>2.5362300726332561</v>
      </c>
      <c r="F193" s="52">
        <v>0</v>
      </c>
      <c r="G193" s="52">
        <v>2.3199999999999998</v>
      </c>
      <c r="H193" s="50">
        <f t="shared" si="15"/>
        <v>0.36548798489089962</v>
      </c>
      <c r="I193" s="52">
        <v>2.756001823801419</v>
      </c>
      <c r="J193" s="52">
        <v>2.9383777685209667E-2</v>
      </c>
      <c r="K193" s="52">
        <v>71</v>
      </c>
      <c r="L193" s="50">
        <f t="shared" si="16"/>
        <v>1.8512583487190752</v>
      </c>
      <c r="M193" s="52">
        <v>1</v>
      </c>
      <c r="N193" s="52">
        <v>70</v>
      </c>
      <c r="O193" s="50">
        <f t="shared" si="17"/>
        <v>1.8450980400142569</v>
      </c>
      <c r="P193" s="52">
        <v>42.9</v>
      </c>
      <c r="Q193" s="50">
        <f t="shared" si="18"/>
        <v>1.6324572921847242</v>
      </c>
      <c r="R193" s="52">
        <v>53.2941466273667</v>
      </c>
      <c r="S193" s="50">
        <f t="shared" si="19"/>
        <v>1.7266795124593939</v>
      </c>
      <c r="T193" s="52">
        <v>3.3314213062933389</v>
      </c>
      <c r="U193" s="52">
        <v>3.884802064783424</v>
      </c>
      <c r="V193" s="187">
        <v>350000000</v>
      </c>
      <c r="W193" s="186">
        <f t="shared" si="20"/>
        <v>8.5440680443502757</v>
      </c>
      <c r="X193" s="52">
        <v>5</v>
      </c>
      <c r="Y193" s="68" t="s">
        <v>59</v>
      </c>
    </row>
    <row r="194" spans="1:25" x14ac:dyDescent="0.35">
      <c r="A194" s="49">
        <v>0</v>
      </c>
      <c r="B194" s="50" t="s">
        <v>59</v>
      </c>
      <c r="C194" s="50">
        <v>2.1671232876712327</v>
      </c>
      <c r="D194" s="50">
        <f t="shared" si="14"/>
        <v>0.33588361904120184</v>
      </c>
      <c r="E194" s="50">
        <v>3.7707754512906644</v>
      </c>
      <c r="F194" s="50">
        <v>1.6020599913279623</v>
      </c>
      <c r="G194" s="50">
        <v>2.3199999999999998</v>
      </c>
      <c r="H194" s="50">
        <f t="shared" si="15"/>
        <v>0.36548798489089962</v>
      </c>
      <c r="I194" s="50">
        <v>2.1238516409670858</v>
      </c>
      <c r="J194" s="50">
        <v>5.6904851336472641E-2</v>
      </c>
      <c r="K194" s="50">
        <v>4</v>
      </c>
      <c r="L194" s="50">
        <f t="shared" si="16"/>
        <v>0.6020599913279624</v>
      </c>
      <c r="M194" s="50">
        <v>1</v>
      </c>
      <c r="N194" s="50">
        <v>85</v>
      </c>
      <c r="O194" s="50">
        <f t="shared" si="17"/>
        <v>1.9294189257142926</v>
      </c>
      <c r="P194" s="50">
        <v>32.299999999999997</v>
      </c>
      <c r="Q194" s="50">
        <f t="shared" si="18"/>
        <v>1.5092025223311027</v>
      </c>
      <c r="R194" s="50">
        <v>40.040400531970803</v>
      </c>
      <c r="S194" s="50">
        <f t="shared" si="19"/>
        <v>1.6024984131617945</v>
      </c>
      <c r="T194" s="50">
        <v>3.348721986001856</v>
      </c>
      <c r="U194" s="50">
        <v>3.7520876635386311</v>
      </c>
      <c r="V194" s="186">
        <v>350000000</v>
      </c>
      <c r="W194" s="186">
        <f t="shared" si="20"/>
        <v>8.5440680443502757</v>
      </c>
      <c r="X194" s="50">
        <v>5</v>
      </c>
      <c r="Y194" s="66" t="s">
        <v>45</v>
      </c>
    </row>
    <row r="195" spans="1:25" x14ac:dyDescent="0.35">
      <c r="A195" s="67">
        <v>-4.8523706803827171E-2</v>
      </c>
      <c r="B195" s="52" t="s">
        <v>59</v>
      </c>
      <c r="C195" s="52">
        <v>3.3397260273972602</v>
      </c>
      <c r="D195" s="50">
        <f t="shared" ref="D195:D258" si="21">LOG(C195)</f>
        <v>0.52371084116190725</v>
      </c>
      <c r="E195" s="52">
        <v>3.7707754512906644</v>
      </c>
      <c r="F195" s="52">
        <v>1.6232492903979006</v>
      </c>
      <c r="G195" s="52">
        <v>2.3199999999999998</v>
      </c>
      <c r="H195" s="50">
        <f t="shared" ref="H195:H258" si="22">LOG(G195)</f>
        <v>0.36548798489089962</v>
      </c>
      <c r="I195" s="52">
        <v>2.1238516409670858</v>
      </c>
      <c r="J195" s="52">
        <v>-0.11918640771920865</v>
      </c>
      <c r="K195" s="52">
        <v>19</v>
      </c>
      <c r="L195" s="50">
        <f t="shared" ref="L195:L258" si="23">IF(K195=0,0,LOG(K195))</f>
        <v>1.2787536009528289</v>
      </c>
      <c r="M195" s="52">
        <v>1</v>
      </c>
      <c r="N195" s="52">
        <v>91.5</v>
      </c>
      <c r="O195" s="50">
        <f t="shared" ref="O195:O258" si="24">LOG(N195)</f>
        <v>1.9614210940664483</v>
      </c>
      <c r="P195" s="52">
        <v>32.9</v>
      </c>
      <c r="Q195" s="50">
        <f t="shared" ref="Q195:Q258" si="25">LOG(P195)</f>
        <v>1.5171958979499742</v>
      </c>
      <c r="R195" s="52">
        <v>40.767390998852598</v>
      </c>
      <c r="S195" s="50">
        <f t="shared" ref="S195:S258" si="26">LOG(R195)</f>
        <v>1.6103129186864549</v>
      </c>
      <c r="T195" s="52">
        <v>3.0958500844125241</v>
      </c>
      <c r="U195" s="52">
        <v>3.5078178355445662</v>
      </c>
      <c r="V195" s="187">
        <v>350000000</v>
      </c>
      <c r="W195" s="186">
        <f t="shared" ref="W195:W258" si="27">LOG(V195)</f>
        <v>8.5440680443502757</v>
      </c>
      <c r="X195" s="52">
        <v>5</v>
      </c>
      <c r="Y195" s="68" t="s">
        <v>602</v>
      </c>
    </row>
    <row r="196" spans="1:25" x14ac:dyDescent="0.35">
      <c r="A196" s="49">
        <v>-6.3357022441473329E-2</v>
      </c>
      <c r="B196" s="50" t="s">
        <v>45</v>
      </c>
      <c r="C196" s="50">
        <v>4.375342465753425</v>
      </c>
      <c r="D196" s="50">
        <f t="shared" si="21"/>
        <v>0.64101205168200825</v>
      </c>
      <c r="E196" s="50">
        <v>3.7707754512906644</v>
      </c>
      <c r="F196" s="50">
        <v>1.3802112417116059</v>
      </c>
      <c r="G196" s="50">
        <v>2.3199999999999998</v>
      </c>
      <c r="H196" s="50">
        <f t="shared" si="22"/>
        <v>0.36548798489089962</v>
      </c>
      <c r="I196" s="50">
        <v>2.1238516409670858</v>
      </c>
      <c r="J196" s="50">
        <v>0.2966651902615311</v>
      </c>
      <c r="K196" s="50">
        <v>23</v>
      </c>
      <c r="L196" s="50">
        <f t="shared" si="23"/>
        <v>1.3617278360175928</v>
      </c>
      <c r="M196" s="50">
        <v>1</v>
      </c>
      <c r="N196" s="50">
        <v>91.9</v>
      </c>
      <c r="O196" s="50">
        <f t="shared" si="24"/>
        <v>1.9633155113861114</v>
      </c>
      <c r="P196" s="50">
        <v>23</v>
      </c>
      <c r="Q196" s="50">
        <f t="shared" si="25"/>
        <v>1.3617278360175928</v>
      </c>
      <c r="R196" s="50">
        <v>43.262530407091703</v>
      </c>
      <c r="S196" s="50">
        <f t="shared" si="26"/>
        <v>1.636111917546391</v>
      </c>
      <c r="T196" s="50">
        <v>3.2188271541979425</v>
      </c>
      <c r="U196" s="50">
        <v>3.7570584504768405</v>
      </c>
      <c r="V196" s="186">
        <v>350000000</v>
      </c>
      <c r="W196" s="186">
        <f t="shared" si="27"/>
        <v>8.5440680443502757</v>
      </c>
      <c r="X196" s="50">
        <v>5</v>
      </c>
      <c r="Y196" s="66" t="s">
        <v>577</v>
      </c>
    </row>
    <row r="197" spans="1:25" x14ac:dyDescent="0.35">
      <c r="A197" s="67">
        <v>0</v>
      </c>
      <c r="B197" s="52" t="s">
        <v>59</v>
      </c>
      <c r="C197" s="52">
        <v>3.106849315068493</v>
      </c>
      <c r="D197" s="50">
        <f t="shared" si="21"/>
        <v>0.49232019010041306</v>
      </c>
      <c r="E197" s="52">
        <v>3.7707754512906644</v>
      </c>
      <c r="F197" s="52">
        <v>0.69897000433601886</v>
      </c>
      <c r="G197" s="52">
        <v>2.3199999999999998</v>
      </c>
      <c r="H197" s="50">
        <f t="shared" si="22"/>
        <v>0.36548798489089962</v>
      </c>
      <c r="I197" s="52">
        <v>2.1238516409670858</v>
      </c>
      <c r="J197" s="52">
        <v>0.12057393120584989</v>
      </c>
      <c r="K197" s="52">
        <v>3</v>
      </c>
      <c r="L197" s="50">
        <f t="shared" si="23"/>
        <v>0.47712125471966244</v>
      </c>
      <c r="M197" s="52">
        <v>1</v>
      </c>
      <c r="N197" s="52">
        <v>85</v>
      </c>
      <c r="O197" s="50">
        <f t="shared" si="24"/>
        <v>1.9294189257142926</v>
      </c>
      <c r="P197" s="52">
        <v>31.3</v>
      </c>
      <c r="Q197" s="50">
        <f t="shared" si="25"/>
        <v>1.4955443375464486</v>
      </c>
      <c r="R197" s="52">
        <v>38.7850112673514</v>
      </c>
      <c r="S197" s="50">
        <f t="shared" si="26"/>
        <v>1.5886639219461918</v>
      </c>
      <c r="T197" s="52">
        <v>3.4436974992327127</v>
      </c>
      <c r="U197" s="52">
        <v>3.848103550153982</v>
      </c>
      <c r="V197" s="187">
        <v>350000000</v>
      </c>
      <c r="W197" s="186">
        <f t="shared" si="27"/>
        <v>8.5440680443502757</v>
      </c>
      <c r="X197" s="52">
        <v>5</v>
      </c>
      <c r="Y197" s="68" t="s">
        <v>45</v>
      </c>
    </row>
    <row r="198" spans="1:25" x14ac:dyDescent="0.35">
      <c r="A198" s="49">
        <v>-0.29039087892735133</v>
      </c>
      <c r="B198" s="50" t="s">
        <v>2</v>
      </c>
      <c r="C198" s="50">
        <v>7.4821917808219176</v>
      </c>
      <c r="D198" s="50">
        <f t="shared" si="21"/>
        <v>0.87402883568325862</v>
      </c>
      <c r="E198" s="50">
        <v>3.8335760926148099</v>
      </c>
      <c r="F198" s="50">
        <v>0</v>
      </c>
      <c r="G198" s="50">
        <v>2.85</v>
      </c>
      <c r="H198" s="50">
        <f t="shared" si="22"/>
        <v>0.45484486000851021</v>
      </c>
      <c r="I198" s="50">
        <v>2.9138138523837167</v>
      </c>
      <c r="J198" s="50">
        <v>0.16731733474817609</v>
      </c>
      <c r="K198" s="50">
        <v>21</v>
      </c>
      <c r="L198" s="50">
        <f t="shared" si="23"/>
        <v>1.3222192947339193</v>
      </c>
      <c r="M198" s="50">
        <v>1</v>
      </c>
      <c r="N198" s="50">
        <v>89.9</v>
      </c>
      <c r="O198" s="50">
        <f t="shared" si="24"/>
        <v>1.9537596917332287</v>
      </c>
      <c r="P198" s="50">
        <v>35.4</v>
      </c>
      <c r="Q198" s="50">
        <f t="shared" si="25"/>
        <v>1.5490032620257879</v>
      </c>
      <c r="R198" s="50">
        <v>43.572845019400901</v>
      </c>
      <c r="S198" s="50">
        <f t="shared" si="26"/>
        <v>1.6392159174268797</v>
      </c>
      <c r="T198" s="50">
        <v>3.4269037046073545</v>
      </c>
      <c r="U198" s="50">
        <v>3.857855755812408</v>
      </c>
      <c r="V198" s="186">
        <v>350000000</v>
      </c>
      <c r="W198" s="186">
        <f t="shared" si="27"/>
        <v>8.5440680443502757</v>
      </c>
      <c r="X198" s="50">
        <v>9</v>
      </c>
      <c r="Y198" s="66" t="s">
        <v>45</v>
      </c>
    </row>
    <row r="199" spans="1:25" x14ac:dyDescent="0.35">
      <c r="A199" s="67">
        <v>0.15053715458329311</v>
      </c>
      <c r="B199" s="52" t="s">
        <v>163</v>
      </c>
      <c r="C199" s="52">
        <v>3.3178082191780822</v>
      </c>
      <c r="D199" s="50">
        <f t="shared" si="21"/>
        <v>0.52085127868657755</v>
      </c>
      <c r="E199" s="52">
        <v>0</v>
      </c>
      <c r="F199" s="52">
        <v>2.0644579892269186</v>
      </c>
      <c r="G199" s="52">
        <v>3.18</v>
      </c>
      <c r="H199" s="50">
        <f t="shared" si="22"/>
        <v>0.50242711998443268</v>
      </c>
      <c r="I199" s="52">
        <v>0</v>
      </c>
      <c r="J199" s="52">
        <v>0.13987908640123647</v>
      </c>
      <c r="K199" s="52">
        <v>19</v>
      </c>
      <c r="L199" s="50">
        <f t="shared" si="23"/>
        <v>1.2787536009528289</v>
      </c>
      <c r="M199" s="52">
        <v>0</v>
      </c>
      <c r="N199" s="52">
        <v>84</v>
      </c>
      <c r="O199" s="50">
        <f t="shared" si="24"/>
        <v>1.9242792860618816</v>
      </c>
      <c r="P199" s="52">
        <v>45.4</v>
      </c>
      <c r="Q199" s="50">
        <f t="shared" si="25"/>
        <v>1.657055852857104</v>
      </c>
      <c r="R199" s="52">
        <v>57.2278620378247</v>
      </c>
      <c r="S199" s="50">
        <f t="shared" si="26"/>
        <v>1.7576075215065206</v>
      </c>
      <c r="T199" s="52">
        <v>3.0840515907405019</v>
      </c>
      <c r="U199" s="52">
        <v>3.9050357126538633</v>
      </c>
      <c r="V199" s="187">
        <v>350000000</v>
      </c>
      <c r="W199" s="186">
        <f t="shared" si="27"/>
        <v>8.5440680443502757</v>
      </c>
      <c r="X199" s="52">
        <v>7</v>
      </c>
      <c r="Y199" s="68" t="s">
        <v>163</v>
      </c>
    </row>
    <row r="200" spans="1:25" x14ac:dyDescent="0.35">
      <c r="A200" s="49">
        <v>0.48071413948644659</v>
      </c>
      <c r="B200" s="50" t="s">
        <v>45</v>
      </c>
      <c r="C200" s="50">
        <v>6.2191780821917808</v>
      </c>
      <c r="D200" s="50">
        <f t="shared" si="21"/>
        <v>0.79373299273664799</v>
      </c>
      <c r="E200" s="50">
        <v>0</v>
      </c>
      <c r="F200" s="50">
        <v>1.1760912590556813</v>
      </c>
      <c r="G200" s="50">
        <v>2.95</v>
      </c>
      <c r="H200" s="50">
        <f t="shared" si="22"/>
        <v>0.46982201597816303</v>
      </c>
      <c r="I200" s="50">
        <v>0</v>
      </c>
      <c r="J200" s="50">
        <v>-8.7739243075051505E-3</v>
      </c>
      <c r="K200" s="50">
        <v>6</v>
      </c>
      <c r="L200" s="50">
        <f t="shared" si="23"/>
        <v>0.77815125038364363</v>
      </c>
      <c r="M200" s="50">
        <v>0</v>
      </c>
      <c r="N200" s="50">
        <v>85</v>
      </c>
      <c r="O200" s="50">
        <f t="shared" si="24"/>
        <v>1.9294189257142926</v>
      </c>
      <c r="P200" s="50">
        <v>27.8</v>
      </c>
      <c r="Q200" s="50">
        <f t="shared" si="25"/>
        <v>1.4440447959180762</v>
      </c>
      <c r="R200" s="50">
        <v>35.119429201759203</v>
      </c>
      <c r="S200" s="50">
        <f t="shared" si="26"/>
        <v>1.5455474486765259</v>
      </c>
      <c r="T200" s="50">
        <v>3.1628767233771686</v>
      </c>
      <c r="U200" s="50">
        <v>3.6087947637270492</v>
      </c>
      <c r="V200" s="186">
        <v>350000000</v>
      </c>
      <c r="W200" s="186">
        <f t="shared" si="27"/>
        <v>8.5440680443502757</v>
      </c>
      <c r="X200" s="50">
        <v>2</v>
      </c>
      <c r="Y200" s="66" t="s">
        <v>602</v>
      </c>
    </row>
    <row r="201" spans="1:25" x14ac:dyDescent="0.35">
      <c r="A201" s="67">
        <v>0.35654732351381263</v>
      </c>
      <c r="B201" s="52" t="s">
        <v>59</v>
      </c>
      <c r="C201" s="52">
        <v>6.4438356164383563</v>
      </c>
      <c r="D201" s="50">
        <f t="shared" si="21"/>
        <v>0.80914445294762616</v>
      </c>
      <c r="E201" s="52">
        <v>0</v>
      </c>
      <c r="F201" s="52">
        <v>1.8633228601204559</v>
      </c>
      <c r="G201" s="52">
        <v>3.29</v>
      </c>
      <c r="H201" s="50">
        <f t="shared" si="22"/>
        <v>0.51719589794997434</v>
      </c>
      <c r="I201" s="52">
        <v>0</v>
      </c>
      <c r="J201" s="52">
        <v>4.5322978786657475E-2</v>
      </c>
      <c r="K201" s="52">
        <v>64</v>
      </c>
      <c r="L201" s="50">
        <f t="shared" si="23"/>
        <v>1.8061799739838871</v>
      </c>
      <c r="M201" s="52">
        <v>0</v>
      </c>
      <c r="N201" s="52">
        <v>85</v>
      </c>
      <c r="O201" s="50">
        <f t="shared" si="24"/>
        <v>1.9294189257142926</v>
      </c>
      <c r="P201" s="52">
        <v>31.5</v>
      </c>
      <c r="Q201" s="50">
        <f t="shared" si="25"/>
        <v>1.4983105537896004</v>
      </c>
      <c r="R201" s="52">
        <v>35.516899069648296</v>
      </c>
      <c r="S201" s="50">
        <f t="shared" si="26"/>
        <v>1.5504350411232082</v>
      </c>
      <c r="T201" s="52">
        <v>3.3314213062933389</v>
      </c>
      <c r="U201" s="52">
        <v>3.884802064783424</v>
      </c>
      <c r="V201" s="187">
        <v>352000000</v>
      </c>
      <c r="W201" s="186">
        <f t="shared" si="27"/>
        <v>8.5465426634781316</v>
      </c>
      <c r="X201" s="52">
        <v>5</v>
      </c>
      <c r="Y201" s="68" t="s">
        <v>59</v>
      </c>
    </row>
    <row r="202" spans="1:25" x14ac:dyDescent="0.35">
      <c r="A202" s="49">
        <v>0.44369749923271273</v>
      </c>
      <c r="B202" s="50" t="s">
        <v>4</v>
      </c>
      <c r="C202" s="50">
        <v>4.6301369863013697</v>
      </c>
      <c r="D202" s="50">
        <f t="shared" si="21"/>
        <v>0.6655938401571988</v>
      </c>
      <c r="E202" s="50">
        <v>3.1566248585544785</v>
      </c>
      <c r="F202" s="50">
        <v>1.4471580313422192</v>
      </c>
      <c r="G202" s="50">
        <v>3.03</v>
      </c>
      <c r="H202" s="50">
        <f t="shared" si="22"/>
        <v>0.48144262850230496</v>
      </c>
      <c r="I202" s="50">
        <v>2.8438554226231609</v>
      </c>
      <c r="J202" s="50">
        <v>-7.0581074285707285E-2</v>
      </c>
      <c r="K202" s="50">
        <v>0</v>
      </c>
      <c r="L202" s="50">
        <f t="shared" si="23"/>
        <v>0</v>
      </c>
      <c r="M202" s="50">
        <v>1</v>
      </c>
      <c r="N202" s="50">
        <v>94.2</v>
      </c>
      <c r="O202" s="50">
        <f t="shared" si="24"/>
        <v>1.9740509027928774</v>
      </c>
      <c r="P202" s="50">
        <v>45</v>
      </c>
      <c r="Q202" s="50">
        <f t="shared" si="25"/>
        <v>1.6532125137753437</v>
      </c>
      <c r="R202" s="50">
        <v>49.278563385512697</v>
      </c>
      <c r="S202" s="50">
        <f t="shared" si="26"/>
        <v>1.6926580383844774</v>
      </c>
      <c r="T202" s="50">
        <v>3.3209851425446502</v>
      </c>
      <c r="U202" s="50">
        <v>3.9950367434689285</v>
      </c>
      <c r="V202" s="186">
        <v>360000000</v>
      </c>
      <c r="W202" s="186">
        <f t="shared" si="27"/>
        <v>8.5563025007672877</v>
      </c>
      <c r="X202" s="50">
        <v>5</v>
      </c>
      <c r="Y202" s="66" t="s">
        <v>59</v>
      </c>
    </row>
    <row r="203" spans="1:25" x14ac:dyDescent="0.35">
      <c r="A203" s="67">
        <v>0.19188552623891317</v>
      </c>
      <c r="B203" s="52" t="s">
        <v>59</v>
      </c>
      <c r="C203" s="52">
        <v>4.1232876712328768</v>
      </c>
      <c r="D203" s="50">
        <f t="shared" si="21"/>
        <v>0.61524363547338745</v>
      </c>
      <c r="E203" s="52">
        <v>0</v>
      </c>
      <c r="F203" s="52">
        <v>0</v>
      </c>
      <c r="G203" s="52">
        <v>3.29</v>
      </c>
      <c r="H203" s="50">
        <f t="shared" si="22"/>
        <v>0.51719589794997434</v>
      </c>
      <c r="I203" s="52">
        <v>0</v>
      </c>
      <c r="J203" s="52">
        <v>2.5305865264770262E-2</v>
      </c>
      <c r="K203" s="52">
        <v>18</v>
      </c>
      <c r="L203" s="50">
        <f t="shared" si="23"/>
        <v>1.255272505103306</v>
      </c>
      <c r="M203" s="52">
        <v>0</v>
      </c>
      <c r="N203" s="52">
        <v>85</v>
      </c>
      <c r="O203" s="50">
        <f t="shared" si="24"/>
        <v>1.9294189257142926</v>
      </c>
      <c r="P203" s="52">
        <v>31.5</v>
      </c>
      <c r="Q203" s="50">
        <f t="shared" si="25"/>
        <v>1.4983105537896004</v>
      </c>
      <c r="R203" s="52">
        <v>35.516899069648296</v>
      </c>
      <c r="S203" s="50">
        <f t="shared" si="26"/>
        <v>1.5504350411232082</v>
      </c>
      <c r="T203" s="52">
        <v>3.2327651641054547</v>
      </c>
      <c r="U203" s="52">
        <v>3.9527244147731087</v>
      </c>
      <c r="V203" s="187">
        <v>360000000</v>
      </c>
      <c r="W203" s="186">
        <f t="shared" si="27"/>
        <v>8.5563025007672877</v>
      </c>
      <c r="X203" s="52">
        <v>4</v>
      </c>
      <c r="Y203" s="68" t="s">
        <v>59</v>
      </c>
    </row>
    <row r="204" spans="1:25" x14ac:dyDescent="0.35">
      <c r="A204" s="49">
        <v>0.25661085587556831</v>
      </c>
      <c r="B204" s="50" t="s">
        <v>59</v>
      </c>
      <c r="C204" s="50">
        <v>3.8575342465753426</v>
      </c>
      <c r="D204" s="50">
        <f t="shared" si="21"/>
        <v>0.58630979034961872</v>
      </c>
      <c r="E204" s="50">
        <v>3.7707754512906644</v>
      </c>
      <c r="F204" s="50">
        <v>0</v>
      </c>
      <c r="G204" s="50">
        <v>2.3199999999999998</v>
      </c>
      <c r="H204" s="50">
        <f t="shared" si="22"/>
        <v>0.36548798489089962</v>
      </c>
      <c r="I204" s="50">
        <v>2.1238516409670858</v>
      </c>
      <c r="J204" s="50">
        <v>2.1189299069938092E-2</v>
      </c>
      <c r="K204" s="50">
        <v>21</v>
      </c>
      <c r="L204" s="50">
        <f t="shared" si="23"/>
        <v>1.3222192947339193</v>
      </c>
      <c r="M204" s="50">
        <v>1</v>
      </c>
      <c r="N204" s="50">
        <v>90.8</v>
      </c>
      <c r="O204" s="50">
        <f t="shared" si="24"/>
        <v>1.958085848521085</v>
      </c>
      <c r="P204" s="50">
        <v>32.299999999999997</v>
      </c>
      <c r="Q204" s="50">
        <f t="shared" si="25"/>
        <v>1.5092025223311027</v>
      </c>
      <c r="R204" s="50">
        <v>44.4007960521485</v>
      </c>
      <c r="S204" s="50">
        <f t="shared" si="26"/>
        <v>1.6473907565550749</v>
      </c>
      <c r="T204" s="50">
        <v>3.0958500844125241</v>
      </c>
      <c r="U204" s="50">
        <v>3.5078178355445662</v>
      </c>
      <c r="V204" s="186">
        <v>360000000</v>
      </c>
      <c r="W204" s="186">
        <f t="shared" si="27"/>
        <v>8.5563025007672877</v>
      </c>
      <c r="X204" s="50">
        <v>6</v>
      </c>
      <c r="Y204" s="66" t="s">
        <v>602</v>
      </c>
    </row>
    <row r="205" spans="1:25" x14ac:dyDescent="0.35">
      <c r="A205" s="67">
        <v>-2</v>
      </c>
      <c r="B205" s="52" t="s">
        <v>45</v>
      </c>
      <c r="C205" s="52">
        <v>3.7643835616438355</v>
      </c>
      <c r="D205" s="50">
        <f t="shared" si="21"/>
        <v>0.57569386826705693</v>
      </c>
      <c r="E205" s="52">
        <v>0</v>
      </c>
      <c r="F205" s="52">
        <v>0</v>
      </c>
      <c r="G205" s="52">
        <v>2.95</v>
      </c>
      <c r="H205" s="50">
        <f t="shared" si="22"/>
        <v>0.46982201597816303</v>
      </c>
      <c r="I205" s="52">
        <v>0</v>
      </c>
      <c r="J205" s="52">
        <v>-0.14266750356873156</v>
      </c>
      <c r="K205" s="52">
        <v>39</v>
      </c>
      <c r="L205" s="50">
        <f t="shared" si="23"/>
        <v>1.5910646070264991</v>
      </c>
      <c r="M205" s="52">
        <v>0</v>
      </c>
      <c r="N205" s="52">
        <v>85</v>
      </c>
      <c r="O205" s="50">
        <f t="shared" si="24"/>
        <v>1.9294189257142926</v>
      </c>
      <c r="P205" s="52">
        <v>25.9</v>
      </c>
      <c r="Q205" s="50">
        <f t="shared" si="25"/>
        <v>1.4132997640812519</v>
      </c>
      <c r="R205" s="52">
        <v>36.959146749272797</v>
      </c>
      <c r="S205" s="50">
        <f t="shared" si="26"/>
        <v>1.5677219364019672</v>
      </c>
      <c r="T205" s="52">
        <v>3.1527645837352773</v>
      </c>
      <c r="U205" s="52">
        <v>3.5411223705253856</v>
      </c>
      <c r="V205" s="187">
        <v>360000000</v>
      </c>
      <c r="W205" s="186">
        <f t="shared" si="27"/>
        <v>8.5563025007672877</v>
      </c>
      <c r="X205" s="52">
        <v>2</v>
      </c>
      <c r="Y205" s="68" t="s">
        <v>602</v>
      </c>
    </row>
    <row r="206" spans="1:25" x14ac:dyDescent="0.35">
      <c r="A206" s="49">
        <v>3.3858267260967419E-2</v>
      </c>
      <c r="B206" s="50" t="s">
        <v>2</v>
      </c>
      <c r="C206" s="50">
        <v>8.2547945205479447</v>
      </c>
      <c r="D206" s="50">
        <f t="shared" si="21"/>
        <v>0.91670626721688242</v>
      </c>
      <c r="E206" s="50">
        <v>2.8358680570524939</v>
      </c>
      <c r="F206" s="50">
        <v>1.7993405494535817</v>
      </c>
      <c r="G206" s="50">
        <v>2.74</v>
      </c>
      <c r="H206" s="50">
        <f t="shared" si="22"/>
        <v>0.43775056282038799</v>
      </c>
      <c r="I206" s="50">
        <v>3.1502958128255383</v>
      </c>
      <c r="J206" s="50">
        <v>0.16435285578443709</v>
      </c>
      <c r="K206" s="50">
        <v>7</v>
      </c>
      <c r="L206" s="50">
        <f t="shared" si="23"/>
        <v>0.84509804001425681</v>
      </c>
      <c r="M206" s="50">
        <v>1</v>
      </c>
      <c r="N206" s="50">
        <v>70</v>
      </c>
      <c r="O206" s="50">
        <f t="shared" si="24"/>
        <v>1.8450980400142569</v>
      </c>
      <c r="P206" s="50">
        <v>33.9</v>
      </c>
      <c r="Q206" s="50">
        <f t="shared" si="25"/>
        <v>1.5301996982030821</v>
      </c>
      <c r="R206" s="50">
        <v>46.200073016176603</v>
      </c>
      <c r="S206" s="50">
        <f t="shared" si="26"/>
        <v>1.664642661930531</v>
      </c>
      <c r="T206" s="50">
        <v>3.2258683317817765</v>
      </c>
      <c r="U206" s="50">
        <v>3.9615291224236637</v>
      </c>
      <c r="V206" s="186">
        <v>370000000</v>
      </c>
      <c r="W206" s="186">
        <f t="shared" si="27"/>
        <v>8.568201724066995</v>
      </c>
      <c r="X206" s="50">
        <v>5</v>
      </c>
      <c r="Y206" s="66" t="s">
        <v>163</v>
      </c>
    </row>
    <row r="207" spans="1:25" x14ac:dyDescent="0.35">
      <c r="A207" s="67">
        <v>0.19531422369159093</v>
      </c>
      <c r="B207" s="52" t="s">
        <v>2</v>
      </c>
      <c r="C207" s="52">
        <v>3.2136986301369861</v>
      </c>
      <c r="D207" s="50">
        <f t="shared" si="21"/>
        <v>0.50700514765905447</v>
      </c>
      <c r="E207" s="52">
        <v>3.8335760926148099</v>
      </c>
      <c r="F207" s="52">
        <v>1.3617278360175928</v>
      </c>
      <c r="G207" s="52">
        <v>2.85</v>
      </c>
      <c r="H207" s="50">
        <f t="shared" si="22"/>
        <v>0.45484486000851021</v>
      </c>
      <c r="I207" s="52">
        <v>2.9138138523837167</v>
      </c>
      <c r="J207" s="52">
        <v>4.5322978786657475E-2</v>
      </c>
      <c r="K207" s="52">
        <v>18</v>
      </c>
      <c r="L207" s="50">
        <f t="shared" si="23"/>
        <v>1.255272505103306</v>
      </c>
      <c r="M207" s="52">
        <v>1</v>
      </c>
      <c r="N207" s="52">
        <v>70</v>
      </c>
      <c r="O207" s="50">
        <f t="shared" si="24"/>
        <v>1.8450980400142569</v>
      </c>
      <c r="P207" s="52">
        <v>34.4</v>
      </c>
      <c r="Q207" s="50">
        <f t="shared" si="25"/>
        <v>1.5365584425715302</v>
      </c>
      <c r="R207" s="52">
        <v>47.264053157349203</v>
      </c>
      <c r="S207" s="50">
        <f t="shared" si="26"/>
        <v>1.6745309620782511</v>
      </c>
      <c r="T207" s="52">
        <v>3.0962405795987471</v>
      </c>
      <c r="U207" s="52">
        <v>3.4010931514437841</v>
      </c>
      <c r="V207" s="187">
        <v>375000000</v>
      </c>
      <c r="W207" s="186">
        <f t="shared" si="27"/>
        <v>8.5740312677277188</v>
      </c>
      <c r="X207" s="52">
        <v>7</v>
      </c>
      <c r="Y207" s="68" t="s">
        <v>45</v>
      </c>
    </row>
    <row r="208" spans="1:25" x14ac:dyDescent="0.35">
      <c r="A208" s="49">
        <v>-0.49106647394996722</v>
      </c>
      <c r="B208" s="50" t="s">
        <v>45</v>
      </c>
      <c r="C208" s="50">
        <v>7</v>
      </c>
      <c r="D208" s="50">
        <f t="shared" si="21"/>
        <v>0.84509804001425681</v>
      </c>
      <c r="E208" s="50">
        <v>0</v>
      </c>
      <c r="F208" s="50">
        <v>0</v>
      </c>
      <c r="G208" s="50">
        <v>2.95</v>
      </c>
      <c r="H208" s="50">
        <f t="shared" si="22"/>
        <v>0.46982201597816303</v>
      </c>
      <c r="I208" s="50">
        <v>0</v>
      </c>
      <c r="J208" s="50">
        <v>-8.7739243075051505E-3</v>
      </c>
      <c r="K208" s="50">
        <v>8</v>
      </c>
      <c r="L208" s="50">
        <f t="shared" si="23"/>
        <v>0.90308998699194354</v>
      </c>
      <c r="M208" s="50">
        <v>0</v>
      </c>
      <c r="N208" s="50">
        <v>85</v>
      </c>
      <c r="O208" s="50">
        <f t="shared" si="24"/>
        <v>1.9294189257142926</v>
      </c>
      <c r="P208" s="50">
        <v>28.2</v>
      </c>
      <c r="Q208" s="50">
        <f t="shared" si="25"/>
        <v>1.4502491083193612</v>
      </c>
      <c r="R208" s="50">
        <v>34.298950279384798</v>
      </c>
      <c r="S208" s="50">
        <f t="shared" si="26"/>
        <v>1.5352808286478177</v>
      </c>
      <c r="T208" s="50">
        <v>3.1628767233771686</v>
      </c>
      <c r="U208" s="50">
        <v>3.6087947637270492</v>
      </c>
      <c r="V208" s="186">
        <v>375000000</v>
      </c>
      <c r="W208" s="186">
        <f t="shared" si="27"/>
        <v>8.5740312677277188</v>
      </c>
      <c r="X208" s="50">
        <v>9</v>
      </c>
      <c r="Y208" s="66" t="s">
        <v>602</v>
      </c>
    </row>
    <row r="209" spans="1:25" x14ac:dyDescent="0.35">
      <c r="A209" s="67">
        <v>0.68060473878707939</v>
      </c>
      <c r="B209" s="52" t="s">
        <v>45</v>
      </c>
      <c r="C209" s="52">
        <v>3.8301369863013699</v>
      </c>
      <c r="D209" s="50">
        <f t="shared" si="21"/>
        <v>0.58321430695318788</v>
      </c>
      <c r="E209" s="52">
        <v>0</v>
      </c>
      <c r="F209" s="52">
        <v>1.6127838567197355</v>
      </c>
      <c r="G209" s="52">
        <v>2.95</v>
      </c>
      <c r="H209" s="50">
        <f t="shared" si="22"/>
        <v>0.46982201597816303</v>
      </c>
      <c r="I209" s="52">
        <v>0</v>
      </c>
      <c r="J209" s="52">
        <v>0.17897694729316943</v>
      </c>
      <c r="K209" s="52">
        <v>24</v>
      </c>
      <c r="L209" s="50">
        <f t="shared" si="23"/>
        <v>1.3802112417116059</v>
      </c>
      <c r="M209" s="52">
        <v>0</v>
      </c>
      <c r="N209" s="52">
        <v>91.1</v>
      </c>
      <c r="O209" s="50">
        <f t="shared" si="24"/>
        <v>1.9595183769729982</v>
      </c>
      <c r="P209" s="52">
        <v>24.1</v>
      </c>
      <c r="Q209" s="50">
        <f t="shared" si="25"/>
        <v>1.3820170425748683</v>
      </c>
      <c r="R209" s="52">
        <v>40.229046020662899</v>
      </c>
      <c r="S209" s="50">
        <f t="shared" si="26"/>
        <v>1.6045397339663818</v>
      </c>
      <c r="T209" s="52">
        <v>3.1532162502154288</v>
      </c>
      <c r="U209" s="52">
        <v>3.5175748361336181</v>
      </c>
      <c r="V209" s="187">
        <v>375550000</v>
      </c>
      <c r="W209" s="186">
        <f t="shared" si="27"/>
        <v>8.5746677663162263</v>
      </c>
      <c r="X209" s="52">
        <v>9</v>
      </c>
      <c r="Y209" s="68" t="s">
        <v>45</v>
      </c>
    </row>
    <row r="210" spans="1:25" x14ac:dyDescent="0.35">
      <c r="A210" s="49">
        <v>-0.38209714220653945</v>
      </c>
      <c r="B210" s="50" t="s">
        <v>59</v>
      </c>
      <c r="C210" s="50">
        <v>5.5315068493150683</v>
      </c>
      <c r="D210" s="50">
        <f t="shared" si="21"/>
        <v>0.7428434544871646</v>
      </c>
      <c r="E210" s="50">
        <v>0</v>
      </c>
      <c r="F210" s="50">
        <v>0</v>
      </c>
      <c r="G210" s="50">
        <v>3.29</v>
      </c>
      <c r="H210" s="50">
        <f t="shared" si="22"/>
        <v>0.51719589794997434</v>
      </c>
      <c r="I210" s="50">
        <v>0</v>
      </c>
      <c r="J210" s="50">
        <v>0.17318626841227402</v>
      </c>
      <c r="K210" s="50">
        <v>62</v>
      </c>
      <c r="L210" s="50">
        <f t="shared" si="23"/>
        <v>1.7923916894982539</v>
      </c>
      <c r="M210" s="50">
        <v>0</v>
      </c>
      <c r="N210" s="50">
        <v>85</v>
      </c>
      <c r="O210" s="50">
        <f t="shared" si="24"/>
        <v>1.9294189257142926</v>
      </c>
      <c r="P210" s="50">
        <v>29.3</v>
      </c>
      <c r="Q210" s="50">
        <f t="shared" si="25"/>
        <v>1.4668676203541096</v>
      </c>
      <c r="R210" s="50">
        <v>36.913126831903199</v>
      </c>
      <c r="S210" s="50">
        <f t="shared" si="26"/>
        <v>1.5671808349091383</v>
      </c>
      <c r="T210" s="50">
        <v>3.3314213062933389</v>
      </c>
      <c r="U210" s="50">
        <v>3.884802064783424</v>
      </c>
      <c r="V210" s="186">
        <v>380000000</v>
      </c>
      <c r="W210" s="186">
        <f t="shared" si="27"/>
        <v>8.5797835966168101</v>
      </c>
      <c r="X210" s="50">
        <v>5</v>
      </c>
      <c r="Y210" s="66" t="s">
        <v>59</v>
      </c>
    </row>
    <row r="211" spans="1:25" x14ac:dyDescent="0.35">
      <c r="A211" s="67">
        <v>0.35331240742242576</v>
      </c>
      <c r="B211" s="52" t="s">
        <v>163</v>
      </c>
      <c r="C211" s="52">
        <v>1.9150684931506849</v>
      </c>
      <c r="D211" s="50">
        <f t="shared" si="21"/>
        <v>0.28218431128920668</v>
      </c>
      <c r="E211" s="52">
        <v>3.7899753459779522</v>
      </c>
      <c r="F211" s="52">
        <v>0.6020599913279624</v>
      </c>
      <c r="G211" s="52">
        <v>3.18</v>
      </c>
      <c r="H211" s="50">
        <f t="shared" si="22"/>
        <v>0.50242711998443268</v>
      </c>
      <c r="I211" s="52">
        <v>2.7670321178317625</v>
      </c>
      <c r="J211" s="52">
        <v>0.1553360374650618</v>
      </c>
      <c r="K211" s="52">
        <v>16</v>
      </c>
      <c r="L211" s="50">
        <f t="shared" si="23"/>
        <v>1.2041199826559248</v>
      </c>
      <c r="M211" s="52">
        <v>1</v>
      </c>
      <c r="N211" s="52">
        <v>70</v>
      </c>
      <c r="O211" s="50">
        <f t="shared" si="24"/>
        <v>1.8450980400142569</v>
      </c>
      <c r="P211" s="52">
        <v>42.2</v>
      </c>
      <c r="Q211" s="50">
        <f t="shared" si="25"/>
        <v>1.6253124509616739</v>
      </c>
      <c r="R211" s="52">
        <v>53.270504198897903</v>
      </c>
      <c r="S211" s="50">
        <f t="shared" si="26"/>
        <v>1.7264868073491786</v>
      </c>
      <c r="T211" s="52">
        <v>3.0958500844125241</v>
      </c>
      <c r="U211" s="52">
        <v>3.5078178355445662</v>
      </c>
      <c r="V211" s="187">
        <v>381229100</v>
      </c>
      <c r="W211" s="186">
        <f t="shared" si="27"/>
        <v>8.5811860438211411</v>
      </c>
      <c r="X211" s="52">
        <v>1</v>
      </c>
      <c r="Y211" s="68" t="s">
        <v>45</v>
      </c>
    </row>
    <row r="212" spans="1:25" x14ac:dyDescent="0.35">
      <c r="A212" s="49">
        <v>0.56926189756940981</v>
      </c>
      <c r="B212" s="50" t="s">
        <v>45</v>
      </c>
      <c r="C212" s="50">
        <v>4.8712328767123285</v>
      </c>
      <c r="D212" s="50">
        <f t="shared" si="21"/>
        <v>0.68763889217772012</v>
      </c>
      <c r="E212" s="50">
        <v>0</v>
      </c>
      <c r="F212" s="50">
        <v>1.4623979978989561</v>
      </c>
      <c r="G212" s="50">
        <v>2.95</v>
      </c>
      <c r="H212" s="50">
        <f t="shared" si="22"/>
        <v>0.46982201597816303</v>
      </c>
      <c r="I212" s="50">
        <v>0</v>
      </c>
      <c r="J212" s="50">
        <v>-4.5757490560675115E-2</v>
      </c>
      <c r="K212" s="50">
        <v>7</v>
      </c>
      <c r="L212" s="50">
        <f t="shared" si="23"/>
        <v>0.84509804001425681</v>
      </c>
      <c r="M212" s="50">
        <v>0</v>
      </c>
      <c r="N212" s="50">
        <v>91.4</v>
      </c>
      <c r="O212" s="50">
        <f t="shared" si="24"/>
        <v>1.9609461957338314</v>
      </c>
      <c r="P212" s="50">
        <v>26.7</v>
      </c>
      <c r="Q212" s="50">
        <f t="shared" si="25"/>
        <v>1.4265112613645752</v>
      </c>
      <c r="R212" s="50">
        <v>37.425715444240403</v>
      </c>
      <c r="S212" s="50">
        <f t="shared" si="26"/>
        <v>1.5731701112332821</v>
      </c>
      <c r="T212" s="50">
        <v>3.8138923126200468</v>
      </c>
      <c r="U212" s="50">
        <v>3.9458684738355512</v>
      </c>
      <c r="V212" s="186">
        <v>381500000</v>
      </c>
      <c r="W212" s="186">
        <f t="shared" si="27"/>
        <v>8.5814945422908995</v>
      </c>
      <c r="X212" s="50">
        <v>9</v>
      </c>
      <c r="Y212" s="66" t="s">
        <v>602</v>
      </c>
    </row>
    <row r="213" spans="1:25" x14ac:dyDescent="0.35">
      <c r="A213" s="67">
        <v>0.21195514674005575</v>
      </c>
      <c r="B213" s="52" t="s">
        <v>497</v>
      </c>
      <c r="C213" s="52">
        <v>4.2328767123287667</v>
      </c>
      <c r="D213" s="50">
        <f t="shared" si="21"/>
        <v>0.62663561930437872</v>
      </c>
      <c r="E213" s="52">
        <v>2.6674249329872439</v>
      </c>
      <c r="F213" s="52">
        <v>0</v>
      </c>
      <c r="G213" s="52">
        <v>2.61</v>
      </c>
      <c r="H213" s="50">
        <f t="shared" si="22"/>
        <v>0.41664050733828095</v>
      </c>
      <c r="I213" s="52">
        <v>2.2881746749783951</v>
      </c>
      <c r="J213" s="52">
        <v>-8.092190762392612E-2</v>
      </c>
      <c r="K213" s="52">
        <v>19</v>
      </c>
      <c r="L213" s="50">
        <f t="shared" si="23"/>
        <v>1.2787536009528289</v>
      </c>
      <c r="M213" s="52">
        <v>1</v>
      </c>
      <c r="N213" s="52">
        <v>85</v>
      </c>
      <c r="O213" s="50">
        <f t="shared" si="24"/>
        <v>1.9294189257142926</v>
      </c>
      <c r="P213" s="52">
        <v>30.9</v>
      </c>
      <c r="Q213" s="50">
        <f t="shared" si="25"/>
        <v>1.4899584794248346</v>
      </c>
      <c r="R213" s="52">
        <v>33.950689057445601</v>
      </c>
      <c r="S213" s="50">
        <f t="shared" si="26"/>
        <v>1.5308485930733544</v>
      </c>
      <c r="T213" s="52">
        <v>3.2327651641054547</v>
      </c>
      <c r="U213" s="52">
        <v>3.9527244147731087</v>
      </c>
      <c r="V213" s="187">
        <v>386710000</v>
      </c>
      <c r="W213" s="186">
        <f t="shared" si="27"/>
        <v>8.5873854027135259</v>
      </c>
      <c r="X213" s="52">
        <v>8</v>
      </c>
      <c r="Y213" s="68" t="s">
        <v>59</v>
      </c>
    </row>
    <row r="214" spans="1:25" x14ac:dyDescent="0.35">
      <c r="A214" s="49">
        <v>0.24850094438779657</v>
      </c>
      <c r="B214" s="50" t="s">
        <v>1</v>
      </c>
      <c r="C214" s="50">
        <v>5.5013698630136982</v>
      </c>
      <c r="D214" s="50">
        <f t="shared" si="21"/>
        <v>0.74047084401650698</v>
      </c>
      <c r="E214" s="50">
        <v>3.0625406208792199</v>
      </c>
      <c r="F214" s="50">
        <v>1.7993405494535817</v>
      </c>
      <c r="G214" s="50">
        <v>3.06</v>
      </c>
      <c r="H214" s="50">
        <f t="shared" si="22"/>
        <v>0.48572142648158001</v>
      </c>
      <c r="I214" s="50">
        <v>2.8714756364568856</v>
      </c>
      <c r="J214" s="50">
        <v>8.9905111439397931E-2</v>
      </c>
      <c r="K214" s="50">
        <v>63</v>
      </c>
      <c r="L214" s="50">
        <f t="shared" si="23"/>
        <v>1.7993405494535817</v>
      </c>
      <c r="M214" s="50">
        <v>1</v>
      </c>
      <c r="N214" s="50">
        <v>89.1</v>
      </c>
      <c r="O214" s="50">
        <f t="shared" si="24"/>
        <v>1.9498777040368747</v>
      </c>
      <c r="P214" s="50">
        <v>41.4</v>
      </c>
      <c r="Q214" s="50">
        <f t="shared" si="25"/>
        <v>1.6170003411208989</v>
      </c>
      <c r="R214" s="50">
        <v>40.193544405546298</v>
      </c>
      <c r="S214" s="50">
        <f t="shared" si="26"/>
        <v>1.6041563054679069</v>
      </c>
      <c r="T214" s="50">
        <v>3.1990556451691736</v>
      </c>
      <c r="U214" s="50">
        <v>3.7784953823207492</v>
      </c>
      <c r="V214" s="186">
        <v>395000000</v>
      </c>
      <c r="W214" s="186">
        <f t="shared" si="27"/>
        <v>8.5965970956264606</v>
      </c>
      <c r="X214" s="50">
        <v>2</v>
      </c>
      <c r="Y214" s="66" t="s">
        <v>577</v>
      </c>
    </row>
    <row r="215" spans="1:25" x14ac:dyDescent="0.35">
      <c r="A215" s="67">
        <v>0.25978950514211202</v>
      </c>
      <c r="B215" s="52" t="s">
        <v>3</v>
      </c>
      <c r="C215" s="52">
        <v>3.5561643835616437</v>
      </c>
      <c r="D215" s="50">
        <f t="shared" si="21"/>
        <v>0.55098182800787565</v>
      </c>
      <c r="E215" s="52">
        <v>2.7187258365781268</v>
      </c>
      <c r="F215" s="52">
        <v>2.1003705451175629</v>
      </c>
      <c r="G215" s="52">
        <v>3.59</v>
      </c>
      <c r="H215" s="50">
        <f t="shared" si="22"/>
        <v>0.55509444857831913</v>
      </c>
      <c r="I215" s="52">
        <v>3.0910217769380406</v>
      </c>
      <c r="J215" s="52">
        <v>-0.15490195998574319</v>
      </c>
      <c r="K215" s="52">
        <v>10</v>
      </c>
      <c r="L215" s="50">
        <f t="shared" si="23"/>
        <v>1</v>
      </c>
      <c r="M215" s="52">
        <v>1</v>
      </c>
      <c r="N215" s="52">
        <v>85</v>
      </c>
      <c r="O215" s="50">
        <f t="shared" si="24"/>
        <v>1.9294189257142926</v>
      </c>
      <c r="P215" s="52">
        <v>47.9</v>
      </c>
      <c r="Q215" s="50">
        <f t="shared" si="25"/>
        <v>1.6803355134145632</v>
      </c>
      <c r="R215" s="52">
        <v>54.533270077590302</v>
      </c>
      <c r="S215" s="50">
        <f t="shared" si="26"/>
        <v>1.7366615408570338</v>
      </c>
      <c r="T215" s="52">
        <v>3.212261842580872</v>
      </c>
      <c r="U215" s="52">
        <v>3.9329492300777744</v>
      </c>
      <c r="V215" s="187">
        <v>398000000</v>
      </c>
      <c r="W215" s="186">
        <f t="shared" si="27"/>
        <v>8.5998830720736876</v>
      </c>
      <c r="X215" s="52">
        <v>2</v>
      </c>
      <c r="Y215" s="68" t="s">
        <v>4</v>
      </c>
    </row>
    <row r="216" spans="1:25" x14ac:dyDescent="0.35">
      <c r="A216" s="49">
        <v>0.34733625860207795</v>
      </c>
      <c r="B216" s="50" t="s">
        <v>447</v>
      </c>
      <c r="C216" s="50">
        <v>9.1452054794520556</v>
      </c>
      <c r="D216" s="50">
        <f t="shared" si="21"/>
        <v>0.96119346788675319</v>
      </c>
      <c r="E216" s="50">
        <v>3.7845345619950592</v>
      </c>
      <c r="F216" s="50">
        <v>1.2041199826559248</v>
      </c>
      <c r="G216" s="50">
        <v>2.81</v>
      </c>
      <c r="H216" s="50">
        <f t="shared" si="22"/>
        <v>0.44870631990507992</v>
      </c>
      <c r="I216" s="50">
        <v>2.9168924084376502</v>
      </c>
      <c r="J216" s="50">
        <v>3.7426497940623665E-2</v>
      </c>
      <c r="K216" s="50">
        <v>68</v>
      </c>
      <c r="L216" s="50">
        <f t="shared" si="23"/>
        <v>1.8325089127062364</v>
      </c>
      <c r="M216" s="50">
        <v>1</v>
      </c>
      <c r="N216" s="50">
        <v>70</v>
      </c>
      <c r="O216" s="50">
        <f t="shared" si="24"/>
        <v>1.8450980400142569</v>
      </c>
      <c r="P216" s="50">
        <v>33.08</v>
      </c>
      <c r="Q216" s="50">
        <f t="shared" si="25"/>
        <v>1.5195655008805091</v>
      </c>
      <c r="R216" s="50">
        <v>39.934142779262203</v>
      </c>
      <c r="S216" s="50">
        <f t="shared" si="26"/>
        <v>1.6013443663637854</v>
      </c>
      <c r="T216" s="50">
        <v>3.3779512479807074</v>
      </c>
      <c r="U216" s="50">
        <v>3.7669888618571257</v>
      </c>
      <c r="V216" s="186">
        <v>398610000</v>
      </c>
      <c r="W216" s="186">
        <f t="shared" si="27"/>
        <v>8.6005481897240834</v>
      </c>
      <c r="X216" s="50">
        <v>5</v>
      </c>
      <c r="Y216" s="66" t="s">
        <v>45</v>
      </c>
    </row>
    <row r="217" spans="1:25" x14ac:dyDescent="0.35">
      <c r="A217" s="67">
        <v>-0.34678748622465638</v>
      </c>
      <c r="B217" s="52" t="s">
        <v>5</v>
      </c>
      <c r="C217" s="52">
        <v>4.7452054794520544</v>
      </c>
      <c r="D217" s="50">
        <f t="shared" si="21"/>
        <v>0.67625502322485309</v>
      </c>
      <c r="E217" s="52">
        <v>2.5542346870234227</v>
      </c>
      <c r="F217" s="52">
        <v>1.6720978579357175</v>
      </c>
      <c r="G217" s="52">
        <v>3.16</v>
      </c>
      <c r="H217" s="50">
        <f t="shared" si="22"/>
        <v>0.49968708261840383</v>
      </c>
      <c r="I217" s="52">
        <v>2.9876662649262746</v>
      </c>
      <c r="J217" s="52">
        <v>0.24054924828259971</v>
      </c>
      <c r="K217" s="52">
        <v>30</v>
      </c>
      <c r="L217" s="50">
        <f t="shared" si="23"/>
        <v>1.4771212547196624</v>
      </c>
      <c r="M217" s="52">
        <v>1</v>
      </c>
      <c r="N217" s="52">
        <v>81.900000000000006</v>
      </c>
      <c r="O217" s="50">
        <f t="shared" si="24"/>
        <v>1.9132839017604184</v>
      </c>
      <c r="P217" s="52">
        <v>35.4</v>
      </c>
      <c r="Q217" s="50">
        <f t="shared" si="25"/>
        <v>1.5490032620257879</v>
      </c>
      <c r="R217" s="52">
        <v>46.7926176158091</v>
      </c>
      <c r="S217" s="50">
        <f t="shared" si="26"/>
        <v>1.6701773406464193</v>
      </c>
      <c r="T217" s="52">
        <v>3.2224645332922388</v>
      </c>
      <c r="U217" s="52">
        <v>3.707126713924402</v>
      </c>
      <c r="V217" s="187">
        <v>400000000</v>
      </c>
      <c r="W217" s="186">
        <f t="shared" si="27"/>
        <v>8.6020599913279625</v>
      </c>
      <c r="X217" s="52">
        <v>9</v>
      </c>
      <c r="Y217" s="68" t="s">
        <v>59</v>
      </c>
    </row>
    <row r="218" spans="1:25" x14ac:dyDescent="0.35">
      <c r="A218" s="49">
        <v>-2</v>
      </c>
      <c r="B218" s="50" t="s">
        <v>45</v>
      </c>
      <c r="C218" s="50">
        <v>2.3232876712328765</v>
      </c>
      <c r="D218" s="50">
        <f t="shared" si="21"/>
        <v>0.36610298780023909</v>
      </c>
      <c r="E218" s="50">
        <v>0</v>
      </c>
      <c r="F218" s="50">
        <v>2.0863598306747484</v>
      </c>
      <c r="G218" s="50">
        <v>2.95</v>
      </c>
      <c r="H218" s="50">
        <f t="shared" si="22"/>
        <v>0.46982201597816303</v>
      </c>
      <c r="I218" s="50">
        <v>0</v>
      </c>
      <c r="J218" s="50">
        <v>9.3421685162235063E-2</v>
      </c>
      <c r="K218" s="50">
        <v>33</v>
      </c>
      <c r="L218" s="50">
        <f t="shared" si="23"/>
        <v>1.5185139398778875</v>
      </c>
      <c r="M218" s="50">
        <v>0</v>
      </c>
      <c r="N218" s="50">
        <v>91.9</v>
      </c>
      <c r="O218" s="50">
        <f t="shared" si="24"/>
        <v>1.9633155113861114</v>
      </c>
      <c r="P218" s="50">
        <v>23</v>
      </c>
      <c r="Q218" s="50">
        <f t="shared" si="25"/>
        <v>1.3617278360175928</v>
      </c>
      <c r="R218" s="50">
        <v>43.262530407091703</v>
      </c>
      <c r="S218" s="50">
        <f t="shared" si="26"/>
        <v>1.636111917546391</v>
      </c>
      <c r="T218" s="50">
        <v>3.0687415514991745</v>
      </c>
      <c r="U218" s="50">
        <v>3.5297005493117593</v>
      </c>
      <c r="V218" s="186">
        <v>400000000</v>
      </c>
      <c r="W218" s="186">
        <f t="shared" si="27"/>
        <v>8.6020599913279625</v>
      </c>
      <c r="X218" s="50">
        <v>1</v>
      </c>
      <c r="Y218" s="66" t="s">
        <v>45</v>
      </c>
    </row>
    <row r="219" spans="1:25" x14ac:dyDescent="0.35">
      <c r="A219" s="67">
        <v>0.21748394421390627</v>
      </c>
      <c r="B219" s="52" t="s">
        <v>3</v>
      </c>
      <c r="C219" s="52">
        <v>5.6739726027397257</v>
      </c>
      <c r="D219" s="50">
        <f t="shared" si="21"/>
        <v>0.75388723443697792</v>
      </c>
      <c r="E219" s="52">
        <v>2.7187258365781268</v>
      </c>
      <c r="F219" s="52">
        <v>1.568201724066995</v>
      </c>
      <c r="G219" s="52">
        <v>3.57</v>
      </c>
      <c r="H219" s="50">
        <f t="shared" si="22"/>
        <v>0.55266821611219319</v>
      </c>
      <c r="I219" s="52">
        <v>3.0910217769380406</v>
      </c>
      <c r="J219" s="52">
        <v>0.24054924828259971</v>
      </c>
      <c r="K219" s="52">
        <v>24</v>
      </c>
      <c r="L219" s="50">
        <f t="shared" si="23"/>
        <v>1.3802112417116059</v>
      </c>
      <c r="M219" s="52">
        <v>1</v>
      </c>
      <c r="N219" s="52">
        <v>98.4</v>
      </c>
      <c r="O219" s="50">
        <f t="shared" si="24"/>
        <v>1.9929950984313416</v>
      </c>
      <c r="P219" s="52">
        <v>45.9</v>
      </c>
      <c r="Q219" s="50">
        <f t="shared" si="25"/>
        <v>1.6618126855372612</v>
      </c>
      <c r="R219" s="52">
        <v>55.820378229102602</v>
      </c>
      <c r="S219" s="50">
        <f t="shared" si="26"/>
        <v>1.7467927748658987</v>
      </c>
      <c r="T219" s="52">
        <v>3.212261842580872</v>
      </c>
      <c r="U219" s="52">
        <v>3.9329492300777744</v>
      </c>
      <c r="V219" s="187">
        <v>400000000</v>
      </c>
      <c r="W219" s="186">
        <f t="shared" si="27"/>
        <v>8.6020599913279625</v>
      </c>
      <c r="X219" s="52">
        <v>1</v>
      </c>
      <c r="Y219" s="68" t="s">
        <v>4</v>
      </c>
    </row>
    <row r="220" spans="1:25" x14ac:dyDescent="0.35">
      <c r="A220" s="49">
        <v>0.3010299956639812</v>
      </c>
      <c r="B220" s="50" t="s">
        <v>2</v>
      </c>
      <c r="C220" s="50">
        <v>5.5972602739726032</v>
      </c>
      <c r="D220" s="50">
        <f t="shared" si="21"/>
        <v>0.74797550217597297</v>
      </c>
      <c r="E220" s="50">
        <v>2.9629325585580042</v>
      </c>
      <c r="F220" s="50">
        <v>1.5185139398778875</v>
      </c>
      <c r="G220" s="50">
        <v>2.62</v>
      </c>
      <c r="H220" s="50">
        <f t="shared" si="22"/>
        <v>0.41830129131974547</v>
      </c>
      <c r="I220" s="50">
        <v>2.9323046139517812</v>
      </c>
      <c r="J220" s="50">
        <v>0.2355284469075489</v>
      </c>
      <c r="K220" s="50">
        <v>34</v>
      </c>
      <c r="L220" s="50">
        <f t="shared" si="23"/>
        <v>1.5314789170422551</v>
      </c>
      <c r="M220" s="50">
        <v>1</v>
      </c>
      <c r="N220" s="50">
        <v>89.6</v>
      </c>
      <c r="O220" s="50">
        <f t="shared" si="24"/>
        <v>1.9523080096621253</v>
      </c>
      <c r="P220" s="50">
        <v>35.700000000000003</v>
      </c>
      <c r="Q220" s="50">
        <f t="shared" si="25"/>
        <v>1.5526682161121932</v>
      </c>
      <c r="R220" s="50">
        <v>44.7100017757258</v>
      </c>
      <c r="S220" s="50">
        <f t="shared" si="26"/>
        <v>1.6504046871166989</v>
      </c>
      <c r="T220" s="50">
        <v>3.0962405795987471</v>
      </c>
      <c r="U220" s="50">
        <v>3.4010931514437841</v>
      </c>
      <c r="V220" s="186">
        <v>400000000</v>
      </c>
      <c r="W220" s="186">
        <f t="shared" si="27"/>
        <v>8.6020599913279625</v>
      </c>
      <c r="X220" s="50">
        <v>1</v>
      </c>
      <c r="Y220" s="66" t="s">
        <v>59</v>
      </c>
    </row>
    <row r="221" spans="1:25" x14ac:dyDescent="0.35">
      <c r="A221" s="67">
        <v>0.3979400086720376</v>
      </c>
      <c r="B221" s="52" t="s">
        <v>59</v>
      </c>
      <c r="C221" s="52">
        <v>4.3397260273972602</v>
      </c>
      <c r="D221" s="50">
        <f t="shared" si="21"/>
        <v>0.63746231279699994</v>
      </c>
      <c r="E221" s="52">
        <v>0</v>
      </c>
      <c r="F221" s="52">
        <v>1.1760912590556813</v>
      </c>
      <c r="G221" s="52">
        <v>3.29</v>
      </c>
      <c r="H221" s="50">
        <f t="shared" si="22"/>
        <v>0.51719589794997434</v>
      </c>
      <c r="I221" s="52">
        <v>0</v>
      </c>
      <c r="J221" s="52">
        <v>0.17609125905568124</v>
      </c>
      <c r="K221" s="52">
        <v>34</v>
      </c>
      <c r="L221" s="50">
        <f t="shared" si="23"/>
        <v>1.5314789170422551</v>
      </c>
      <c r="M221" s="52">
        <v>0</v>
      </c>
      <c r="N221" s="52">
        <v>92</v>
      </c>
      <c r="O221" s="50">
        <f t="shared" si="24"/>
        <v>1.9637878273455553</v>
      </c>
      <c r="P221" s="52">
        <v>31.8</v>
      </c>
      <c r="Q221" s="50">
        <f t="shared" si="25"/>
        <v>1.5024271199844328</v>
      </c>
      <c r="R221" s="52">
        <v>43.012424801889097</v>
      </c>
      <c r="S221" s="50">
        <f t="shared" si="26"/>
        <v>1.6335939263577708</v>
      </c>
      <c r="T221" s="52">
        <v>3.1606353037386858</v>
      </c>
      <c r="U221" s="52">
        <v>3.9767438733352263</v>
      </c>
      <c r="V221" s="187">
        <v>400000000</v>
      </c>
      <c r="W221" s="186">
        <f t="shared" si="27"/>
        <v>8.6020599913279625</v>
      </c>
      <c r="X221" s="52">
        <v>9</v>
      </c>
      <c r="Y221" s="68" t="s">
        <v>59</v>
      </c>
    </row>
    <row r="222" spans="1:25" x14ac:dyDescent="0.35">
      <c r="A222" s="49">
        <v>-0.39013890701945303</v>
      </c>
      <c r="B222" s="50" t="s">
        <v>45</v>
      </c>
      <c r="C222" s="50">
        <v>1.7945205479452055</v>
      </c>
      <c r="D222" s="50">
        <f t="shared" si="21"/>
        <v>0.25394843553530838</v>
      </c>
      <c r="E222" s="50">
        <v>0</v>
      </c>
      <c r="F222" s="50">
        <v>1.7558748556724915</v>
      </c>
      <c r="G222" s="50">
        <v>2.95</v>
      </c>
      <c r="H222" s="50">
        <f t="shared" si="22"/>
        <v>0.46982201597816303</v>
      </c>
      <c r="I222" s="50">
        <v>0</v>
      </c>
      <c r="J222" s="50">
        <v>4.5322978786657475E-2</v>
      </c>
      <c r="K222" s="50">
        <v>10</v>
      </c>
      <c r="L222" s="50">
        <f t="shared" si="23"/>
        <v>1</v>
      </c>
      <c r="M222" s="50">
        <v>0</v>
      </c>
      <c r="N222" s="50">
        <v>88.8</v>
      </c>
      <c r="O222" s="50">
        <f t="shared" si="24"/>
        <v>1.9484129657786009</v>
      </c>
      <c r="P222" s="50">
        <v>26.2</v>
      </c>
      <c r="Q222" s="50">
        <f t="shared" si="25"/>
        <v>1.4183012913197455</v>
      </c>
      <c r="R222" s="50">
        <v>37.927180176051799</v>
      </c>
      <c r="S222" s="50">
        <f t="shared" si="26"/>
        <v>1.578950554817099</v>
      </c>
      <c r="T222" s="50">
        <v>3.21397828825565</v>
      </c>
      <c r="U222" s="50">
        <v>3.7003857985219217</v>
      </c>
      <c r="V222" s="186">
        <v>400000000</v>
      </c>
      <c r="W222" s="186">
        <f t="shared" si="27"/>
        <v>8.6020599913279625</v>
      </c>
      <c r="X222" s="50">
        <v>5</v>
      </c>
      <c r="Y222" s="66" t="s">
        <v>45</v>
      </c>
    </row>
    <row r="223" spans="1:25" x14ac:dyDescent="0.35">
      <c r="A223" s="67">
        <v>0.31138296353143335</v>
      </c>
      <c r="B223" s="52" t="s">
        <v>2</v>
      </c>
      <c r="C223" s="52">
        <v>4.2547945205479456</v>
      </c>
      <c r="D223" s="50">
        <f t="shared" si="21"/>
        <v>0.6288785912720839</v>
      </c>
      <c r="E223" s="52">
        <v>3.8335760926148099</v>
      </c>
      <c r="F223" s="52">
        <v>1.8512583487190752</v>
      </c>
      <c r="G223" s="52">
        <v>2.85</v>
      </c>
      <c r="H223" s="50">
        <f t="shared" si="22"/>
        <v>0.45484486000851021</v>
      </c>
      <c r="I223" s="52">
        <v>2.9138138523837167</v>
      </c>
      <c r="J223" s="52">
        <v>0.18469143081759881</v>
      </c>
      <c r="K223" s="52">
        <v>29</v>
      </c>
      <c r="L223" s="50">
        <f t="shared" si="23"/>
        <v>1.4623979978989561</v>
      </c>
      <c r="M223" s="52">
        <v>1</v>
      </c>
      <c r="N223" s="52">
        <v>92.1</v>
      </c>
      <c r="O223" s="50">
        <f t="shared" si="24"/>
        <v>1.9642596301968489</v>
      </c>
      <c r="P223" s="52">
        <v>36.799999999999997</v>
      </c>
      <c r="Q223" s="50">
        <f t="shared" si="25"/>
        <v>1.5658478186735176</v>
      </c>
      <c r="R223" s="52">
        <v>44.688349184782602</v>
      </c>
      <c r="S223" s="50">
        <f t="shared" si="26"/>
        <v>1.6501943118503011</v>
      </c>
      <c r="T223" s="52">
        <v>3.20911860699078</v>
      </c>
      <c r="U223" s="52">
        <v>3.5849986651910224</v>
      </c>
      <c r="V223" s="187">
        <v>400000000</v>
      </c>
      <c r="W223" s="186">
        <f t="shared" si="27"/>
        <v>8.6020599913279625</v>
      </c>
      <c r="X223" s="52">
        <v>5</v>
      </c>
      <c r="Y223" s="68" t="s">
        <v>45</v>
      </c>
    </row>
    <row r="224" spans="1:25" x14ac:dyDescent="0.35">
      <c r="A224" s="49">
        <v>-5.7991946977686754E-2</v>
      </c>
      <c r="B224" s="50" t="s">
        <v>45</v>
      </c>
      <c r="C224" s="50">
        <v>4.6684931506849319</v>
      </c>
      <c r="D224" s="50">
        <f t="shared" si="21"/>
        <v>0.66917672597420663</v>
      </c>
      <c r="E224" s="50">
        <v>0</v>
      </c>
      <c r="F224" s="50">
        <v>1.4771212547196624</v>
      </c>
      <c r="G224" s="50">
        <v>2.95</v>
      </c>
      <c r="H224" s="50">
        <f t="shared" si="22"/>
        <v>0.46982201597816303</v>
      </c>
      <c r="I224" s="50">
        <v>0</v>
      </c>
      <c r="J224" s="50">
        <v>1.2837224705172217E-2</v>
      </c>
      <c r="K224" s="50">
        <v>21</v>
      </c>
      <c r="L224" s="50">
        <f t="shared" si="23"/>
        <v>1.3222192947339193</v>
      </c>
      <c r="M224" s="50">
        <v>0</v>
      </c>
      <c r="N224" s="50">
        <v>93.2</v>
      </c>
      <c r="O224" s="50">
        <f t="shared" si="24"/>
        <v>1.9694159123539814</v>
      </c>
      <c r="P224" s="50">
        <v>26.7</v>
      </c>
      <c r="Q224" s="50">
        <f t="shared" si="25"/>
        <v>1.4265112613645752</v>
      </c>
      <c r="R224" s="50">
        <v>36.669158714517401</v>
      </c>
      <c r="S224" s="50">
        <f t="shared" si="26"/>
        <v>1.5643009462345601</v>
      </c>
      <c r="T224" s="50">
        <v>3.3647319918335836</v>
      </c>
      <c r="U224" s="50">
        <v>3.568659604598353</v>
      </c>
      <c r="V224" s="186">
        <v>400000000</v>
      </c>
      <c r="W224" s="186">
        <f t="shared" si="27"/>
        <v>8.6020599913279625</v>
      </c>
      <c r="X224" s="50">
        <v>5</v>
      </c>
      <c r="Y224" s="66" t="s">
        <v>602</v>
      </c>
    </row>
    <row r="225" spans="1:25" x14ac:dyDescent="0.35">
      <c r="A225" s="67">
        <v>-9.7924009457260819E-2</v>
      </c>
      <c r="B225" s="52" t="s">
        <v>45</v>
      </c>
      <c r="C225" s="52">
        <v>5.7643835616438359</v>
      </c>
      <c r="D225" s="50">
        <f t="shared" si="21"/>
        <v>0.76075287102522682</v>
      </c>
      <c r="E225" s="52">
        <v>0</v>
      </c>
      <c r="F225" s="52">
        <v>1.3617278360175928</v>
      </c>
      <c r="G225" s="52">
        <v>2.95</v>
      </c>
      <c r="H225" s="50">
        <f t="shared" si="22"/>
        <v>0.46982201597816303</v>
      </c>
      <c r="I225" s="52">
        <v>0</v>
      </c>
      <c r="J225" s="52">
        <v>-8.092190762392612E-2</v>
      </c>
      <c r="K225" s="52">
        <v>12</v>
      </c>
      <c r="L225" s="50">
        <f t="shared" si="23"/>
        <v>1.0791812460476249</v>
      </c>
      <c r="M225" s="52">
        <v>0</v>
      </c>
      <c r="N225" s="52">
        <v>85</v>
      </c>
      <c r="O225" s="50">
        <f t="shared" si="24"/>
        <v>1.9294189257142926</v>
      </c>
      <c r="P225" s="52">
        <v>27.8</v>
      </c>
      <c r="Q225" s="50">
        <f t="shared" si="25"/>
        <v>1.4440447959180762</v>
      </c>
      <c r="R225" s="52">
        <v>34.656907836978597</v>
      </c>
      <c r="S225" s="50">
        <f t="shared" si="26"/>
        <v>1.5397898114291337</v>
      </c>
      <c r="T225" s="52">
        <v>3.0958500844125241</v>
      </c>
      <c r="U225" s="52">
        <v>3.5078178355445662</v>
      </c>
      <c r="V225" s="187">
        <v>402000000</v>
      </c>
      <c r="W225" s="186">
        <f t="shared" si="27"/>
        <v>8.6042260530844707</v>
      </c>
      <c r="X225" s="52">
        <v>5</v>
      </c>
      <c r="Y225" s="68" t="s">
        <v>602</v>
      </c>
    </row>
    <row r="226" spans="1:25" x14ac:dyDescent="0.35">
      <c r="A226" s="49">
        <v>-6.6406958011195921E-2</v>
      </c>
      <c r="B226" s="50" t="s">
        <v>45</v>
      </c>
      <c r="C226" s="50">
        <v>5.7643835616438359</v>
      </c>
      <c r="D226" s="50">
        <f t="shared" si="21"/>
        <v>0.76075287102522682</v>
      </c>
      <c r="E226" s="50">
        <v>0</v>
      </c>
      <c r="F226" s="50">
        <v>0.47712125471966244</v>
      </c>
      <c r="G226" s="50">
        <v>2.95</v>
      </c>
      <c r="H226" s="50">
        <f t="shared" si="22"/>
        <v>0.46982201597816303</v>
      </c>
      <c r="I226" s="50">
        <v>0</v>
      </c>
      <c r="J226" s="50">
        <v>-8.092190762392612E-2</v>
      </c>
      <c r="K226" s="50">
        <v>12</v>
      </c>
      <c r="L226" s="50">
        <f t="shared" si="23"/>
        <v>1.0791812460476249</v>
      </c>
      <c r="M226" s="50">
        <v>0</v>
      </c>
      <c r="N226" s="50">
        <v>85</v>
      </c>
      <c r="O226" s="50">
        <f t="shared" si="24"/>
        <v>1.9294189257142926</v>
      </c>
      <c r="P226" s="50">
        <v>27.8</v>
      </c>
      <c r="Q226" s="50">
        <f t="shared" si="25"/>
        <v>1.4440447959180762</v>
      </c>
      <c r="R226" s="50">
        <v>34.656907836978597</v>
      </c>
      <c r="S226" s="50">
        <f t="shared" si="26"/>
        <v>1.5397898114291337</v>
      </c>
      <c r="T226" s="50">
        <v>3.0958500844125241</v>
      </c>
      <c r="U226" s="50">
        <v>3.5078178355445662</v>
      </c>
      <c r="V226" s="186">
        <v>402000000</v>
      </c>
      <c r="W226" s="186">
        <f t="shared" si="27"/>
        <v>8.6042260530844707</v>
      </c>
      <c r="X226" s="50">
        <v>5</v>
      </c>
      <c r="Y226" s="66" t="s">
        <v>602</v>
      </c>
    </row>
    <row r="227" spans="1:25" x14ac:dyDescent="0.35">
      <c r="A227" s="67">
        <v>0.28940640628560588</v>
      </c>
      <c r="B227" s="52" t="s">
        <v>45</v>
      </c>
      <c r="C227" s="52">
        <v>5.8931506849315065</v>
      </c>
      <c r="D227" s="50">
        <f t="shared" si="21"/>
        <v>0.77034754593098786</v>
      </c>
      <c r="E227" s="52">
        <v>0</v>
      </c>
      <c r="F227" s="52">
        <v>0</v>
      </c>
      <c r="G227" s="52">
        <v>2.95</v>
      </c>
      <c r="H227" s="50">
        <f t="shared" si="22"/>
        <v>0.46982201597816303</v>
      </c>
      <c r="I227" s="52">
        <v>0</v>
      </c>
      <c r="J227" s="52">
        <v>0.14921911265537988</v>
      </c>
      <c r="K227" s="52">
        <v>14</v>
      </c>
      <c r="L227" s="50">
        <f t="shared" si="23"/>
        <v>1.146128035678238</v>
      </c>
      <c r="M227" s="52">
        <v>0</v>
      </c>
      <c r="N227" s="52">
        <v>85</v>
      </c>
      <c r="O227" s="50">
        <f t="shared" si="24"/>
        <v>1.9294189257142926</v>
      </c>
      <c r="P227" s="52">
        <v>27.2</v>
      </c>
      <c r="Q227" s="50">
        <f t="shared" si="25"/>
        <v>1.4345689040341987</v>
      </c>
      <c r="R227" s="52">
        <v>35.608384832026097</v>
      </c>
      <c r="S227" s="50">
        <f t="shared" si="26"/>
        <v>1.5515522748692276</v>
      </c>
      <c r="T227" s="52">
        <v>3.0958500844125241</v>
      </c>
      <c r="U227" s="52">
        <v>3.5078178355445662</v>
      </c>
      <c r="V227" s="187">
        <v>408000000</v>
      </c>
      <c r="W227" s="186">
        <f t="shared" si="27"/>
        <v>8.6106601630898805</v>
      </c>
      <c r="X227" s="52">
        <v>2</v>
      </c>
      <c r="Y227" s="68" t="s">
        <v>602</v>
      </c>
    </row>
    <row r="228" spans="1:25" x14ac:dyDescent="0.35">
      <c r="A228" s="49">
        <v>0.28940640628560588</v>
      </c>
      <c r="B228" s="50" t="s">
        <v>45</v>
      </c>
      <c r="C228" s="50">
        <v>5.8931506849315065</v>
      </c>
      <c r="D228" s="50">
        <f t="shared" si="21"/>
        <v>0.77034754593098786</v>
      </c>
      <c r="E228" s="50">
        <v>0</v>
      </c>
      <c r="F228" s="50">
        <v>0</v>
      </c>
      <c r="G228" s="50">
        <v>2.95</v>
      </c>
      <c r="H228" s="50">
        <f t="shared" si="22"/>
        <v>0.46982201597816303</v>
      </c>
      <c r="I228" s="50">
        <v>0</v>
      </c>
      <c r="J228" s="50">
        <v>0.14921911265537988</v>
      </c>
      <c r="K228" s="50">
        <v>14</v>
      </c>
      <c r="L228" s="50">
        <f t="shared" si="23"/>
        <v>1.146128035678238</v>
      </c>
      <c r="M228" s="50">
        <v>0</v>
      </c>
      <c r="N228" s="50">
        <v>85</v>
      </c>
      <c r="O228" s="50">
        <f t="shared" si="24"/>
        <v>1.9294189257142926</v>
      </c>
      <c r="P228" s="50">
        <v>27.2</v>
      </c>
      <c r="Q228" s="50">
        <f t="shared" si="25"/>
        <v>1.4345689040341987</v>
      </c>
      <c r="R228" s="50">
        <v>35.608384832026097</v>
      </c>
      <c r="S228" s="50">
        <f t="shared" si="26"/>
        <v>1.5515522748692276</v>
      </c>
      <c r="T228" s="50">
        <v>3.0958500844125241</v>
      </c>
      <c r="U228" s="50">
        <v>3.5078178355445662</v>
      </c>
      <c r="V228" s="186">
        <v>408000000</v>
      </c>
      <c r="W228" s="186">
        <f t="shared" si="27"/>
        <v>8.6106601630898805</v>
      </c>
      <c r="X228" s="50">
        <v>2</v>
      </c>
      <c r="Y228" s="66" t="s">
        <v>602</v>
      </c>
    </row>
    <row r="229" spans="1:25" x14ac:dyDescent="0.35">
      <c r="A229" s="67">
        <v>-2</v>
      </c>
      <c r="B229" s="84" t="s">
        <v>45</v>
      </c>
      <c r="C229" s="52">
        <v>3.1232876712328768</v>
      </c>
      <c r="D229" s="50">
        <f t="shared" si="21"/>
        <v>0.49461198687999791</v>
      </c>
      <c r="E229" s="52">
        <v>0</v>
      </c>
      <c r="F229" s="52">
        <v>1.2787536009528289</v>
      </c>
      <c r="G229" s="52">
        <v>2.95</v>
      </c>
      <c r="H229" s="50">
        <f t="shared" si="22"/>
        <v>0.46982201597816303</v>
      </c>
      <c r="I229" s="52">
        <v>0</v>
      </c>
      <c r="J229" s="52">
        <v>-9.6910013008056392E-2</v>
      </c>
      <c r="K229" s="52">
        <v>46</v>
      </c>
      <c r="L229" s="50">
        <f t="shared" si="23"/>
        <v>1.6627578316815741</v>
      </c>
      <c r="M229" s="52">
        <v>0</v>
      </c>
      <c r="N229" s="52">
        <v>91.4</v>
      </c>
      <c r="O229" s="50">
        <f t="shared" si="24"/>
        <v>1.9609461957338314</v>
      </c>
      <c r="P229" s="52">
        <v>26.7</v>
      </c>
      <c r="Q229" s="50">
        <f t="shared" si="25"/>
        <v>1.4265112613645752</v>
      </c>
      <c r="R229" s="52">
        <v>37.425715444240403</v>
      </c>
      <c r="S229" s="50">
        <f t="shared" si="26"/>
        <v>1.5731701112332821</v>
      </c>
      <c r="T229" s="52">
        <v>3.2209862534849001</v>
      </c>
      <c r="U229" s="52">
        <v>3.979162163489756</v>
      </c>
      <c r="V229" s="187">
        <v>409000000</v>
      </c>
      <c r="W229" s="186">
        <f t="shared" si="27"/>
        <v>8.6117233080073419</v>
      </c>
      <c r="X229" s="52">
        <v>5</v>
      </c>
      <c r="Y229" s="103" t="s">
        <v>45</v>
      </c>
    </row>
    <row r="230" spans="1:25" x14ac:dyDescent="0.35">
      <c r="A230" s="49">
        <v>0.27667064980453648</v>
      </c>
      <c r="B230" s="50" t="s">
        <v>45</v>
      </c>
      <c r="C230" s="50">
        <v>3.1616438356164385</v>
      </c>
      <c r="D230" s="50">
        <f t="shared" si="21"/>
        <v>0.49991294436323791</v>
      </c>
      <c r="E230" s="50">
        <v>0</v>
      </c>
      <c r="F230" s="50">
        <v>0.77815125038364363</v>
      </c>
      <c r="G230" s="50">
        <v>2.95</v>
      </c>
      <c r="H230" s="50">
        <f t="shared" si="22"/>
        <v>0.46982201597816303</v>
      </c>
      <c r="I230" s="50">
        <v>0</v>
      </c>
      <c r="J230" s="50">
        <v>0.11394335230683679</v>
      </c>
      <c r="K230" s="50">
        <v>25</v>
      </c>
      <c r="L230" s="50">
        <f t="shared" si="23"/>
        <v>1.3979400086720377</v>
      </c>
      <c r="M230" s="50">
        <v>0</v>
      </c>
      <c r="N230" s="50">
        <v>90.5</v>
      </c>
      <c r="O230" s="50">
        <f t="shared" si="24"/>
        <v>1.9566485792052033</v>
      </c>
      <c r="P230" s="50">
        <v>25.7</v>
      </c>
      <c r="Q230" s="50">
        <f t="shared" si="25"/>
        <v>1.4099331233312946</v>
      </c>
      <c r="R230" s="50">
        <v>39.010023979360902</v>
      </c>
      <c r="S230" s="50">
        <f t="shared" si="26"/>
        <v>1.5911762172715689</v>
      </c>
      <c r="T230" s="50">
        <v>3.1532162502154288</v>
      </c>
      <c r="U230" s="50">
        <v>3.5175748361336181</v>
      </c>
      <c r="V230" s="186">
        <v>412500000</v>
      </c>
      <c r="W230" s="186">
        <f t="shared" si="27"/>
        <v>8.6154239528859442</v>
      </c>
      <c r="X230" s="50">
        <v>6</v>
      </c>
      <c r="Y230" s="66" t="s">
        <v>45</v>
      </c>
    </row>
    <row r="231" spans="1:25" x14ac:dyDescent="0.35">
      <c r="A231" s="67">
        <v>0.30686665541695157</v>
      </c>
      <c r="B231" s="52" t="s">
        <v>45</v>
      </c>
      <c r="C231" s="52">
        <v>4.602739726027397</v>
      </c>
      <c r="D231" s="50">
        <f t="shared" si="21"/>
        <v>0.66301641726938809</v>
      </c>
      <c r="E231" s="52">
        <v>3.7707754512906644</v>
      </c>
      <c r="F231" s="52">
        <v>1</v>
      </c>
      <c r="G231" s="52">
        <v>2.3199999999999998</v>
      </c>
      <c r="H231" s="50">
        <f t="shared" si="22"/>
        <v>0.36548798489089962</v>
      </c>
      <c r="I231" s="52">
        <v>2.1238516409670858</v>
      </c>
      <c r="J231" s="52">
        <v>-6.5501548756432285E-2</v>
      </c>
      <c r="K231" s="52">
        <v>27</v>
      </c>
      <c r="L231" s="50">
        <f t="shared" si="23"/>
        <v>1.4313637641589874</v>
      </c>
      <c r="M231" s="52">
        <v>1</v>
      </c>
      <c r="N231" s="52">
        <v>91.4</v>
      </c>
      <c r="O231" s="50">
        <f t="shared" si="24"/>
        <v>1.9609461957338314</v>
      </c>
      <c r="P231" s="52">
        <v>26.7</v>
      </c>
      <c r="Q231" s="50">
        <f t="shared" si="25"/>
        <v>1.4265112613645752</v>
      </c>
      <c r="R231" s="52">
        <v>37.425715444240403</v>
      </c>
      <c r="S231" s="50">
        <f t="shared" si="26"/>
        <v>1.5731701112332821</v>
      </c>
      <c r="T231" s="52">
        <v>3.2327651641054547</v>
      </c>
      <c r="U231" s="52">
        <v>3.9527244147731087</v>
      </c>
      <c r="V231" s="187">
        <v>415000000</v>
      </c>
      <c r="W231" s="186">
        <f t="shared" si="27"/>
        <v>8.6180480967120925</v>
      </c>
      <c r="X231" s="52">
        <v>9</v>
      </c>
      <c r="Y231" s="68" t="s">
        <v>59</v>
      </c>
    </row>
    <row r="232" spans="1:25" x14ac:dyDescent="0.35">
      <c r="A232" s="49">
        <v>9.691001300805642E-2</v>
      </c>
      <c r="B232" s="50" t="s">
        <v>163</v>
      </c>
      <c r="C232" s="50">
        <v>3.6630136986301371</v>
      </c>
      <c r="D232" s="50">
        <f t="shared" si="21"/>
        <v>0.56383854280550971</v>
      </c>
      <c r="E232" s="50">
        <v>2.5362300726332561</v>
      </c>
      <c r="F232" s="50">
        <v>1.8195439355418688</v>
      </c>
      <c r="G232" s="50">
        <v>2.3199999999999998</v>
      </c>
      <c r="H232" s="50">
        <f t="shared" si="22"/>
        <v>0.36548798489089962</v>
      </c>
      <c r="I232" s="50">
        <v>2.756001823801419</v>
      </c>
      <c r="J232" s="50">
        <v>-0.14874165128092473</v>
      </c>
      <c r="K232" s="50">
        <v>23</v>
      </c>
      <c r="L232" s="50">
        <f t="shared" si="23"/>
        <v>1.3617278360175928</v>
      </c>
      <c r="M232" s="50">
        <v>1</v>
      </c>
      <c r="N232" s="50">
        <v>70</v>
      </c>
      <c r="O232" s="50">
        <f t="shared" si="24"/>
        <v>1.8450980400142569</v>
      </c>
      <c r="P232" s="50">
        <v>43.4</v>
      </c>
      <c r="Q232" s="50">
        <f t="shared" si="25"/>
        <v>1.6374897295125106</v>
      </c>
      <c r="R232" s="50">
        <v>51.652289181886701</v>
      </c>
      <c r="S232" s="50">
        <f t="shared" si="26"/>
        <v>1.7130895738136374</v>
      </c>
      <c r="T232" s="50">
        <v>3.0962405795987471</v>
      </c>
      <c r="U232" s="50">
        <v>3.4010931514437841</v>
      </c>
      <c r="V232" s="186">
        <v>416000000</v>
      </c>
      <c r="W232" s="186">
        <f t="shared" si="27"/>
        <v>8.6190933306267432</v>
      </c>
      <c r="X232" s="50">
        <v>5</v>
      </c>
      <c r="Y232" s="66" t="s">
        <v>59</v>
      </c>
    </row>
    <row r="233" spans="1:25" x14ac:dyDescent="0.35">
      <c r="A233" s="67">
        <v>0.25440374209725269</v>
      </c>
      <c r="B233" s="52" t="s">
        <v>59</v>
      </c>
      <c r="C233" s="52">
        <v>8.706849315068494</v>
      </c>
      <c r="D233" s="50">
        <f t="shared" si="21"/>
        <v>0.93986102841488606</v>
      </c>
      <c r="E233" s="52">
        <v>3.7707754512906644</v>
      </c>
      <c r="F233" s="52">
        <v>0</v>
      </c>
      <c r="G233" s="52">
        <v>2.3199999999999998</v>
      </c>
      <c r="H233" s="50">
        <f t="shared" si="22"/>
        <v>0.36548798489089962</v>
      </c>
      <c r="I233" s="52">
        <v>2.1238516409670858</v>
      </c>
      <c r="J233" s="52">
        <v>0.41161970596323016</v>
      </c>
      <c r="K233" s="52">
        <v>30</v>
      </c>
      <c r="L233" s="50">
        <f t="shared" si="23"/>
        <v>1.4771212547196624</v>
      </c>
      <c r="M233" s="52">
        <v>1</v>
      </c>
      <c r="N233" s="52">
        <v>90.8</v>
      </c>
      <c r="O233" s="50">
        <f t="shared" si="24"/>
        <v>1.958085848521085</v>
      </c>
      <c r="P233" s="52">
        <v>32.299999999999997</v>
      </c>
      <c r="Q233" s="50">
        <f t="shared" si="25"/>
        <v>1.5092025223311027</v>
      </c>
      <c r="R233" s="52">
        <v>44.4007960521485</v>
      </c>
      <c r="S233" s="50">
        <f t="shared" si="26"/>
        <v>1.6473907565550749</v>
      </c>
      <c r="T233" s="52">
        <v>3.3075667315086759</v>
      </c>
      <c r="U233" s="52">
        <v>3.8308810053047755</v>
      </c>
      <c r="V233" s="187">
        <v>417000000</v>
      </c>
      <c r="W233" s="186">
        <f t="shared" si="27"/>
        <v>8.6201360549737576</v>
      </c>
      <c r="X233" s="52">
        <v>5</v>
      </c>
      <c r="Y233" s="68" t="s">
        <v>45</v>
      </c>
    </row>
    <row r="234" spans="1:25" x14ac:dyDescent="0.35">
      <c r="A234" s="49">
        <v>-0.13136590451088112</v>
      </c>
      <c r="B234" s="83" t="s">
        <v>45</v>
      </c>
      <c r="C234" s="50">
        <v>1.8410958904109589</v>
      </c>
      <c r="D234" s="50">
        <f t="shared" si="21"/>
        <v>0.26507640859735054</v>
      </c>
      <c r="E234" s="50">
        <v>0</v>
      </c>
      <c r="F234" s="50">
        <v>1.146128035678238</v>
      </c>
      <c r="G234" s="50">
        <v>2.95</v>
      </c>
      <c r="H234" s="50">
        <f t="shared" si="22"/>
        <v>0.46982201597816303</v>
      </c>
      <c r="I234" s="50">
        <v>0</v>
      </c>
      <c r="J234" s="50">
        <v>8.6359830674748214E-2</v>
      </c>
      <c r="K234" s="50">
        <v>21</v>
      </c>
      <c r="L234" s="50">
        <f t="shared" si="23"/>
        <v>1.3222192947339193</v>
      </c>
      <c r="M234" s="50">
        <v>0</v>
      </c>
      <c r="N234" s="50">
        <v>85</v>
      </c>
      <c r="O234" s="50">
        <f t="shared" si="24"/>
        <v>1.9294189257142926</v>
      </c>
      <c r="P234" s="50">
        <v>25.9</v>
      </c>
      <c r="Q234" s="50">
        <f t="shared" si="25"/>
        <v>1.4132997640812519</v>
      </c>
      <c r="R234" s="50">
        <v>36.959146749272797</v>
      </c>
      <c r="S234" s="50">
        <f t="shared" si="26"/>
        <v>1.5677219364019672</v>
      </c>
      <c r="T234" s="50">
        <v>3.6224784109972026</v>
      </c>
      <c r="U234" s="50">
        <v>3.7852505485064163</v>
      </c>
      <c r="V234" s="186">
        <v>417060000</v>
      </c>
      <c r="W234" s="186">
        <f t="shared" si="27"/>
        <v>8.6201985388932822</v>
      </c>
      <c r="X234" s="50">
        <v>1</v>
      </c>
      <c r="Y234" s="102" t="s">
        <v>45</v>
      </c>
    </row>
    <row r="235" spans="1:25" x14ac:dyDescent="0.35">
      <c r="A235" s="67">
        <v>0.28243350717232268</v>
      </c>
      <c r="B235" s="52" t="s">
        <v>2</v>
      </c>
      <c r="C235" s="52">
        <v>10.736986301369862</v>
      </c>
      <c r="D235" s="50">
        <f t="shared" si="21"/>
        <v>1.0308823990216278</v>
      </c>
      <c r="E235" s="52">
        <v>3.1189984043805832</v>
      </c>
      <c r="F235" s="52">
        <v>1.2787536009528289</v>
      </c>
      <c r="G235" s="52">
        <v>3.13</v>
      </c>
      <c r="H235" s="50">
        <f t="shared" si="22"/>
        <v>0.49554433754644844</v>
      </c>
      <c r="I235" s="52">
        <v>3.0711452904510828</v>
      </c>
      <c r="J235" s="52">
        <v>-0.23657200643706267</v>
      </c>
      <c r="K235" s="52">
        <v>21</v>
      </c>
      <c r="L235" s="50">
        <f t="shared" si="23"/>
        <v>1.3222192947339193</v>
      </c>
      <c r="M235" s="52">
        <v>1</v>
      </c>
      <c r="N235" s="52">
        <v>88.2</v>
      </c>
      <c r="O235" s="50">
        <f t="shared" si="24"/>
        <v>1.9454685851318196</v>
      </c>
      <c r="P235" s="52">
        <v>37</v>
      </c>
      <c r="Q235" s="50">
        <f t="shared" si="25"/>
        <v>1.568201724066995</v>
      </c>
      <c r="R235" s="52">
        <v>43.709255262622698</v>
      </c>
      <c r="S235" s="50">
        <f t="shared" si="26"/>
        <v>1.6405734068536693</v>
      </c>
      <c r="T235" s="52">
        <v>3.1616209089088487</v>
      </c>
      <c r="U235" s="52">
        <v>3.7997633234477775</v>
      </c>
      <c r="V235" s="187">
        <v>417500000</v>
      </c>
      <c r="W235" s="186">
        <f t="shared" si="27"/>
        <v>8.6206564798196208</v>
      </c>
      <c r="X235" s="52">
        <v>2</v>
      </c>
      <c r="Y235" s="68" t="s">
        <v>4</v>
      </c>
    </row>
    <row r="236" spans="1:25" x14ac:dyDescent="0.35">
      <c r="A236" s="49">
        <v>0.21048150024803425</v>
      </c>
      <c r="B236" s="50" t="s">
        <v>163</v>
      </c>
      <c r="C236" s="50">
        <v>4.7589041095890412</v>
      </c>
      <c r="D236" s="50">
        <f t="shared" si="21"/>
        <v>0.67750695399062388</v>
      </c>
      <c r="E236" s="50">
        <v>3.7899753459779522</v>
      </c>
      <c r="F236" s="50">
        <v>0</v>
      </c>
      <c r="G236" s="50">
        <v>3.18</v>
      </c>
      <c r="H236" s="50">
        <f t="shared" si="22"/>
        <v>0.50242711998443268</v>
      </c>
      <c r="I236" s="50">
        <v>2.7670321178317625</v>
      </c>
      <c r="J236" s="50">
        <v>-1.7728766960431602E-2</v>
      </c>
      <c r="K236" s="50">
        <v>0</v>
      </c>
      <c r="L236" s="50">
        <f t="shared" si="23"/>
        <v>0</v>
      </c>
      <c r="M236" s="50">
        <v>1</v>
      </c>
      <c r="N236" s="50">
        <v>88</v>
      </c>
      <c r="O236" s="50">
        <f t="shared" si="24"/>
        <v>1.9444826721501687</v>
      </c>
      <c r="P236" s="50">
        <v>43.3</v>
      </c>
      <c r="Q236" s="50">
        <f t="shared" si="25"/>
        <v>1.6364878963533653</v>
      </c>
      <c r="R236" s="50">
        <v>52.875711995394298</v>
      </c>
      <c r="S236" s="50">
        <f t="shared" si="26"/>
        <v>1.7232562283942385</v>
      </c>
      <c r="T236" s="50">
        <v>3.1948131122613166</v>
      </c>
      <c r="U236" s="50">
        <v>3.8305239132290598</v>
      </c>
      <c r="V236" s="186">
        <v>418820000</v>
      </c>
      <c r="W236" s="186">
        <f t="shared" si="27"/>
        <v>8.6220274124582019</v>
      </c>
      <c r="X236" s="50">
        <v>7</v>
      </c>
      <c r="Y236" s="66" t="s">
        <v>45</v>
      </c>
    </row>
    <row r="237" spans="1:25" x14ac:dyDescent="0.35">
      <c r="A237" s="67">
        <v>0.481352939899792</v>
      </c>
      <c r="B237" s="52" t="s">
        <v>4</v>
      </c>
      <c r="C237" s="52">
        <v>2.0849315068493151</v>
      </c>
      <c r="D237" s="50">
        <f t="shared" si="21"/>
        <v>0.31909179231409812</v>
      </c>
      <c r="E237" s="52">
        <v>3.1189984043805832</v>
      </c>
      <c r="F237" s="52">
        <v>1.5314789170422551</v>
      </c>
      <c r="G237" s="52">
        <v>2.99</v>
      </c>
      <c r="H237" s="50">
        <f t="shared" si="22"/>
        <v>0.47567118832442967</v>
      </c>
      <c r="I237" s="52">
        <v>3.0711452904510828</v>
      </c>
      <c r="J237" s="52">
        <v>7.554696139253074E-2</v>
      </c>
      <c r="K237" s="52">
        <v>7</v>
      </c>
      <c r="L237" s="50">
        <f t="shared" si="23"/>
        <v>0.84509804001425681</v>
      </c>
      <c r="M237" s="52">
        <v>1</v>
      </c>
      <c r="N237" s="52">
        <v>70</v>
      </c>
      <c r="O237" s="50">
        <f t="shared" si="24"/>
        <v>1.8450980400142569</v>
      </c>
      <c r="P237" s="52">
        <v>45.7</v>
      </c>
      <c r="Q237" s="50">
        <f t="shared" si="25"/>
        <v>1.6599162000698502</v>
      </c>
      <c r="R237" s="52">
        <v>52.379377176281302</v>
      </c>
      <c r="S237" s="50">
        <f t="shared" si="26"/>
        <v>1.7191603300855409</v>
      </c>
      <c r="T237" s="52">
        <v>3.2258683317817765</v>
      </c>
      <c r="U237" s="52">
        <v>3.9615291224236637</v>
      </c>
      <c r="V237" s="187">
        <v>424180000</v>
      </c>
      <c r="W237" s="186">
        <f t="shared" si="27"/>
        <v>8.6275501877675218</v>
      </c>
      <c r="X237" s="52">
        <v>2</v>
      </c>
      <c r="Y237" s="68" t="s">
        <v>577</v>
      </c>
    </row>
    <row r="238" spans="1:25" x14ac:dyDescent="0.35">
      <c r="A238" s="49">
        <v>-5.7845990168414053E-2</v>
      </c>
      <c r="B238" s="50" t="s">
        <v>45</v>
      </c>
      <c r="C238" s="50">
        <v>4.2712328767123289</v>
      </c>
      <c r="D238" s="50">
        <f t="shared" si="21"/>
        <v>0.63055325073236701</v>
      </c>
      <c r="E238" s="50">
        <v>0</v>
      </c>
      <c r="F238" s="50">
        <v>0</v>
      </c>
      <c r="G238" s="50">
        <v>2.95</v>
      </c>
      <c r="H238" s="50">
        <f t="shared" si="22"/>
        <v>0.46982201597816303</v>
      </c>
      <c r="I238" s="50">
        <v>0</v>
      </c>
      <c r="J238" s="50">
        <v>-8.7739243075051505E-3</v>
      </c>
      <c r="K238" s="50">
        <v>3</v>
      </c>
      <c r="L238" s="50">
        <f t="shared" si="23"/>
        <v>0.47712125471966244</v>
      </c>
      <c r="M238" s="50">
        <v>0</v>
      </c>
      <c r="N238" s="50">
        <v>92.6</v>
      </c>
      <c r="O238" s="50">
        <f t="shared" si="24"/>
        <v>1.9666109866819343</v>
      </c>
      <c r="P238" s="50">
        <v>25.7</v>
      </c>
      <c r="Q238" s="50">
        <f t="shared" si="25"/>
        <v>1.4099331233312946</v>
      </c>
      <c r="R238" s="50">
        <v>39.823361151429197</v>
      </c>
      <c r="S238" s="50">
        <f t="shared" si="26"/>
        <v>1.6001379123442065</v>
      </c>
      <c r="T238" s="50">
        <v>3.3481258369969185</v>
      </c>
      <c r="U238" s="50">
        <v>3.8736689739586678</v>
      </c>
      <c r="V238" s="186">
        <v>425000000</v>
      </c>
      <c r="W238" s="186">
        <f t="shared" si="27"/>
        <v>8.6283889300503116</v>
      </c>
      <c r="X238" s="50">
        <v>2</v>
      </c>
      <c r="Y238" s="66" t="s">
        <v>45</v>
      </c>
    </row>
    <row r="239" spans="1:25" x14ac:dyDescent="0.35">
      <c r="A239" s="67">
        <v>0.40690165901075054</v>
      </c>
      <c r="B239" s="52" t="s">
        <v>4</v>
      </c>
      <c r="C239" s="52">
        <v>4.0821917808219181</v>
      </c>
      <c r="D239" s="50">
        <f t="shared" si="21"/>
        <v>0.61089340395579939</v>
      </c>
      <c r="E239" s="52">
        <v>0</v>
      </c>
      <c r="F239" s="52">
        <v>1.919078092376074</v>
      </c>
      <c r="G239" s="52">
        <v>3.59</v>
      </c>
      <c r="H239" s="50">
        <f t="shared" si="22"/>
        <v>0.55509444857831913</v>
      </c>
      <c r="I239" s="52">
        <v>0</v>
      </c>
      <c r="J239" s="52">
        <v>-3.1517051446064911E-2</v>
      </c>
      <c r="K239" s="52">
        <v>7</v>
      </c>
      <c r="L239" s="50">
        <f t="shared" si="23"/>
        <v>0.84509804001425681</v>
      </c>
      <c r="M239" s="52">
        <v>0</v>
      </c>
      <c r="N239" s="52">
        <v>70</v>
      </c>
      <c r="O239" s="50">
        <f t="shared" si="24"/>
        <v>1.8450980400142569</v>
      </c>
      <c r="P239" s="52">
        <v>46.8</v>
      </c>
      <c r="Q239" s="50">
        <f t="shared" si="25"/>
        <v>1.670245853074124</v>
      </c>
      <c r="R239" s="52">
        <v>52.695054949482603</v>
      </c>
      <c r="S239" s="50">
        <f t="shared" si="26"/>
        <v>1.7217698617226407</v>
      </c>
      <c r="T239" s="52">
        <v>3.1616209089088487</v>
      </c>
      <c r="U239" s="52">
        <v>3.7997633234477775</v>
      </c>
      <c r="V239" s="187">
        <v>433280000</v>
      </c>
      <c r="W239" s="186">
        <f t="shared" si="27"/>
        <v>8.6367686426690309</v>
      </c>
      <c r="X239" s="52">
        <v>5</v>
      </c>
      <c r="Y239" s="68" t="s">
        <v>4</v>
      </c>
    </row>
    <row r="240" spans="1:25" x14ac:dyDescent="0.35">
      <c r="A240" s="49">
        <v>0.51599281280936371</v>
      </c>
      <c r="B240" s="50" t="s">
        <v>59</v>
      </c>
      <c r="C240" s="50">
        <v>3.7095890410958905</v>
      </c>
      <c r="D240" s="50">
        <f t="shared" si="21"/>
        <v>0.56932579989265086</v>
      </c>
      <c r="E240" s="50">
        <v>0</v>
      </c>
      <c r="F240" s="50">
        <v>1.2304489213782739</v>
      </c>
      <c r="G240" s="50">
        <v>3.29</v>
      </c>
      <c r="H240" s="50">
        <f t="shared" si="22"/>
        <v>0.51719589794997434</v>
      </c>
      <c r="I240" s="50">
        <v>0</v>
      </c>
      <c r="J240" s="50">
        <v>0.14301480025409513</v>
      </c>
      <c r="K240" s="50">
        <v>36</v>
      </c>
      <c r="L240" s="50">
        <f t="shared" si="23"/>
        <v>1.5563025007672873</v>
      </c>
      <c r="M240" s="50">
        <v>0</v>
      </c>
      <c r="N240" s="50">
        <v>94.1</v>
      </c>
      <c r="O240" s="50">
        <f t="shared" si="24"/>
        <v>1.973589623427257</v>
      </c>
      <c r="P240" s="50">
        <v>32.200000000000003</v>
      </c>
      <c r="Q240" s="50">
        <f t="shared" si="25"/>
        <v>1.507855871695831</v>
      </c>
      <c r="R240" s="50">
        <v>43.9397801796012</v>
      </c>
      <c r="S240" s="50">
        <f t="shared" si="26"/>
        <v>1.6428578799166489</v>
      </c>
      <c r="T240" s="50">
        <v>3.1817251205543564</v>
      </c>
      <c r="U240" s="50">
        <v>3.9234321312589846</v>
      </c>
      <c r="V240" s="186">
        <v>438000000</v>
      </c>
      <c r="W240" s="186">
        <f t="shared" si="27"/>
        <v>8.6414741105040989</v>
      </c>
      <c r="X240" s="50">
        <v>4</v>
      </c>
      <c r="Y240" s="66" t="s">
        <v>59</v>
      </c>
    </row>
    <row r="241" spans="1:25" x14ac:dyDescent="0.35">
      <c r="A241" s="67">
        <v>0.5840226669961831</v>
      </c>
      <c r="B241" s="52" t="s">
        <v>163</v>
      </c>
      <c r="C241" s="52">
        <v>3.2301369863013698</v>
      </c>
      <c r="D241" s="50">
        <f t="shared" si="21"/>
        <v>0.50922094063861445</v>
      </c>
      <c r="E241" s="52">
        <v>3.7899753459779522</v>
      </c>
      <c r="F241" s="52">
        <v>1.414973347970818</v>
      </c>
      <c r="G241" s="52">
        <v>3.18</v>
      </c>
      <c r="H241" s="50">
        <f t="shared" si="22"/>
        <v>0.50242711998443268</v>
      </c>
      <c r="I241" s="52">
        <v>2.7670321178317625</v>
      </c>
      <c r="J241" s="52">
        <v>0.12385164096708581</v>
      </c>
      <c r="K241" s="52">
        <v>29</v>
      </c>
      <c r="L241" s="50">
        <f t="shared" si="23"/>
        <v>1.4623979978989561</v>
      </c>
      <c r="M241" s="52">
        <v>1</v>
      </c>
      <c r="N241" s="52">
        <v>79.900000000000006</v>
      </c>
      <c r="O241" s="50">
        <f t="shared" si="24"/>
        <v>1.9025467793139914</v>
      </c>
      <c r="P241" s="52">
        <v>45.4</v>
      </c>
      <c r="Q241" s="50">
        <f t="shared" si="25"/>
        <v>1.657055852857104</v>
      </c>
      <c r="R241" s="52">
        <v>57.213602417008403</v>
      </c>
      <c r="S241" s="50">
        <f t="shared" si="26"/>
        <v>1.7574992936942306</v>
      </c>
      <c r="T241" s="52">
        <v>3.3647319918335836</v>
      </c>
      <c r="U241" s="52">
        <v>3.568659604598353</v>
      </c>
      <c r="V241" s="187">
        <v>440000000</v>
      </c>
      <c r="W241" s="186">
        <f t="shared" si="27"/>
        <v>8.6434526764861879</v>
      </c>
      <c r="X241" s="52">
        <v>5</v>
      </c>
      <c r="Y241" s="68" t="s">
        <v>602</v>
      </c>
    </row>
    <row r="242" spans="1:25" x14ac:dyDescent="0.35">
      <c r="A242" s="49">
        <v>-1.153854187474864</v>
      </c>
      <c r="B242" s="50" t="s">
        <v>45</v>
      </c>
      <c r="C242" s="50">
        <v>1.4958904109589042</v>
      </c>
      <c r="D242" s="50">
        <f t="shared" si="21"/>
        <v>0.17489977824826256</v>
      </c>
      <c r="E242" s="50">
        <v>0</v>
      </c>
      <c r="F242" s="50">
        <v>1.1139433523068367</v>
      </c>
      <c r="G242" s="50">
        <v>2.95</v>
      </c>
      <c r="H242" s="50">
        <f t="shared" si="22"/>
        <v>0.46982201597816303</v>
      </c>
      <c r="I242" s="50">
        <v>0</v>
      </c>
      <c r="J242" s="50">
        <v>-0.14874165128092473</v>
      </c>
      <c r="K242" s="50">
        <v>16</v>
      </c>
      <c r="L242" s="50">
        <f t="shared" si="23"/>
        <v>1.2041199826559248</v>
      </c>
      <c r="M242" s="50">
        <v>0</v>
      </c>
      <c r="N242" s="50">
        <v>92.6</v>
      </c>
      <c r="O242" s="50">
        <f t="shared" si="24"/>
        <v>1.9666109866819343</v>
      </c>
      <c r="P242" s="50">
        <v>25.7</v>
      </c>
      <c r="Q242" s="50">
        <f t="shared" si="25"/>
        <v>1.4099331233312946</v>
      </c>
      <c r="R242" s="50">
        <v>39.823361151429197</v>
      </c>
      <c r="S242" s="50">
        <f t="shared" si="26"/>
        <v>1.6001379123442065</v>
      </c>
      <c r="T242" s="50">
        <v>3.1628767233771686</v>
      </c>
      <c r="U242" s="50">
        <v>3.6087947637270492</v>
      </c>
      <c r="V242" s="186">
        <v>441790000</v>
      </c>
      <c r="W242" s="186">
        <f t="shared" si="27"/>
        <v>8.6452158813091362</v>
      </c>
      <c r="X242" s="50">
        <v>5</v>
      </c>
      <c r="Y242" s="66" t="s">
        <v>602</v>
      </c>
    </row>
    <row r="243" spans="1:25" x14ac:dyDescent="0.35">
      <c r="A243" s="67">
        <v>0.27847943003314923</v>
      </c>
      <c r="B243" s="52" t="s">
        <v>59</v>
      </c>
      <c r="C243" s="52">
        <v>4.8356164383561646</v>
      </c>
      <c r="D243" s="50">
        <f t="shared" si="21"/>
        <v>0.68445184526736669</v>
      </c>
      <c r="E243" s="52">
        <v>0</v>
      </c>
      <c r="F243" s="52">
        <v>1.3802112417116059</v>
      </c>
      <c r="G243" s="52">
        <v>3.29</v>
      </c>
      <c r="H243" s="50">
        <f t="shared" si="22"/>
        <v>0.51719589794997434</v>
      </c>
      <c r="I243" s="52">
        <v>0</v>
      </c>
      <c r="J243" s="52">
        <v>-7.0581074285707285E-2</v>
      </c>
      <c r="K243" s="52">
        <v>12</v>
      </c>
      <c r="L243" s="50">
        <f t="shared" si="23"/>
        <v>1.0791812460476249</v>
      </c>
      <c r="M243" s="52">
        <v>0</v>
      </c>
      <c r="N243" s="52">
        <v>85</v>
      </c>
      <c r="O243" s="50">
        <f t="shared" si="24"/>
        <v>1.9294189257142926</v>
      </c>
      <c r="P243" s="52">
        <v>31.5</v>
      </c>
      <c r="Q243" s="50">
        <f t="shared" si="25"/>
        <v>1.4983105537896004</v>
      </c>
      <c r="R243" s="52">
        <v>35.516899069648296</v>
      </c>
      <c r="S243" s="50">
        <f t="shared" si="26"/>
        <v>1.5504350411232082</v>
      </c>
      <c r="T243" s="52">
        <v>3.2188268626467691</v>
      </c>
      <c r="U243" s="52">
        <v>3.7570580283396975</v>
      </c>
      <c r="V243" s="187">
        <v>442000000</v>
      </c>
      <c r="W243" s="186">
        <f t="shared" si="27"/>
        <v>8.6454222693490923</v>
      </c>
      <c r="X243" s="52">
        <v>4</v>
      </c>
      <c r="Y243" s="68" t="s">
        <v>577</v>
      </c>
    </row>
    <row r="244" spans="1:25" x14ac:dyDescent="0.35">
      <c r="A244" s="49">
        <v>0.29130505953668856</v>
      </c>
      <c r="B244" s="50" t="s">
        <v>163</v>
      </c>
      <c r="C244" s="50">
        <v>2.6739726027397261</v>
      </c>
      <c r="D244" s="50">
        <f t="shared" si="21"/>
        <v>0.42715695321021713</v>
      </c>
      <c r="E244" s="50">
        <v>3.7899753459779522</v>
      </c>
      <c r="F244" s="50">
        <v>0.6020599913279624</v>
      </c>
      <c r="G244" s="50">
        <v>3.18</v>
      </c>
      <c r="H244" s="50">
        <f t="shared" si="22"/>
        <v>0.50242711998443268</v>
      </c>
      <c r="I244" s="50">
        <v>2.7670321178317625</v>
      </c>
      <c r="J244" s="50">
        <v>0.10037054511756291</v>
      </c>
      <c r="K244" s="50">
        <v>20</v>
      </c>
      <c r="L244" s="50">
        <f t="shared" si="23"/>
        <v>1.3010299956639813</v>
      </c>
      <c r="M244" s="50">
        <v>1</v>
      </c>
      <c r="N244" s="50">
        <v>70</v>
      </c>
      <c r="O244" s="50">
        <f t="shared" si="24"/>
        <v>1.8450980400142569</v>
      </c>
      <c r="P244" s="50">
        <v>42.4</v>
      </c>
      <c r="Q244" s="50">
        <f t="shared" si="25"/>
        <v>1.6273658565927327</v>
      </c>
      <c r="R244" s="50">
        <v>52.984855215816303</v>
      </c>
      <c r="S244" s="50">
        <f t="shared" si="26"/>
        <v>1.7241517519382803</v>
      </c>
      <c r="T244" s="50">
        <v>3.0962405795987471</v>
      </c>
      <c r="U244" s="50">
        <v>3.4010931514437841</v>
      </c>
      <c r="V244" s="186">
        <v>442294000</v>
      </c>
      <c r="W244" s="186">
        <f t="shared" si="27"/>
        <v>8.6457110479281258</v>
      </c>
      <c r="X244" s="50">
        <v>4</v>
      </c>
      <c r="Y244" s="66" t="s">
        <v>45</v>
      </c>
    </row>
    <row r="245" spans="1:25" x14ac:dyDescent="0.35">
      <c r="A245" s="67">
        <v>0.17865726050515801</v>
      </c>
      <c r="B245" s="52" t="s">
        <v>45</v>
      </c>
      <c r="C245" s="52">
        <v>9.2739726027397253</v>
      </c>
      <c r="D245" s="50">
        <f t="shared" si="21"/>
        <v>0.96726580856468836</v>
      </c>
      <c r="E245" s="52">
        <v>0</v>
      </c>
      <c r="F245" s="52">
        <v>0.47712125471966244</v>
      </c>
      <c r="G245" s="52">
        <v>2.95</v>
      </c>
      <c r="H245" s="50">
        <f t="shared" si="22"/>
        <v>0.46982201597816303</v>
      </c>
      <c r="I245" s="52">
        <v>0</v>
      </c>
      <c r="J245" s="52">
        <v>-0.11350927482751812</v>
      </c>
      <c r="K245" s="52">
        <v>9</v>
      </c>
      <c r="L245" s="50">
        <f t="shared" si="23"/>
        <v>0.95424250943932487</v>
      </c>
      <c r="M245" s="52">
        <v>0</v>
      </c>
      <c r="N245" s="52">
        <v>85</v>
      </c>
      <c r="O245" s="50">
        <f t="shared" si="24"/>
        <v>1.9294189257142926</v>
      </c>
      <c r="P245" s="52">
        <v>27.8</v>
      </c>
      <c r="Q245" s="50">
        <f t="shared" si="25"/>
        <v>1.4440447959180762</v>
      </c>
      <c r="R245" s="52">
        <v>34.656907836978597</v>
      </c>
      <c r="S245" s="50">
        <f t="shared" si="26"/>
        <v>1.5397898114291337</v>
      </c>
      <c r="T245" s="52">
        <v>3.1814248062191788</v>
      </c>
      <c r="U245" s="52">
        <v>3.7294207535322617</v>
      </c>
      <c r="V245" s="187">
        <v>450000000</v>
      </c>
      <c r="W245" s="186">
        <f t="shared" si="27"/>
        <v>8.653212513775344</v>
      </c>
      <c r="X245" s="52">
        <v>1</v>
      </c>
      <c r="Y245" s="68" t="s">
        <v>45</v>
      </c>
    </row>
    <row r="246" spans="1:25" x14ac:dyDescent="0.35">
      <c r="A246" s="49">
        <v>0.20885920560465057</v>
      </c>
      <c r="B246" s="50" t="s">
        <v>1</v>
      </c>
      <c r="C246" s="50">
        <v>1.821917808219178</v>
      </c>
      <c r="D246" s="50">
        <f t="shared" si="21"/>
        <v>0.26052878084662989</v>
      </c>
      <c r="E246" s="50">
        <v>3.0625406208792199</v>
      </c>
      <c r="F246" s="50">
        <v>1.5797835966168101</v>
      </c>
      <c r="G246" s="50">
        <v>3.06</v>
      </c>
      <c r="H246" s="50">
        <f t="shared" si="22"/>
        <v>0.48572142648158001</v>
      </c>
      <c r="I246" s="50">
        <v>2.8714756364568856</v>
      </c>
      <c r="J246" s="50">
        <v>5.6904851336472641E-2</v>
      </c>
      <c r="K246" s="50">
        <v>26</v>
      </c>
      <c r="L246" s="50">
        <f t="shared" si="23"/>
        <v>1.414973347970818</v>
      </c>
      <c r="M246" s="50">
        <v>1</v>
      </c>
      <c r="N246" s="50">
        <v>91.4</v>
      </c>
      <c r="O246" s="50">
        <f t="shared" si="24"/>
        <v>1.9609461957338314</v>
      </c>
      <c r="P246" s="50">
        <v>42.8</v>
      </c>
      <c r="Q246" s="50">
        <f t="shared" si="25"/>
        <v>1.631443769013172</v>
      </c>
      <c r="R246" s="50">
        <v>40.8082924662531</v>
      </c>
      <c r="S246" s="50">
        <f t="shared" si="26"/>
        <v>1.6107484230506914</v>
      </c>
      <c r="T246" s="50">
        <v>3.2327651641054547</v>
      </c>
      <c r="U246" s="50">
        <v>3.9527244147731087</v>
      </c>
      <c r="V246" s="186">
        <v>450000000</v>
      </c>
      <c r="W246" s="186">
        <f t="shared" si="27"/>
        <v>8.653212513775344</v>
      </c>
      <c r="X246" s="50">
        <v>4</v>
      </c>
      <c r="Y246" s="66" t="s">
        <v>59</v>
      </c>
    </row>
    <row r="247" spans="1:25" x14ac:dyDescent="0.35">
      <c r="A247" s="67">
        <v>-2</v>
      </c>
      <c r="B247" s="52" t="s">
        <v>163</v>
      </c>
      <c r="C247" s="52">
        <v>4.183561643835616</v>
      </c>
      <c r="D247" s="50">
        <f t="shared" si="21"/>
        <v>0.62154617259994649</v>
      </c>
      <c r="E247" s="52">
        <v>2.5362300726332561</v>
      </c>
      <c r="F247" s="52">
        <v>1</v>
      </c>
      <c r="G247" s="52">
        <v>2.3199999999999998</v>
      </c>
      <c r="H247" s="50">
        <f t="shared" si="22"/>
        <v>0.36548798489089962</v>
      </c>
      <c r="I247" s="52">
        <v>2.756001823801419</v>
      </c>
      <c r="J247" s="52">
        <v>-6.5501548756432285E-2</v>
      </c>
      <c r="K247" s="52">
        <v>24</v>
      </c>
      <c r="L247" s="50">
        <f t="shared" si="23"/>
        <v>1.3802112417116059</v>
      </c>
      <c r="M247" s="52">
        <v>1</v>
      </c>
      <c r="N247" s="52">
        <v>70</v>
      </c>
      <c r="O247" s="50">
        <f t="shared" si="24"/>
        <v>1.8450980400142569</v>
      </c>
      <c r="P247" s="52">
        <v>42.9</v>
      </c>
      <c r="Q247" s="50">
        <f t="shared" si="25"/>
        <v>1.6324572921847242</v>
      </c>
      <c r="R247" s="52">
        <v>53.2941466273667</v>
      </c>
      <c r="S247" s="50">
        <f t="shared" si="26"/>
        <v>1.7266795124593939</v>
      </c>
      <c r="T247" s="52">
        <v>3.22246453795844</v>
      </c>
      <c r="U247" s="52">
        <v>3.7071267407396937</v>
      </c>
      <c r="V247" s="187">
        <v>450000000</v>
      </c>
      <c r="W247" s="186">
        <f t="shared" si="27"/>
        <v>8.653212513775344</v>
      </c>
      <c r="X247" s="52">
        <v>4</v>
      </c>
      <c r="Y247" s="68" t="s">
        <v>577</v>
      </c>
    </row>
    <row r="248" spans="1:25" x14ac:dyDescent="0.35">
      <c r="A248" s="49">
        <v>-2</v>
      </c>
      <c r="B248" s="50" t="s">
        <v>45</v>
      </c>
      <c r="C248" s="50">
        <v>4.1753424657534248</v>
      </c>
      <c r="D248" s="50">
        <f t="shared" si="21"/>
        <v>0.62069210254710705</v>
      </c>
      <c r="E248" s="50">
        <v>3.7358167906061537</v>
      </c>
      <c r="F248" s="50">
        <v>1.7160033436347992</v>
      </c>
      <c r="G248" s="50">
        <v>2.81</v>
      </c>
      <c r="H248" s="50">
        <f t="shared" si="22"/>
        <v>0.44870631990507992</v>
      </c>
      <c r="I248" s="50">
        <v>2.103233406386928</v>
      </c>
      <c r="J248" s="50">
        <v>-3.1517051446064911E-2</v>
      </c>
      <c r="K248" s="50">
        <v>4</v>
      </c>
      <c r="L248" s="50">
        <f t="shared" si="23"/>
        <v>0.6020599913279624</v>
      </c>
      <c r="M248" s="50">
        <v>1</v>
      </c>
      <c r="N248" s="50">
        <v>91.4</v>
      </c>
      <c r="O248" s="50">
        <f t="shared" si="24"/>
        <v>1.9609461957338314</v>
      </c>
      <c r="P248" s="50">
        <v>26.7</v>
      </c>
      <c r="Q248" s="50">
        <f t="shared" si="25"/>
        <v>1.4265112613645752</v>
      </c>
      <c r="R248" s="50">
        <v>37.425715444240403</v>
      </c>
      <c r="S248" s="50">
        <f t="shared" si="26"/>
        <v>1.5731701112332821</v>
      </c>
      <c r="T248" s="50">
        <v>3.3884049978579722</v>
      </c>
      <c r="U248" s="50">
        <v>3.8579486949156889</v>
      </c>
      <c r="V248" s="186">
        <v>450000000</v>
      </c>
      <c r="W248" s="186">
        <f t="shared" si="27"/>
        <v>8.653212513775344</v>
      </c>
      <c r="X248" s="50">
        <v>5</v>
      </c>
      <c r="Y248" s="66" t="s">
        <v>497</v>
      </c>
    </row>
    <row r="249" spans="1:25" x14ac:dyDescent="0.35">
      <c r="A249" s="67">
        <v>0.51766733770540363</v>
      </c>
      <c r="B249" s="52" t="s">
        <v>59</v>
      </c>
      <c r="C249" s="52">
        <v>1.8958904109589041</v>
      </c>
      <c r="D249" s="50">
        <f t="shared" si="21"/>
        <v>0.27781323000028307</v>
      </c>
      <c r="E249" s="52">
        <v>3.7707754512906644</v>
      </c>
      <c r="F249" s="52">
        <v>1.5563025007672873</v>
      </c>
      <c r="G249" s="52">
        <v>2.3199999999999998</v>
      </c>
      <c r="H249" s="50">
        <f t="shared" si="22"/>
        <v>0.36548798489089962</v>
      </c>
      <c r="I249" s="52">
        <v>2.1238516409670858</v>
      </c>
      <c r="J249" s="52">
        <v>0.12057393120584989</v>
      </c>
      <c r="K249" s="52">
        <v>35</v>
      </c>
      <c r="L249" s="50">
        <f t="shared" si="23"/>
        <v>1.5440680443502757</v>
      </c>
      <c r="M249" s="52">
        <v>1</v>
      </c>
      <c r="N249" s="52">
        <v>94.1</v>
      </c>
      <c r="O249" s="50">
        <f t="shared" si="24"/>
        <v>1.973589623427257</v>
      </c>
      <c r="P249" s="52">
        <v>32.200000000000003</v>
      </c>
      <c r="Q249" s="50">
        <f t="shared" si="25"/>
        <v>1.507855871695831</v>
      </c>
      <c r="R249" s="52">
        <v>43.9397801796012</v>
      </c>
      <c r="S249" s="50">
        <f t="shared" si="26"/>
        <v>1.6428578799166489</v>
      </c>
      <c r="T249" s="52">
        <v>3.3075667315086759</v>
      </c>
      <c r="U249" s="52">
        <v>3.8308810053047755</v>
      </c>
      <c r="V249" s="187">
        <v>450000000</v>
      </c>
      <c r="W249" s="186">
        <f t="shared" si="27"/>
        <v>8.653212513775344</v>
      </c>
      <c r="X249" s="52">
        <v>7</v>
      </c>
      <c r="Y249" s="68" t="s">
        <v>45</v>
      </c>
    </row>
    <row r="250" spans="1:25" x14ac:dyDescent="0.35">
      <c r="A250" s="49">
        <v>0.27056849090355672</v>
      </c>
      <c r="B250" s="50" t="s">
        <v>2</v>
      </c>
      <c r="C250" s="50">
        <v>8.7561643835616429</v>
      </c>
      <c r="D250" s="50">
        <f t="shared" si="21"/>
        <v>0.94231390618547906</v>
      </c>
      <c r="E250" s="50">
        <v>3.1189984043805832</v>
      </c>
      <c r="F250" s="50">
        <v>0.6020599913279624</v>
      </c>
      <c r="G250" s="50">
        <v>3.13</v>
      </c>
      <c r="H250" s="50">
        <f t="shared" si="22"/>
        <v>0.49554433754644844</v>
      </c>
      <c r="I250" s="50">
        <v>3.0711452904510828</v>
      </c>
      <c r="J250" s="50">
        <v>0.26717172840301384</v>
      </c>
      <c r="K250" s="50">
        <v>14</v>
      </c>
      <c r="L250" s="50">
        <f t="shared" si="23"/>
        <v>1.146128035678238</v>
      </c>
      <c r="M250" s="50">
        <v>1</v>
      </c>
      <c r="N250" s="50">
        <v>89.9</v>
      </c>
      <c r="O250" s="50">
        <f t="shared" si="24"/>
        <v>1.9537596917332287</v>
      </c>
      <c r="P250" s="50">
        <v>35.4</v>
      </c>
      <c r="Q250" s="50">
        <f t="shared" si="25"/>
        <v>1.5490032620257879</v>
      </c>
      <c r="R250" s="50">
        <v>43.572845019400901</v>
      </c>
      <c r="S250" s="50">
        <f t="shared" si="26"/>
        <v>1.6392159174268797</v>
      </c>
      <c r="T250" s="50">
        <v>3.1616209089088487</v>
      </c>
      <c r="U250" s="50">
        <v>3.7997633234477775</v>
      </c>
      <c r="V250" s="186">
        <v>455879890</v>
      </c>
      <c r="W250" s="186">
        <f t="shared" si="27"/>
        <v>8.658850434810736</v>
      </c>
      <c r="X250" s="50">
        <v>10</v>
      </c>
      <c r="Y250" s="66" t="s">
        <v>4</v>
      </c>
    </row>
    <row r="251" spans="1:25" x14ac:dyDescent="0.35">
      <c r="A251" s="67">
        <v>0.68459514823913259</v>
      </c>
      <c r="B251" s="52" t="s">
        <v>45</v>
      </c>
      <c r="C251" s="52">
        <v>8.2109589041095887</v>
      </c>
      <c r="D251" s="50">
        <f t="shared" si="21"/>
        <v>0.91439387848916998</v>
      </c>
      <c r="E251" s="52">
        <v>0</v>
      </c>
      <c r="F251" s="52">
        <v>0.84509804001425681</v>
      </c>
      <c r="G251" s="52">
        <v>2.95</v>
      </c>
      <c r="H251" s="50">
        <f t="shared" si="22"/>
        <v>0.46982201597816303</v>
      </c>
      <c r="I251" s="52">
        <v>0</v>
      </c>
      <c r="J251" s="52">
        <v>0.38738982633872943</v>
      </c>
      <c r="K251" s="52">
        <v>20</v>
      </c>
      <c r="L251" s="50">
        <f t="shared" si="23"/>
        <v>1.3010299956639813</v>
      </c>
      <c r="M251" s="52">
        <v>0</v>
      </c>
      <c r="N251" s="52">
        <v>91.3</v>
      </c>
      <c r="O251" s="50">
        <f t="shared" si="24"/>
        <v>1.9604707775342989</v>
      </c>
      <c r="P251" s="52">
        <v>23.5</v>
      </c>
      <c r="Q251" s="50">
        <f t="shared" si="25"/>
        <v>1.3710678622717363</v>
      </c>
      <c r="R251" s="52">
        <v>43.1672842383418</v>
      </c>
      <c r="S251" s="50">
        <f t="shared" si="26"/>
        <v>1.6351547269652249</v>
      </c>
      <c r="T251" s="52">
        <v>3.1814248062191788</v>
      </c>
      <c r="U251" s="52">
        <v>3.7294207535322617</v>
      </c>
      <c r="V251" s="187">
        <v>458198000</v>
      </c>
      <c r="W251" s="186">
        <f t="shared" si="27"/>
        <v>8.6610531891945843</v>
      </c>
      <c r="X251" s="52">
        <v>8</v>
      </c>
      <c r="Y251" s="68" t="s">
        <v>45</v>
      </c>
    </row>
    <row r="252" spans="1:25" x14ac:dyDescent="0.35">
      <c r="A252" s="49">
        <v>0.17197168911921767</v>
      </c>
      <c r="B252" s="50" t="s">
        <v>59</v>
      </c>
      <c r="C252" s="50">
        <v>3.7095890410958905</v>
      </c>
      <c r="D252" s="50">
        <f t="shared" si="21"/>
        <v>0.56932579989265086</v>
      </c>
      <c r="E252" s="50">
        <v>0</v>
      </c>
      <c r="F252" s="50">
        <v>1.146128035678238</v>
      </c>
      <c r="G252" s="50">
        <v>3.29</v>
      </c>
      <c r="H252" s="50">
        <f t="shared" si="22"/>
        <v>0.51719589794997434</v>
      </c>
      <c r="I252" s="50">
        <v>0</v>
      </c>
      <c r="J252" s="50">
        <v>0.22788670461367352</v>
      </c>
      <c r="K252" s="50">
        <v>30</v>
      </c>
      <c r="L252" s="50">
        <f t="shared" si="23"/>
        <v>1.4771212547196624</v>
      </c>
      <c r="M252" s="50">
        <v>0</v>
      </c>
      <c r="N252" s="50">
        <v>94.6</v>
      </c>
      <c r="O252" s="50">
        <f t="shared" si="24"/>
        <v>1.9758911364017928</v>
      </c>
      <c r="P252" s="50">
        <v>33.200000000000003</v>
      </c>
      <c r="Q252" s="50">
        <f t="shared" si="25"/>
        <v>1.5211380837040362</v>
      </c>
      <c r="R252" s="50">
        <v>45.921427555082097</v>
      </c>
      <c r="S252" s="50">
        <f t="shared" si="26"/>
        <v>1.6620153804713207</v>
      </c>
      <c r="T252" s="50">
        <v>3.2224645332922388</v>
      </c>
      <c r="U252" s="50">
        <v>3.707126713924402</v>
      </c>
      <c r="V252" s="186">
        <v>459000000</v>
      </c>
      <c r="W252" s="186">
        <f t="shared" si="27"/>
        <v>8.6618126855372619</v>
      </c>
      <c r="X252" s="50">
        <v>5</v>
      </c>
      <c r="Y252" s="66" t="s">
        <v>577</v>
      </c>
    </row>
    <row r="253" spans="1:25" x14ac:dyDescent="0.35">
      <c r="A253" s="67">
        <v>9.4324195066784917E-3</v>
      </c>
      <c r="B253" s="52" t="s">
        <v>434</v>
      </c>
      <c r="C253" s="52">
        <v>4.5315068493150683</v>
      </c>
      <c r="D253" s="50">
        <f t="shared" si="21"/>
        <v>0.65624264076005312</v>
      </c>
      <c r="E253" s="52">
        <v>3.8584156743566731</v>
      </c>
      <c r="F253" s="52">
        <v>1.3979400086720377</v>
      </c>
      <c r="G253" s="52">
        <v>2.66</v>
      </c>
      <c r="H253" s="50">
        <f t="shared" si="22"/>
        <v>0.42488163663106698</v>
      </c>
      <c r="I253" s="52">
        <v>2.8134697878296753</v>
      </c>
      <c r="J253" s="52">
        <v>0.24551266781414982</v>
      </c>
      <c r="K253" s="52">
        <v>2</v>
      </c>
      <c r="L253" s="50">
        <f t="shared" si="23"/>
        <v>0.3010299956639812</v>
      </c>
      <c r="M253" s="52">
        <v>1</v>
      </c>
      <c r="N253" s="52">
        <v>70</v>
      </c>
      <c r="O253" s="50">
        <f t="shared" si="24"/>
        <v>1.8450980400142569</v>
      </c>
      <c r="P253" s="52">
        <v>39.75</v>
      </c>
      <c r="Q253" s="50">
        <f t="shared" si="25"/>
        <v>1.599337132992489</v>
      </c>
      <c r="R253" s="52">
        <v>46.7864254430581</v>
      </c>
      <c r="S253" s="50">
        <f t="shared" si="26"/>
        <v>1.6701198656739731</v>
      </c>
      <c r="T253" s="52">
        <v>3.348721986001856</v>
      </c>
      <c r="U253" s="52">
        <v>3.7520876635386311</v>
      </c>
      <c r="V253" s="187">
        <v>460000000</v>
      </c>
      <c r="W253" s="186">
        <f t="shared" si="27"/>
        <v>8.6627578316815743</v>
      </c>
      <c r="X253" s="52">
        <v>5</v>
      </c>
      <c r="Y253" s="68" t="s">
        <v>45</v>
      </c>
    </row>
    <row r="254" spans="1:25" x14ac:dyDescent="0.35">
      <c r="A254" s="49">
        <v>0.23615101977723243</v>
      </c>
      <c r="B254" s="50" t="s">
        <v>163</v>
      </c>
      <c r="C254" s="50">
        <v>5.1424657534246574</v>
      </c>
      <c r="D254" s="50">
        <f t="shared" si="21"/>
        <v>0.71117140816487157</v>
      </c>
      <c r="E254" s="50">
        <v>2.5362300726332561</v>
      </c>
      <c r="F254" s="50">
        <v>1.5563025007672873</v>
      </c>
      <c r="G254" s="50">
        <v>2.3199999999999998</v>
      </c>
      <c r="H254" s="50">
        <f t="shared" si="22"/>
        <v>0.36548798489089962</v>
      </c>
      <c r="I254" s="50">
        <v>2.756001823801419</v>
      </c>
      <c r="J254" s="50">
        <v>-4.0958607678906384E-2</v>
      </c>
      <c r="K254" s="50">
        <v>23</v>
      </c>
      <c r="L254" s="50">
        <f t="shared" si="23"/>
        <v>1.3617278360175928</v>
      </c>
      <c r="M254" s="50">
        <v>1</v>
      </c>
      <c r="N254" s="50">
        <v>87.2</v>
      </c>
      <c r="O254" s="50">
        <f t="shared" si="24"/>
        <v>1.9405164849325673</v>
      </c>
      <c r="P254" s="50">
        <v>42.5</v>
      </c>
      <c r="Q254" s="50">
        <f t="shared" si="25"/>
        <v>1.6283889300503116</v>
      </c>
      <c r="R254" s="50">
        <v>52.565521078007201</v>
      </c>
      <c r="S254" s="50">
        <f t="shared" si="26"/>
        <v>1.7207009738992591</v>
      </c>
      <c r="T254" s="50">
        <v>3.2555397552391718</v>
      </c>
      <c r="U254" s="50">
        <v>3.9251377713585649</v>
      </c>
      <c r="V254" s="186">
        <v>464450000</v>
      </c>
      <c r="W254" s="186">
        <f t="shared" si="27"/>
        <v>8.6669389672147119</v>
      </c>
      <c r="X254" s="50">
        <v>7</v>
      </c>
      <c r="Y254" s="66" t="s">
        <v>59</v>
      </c>
    </row>
    <row r="255" spans="1:25" x14ac:dyDescent="0.35">
      <c r="A255" s="67">
        <v>0.17764508712430291</v>
      </c>
      <c r="B255" s="52" t="s">
        <v>45</v>
      </c>
      <c r="C255" s="52">
        <v>2.1232876712328768</v>
      </c>
      <c r="D255" s="50">
        <f t="shared" si="21"/>
        <v>0.3270088380498356</v>
      </c>
      <c r="E255" s="52">
        <v>0</v>
      </c>
      <c r="F255" s="52">
        <v>2.2504200023088941</v>
      </c>
      <c r="G255" s="52">
        <v>2.95</v>
      </c>
      <c r="H255" s="50">
        <f t="shared" si="22"/>
        <v>0.46982201597816303</v>
      </c>
      <c r="I255" s="52">
        <v>0</v>
      </c>
      <c r="J255" s="52">
        <v>0.15075643986030904</v>
      </c>
      <c r="K255" s="52">
        <v>8</v>
      </c>
      <c r="L255" s="50">
        <f t="shared" si="23"/>
        <v>0.90308998699194354</v>
      </c>
      <c r="M255" s="52">
        <v>0</v>
      </c>
      <c r="N255" s="52">
        <v>85</v>
      </c>
      <c r="O255" s="50">
        <f t="shared" si="24"/>
        <v>1.9294189257142926</v>
      </c>
      <c r="P255" s="52">
        <v>24.1</v>
      </c>
      <c r="Q255" s="50">
        <f t="shared" si="25"/>
        <v>1.3820170425748683</v>
      </c>
      <c r="R255" s="52">
        <v>36.728532427451597</v>
      </c>
      <c r="S255" s="50">
        <f t="shared" si="26"/>
        <v>1.5650035754622837</v>
      </c>
      <c r="T255" s="52">
        <v>3.0687415514991745</v>
      </c>
      <c r="U255" s="52">
        <v>3.5297005493117593</v>
      </c>
      <c r="V255" s="187">
        <v>465000000</v>
      </c>
      <c r="W255" s="186">
        <f t="shared" si="27"/>
        <v>8.6674529528899544</v>
      </c>
      <c r="X255" s="52">
        <v>5</v>
      </c>
      <c r="Y255" s="68" t="s">
        <v>45</v>
      </c>
    </row>
    <row r="256" spans="1:25" x14ac:dyDescent="0.35">
      <c r="A256" s="49">
        <v>0.4117282931576709</v>
      </c>
      <c r="B256" s="50" t="s">
        <v>4</v>
      </c>
      <c r="C256" s="50">
        <v>2.536986301369863</v>
      </c>
      <c r="D256" s="50">
        <f t="shared" si="21"/>
        <v>0.40431812222545965</v>
      </c>
      <c r="E256" s="50">
        <v>3.1566248585544785</v>
      </c>
      <c r="F256" s="50">
        <v>1.7993405494535817</v>
      </c>
      <c r="G256" s="50">
        <v>3.03</v>
      </c>
      <c r="H256" s="50">
        <f t="shared" si="22"/>
        <v>0.48144262850230496</v>
      </c>
      <c r="I256" s="50">
        <v>2.8438554226231609</v>
      </c>
      <c r="J256" s="50">
        <v>9.691001300805642E-2</v>
      </c>
      <c r="K256" s="50">
        <v>24</v>
      </c>
      <c r="L256" s="50">
        <f t="shared" si="23"/>
        <v>1.3802112417116059</v>
      </c>
      <c r="M256" s="50">
        <v>1</v>
      </c>
      <c r="N256" s="50">
        <v>70</v>
      </c>
      <c r="O256" s="50">
        <f t="shared" si="24"/>
        <v>1.8450980400142569</v>
      </c>
      <c r="P256" s="50">
        <v>45.7</v>
      </c>
      <c r="Q256" s="50">
        <f t="shared" si="25"/>
        <v>1.6599162000698502</v>
      </c>
      <c r="R256" s="50">
        <v>52.379377176281302</v>
      </c>
      <c r="S256" s="50">
        <f t="shared" si="26"/>
        <v>1.7191603300855409</v>
      </c>
      <c r="T256" s="50">
        <v>3.2327651641054547</v>
      </c>
      <c r="U256" s="50">
        <v>3.9527244147731087</v>
      </c>
      <c r="V256" s="186">
        <v>465000000</v>
      </c>
      <c r="W256" s="186">
        <f t="shared" si="27"/>
        <v>8.6674529528899544</v>
      </c>
      <c r="X256" s="50">
        <v>5</v>
      </c>
      <c r="Y256" s="66" t="s">
        <v>59</v>
      </c>
    </row>
    <row r="257" spans="1:25" x14ac:dyDescent="0.35">
      <c r="A257" s="67">
        <v>0.21655218236315188</v>
      </c>
      <c r="B257" s="52" t="s">
        <v>45</v>
      </c>
      <c r="C257" s="52">
        <v>2.2082191780821918</v>
      </c>
      <c r="D257" s="50">
        <f t="shared" si="21"/>
        <v>0.34404217734861592</v>
      </c>
      <c r="E257" s="52">
        <v>0</v>
      </c>
      <c r="F257" s="52">
        <v>1.4913616938342726</v>
      </c>
      <c r="G257" s="52">
        <v>2.95</v>
      </c>
      <c r="H257" s="50">
        <f t="shared" si="22"/>
        <v>0.46982201597816303</v>
      </c>
      <c r="I257" s="52">
        <v>0</v>
      </c>
      <c r="J257" s="52">
        <v>7.1882007306125359E-2</v>
      </c>
      <c r="K257" s="52">
        <v>19</v>
      </c>
      <c r="L257" s="50">
        <f t="shared" si="23"/>
        <v>1.2787536009528289</v>
      </c>
      <c r="M257" s="52">
        <v>0</v>
      </c>
      <c r="N257" s="52">
        <v>91.9</v>
      </c>
      <c r="O257" s="50">
        <f t="shared" si="24"/>
        <v>1.9633155113861114</v>
      </c>
      <c r="P257" s="52">
        <v>23</v>
      </c>
      <c r="Q257" s="50">
        <f t="shared" si="25"/>
        <v>1.3617278360175928</v>
      </c>
      <c r="R257" s="52">
        <v>43.262530407091703</v>
      </c>
      <c r="S257" s="50">
        <f t="shared" si="26"/>
        <v>1.636111917546391</v>
      </c>
      <c r="T257" s="52">
        <v>3.1814248062191788</v>
      </c>
      <c r="U257" s="52">
        <v>3.7294207535322617</v>
      </c>
      <c r="V257" s="187">
        <v>468580000</v>
      </c>
      <c r="W257" s="186">
        <f t="shared" si="27"/>
        <v>8.6707837480360155</v>
      </c>
      <c r="X257" s="52">
        <v>3</v>
      </c>
      <c r="Y257" s="68" t="s">
        <v>45</v>
      </c>
    </row>
    <row r="258" spans="1:25" x14ac:dyDescent="0.35">
      <c r="A258" s="49">
        <v>-0.67669360962486658</v>
      </c>
      <c r="B258" s="50" t="s">
        <v>45</v>
      </c>
      <c r="C258" s="50">
        <v>5.8191780821917805</v>
      </c>
      <c r="D258" s="50">
        <f t="shared" si="21"/>
        <v>0.76486164795295675</v>
      </c>
      <c r="E258" s="50">
        <v>0</v>
      </c>
      <c r="F258" s="50">
        <v>1.0791812460476249</v>
      </c>
      <c r="G258" s="50">
        <v>2.95</v>
      </c>
      <c r="H258" s="50">
        <f t="shared" si="22"/>
        <v>0.46982201597816303</v>
      </c>
      <c r="I258" s="50">
        <v>0</v>
      </c>
      <c r="J258" s="50">
        <v>-8.7739243075051505E-3</v>
      </c>
      <c r="K258" s="50">
        <v>20</v>
      </c>
      <c r="L258" s="50">
        <f t="shared" si="23"/>
        <v>1.3010299956639813</v>
      </c>
      <c r="M258" s="50">
        <v>0</v>
      </c>
      <c r="N258" s="50">
        <v>91.4</v>
      </c>
      <c r="O258" s="50">
        <f t="shared" si="24"/>
        <v>1.9609461957338314</v>
      </c>
      <c r="P258" s="50">
        <v>26.7</v>
      </c>
      <c r="Q258" s="50">
        <f t="shared" si="25"/>
        <v>1.4265112613645752</v>
      </c>
      <c r="R258" s="50">
        <v>37.425715444240403</v>
      </c>
      <c r="S258" s="50">
        <f t="shared" si="26"/>
        <v>1.5731701112332821</v>
      </c>
      <c r="T258" s="50">
        <v>3.0958500844125241</v>
      </c>
      <c r="U258" s="50">
        <v>3.5078178355445662</v>
      </c>
      <c r="V258" s="186">
        <v>475000000</v>
      </c>
      <c r="W258" s="186">
        <f t="shared" si="27"/>
        <v>8.6766936096248664</v>
      </c>
      <c r="X258" s="50">
        <v>7</v>
      </c>
      <c r="Y258" s="66" t="s">
        <v>45</v>
      </c>
    </row>
    <row r="259" spans="1:25" x14ac:dyDescent="0.35">
      <c r="A259" s="67">
        <v>9.691001300805642E-2</v>
      </c>
      <c r="B259" s="52" t="s">
        <v>45</v>
      </c>
      <c r="C259" s="52">
        <v>6.624657534246575</v>
      </c>
      <c r="D259" s="50">
        <f t="shared" ref="D259:D322" si="28">LOG(C259)</f>
        <v>0.82116343206827835</v>
      </c>
      <c r="E259" s="52">
        <v>0</v>
      </c>
      <c r="F259" s="52">
        <v>1.0413926851582251</v>
      </c>
      <c r="G259" s="52">
        <v>2.95</v>
      </c>
      <c r="H259" s="50">
        <f t="shared" ref="H259:H322" si="29">LOG(G259)</f>
        <v>0.46982201597816303</v>
      </c>
      <c r="I259" s="52">
        <v>0</v>
      </c>
      <c r="J259" s="52">
        <v>0.24303804868629444</v>
      </c>
      <c r="K259" s="52">
        <v>16</v>
      </c>
      <c r="L259" s="50">
        <f t="shared" ref="L259:L322" si="30">IF(K259=0,0,LOG(K259))</f>
        <v>1.2041199826559248</v>
      </c>
      <c r="M259" s="52">
        <v>0</v>
      </c>
      <c r="N259" s="52">
        <v>92.6</v>
      </c>
      <c r="O259" s="50">
        <f t="shared" ref="O259:O322" si="31">LOG(N259)</f>
        <v>1.9666109866819343</v>
      </c>
      <c r="P259" s="52">
        <v>25.7</v>
      </c>
      <c r="Q259" s="50">
        <f t="shared" ref="Q259:Q322" si="32">LOG(P259)</f>
        <v>1.4099331233312946</v>
      </c>
      <c r="R259" s="52">
        <v>39.823361151429197</v>
      </c>
      <c r="S259" s="50">
        <f t="shared" ref="S259:S322" si="33">LOG(R259)</f>
        <v>1.6001379123442065</v>
      </c>
      <c r="T259" s="52">
        <v>3.1628767233771686</v>
      </c>
      <c r="U259" s="52">
        <v>3.6087947637270492</v>
      </c>
      <c r="V259" s="187">
        <v>480000000</v>
      </c>
      <c r="W259" s="186">
        <f t="shared" ref="W259:W322" si="34">LOG(V259)</f>
        <v>8.6812412373755876</v>
      </c>
      <c r="X259" s="52">
        <v>4</v>
      </c>
      <c r="Y259" s="68" t="s">
        <v>602</v>
      </c>
    </row>
    <row r="260" spans="1:25" x14ac:dyDescent="0.35">
      <c r="A260" s="49">
        <v>0.21188535268817776</v>
      </c>
      <c r="B260" s="50" t="s">
        <v>163</v>
      </c>
      <c r="C260" s="50">
        <v>5.3780821917808215</v>
      </c>
      <c r="D260" s="50">
        <f t="shared" si="28"/>
        <v>0.73062743514353146</v>
      </c>
      <c r="E260" s="50">
        <v>3.7899753459779522</v>
      </c>
      <c r="F260" s="50">
        <v>1.3222192947339193</v>
      </c>
      <c r="G260" s="50">
        <v>3.18</v>
      </c>
      <c r="H260" s="50">
        <f t="shared" si="29"/>
        <v>0.50242711998443268</v>
      </c>
      <c r="I260" s="50">
        <v>2.7670321178317625</v>
      </c>
      <c r="J260" s="50">
        <v>0.26717172840301384</v>
      </c>
      <c r="K260" s="50">
        <v>23</v>
      </c>
      <c r="L260" s="50">
        <f t="shared" si="30"/>
        <v>1.3617278360175928</v>
      </c>
      <c r="M260" s="50">
        <v>1</v>
      </c>
      <c r="N260" s="50">
        <v>86.3</v>
      </c>
      <c r="O260" s="50">
        <f t="shared" si="31"/>
        <v>1.9360107957152095</v>
      </c>
      <c r="P260" s="50">
        <v>42.1</v>
      </c>
      <c r="Q260" s="50">
        <f t="shared" si="32"/>
        <v>1.6242820958356683</v>
      </c>
      <c r="R260" s="50">
        <v>56.8818351627258</v>
      </c>
      <c r="S260" s="50">
        <f t="shared" si="33"/>
        <v>1.7549735994690439</v>
      </c>
      <c r="T260" s="50">
        <v>3.0958500844125241</v>
      </c>
      <c r="U260" s="50">
        <v>3.5078178355445662</v>
      </c>
      <c r="V260" s="186">
        <v>485000000</v>
      </c>
      <c r="W260" s="186">
        <f t="shared" si="34"/>
        <v>8.685741738602264</v>
      </c>
      <c r="X260" s="50">
        <v>5</v>
      </c>
      <c r="Y260" s="66" t="s">
        <v>45</v>
      </c>
    </row>
    <row r="261" spans="1:25" x14ac:dyDescent="0.35">
      <c r="A261" s="67">
        <v>0.60939357636285729</v>
      </c>
      <c r="B261" s="52" t="s">
        <v>2</v>
      </c>
      <c r="C261" s="52">
        <v>5.7534246575342465</v>
      </c>
      <c r="D261" s="50">
        <f t="shared" si="28"/>
        <v>0.75992643027744455</v>
      </c>
      <c r="E261" s="52">
        <v>2.9629325585580042</v>
      </c>
      <c r="F261" s="52">
        <v>1.0791812460476249</v>
      </c>
      <c r="G261" s="52">
        <v>2.62</v>
      </c>
      <c r="H261" s="50">
        <f t="shared" si="29"/>
        <v>0.41830129131974547</v>
      </c>
      <c r="I261" s="52">
        <v>2.9323046139517812</v>
      </c>
      <c r="J261" s="52">
        <v>0.2380461031287954</v>
      </c>
      <c r="K261" s="52">
        <v>23</v>
      </c>
      <c r="L261" s="50">
        <f t="shared" si="30"/>
        <v>1.3617278360175928</v>
      </c>
      <c r="M261" s="52">
        <v>1</v>
      </c>
      <c r="N261" s="52">
        <v>90.3</v>
      </c>
      <c r="O261" s="50">
        <f t="shared" si="31"/>
        <v>1.9556877503135057</v>
      </c>
      <c r="P261" s="52">
        <v>36.1</v>
      </c>
      <c r="Q261" s="50">
        <f t="shared" si="32"/>
        <v>1.5575072019056579</v>
      </c>
      <c r="R261" s="52">
        <v>47.576210837790804</v>
      </c>
      <c r="S261" s="50">
        <f t="shared" si="33"/>
        <v>1.6773898501062838</v>
      </c>
      <c r="T261" s="52">
        <v>3.2188271541979425</v>
      </c>
      <c r="U261" s="52">
        <v>3.7570584504768405</v>
      </c>
      <c r="V261" s="187">
        <v>494351317</v>
      </c>
      <c r="W261" s="186">
        <f t="shared" si="34"/>
        <v>8.6940356954964511</v>
      </c>
      <c r="X261" s="52">
        <v>2</v>
      </c>
      <c r="Y261" s="68" t="s">
        <v>577</v>
      </c>
    </row>
    <row r="262" spans="1:25" x14ac:dyDescent="0.35">
      <c r="A262" s="49">
        <v>0.56946234932479256</v>
      </c>
      <c r="B262" s="50" t="s">
        <v>4</v>
      </c>
      <c r="C262" s="50">
        <v>5.6520547945205477</v>
      </c>
      <c r="D262" s="50">
        <f t="shared" si="28"/>
        <v>0.7522063635166768</v>
      </c>
      <c r="E262" s="50">
        <v>3.8219626565950726</v>
      </c>
      <c r="F262" s="50">
        <v>1.3802112417116059</v>
      </c>
      <c r="G262" s="50">
        <v>3.03</v>
      </c>
      <c r="H262" s="50">
        <f t="shared" si="29"/>
        <v>0.48144262850230496</v>
      </c>
      <c r="I262" s="50">
        <v>2.9079485216122722</v>
      </c>
      <c r="J262" s="50">
        <v>-4.0958607678906384E-2</v>
      </c>
      <c r="K262" s="50">
        <v>19</v>
      </c>
      <c r="L262" s="50">
        <f t="shared" si="30"/>
        <v>1.2787536009528289</v>
      </c>
      <c r="M262" s="50">
        <v>1</v>
      </c>
      <c r="N262" s="50">
        <v>96.1</v>
      </c>
      <c r="O262" s="50">
        <f t="shared" si="31"/>
        <v>1.9827233876685453</v>
      </c>
      <c r="P262" s="50">
        <v>46</v>
      </c>
      <c r="Q262" s="50">
        <f t="shared" si="32"/>
        <v>1.6627578316815741</v>
      </c>
      <c r="R262" s="50">
        <v>50.974560675820896</v>
      </c>
      <c r="S262" s="50">
        <f t="shared" si="33"/>
        <v>1.7073534914999287</v>
      </c>
      <c r="T262" s="50">
        <v>3.0958500844125241</v>
      </c>
      <c r="U262" s="50">
        <v>3.5078178355445662</v>
      </c>
      <c r="V262" s="186">
        <v>498259398</v>
      </c>
      <c r="W262" s="186">
        <f t="shared" si="34"/>
        <v>8.6974554989651978</v>
      </c>
      <c r="X262" s="50">
        <v>4</v>
      </c>
      <c r="Y262" s="66" t="s">
        <v>602</v>
      </c>
    </row>
    <row r="263" spans="1:25" x14ac:dyDescent="0.35">
      <c r="A263" s="67">
        <v>0.46239799789895608</v>
      </c>
      <c r="B263" s="52" t="s">
        <v>2</v>
      </c>
      <c r="C263" s="52">
        <v>3.7095890410958905</v>
      </c>
      <c r="D263" s="50">
        <f t="shared" si="28"/>
        <v>0.56932579989265086</v>
      </c>
      <c r="E263" s="52">
        <v>3.8335760926148099</v>
      </c>
      <c r="F263" s="52">
        <v>2.0492180226701815</v>
      </c>
      <c r="G263" s="52">
        <v>2.85</v>
      </c>
      <c r="H263" s="50">
        <f t="shared" si="29"/>
        <v>0.45484486000851021</v>
      </c>
      <c r="I263" s="52">
        <v>2.9138138523837167</v>
      </c>
      <c r="J263" s="52">
        <v>0.17897694729316943</v>
      </c>
      <c r="K263" s="52">
        <v>18</v>
      </c>
      <c r="L263" s="50">
        <f t="shared" si="30"/>
        <v>1.255272505103306</v>
      </c>
      <c r="M263" s="52">
        <v>1</v>
      </c>
      <c r="N263" s="52">
        <v>70</v>
      </c>
      <c r="O263" s="50">
        <f t="shared" si="31"/>
        <v>1.8450980400142569</v>
      </c>
      <c r="P263" s="52">
        <v>34.6</v>
      </c>
      <c r="Q263" s="50">
        <f t="shared" si="32"/>
        <v>1.5390760987927767</v>
      </c>
      <c r="R263" s="52">
        <v>47.8156192569637</v>
      </c>
      <c r="S263" s="50">
        <f t="shared" si="33"/>
        <v>1.6795697846681461</v>
      </c>
      <c r="T263" s="52">
        <v>3.3647319918335836</v>
      </c>
      <c r="U263" s="52">
        <v>3.568659604598353</v>
      </c>
      <c r="V263" s="187">
        <v>500000000</v>
      </c>
      <c r="W263" s="186">
        <f t="shared" si="34"/>
        <v>8.6989700043360187</v>
      </c>
      <c r="X263" s="52">
        <v>1</v>
      </c>
      <c r="Y263" s="68" t="s">
        <v>45</v>
      </c>
    </row>
    <row r="264" spans="1:25" x14ac:dyDescent="0.35">
      <c r="A264" s="49">
        <v>0.5979434085885782</v>
      </c>
      <c r="B264" s="50" t="s">
        <v>45</v>
      </c>
      <c r="C264" s="50">
        <v>3.3397260273972602</v>
      </c>
      <c r="D264" s="50">
        <f t="shared" si="28"/>
        <v>0.52371084116190725</v>
      </c>
      <c r="E264" s="50">
        <v>0</v>
      </c>
      <c r="F264" s="50">
        <v>0.95424250943932487</v>
      </c>
      <c r="G264" s="50">
        <v>2.95</v>
      </c>
      <c r="H264" s="50">
        <f t="shared" si="29"/>
        <v>0.46982201597816303</v>
      </c>
      <c r="I264" s="50">
        <v>0</v>
      </c>
      <c r="J264" s="50">
        <v>0.33645973384852951</v>
      </c>
      <c r="K264" s="50">
        <v>19</v>
      </c>
      <c r="L264" s="50">
        <f t="shared" si="30"/>
        <v>1.2787536009528289</v>
      </c>
      <c r="M264" s="50">
        <v>0</v>
      </c>
      <c r="N264" s="50">
        <v>85</v>
      </c>
      <c r="O264" s="50">
        <f t="shared" si="31"/>
        <v>1.9294189257142926</v>
      </c>
      <c r="P264" s="50">
        <v>26.5</v>
      </c>
      <c r="Q264" s="50">
        <f t="shared" si="32"/>
        <v>1.4232458739368079</v>
      </c>
      <c r="R264" s="50">
        <v>37.808596853116498</v>
      </c>
      <c r="S264" s="50">
        <f t="shared" si="33"/>
        <v>1.577590560190987</v>
      </c>
      <c r="T264" s="50">
        <v>3.0687415514991745</v>
      </c>
      <c r="U264" s="50">
        <v>3.5297005493117593</v>
      </c>
      <c r="V264" s="186">
        <v>500000000</v>
      </c>
      <c r="W264" s="186">
        <f t="shared" si="34"/>
        <v>8.6989700043360187</v>
      </c>
      <c r="X264" s="50">
        <v>9</v>
      </c>
      <c r="Y264" s="66" t="s">
        <v>45</v>
      </c>
    </row>
    <row r="265" spans="1:25" x14ac:dyDescent="0.35">
      <c r="A265" s="67">
        <v>-0.69897000433601886</v>
      </c>
      <c r="B265" s="52" t="s">
        <v>5</v>
      </c>
      <c r="C265" s="52">
        <v>3.0657534246575344</v>
      </c>
      <c r="D265" s="50">
        <f t="shared" si="28"/>
        <v>0.48653722207187539</v>
      </c>
      <c r="E265" s="52">
        <v>3.7916829312790057</v>
      </c>
      <c r="F265" s="52">
        <v>1.7160033436347992</v>
      </c>
      <c r="G265" s="52">
        <v>2.72</v>
      </c>
      <c r="H265" s="50">
        <f t="shared" si="29"/>
        <v>0.43456890403419873</v>
      </c>
      <c r="I265" s="52">
        <v>3.0355631414974997</v>
      </c>
      <c r="J265" s="52">
        <v>0.11727129565576427</v>
      </c>
      <c r="K265" s="52">
        <v>31</v>
      </c>
      <c r="L265" s="50">
        <f t="shared" si="30"/>
        <v>1.4913616938342726</v>
      </c>
      <c r="M265" s="52">
        <v>1</v>
      </c>
      <c r="N265" s="52">
        <v>84.3</v>
      </c>
      <c r="O265" s="50">
        <f t="shared" si="31"/>
        <v>1.9258275746247424</v>
      </c>
      <c r="P265" s="52">
        <v>37</v>
      </c>
      <c r="Q265" s="50">
        <f t="shared" si="32"/>
        <v>1.568201724066995</v>
      </c>
      <c r="R265" s="52">
        <v>44.611946528156203</v>
      </c>
      <c r="S265" s="50">
        <f t="shared" si="33"/>
        <v>1.6494511729836956</v>
      </c>
      <c r="T265" s="52">
        <v>3.0962405795987471</v>
      </c>
      <c r="U265" s="52">
        <v>3.4010931514437841</v>
      </c>
      <c r="V265" s="187">
        <v>500000000</v>
      </c>
      <c r="W265" s="186">
        <f t="shared" si="34"/>
        <v>8.6989700043360187</v>
      </c>
      <c r="X265" s="52">
        <v>1</v>
      </c>
      <c r="Y265" s="68" t="s">
        <v>45</v>
      </c>
    </row>
    <row r="266" spans="1:25" x14ac:dyDescent="0.35">
      <c r="A266" s="49">
        <v>0.28103336724772754</v>
      </c>
      <c r="B266" s="50" t="s">
        <v>2</v>
      </c>
      <c r="C266" s="50">
        <v>1.9150684931506849</v>
      </c>
      <c r="D266" s="50">
        <f t="shared" si="28"/>
        <v>0.28218431128920668</v>
      </c>
      <c r="E266" s="50">
        <v>2.9629325585580042</v>
      </c>
      <c r="F266" s="50">
        <v>1.146128035678238</v>
      </c>
      <c r="G266" s="50">
        <v>2.62</v>
      </c>
      <c r="H266" s="50">
        <f t="shared" si="29"/>
        <v>0.41830129131974547</v>
      </c>
      <c r="I266" s="50">
        <v>2.9323046139517812</v>
      </c>
      <c r="J266" s="50">
        <v>5.3078443483419682E-2</v>
      </c>
      <c r="K266" s="50">
        <v>79</v>
      </c>
      <c r="L266" s="50">
        <f t="shared" si="30"/>
        <v>1.8976270912904414</v>
      </c>
      <c r="M266" s="50">
        <v>1</v>
      </c>
      <c r="N266" s="50">
        <v>92.1</v>
      </c>
      <c r="O266" s="50">
        <f t="shared" si="31"/>
        <v>1.9642596301968489</v>
      </c>
      <c r="P266" s="50">
        <v>36.799999999999997</v>
      </c>
      <c r="Q266" s="50">
        <f t="shared" si="32"/>
        <v>1.5658478186735176</v>
      </c>
      <c r="R266" s="50">
        <v>44.688349184782602</v>
      </c>
      <c r="S266" s="50">
        <f t="shared" si="33"/>
        <v>1.6501943118503011</v>
      </c>
      <c r="T266" s="50">
        <v>3.3314213062933389</v>
      </c>
      <c r="U266" s="50">
        <v>3.884802064783424</v>
      </c>
      <c r="V266" s="186">
        <v>500000000</v>
      </c>
      <c r="W266" s="186">
        <f t="shared" si="34"/>
        <v>8.6989700043360187</v>
      </c>
      <c r="X266" s="50">
        <v>8</v>
      </c>
      <c r="Y266" s="66" t="s">
        <v>59</v>
      </c>
    </row>
    <row r="267" spans="1:25" x14ac:dyDescent="0.35">
      <c r="A267" s="67">
        <v>-0.11350927482751812</v>
      </c>
      <c r="B267" s="52" t="s">
        <v>163</v>
      </c>
      <c r="C267" s="52">
        <v>7.8630136986301373</v>
      </c>
      <c r="D267" s="50">
        <f t="shared" si="28"/>
        <v>0.89558903227751763</v>
      </c>
      <c r="E267" s="52">
        <v>2.5362300726332561</v>
      </c>
      <c r="F267" s="52">
        <v>1.3424226808222062</v>
      </c>
      <c r="G267" s="52">
        <v>2.3199999999999998</v>
      </c>
      <c r="H267" s="50">
        <f t="shared" si="29"/>
        <v>0.36548798489089962</v>
      </c>
      <c r="I267" s="52">
        <v>2.756001823801419</v>
      </c>
      <c r="J267" s="52">
        <v>0.13987908640123647</v>
      </c>
      <c r="K267" s="52">
        <v>71</v>
      </c>
      <c r="L267" s="50">
        <f t="shared" si="30"/>
        <v>1.8512583487190752</v>
      </c>
      <c r="M267" s="52">
        <v>1</v>
      </c>
      <c r="N267" s="52">
        <v>70</v>
      </c>
      <c r="O267" s="50">
        <f t="shared" si="31"/>
        <v>1.8450980400142569</v>
      </c>
      <c r="P267" s="52">
        <v>42.9</v>
      </c>
      <c r="Q267" s="50">
        <f t="shared" si="32"/>
        <v>1.6324572921847242</v>
      </c>
      <c r="R267" s="52">
        <v>53.2941466273667</v>
      </c>
      <c r="S267" s="50">
        <f t="shared" si="33"/>
        <v>1.7266795124593939</v>
      </c>
      <c r="T267" s="52">
        <v>3.3314213062933389</v>
      </c>
      <c r="U267" s="52">
        <v>3.884802064783424</v>
      </c>
      <c r="V267" s="187">
        <v>500000000</v>
      </c>
      <c r="W267" s="186">
        <f t="shared" si="34"/>
        <v>8.6989700043360187</v>
      </c>
      <c r="X267" s="52">
        <v>5</v>
      </c>
      <c r="Y267" s="68" t="s">
        <v>59</v>
      </c>
    </row>
    <row r="268" spans="1:25" x14ac:dyDescent="0.35">
      <c r="A268" s="49">
        <v>0.46239799789895608</v>
      </c>
      <c r="B268" s="50" t="s">
        <v>2</v>
      </c>
      <c r="C268" s="50">
        <v>3.3561643835616439</v>
      </c>
      <c r="D268" s="50">
        <f t="shared" si="28"/>
        <v>0.52584322424407659</v>
      </c>
      <c r="E268" s="50">
        <v>3.8335760926148099</v>
      </c>
      <c r="F268" s="50">
        <v>2.0530784434834195</v>
      </c>
      <c r="G268" s="50">
        <v>2.85</v>
      </c>
      <c r="H268" s="50">
        <f t="shared" si="29"/>
        <v>0.45484486000851021</v>
      </c>
      <c r="I268" s="50">
        <v>2.9138138523837167</v>
      </c>
      <c r="J268" s="50">
        <v>0.12710479836480765</v>
      </c>
      <c r="K268" s="50">
        <v>19</v>
      </c>
      <c r="L268" s="50">
        <f t="shared" si="30"/>
        <v>1.2787536009528289</v>
      </c>
      <c r="M268" s="50">
        <v>1</v>
      </c>
      <c r="N268" s="50">
        <v>70</v>
      </c>
      <c r="O268" s="50">
        <f t="shared" si="31"/>
        <v>1.8450980400142569</v>
      </c>
      <c r="P268" s="50">
        <v>33.9</v>
      </c>
      <c r="Q268" s="50">
        <f t="shared" si="32"/>
        <v>1.5301996982030821</v>
      </c>
      <c r="R268" s="50">
        <v>46.312020505412598</v>
      </c>
      <c r="S268" s="50">
        <f t="shared" si="33"/>
        <v>1.6656937288498501</v>
      </c>
      <c r="T268" s="50">
        <v>3.3647319918335836</v>
      </c>
      <c r="U268" s="50">
        <v>3.568659604598353</v>
      </c>
      <c r="V268" s="186">
        <v>500000000</v>
      </c>
      <c r="W268" s="186">
        <f t="shared" si="34"/>
        <v>8.6989700043360187</v>
      </c>
      <c r="X268" s="50">
        <v>8</v>
      </c>
      <c r="Y268" s="66" t="s">
        <v>602</v>
      </c>
    </row>
    <row r="269" spans="1:25" x14ac:dyDescent="0.35">
      <c r="A269" s="67">
        <v>0.47712125471966244</v>
      </c>
      <c r="B269" s="52" t="s">
        <v>45</v>
      </c>
      <c r="C269" s="52">
        <v>4.0849315068493155</v>
      </c>
      <c r="D269" s="50">
        <f t="shared" si="28"/>
        <v>0.61118477899651991</v>
      </c>
      <c r="E269" s="52">
        <v>3.7707754512906644</v>
      </c>
      <c r="F269" s="52">
        <v>1.0791812460476249</v>
      </c>
      <c r="G269" s="52">
        <v>2.3199999999999998</v>
      </c>
      <c r="H269" s="50">
        <f t="shared" si="29"/>
        <v>0.36548798489089962</v>
      </c>
      <c r="I269" s="52">
        <v>2.1238516409670858</v>
      </c>
      <c r="J269" s="52">
        <v>0.19865708695442263</v>
      </c>
      <c r="K269" s="52">
        <v>27</v>
      </c>
      <c r="L269" s="50">
        <f t="shared" si="30"/>
        <v>1.4313637641589874</v>
      </c>
      <c r="M269" s="52">
        <v>1</v>
      </c>
      <c r="N269" s="52">
        <v>91.1</v>
      </c>
      <c r="O269" s="50">
        <f t="shared" si="31"/>
        <v>1.9595183769729982</v>
      </c>
      <c r="P269" s="52">
        <v>24.1</v>
      </c>
      <c r="Q269" s="50">
        <f t="shared" si="32"/>
        <v>1.3820170425748683</v>
      </c>
      <c r="R269" s="52">
        <v>40.229046020662899</v>
      </c>
      <c r="S269" s="50">
        <f t="shared" si="33"/>
        <v>1.6045397339663818</v>
      </c>
      <c r="T269" s="52">
        <v>3.2699236952309461</v>
      </c>
      <c r="U269" s="52">
        <v>3.6984415808994222</v>
      </c>
      <c r="V269" s="187">
        <v>500000000</v>
      </c>
      <c r="W269" s="186">
        <f t="shared" si="34"/>
        <v>8.6989700043360187</v>
      </c>
      <c r="X269" s="52">
        <v>1</v>
      </c>
      <c r="Y269" s="68" t="s">
        <v>577</v>
      </c>
    </row>
    <row r="270" spans="1:25" x14ac:dyDescent="0.35">
      <c r="A270" s="49">
        <v>0.3128725024674901</v>
      </c>
      <c r="B270" s="50" t="s">
        <v>59</v>
      </c>
      <c r="C270" s="50">
        <v>9.580821917808219</v>
      </c>
      <c r="D270" s="50">
        <f t="shared" si="28"/>
        <v>0.98140276785277003</v>
      </c>
      <c r="E270" s="50">
        <v>0</v>
      </c>
      <c r="F270" s="50">
        <v>1.7242758696007889</v>
      </c>
      <c r="G270" s="50">
        <v>3.29</v>
      </c>
      <c r="H270" s="50">
        <f t="shared" si="29"/>
        <v>0.51719589794997434</v>
      </c>
      <c r="I270" s="50">
        <v>0</v>
      </c>
      <c r="J270" s="50">
        <v>-0.16749108729376372</v>
      </c>
      <c r="K270" s="50">
        <v>65</v>
      </c>
      <c r="L270" s="50">
        <f t="shared" si="30"/>
        <v>1.8129133566428555</v>
      </c>
      <c r="M270" s="50">
        <v>0</v>
      </c>
      <c r="N270" s="50">
        <v>85</v>
      </c>
      <c r="O270" s="50">
        <f t="shared" si="31"/>
        <v>1.9294189257142926</v>
      </c>
      <c r="P270" s="50">
        <v>32.200000000000003</v>
      </c>
      <c r="Q270" s="50">
        <f t="shared" si="32"/>
        <v>1.507855871695831</v>
      </c>
      <c r="R270" s="50">
        <v>35.326012114535303</v>
      </c>
      <c r="S270" s="50">
        <f t="shared" si="33"/>
        <v>1.548094613534351</v>
      </c>
      <c r="T270" s="50">
        <v>3.3314213062933389</v>
      </c>
      <c r="U270" s="50">
        <v>3.884802064783424</v>
      </c>
      <c r="V270" s="186">
        <v>505000000</v>
      </c>
      <c r="W270" s="186">
        <f t="shared" si="34"/>
        <v>8.7032913781186618</v>
      </c>
      <c r="X270" s="50">
        <v>8</v>
      </c>
      <c r="Y270" s="66" t="s">
        <v>59</v>
      </c>
    </row>
    <row r="271" spans="1:25" x14ac:dyDescent="0.35">
      <c r="A271" s="67">
        <v>9.4106426575392227E-2</v>
      </c>
      <c r="B271" s="52" t="s">
        <v>2</v>
      </c>
      <c r="C271" s="52">
        <v>4.6410958904109592</v>
      </c>
      <c r="D271" s="50">
        <f t="shared" si="28"/>
        <v>0.66662054153821337</v>
      </c>
      <c r="E271" s="52">
        <v>3.8335760926148099</v>
      </c>
      <c r="F271" s="52">
        <v>0</v>
      </c>
      <c r="G271" s="52">
        <v>2.85</v>
      </c>
      <c r="H271" s="50">
        <f t="shared" si="29"/>
        <v>0.45484486000851021</v>
      </c>
      <c r="I271" s="52">
        <v>2.9138138523837167</v>
      </c>
      <c r="J271" s="52">
        <v>-9.6910013008056392E-2</v>
      </c>
      <c r="K271" s="52">
        <v>24</v>
      </c>
      <c r="L271" s="50">
        <f t="shared" si="30"/>
        <v>1.3802112417116059</v>
      </c>
      <c r="M271" s="52">
        <v>1</v>
      </c>
      <c r="N271" s="52">
        <v>70</v>
      </c>
      <c r="O271" s="50">
        <f t="shared" si="31"/>
        <v>1.8450980400142569</v>
      </c>
      <c r="P271" s="52">
        <v>36.200000000000003</v>
      </c>
      <c r="Q271" s="50">
        <f t="shared" si="32"/>
        <v>1.5587085705331658</v>
      </c>
      <c r="R271" s="52">
        <v>44.748733746598099</v>
      </c>
      <c r="S271" s="50">
        <f t="shared" si="33"/>
        <v>1.6507807506095689</v>
      </c>
      <c r="T271" s="52">
        <v>3.0687415514991745</v>
      </c>
      <c r="U271" s="52">
        <v>3.5297005493117593</v>
      </c>
      <c r="V271" s="187">
        <v>511290000</v>
      </c>
      <c r="W271" s="186">
        <f t="shared" si="34"/>
        <v>8.7086672987165841</v>
      </c>
      <c r="X271" s="52">
        <v>4</v>
      </c>
      <c r="Y271" s="68" t="s">
        <v>45</v>
      </c>
    </row>
    <row r="272" spans="1:25" x14ac:dyDescent="0.35">
      <c r="A272" s="49">
        <v>0.18912089168842117</v>
      </c>
      <c r="B272" s="83" t="s">
        <v>45</v>
      </c>
      <c r="C272" s="50">
        <v>6.6109589041095891</v>
      </c>
      <c r="D272" s="50">
        <f t="shared" si="28"/>
        <v>0.82026445745231114</v>
      </c>
      <c r="E272" s="50">
        <v>0</v>
      </c>
      <c r="F272" s="50">
        <v>1.2041199826559248</v>
      </c>
      <c r="G272" s="50">
        <v>2.95</v>
      </c>
      <c r="H272" s="50">
        <f t="shared" si="29"/>
        <v>0.46982201597816303</v>
      </c>
      <c r="I272" s="50">
        <v>0</v>
      </c>
      <c r="J272" s="50">
        <v>0.31175386105575426</v>
      </c>
      <c r="K272" s="50">
        <v>18</v>
      </c>
      <c r="L272" s="50">
        <f t="shared" si="30"/>
        <v>1.255272505103306</v>
      </c>
      <c r="M272" s="50">
        <v>0</v>
      </c>
      <c r="N272" s="50">
        <v>91.3</v>
      </c>
      <c r="O272" s="50">
        <f t="shared" si="31"/>
        <v>1.9604707775342989</v>
      </c>
      <c r="P272" s="50">
        <v>23.5</v>
      </c>
      <c r="Q272" s="50">
        <f t="shared" si="32"/>
        <v>1.3710678622717363</v>
      </c>
      <c r="R272" s="50">
        <v>43.1672842383418</v>
      </c>
      <c r="S272" s="50">
        <f t="shared" si="33"/>
        <v>1.6351547269652249</v>
      </c>
      <c r="T272" s="50">
        <v>3.3445660262306984</v>
      </c>
      <c r="U272" s="50">
        <v>3.9793274106660923</v>
      </c>
      <c r="V272" s="186">
        <v>517570000</v>
      </c>
      <c r="W272" s="186">
        <f t="shared" si="34"/>
        <v>8.713969095303522</v>
      </c>
      <c r="X272" s="50">
        <v>4</v>
      </c>
      <c r="Y272" s="102" t="s">
        <v>45</v>
      </c>
    </row>
    <row r="273" spans="1:25" x14ac:dyDescent="0.35">
      <c r="A273" s="67">
        <v>0.22834296728139425</v>
      </c>
      <c r="B273" s="52" t="s">
        <v>45</v>
      </c>
      <c r="C273" s="52">
        <v>4.0849315068493155</v>
      </c>
      <c r="D273" s="50">
        <f t="shared" si="28"/>
        <v>0.61118477899651991</v>
      </c>
      <c r="E273" s="52">
        <v>3.7358167906061537</v>
      </c>
      <c r="F273" s="52">
        <v>1.7160033436347992</v>
      </c>
      <c r="G273" s="52">
        <v>2.81</v>
      </c>
      <c r="H273" s="50">
        <f t="shared" si="29"/>
        <v>0.44870631990507992</v>
      </c>
      <c r="I273" s="52">
        <v>2.103233406386928</v>
      </c>
      <c r="J273" s="52">
        <v>0.17609125905568124</v>
      </c>
      <c r="K273" s="52">
        <v>10</v>
      </c>
      <c r="L273" s="50">
        <f t="shared" si="30"/>
        <v>1</v>
      </c>
      <c r="M273" s="52">
        <v>1</v>
      </c>
      <c r="N273" s="52">
        <v>90.5</v>
      </c>
      <c r="O273" s="50">
        <f t="shared" si="31"/>
        <v>1.9566485792052033</v>
      </c>
      <c r="P273" s="52">
        <v>25.7</v>
      </c>
      <c r="Q273" s="50">
        <f t="shared" si="32"/>
        <v>1.4099331233312946</v>
      </c>
      <c r="R273" s="52">
        <v>39.010023979360902</v>
      </c>
      <c r="S273" s="50">
        <f t="shared" si="33"/>
        <v>1.5911762172715689</v>
      </c>
      <c r="T273" s="52">
        <v>3.3884049978579722</v>
      </c>
      <c r="U273" s="52">
        <v>3.8579486949156889</v>
      </c>
      <c r="V273" s="187">
        <v>518059000</v>
      </c>
      <c r="W273" s="186">
        <f t="shared" si="34"/>
        <v>8.7143792229021759</v>
      </c>
      <c r="X273" s="52">
        <v>7</v>
      </c>
      <c r="Y273" s="68" t="s">
        <v>497</v>
      </c>
    </row>
    <row r="274" spans="1:25" x14ac:dyDescent="0.35">
      <c r="A274" s="49">
        <v>-0.2932838616563514</v>
      </c>
      <c r="B274" s="50" t="s">
        <v>497</v>
      </c>
      <c r="C274" s="50">
        <v>5.3506849315068497</v>
      </c>
      <c r="D274" s="50">
        <f t="shared" si="28"/>
        <v>0.72840937883137968</v>
      </c>
      <c r="E274" s="50">
        <v>2.6674249329872439</v>
      </c>
      <c r="F274" s="50">
        <v>2.1702617153949575</v>
      </c>
      <c r="G274" s="50">
        <v>2.61</v>
      </c>
      <c r="H274" s="50">
        <f t="shared" si="29"/>
        <v>0.41664050733828095</v>
      </c>
      <c r="I274" s="50">
        <v>2.2881746749783951</v>
      </c>
      <c r="J274" s="50">
        <v>-6.5501548756432285E-2</v>
      </c>
      <c r="K274" s="50">
        <v>13</v>
      </c>
      <c r="L274" s="50">
        <f t="shared" si="30"/>
        <v>1.1139433523068367</v>
      </c>
      <c r="M274" s="50">
        <v>1</v>
      </c>
      <c r="N274" s="50">
        <v>85</v>
      </c>
      <c r="O274" s="50">
        <f t="shared" si="31"/>
        <v>1.9294189257142926</v>
      </c>
      <c r="P274" s="50">
        <v>30.9</v>
      </c>
      <c r="Q274" s="50">
        <f t="shared" si="32"/>
        <v>1.4899584794248346</v>
      </c>
      <c r="R274" s="50">
        <v>33.950689057445601</v>
      </c>
      <c r="S274" s="50">
        <f t="shared" si="33"/>
        <v>1.5308485930733544</v>
      </c>
      <c r="T274" s="50">
        <v>3.2188271541979425</v>
      </c>
      <c r="U274" s="50">
        <v>3.7570584504768405</v>
      </c>
      <c r="V274" s="186">
        <v>519000000</v>
      </c>
      <c r="W274" s="186">
        <f t="shared" si="34"/>
        <v>8.7151673578484576</v>
      </c>
      <c r="X274" s="50">
        <v>7</v>
      </c>
      <c r="Y274" s="66" t="s">
        <v>577</v>
      </c>
    </row>
    <row r="275" spans="1:25" x14ac:dyDescent="0.35">
      <c r="A275" s="67">
        <v>0.23484811525374724</v>
      </c>
      <c r="B275" s="52" t="s">
        <v>163</v>
      </c>
      <c r="C275" s="52">
        <v>2.2547945205479452</v>
      </c>
      <c r="D275" s="50">
        <f t="shared" si="28"/>
        <v>0.35310697075579511</v>
      </c>
      <c r="E275" s="52">
        <v>2.5362300726332561</v>
      </c>
      <c r="F275" s="52">
        <v>1.8388490907372552</v>
      </c>
      <c r="G275" s="52">
        <v>2.3199999999999998</v>
      </c>
      <c r="H275" s="50">
        <f t="shared" si="29"/>
        <v>0.36548798489089962</v>
      </c>
      <c r="I275" s="52">
        <v>2.756001823801419</v>
      </c>
      <c r="J275" s="52">
        <v>9.691001300805642E-2</v>
      </c>
      <c r="K275" s="52">
        <v>0</v>
      </c>
      <c r="L275" s="50">
        <f t="shared" si="30"/>
        <v>0</v>
      </c>
      <c r="M275" s="52">
        <v>1</v>
      </c>
      <c r="N275" s="52">
        <v>70</v>
      </c>
      <c r="O275" s="50">
        <f t="shared" si="31"/>
        <v>1.8450980400142569</v>
      </c>
      <c r="P275" s="52">
        <v>42.2</v>
      </c>
      <c r="Q275" s="50">
        <f t="shared" si="32"/>
        <v>1.6253124509616739</v>
      </c>
      <c r="R275" s="52">
        <v>53.270504198897903</v>
      </c>
      <c r="S275" s="50">
        <f t="shared" si="33"/>
        <v>1.7264868073491786</v>
      </c>
      <c r="T275" s="52">
        <v>3.3209851425446502</v>
      </c>
      <c r="U275" s="52">
        <v>3.9950367434689285</v>
      </c>
      <c r="V275" s="187">
        <v>520000000</v>
      </c>
      <c r="W275" s="186">
        <f t="shared" si="34"/>
        <v>8.7160033436347994</v>
      </c>
      <c r="X275" s="52">
        <v>5</v>
      </c>
      <c r="Y275" s="68" t="s">
        <v>59</v>
      </c>
    </row>
    <row r="276" spans="1:25" x14ac:dyDescent="0.35">
      <c r="A276" s="49">
        <v>5.1338078733862841E-2</v>
      </c>
      <c r="B276" s="50" t="s">
        <v>45</v>
      </c>
      <c r="C276" s="50">
        <v>7.0301369863013701</v>
      </c>
      <c r="D276" s="50">
        <f t="shared" si="28"/>
        <v>0.84696378758243496</v>
      </c>
      <c r="E276" s="50">
        <v>0</v>
      </c>
      <c r="F276" s="50">
        <v>0</v>
      </c>
      <c r="G276" s="50">
        <v>2.81</v>
      </c>
      <c r="H276" s="50">
        <f t="shared" si="29"/>
        <v>0.44870631990507992</v>
      </c>
      <c r="I276" s="50">
        <v>2.103233406386928</v>
      </c>
      <c r="J276" s="50">
        <v>5.6904851336472641E-2</v>
      </c>
      <c r="K276" s="50">
        <v>2</v>
      </c>
      <c r="L276" s="50">
        <f t="shared" si="30"/>
        <v>0.3010299956639812</v>
      </c>
      <c r="M276" s="50">
        <v>0</v>
      </c>
      <c r="N276" s="50">
        <v>85</v>
      </c>
      <c r="O276" s="50">
        <f t="shared" si="31"/>
        <v>1.9294189257142926</v>
      </c>
      <c r="P276" s="50">
        <v>25.9</v>
      </c>
      <c r="Q276" s="50">
        <f t="shared" si="32"/>
        <v>1.4132997640812519</v>
      </c>
      <c r="R276" s="50">
        <v>36.959146749272797</v>
      </c>
      <c r="S276" s="50">
        <f t="shared" si="33"/>
        <v>1.5677219364019672</v>
      </c>
      <c r="T276" s="50">
        <v>3.3884049978579722</v>
      </c>
      <c r="U276" s="50">
        <v>3.8579486949156889</v>
      </c>
      <c r="V276" s="186">
        <v>520000000</v>
      </c>
      <c r="W276" s="186">
        <f t="shared" si="34"/>
        <v>8.7160033436347994</v>
      </c>
      <c r="X276" s="50">
        <v>4</v>
      </c>
      <c r="Y276" s="66" t="s">
        <v>497</v>
      </c>
    </row>
    <row r="277" spans="1:25" x14ac:dyDescent="0.35">
      <c r="A277" s="67">
        <v>-0.29803370142006214</v>
      </c>
      <c r="B277" s="52" t="s">
        <v>163</v>
      </c>
      <c r="C277" s="52">
        <v>3.010958904109589</v>
      </c>
      <c r="D277" s="50">
        <f t="shared" si="28"/>
        <v>0.47870482796701586</v>
      </c>
      <c r="E277" s="52">
        <v>0</v>
      </c>
      <c r="F277" s="52">
        <v>1.7075701760979363</v>
      </c>
      <c r="G277" s="52">
        <v>3.18</v>
      </c>
      <c r="H277" s="50">
        <f t="shared" si="29"/>
        <v>0.50242711998443268</v>
      </c>
      <c r="I277" s="52">
        <v>0</v>
      </c>
      <c r="J277" s="52">
        <v>-8.7739243075051505E-3</v>
      </c>
      <c r="K277" s="52">
        <v>3</v>
      </c>
      <c r="L277" s="50">
        <f t="shared" si="30"/>
        <v>0.47712125471966244</v>
      </c>
      <c r="M277" s="52">
        <v>0</v>
      </c>
      <c r="N277" s="52">
        <v>70</v>
      </c>
      <c r="O277" s="50">
        <f t="shared" si="31"/>
        <v>1.8450980400142569</v>
      </c>
      <c r="P277" s="52">
        <v>43.1</v>
      </c>
      <c r="Q277" s="50">
        <f t="shared" si="32"/>
        <v>1.6344772701607315</v>
      </c>
      <c r="R277" s="52">
        <v>51.718307112209096</v>
      </c>
      <c r="S277" s="50">
        <f t="shared" si="33"/>
        <v>1.7136443007431839</v>
      </c>
      <c r="T277" s="52">
        <v>3.2258683344006376</v>
      </c>
      <c r="U277" s="52">
        <v>3.9615291321450066</v>
      </c>
      <c r="V277" s="187">
        <v>520000000</v>
      </c>
      <c r="W277" s="186">
        <f t="shared" si="34"/>
        <v>8.7160033436347994</v>
      </c>
      <c r="X277" s="52">
        <v>3</v>
      </c>
      <c r="Y277" s="68" t="s">
        <v>163</v>
      </c>
    </row>
    <row r="278" spans="1:25" x14ac:dyDescent="0.35">
      <c r="A278" s="49">
        <v>1.3756670641516049</v>
      </c>
      <c r="B278" s="50" t="s">
        <v>45</v>
      </c>
      <c r="C278" s="50">
        <v>17.416438356164385</v>
      </c>
      <c r="D278" s="50">
        <f t="shared" si="28"/>
        <v>1.2409593469739824</v>
      </c>
      <c r="E278" s="50">
        <v>0</v>
      </c>
      <c r="F278" s="50">
        <v>1.7075701760979363</v>
      </c>
      <c r="G278" s="50">
        <v>2.95</v>
      </c>
      <c r="H278" s="50">
        <f t="shared" si="29"/>
        <v>0.46982201597816303</v>
      </c>
      <c r="I278" s="50">
        <v>0</v>
      </c>
      <c r="J278" s="50">
        <v>0.52608069180202999</v>
      </c>
      <c r="K278" s="50">
        <v>5</v>
      </c>
      <c r="L278" s="50">
        <f t="shared" si="30"/>
        <v>0.69897000433601886</v>
      </c>
      <c r="M278" s="50">
        <v>0</v>
      </c>
      <c r="N278" s="50">
        <v>85</v>
      </c>
      <c r="O278" s="50">
        <f t="shared" si="31"/>
        <v>1.9294189257142926</v>
      </c>
      <c r="P278" s="50">
        <v>25.9</v>
      </c>
      <c r="Q278" s="50">
        <f t="shared" si="32"/>
        <v>1.4132997640812519</v>
      </c>
      <c r="R278" s="50">
        <v>40.815825693332798</v>
      </c>
      <c r="S278" s="50">
        <f t="shared" si="33"/>
        <v>1.6108285865865359</v>
      </c>
      <c r="T278" s="50">
        <v>3.0687415514991745</v>
      </c>
      <c r="U278" s="50">
        <v>3.5297005493117593</v>
      </c>
      <c r="V278" s="186">
        <v>530000000</v>
      </c>
      <c r="W278" s="186">
        <f t="shared" si="34"/>
        <v>8.7242758696007883</v>
      </c>
      <c r="X278" s="50">
        <v>7</v>
      </c>
      <c r="Y278" s="66" t="s">
        <v>45</v>
      </c>
    </row>
    <row r="279" spans="1:25" x14ac:dyDescent="0.35">
      <c r="A279" s="67">
        <v>0.85733249643126852</v>
      </c>
      <c r="B279" s="52" t="s">
        <v>447</v>
      </c>
      <c r="C279" s="52">
        <v>8.7205479452054799</v>
      </c>
      <c r="D279" s="50">
        <f t="shared" si="28"/>
        <v>0.94054377416452839</v>
      </c>
      <c r="E279" s="52">
        <v>3.7845345619950592</v>
      </c>
      <c r="F279" s="52">
        <v>0.77815125038364363</v>
      </c>
      <c r="G279" s="52">
        <v>2.81</v>
      </c>
      <c r="H279" s="50">
        <f t="shared" si="29"/>
        <v>0.44870631990507992</v>
      </c>
      <c r="I279" s="52">
        <v>2.9168924084376502</v>
      </c>
      <c r="J279" s="52">
        <v>0.21218760440395779</v>
      </c>
      <c r="K279" s="52">
        <v>5</v>
      </c>
      <c r="L279" s="50">
        <f t="shared" si="30"/>
        <v>0.69897000433601886</v>
      </c>
      <c r="M279" s="52">
        <v>1</v>
      </c>
      <c r="N279" s="52">
        <v>70</v>
      </c>
      <c r="O279" s="50">
        <f t="shared" si="31"/>
        <v>1.8450980400142569</v>
      </c>
      <c r="P279" s="52">
        <v>35.14</v>
      </c>
      <c r="Q279" s="50">
        <f t="shared" si="32"/>
        <v>1.5458017571592761</v>
      </c>
      <c r="R279" s="52">
        <v>38.315068463709203</v>
      </c>
      <c r="S279" s="50">
        <f t="shared" si="33"/>
        <v>1.5833696059173574</v>
      </c>
      <c r="T279" s="52">
        <v>3.348721986001856</v>
      </c>
      <c r="U279" s="52">
        <v>3.7520876635386311</v>
      </c>
      <c r="V279" s="187">
        <v>534000000</v>
      </c>
      <c r="W279" s="186">
        <f t="shared" si="34"/>
        <v>8.7275412570285571</v>
      </c>
      <c r="X279" s="52">
        <v>4</v>
      </c>
      <c r="Y279" s="68" t="s">
        <v>45</v>
      </c>
    </row>
    <row r="280" spans="1:25" x14ac:dyDescent="0.35">
      <c r="A280" s="49">
        <v>-0.3345854420040863</v>
      </c>
      <c r="B280" s="50" t="s">
        <v>45</v>
      </c>
      <c r="C280" s="50">
        <v>4.0547945205479454</v>
      </c>
      <c r="D280" s="50">
        <f t="shared" si="28"/>
        <v>0.60796885093848274</v>
      </c>
      <c r="E280" s="50">
        <v>0</v>
      </c>
      <c r="F280" s="50">
        <v>1.5563025007672873</v>
      </c>
      <c r="G280" s="50">
        <v>2.95</v>
      </c>
      <c r="H280" s="50">
        <f t="shared" si="29"/>
        <v>0.46982201597816303</v>
      </c>
      <c r="I280" s="50">
        <v>0</v>
      </c>
      <c r="J280" s="50">
        <v>-0.11350927482751812</v>
      </c>
      <c r="K280" s="50">
        <v>8</v>
      </c>
      <c r="L280" s="50">
        <f t="shared" si="30"/>
        <v>0.90308998699194354</v>
      </c>
      <c r="M280" s="50">
        <v>0</v>
      </c>
      <c r="N280" s="50">
        <v>85</v>
      </c>
      <c r="O280" s="50">
        <f t="shared" si="31"/>
        <v>1.9294189257142926</v>
      </c>
      <c r="P280" s="50">
        <v>28.2</v>
      </c>
      <c r="Q280" s="50">
        <f t="shared" si="32"/>
        <v>1.4502491083193612</v>
      </c>
      <c r="R280" s="50">
        <v>34.298950279384798</v>
      </c>
      <c r="S280" s="50">
        <f t="shared" si="33"/>
        <v>1.5352808286478177</v>
      </c>
      <c r="T280" s="50">
        <v>3.1628767233771686</v>
      </c>
      <c r="U280" s="50">
        <v>3.6087947637270492</v>
      </c>
      <c r="V280" s="186">
        <v>534330000</v>
      </c>
      <c r="W280" s="186">
        <f t="shared" si="34"/>
        <v>8.727809558365383</v>
      </c>
      <c r="X280" s="50">
        <v>5</v>
      </c>
      <c r="Y280" s="66" t="s">
        <v>602</v>
      </c>
    </row>
    <row r="281" spans="1:25" x14ac:dyDescent="0.35">
      <c r="A281" s="67">
        <v>0.28851248880774655</v>
      </c>
      <c r="B281" s="52" t="s">
        <v>434</v>
      </c>
      <c r="C281" s="52">
        <v>4.183561643835616</v>
      </c>
      <c r="D281" s="50">
        <f t="shared" si="28"/>
        <v>0.62154617259994649</v>
      </c>
      <c r="E281" s="52">
        <v>3.8584156743566731</v>
      </c>
      <c r="F281" s="52">
        <v>1.5440680443502757</v>
      </c>
      <c r="G281" s="52">
        <v>2.66</v>
      </c>
      <c r="H281" s="50">
        <f t="shared" si="29"/>
        <v>0.42488163663106698</v>
      </c>
      <c r="I281" s="52">
        <v>2.8134697878296753</v>
      </c>
      <c r="J281" s="52">
        <v>0.24054924828259971</v>
      </c>
      <c r="K281" s="52">
        <v>24</v>
      </c>
      <c r="L281" s="50">
        <f t="shared" si="30"/>
        <v>1.3802112417116059</v>
      </c>
      <c r="M281" s="52">
        <v>1</v>
      </c>
      <c r="N281" s="52">
        <v>77</v>
      </c>
      <c r="O281" s="50">
        <f t="shared" si="31"/>
        <v>1.8864907251724818</v>
      </c>
      <c r="P281" s="52">
        <v>41.72</v>
      </c>
      <c r="Q281" s="50">
        <f t="shared" si="32"/>
        <v>1.6203442997544932</v>
      </c>
      <c r="R281" s="52">
        <v>47.830384300274197</v>
      </c>
      <c r="S281" s="50">
        <f t="shared" si="33"/>
        <v>1.6797038702890243</v>
      </c>
      <c r="T281" s="52">
        <v>3.20911860699078</v>
      </c>
      <c r="U281" s="52">
        <v>3.5849986651910224</v>
      </c>
      <c r="V281" s="187">
        <v>535000000</v>
      </c>
      <c r="W281" s="186">
        <f t="shared" si="34"/>
        <v>8.7283537820212285</v>
      </c>
      <c r="X281" s="52">
        <v>4</v>
      </c>
      <c r="Y281" s="68" t="s">
        <v>45</v>
      </c>
    </row>
    <row r="282" spans="1:25" x14ac:dyDescent="0.35">
      <c r="A282" s="49">
        <v>0.44773747703445277</v>
      </c>
      <c r="B282" s="50" t="s">
        <v>163</v>
      </c>
      <c r="C282" s="50">
        <v>6.7342465753424658</v>
      </c>
      <c r="D282" s="50">
        <f t="shared" si="28"/>
        <v>0.82828901409396061</v>
      </c>
      <c r="E282" s="50">
        <v>0</v>
      </c>
      <c r="F282" s="50">
        <v>1.505149978319906</v>
      </c>
      <c r="G282" s="50">
        <v>3.18</v>
      </c>
      <c r="H282" s="50">
        <f t="shared" si="29"/>
        <v>0.50242711998443268</v>
      </c>
      <c r="I282" s="50">
        <v>0</v>
      </c>
      <c r="J282" s="50">
        <v>0.31386722036915343</v>
      </c>
      <c r="K282" s="50">
        <v>13</v>
      </c>
      <c r="L282" s="50">
        <f t="shared" si="30"/>
        <v>1.1139433523068367</v>
      </c>
      <c r="M282" s="50">
        <v>0</v>
      </c>
      <c r="N282" s="50">
        <v>85.6</v>
      </c>
      <c r="O282" s="50">
        <f t="shared" si="31"/>
        <v>1.9324737646771533</v>
      </c>
      <c r="P282" s="50">
        <v>43.3</v>
      </c>
      <c r="Q282" s="50">
        <f t="shared" si="32"/>
        <v>1.6364878963533653</v>
      </c>
      <c r="R282" s="50">
        <v>56.2907330998475</v>
      </c>
      <c r="S282" s="50">
        <f t="shared" si="33"/>
        <v>1.750436904711814</v>
      </c>
      <c r="T282" s="50">
        <v>3.2258683344006376</v>
      </c>
      <c r="U282" s="50">
        <v>3.9615291321450066</v>
      </c>
      <c r="V282" s="186">
        <v>535000000</v>
      </c>
      <c r="W282" s="186">
        <f t="shared" si="34"/>
        <v>8.7283537820212285</v>
      </c>
      <c r="X282" s="50">
        <v>1</v>
      </c>
      <c r="Y282" s="66" t="s">
        <v>163</v>
      </c>
    </row>
    <row r="283" spans="1:25" x14ac:dyDescent="0.35">
      <c r="A283" s="67">
        <v>0.31114351417323516</v>
      </c>
      <c r="B283" s="84" t="s">
        <v>45</v>
      </c>
      <c r="C283" s="52">
        <v>3.7041095890410958</v>
      </c>
      <c r="D283" s="50">
        <f t="shared" si="28"/>
        <v>0.56868382714914245</v>
      </c>
      <c r="E283" s="52">
        <v>0</v>
      </c>
      <c r="F283" s="52">
        <v>1.1139433523068367</v>
      </c>
      <c r="G283" s="52">
        <v>2.95</v>
      </c>
      <c r="H283" s="50">
        <f t="shared" si="29"/>
        <v>0.46982201597816303</v>
      </c>
      <c r="I283" s="52">
        <v>0</v>
      </c>
      <c r="J283" s="52">
        <v>0.2253092817258629</v>
      </c>
      <c r="K283" s="52">
        <v>26</v>
      </c>
      <c r="L283" s="50">
        <f t="shared" si="30"/>
        <v>1.414973347970818</v>
      </c>
      <c r="M283" s="52">
        <v>0</v>
      </c>
      <c r="N283" s="52">
        <v>91.3</v>
      </c>
      <c r="O283" s="50">
        <f t="shared" si="31"/>
        <v>1.9604707775342989</v>
      </c>
      <c r="P283" s="52">
        <v>23.5</v>
      </c>
      <c r="Q283" s="50">
        <f t="shared" si="32"/>
        <v>1.3710678622717363</v>
      </c>
      <c r="R283" s="52">
        <v>43.1672842383418</v>
      </c>
      <c r="S283" s="50">
        <f t="shared" si="33"/>
        <v>1.6351547269652249</v>
      </c>
      <c r="T283" s="52">
        <v>3.3240201037352737</v>
      </c>
      <c r="U283" s="52">
        <v>3.7683162170970865</v>
      </c>
      <c r="V283" s="187">
        <v>537340000</v>
      </c>
      <c r="W283" s="186">
        <f t="shared" si="34"/>
        <v>8.7302491709849903</v>
      </c>
      <c r="X283" s="52">
        <v>9</v>
      </c>
      <c r="Y283" s="103" t="s">
        <v>45</v>
      </c>
    </row>
    <row r="284" spans="1:25" x14ac:dyDescent="0.35">
      <c r="A284" s="49">
        <v>-7.2569549106915751E-2</v>
      </c>
      <c r="B284" s="50" t="s">
        <v>59</v>
      </c>
      <c r="C284" s="50">
        <v>2.1753424657534248</v>
      </c>
      <c r="D284" s="50">
        <f t="shared" si="28"/>
        <v>0.33752763797062157</v>
      </c>
      <c r="E284" s="50">
        <v>0</v>
      </c>
      <c r="F284" s="50">
        <v>1.3222192947339193</v>
      </c>
      <c r="G284" s="50">
        <v>3.29</v>
      </c>
      <c r="H284" s="50">
        <f t="shared" si="29"/>
        <v>0.51719589794997434</v>
      </c>
      <c r="I284" s="50">
        <v>0</v>
      </c>
      <c r="J284" s="50">
        <v>6.445798922691845E-2</v>
      </c>
      <c r="K284" s="50">
        <v>70</v>
      </c>
      <c r="L284" s="50">
        <f t="shared" si="30"/>
        <v>1.8450980400142569</v>
      </c>
      <c r="M284" s="50">
        <v>0</v>
      </c>
      <c r="N284" s="50">
        <v>85</v>
      </c>
      <c r="O284" s="50">
        <f t="shared" si="31"/>
        <v>1.9294189257142926</v>
      </c>
      <c r="P284" s="50">
        <v>32.299999999999997</v>
      </c>
      <c r="Q284" s="50">
        <f t="shared" si="32"/>
        <v>1.5092025223311027</v>
      </c>
      <c r="R284" s="50">
        <v>40.040400531970803</v>
      </c>
      <c r="S284" s="50">
        <f t="shared" si="33"/>
        <v>1.6024984131617945</v>
      </c>
      <c r="T284" s="50">
        <v>3.3314213062933389</v>
      </c>
      <c r="U284" s="50">
        <v>3.884802064783424</v>
      </c>
      <c r="V284" s="186">
        <v>543660000</v>
      </c>
      <c r="W284" s="186">
        <f t="shared" si="34"/>
        <v>8.7353273807884904</v>
      </c>
      <c r="X284" s="50">
        <v>7</v>
      </c>
      <c r="Y284" s="66" t="s">
        <v>59</v>
      </c>
    </row>
    <row r="285" spans="1:25" x14ac:dyDescent="0.35">
      <c r="A285" s="67">
        <v>6.7848283429978257E-2</v>
      </c>
      <c r="B285" s="52" t="s">
        <v>7</v>
      </c>
      <c r="C285" s="52">
        <v>4.0602739726027401</v>
      </c>
      <c r="D285" s="50">
        <f t="shared" si="28"/>
        <v>0.60855533918683469</v>
      </c>
      <c r="E285" s="52">
        <v>3.8052737966880943</v>
      </c>
      <c r="F285" s="52">
        <v>0.3010299956639812</v>
      </c>
      <c r="G285" s="52">
        <v>2.99</v>
      </c>
      <c r="H285" s="50">
        <f t="shared" si="29"/>
        <v>0.47567118832442967</v>
      </c>
      <c r="I285" s="52">
        <v>2.8414637553591628</v>
      </c>
      <c r="J285" s="52">
        <v>7.1882007306125359E-2</v>
      </c>
      <c r="K285" s="52">
        <v>152</v>
      </c>
      <c r="L285" s="50">
        <f t="shared" si="30"/>
        <v>2.1818435879447726</v>
      </c>
      <c r="M285" s="52">
        <v>1</v>
      </c>
      <c r="N285" s="52">
        <v>85</v>
      </c>
      <c r="O285" s="50">
        <f t="shared" si="31"/>
        <v>1.9294189257142926</v>
      </c>
      <c r="P285" s="52">
        <v>37.4</v>
      </c>
      <c r="Q285" s="50">
        <f t="shared" si="32"/>
        <v>1.5728716022004801</v>
      </c>
      <c r="R285" s="52">
        <v>41.359233027230303</v>
      </c>
      <c r="S285" s="50">
        <f t="shared" si="33"/>
        <v>1.6165724765285823</v>
      </c>
      <c r="T285" s="52">
        <v>3.2986404739170001</v>
      </c>
      <c r="U285" s="52">
        <v>3.7777539086524472</v>
      </c>
      <c r="V285" s="187">
        <v>550000000</v>
      </c>
      <c r="W285" s="186">
        <f t="shared" si="34"/>
        <v>8.7403626894942441</v>
      </c>
      <c r="X285" s="52">
        <v>6</v>
      </c>
      <c r="Y285" s="68" t="s">
        <v>45</v>
      </c>
    </row>
    <row r="286" spans="1:25" x14ac:dyDescent="0.35">
      <c r="A286" s="49">
        <v>0.22322747701074128</v>
      </c>
      <c r="B286" s="50" t="s">
        <v>45</v>
      </c>
      <c r="C286" s="50">
        <v>11.717808219178082</v>
      </c>
      <c r="D286" s="50">
        <f t="shared" si="28"/>
        <v>1.0688463858003363</v>
      </c>
      <c r="E286" s="50">
        <v>0</v>
      </c>
      <c r="F286" s="50">
        <v>1.954242509439325</v>
      </c>
      <c r="G286" s="50">
        <v>2.95</v>
      </c>
      <c r="H286" s="50">
        <f t="shared" si="29"/>
        <v>0.46982201597816303</v>
      </c>
      <c r="I286" s="50">
        <v>0</v>
      </c>
      <c r="J286" s="50">
        <v>-6.5501548756432285E-2</v>
      </c>
      <c r="K286" s="50">
        <v>24</v>
      </c>
      <c r="L286" s="50">
        <f t="shared" si="30"/>
        <v>1.3802112417116059</v>
      </c>
      <c r="M286" s="50">
        <v>0</v>
      </c>
      <c r="N286" s="50">
        <v>85</v>
      </c>
      <c r="O286" s="50">
        <f t="shared" si="31"/>
        <v>1.9294189257142926</v>
      </c>
      <c r="P286" s="50">
        <v>28.2</v>
      </c>
      <c r="Q286" s="50">
        <f t="shared" si="32"/>
        <v>1.4502491083193612</v>
      </c>
      <c r="R286" s="50">
        <v>34.298950279384798</v>
      </c>
      <c r="S286" s="50">
        <f t="shared" si="33"/>
        <v>1.5352808286478177</v>
      </c>
      <c r="T286" s="50">
        <v>3.0687415514991745</v>
      </c>
      <c r="U286" s="50">
        <v>3.5297005493117593</v>
      </c>
      <c r="V286" s="186">
        <v>552210000</v>
      </c>
      <c r="W286" s="186">
        <f t="shared" si="34"/>
        <v>8.7421042670361224</v>
      </c>
      <c r="X286" s="50">
        <v>10</v>
      </c>
      <c r="Y286" s="66" t="s">
        <v>45</v>
      </c>
    </row>
    <row r="287" spans="1:25" x14ac:dyDescent="0.35">
      <c r="A287" s="67">
        <v>6.1207875035723926E-2</v>
      </c>
      <c r="B287" s="52" t="s">
        <v>163</v>
      </c>
      <c r="C287" s="52">
        <v>2.6164383561643834</v>
      </c>
      <c r="D287" s="50">
        <f t="shared" si="28"/>
        <v>0.41771050712727159</v>
      </c>
      <c r="E287" s="52">
        <v>0</v>
      </c>
      <c r="F287" s="52">
        <v>1.7242758696007889</v>
      </c>
      <c r="G287" s="52">
        <v>3.18</v>
      </c>
      <c r="H287" s="50">
        <f t="shared" si="29"/>
        <v>0.50242711998443268</v>
      </c>
      <c r="I287" s="52">
        <v>0</v>
      </c>
      <c r="J287" s="52">
        <v>0.11727129565576427</v>
      </c>
      <c r="K287" s="52">
        <v>4</v>
      </c>
      <c r="L287" s="50">
        <f t="shared" si="30"/>
        <v>0.6020599913279624</v>
      </c>
      <c r="M287" s="52">
        <v>0</v>
      </c>
      <c r="N287" s="52">
        <v>70</v>
      </c>
      <c r="O287" s="50">
        <f t="shared" si="31"/>
        <v>1.8450980400142569</v>
      </c>
      <c r="P287" s="52">
        <v>42.4</v>
      </c>
      <c r="Q287" s="50">
        <f t="shared" si="32"/>
        <v>1.6273658565927327</v>
      </c>
      <c r="R287" s="52">
        <v>52.795294707427601</v>
      </c>
      <c r="S287" s="50">
        <f t="shared" si="33"/>
        <v>1.7225952184872551</v>
      </c>
      <c r="T287" s="52">
        <v>3.2258683344006376</v>
      </c>
      <c r="U287" s="52">
        <v>3.9615291321450066</v>
      </c>
      <c r="V287" s="187">
        <v>555000000</v>
      </c>
      <c r="W287" s="186">
        <f t="shared" si="34"/>
        <v>8.7442929831226763</v>
      </c>
      <c r="X287" s="52">
        <v>7</v>
      </c>
      <c r="Y287" s="68" t="s">
        <v>163</v>
      </c>
    </row>
    <row r="288" spans="1:25" x14ac:dyDescent="0.35">
      <c r="A288" s="49">
        <v>-0.23914300480277026</v>
      </c>
      <c r="B288" s="50" t="s">
        <v>45</v>
      </c>
      <c r="C288" s="50">
        <v>7.8109589041095893</v>
      </c>
      <c r="D288" s="50">
        <f t="shared" si="28"/>
        <v>0.89270435285298533</v>
      </c>
      <c r="E288" s="50">
        <v>0</v>
      </c>
      <c r="F288" s="50">
        <v>1.1139433523068367</v>
      </c>
      <c r="G288" s="50">
        <v>2.95</v>
      </c>
      <c r="H288" s="50">
        <f t="shared" si="29"/>
        <v>0.46982201597816303</v>
      </c>
      <c r="I288" s="50">
        <v>0</v>
      </c>
      <c r="J288" s="50">
        <v>0.12385164096708581</v>
      </c>
      <c r="K288" s="50">
        <v>18</v>
      </c>
      <c r="L288" s="50">
        <f t="shared" si="30"/>
        <v>1.255272505103306</v>
      </c>
      <c r="M288" s="50">
        <v>0</v>
      </c>
      <c r="N288" s="50">
        <v>85</v>
      </c>
      <c r="O288" s="50">
        <f t="shared" si="31"/>
        <v>1.9294189257142926</v>
      </c>
      <c r="P288" s="50">
        <v>25.9</v>
      </c>
      <c r="Q288" s="50">
        <f t="shared" si="32"/>
        <v>1.4132997640812519</v>
      </c>
      <c r="R288" s="50">
        <v>36.959146749272797</v>
      </c>
      <c r="S288" s="50">
        <f t="shared" si="33"/>
        <v>1.5677219364019672</v>
      </c>
      <c r="T288" s="50">
        <v>3.0958500844125241</v>
      </c>
      <c r="U288" s="50">
        <v>3.5078178355445662</v>
      </c>
      <c r="V288" s="186">
        <v>555000000</v>
      </c>
      <c r="W288" s="186">
        <f t="shared" si="34"/>
        <v>8.7442929831226763</v>
      </c>
      <c r="X288" s="50">
        <v>2</v>
      </c>
      <c r="Y288" s="66" t="s">
        <v>602</v>
      </c>
    </row>
    <row r="289" spans="1:25" x14ac:dyDescent="0.35">
      <c r="A289" s="67">
        <v>0.36355068188178347</v>
      </c>
      <c r="B289" s="52" t="s">
        <v>59</v>
      </c>
      <c r="C289" s="52">
        <v>4.9397260273972599</v>
      </c>
      <c r="D289" s="50">
        <f t="shared" si="28"/>
        <v>0.69370286226592726</v>
      </c>
      <c r="E289" s="52">
        <v>3.7707754512906644</v>
      </c>
      <c r="F289" s="52">
        <v>1.6532125137753437</v>
      </c>
      <c r="G289" s="52">
        <v>2.3199999999999998</v>
      </c>
      <c r="H289" s="50">
        <f t="shared" si="29"/>
        <v>0.36548798489089962</v>
      </c>
      <c r="I289" s="52">
        <v>2.1238516409670858</v>
      </c>
      <c r="J289" s="52">
        <v>0.24797326636180664</v>
      </c>
      <c r="K289" s="52">
        <v>2</v>
      </c>
      <c r="L289" s="50">
        <f t="shared" si="30"/>
        <v>0.3010299956639812</v>
      </c>
      <c r="M289" s="52">
        <v>1</v>
      </c>
      <c r="N289" s="52">
        <v>85</v>
      </c>
      <c r="O289" s="50">
        <f t="shared" si="31"/>
        <v>1.9294189257142926</v>
      </c>
      <c r="P289" s="52">
        <v>31.5</v>
      </c>
      <c r="Q289" s="50">
        <f t="shared" si="32"/>
        <v>1.4983105537896004</v>
      </c>
      <c r="R289" s="52">
        <v>37.589394702761602</v>
      </c>
      <c r="S289" s="50">
        <f t="shared" si="33"/>
        <v>1.575065332381355</v>
      </c>
      <c r="T289" s="52">
        <v>3.348721986001856</v>
      </c>
      <c r="U289" s="52">
        <v>3.7520876635386311</v>
      </c>
      <c r="V289" s="187">
        <v>562850000</v>
      </c>
      <c r="W289" s="186">
        <f t="shared" si="34"/>
        <v>8.7503926704250539</v>
      </c>
      <c r="X289" s="52">
        <v>7</v>
      </c>
      <c r="Y289" s="68" t="s">
        <v>45</v>
      </c>
    </row>
    <row r="290" spans="1:25" x14ac:dyDescent="0.35">
      <c r="A290" s="49">
        <v>0.36355068188178347</v>
      </c>
      <c r="B290" s="50" t="s">
        <v>59</v>
      </c>
      <c r="C290" s="50">
        <v>4.9397260273972599</v>
      </c>
      <c r="D290" s="50">
        <f t="shared" si="28"/>
        <v>0.69370286226592726</v>
      </c>
      <c r="E290" s="50">
        <v>3.7707754512906644</v>
      </c>
      <c r="F290" s="50">
        <v>1.6532125137753437</v>
      </c>
      <c r="G290" s="50">
        <v>2.3199999999999998</v>
      </c>
      <c r="H290" s="50">
        <f t="shared" si="29"/>
        <v>0.36548798489089962</v>
      </c>
      <c r="I290" s="50">
        <v>2.1238516409670858</v>
      </c>
      <c r="J290" s="50">
        <v>0.24797326636180664</v>
      </c>
      <c r="K290" s="50">
        <v>24</v>
      </c>
      <c r="L290" s="50">
        <f t="shared" si="30"/>
        <v>1.3802112417116059</v>
      </c>
      <c r="M290" s="50">
        <v>1</v>
      </c>
      <c r="N290" s="50">
        <v>85</v>
      </c>
      <c r="O290" s="50">
        <f t="shared" si="31"/>
        <v>1.9294189257142926</v>
      </c>
      <c r="P290" s="50">
        <v>31.5</v>
      </c>
      <c r="Q290" s="50">
        <f t="shared" si="32"/>
        <v>1.4983105537896004</v>
      </c>
      <c r="R290" s="50">
        <v>37.589394702761602</v>
      </c>
      <c r="S290" s="50">
        <f t="shared" si="33"/>
        <v>1.575065332381355</v>
      </c>
      <c r="T290" s="50">
        <v>3.3075667315086759</v>
      </c>
      <c r="U290" s="50">
        <v>3.8308810053047755</v>
      </c>
      <c r="V290" s="186">
        <v>562850000</v>
      </c>
      <c r="W290" s="186">
        <f t="shared" si="34"/>
        <v>8.7503926704250539</v>
      </c>
      <c r="X290" s="50">
        <v>7</v>
      </c>
      <c r="Y290" s="66" t="s">
        <v>45</v>
      </c>
    </row>
    <row r="291" spans="1:25" x14ac:dyDescent="0.35">
      <c r="A291" s="67">
        <v>0.14004615487104186</v>
      </c>
      <c r="B291" s="52" t="s">
        <v>59</v>
      </c>
      <c r="C291" s="52">
        <v>8.9205479452054792</v>
      </c>
      <c r="D291" s="50">
        <f t="shared" si="28"/>
        <v>0.95039153176068891</v>
      </c>
      <c r="E291" s="52">
        <v>3.7707754512906644</v>
      </c>
      <c r="F291" s="52">
        <v>1.0413926851582251</v>
      </c>
      <c r="G291" s="52">
        <v>2.3199999999999998</v>
      </c>
      <c r="H291" s="50">
        <f t="shared" si="29"/>
        <v>0.36548798489089962</v>
      </c>
      <c r="I291" s="52">
        <v>2.1238516409670858</v>
      </c>
      <c r="J291" s="52">
        <v>0.24797326636180664</v>
      </c>
      <c r="K291" s="52">
        <v>42</v>
      </c>
      <c r="L291" s="50">
        <f t="shared" si="30"/>
        <v>1.6232492903979006</v>
      </c>
      <c r="M291" s="52">
        <v>1</v>
      </c>
      <c r="N291" s="52">
        <v>90.8</v>
      </c>
      <c r="O291" s="50">
        <f t="shared" si="31"/>
        <v>1.958085848521085</v>
      </c>
      <c r="P291" s="52">
        <v>32.299999999999997</v>
      </c>
      <c r="Q291" s="50">
        <f t="shared" si="32"/>
        <v>1.5092025223311027</v>
      </c>
      <c r="R291" s="52">
        <v>44.4007960521485</v>
      </c>
      <c r="S291" s="50">
        <f t="shared" si="33"/>
        <v>1.6473907565550749</v>
      </c>
      <c r="T291" s="52">
        <v>3.1527645837352773</v>
      </c>
      <c r="U291" s="52">
        <v>3.5411223705253856</v>
      </c>
      <c r="V291" s="187">
        <v>565000000</v>
      </c>
      <c r="W291" s="186">
        <f t="shared" si="34"/>
        <v>8.7520484478194387</v>
      </c>
      <c r="X291" s="52">
        <v>5</v>
      </c>
      <c r="Y291" s="68" t="s">
        <v>602</v>
      </c>
    </row>
    <row r="292" spans="1:25" x14ac:dyDescent="0.35">
      <c r="A292" s="49">
        <v>-0.33175447161478105</v>
      </c>
      <c r="B292" s="50" t="s">
        <v>59</v>
      </c>
      <c r="C292" s="50">
        <v>8.0273972602739718</v>
      </c>
      <c r="D292" s="50">
        <f t="shared" si="28"/>
        <v>0.9045747558976347</v>
      </c>
      <c r="E292" s="50">
        <v>3.7707754512906644</v>
      </c>
      <c r="F292" s="50">
        <v>0</v>
      </c>
      <c r="G292" s="50">
        <v>2.3199999999999998</v>
      </c>
      <c r="H292" s="50">
        <f t="shared" si="29"/>
        <v>0.36548798489089962</v>
      </c>
      <c r="I292" s="50">
        <v>2.1238516409670858</v>
      </c>
      <c r="J292" s="50">
        <v>0.18752072083646307</v>
      </c>
      <c r="K292" s="50">
        <v>5</v>
      </c>
      <c r="L292" s="50">
        <f t="shared" si="30"/>
        <v>0.69897000433601886</v>
      </c>
      <c r="M292" s="50">
        <v>1</v>
      </c>
      <c r="N292" s="50">
        <v>91.5</v>
      </c>
      <c r="O292" s="50">
        <f t="shared" si="31"/>
        <v>1.9614210940664483</v>
      </c>
      <c r="P292" s="50">
        <v>32.9</v>
      </c>
      <c r="Q292" s="50">
        <f t="shared" si="32"/>
        <v>1.5171958979499742</v>
      </c>
      <c r="R292" s="50">
        <v>40.767390998852598</v>
      </c>
      <c r="S292" s="50">
        <f t="shared" si="33"/>
        <v>1.6103129186864549</v>
      </c>
      <c r="T292" s="50">
        <v>3.3130759152940494</v>
      </c>
      <c r="U292" s="50">
        <v>3.7917344972186413</v>
      </c>
      <c r="V292" s="186">
        <v>571000000</v>
      </c>
      <c r="W292" s="186">
        <f t="shared" si="34"/>
        <v>8.7566361082458481</v>
      </c>
      <c r="X292" s="50">
        <v>5</v>
      </c>
      <c r="Y292" s="66" t="s">
        <v>45</v>
      </c>
    </row>
    <row r="293" spans="1:25" x14ac:dyDescent="0.35">
      <c r="A293" s="67">
        <v>0.12860590118784496</v>
      </c>
      <c r="B293" s="52" t="s">
        <v>434</v>
      </c>
      <c r="C293" s="52">
        <v>2.5671232876712327</v>
      </c>
      <c r="D293" s="50">
        <f t="shared" si="28"/>
        <v>0.40944672643130353</v>
      </c>
      <c r="E293" s="52">
        <v>3.8584156743566731</v>
      </c>
      <c r="F293" s="52">
        <v>2.2013971243204513</v>
      </c>
      <c r="G293" s="52">
        <v>2.66</v>
      </c>
      <c r="H293" s="50">
        <f t="shared" si="29"/>
        <v>0.42488163663106698</v>
      </c>
      <c r="I293" s="52">
        <v>2.8134697878296753</v>
      </c>
      <c r="J293" s="52">
        <v>0.13353890837021748</v>
      </c>
      <c r="K293" s="52">
        <v>27</v>
      </c>
      <c r="L293" s="50">
        <f t="shared" si="30"/>
        <v>1.4313637641589874</v>
      </c>
      <c r="M293" s="52">
        <v>1</v>
      </c>
      <c r="N293" s="52">
        <v>77.3</v>
      </c>
      <c r="O293" s="50">
        <f t="shared" si="31"/>
        <v>1.888179493918325</v>
      </c>
      <c r="P293" s="52">
        <v>41.91</v>
      </c>
      <c r="Q293" s="50">
        <f t="shared" si="32"/>
        <v>1.6223176608338443</v>
      </c>
      <c r="R293" s="52">
        <v>49.378950814702399</v>
      </c>
      <c r="S293" s="50">
        <f t="shared" si="33"/>
        <v>1.6935418579688173</v>
      </c>
      <c r="T293" s="52">
        <v>3.6224784109972026</v>
      </c>
      <c r="U293" s="52">
        <v>3.7852505485064163</v>
      </c>
      <c r="V293" s="187">
        <v>577850000</v>
      </c>
      <c r="W293" s="186">
        <f t="shared" si="34"/>
        <v>8.7618151176130699</v>
      </c>
      <c r="X293" s="52">
        <v>3</v>
      </c>
      <c r="Y293" s="68" t="s">
        <v>45</v>
      </c>
    </row>
    <row r="294" spans="1:25" x14ac:dyDescent="0.35">
      <c r="A294" s="49">
        <v>1.4723256820706378E-2</v>
      </c>
      <c r="B294" s="50" t="s">
        <v>45</v>
      </c>
      <c r="C294" s="50">
        <v>3.1698630136986301</v>
      </c>
      <c r="D294" s="50">
        <f t="shared" si="28"/>
        <v>0.50104049449527488</v>
      </c>
      <c r="E294" s="50">
        <v>0</v>
      </c>
      <c r="F294" s="50">
        <v>1.8920946026904804</v>
      </c>
      <c r="G294" s="50">
        <v>2.95</v>
      </c>
      <c r="H294" s="50">
        <f t="shared" si="29"/>
        <v>0.46982201597816303</v>
      </c>
      <c r="I294" s="50">
        <v>0</v>
      </c>
      <c r="J294" s="50">
        <v>0.18808437371493819</v>
      </c>
      <c r="K294" s="50">
        <v>8</v>
      </c>
      <c r="L294" s="50">
        <f t="shared" si="30"/>
        <v>0.90308998699194354</v>
      </c>
      <c r="M294" s="50">
        <v>0</v>
      </c>
      <c r="N294" s="50">
        <v>85</v>
      </c>
      <c r="O294" s="50">
        <f t="shared" si="31"/>
        <v>1.9294189257142926</v>
      </c>
      <c r="P294" s="50">
        <v>24.1</v>
      </c>
      <c r="Q294" s="50">
        <f t="shared" si="32"/>
        <v>1.3820170425748683</v>
      </c>
      <c r="R294" s="50">
        <v>36.728532427451597</v>
      </c>
      <c r="S294" s="50">
        <f t="shared" si="33"/>
        <v>1.5650035754622837</v>
      </c>
      <c r="T294" s="50">
        <v>3.0687415514991745</v>
      </c>
      <c r="U294" s="50">
        <v>3.5297005493117593</v>
      </c>
      <c r="V294" s="186">
        <v>580000000</v>
      </c>
      <c r="W294" s="186">
        <f t="shared" si="34"/>
        <v>8.7634279935629369</v>
      </c>
      <c r="X294" s="50">
        <v>7</v>
      </c>
      <c r="Y294" s="66" t="s">
        <v>45</v>
      </c>
    </row>
    <row r="295" spans="1:25" x14ac:dyDescent="0.35">
      <c r="A295" s="67">
        <v>4.6804524432146763E-2</v>
      </c>
      <c r="B295" s="52" t="s">
        <v>489</v>
      </c>
      <c r="C295" s="52">
        <v>3.6739726027397261</v>
      </c>
      <c r="D295" s="50">
        <f t="shared" si="28"/>
        <v>0.56513591339512426</v>
      </c>
      <c r="E295" s="52">
        <v>2.8904489647796185</v>
      </c>
      <c r="F295" s="52">
        <v>0.84509804001425681</v>
      </c>
      <c r="G295" s="52">
        <v>3.18</v>
      </c>
      <c r="H295" s="50">
        <f t="shared" si="29"/>
        <v>0.50242711998443268</v>
      </c>
      <c r="I295" s="52">
        <v>2.4068239403146179</v>
      </c>
      <c r="J295" s="52">
        <v>4.1392685158225077E-2</v>
      </c>
      <c r="K295" s="52">
        <v>22</v>
      </c>
      <c r="L295" s="50">
        <f t="shared" si="30"/>
        <v>1.3424226808222062</v>
      </c>
      <c r="M295" s="52">
        <v>1</v>
      </c>
      <c r="N295" s="52">
        <v>70</v>
      </c>
      <c r="O295" s="50">
        <f t="shared" si="31"/>
        <v>1.8450980400142569</v>
      </c>
      <c r="P295" s="52">
        <v>27.63</v>
      </c>
      <c r="Q295" s="50">
        <f t="shared" si="32"/>
        <v>1.4413808849165113</v>
      </c>
      <c r="R295" s="52">
        <v>49.329709120205997</v>
      </c>
      <c r="S295" s="50">
        <f t="shared" si="33"/>
        <v>1.6931085545892062</v>
      </c>
      <c r="T295" s="52">
        <v>3.2327651641054547</v>
      </c>
      <c r="U295" s="52">
        <v>3.9527244147731087</v>
      </c>
      <c r="V295" s="187">
        <v>580000000</v>
      </c>
      <c r="W295" s="186">
        <f t="shared" si="34"/>
        <v>8.7634279935629369</v>
      </c>
      <c r="X295" s="52">
        <v>1</v>
      </c>
      <c r="Y295" s="68" t="s">
        <v>59</v>
      </c>
    </row>
    <row r="296" spans="1:25" x14ac:dyDescent="0.35">
      <c r="A296" s="49">
        <v>-7.3010391223115631E-2</v>
      </c>
      <c r="B296" s="50" t="s">
        <v>59</v>
      </c>
      <c r="C296" s="50">
        <v>1.2821917808219179</v>
      </c>
      <c r="D296" s="50">
        <f t="shared" si="28"/>
        <v>0.10795298861764935</v>
      </c>
      <c r="E296" s="50">
        <v>0</v>
      </c>
      <c r="F296" s="50">
        <v>0.3010299956639812</v>
      </c>
      <c r="G296" s="50">
        <v>3.29</v>
      </c>
      <c r="H296" s="50">
        <f t="shared" si="29"/>
        <v>0.51719589794997434</v>
      </c>
      <c r="I296" s="50">
        <v>0</v>
      </c>
      <c r="J296" s="50">
        <v>0.13672056715640679</v>
      </c>
      <c r="K296" s="50">
        <v>15</v>
      </c>
      <c r="L296" s="50">
        <f t="shared" si="30"/>
        <v>1.1760912590556813</v>
      </c>
      <c r="M296" s="50">
        <v>0</v>
      </c>
      <c r="N296" s="50">
        <v>100</v>
      </c>
      <c r="O296" s="50">
        <f t="shared" si="31"/>
        <v>2</v>
      </c>
      <c r="P296" s="50">
        <v>29.5</v>
      </c>
      <c r="Q296" s="50">
        <f t="shared" si="32"/>
        <v>1.469822015978163</v>
      </c>
      <c r="R296" s="50">
        <v>38.538703610951003</v>
      </c>
      <c r="S296" s="50">
        <f t="shared" si="33"/>
        <v>1.5858971014953607</v>
      </c>
      <c r="T296" s="50">
        <v>3.2327651641054547</v>
      </c>
      <c r="U296" s="50">
        <v>3.9527244147731087</v>
      </c>
      <c r="V296" s="186">
        <v>580000000</v>
      </c>
      <c r="W296" s="186">
        <f t="shared" si="34"/>
        <v>8.7634279935629369</v>
      </c>
      <c r="X296" s="50">
        <v>6</v>
      </c>
      <c r="Y296" s="66" t="s">
        <v>59</v>
      </c>
    </row>
    <row r="297" spans="1:25" x14ac:dyDescent="0.35">
      <c r="A297" s="67">
        <v>0.27069276805557874</v>
      </c>
      <c r="B297" s="52" t="s">
        <v>59</v>
      </c>
      <c r="C297" s="52">
        <v>4.0191780821917806</v>
      </c>
      <c r="D297" s="50">
        <f t="shared" si="28"/>
        <v>0.60413724938680791</v>
      </c>
      <c r="E297" s="52">
        <v>0</v>
      </c>
      <c r="F297" s="52">
        <v>1.6127838567197355</v>
      </c>
      <c r="G297" s="52">
        <v>3.29</v>
      </c>
      <c r="H297" s="50">
        <f t="shared" si="29"/>
        <v>0.51719589794997434</v>
      </c>
      <c r="I297" s="52">
        <v>0</v>
      </c>
      <c r="J297" s="52">
        <v>0.19589965240923368</v>
      </c>
      <c r="K297" s="52">
        <v>77</v>
      </c>
      <c r="L297" s="50">
        <f t="shared" si="30"/>
        <v>1.8864907251724818</v>
      </c>
      <c r="M297" s="52">
        <v>0</v>
      </c>
      <c r="N297" s="52">
        <v>94.6</v>
      </c>
      <c r="O297" s="50">
        <f t="shared" si="31"/>
        <v>1.9758911364017928</v>
      </c>
      <c r="P297" s="52">
        <v>33.200000000000003</v>
      </c>
      <c r="Q297" s="50">
        <f t="shared" si="32"/>
        <v>1.5211380837040362</v>
      </c>
      <c r="R297" s="52">
        <v>45.921427555082097</v>
      </c>
      <c r="S297" s="50">
        <f t="shared" si="33"/>
        <v>1.6620153804713207</v>
      </c>
      <c r="T297" s="52">
        <v>3.3314213062933389</v>
      </c>
      <c r="U297" s="52">
        <v>3.884802064783424</v>
      </c>
      <c r="V297" s="187">
        <v>585000000</v>
      </c>
      <c r="W297" s="186">
        <f t="shared" si="34"/>
        <v>8.7671558660821809</v>
      </c>
      <c r="X297" s="52">
        <v>1</v>
      </c>
      <c r="Y297" s="68" t="s">
        <v>59</v>
      </c>
    </row>
    <row r="298" spans="1:25" x14ac:dyDescent="0.35">
      <c r="A298" s="49">
        <v>0.49277276362124844</v>
      </c>
      <c r="B298" s="50" t="s">
        <v>45</v>
      </c>
      <c r="C298" s="50">
        <v>3.8493150684931505</v>
      </c>
      <c r="D298" s="50">
        <f t="shared" si="28"/>
        <v>0.58538345978462403</v>
      </c>
      <c r="E298" s="50">
        <v>0</v>
      </c>
      <c r="F298" s="50">
        <v>0</v>
      </c>
      <c r="G298" s="50">
        <v>2.95</v>
      </c>
      <c r="H298" s="50">
        <f t="shared" si="29"/>
        <v>0.46982201597816303</v>
      </c>
      <c r="I298" s="50">
        <v>0</v>
      </c>
      <c r="J298" s="50">
        <v>0.1553360374650618</v>
      </c>
      <c r="K298" s="50">
        <v>15</v>
      </c>
      <c r="L298" s="50">
        <f t="shared" si="30"/>
        <v>1.1760912590556813</v>
      </c>
      <c r="M298" s="50">
        <v>0</v>
      </c>
      <c r="N298" s="50">
        <v>85</v>
      </c>
      <c r="O298" s="50">
        <f t="shared" si="31"/>
        <v>1.9294189257142926</v>
      </c>
      <c r="P298" s="50">
        <v>24.9</v>
      </c>
      <c r="Q298" s="50">
        <f t="shared" si="32"/>
        <v>1.3961993470957363</v>
      </c>
      <c r="R298" s="50">
        <v>36.710134890601303</v>
      </c>
      <c r="S298" s="50">
        <f t="shared" si="33"/>
        <v>1.564785980312654</v>
      </c>
      <c r="T298" s="50">
        <v>3.0958500844125241</v>
      </c>
      <c r="U298" s="50">
        <v>3.5078178355445662</v>
      </c>
      <c r="V298" s="186">
        <v>586800000</v>
      </c>
      <c r="W298" s="186">
        <f t="shared" si="34"/>
        <v>8.7684901051712458</v>
      </c>
      <c r="X298" s="50">
        <v>1</v>
      </c>
      <c r="Y298" s="66" t="s">
        <v>602</v>
      </c>
    </row>
    <row r="299" spans="1:25" x14ac:dyDescent="0.35">
      <c r="A299" s="67">
        <v>-2</v>
      </c>
      <c r="B299" s="52" t="s">
        <v>45</v>
      </c>
      <c r="C299" s="52">
        <v>5.1589041095890407</v>
      </c>
      <c r="D299" s="50">
        <f t="shared" si="28"/>
        <v>0.71255745556019012</v>
      </c>
      <c r="E299" s="52">
        <v>0</v>
      </c>
      <c r="F299" s="52">
        <v>0.90308998699194354</v>
      </c>
      <c r="G299" s="52">
        <v>2.95</v>
      </c>
      <c r="H299" s="50">
        <f t="shared" si="29"/>
        <v>0.46982201597816303</v>
      </c>
      <c r="I299" s="52">
        <v>0</v>
      </c>
      <c r="J299" s="52">
        <v>-6.5501548756432285E-2</v>
      </c>
      <c r="K299" s="52">
        <v>22</v>
      </c>
      <c r="L299" s="50">
        <f t="shared" si="30"/>
        <v>1.3424226808222062</v>
      </c>
      <c r="M299" s="52">
        <v>0</v>
      </c>
      <c r="N299" s="52">
        <v>85</v>
      </c>
      <c r="O299" s="50">
        <f t="shared" si="31"/>
        <v>1.9294189257142926</v>
      </c>
      <c r="P299" s="52">
        <v>27.8</v>
      </c>
      <c r="Q299" s="50">
        <f t="shared" si="32"/>
        <v>1.4440447959180762</v>
      </c>
      <c r="R299" s="52">
        <v>35.119429201759203</v>
      </c>
      <c r="S299" s="50">
        <f t="shared" si="33"/>
        <v>1.5455474486765259</v>
      </c>
      <c r="T299" s="52">
        <v>3.0687415514991745</v>
      </c>
      <c r="U299" s="52">
        <v>3.5297005493117593</v>
      </c>
      <c r="V299" s="187">
        <v>593000000</v>
      </c>
      <c r="W299" s="186">
        <f t="shared" si="34"/>
        <v>8.7730546933642621</v>
      </c>
      <c r="X299" s="52">
        <v>5</v>
      </c>
      <c r="Y299" s="68" t="s">
        <v>45</v>
      </c>
    </row>
    <row r="300" spans="1:25" x14ac:dyDescent="0.35">
      <c r="A300" s="49">
        <v>-0.34468749021747885</v>
      </c>
      <c r="B300" s="50" t="s">
        <v>45</v>
      </c>
      <c r="C300" s="50">
        <v>8.3698630136986303</v>
      </c>
      <c r="D300" s="50">
        <f t="shared" si="28"/>
        <v>0.92271835012209835</v>
      </c>
      <c r="E300" s="50">
        <v>0</v>
      </c>
      <c r="F300" s="50">
        <v>0.77815125038364363</v>
      </c>
      <c r="G300" s="50">
        <v>2.95</v>
      </c>
      <c r="H300" s="50">
        <f t="shared" si="29"/>
        <v>0.46982201597816303</v>
      </c>
      <c r="I300" s="50">
        <v>0</v>
      </c>
      <c r="J300" s="50">
        <v>0.32469391386177465</v>
      </c>
      <c r="K300" s="50">
        <v>8</v>
      </c>
      <c r="L300" s="50">
        <f t="shared" si="30"/>
        <v>0.90308998699194354</v>
      </c>
      <c r="M300" s="50">
        <v>0</v>
      </c>
      <c r="N300" s="50">
        <v>85</v>
      </c>
      <c r="O300" s="50">
        <f t="shared" si="31"/>
        <v>1.9294189257142926</v>
      </c>
      <c r="P300" s="50">
        <v>24.1</v>
      </c>
      <c r="Q300" s="50">
        <f t="shared" si="32"/>
        <v>1.3820170425748683</v>
      </c>
      <c r="R300" s="50">
        <v>36.728532427451597</v>
      </c>
      <c r="S300" s="50">
        <f t="shared" si="33"/>
        <v>1.5650035754622837</v>
      </c>
      <c r="T300" s="50">
        <v>3.0687415514991745</v>
      </c>
      <c r="U300" s="50">
        <v>3.5297005493117593</v>
      </c>
      <c r="V300" s="186">
        <v>596000000</v>
      </c>
      <c r="W300" s="186">
        <f t="shared" si="34"/>
        <v>8.7752462597402356</v>
      </c>
      <c r="X300" s="50">
        <v>5</v>
      </c>
      <c r="Y300" s="66" t="s">
        <v>45</v>
      </c>
    </row>
    <row r="301" spans="1:25" x14ac:dyDescent="0.35">
      <c r="A301" s="67">
        <v>0.43635873299666728</v>
      </c>
      <c r="B301" s="52" t="s">
        <v>2</v>
      </c>
      <c r="C301" s="52">
        <v>4.0821917808219181</v>
      </c>
      <c r="D301" s="50">
        <f t="shared" si="28"/>
        <v>0.61089340395579939</v>
      </c>
      <c r="E301" s="52">
        <v>2.9629325585580042</v>
      </c>
      <c r="F301" s="52">
        <v>1.146128035678238</v>
      </c>
      <c r="G301" s="52">
        <v>2.62</v>
      </c>
      <c r="H301" s="50">
        <f t="shared" si="29"/>
        <v>0.41830129131974547</v>
      </c>
      <c r="I301" s="52">
        <v>2.9323046139517812</v>
      </c>
      <c r="J301" s="52">
        <v>4.1392685158225077E-2</v>
      </c>
      <c r="K301" s="52">
        <v>19</v>
      </c>
      <c r="L301" s="50">
        <f t="shared" si="30"/>
        <v>1.2787536009528289</v>
      </c>
      <c r="M301" s="52">
        <v>1</v>
      </c>
      <c r="N301" s="52">
        <v>70</v>
      </c>
      <c r="O301" s="50">
        <f t="shared" si="31"/>
        <v>1.8450980400142569</v>
      </c>
      <c r="P301" s="52">
        <v>33.9</v>
      </c>
      <c r="Q301" s="50">
        <f t="shared" si="32"/>
        <v>1.5301996982030821</v>
      </c>
      <c r="R301" s="52">
        <v>46.312020505412598</v>
      </c>
      <c r="S301" s="50">
        <f t="shared" si="33"/>
        <v>1.6656937288498501</v>
      </c>
      <c r="T301" s="52">
        <v>3.2699236952309461</v>
      </c>
      <c r="U301" s="52">
        <v>3.6984415808994222</v>
      </c>
      <c r="V301" s="187">
        <v>598920000</v>
      </c>
      <c r="W301" s="186">
        <f t="shared" si="34"/>
        <v>8.7773688159137464</v>
      </c>
      <c r="X301" s="52">
        <v>4</v>
      </c>
      <c r="Y301" s="68" t="s">
        <v>577</v>
      </c>
    </row>
    <row r="302" spans="1:25" x14ac:dyDescent="0.35">
      <c r="A302" s="49">
        <v>-0.17885209215101669</v>
      </c>
      <c r="B302" s="50" t="s">
        <v>419</v>
      </c>
      <c r="C302" s="50">
        <v>11.490410958904109</v>
      </c>
      <c r="D302" s="50">
        <f t="shared" si="28"/>
        <v>1.0603355616728503</v>
      </c>
      <c r="E302" s="50">
        <v>2.5987029826834349</v>
      </c>
      <c r="F302" s="50">
        <v>2</v>
      </c>
      <c r="G302" s="50">
        <v>3.35</v>
      </c>
      <c r="H302" s="50">
        <f t="shared" si="29"/>
        <v>0.5250448070368452</v>
      </c>
      <c r="I302" s="50">
        <v>2.5401208298279827</v>
      </c>
      <c r="J302" s="50">
        <v>0.26481782300953643</v>
      </c>
      <c r="K302" s="50">
        <v>16</v>
      </c>
      <c r="L302" s="50">
        <f t="shared" si="30"/>
        <v>1.2041199826559248</v>
      </c>
      <c r="M302" s="50">
        <v>1</v>
      </c>
      <c r="N302" s="50">
        <v>85</v>
      </c>
      <c r="O302" s="50">
        <f t="shared" si="31"/>
        <v>1.9294189257142926</v>
      </c>
      <c r="P302" s="50">
        <v>42.1</v>
      </c>
      <c r="Q302" s="50">
        <f t="shared" si="32"/>
        <v>1.6242820958356683</v>
      </c>
      <c r="R302" s="50">
        <v>49.275185994026302</v>
      </c>
      <c r="S302" s="50">
        <f t="shared" si="33"/>
        <v>1.6926282722417263</v>
      </c>
      <c r="T302" s="50">
        <v>3.212261842580872</v>
      </c>
      <c r="U302" s="50">
        <v>3.9329492300777744</v>
      </c>
      <c r="V302" s="186">
        <v>599000000</v>
      </c>
      <c r="W302" s="186">
        <f t="shared" si="34"/>
        <v>8.7774268223893106</v>
      </c>
      <c r="X302" s="50">
        <v>1</v>
      </c>
      <c r="Y302" s="66" t="s">
        <v>4</v>
      </c>
    </row>
    <row r="303" spans="1:25" x14ac:dyDescent="0.35">
      <c r="A303" s="67">
        <v>-3.7788560889399803E-2</v>
      </c>
      <c r="B303" s="52" t="s">
        <v>4</v>
      </c>
      <c r="C303" s="52">
        <v>7.397260273972603</v>
      </c>
      <c r="D303" s="50">
        <f t="shared" si="28"/>
        <v>0.86907089970251261</v>
      </c>
      <c r="E303" s="52">
        <v>0</v>
      </c>
      <c r="F303" s="52">
        <v>1.9867717342662448</v>
      </c>
      <c r="G303" s="52">
        <v>3.59</v>
      </c>
      <c r="H303" s="50">
        <f t="shared" si="29"/>
        <v>0.55509444857831913</v>
      </c>
      <c r="I303" s="52">
        <v>0</v>
      </c>
      <c r="J303" s="52">
        <v>4.5322978786657475E-2</v>
      </c>
      <c r="K303" s="52">
        <v>5</v>
      </c>
      <c r="L303" s="50">
        <f t="shared" si="30"/>
        <v>0.69897000433601886</v>
      </c>
      <c r="M303" s="52">
        <v>0</v>
      </c>
      <c r="N303" s="52">
        <v>70</v>
      </c>
      <c r="O303" s="50">
        <f t="shared" si="31"/>
        <v>1.8450980400142569</v>
      </c>
      <c r="P303" s="52">
        <v>48.8</v>
      </c>
      <c r="Q303" s="50">
        <f t="shared" si="32"/>
        <v>1.6884198220027107</v>
      </c>
      <c r="R303" s="52">
        <v>56.244853437044902</v>
      </c>
      <c r="S303" s="50">
        <f t="shared" si="33"/>
        <v>1.750082789429638</v>
      </c>
      <c r="T303" s="52">
        <v>3.1616209089088487</v>
      </c>
      <c r="U303" s="52">
        <v>3.7997633234477775</v>
      </c>
      <c r="V303" s="187">
        <v>600000000</v>
      </c>
      <c r="W303" s="186">
        <f t="shared" si="34"/>
        <v>8.7781512503836439</v>
      </c>
      <c r="X303" s="52">
        <v>7</v>
      </c>
      <c r="Y303" s="68" t="s">
        <v>4</v>
      </c>
    </row>
    <row r="304" spans="1:25" x14ac:dyDescent="0.35">
      <c r="A304" s="49">
        <v>6.8509665297384587E-2</v>
      </c>
      <c r="B304" s="50" t="s">
        <v>2</v>
      </c>
      <c r="C304" s="50">
        <v>3.3232876712328765</v>
      </c>
      <c r="D304" s="50">
        <f t="shared" si="28"/>
        <v>0.52156793641009824</v>
      </c>
      <c r="E304" s="50">
        <v>3.8335760926148099</v>
      </c>
      <c r="F304" s="50">
        <v>2.1492191126553797</v>
      </c>
      <c r="G304" s="50">
        <v>2.85</v>
      </c>
      <c r="H304" s="50">
        <f t="shared" si="29"/>
        <v>0.45484486000851021</v>
      </c>
      <c r="I304" s="50">
        <v>2.9138138523837167</v>
      </c>
      <c r="J304" s="50">
        <v>5.6904851336472641E-2</v>
      </c>
      <c r="K304" s="50">
        <v>19</v>
      </c>
      <c r="L304" s="50">
        <f t="shared" si="30"/>
        <v>1.2787536009528289</v>
      </c>
      <c r="M304" s="50">
        <v>1</v>
      </c>
      <c r="N304" s="50">
        <v>70</v>
      </c>
      <c r="O304" s="50">
        <f t="shared" si="31"/>
        <v>1.8450980400142569</v>
      </c>
      <c r="P304" s="50">
        <v>33.9</v>
      </c>
      <c r="Q304" s="50">
        <f t="shared" si="32"/>
        <v>1.5301996982030821</v>
      </c>
      <c r="R304" s="50">
        <v>46.312020505412598</v>
      </c>
      <c r="S304" s="50">
        <f t="shared" si="33"/>
        <v>1.6656937288498501</v>
      </c>
      <c r="T304" s="50">
        <v>3.3647319918335836</v>
      </c>
      <c r="U304" s="50">
        <v>3.568659604598353</v>
      </c>
      <c r="V304" s="186">
        <v>600000000</v>
      </c>
      <c r="W304" s="186">
        <f t="shared" si="34"/>
        <v>8.7781512503836439</v>
      </c>
      <c r="X304" s="50">
        <v>8</v>
      </c>
      <c r="Y304" s="66" t="s">
        <v>602</v>
      </c>
    </row>
    <row r="305" spans="1:25" x14ac:dyDescent="0.35">
      <c r="A305" s="67">
        <v>-3.7788560889399803E-2</v>
      </c>
      <c r="B305" s="52" t="s">
        <v>7</v>
      </c>
      <c r="C305" s="52">
        <v>8.0520547945205472</v>
      </c>
      <c r="D305" s="50">
        <f t="shared" si="28"/>
        <v>0.90590672161613783</v>
      </c>
      <c r="E305" s="52">
        <v>3.8052737966880943</v>
      </c>
      <c r="F305" s="52">
        <v>1</v>
      </c>
      <c r="G305" s="52">
        <v>2.99</v>
      </c>
      <c r="H305" s="50">
        <f t="shared" si="29"/>
        <v>0.47567118832442967</v>
      </c>
      <c r="I305" s="52">
        <v>2.8414637553591628</v>
      </c>
      <c r="J305" s="52">
        <v>0.12710479836480765</v>
      </c>
      <c r="K305" s="52">
        <v>39</v>
      </c>
      <c r="L305" s="50">
        <f t="shared" si="30"/>
        <v>1.5910646070264991</v>
      </c>
      <c r="M305" s="52">
        <v>1</v>
      </c>
      <c r="N305" s="52">
        <v>85</v>
      </c>
      <c r="O305" s="50">
        <f t="shared" si="31"/>
        <v>1.9294189257142926</v>
      </c>
      <c r="P305" s="52">
        <v>37.799999999999997</v>
      </c>
      <c r="Q305" s="50">
        <f t="shared" si="32"/>
        <v>1.5774917998372253</v>
      </c>
      <c r="R305" s="52">
        <v>43.5787105608064</v>
      </c>
      <c r="S305" s="50">
        <f t="shared" si="33"/>
        <v>1.6392743758732649</v>
      </c>
      <c r="T305" s="52">
        <v>3.1527645837352773</v>
      </c>
      <c r="U305" s="52">
        <v>3.5411223705253856</v>
      </c>
      <c r="V305" s="187">
        <v>600000000</v>
      </c>
      <c r="W305" s="186">
        <f t="shared" si="34"/>
        <v>8.7781512503836439</v>
      </c>
      <c r="X305" s="52">
        <v>9</v>
      </c>
      <c r="Y305" s="68" t="s">
        <v>602</v>
      </c>
    </row>
    <row r="306" spans="1:25" x14ac:dyDescent="0.35">
      <c r="A306" s="49">
        <v>-1.6531584835935944E-2</v>
      </c>
      <c r="B306" s="50" t="s">
        <v>2</v>
      </c>
      <c r="C306" s="50">
        <v>2.1643835616438358</v>
      </c>
      <c r="D306" s="50">
        <f t="shared" si="28"/>
        <v>0.33533422683396674</v>
      </c>
      <c r="E306" s="50">
        <v>3.8335760926148099</v>
      </c>
      <c r="F306" s="50">
        <v>0.95424250943932487</v>
      </c>
      <c r="G306" s="50">
        <v>2.85</v>
      </c>
      <c r="H306" s="50">
        <f t="shared" si="29"/>
        <v>0.45484486000851021</v>
      </c>
      <c r="I306" s="50">
        <v>2.9138138523837167</v>
      </c>
      <c r="J306" s="50">
        <v>-9.1514981121350217E-2</v>
      </c>
      <c r="K306" s="50">
        <v>77</v>
      </c>
      <c r="L306" s="50">
        <f t="shared" si="30"/>
        <v>1.8864907251724818</v>
      </c>
      <c r="M306" s="50">
        <v>1</v>
      </c>
      <c r="N306" s="50">
        <v>89.9</v>
      </c>
      <c r="O306" s="50">
        <f t="shared" si="31"/>
        <v>1.9537596917332287</v>
      </c>
      <c r="P306" s="50">
        <v>35.4</v>
      </c>
      <c r="Q306" s="50">
        <f t="shared" si="32"/>
        <v>1.5490032620257879</v>
      </c>
      <c r="R306" s="50">
        <v>43.572845019400901</v>
      </c>
      <c r="S306" s="50">
        <f t="shared" si="33"/>
        <v>1.6392159174268797</v>
      </c>
      <c r="T306" s="50">
        <v>3.3779512479807074</v>
      </c>
      <c r="U306" s="50">
        <v>3.7669888618571257</v>
      </c>
      <c r="V306" s="186">
        <v>600000000</v>
      </c>
      <c r="W306" s="186">
        <f t="shared" si="34"/>
        <v>8.7781512503836439</v>
      </c>
      <c r="X306" s="50">
        <v>5</v>
      </c>
      <c r="Y306" s="66" t="s">
        <v>45</v>
      </c>
    </row>
    <row r="307" spans="1:25" x14ac:dyDescent="0.35">
      <c r="A307" s="67">
        <v>0.60822262978202302</v>
      </c>
      <c r="B307" s="52" t="s">
        <v>45</v>
      </c>
      <c r="C307" s="52">
        <v>4.6684931506849319</v>
      </c>
      <c r="D307" s="50">
        <f t="shared" si="28"/>
        <v>0.66917672597420663</v>
      </c>
      <c r="E307" s="52">
        <v>0</v>
      </c>
      <c r="F307" s="52">
        <v>1.3010299956639813</v>
      </c>
      <c r="G307" s="52">
        <v>2.95</v>
      </c>
      <c r="H307" s="50">
        <f t="shared" si="29"/>
        <v>0.46982201597816303</v>
      </c>
      <c r="I307" s="52">
        <v>0</v>
      </c>
      <c r="J307" s="52">
        <v>0.17609125905568124</v>
      </c>
      <c r="K307" s="52">
        <v>26</v>
      </c>
      <c r="L307" s="50">
        <f t="shared" si="30"/>
        <v>1.414973347970818</v>
      </c>
      <c r="M307" s="52">
        <v>0</v>
      </c>
      <c r="N307" s="52">
        <v>91</v>
      </c>
      <c r="O307" s="50">
        <f t="shared" si="31"/>
        <v>1.9590413923210936</v>
      </c>
      <c r="P307" s="52">
        <v>23.9</v>
      </c>
      <c r="Q307" s="50">
        <f t="shared" si="32"/>
        <v>1.3783979009481377</v>
      </c>
      <c r="R307" s="52">
        <v>42.048698215007001</v>
      </c>
      <c r="S307" s="50">
        <f t="shared" si="33"/>
        <v>1.6237525550259535</v>
      </c>
      <c r="T307" s="52">
        <v>3.3647319918335836</v>
      </c>
      <c r="U307" s="52">
        <v>3.568659604598353</v>
      </c>
      <c r="V307" s="187">
        <v>603870000</v>
      </c>
      <c r="W307" s="186">
        <f t="shared" si="34"/>
        <v>8.7809434545825091</v>
      </c>
      <c r="X307" s="52">
        <v>8</v>
      </c>
      <c r="Y307" s="68" t="s">
        <v>602</v>
      </c>
    </row>
    <row r="308" spans="1:25" x14ac:dyDescent="0.35">
      <c r="A308" s="49">
        <v>0.44451170243689808</v>
      </c>
      <c r="B308" s="83" t="s">
        <v>45</v>
      </c>
      <c r="C308" s="50">
        <v>5.1342465753424653</v>
      </c>
      <c r="D308" s="50">
        <f t="shared" si="28"/>
        <v>0.71047672209528467</v>
      </c>
      <c r="E308" s="50">
        <v>0</v>
      </c>
      <c r="F308" s="50">
        <v>1.9084850188786497</v>
      </c>
      <c r="G308" s="50">
        <v>2.95</v>
      </c>
      <c r="H308" s="50">
        <f t="shared" si="29"/>
        <v>0.46982201597816303</v>
      </c>
      <c r="I308" s="50">
        <v>0</v>
      </c>
      <c r="J308" s="50">
        <v>0.29003461136251801</v>
      </c>
      <c r="K308" s="50">
        <v>25</v>
      </c>
      <c r="L308" s="50">
        <f t="shared" si="30"/>
        <v>1.3979400086720377</v>
      </c>
      <c r="M308" s="50">
        <v>0</v>
      </c>
      <c r="N308" s="50">
        <v>91.1</v>
      </c>
      <c r="O308" s="50">
        <f t="shared" si="31"/>
        <v>1.9595183769729982</v>
      </c>
      <c r="P308" s="50">
        <v>24.1</v>
      </c>
      <c r="Q308" s="50">
        <f t="shared" si="32"/>
        <v>1.3820170425748683</v>
      </c>
      <c r="R308" s="50">
        <v>40.229046020662899</v>
      </c>
      <c r="S308" s="50">
        <f t="shared" si="33"/>
        <v>1.6045397339663818</v>
      </c>
      <c r="T308" s="50">
        <v>4</v>
      </c>
      <c r="U308" s="50">
        <v>4</v>
      </c>
      <c r="V308" s="186">
        <v>628820000</v>
      </c>
      <c r="W308" s="186">
        <f t="shared" si="34"/>
        <v>8.7985263462493961</v>
      </c>
      <c r="X308" s="50">
        <v>6</v>
      </c>
      <c r="Y308" s="102" t="s">
        <v>45</v>
      </c>
    </row>
    <row r="309" spans="1:25" x14ac:dyDescent="0.35">
      <c r="A309" s="67">
        <v>0.34541095739585298</v>
      </c>
      <c r="B309" s="52" t="s">
        <v>45</v>
      </c>
      <c r="C309" s="52">
        <v>6.5123287671232877</v>
      </c>
      <c r="D309" s="50">
        <f t="shared" si="28"/>
        <v>0.81373631727170559</v>
      </c>
      <c r="E309" s="52">
        <v>0</v>
      </c>
      <c r="F309" s="52">
        <v>1.8976270912904414</v>
      </c>
      <c r="G309" s="52">
        <v>2.95</v>
      </c>
      <c r="H309" s="50">
        <f t="shared" si="29"/>
        <v>0.46982201597816303</v>
      </c>
      <c r="I309" s="52">
        <v>0</v>
      </c>
      <c r="J309" s="52">
        <v>6.8185861746161619E-2</v>
      </c>
      <c r="K309" s="52">
        <v>20</v>
      </c>
      <c r="L309" s="50">
        <f t="shared" si="30"/>
        <v>1.3010299956639813</v>
      </c>
      <c r="M309" s="52">
        <v>0</v>
      </c>
      <c r="N309" s="52">
        <v>91.4</v>
      </c>
      <c r="O309" s="50">
        <f t="shared" si="31"/>
        <v>1.9609461957338314</v>
      </c>
      <c r="P309" s="52">
        <v>26.7</v>
      </c>
      <c r="Q309" s="50">
        <f t="shared" si="32"/>
        <v>1.4265112613645752</v>
      </c>
      <c r="R309" s="52">
        <v>37.425715444240403</v>
      </c>
      <c r="S309" s="50">
        <f t="shared" si="33"/>
        <v>1.5731701112332821</v>
      </c>
      <c r="T309" s="52">
        <v>3.0958500844125241</v>
      </c>
      <c r="U309" s="52">
        <v>3.5078178355445662</v>
      </c>
      <c r="V309" s="187">
        <v>632000000</v>
      </c>
      <c r="W309" s="186">
        <f t="shared" si="34"/>
        <v>8.8007170782823856</v>
      </c>
      <c r="X309" s="52">
        <v>4</v>
      </c>
      <c r="Y309" s="68" t="s">
        <v>45</v>
      </c>
    </row>
    <row r="310" spans="1:25" x14ac:dyDescent="0.35">
      <c r="A310" s="49">
        <v>0.33449350360926283</v>
      </c>
      <c r="B310" s="50" t="s">
        <v>1</v>
      </c>
      <c r="C310" s="50">
        <v>5.117808219178082</v>
      </c>
      <c r="D310" s="50">
        <f t="shared" si="28"/>
        <v>0.70908400743759981</v>
      </c>
      <c r="E310" s="50">
        <v>0</v>
      </c>
      <c r="F310" s="50">
        <v>2.1038037209559568</v>
      </c>
      <c r="G310" s="50">
        <v>3.42</v>
      </c>
      <c r="H310" s="50">
        <f t="shared" si="29"/>
        <v>0.53402610605613499</v>
      </c>
      <c r="I310" s="50">
        <v>0</v>
      </c>
      <c r="J310" s="50">
        <v>-4.5757490560675115E-2</v>
      </c>
      <c r="K310" s="50">
        <v>11</v>
      </c>
      <c r="L310" s="50">
        <f t="shared" si="30"/>
        <v>1.0413926851582251</v>
      </c>
      <c r="M310" s="50">
        <v>0</v>
      </c>
      <c r="N310" s="50">
        <v>70</v>
      </c>
      <c r="O310" s="50">
        <f t="shared" si="31"/>
        <v>1.8450980400142569</v>
      </c>
      <c r="P310" s="50">
        <v>41.9</v>
      </c>
      <c r="Q310" s="50">
        <f t="shared" si="32"/>
        <v>1.6222140229662954</v>
      </c>
      <c r="R310" s="50">
        <v>42.033747909324703</v>
      </c>
      <c r="S310" s="50">
        <f t="shared" si="33"/>
        <v>1.6235981152914243</v>
      </c>
      <c r="T310" s="50">
        <v>3.277819633965128</v>
      </c>
      <c r="U310" s="50">
        <v>3.9304083853612104</v>
      </c>
      <c r="V310" s="186">
        <v>643330000</v>
      </c>
      <c r="W310" s="186">
        <f t="shared" si="34"/>
        <v>8.8084338040518055</v>
      </c>
      <c r="X310" s="50">
        <v>8</v>
      </c>
      <c r="Y310" s="66" t="s">
        <v>577</v>
      </c>
    </row>
    <row r="311" spans="1:25" x14ac:dyDescent="0.35">
      <c r="A311" s="67">
        <v>-0.5920757704213615</v>
      </c>
      <c r="B311" s="52" t="s">
        <v>45</v>
      </c>
      <c r="C311" s="52">
        <v>3.8465753424657536</v>
      </c>
      <c r="D311" s="50">
        <f t="shared" si="28"/>
        <v>0.58507424333731184</v>
      </c>
      <c r="E311" s="52">
        <v>0</v>
      </c>
      <c r="F311" s="52">
        <v>1.8388490907372552</v>
      </c>
      <c r="G311" s="52">
        <v>2.95</v>
      </c>
      <c r="H311" s="50">
        <f t="shared" si="29"/>
        <v>0.46982201597816303</v>
      </c>
      <c r="I311" s="52">
        <v>0</v>
      </c>
      <c r="J311" s="52">
        <v>0.16731733474817609</v>
      </c>
      <c r="K311" s="52">
        <v>13</v>
      </c>
      <c r="L311" s="50">
        <f t="shared" si="30"/>
        <v>1.1139433523068367</v>
      </c>
      <c r="M311" s="52">
        <v>0</v>
      </c>
      <c r="N311" s="52">
        <v>85</v>
      </c>
      <c r="O311" s="50">
        <f t="shared" si="31"/>
        <v>1.9294189257142926</v>
      </c>
      <c r="P311" s="52">
        <v>24.4</v>
      </c>
      <c r="Q311" s="50">
        <f t="shared" si="32"/>
        <v>1.3873898263387294</v>
      </c>
      <c r="R311" s="52">
        <v>37.256914365427299</v>
      </c>
      <c r="S311" s="50">
        <f t="shared" si="33"/>
        <v>1.5712068835833228</v>
      </c>
      <c r="T311" s="52">
        <v>3.1814248062191788</v>
      </c>
      <c r="U311" s="52">
        <v>3.7294207535322617</v>
      </c>
      <c r="V311" s="187">
        <v>645000000</v>
      </c>
      <c r="W311" s="186">
        <f t="shared" si="34"/>
        <v>8.8095597146352684</v>
      </c>
      <c r="X311" s="52">
        <v>5</v>
      </c>
      <c r="Y311" s="68" t="s">
        <v>45</v>
      </c>
    </row>
    <row r="312" spans="1:25" x14ac:dyDescent="0.35">
      <c r="A312" s="49">
        <v>0.11778629856151522</v>
      </c>
      <c r="B312" s="50" t="s">
        <v>5</v>
      </c>
      <c r="C312" s="50">
        <v>5.2712328767123289</v>
      </c>
      <c r="D312" s="50">
        <f t="shared" si="28"/>
        <v>0.72191220324531946</v>
      </c>
      <c r="E312" s="50">
        <v>3.7916829312790057</v>
      </c>
      <c r="F312" s="50">
        <v>1.2041199826559248</v>
      </c>
      <c r="G312" s="50">
        <v>2.72</v>
      </c>
      <c r="H312" s="50">
        <f t="shared" si="29"/>
        <v>0.43456890403419873</v>
      </c>
      <c r="I312" s="50">
        <v>3.0355631414974997</v>
      </c>
      <c r="J312" s="50">
        <v>0.21748394421390627</v>
      </c>
      <c r="K312" s="50">
        <v>26</v>
      </c>
      <c r="L312" s="50">
        <f t="shared" si="30"/>
        <v>1.414973347970818</v>
      </c>
      <c r="M312" s="50">
        <v>1</v>
      </c>
      <c r="N312" s="50">
        <v>82.6</v>
      </c>
      <c r="O312" s="50">
        <f t="shared" si="31"/>
        <v>1.9169800473203822</v>
      </c>
      <c r="P312" s="50">
        <v>35.700000000000003</v>
      </c>
      <c r="Q312" s="50">
        <f t="shared" si="32"/>
        <v>1.5526682161121932</v>
      </c>
      <c r="R312" s="50">
        <v>47.863614247473699</v>
      </c>
      <c r="S312" s="50">
        <f t="shared" si="33"/>
        <v>1.6800054896904866</v>
      </c>
      <c r="T312" s="50">
        <v>3.20911860699078</v>
      </c>
      <c r="U312" s="50">
        <v>3.5849986651910224</v>
      </c>
      <c r="V312" s="186">
        <v>650000000</v>
      </c>
      <c r="W312" s="186">
        <f t="shared" si="34"/>
        <v>8.8129133566428557</v>
      </c>
      <c r="X312" s="50">
        <v>8</v>
      </c>
      <c r="Y312" s="66" t="s">
        <v>45</v>
      </c>
    </row>
    <row r="313" spans="1:25" x14ac:dyDescent="0.35">
      <c r="A313" s="67">
        <v>0.14727191996175543</v>
      </c>
      <c r="B313" s="52" t="s">
        <v>45</v>
      </c>
      <c r="C313" s="52">
        <v>6.1780821917808222</v>
      </c>
      <c r="D313" s="50">
        <f t="shared" si="28"/>
        <v>0.7908536817575047</v>
      </c>
      <c r="E313" s="52">
        <v>0</v>
      </c>
      <c r="F313" s="52">
        <v>0.6020599913279624</v>
      </c>
      <c r="G313" s="52">
        <v>2.95</v>
      </c>
      <c r="H313" s="50">
        <f t="shared" si="29"/>
        <v>0.46982201597816303</v>
      </c>
      <c r="I313" s="52">
        <v>0</v>
      </c>
      <c r="J313" s="52">
        <v>4.9218022670181653E-2</v>
      </c>
      <c r="K313" s="52">
        <v>12</v>
      </c>
      <c r="L313" s="50">
        <f t="shared" si="30"/>
        <v>1.0791812460476249</v>
      </c>
      <c r="M313" s="52">
        <v>0</v>
      </c>
      <c r="N313" s="52">
        <v>85</v>
      </c>
      <c r="O313" s="50">
        <f t="shared" si="31"/>
        <v>1.9294189257142926</v>
      </c>
      <c r="P313" s="52">
        <v>27.4</v>
      </c>
      <c r="Q313" s="50">
        <f t="shared" si="32"/>
        <v>1.4377505628203879</v>
      </c>
      <c r="R313" s="52">
        <v>35.968444143503902</v>
      </c>
      <c r="S313" s="50">
        <f t="shared" si="33"/>
        <v>1.5559216523165715</v>
      </c>
      <c r="T313" s="52">
        <v>3.3647319918335836</v>
      </c>
      <c r="U313" s="52">
        <v>3.568659604598353</v>
      </c>
      <c r="V313" s="187">
        <v>650000000</v>
      </c>
      <c r="W313" s="186">
        <f t="shared" si="34"/>
        <v>8.8129133566428557</v>
      </c>
      <c r="X313" s="52">
        <v>5</v>
      </c>
      <c r="Y313" s="68" t="s">
        <v>602</v>
      </c>
    </row>
    <row r="314" spans="1:25" x14ac:dyDescent="0.35">
      <c r="A314" s="49">
        <v>0.40401005301388143</v>
      </c>
      <c r="B314" s="50" t="s">
        <v>489</v>
      </c>
      <c r="C314" s="50">
        <v>3.6301369863013697</v>
      </c>
      <c r="D314" s="50">
        <f t="shared" si="28"/>
        <v>0.5599230138163519</v>
      </c>
      <c r="E314" s="50">
        <v>0</v>
      </c>
      <c r="F314" s="50">
        <v>1.6989700043360187</v>
      </c>
      <c r="G314" s="50">
        <v>0</v>
      </c>
      <c r="H314" s="50" t="e">
        <f t="shared" si="29"/>
        <v>#NUM!</v>
      </c>
      <c r="I314" s="50">
        <v>0</v>
      </c>
      <c r="J314" s="50">
        <v>0.13987908640123647</v>
      </c>
      <c r="K314" s="50">
        <v>18</v>
      </c>
      <c r="L314" s="50">
        <f t="shared" si="30"/>
        <v>1.255272505103306</v>
      </c>
      <c r="M314" s="50">
        <v>0</v>
      </c>
      <c r="N314" s="50">
        <v>75.400000000000006</v>
      </c>
      <c r="O314" s="50">
        <f t="shared" si="31"/>
        <v>1.8773713458697741</v>
      </c>
      <c r="P314" s="50">
        <v>26.88</v>
      </c>
      <c r="Q314" s="50">
        <f t="shared" si="32"/>
        <v>1.4294292643817876</v>
      </c>
      <c r="R314" s="50">
        <v>49.329709120205997</v>
      </c>
      <c r="S314" s="50">
        <f t="shared" si="33"/>
        <v>1.6931085545892062</v>
      </c>
      <c r="T314" s="50">
        <v>3.1532162502154288</v>
      </c>
      <c r="U314" s="50">
        <v>3.5175748361336181</v>
      </c>
      <c r="V314" s="186">
        <v>654633497</v>
      </c>
      <c r="W314" s="186">
        <f t="shared" si="34"/>
        <v>8.8159982239937715</v>
      </c>
      <c r="X314" s="50">
        <v>1</v>
      </c>
      <c r="Y314" s="66" t="s">
        <v>489</v>
      </c>
    </row>
    <row r="315" spans="1:25" x14ac:dyDescent="0.35">
      <c r="A315" s="67">
        <v>-1.795873695462381E-2</v>
      </c>
      <c r="B315" s="52" t="s">
        <v>5</v>
      </c>
      <c r="C315" s="52">
        <v>1.1123287671232878</v>
      </c>
      <c r="D315" s="50">
        <f t="shared" si="28"/>
        <v>4.6233169120719446E-2</v>
      </c>
      <c r="E315" s="52">
        <v>3.7916829312790057</v>
      </c>
      <c r="F315" s="52">
        <v>0.84509804001425681</v>
      </c>
      <c r="G315" s="52">
        <v>2.72</v>
      </c>
      <c r="H315" s="50">
        <f t="shared" si="29"/>
        <v>0.43456890403419873</v>
      </c>
      <c r="I315" s="52">
        <v>3.0355631414974997</v>
      </c>
      <c r="J315" s="52">
        <v>4.5322978786657475E-2</v>
      </c>
      <c r="K315" s="52">
        <v>19</v>
      </c>
      <c r="L315" s="50">
        <f t="shared" si="30"/>
        <v>1.2787536009528289</v>
      </c>
      <c r="M315" s="52">
        <v>1</v>
      </c>
      <c r="N315" s="52">
        <v>70</v>
      </c>
      <c r="O315" s="50">
        <f t="shared" si="31"/>
        <v>1.8450980400142569</v>
      </c>
      <c r="P315" s="52">
        <v>34.799999999999997</v>
      </c>
      <c r="Q315" s="50">
        <f t="shared" si="32"/>
        <v>1.541579243946581</v>
      </c>
      <c r="R315" s="52">
        <v>43.471204603938098</v>
      </c>
      <c r="S315" s="50">
        <f t="shared" si="33"/>
        <v>1.6382016748260968</v>
      </c>
      <c r="T315" s="52">
        <v>3.3647319918335836</v>
      </c>
      <c r="U315" s="52">
        <v>3.568659604598353</v>
      </c>
      <c r="V315" s="187">
        <v>659570000</v>
      </c>
      <c r="W315" s="186">
        <f t="shared" si="34"/>
        <v>8.8192608938937127</v>
      </c>
      <c r="X315" s="52">
        <v>4</v>
      </c>
      <c r="Y315" s="68" t="s">
        <v>602</v>
      </c>
    </row>
    <row r="316" spans="1:25" x14ac:dyDescent="0.35">
      <c r="A316" s="49">
        <v>-2</v>
      </c>
      <c r="B316" s="50" t="s">
        <v>45</v>
      </c>
      <c r="C316" s="50">
        <v>7.7315068493150685</v>
      </c>
      <c r="D316" s="50">
        <f t="shared" si="28"/>
        <v>0.88826414496185435</v>
      </c>
      <c r="E316" s="50">
        <v>0</v>
      </c>
      <c r="F316" s="50">
        <v>1.0791812460476249</v>
      </c>
      <c r="G316" s="50">
        <v>2.95</v>
      </c>
      <c r="H316" s="50">
        <f t="shared" si="29"/>
        <v>0.46982201597816303</v>
      </c>
      <c r="I316" s="50">
        <v>0</v>
      </c>
      <c r="J316" s="50">
        <v>0.15228834438305647</v>
      </c>
      <c r="K316" s="50">
        <v>21</v>
      </c>
      <c r="L316" s="50">
        <f t="shared" si="30"/>
        <v>1.3222192947339193</v>
      </c>
      <c r="M316" s="50">
        <v>0</v>
      </c>
      <c r="N316" s="50">
        <v>85</v>
      </c>
      <c r="O316" s="50">
        <f t="shared" si="31"/>
        <v>1.9294189257142926</v>
      </c>
      <c r="P316" s="50">
        <v>27.4</v>
      </c>
      <c r="Q316" s="50">
        <f t="shared" si="32"/>
        <v>1.4377505628203879</v>
      </c>
      <c r="R316" s="50">
        <v>35.968444143503902</v>
      </c>
      <c r="S316" s="50">
        <f t="shared" si="33"/>
        <v>1.5559216523165715</v>
      </c>
      <c r="T316" s="50">
        <v>3.0687415514991745</v>
      </c>
      <c r="U316" s="50">
        <v>3.5297005493117593</v>
      </c>
      <c r="V316" s="186">
        <v>660000000</v>
      </c>
      <c r="W316" s="186">
        <f t="shared" si="34"/>
        <v>8.8195439355418692</v>
      </c>
      <c r="X316" s="50">
        <v>5</v>
      </c>
      <c r="Y316" s="66" t="s">
        <v>45</v>
      </c>
    </row>
    <row r="317" spans="1:25" x14ac:dyDescent="0.35">
      <c r="A317" s="67">
        <v>0.43122980346359274</v>
      </c>
      <c r="B317" s="52" t="s">
        <v>59</v>
      </c>
      <c r="C317" s="52">
        <v>11.224657534246575</v>
      </c>
      <c r="D317" s="50">
        <f t="shared" si="28"/>
        <v>1.0501730994966676</v>
      </c>
      <c r="E317" s="52">
        <v>0</v>
      </c>
      <c r="F317" s="52">
        <v>1.5563025007672873</v>
      </c>
      <c r="G317" s="52">
        <v>3.29</v>
      </c>
      <c r="H317" s="50">
        <f t="shared" si="29"/>
        <v>0.51719589794997434</v>
      </c>
      <c r="I317" s="52">
        <v>0</v>
      </c>
      <c r="J317" s="52">
        <v>0.26481782300953643</v>
      </c>
      <c r="K317" s="52">
        <v>19</v>
      </c>
      <c r="L317" s="50">
        <f t="shared" si="30"/>
        <v>1.2787536009528289</v>
      </c>
      <c r="M317" s="52">
        <v>0</v>
      </c>
      <c r="N317" s="52">
        <v>85</v>
      </c>
      <c r="O317" s="50">
        <f t="shared" si="31"/>
        <v>1.9294189257142926</v>
      </c>
      <c r="P317" s="52">
        <v>32.299999999999997</v>
      </c>
      <c r="Q317" s="50">
        <f t="shared" si="32"/>
        <v>1.5092025223311027</v>
      </c>
      <c r="R317" s="52">
        <v>40.040400531970803</v>
      </c>
      <c r="S317" s="50">
        <f t="shared" si="33"/>
        <v>1.6024984131617945</v>
      </c>
      <c r="T317" s="52">
        <v>3.2699236952309465</v>
      </c>
      <c r="U317" s="52">
        <v>3.6984415808994222</v>
      </c>
      <c r="V317" s="187">
        <v>660500000</v>
      </c>
      <c r="W317" s="186">
        <f t="shared" si="34"/>
        <v>8.8198728219505469</v>
      </c>
      <c r="X317" s="52">
        <v>5</v>
      </c>
      <c r="Y317" s="68" t="s">
        <v>577</v>
      </c>
    </row>
    <row r="318" spans="1:25" x14ac:dyDescent="0.35">
      <c r="A318" s="49">
        <v>0.40926303876942843</v>
      </c>
      <c r="B318" s="50" t="s">
        <v>59</v>
      </c>
      <c r="C318" s="50">
        <v>5.86027397260274</v>
      </c>
      <c r="D318" s="50">
        <f t="shared" si="28"/>
        <v>0.76791792011505333</v>
      </c>
      <c r="E318" s="50">
        <v>0</v>
      </c>
      <c r="F318" s="50">
        <v>2.143014800254095</v>
      </c>
      <c r="G318" s="50">
        <v>3.29</v>
      </c>
      <c r="H318" s="50">
        <f t="shared" si="29"/>
        <v>0.51719589794997434</v>
      </c>
      <c r="I318" s="50">
        <v>0</v>
      </c>
      <c r="J318" s="50">
        <v>-8.7739243075051505E-3</v>
      </c>
      <c r="K318" s="50">
        <v>18</v>
      </c>
      <c r="L318" s="50">
        <f t="shared" si="30"/>
        <v>1.255272505103306</v>
      </c>
      <c r="M318" s="50">
        <v>0</v>
      </c>
      <c r="N318" s="50">
        <v>85</v>
      </c>
      <c r="O318" s="50">
        <f t="shared" si="31"/>
        <v>1.9294189257142926</v>
      </c>
      <c r="P318" s="50">
        <v>32.299999999999997</v>
      </c>
      <c r="Q318" s="50">
        <f t="shared" si="32"/>
        <v>1.5092025223311027</v>
      </c>
      <c r="R318" s="50">
        <v>40.040400531970803</v>
      </c>
      <c r="S318" s="50">
        <f t="shared" si="33"/>
        <v>1.6024984131617945</v>
      </c>
      <c r="T318" s="50">
        <v>3.2188268626467691</v>
      </c>
      <c r="U318" s="50">
        <v>3.7570580283396975</v>
      </c>
      <c r="V318" s="186">
        <v>662500000</v>
      </c>
      <c r="W318" s="186">
        <f t="shared" si="34"/>
        <v>8.8211858826088463</v>
      </c>
      <c r="X318" s="50">
        <v>1</v>
      </c>
      <c r="Y318" s="66" t="s">
        <v>59</v>
      </c>
    </row>
    <row r="319" spans="1:25" x14ac:dyDescent="0.35">
      <c r="A319" s="67">
        <v>0.36159750417725695</v>
      </c>
      <c r="B319" s="52" t="s">
        <v>59</v>
      </c>
      <c r="C319" s="52">
        <v>5.6383561643835618</v>
      </c>
      <c r="D319" s="50">
        <f t="shared" si="28"/>
        <v>0.75115250596993943</v>
      </c>
      <c r="E319" s="52">
        <v>0</v>
      </c>
      <c r="F319" s="52">
        <v>2.143014800254095</v>
      </c>
      <c r="G319" s="52">
        <v>3.29</v>
      </c>
      <c r="H319" s="50">
        <f t="shared" si="29"/>
        <v>0.51719589794997434</v>
      </c>
      <c r="I319" s="52">
        <v>0</v>
      </c>
      <c r="J319" s="52">
        <v>-2.6872146400301365E-2</v>
      </c>
      <c r="K319" s="52">
        <v>18</v>
      </c>
      <c r="L319" s="50">
        <f t="shared" si="30"/>
        <v>1.255272505103306</v>
      </c>
      <c r="M319" s="52">
        <v>0</v>
      </c>
      <c r="N319" s="52">
        <v>85</v>
      </c>
      <c r="O319" s="50">
        <f t="shared" si="31"/>
        <v>1.9294189257142926</v>
      </c>
      <c r="P319" s="52">
        <v>32.299999999999997</v>
      </c>
      <c r="Q319" s="50">
        <f t="shared" si="32"/>
        <v>1.5092025223311027</v>
      </c>
      <c r="R319" s="52">
        <v>40.040400531970803</v>
      </c>
      <c r="S319" s="50">
        <f t="shared" si="33"/>
        <v>1.6024984131617945</v>
      </c>
      <c r="T319" s="52">
        <v>3.2188268626467691</v>
      </c>
      <c r="U319" s="52">
        <v>3.7570580283396975</v>
      </c>
      <c r="V319" s="187">
        <v>662500000</v>
      </c>
      <c r="W319" s="186">
        <f t="shared" si="34"/>
        <v>8.8211858826088463</v>
      </c>
      <c r="X319" s="52">
        <v>1</v>
      </c>
      <c r="Y319" s="68" t="s">
        <v>577</v>
      </c>
    </row>
    <row r="320" spans="1:25" x14ac:dyDescent="0.35">
      <c r="A320" s="49">
        <v>0.13951136413231044</v>
      </c>
      <c r="B320" s="50" t="s">
        <v>45</v>
      </c>
      <c r="C320" s="50">
        <v>4.3890410958904109</v>
      </c>
      <c r="D320" s="50">
        <f t="shared" si="28"/>
        <v>0.64236964729174417</v>
      </c>
      <c r="E320" s="50">
        <v>3.7707754512906644</v>
      </c>
      <c r="F320" s="50">
        <v>1.3617278360175928</v>
      </c>
      <c r="G320" s="50">
        <v>2.3199999999999998</v>
      </c>
      <c r="H320" s="50">
        <f t="shared" si="29"/>
        <v>0.36548798489089962</v>
      </c>
      <c r="I320" s="50">
        <v>2.1238516409670858</v>
      </c>
      <c r="J320" s="50">
        <v>0.18184358794477254</v>
      </c>
      <c r="K320" s="50">
        <v>37</v>
      </c>
      <c r="L320" s="50">
        <f t="shared" si="30"/>
        <v>1.568201724066995</v>
      </c>
      <c r="M320" s="50">
        <v>1</v>
      </c>
      <c r="N320" s="50">
        <v>89.2</v>
      </c>
      <c r="O320" s="50">
        <f t="shared" si="31"/>
        <v>1.9503648543761232</v>
      </c>
      <c r="P320" s="50">
        <v>26</v>
      </c>
      <c r="Q320" s="50">
        <f t="shared" si="32"/>
        <v>1.414973347970818</v>
      </c>
      <c r="R320" s="50">
        <v>38.344872802923099</v>
      </c>
      <c r="S320" s="50">
        <f t="shared" si="33"/>
        <v>1.5837073014724459</v>
      </c>
      <c r="T320" s="50">
        <v>3.0962405795987471</v>
      </c>
      <c r="U320" s="50">
        <v>3.4010931514437841</v>
      </c>
      <c r="V320" s="186">
        <v>664693000</v>
      </c>
      <c r="W320" s="186">
        <f t="shared" si="34"/>
        <v>8.8226211051659256</v>
      </c>
      <c r="X320" s="50">
        <v>2</v>
      </c>
      <c r="Y320" s="66" t="s">
        <v>59</v>
      </c>
    </row>
    <row r="321" spans="1:25" x14ac:dyDescent="0.35">
      <c r="A321" s="67">
        <v>0.63202321470540557</v>
      </c>
      <c r="B321" s="52" t="s">
        <v>5</v>
      </c>
      <c r="C321" s="52">
        <v>3.5616438356164384</v>
      </c>
      <c r="D321" s="50">
        <f t="shared" si="28"/>
        <v>0.55165048785036208</v>
      </c>
      <c r="E321" s="52">
        <v>3.7916829312790057</v>
      </c>
      <c r="F321" s="52">
        <v>1.5185139398778875</v>
      </c>
      <c r="G321" s="52">
        <v>2.72</v>
      </c>
      <c r="H321" s="50">
        <f t="shared" si="29"/>
        <v>0.43456890403419873</v>
      </c>
      <c r="I321" s="52">
        <v>3.0355631414974997</v>
      </c>
      <c r="J321" s="52">
        <v>0.14301480025409513</v>
      </c>
      <c r="K321" s="52">
        <v>15</v>
      </c>
      <c r="L321" s="50">
        <f t="shared" si="30"/>
        <v>1.1760912590556813</v>
      </c>
      <c r="M321" s="52">
        <v>1</v>
      </c>
      <c r="N321" s="52">
        <v>70</v>
      </c>
      <c r="O321" s="50">
        <f t="shared" si="31"/>
        <v>1.8450980400142569</v>
      </c>
      <c r="P321" s="52">
        <v>35</v>
      </c>
      <c r="Q321" s="50">
        <f t="shared" si="32"/>
        <v>1.5440680443502757</v>
      </c>
      <c r="R321" s="52">
        <v>43.580897040130701</v>
      </c>
      <c r="S321" s="50">
        <f t="shared" si="33"/>
        <v>1.6392961652303231</v>
      </c>
      <c r="T321" s="52">
        <v>3.0958500844125241</v>
      </c>
      <c r="U321" s="52">
        <v>3.5078178355445662</v>
      </c>
      <c r="V321" s="187">
        <v>665000000</v>
      </c>
      <c r="W321" s="186">
        <f t="shared" si="34"/>
        <v>8.8228216453031045</v>
      </c>
      <c r="X321" s="52">
        <v>4</v>
      </c>
      <c r="Y321" s="68" t="s">
        <v>45</v>
      </c>
    </row>
    <row r="322" spans="1:25" x14ac:dyDescent="0.35">
      <c r="A322" s="49">
        <v>0.40857862429993902</v>
      </c>
      <c r="B322" s="50" t="s">
        <v>5</v>
      </c>
      <c r="C322" s="50">
        <v>0.56712328767123288</v>
      </c>
      <c r="D322" s="50">
        <f t="shared" si="28"/>
        <v>-0.24632251899955696</v>
      </c>
      <c r="E322" s="50">
        <v>2.5542346870234227</v>
      </c>
      <c r="F322" s="50">
        <v>1</v>
      </c>
      <c r="G322" s="50">
        <v>3.16</v>
      </c>
      <c r="H322" s="50">
        <f t="shared" si="29"/>
        <v>0.49968708261840383</v>
      </c>
      <c r="I322" s="50">
        <v>2.9876662649262746</v>
      </c>
      <c r="J322" s="50">
        <v>-3.6212172654444715E-2</v>
      </c>
      <c r="K322" s="50">
        <v>30</v>
      </c>
      <c r="L322" s="50">
        <f t="shared" si="30"/>
        <v>1.4771212547196624</v>
      </c>
      <c r="M322" s="50">
        <v>1</v>
      </c>
      <c r="N322" s="50">
        <v>88.4</v>
      </c>
      <c r="O322" s="50">
        <f t="shared" si="31"/>
        <v>1.9464522650130731</v>
      </c>
      <c r="P322" s="50">
        <v>35.700000000000003</v>
      </c>
      <c r="Q322" s="50">
        <f t="shared" si="32"/>
        <v>1.5526682161121932</v>
      </c>
      <c r="R322" s="50">
        <v>42.337645557762798</v>
      </c>
      <c r="S322" s="50">
        <f t="shared" si="33"/>
        <v>1.6267267027692975</v>
      </c>
      <c r="T322" s="50">
        <v>3.0962405795987471</v>
      </c>
      <c r="U322" s="50">
        <v>3.4010931514437841</v>
      </c>
      <c r="V322" s="186">
        <v>669790000</v>
      </c>
      <c r="W322" s="186">
        <f t="shared" si="34"/>
        <v>8.8259386592127473</v>
      </c>
      <c r="X322" s="50">
        <v>4</v>
      </c>
      <c r="Y322" s="66" t="s">
        <v>59</v>
      </c>
    </row>
    <row r="323" spans="1:25" x14ac:dyDescent="0.35">
      <c r="A323" s="67">
        <v>-0.13033376849500614</v>
      </c>
      <c r="B323" s="52" t="s">
        <v>447</v>
      </c>
      <c r="C323" s="52">
        <v>1.8493150684931507</v>
      </c>
      <c r="D323" s="50">
        <f t="shared" ref="D323:D386" si="35">LOG(C323)</f>
        <v>0.26701090837455022</v>
      </c>
      <c r="E323" s="52">
        <v>3.1016130541812235</v>
      </c>
      <c r="F323" s="52">
        <v>1</v>
      </c>
      <c r="G323" s="52">
        <v>2.4700000000000002</v>
      </c>
      <c r="H323" s="50">
        <f t="shared" ref="H323:H386" si="36">LOG(G323)</f>
        <v>0.39269695325966575</v>
      </c>
      <c r="I323" s="52">
        <v>2.9811387826406603</v>
      </c>
      <c r="J323" s="52">
        <v>-0.23657200643706267</v>
      </c>
      <c r="K323" s="52">
        <v>30</v>
      </c>
      <c r="L323" s="50">
        <f t="shared" ref="L323:L386" si="37">IF(K323=0,0,LOG(K323))</f>
        <v>1.4771212547196624</v>
      </c>
      <c r="M323" s="52">
        <v>1</v>
      </c>
      <c r="N323" s="52">
        <v>78</v>
      </c>
      <c r="O323" s="50">
        <f t="shared" ref="O323:O386" si="38">LOG(N323)</f>
        <v>1.8920946026904804</v>
      </c>
      <c r="P323" s="52">
        <v>36.36</v>
      </c>
      <c r="Q323" s="50">
        <f t="shared" ref="Q323:Q386" si="39">LOG(P323)</f>
        <v>1.5606238745499299</v>
      </c>
      <c r="R323" s="52">
        <v>39.0275969715222</v>
      </c>
      <c r="S323" s="50">
        <f t="shared" ref="S323:S386" si="40">LOG(R323)</f>
        <v>1.5913718114878503</v>
      </c>
      <c r="T323" s="52">
        <v>3.0962405795987471</v>
      </c>
      <c r="U323" s="52">
        <v>3.4010931514437841</v>
      </c>
      <c r="V323" s="187">
        <v>675000000</v>
      </c>
      <c r="W323" s="186">
        <f t="shared" ref="W323:W386" si="41">LOG(V323)</f>
        <v>8.8293037728310253</v>
      </c>
      <c r="X323" s="52">
        <v>2</v>
      </c>
      <c r="Y323" s="68" t="s">
        <v>59</v>
      </c>
    </row>
    <row r="324" spans="1:25" x14ac:dyDescent="0.35">
      <c r="A324" s="49">
        <v>0.47172622283295623</v>
      </c>
      <c r="B324" s="50" t="s">
        <v>45</v>
      </c>
      <c r="C324" s="50">
        <v>4.5232876712328771</v>
      </c>
      <c r="D324" s="50">
        <f t="shared" si="35"/>
        <v>0.65545420880631899</v>
      </c>
      <c r="E324" s="50">
        <v>0</v>
      </c>
      <c r="F324" s="50">
        <v>1.6627578316815741</v>
      </c>
      <c r="G324" s="50">
        <v>2.95</v>
      </c>
      <c r="H324" s="50">
        <f t="shared" si="36"/>
        <v>0.46982201597816303</v>
      </c>
      <c r="I324" s="50">
        <v>0</v>
      </c>
      <c r="J324" s="50">
        <v>0.23299611039215382</v>
      </c>
      <c r="K324" s="50">
        <v>32</v>
      </c>
      <c r="L324" s="50">
        <f t="shared" si="37"/>
        <v>1.505149978319906</v>
      </c>
      <c r="M324" s="50">
        <v>0</v>
      </c>
      <c r="N324" s="50">
        <v>91.1</v>
      </c>
      <c r="O324" s="50">
        <f t="shared" si="38"/>
        <v>1.9595183769729982</v>
      </c>
      <c r="P324" s="50">
        <v>24.1</v>
      </c>
      <c r="Q324" s="50">
        <f t="shared" si="39"/>
        <v>1.3820170425748683</v>
      </c>
      <c r="R324" s="50">
        <v>40.229046020662899</v>
      </c>
      <c r="S324" s="50">
        <f t="shared" si="40"/>
        <v>1.6045397339663818</v>
      </c>
      <c r="T324" s="50">
        <v>3.1606353037386858</v>
      </c>
      <c r="U324" s="50">
        <v>3.9767438733352263</v>
      </c>
      <c r="V324" s="186">
        <v>675000000</v>
      </c>
      <c r="W324" s="186">
        <f t="shared" si="41"/>
        <v>8.8293037728310253</v>
      </c>
      <c r="X324" s="50">
        <v>9</v>
      </c>
      <c r="Y324" s="66" t="s">
        <v>45</v>
      </c>
    </row>
    <row r="325" spans="1:25" x14ac:dyDescent="0.35">
      <c r="A325" s="67">
        <v>-2</v>
      </c>
      <c r="B325" s="52" t="s">
        <v>45</v>
      </c>
      <c r="C325" s="52">
        <v>2.095890410958904</v>
      </c>
      <c r="D325" s="50">
        <f t="shared" si="35"/>
        <v>0.32136857069714286</v>
      </c>
      <c r="E325" s="52">
        <v>0</v>
      </c>
      <c r="F325" s="52">
        <v>1.8061799739838871</v>
      </c>
      <c r="G325" s="52">
        <v>2.95</v>
      </c>
      <c r="H325" s="50">
        <f t="shared" si="36"/>
        <v>0.46982201597816303</v>
      </c>
      <c r="I325" s="52">
        <v>0</v>
      </c>
      <c r="J325" s="52">
        <v>0.10720996964786837</v>
      </c>
      <c r="K325" s="52">
        <v>45</v>
      </c>
      <c r="L325" s="50">
        <f t="shared" si="37"/>
        <v>1.6532125137753437</v>
      </c>
      <c r="M325" s="52">
        <v>0</v>
      </c>
      <c r="N325" s="52">
        <v>91</v>
      </c>
      <c r="O325" s="50">
        <f t="shared" si="38"/>
        <v>1.9590413923210936</v>
      </c>
      <c r="P325" s="52">
        <v>23.9</v>
      </c>
      <c r="Q325" s="50">
        <f t="shared" si="39"/>
        <v>1.3783979009481377</v>
      </c>
      <c r="R325" s="52">
        <v>42.048698215007001</v>
      </c>
      <c r="S325" s="50">
        <f t="shared" si="40"/>
        <v>1.6237525550259535</v>
      </c>
      <c r="T325" s="52">
        <v>3.1527645837352773</v>
      </c>
      <c r="U325" s="52">
        <v>3.5411223705253856</v>
      </c>
      <c r="V325" s="187">
        <v>676540000</v>
      </c>
      <c r="W325" s="186">
        <f t="shared" si="41"/>
        <v>8.8302934790795664</v>
      </c>
      <c r="X325" s="52">
        <v>2</v>
      </c>
      <c r="Y325" s="68" t="s">
        <v>602</v>
      </c>
    </row>
    <row r="326" spans="1:25" x14ac:dyDescent="0.35">
      <c r="A326" s="49">
        <v>0.15065113272112132</v>
      </c>
      <c r="B326" s="50" t="s">
        <v>59</v>
      </c>
      <c r="C326" s="50">
        <v>6.4438356164383563</v>
      </c>
      <c r="D326" s="50">
        <f t="shared" si="35"/>
        <v>0.80914445294762616</v>
      </c>
      <c r="E326" s="50">
        <v>3.7707754512906644</v>
      </c>
      <c r="F326" s="50">
        <v>1.1139433523068367</v>
      </c>
      <c r="G326" s="50">
        <v>2.3199999999999998</v>
      </c>
      <c r="H326" s="50">
        <f t="shared" si="36"/>
        <v>0.36548798489089962</v>
      </c>
      <c r="I326" s="50">
        <v>2.1238516409670858</v>
      </c>
      <c r="J326" s="50">
        <v>6.8185861746161619E-2</v>
      </c>
      <c r="K326" s="50">
        <v>23</v>
      </c>
      <c r="L326" s="50">
        <f t="shared" si="37"/>
        <v>1.3617278360175928</v>
      </c>
      <c r="M326" s="50">
        <v>1</v>
      </c>
      <c r="N326" s="50">
        <v>91.2</v>
      </c>
      <c r="O326" s="50">
        <f t="shared" si="38"/>
        <v>1.9599948383284163</v>
      </c>
      <c r="P326" s="50">
        <v>33</v>
      </c>
      <c r="Q326" s="50">
        <f t="shared" si="39"/>
        <v>1.5185139398778875</v>
      </c>
      <c r="R326" s="50">
        <v>40.902544500539101</v>
      </c>
      <c r="S326" s="50">
        <f t="shared" si="40"/>
        <v>1.6117503258110162</v>
      </c>
      <c r="T326" s="50">
        <v>3.1134603742158462</v>
      </c>
      <c r="U326" s="50">
        <v>3.7799945853255905</v>
      </c>
      <c r="V326" s="186">
        <v>685000000</v>
      </c>
      <c r="W326" s="186">
        <f t="shared" si="41"/>
        <v>8.8356905714924263</v>
      </c>
      <c r="X326" s="50">
        <v>1</v>
      </c>
      <c r="Y326" s="66" t="s">
        <v>45</v>
      </c>
    </row>
    <row r="327" spans="1:25" x14ac:dyDescent="0.35">
      <c r="A327" s="67">
        <v>0.10699908637159473</v>
      </c>
      <c r="B327" s="52" t="s">
        <v>5</v>
      </c>
      <c r="C327" s="52">
        <v>3.4027397260273973</v>
      </c>
      <c r="D327" s="50">
        <f t="shared" si="35"/>
        <v>0.53182873138408671</v>
      </c>
      <c r="E327" s="52">
        <v>2.5542346870234227</v>
      </c>
      <c r="F327" s="52">
        <v>1.4471580313422192</v>
      </c>
      <c r="G327" s="52">
        <v>3.16</v>
      </c>
      <c r="H327" s="50">
        <f t="shared" si="36"/>
        <v>0.49968708261840383</v>
      </c>
      <c r="I327" s="52">
        <v>2.9876662649262746</v>
      </c>
      <c r="J327" s="52">
        <v>-4.0958607678906384E-2</v>
      </c>
      <c r="K327" s="52">
        <v>27</v>
      </c>
      <c r="L327" s="50">
        <f t="shared" si="37"/>
        <v>1.4313637641589874</v>
      </c>
      <c r="M327" s="52">
        <v>1</v>
      </c>
      <c r="N327" s="52">
        <v>88</v>
      </c>
      <c r="O327" s="50">
        <f t="shared" si="38"/>
        <v>1.9444826721501687</v>
      </c>
      <c r="P327" s="52">
        <v>35.9</v>
      </c>
      <c r="Q327" s="50">
        <f t="shared" si="39"/>
        <v>1.5550944485783191</v>
      </c>
      <c r="R327" s="52">
        <v>43.1081369225492</v>
      </c>
      <c r="S327" s="50">
        <f t="shared" si="40"/>
        <v>1.634559253618429</v>
      </c>
      <c r="T327" s="52">
        <v>3.22246453795844</v>
      </c>
      <c r="U327" s="52">
        <v>3.7071267407396937</v>
      </c>
      <c r="V327" s="187">
        <v>692000000</v>
      </c>
      <c r="W327" s="186">
        <f t="shared" si="41"/>
        <v>8.8401060944567575</v>
      </c>
      <c r="X327" s="52">
        <v>7</v>
      </c>
      <c r="Y327" s="68" t="s">
        <v>577</v>
      </c>
    </row>
    <row r="328" spans="1:25" x14ac:dyDescent="0.35">
      <c r="A328" s="49">
        <v>0.46982201597816303</v>
      </c>
      <c r="B328" s="50" t="s">
        <v>45</v>
      </c>
      <c r="C328" s="50">
        <v>11.03013698630137</v>
      </c>
      <c r="D328" s="50">
        <f t="shared" si="35"/>
        <v>1.0425809060961611</v>
      </c>
      <c r="E328" s="50">
        <v>0</v>
      </c>
      <c r="F328" s="50">
        <v>0</v>
      </c>
      <c r="G328" s="50">
        <v>2.95</v>
      </c>
      <c r="H328" s="50">
        <f t="shared" si="36"/>
        <v>0.46982201597816303</v>
      </c>
      <c r="I328" s="50">
        <v>0</v>
      </c>
      <c r="J328" s="50">
        <v>0.2355284469075489</v>
      </c>
      <c r="K328" s="50">
        <v>17</v>
      </c>
      <c r="L328" s="50">
        <f t="shared" si="37"/>
        <v>1.2304489213782739</v>
      </c>
      <c r="M328" s="50">
        <v>0</v>
      </c>
      <c r="N328" s="50">
        <v>85</v>
      </c>
      <c r="O328" s="50">
        <f t="shared" si="38"/>
        <v>1.9294189257142926</v>
      </c>
      <c r="P328" s="50">
        <v>24.6</v>
      </c>
      <c r="Q328" s="50">
        <f t="shared" si="39"/>
        <v>1.3909351071033791</v>
      </c>
      <c r="R328" s="50">
        <v>36.876470987978301</v>
      </c>
      <c r="S328" s="50">
        <f t="shared" si="40"/>
        <v>1.5667493531684615</v>
      </c>
      <c r="T328" s="50">
        <v>3.0958500844125241</v>
      </c>
      <c r="U328" s="50">
        <v>3.5078178355445662</v>
      </c>
      <c r="V328" s="186">
        <v>700000000</v>
      </c>
      <c r="W328" s="186">
        <f t="shared" si="41"/>
        <v>8.8450980400142569</v>
      </c>
      <c r="X328" s="50">
        <v>1</v>
      </c>
      <c r="Y328" s="66" t="s">
        <v>45</v>
      </c>
    </row>
    <row r="329" spans="1:25" x14ac:dyDescent="0.35">
      <c r="A329" s="67">
        <v>0.38021124171160603</v>
      </c>
      <c r="B329" s="52" t="s">
        <v>45</v>
      </c>
      <c r="C329" s="52">
        <v>6.934246575342466</v>
      </c>
      <c r="D329" s="50">
        <f t="shared" si="35"/>
        <v>0.84099928070177954</v>
      </c>
      <c r="E329" s="52">
        <v>0</v>
      </c>
      <c r="F329" s="52">
        <v>1.7160033436347992</v>
      </c>
      <c r="G329" s="52">
        <v>2.95</v>
      </c>
      <c r="H329" s="50">
        <f t="shared" si="36"/>
        <v>0.46982201597816303</v>
      </c>
      <c r="I329" s="52">
        <v>0</v>
      </c>
      <c r="J329" s="52">
        <v>0.21484384804769791</v>
      </c>
      <c r="K329" s="52">
        <v>23</v>
      </c>
      <c r="L329" s="50">
        <f t="shared" si="37"/>
        <v>1.3617278360175928</v>
      </c>
      <c r="M329" s="52">
        <v>0</v>
      </c>
      <c r="N329" s="52">
        <v>92.6</v>
      </c>
      <c r="O329" s="50">
        <f t="shared" si="38"/>
        <v>1.9666109866819343</v>
      </c>
      <c r="P329" s="52">
        <v>25.7</v>
      </c>
      <c r="Q329" s="50">
        <f t="shared" si="39"/>
        <v>1.4099331233312946</v>
      </c>
      <c r="R329" s="52">
        <v>39.823361151429197</v>
      </c>
      <c r="S329" s="50">
        <f t="shared" si="40"/>
        <v>1.6001379123442065</v>
      </c>
      <c r="T329" s="52">
        <v>3.3647319918335836</v>
      </c>
      <c r="U329" s="52">
        <v>3.568659604598353</v>
      </c>
      <c r="V329" s="187">
        <v>700000000</v>
      </c>
      <c r="W329" s="186">
        <f t="shared" si="41"/>
        <v>8.8450980400142569</v>
      </c>
      <c r="X329" s="52">
        <v>7</v>
      </c>
      <c r="Y329" s="68" t="s">
        <v>45</v>
      </c>
    </row>
    <row r="330" spans="1:25" x14ac:dyDescent="0.35">
      <c r="A330" s="49">
        <v>-0.28280517555778212</v>
      </c>
      <c r="B330" s="50" t="s">
        <v>2</v>
      </c>
      <c r="C330" s="50">
        <v>5.9835616438356167</v>
      </c>
      <c r="D330" s="50">
        <f t="shared" si="35"/>
        <v>0.77695976957622492</v>
      </c>
      <c r="E330" s="50">
        <v>3.8335760926148099</v>
      </c>
      <c r="F330" s="50">
        <v>1.4913616938342726</v>
      </c>
      <c r="G330" s="50">
        <v>2.85</v>
      </c>
      <c r="H330" s="50">
        <f t="shared" si="36"/>
        <v>0.45484486000851021</v>
      </c>
      <c r="I330" s="50">
        <v>2.9138138523837167</v>
      </c>
      <c r="J330" s="50">
        <v>0.26007138798507473</v>
      </c>
      <c r="K330" s="50">
        <v>26</v>
      </c>
      <c r="L330" s="50">
        <f t="shared" si="37"/>
        <v>1.414973347970818</v>
      </c>
      <c r="M330" s="50">
        <v>1</v>
      </c>
      <c r="N330" s="50">
        <v>89.6</v>
      </c>
      <c r="O330" s="50">
        <f t="shared" si="38"/>
        <v>1.9523080096621253</v>
      </c>
      <c r="P330" s="50">
        <v>35.700000000000003</v>
      </c>
      <c r="Q330" s="50">
        <f t="shared" si="39"/>
        <v>1.5526682161121932</v>
      </c>
      <c r="R330" s="50">
        <v>44.7100017757258</v>
      </c>
      <c r="S330" s="50">
        <f t="shared" si="40"/>
        <v>1.6504046871166989</v>
      </c>
      <c r="T330" s="50">
        <v>3.3647319918335836</v>
      </c>
      <c r="U330" s="50">
        <v>3.568659604598353</v>
      </c>
      <c r="V330" s="186">
        <v>700000000</v>
      </c>
      <c r="W330" s="186">
        <f t="shared" si="41"/>
        <v>8.8450980400142569</v>
      </c>
      <c r="X330" s="50">
        <v>5</v>
      </c>
      <c r="Y330" s="66" t="s">
        <v>602</v>
      </c>
    </row>
    <row r="331" spans="1:25" x14ac:dyDescent="0.35">
      <c r="A331" s="67">
        <v>0.10914446942506807</v>
      </c>
      <c r="B331" s="52" t="s">
        <v>419</v>
      </c>
      <c r="C331" s="52">
        <v>2.9808219178082194</v>
      </c>
      <c r="D331" s="50">
        <f t="shared" si="35"/>
        <v>0.47433603090568643</v>
      </c>
      <c r="E331" s="52">
        <v>3.2606294079543621</v>
      </c>
      <c r="F331" s="52">
        <v>1.8920946026904804</v>
      </c>
      <c r="G331" s="52">
        <v>3.18</v>
      </c>
      <c r="H331" s="50">
        <f t="shared" si="36"/>
        <v>0.50242711998443268</v>
      </c>
      <c r="I331" s="52">
        <v>2.7235924792443509</v>
      </c>
      <c r="J331" s="52">
        <v>0.10037054511756291</v>
      </c>
      <c r="K331" s="52">
        <v>34</v>
      </c>
      <c r="L331" s="50">
        <f t="shared" si="37"/>
        <v>1.5314789170422551</v>
      </c>
      <c r="M331" s="52">
        <v>1</v>
      </c>
      <c r="N331" s="52">
        <v>92.6</v>
      </c>
      <c r="O331" s="50">
        <f t="shared" si="38"/>
        <v>1.9666109866819343</v>
      </c>
      <c r="P331" s="52">
        <v>43.9</v>
      </c>
      <c r="Q331" s="50">
        <f t="shared" si="39"/>
        <v>1.6424645202421213</v>
      </c>
      <c r="R331" s="52">
        <v>57.041609510745303</v>
      </c>
      <c r="S331" s="50">
        <f t="shared" si="40"/>
        <v>1.7561917712577904</v>
      </c>
      <c r="T331" s="52">
        <v>3.22246453795844</v>
      </c>
      <c r="U331" s="52">
        <v>3.7071267407396937</v>
      </c>
      <c r="V331" s="187">
        <v>700000000</v>
      </c>
      <c r="W331" s="186">
        <f t="shared" si="41"/>
        <v>8.8450980400142569</v>
      </c>
      <c r="X331" s="52">
        <v>8</v>
      </c>
      <c r="Y331" s="68" t="s">
        <v>59</v>
      </c>
    </row>
    <row r="332" spans="1:25" x14ac:dyDescent="0.35">
      <c r="A332" s="49">
        <v>0.38021124171160603</v>
      </c>
      <c r="B332" s="50" t="s">
        <v>45</v>
      </c>
      <c r="C332" s="50">
        <v>7.3589041095890408</v>
      </c>
      <c r="D332" s="50">
        <f t="shared" si="35"/>
        <v>0.86681314387622188</v>
      </c>
      <c r="E332" s="50">
        <v>0</v>
      </c>
      <c r="F332" s="50">
        <v>1.7160033436347992</v>
      </c>
      <c r="G332" s="50">
        <v>2.95</v>
      </c>
      <c r="H332" s="50">
        <f t="shared" si="36"/>
        <v>0.46982201597816303</v>
      </c>
      <c r="I332" s="50">
        <v>0</v>
      </c>
      <c r="J332" s="50">
        <v>0.21748394421390627</v>
      </c>
      <c r="K332" s="50">
        <v>23</v>
      </c>
      <c r="L332" s="50">
        <f t="shared" si="37"/>
        <v>1.3617278360175928</v>
      </c>
      <c r="M332" s="50">
        <v>0</v>
      </c>
      <c r="N332" s="50">
        <v>92.6</v>
      </c>
      <c r="O332" s="50">
        <f t="shared" si="38"/>
        <v>1.9666109866819343</v>
      </c>
      <c r="P332" s="50">
        <v>25.7</v>
      </c>
      <c r="Q332" s="50">
        <f t="shared" si="39"/>
        <v>1.4099331233312946</v>
      </c>
      <c r="R332" s="50">
        <v>39.823361151429197</v>
      </c>
      <c r="S332" s="50">
        <f t="shared" si="40"/>
        <v>1.6001379123442065</v>
      </c>
      <c r="T332" s="50">
        <v>3.3647319918335836</v>
      </c>
      <c r="U332" s="50">
        <v>3.568659604598353</v>
      </c>
      <c r="V332" s="186">
        <v>700000000</v>
      </c>
      <c r="W332" s="186">
        <f t="shared" si="41"/>
        <v>8.8450980400142569</v>
      </c>
      <c r="X332" s="50">
        <v>5</v>
      </c>
      <c r="Y332" s="66" t="s">
        <v>602</v>
      </c>
    </row>
    <row r="333" spans="1:25" x14ac:dyDescent="0.35">
      <c r="A333" s="67">
        <v>0.32853710717502921</v>
      </c>
      <c r="B333" s="52" t="s">
        <v>163</v>
      </c>
      <c r="C333" s="52">
        <v>5.3808219178082188</v>
      </c>
      <c r="D333" s="50">
        <f t="shared" si="35"/>
        <v>0.73084861899445608</v>
      </c>
      <c r="E333" s="52">
        <v>2.5362300726332561</v>
      </c>
      <c r="F333" s="52">
        <v>1.4623979978989561</v>
      </c>
      <c r="G333" s="52">
        <v>2.3199999999999998</v>
      </c>
      <c r="H333" s="50">
        <f t="shared" si="36"/>
        <v>0.36548798489089962</v>
      </c>
      <c r="I333" s="52">
        <v>2.756001823801419</v>
      </c>
      <c r="J333" s="52">
        <v>5.6904851336472641E-2</v>
      </c>
      <c r="K333" s="52">
        <v>11</v>
      </c>
      <c r="L333" s="50">
        <f t="shared" si="37"/>
        <v>1.0413926851582251</v>
      </c>
      <c r="M333" s="52">
        <v>1</v>
      </c>
      <c r="N333" s="52">
        <v>85</v>
      </c>
      <c r="O333" s="50">
        <f t="shared" si="38"/>
        <v>1.9294189257142926</v>
      </c>
      <c r="P333" s="52">
        <v>43.7</v>
      </c>
      <c r="Q333" s="50">
        <f t="shared" si="39"/>
        <v>1.6404814369704219</v>
      </c>
      <c r="R333" s="52">
        <v>54.530673116863902</v>
      </c>
      <c r="S333" s="50">
        <f t="shared" si="40"/>
        <v>1.7366408585732218</v>
      </c>
      <c r="T333" s="52">
        <v>3.2188271541979425</v>
      </c>
      <c r="U333" s="52">
        <v>3.7570584504768405</v>
      </c>
      <c r="V333" s="187">
        <v>703970000</v>
      </c>
      <c r="W333" s="186">
        <f t="shared" si="41"/>
        <v>8.8475541518806526</v>
      </c>
      <c r="X333" s="52">
        <v>5</v>
      </c>
      <c r="Y333" s="68" t="s">
        <v>577</v>
      </c>
    </row>
    <row r="334" spans="1:25" x14ac:dyDescent="0.35">
      <c r="A334" s="49">
        <v>-2.3176220805831468E-2</v>
      </c>
      <c r="B334" s="50" t="s">
        <v>59</v>
      </c>
      <c r="C334" s="50">
        <v>3.5890410958904111</v>
      </c>
      <c r="D334" s="50">
        <f t="shared" si="35"/>
        <v>0.55497843119928958</v>
      </c>
      <c r="E334" s="50">
        <v>0</v>
      </c>
      <c r="F334" s="50">
        <v>1.6627578316815741</v>
      </c>
      <c r="G334" s="50">
        <v>3.29</v>
      </c>
      <c r="H334" s="50">
        <f t="shared" si="36"/>
        <v>0.51719589794997434</v>
      </c>
      <c r="I334" s="50">
        <v>0</v>
      </c>
      <c r="J334" s="50">
        <v>0.18469143081759881</v>
      </c>
      <c r="K334" s="50">
        <v>18</v>
      </c>
      <c r="L334" s="50">
        <f t="shared" si="37"/>
        <v>1.255272505103306</v>
      </c>
      <c r="M334" s="50">
        <v>0</v>
      </c>
      <c r="N334" s="50">
        <v>85</v>
      </c>
      <c r="O334" s="50">
        <f t="shared" si="38"/>
        <v>1.9294189257142926</v>
      </c>
      <c r="P334" s="50">
        <v>31.3</v>
      </c>
      <c r="Q334" s="50">
        <f t="shared" si="39"/>
        <v>1.4955443375464486</v>
      </c>
      <c r="R334" s="50">
        <v>38.7850112673514</v>
      </c>
      <c r="S334" s="50">
        <f t="shared" si="40"/>
        <v>1.5886639219461918</v>
      </c>
      <c r="T334" s="50">
        <v>3.2699236952309465</v>
      </c>
      <c r="U334" s="50">
        <v>3.6984415808994222</v>
      </c>
      <c r="V334" s="186">
        <v>712000000</v>
      </c>
      <c r="W334" s="186">
        <f t="shared" si="41"/>
        <v>8.852479993636857</v>
      </c>
      <c r="X334" s="50">
        <v>5</v>
      </c>
      <c r="Y334" s="66" t="s">
        <v>577</v>
      </c>
    </row>
    <row r="335" spans="1:25" x14ac:dyDescent="0.35">
      <c r="A335" s="67">
        <v>0.13929335130964862</v>
      </c>
      <c r="B335" s="52" t="s">
        <v>3</v>
      </c>
      <c r="C335" s="52">
        <v>6.3561643835616435</v>
      </c>
      <c r="D335" s="50">
        <f t="shared" si="35"/>
        <v>0.80319512043442498</v>
      </c>
      <c r="E335" s="52">
        <v>2.7187258365781268</v>
      </c>
      <c r="F335" s="52">
        <v>1.9956351945975499</v>
      </c>
      <c r="G335" s="52">
        <v>3.58</v>
      </c>
      <c r="H335" s="50">
        <f t="shared" si="36"/>
        <v>0.55388302664387434</v>
      </c>
      <c r="I335" s="52">
        <v>3.0910217769380406</v>
      </c>
      <c r="J335" s="52">
        <v>5.6904851336472641E-2</v>
      </c>
      <c r="K335" s="52">
        <v>15</v>
      </c>
      <c r="L335" s="50">
        <f t="shared" si="37"/>
        <v>1.1760912590556813</v>
      </c>
      <c r="M335" s="52">
        <v>1</v>
      </c>
      <c r="N335" s="52">
        <v>100</v>
      </c>
      <c r="O335" s="50">
        <f t="shared" si="38"/>
        <v>2</v>
      </c>
      <c r="P335" s="52">
        <v>46.4</v>
      </c>
      <c r="Q335" s="50">
        <f t="shared" si="39"/>
        <v>1.6665179805548809</v>
      </c>
      <c r="R335" s="52">
        <v>52.997375167745602</v>
      </c>
      <c r="S335" s="50">
        <f t="shared" si="40"/>
        <v>1.7242543605745053</v>
      </c>
      <c r="T335" s="52">
        <v>3.212261842580872</v>
      </c>
      <c r="U335" s="52">
        <v>3.9329492300777744</v>
      </c>
      <c r="V335" s="187">
        <v>712065680</v>
      </c>
      <c r="W335" s="186">
        <f t="shared" si="41"/>
        <v>8.852520054235173</v>
      </c>
      <c r="X335" s="52">
        <v>2</v>
      </c>
      <c r="Y335" s="68" t="s">
        <v>4</v>
      </c>
    </row>
    <row r="336" spans="1:25" x14ac:dyDescent="0.35">
      <c r="A336" s="49">
        <v>0.26890642937415743</v>
      </c>
      <c r="B336" s="50" t="s">
        <v>45</v>
      </c>
      <c r="C336" s="50">
        <v>2.1424657534246574</v>
      </c>
      <c r="D336" s="50">
        <f t="shared" si="35"/>
        <v>0.33091388860337329</v>
      </c>
      <c r="E336" s="50">
        <v>0</v>
      </c>
      <c r="F336" s="50">
        <v>0</v>
      </c>
      <c r="G336" s="50">
        <v>2.95</v>
      </c>
      <c r="H336" s="50">
        <f t="shared" si="36"/>
        <v>0.46982201597816303</v>
      </c>
      <c r="I336" s="50">
        <v>0</v>
      </c>
      <c r="J336" s="50">
        <v>0.22010808804005513</v>
      </c>
      <c r="K336" s="50">
        <v>12</v>
      </c>
      <c r="L336" s="50">
        <f t="shared" si="37"/>
        <v>1.0791812460476249</v>
      </c>
      <c r="M336" s="50">
        <v>0</v>
      </c>
      <c r="N336" s="50">
        <v>85</v>
      </c>
      <c r="O336" s="50">
        <f t="shared" si="38"/>
        <v>1.9294189257142926</v>
      </c>
      <c r="P336" s="50">
        <v>27.4</v>
      </c>
      <c r="Q336" s="50">
        <f t="shared" si="39"/>
        <v>1.4377505628203879</v>
      </c>
      <c r="R336" s="50">
        <v>35.968444143503902</v>
      </c>
      <c r="S336" s="50">
        <f t="shared" si="40"/>
        <v>1.5559216523165715</v>
      </c>
      <c r="T336" s="50">
        <v>3.3647319918335836</v>
      </c>
      <c r="U336" s="50">
        <v>3.568659604598353</v>
      </c>
      <c r="V336" s="186">
        <v>716010000</v>
      </c>
      <c r="W336" s="186">
        <f t="shared" si="41"/>
        <v>8.8549190878308881</v>
      </c>
      <c r="X336" s="50">
        <v>4</v>
      </c>
      <c r="Y336" s="66" t="s">
        <v>602</v>
      </c>
    </row>
    <row r="337" spans="1:25" x14ac:dyDescent="0.35">
      <c r="A337" s="67">
        <v>9.4257061306150067E-2</v>
      </c>
      <c r="B337" s="52" t="s">
        <v>59</v>
      </c>
      <c r="C337" s="52">
        <v>5.9369863013698634</v>
      </c>
      <c r="D337" s="50">
        <f t="shared" si="35"/>
        <v>0.77356604686334329</v>
      </c>
      <c r="E337" s="52">
        <v>3.7707754512906644</v>
      </c>
      <c r="F337" s="52">
        <v>1.9822712330395684</v>
      </c>
      <c r="G337" s="52">
        <v>2.3199999999999998</v>
      </c>
      <c r="H337" s="50">
        <f t="shared" si="36"/>
        <v>0.36548798489089962</v>
      </c>
      <c r="I337" s="52">
        <v>2.1238516409670858</v>
      </c>
      <c r="J337" s="52">
        <v>6.8185861746161619E-2</v>
      </c>
      <c r="K337" s="52">
        <v>23</v>
      </c>
      <c r="L337" s="50">
        <f t="shared" si="37"/>
        <v>1.3617278360175928</v>
      </c>
      <c r="M337" s="52">
        <v>1</v>
      </c>
      <c r="N337" s="52">
        <v>91.2</v>
      </c>
      <c r="O337" s="50">
        <f t="shared" si="38"/>
        <v>1.9599948383284163</v>
      </c>
      <c r="P337" s="52">
        <v>33</v>
      </c>
      <c r="Q337" s="50">
        <f t="shared" si="39"/>
        <v>1.5185139398778875</v>
      </c>
      <c r="R337" s="52">
        <v>40.902544500539101</v>
      </c>
      <c r="S337" s="50">
        <f t="shared" si="40"/>
        <v>1.6117503258110162</v>
      </c>
      <c r="T337" s="52">
        <v>3.0962405795987471</v>
      </c>
      <c r="U337" s="52">
        <v>3.4010931514437841</v>
      </c>
      <c r="V337" s="187">
        <v>728676057</v>
      </c>
      <c r="W337" s="186">
        <f t="shared" si="41"/>
        <v>8.8625344996145241</v>
      </c>
      <c r="X337" s="52">
        <v>6</v>
      </c>
      <c r="Y337" s="68" t="s">
        <v>45</v>
      </c>
    </row>
    <row r="338" spans="1:25" x14ac:dyDescent="0.35">
      <c r="A338" s="49">
        <v>0.3127683989352254</v>
      </c>
      <c r="B338" s="50" t="s">
        <v>5</v>
      </c>
      <c r="C338" s="50">
        <v>3.8301369863013699</v>
      </c>
      <c r="D338" s="50">
        <f t="shared" si="35"/>
        <v>0.58321430695318788</v>
      </c>
      <c r="E338" s="50">
        <v>2.5542346870234227</v>
      </c>
      <c r="F338" s="50">
        <v>1.505149978319906</v>
      </c>
      <c r="G338" s="50">
        <v>3.16</v>
      </c>
      <c r="H338" s="50">
        <f t="shared" si="36"/>
        <v>0.49968708261840383</v>
      </c>
      <c r="I338" s="50">
        <v>2.9876662649262746</v>
      </c>
      <c r="J338" s="50">
        <v>0.12710479836480765</v>
      </c>
      <c r="K338" s="50">
        <v>46</v>
      </c>
      <c r="L338" s="50">
        <f t="shared" si="37"/>
        <v>1.6627578316815741</v>
      </c>
      <c r="M338" s="50">
        <v>1</v>
      </c>
      <c r="N338" s="50">
        <v>84.3</v>
      </c>
      <c r="O338" s="50">
        <f t="shared" si="38"/>
        <v>1.9258275746247424</v>
      </c>
      <c r="P338" s="50">
        <v>37</v>
      </c>
      <c r="Q338" s="50">
        <f t="shared" si="39"/>
        <v>1.568201724066995</v>
      </c>
      <c r="R338" s="50">
        <v>44.611946528156203</v>
      </c>
      <c r="S338" s="50">
        <f t="shared" si="40"/>
        <v>1.6494511729836956</v>
      </c>
      <c r="T338" s="50">
        <v>3.2528486942934638</v>
      </c>
      <c r="U338" s="50">
        <v>3.6102804432713853</v>
      </c>
      <c r="V338" s="186">
        <v>730000000</v>
      </c>
      <c r="W338" s="186">
        <f t="shared" si="41"/>
        <v>8.8633228601204568</v>
      </c>
      <c r="X338" s="50">
        <v>9</v>
      </c>
      <c r="Y338" s="66" t="s">
        <v>577</v>
      </c>
    </row>
    <row r="339" spans="1:25" x14ac:dyDescent="0.35">
      <c r="A339" s="67">
        <v>-0.50046355716177571</v>
      </c>
      <c r="B339" s="52" t="s">
        <v>4</v>
      </c>
      <c r="C339" s="52">
        <v>2.2383561643835614</v>
      </c>
      <c r="D339" s="50">
        <f t="shared" si="35"/>
        <v>0.34992919207594075</v>
      </c>
      <c r="E339" s="52">
        <v>3.1566248585544785</v>
      </c>
      <c r="F339" s="52">
        <v>1.7242758696007889</v>
      </c>
      <c r="G339" s="52">
        <v>3.03</v>
      </c>
      <c r="H339" s="50">
        <f t="shared" si="36"/>
        <v>0.48144262850230496</v>
      </c>
      <c r="I339" s="52">
        <v>2.8438554226231609</v>
      </c>
      <c r="J339" s="52">
        <v>-0.10790539730951958</v>
      </c>
      <c r="K339" s="52">
        <v>62</v>
      </c>
      <c r="L339" s="50">
        <f t="shared" si="37"/>
        <v>1.7923916894982539</v>
      </c>
      <c r="M339" s="52">
        <v>1</v>
      </c>
      <c r="N339" s="52">
        <v>94.2</v>
      </c>
      <c r="O339" s="50">
        <f t="shared" si="38"/>
        <v>1.9740509027928774</v>
      </c>
      <c r="P339" s="52">
        <v>45</v>
      </c>
      <c r="Q339" s="50">
        <f t="shared" si="39"/>
        <v>1.6532125137753437</v>
      </c>
      <c r="R339" s="52">
        <v>49.278563385512697</v>
      </c>
      <c r="S339" s="50">
        <f t="shared" si="40"/>
        <v>1.6926580383844774</v>
      </c>
      <c r="T339" s="52">
        <v>3.1990556451691736</v>
      </c>
      <c r="U339" s="52">
        <v>3.7784953823207492</v>
      </c>
      <c r="V339" s="187">
        <v>730000000</v>
      </c>
      <c r="W339" s="186">
        <f t="shared" si="41"/>
        <v>8.8633228601204568</v>
      </c>
      <c r="X339" s="52">
        <v>1</v>
      </c>
      <c r="Y339" s="68" t="s">
        <v>577</v>
      </c>
    </row>
    <row r="340" spans="1:25" x14ac:dyDescent="0.35">
      <c r="A340" s="49">
        <v>5.2714734498433974E-2</v>
      </c>
      <c r="B340" s="50" t="s">
        <v>434</v>
      </c>
      <c r="C340" s="50">
        <v>1.1972602739726028</v>
      </c>
      <c r="D340" s="50">
        <f t="shared" si="35"/>
        <v>7.818857251394716E-2</v>
      </c>
      <c r="E340" s="50">
        <v>0</v>
      </c>
      <c r="F340" s="50">
        <v>2.1303337684950061</v>
      </c>
      <c r="G340" s="50">
        <v>2.8</v>
      </c>
      <c r="H340" s="50">
        <f t="shared" si="36"/>
        <v>0.44715803134221921</v>
      </c>
      <c r="I340" s="50">
        <v>0</v>
      </c>
      <c r="J340" s="50">
        <v>-3.6212172654444715E-2</v>
      </c>
      <c r="K340" s="50">
        <v>0</v>
      </c>
      <c r="L340" s="50">
        <f t="shared" si="37"/>
        <v>0</v>
      </c>
      <c r="M340" s="50">
        <v>0</v>
      </c>
      <c r="N340" s="50">
        <v>78.400000000000006</v>
      </c>
      <c r="O340" s="50">
        <f t="shared" si="38"/>
        <v>1.8943160626844384</v>
      </c>
      <c r="P340" s="50">
        <v>40.57</v>
      </c>
      <c r="Q340" s="50">
        <f t="shared" si="39"/>
        <v>1.6082050077043262</v>
      </c>
      <c r="R340" s="50">
        <v>47.629620244041597</v>
      </c>
      <c r="S340" s="50">
        <f t="shared" si="40"/>
        <v>1.6778771188499342</v>
      </c>
      <c r="T340" s="50">
        <v>3.0962405795987471</v>
      </c>
      <c r="U340" s="50">
        <v>3.4010931514437841</v>
      </c>
      <c r="V340" s="186">
        <v>740000000</v>
      </c>
      <c r="W340" s="186">
        <f t="shared" si="41"/>
        <v>8.8692317197309762</v>
      </c>
      <c r="X340" s="50">
        <v>5</v>
      </c>
      <c r="Y340" s="66" t="s">
        <v>45</v>
      </c>
    </row>
    <row r="341" spans="1:25" x14ac:dyDescent="0.35">
      <c r="A341" s="67">
        <v>5.2714734498433974E-2</v>
      </c>
      <c r="B341" s="52" t="s">
        <v>434</v>
      </c>
      <c r="C341" s="52">
        <v>1.1972602739726028</v>
      </c>
      <c r="D341" s="50">
        <f t="shared" si="35"/>
        <v>7.818857251394716E-2</v>
      </c>
      <c r="E341" s="52">
        <v>3.8584156743566731</v>
      </c>
      <c r="F341" s="52">
        <v>2.0681858617461617</v>
      </c>
      <c r="G341" s="52">
        <v>2.66</v>
      </c>
      <c r="H341" s="50">
        <f t="shared" si="36"/>
        <v>0.42488163663106698</v>
      </c>
      <c r="I341" s="52">
        <v>2.8134697878296753</v>
      </c>
      <c r="J341" s="52">
        <v>-3.6212172654444715E-2</v>
      </c>
      <c r="K341" s="52">
        <v>5</v>
      </c>
      <c r="L341" s="50">
        <f t="shared" si="37"/>
        <v>0.69897000433601886</v>
      </c>
      <c r="M341" s="52">
        <v>1</v>
      </c>
      <c r="N341" s="52">
        <v>78.400000000000006</v>
      </c>
      <c r="O341" s="50">
        <f t="shared" si="38"/>
        <v>1.8943160626844384</v>
      </c>
      <c r="P341" s="52">
        <v>40.57</v>
      </c>
      <c r="Q341" s="50">
        <f t="shared" si="39"/>
        <v>1.6082050077043262</v>
      </c>
      <c r="R341" s="52">
        <v>47.629620244041597</v>
      </c>
      <c r="S341" s="50">
        <f t="shared" si="40"/>
        <v>1.6778771188499342</v>
      </c>
      <c r="T341" s="52">
        <v>3.1867416979308154</v>
      </c>
      <c r="U341" s="52">
        <v>3.6572619512401316</v>
      </c>
      <c r="V341" s="187">
        <v>740000000</v>
      </c>
      <c r="W341" s="186">
        <f t="shared" si="41"/>
        <v>8.8692317197309762</v>
      </c>
      <c r="X341" s="52">
        <v>5</v>
      </c>
      <c r="Y341" s="68" t="s">
        <v>45</v>
      </c>
    </row>
    <row r="342" spans="1:25" x14ac:dyDescent="0.35">
      <c r="A342" s="49">
        <v>0.25886007824226553</v>
      </c>
      <c r="B342" s="50" t="s">
        <v>45</v>
      </c>
      <c r="C342" s="50">
        <v>13.038356164383561</v>
      </c>
      <c r="D342" s="50">
        <f t="shared" si="35"/>
        <v>1.1152228403422828</v>
      </c>
      <c r="E342" s="50">
        <v>0</v>
      </c>
      <c r="F342" s="50">
        <v>0.77815125038364363</v>
      </c>
      <c r="G342" s="50">
        <v>2.95</v>
      </c>
      <c r="H342" s="50">
        <f t="shared" si="36"/>
        <v>0.46982201597816303</v>
      </c>
      <c r="I342" s="50">
        <v>0</v>
      </c>
      <c r="J342" s="50">
        <v>0.2576785748691845</v>
      </c>
      <c r="K342" s="50">
        <v>12</v>
      </c>
      <c r="L342" s="50">
        <f t="shared" si="37"/>
        <v>1.0791812460476249</v>
      </c>
      <c r="M342" s="50">
        <v>0</v>
      </c>
      <c r="N342" s="50">
        <v>85</v>
      </c>
      <c r="O342" s="50">
        <f t="shared" si="38"/>
        <v>1.9294189257142926</v>
      </c>
      <c r="P342" s="50">
        <v>24.9</v>
      </c>
      <c r="Q342" s="50">
        <f t="shared" si="39"/>
        <v>1.3961993470957363</v>
      </c>
      <c r="R342" s="50">
        <v>36.710134890601303</v>
      </c>
      <c r="S342" s="50">
        <f t="shared" si="40"/>
        <v>1.564785980312654</v>
      </c>
      <c r="T342" s="50">
        <v>3.1814248062191788</v>
      </c>
      <c r="U342" s="50">
        <v>3.7294207535322617</v>
      </c>
      <c r="V342" s="186">
        <v>743830000</v>
      </c>
      <c r="W342" s="186">
        <f t="shared" si="41"/>
        <v>8.8714736902527402</v>
      </c>
      <c r="X342" s="50">
        <v>5</v>
      </c>
      <c r="Y342" s="66" t="s">
        <v>45</v>
      </c>
    </row>
    <row r="343" spans="1:25" x14ac:dyDescent="0.35">
      <c r="A343" s="67">
        <v>-7.0049015686584892E-3</v>
      </c>
      <c r="B343" s="52" t="s">
        <v>59</v>
      </c>
      <c r="C343" s="52">
        <v>1.9945205479452055</v>
      </c>
      <c r="D343" s="50">
        <f t="shared" si="35"/>
        <v>0.29983851485656249</v>
      </c>
      <c r="E343" s="52">
        <v>0</v>
      </c>
      <c r="F343" s="52">
        <v>1.3424226808222062</v>
      </c>
      <c r="G343" s="52">
        <v>3.29</v>
      </c>
      <c r="H343" s="50">
        <f t="shared" si="36"/>
        <v>0.51719589794997434</v>
      </c>
      <c r="I343" s="52">
        <v>0</v>
      </c>
      <c r="J343" s="52">
        <v>-0.16115090926274472</v>
      </c>
      <c r="K343" s="52">
        <v>15</v>
      </c>
      <c r="L343" s="50">
        <f t="shared" si="37"/>
        <v>1.1760912590556813</v>
      </c>
      <c r="M343" s="52">
        <v>0</v>
      </c>
      <c r="N343" s="52">
        <v>85</v>
      </c>
      <c r="O343" s="50">
        <f t="shared" si="38"/>
        <v>1.9294189257142926</v>
      </c>
      <c r="P343" s="52">
        <v>32.9</v>
      </c>
      <c r="Q343" s="50">
        <f t="shared" si="39"/>
        <v>1.5171958979499742</v>
      </c>
      <c r="R343" s="52">
        <v>35.433808146393098</v>
      </c>
      <c r="S343" s="50">
        <f t="shared" si="40"/>
        <v>1.5494178293890581</v>
      </c>
      <c r="T343" s="52">
        <v>3.2699236952309465</v>
      </c>
      <c r="U343" s="52">
        <v>3.6984415808994222</v>
      </c>
      <c r="V343" s="187">
        <v>750000000</v>
      </c>
      <c r="W343" s="186">
        <f t="shared" si="41"/>
        <v>8.8750612633917001</v>
      </c>
      <c r="X343" s="52">
        <v>5</v>
      </c>
      <c r="Y343" s="68" t="s">
        <v>577</v>
      </c>
    </row>
    <row r="344" spans="1:25" x14ac:dyDescent="0.35">
      <c r="A344" s="49">
        <v>-0.2896005338831994</v>
      </c>
      <c r="B344" s="50" t="s">
        <v>45</v>
      </c>
      <c r="C344" s="50">
        <v>3.1095890410958904</v>
      </c>
      <c r="D344" s="50">
        <f t="shared" si="35"/>
        <v>0.49270299707266679</v>
      </c>
      <c r="E344" s="50">
        <v>0</v>
      </c>
      <c r="F344" s="50">
        <v>0</v>
      </c>
      <c r="G344" s="50">
        <v>2.95</v>
      </c>
      <c r="H344" s="50">
        <f t="shared" si="36"/>
        <v>0.46982201597816303</v>
      </c>
      <c r="I344" s="50">
        <v>0</v>
      </c>
      <c r="J344" s="50">
        <v>0.30535136944662378</v>
      </c>
      <c r="K344" s="50">
        <v>8</v>
      </c>
      <c r="L344" s="50">
        <f t="shared" si="37"/>
        <v>0.90308998699194354</v>
      </c>
      <c r="M344" s="50">
        <v>0</v>
      </c>
      <c r="N344" s="50">
        <v>85</v>
      </c>
      <c r="O344" s="50">
        <f t="shared" si="38"/>
        <v>1.9294189257142926</v>
      </c>
      <c r="P344" s="50">
        <v>26.5</v>
      </c>
      <c r="Q344" s="50">
        <f t="shared" si="39"/>
        <v>1.4232458739368079</v>
      </c>
      <c r="R344" s="50">
        <v>37.808596853116498</v>
      </c>
      <c r="S344" s="50">
        <f t="shared" si="40"/>
        <v>1.577590560190987</v>
      </c>
      <c r="T344" s="50">
        <v>3.0958500844125241</v>
      </c>
      <c r="U344" s="50">
        <v>3.5078178355445662</v>
      </c>
      <c r="V344" s="186">
        <v>750000000</v>
      </c>
      <c r="W344" s="186">
        <f t="shared" si="41"/>
        <v>8.8750612633917001</v>
      </c>
      <c r="X344" s="50">
        <v>1</v>
      </c>
      <c r="Y344" s="66" t="s">
        <v>602</v>
      </c>
    </row>
    <row r="345" spans="1:25" x14ac:dyDescent="0.35">
      <c r="A345" s="67">
        <v>0.16633142176652496</v>
      </c>
      <c r="B345" s="52" t="s">
        <v>45</v>
      </c>
      <c r="C345" s="52">
        <v>5.7013698630136984</v>
      </c>
      <c r="D345" s="50">
        <f t="shared" si="35"/>
        <v>0.75597921575515226</v>
      </c>
      <c r="E345" s="52">
        <v>0</v>
      </c>
      <c r="F345" s="52">
        <v>1.7634279935629373</v>
      </c>
      <c r="G345" s="52">
        <v>2.95</v>
      </c>
      <c r="H345" s="50">
        <f t="shared" si="36"/>
        <v>0.46982201597816303</v>
      </c>
      <c r="I345" s="52">
        <v>0</v>
      </c>
      <c r="J345" s="52">
        <v>-4.3648054024500883E-3</v>
      </c>
      <c r="K345" s="52">
        <v>15</v>
      </c>
      <c r="L345" s="50">
        <f t="shared" si="37"/>
        <v>1.1760912590556813</v>
      </c>
      <c r="M345" s="52">
        <v>0</v>
      </c>
      <c r="N345" s="52">
        <v>91.4</v>
      </c>
      <c r="O345" s="50">
        <f t="shared" si="38"/>
        <v>1.9609461957338314</v>
      </c>
      <c r="P345" s="52">
        <v>26.7</v>
      </c>
      <c r="Q345" s="50">
        <f t="shared" si="39"/>
        <v>1.4265112613645752</v>
      </c>
      <c r="R345" s="52">
        <v>37.425715444240403</v>
      </c>
      <c r="S345" s="50">
        <f t="shared" si="40"/>
        <v>1.5731701112332821</v>
      </c>
      <c r="T345" s="52">
        <v>3.1628767233771686</v>
      </c>
      <c r="U345" s="52">
        <v>3.6087947637270492</v>
      </c>
      <c r="V345" s="187">
        <v>750000000</v>
      </c>
      <c r="W345" s="186">
        <f t="shared" si="41"/>
        <v>8.8750612633917001</v>
      </c>
      <c r="X345" s="52">
        <v>5</v>
      </c>
      <c r="Y345" s="68" t="s">
        <v>602</v>
      </c>
    </row>
    <row r="346" spans="1:25" x14ac:dyDescent="0.35">
      <c r="A346" s="49">
        <v>-0.2896005338831994</v>
      </c>
      <c r="B346" s="50" t="s">
        <v>45</v>
      </c>
      <c r="C346" s="50">
        <v>3.1095890410958904</v>
      </c>
      <c r="D346" s="50">
        <f t="shared" si="35"/>
        <v>0.49270299707266679</v>
      </c>
      <c r="E346" s="50">
        <v>0</v>
      </c>
      <c r="F346" s="50">
        <v>0</v>
      </c>
      <c r="G346" s="50">
        <v>2.95</v>
      </c>
      <c r="H346" s="50">
        <f t="shared" si="36"/>
        <v>0.46982201597816303</v>
      </c>
      <c r="I346" s="50">
        <v>0</v>
      </c>
      <c r="J346" s="50">
        <v>0.30535136944662378</v>
      </c>
      <c r="K346" s="50">
        <v>8</v>
      </c>
      <c r="L346" s="50">
        <f t="shared" si="37"/>
        <v>0.90308998699194354</v>
      </c>
      <c r="M346" s="50">
        <v>0</v>
      </c>
      <c r="N346" s="50">
        <v>85</v>
      </c>
      <c r="O346" s="50">
        <f t="shared" si="38"/>
        <v>1.9294189257142926</v>
      </c>
      <c r="P346" s="50">
        <v>26.5</v>
      </c>
      <c r="Q346" s="50">
        <f t="shared" si="39"/>
        <v>1.4232458739368079</v>
      </c>
      <c r="R346" s="50">
        <v>37.808596853116498</v>
      </c>
      <c r="S346" s="50">
        <f t="shared" si="40"/>
        <v>1.577590560190987</v>
      </c>
      <c r="T346" s="50">
        <v>3.0958500844125241</v>
      </c>
      <c r="U346" s="50">
        <v>3.5078178355445662</v>
      </c>
      <c r="V346" s="186">
        <v>750000000</v>
      </c>
      <c r="W346" s="186">
        <f t="shared" si="41"/>
        <v>8.8750612633917001</v>
      </c>
      <c r="X346" s="50">
        <v>1</v>
      </c>
      <c r="Y346" s="66" t="s">
        <v>602</v>
      </c>
    </row>
    <row r="347" spans="1:25" x14ac:dyDescent="0.35">
      <c r="A347" s="67">
        <v>0.16287088965701854</v>
      </c>
      <c r="B347" s="52" t="s">
        <v>163</v>
      </c>
      <c r="C347" s="52">
        <v>5.6328767123287671</v>
      </c>
      <c r="D347" s="50">
        <f t="shared" si="35"/>
        <v>0.7507302458667634</v>
      </c>
      <c r="E347" s="52">
        <v>2.5362300726332561</v>
      </c>
      <c r="F347" s="52">
        <v>1.1139433523068367</v>
      </c>
      <c r="G347" s="52">
        <v>2.3199999999999998</v>
      </c>
      <c r="H347" s="50">
        <f t="shared" si="36"/>
        <v>0.36548798489089962</v>
      </c>
      <c r="I347" s="52">
        <v>2.756001823801419</v>
      </c>
      <c r="J347" s="52">
        <v>5.6904851336472641E-2</v>
      </c>
      <c r="K347" s="52">
        <v>67</v>
      </c>
      <c r="L347" s="50">
        <f t="shared" si="37"/>
        <v>1.8260748027008264</v>
      </c>
      <c r="M347" s="52">
        <v>1</v>
      </c>
      <c r="N347" s="52">
        <v>70</v>
      </c>
      <c r="O347" s="50">
        <f t="shared" si="38"/>
        <v>1.8450980400142569</v>
      </c>
      <c r="P347" s="52">
        <v>43.1</v>
      </c>
      <c r="Q347" s="50">
        <f t="shared" si="39"/>
        <v>1.6344772701607315</v>
      </c>
      <c r="R347" s="52">
        <v>51.718307112209096</v>
      </c>
      <c r="S347" s="50">
        <f t="shared" si="40"/>
        <v>1.7136443007431839</v>
      </c>
      <c r="T347" s="52">
        <v>3.3314213062933389</v>
      </c>
      <c r="U347" s="52">
        <v>3.884802064783424</v>
      </c>
      <c r="V347" s="187">
        <v>756000000</v>
      </c>
      <c r="W347" s="186">
        <f t="shared" si="41"/>
        <v>8.8785217955012072</v>
      </c>
      <c r="X347" s="52">
        <v>1</v>
      </c>
      <c r="Y347" s="68" t="s">
        <v>59</v>
      </c>
    </row>
    <row r="348" spans="1:25" x14ac:dyDescent="0.35">
      <c r="A348" s="49">
        <v>0.19551981089400722</v>
      </c>
      <c r="B348" s="50" t="s">
        <v>45</v>
      </c>
      <c r="C348" s="50">
        <v>2.0054794520547947</v>
      </c>
      <c r="D348" s="50">
        <f t="shared" si="35"/>
        <v>0.30221821660191722</v>
      </c>
      <c r="E348" s="50">
        <v>3.7707754512906644</v>
      </c>
      <c r="F348" s="50">
        <v>1.2304489213782739</v>
      </c>
      <c r="G348" s="50">
        <v>2.3199999999999998</v>
      </c>
      <c r="H348" s="50">
        <f t="shared" si="36"/>
        <v>0.36548798489089962</v>
      </c>
      <c r="I348" s="50">
        <v>2.1238516409670858</v>
      </c>
      <c r="J348" s="50">
        <v>2.5305865264770262E-2</v>
      </c>
      <c r="K348" s="50">
        <v>21</v>
      </c>
      <c r="L348" s="50">
        <f t="shared" si="37"/>
        <v>1.3222192947339193</v>
      </c>
      <c r="M348" s="50">
        <v>1</v>
      </c>
      <c r="N348" s="50">
        <v>93.2</v>
      </c>
      <c r="O348" s="50">
        <f t="shared" si="38"/>
        <v>1.9694159123539814</v>
      </c>
      <c r="P348" s="50">
        <v>26.7</v>
      </c>
      <c r="Q348" s="50">
        <f t="shared" si="39"/>
        <v>1.4265112613645752</v>
      </c>
      <c r="R348" s="50">
        <v>36.669158714517401</v>
      </c>
      <c r="S348" s="50">
        <f t="shared" si="40"/>
        <v>1.5643009462345601</v>
      </c>
      <c r="T348" s="50">
        <v>3.2699236952309461</v>
      </c>
      <c r="U348" s="50">
        <v>3.6984415808994222</v>
      </c>
      <c r="V348" s="186">
        <v>765000000</v>
      </c>
      <c r="W348" s="186">
        <f t="shared" si="41"/>
        <v>8.8836614351536181</v>
      </c>
      <c r="X348" s="50">
        <v>2</v>
      </c>
      <c r="Y348" s="66" t="s">
        <v>577</v>
      </c>
    </row>
    <row r="349" spans="1:25" x14ac:dyDescent="0.35">
      <c r="A349" s="67">
        <v>1.0009790954705312E-2</v>
      </c>
      <c r="B349" s="84" t="s">
        <v>45</v>
      </c>
      <c r="C349" s="52">
        <v>11.731506849315069</v>
      </c>
      <c r="D349" s="50">
        <f t="shared" si="35"/>
        <v>1.0693537985019448</v>
      </c>
      <c r="E349" s="52">
        <v>0</v>
      </c>
      <c r="F349" s="52">
        <v>1.3222192947339193</v>
      </c>
      <c r="G349" s="52">
        <v>2.95</v>
      </c>
      <c r="H349" s="50">
        <f t="shared" si="36"/>
        <v>0.46982201597816303</v>
      </c>
      <c r="I349" s="52">
        <v>0</v>
      </c>
      <c r="J349" s="52">
        <v>-8.7739243075051505E-3</v>
      </c>
      <c r="K349" s="52">
        <v>20</v>
      </c>
      <c r="L349" s="50">
        <f t="shared" si="37"/>
        <v>1.3010299956639813</v>
      </c>
      <c r="M349" s="52">
        <v>0</v>
      </c>
      <c r="N349" s="52">
        <v>85</v>
      </c>
      <c r="O349" s="50">
        <f t="shared" si="38"/>
        <v>1.9294189257142926</v>
      </c>
      <c r="P349" s="52">
        <v>27.8</v>
      </c>
      <c r="Q349" s="50">
        <f t="shared" si="39"/>
        <v>1.4440447959180762</v>
      </c>
      <c r="R349" s="52">
        <v>34.656907836978597</v>
      </c>
      <c r="S349" s="50">
        <f t="shared" si="40"/>
        <v>1.5397898114291337</v>
      </c>
      <c r="T349" s="52">
        <v>3.3879249110011078</v>
      </c>
      <c r="U349" s="52">
        <v>3.9424034595709814</v>
      </c>
      <c r="V349" s="187">
        <v>772000000</v>
      </c>
      <c r="W349" s="186">
        <f t="shared" si="41"/>
        <v>8.8876173003357355</v>
      </c>
      <c r="X349" s="52">
        <v>2</v>
      </c>
      <c r="Y349" s="103" t="s">
        <v>45</v>
      </c>
    </row>
    <row r="350" spans="1:25" x14ac:dyDescent="0.35">
      <c r="A350" s="49">
        <v>0.61995582675819938</v>
      </c>
      <c r="B350" s="50" t="s">
        <v>2</v>
      </c>
      <c r="C350" s="50">
        <v>3.8465753424657536</v>
      </c>
      <c r="D350" s="50">
        <f t="shared" si="35"/>
        <v>0.58507424333731184</v>
      </c>
      <c r="E350" s="50">
        <v>3.8335760926148099</v>
      </c>
      <c r="F350" s="50">
        <v>2.287801729930226</v>
      </c>
      <c r="G350" s="50">
        <v>2.85</v>
      </c>
      <c r="H350" s="50">
        <f t="shared" si="36"/>
        <v>0.45484486000851021</v>
      </c>
      <c r="I350" s="50">
        <v>2.9138138523837167</v>
      </c>
      <c r="J350" s="50">
        <v>0.17897694729316943</v>
      </c>
      <c r="K350" s="50">
        <v>44</v>
      </c>
      <c r="L350" s="50">
        <f t="shared" si="37"/>
        <v>1.6434526764861874</v>
      </c>
      <c r="M350" s="50">
        <v>1</v>
      </c>
      <c r="N350" s="50">
        <v>90.5</v>
      </c>
      <c r="O350" s="50">
        <f t="shared" si="38"/>
        <v>1.9566485792052033</v>
      </c>
      <c r="P350" s="50">
        <v>36.4</v>
      </c>
      <c r="Q350" s="50">
        <f t="shared" si="39"/>
        <v>1.5611013836490559</v>
      </c>
      <c r="R350" s="50">
        <v>44.295389122127702</v>
      </c>
      <c r="S350" s="50">
        <f t="shared" si="40"/>
        <v>1.6463585211883986</v>
      </c>
      <c r="T350" s="50">
        <v>3.3418755036276071</v>
      </c>
      <c r="U350" s="50">
        <v>3.8872244231830928</v>
      </c>
      <c r="V350" s="186">
        <v>779700000</v>
      </c>
      <c r="W350" s="186">
        <f t="shared" si="41"/>
        <v>8.8919275342206756</v>
      </c>
      <c r="X350" s="50">
        <v>1</v>
      </c>
      <c r="Y350" s="66" t="s">
        <v>45</v>
      </c>
    </row>
    <row r="351" spans="1:25" x14ac:dyDescent="0.35">
      <c r="A351" s="67">
        <v>-6.4240896254688248E-2</v>
      </c>
      <c r="B351" s="52" t="s">
        <v>434</v>
      </c>
      <c r="C351" s="52">
        <v>7.3287671232876717</v>
      </c>
      <c r="D351" s="50">
        <f t="shared" si="35"/>
        <v>0.86503092190077258</v>
      </c>
      <c r="E351" s="52">
        <v>3.1568882168601933</v>
      </c>
      <c r="F351" s="52">
        <v>1.968482948553935</v>
      </c>
      <c r="G351" s="52">
        <v>2.5099999999999998</v>
      </c>
      <c r="H351" s="50">
        <f t="shared" si="36"/>
        <v>0.39967372148103808</v>
      </c>
      <c r="I351" s="52">
        <v>2.7825920506710684</v>
      </c>
      <c r="J351" s="52">
        <v>0.3820170425748684</v>
      </c>
      <c r="K351" s="52">
        <v>0</v>
      </c>
      <c r="L351" s="50">
        <f t="shared" si="37"/>
        <v>0</v>
      </c>
      <c r="M351" s="52">
        <v>1</v>
      </c>
      <c r="N351" s="52">
        <v>77</v>
      </c>
      <c r="O351" s="50">
        <f t="shared" si="38"/>
        <v>1.8864907251724818</v>
      </c>
      <c r="P351" s="52">
        <v>41.72</v>
      </c>
      <c r="Q351" s="50">
        <f t="shared" si="39"/>
        <v>1.6203442997544932</v>
      </c>
      <c r="R351" s="52">
        <v>47.830384300274197</v>
      </c>
      <c r="S351" s="50">
        <f t="shared" si="40"/>
        <v>1.6797038702890243</v>
      </c>
      <c r="T351" s="52">
        <v>3.1884249941294067</v>
      </c>
      <c r="U351" s="52">
        <v>3.9391261945252749</v>
      </c>
      <c r="V351" s="187">
        <v>800000000</v>
      </c>
      <c r="W351" s="186">
        <f t="shared" si="41"/>
        <v>8.9030899869919438</v>
      </c>
      <c r="X351" s="52">
        <v>5</v>
      </c>
      <c r="Y351" s="68" t="s">
        <v>59</v>
      </c>
    </row>
    <row r="352" spans="1:25" x14ac:dyDescent="0.35">
      <c r="A352" s="49">
        <v>0.24303804868629444</v>
      </c>
      <c r="B352" s="50" t="s">
        <v>163</v>
      </c>
      <c r="C352" s="50">
        <v>4.7616438356164386</v>
      </c>
      <c r="D352" s="50">
        <f t="shared" si="35"/>
        <v>0.67775690765617302</v>
      </c>
      <c r="E352" s="50">
        <v>2.5362300726332561</v>
      </c>
      <c r="F352" s="50">
        <v>0.69897000433601886</v>
      </c>
      <c r="G352" s="50">
        <v>2.3199999999999998</v>
      </c>
      <c r="H352" s="50">
        <f t="shared" si="36"/>
        <v>0.36548798489089962</v>
      </c>
      <c r="I352" s="50">
        <v>2.756001823801419</v>
      </c>
      <c r="J352" s="50">
        <v>0.24303804868629444</v>
      </c>
      <c r="K352" s="50">
        <v>33</v>
      </c>
      <c r="L352" s="50">
        <f t="shared" si="37"/>
        <v>1.5185139398778875</v>
      </c>
      <c r="M352" s="50">
        <v>1</v>
      </c>
      <c r="N352" s="50">
        <v>86.3</v>
      </c>
      <c r="O352" s="50">
        <f t="shared" si="38"/>
        <v>1.9360107957152095</v>
      </c>
      <c r="P352" s="50">
        <v>42.1</v>
      </c>
      <c r="Q352" s="50">
        <f t="shared" si="39"/>
        <v>1.6242820958356683</v>
      </c>
      <c r="R352" s="50">
        <v>56.8818351627258</v>
      </c>
      <c r="S352" s="50">
        <f t="shared" si="40"/>
        <v>1.7549735994690439</v>
      </c>
      <c r="T352" s="50">
        <v>3.0962405795987471</v>
      </c>
      <c r="U352" s="50">
        <v>3.4010931514437841</v>
      </c>
      <c r="V352" s="186">
        <v>800000000</v>
      </c>
      <c r="W352" s="186">
        <f t="shared" si="41"/>
        <v>8.9030899869919438</v>
      </c>
      <c r="X352" s="50">
        <v>2</v>
      </c>
      <c r="Y352" s="66" t="s">
        <v>59</v>
      </c>
    </row>
    <row r="353" spans="1:25" x14ac:dyDescent="0.35">
      <c r="A353" s="67">
        <v>-9.8950554656593151E-2</v>
      </c>
      <c r="B353" s="52" t="s">
        <v>59</v>
      </c>
      <c r="C353" s="52">
        <v>5.882191780821918</v>
      </c>
      <c r="D353" s="50">
        <f t="shared" si="35"/>
        <v>0.76953917997977395</v>
      </c>
      <c r="E353" s="52">
        <v>2.5362300726332561</v>
      </c>
      <c r="F353" s="52">
        <v>1.0413926851582251</v>
      </c>
      <c r="G353" s="52">
        <v>2.5499999999999998</v>
      </c>
      <c r="H353" s="50">
        <f t="shared" si="36"/>
        <v>0.40654018043395512</v>
      </c>
      <c r="I353" s="52">
        <v>2.756001823801419</v>
      </c>
      <c r="J353" s="52">
        <v>4.1392685158225077E-2</v>
      </c>
      <c r="K353" s="52">
        <v>11</v>
      </c>
      <c r="L353" s="50">
        <f t="shared" si="37"/>
        <v>1.0413926851582251</v>
      </c>
      <c r="M353" s="52">
        <v>1</v>
      </c>
      <c r="N353" s="52">
        <v>85</v>
      </c>
      <c r="O353" s="50">
        <f t="shared" si="38"/>
        <v>1.9294189257142926</v>
      </c>
      <c r="P353" s="52">
        <v>32.700000000000003</v>
      </c>
      <c r="Q353" s="50">
        <f t="shared" si="39"/>
        <v>1.5145477526602862</v>
      </c>
      <c r="R353" s="52">
        <v>41.286751495766303</v>
      </c>
      <c r="S353" s="50">
        <f t="shared" si="40"/>
        <v>1.6158107132703448</v>
      </c>
      <c r="T353" s="52">
        <v>3.0840515198150036</v>
      </c>
      <c r="U353" s="52">
        <v>3.905035725793323</v>
      </c>
      <c r="V353" s="187">
        <v>800000000</v>
      </c>
      <c r="W353" s="186">
        <f t="shared" si="41"/>
        <v>8.9030899869919438</v>
      </c>
      <c r="X353" s="52">
        <v>5</v>
      </c>
      <c r="Y353" s="68" t="s">
        <v>163</v>
      </c>
    </row>
    <row r="354" spans="1:25" x14ac:dyDescent="0.35">
      <c r="A354" s="49">
        <v>-0.58087069225802435</v>
      </c>
      <c r="B354" s="50" t="s">
        <v>163</v>
      </c>
      <c r="C354" s="50">
        <v>2.8410958904109589</v>
      </c>
      <c r="D354" s="50">
        <f t="shared" si="35"/>
        <v>0.45348589193256628</v>
      </c>
      <c r="E354" s="50">
        <v>2.5362300726332561</v>
      </c>
      <c r="F354" s="50">
        <v>1.1760912590556813</v>
      </c>
      <c r="G354" s="50">
        <v>2.3199999999999998</v>
      </c>
      <c r="H354" s="50">
        <f t="shared" si="36"/>
        <v>0.36548798489089962</v>
      </c>
      <c r="I354" s="50">
        <v>2.756001823801419</v>
      </c>
      <c r="J354" s="50">
        <v>-0.13076828026902382</v>
      </c>
      <c r="K354" s="50">
        <v>19</v>
      </c>
      <c r="L354" s="50">
        <f t="shared" si="37"/>
        <v>1.2787536009528289</v>
      </c>
      <c r="M354" s="50">
        <v>1</v>
      </c>
      <c r="N354" s="50">
        <v>70</v>
      </c>
      <c r="O354" s="50">
        <f t="shared" si="38"/>
        <v>1.8450980400142569</v>
      </c>
      <c r="P354" s="50">
        <v>43.4</v>
      </c>
      <c r="Q354" s="50">
        <f t="shared" si="39"/>
        <v>1.6374897295125106</v>
      </c>
      <c r="R354" s="50">
        <v>51.652289181886701</v>
      </c>
      <c r="S354" s="50">
        <f t="shared" si="40"/>
        <v>1.7130895738136374</v>
      </c>
      <c r="T354" s="50">
        <v>3.22246453795844</v>
      </c>
      <c r="U354" s="50">
        <v>3.7071267407396937</v>
      </c>
      <c r="V354" s="186">
        <v>800000000</v>
      </c>
      <c r="W354" s="186">
        <f t="shared" si="41"/>
        <v>8.9030899869919438</v>
      </c>
      <c r="X354" s="50">
        <v>8</v>
      </c>
      <c r="Y354" s="66" t="s">
        <v>577</v>
      </c>
    </row>
    <row r="355" spans="1:25" x14ac:dyDescent="0.35">
      <c r="A355" s="67">
        <v>8.8136088700551299E-2</v>
      </c>
      <c r="B355" s="52" t="s">
        <v>45</v>
      </c>
      <c r="C355" s="52">
        <v>7.7808219178082192</v>
      </c>
      <c r="D355" s="50">
        <f t="shared" si="35"/>
        <v>0.891025475590563</v>
      </c>
      <c r="E355" s="52">
        <v>0</v>
      </c>
      <c r="F355" s="52">
        <v>1.6627578316815741</v>
      </c>
      <c r="G355" s="52">
        <v>2.95</v>
      </c>
      <c r="H355" s="50">
        <f t="shared" si="36"/>
        <v>0.46982201597816303</v>
      </c>
      <c r="I355" s="52">
        <v>0</v>
      </c>
      <c r="J355" s="52">
        <v>0.12385164096708581</v>
      </c>
      <c r="K355" s="52">
        <v>16</v>
      </c>
      <c r="L355" s="50">
        <f t="shared" si="37"/>
        <v>1.2041199826559248</v>
      </c>
      <c r="M355" s="52">
        <v>0</v>
      </c>
      <c r="N355" s="52">
        <v>85</v>
      </c>
      <c r="O355" s="50">
        <f t="shared" si="38"/>
        <v>1.9294189257142926</v>
      </c>
      <c r="P355" s="52">
        <v>24.4</v>
      </c>
      <c r="Q355" s="50">
        <f t="shared" si="39"/>
        <v>1.3873898263387294</v>
      </c>
      <c r="R355" s="52">
        <v>37.256914365427299</v>
      </c>
      <c r="S355" s="50">
        <f t="shared" si="40"/>
        <v>1.5712068835833228</v>
      </c>
      <c r="T355" s="52">
        <v>3.0958500844125241</v>
      </c>
      <c r="U355" s="52">
        <v>3.5078178355445662</v>
      </c>
      <c r="V355" s="187">
        <v>800000000</v>
      </c>
      <c r="W355" s="186">
        <f t="shared" si="41"/>
        <v>8.9030899869919438</v>
      </c>
      <c r="X355" s="52">
        <v>5</v>
      </c>
      <c r="Y355" s="68" t="s">
        <v>602</v>
      </c>
    </row>
    <row r="356" spans="1:25" x14ac:dyDescent="0.35">
      <c r="A356" s="49">
        <v>-0.64132766938232411</v>
      </c>
      <c r="B356" s="50" t="s">
        <v>45</v>
      </c>
      <c r="C356" s="50">
        <v>7.4027397260273968</v>
      </c>
      <c r="D356" s="50">
        <f t="shared" si="35"/>
        <v>0.86939248022953708</v>
      </c>
      <c r="E356" s="50">
        <v>0</v>
      </c>
      <c r="F356" s="50">
        <v>2</v>
      </c>
      <c r="G356" s="50">
        <v>2.95</v>
      </c>
      <c r="H356" s="50">
        <f t="shared" si="36"/>
        <v>0.46982201597816303</v>
      </c>
      <c r="I356" s="50">
        <v>0</v>
      </c>
      <c r="J356" s="50">
        <v>0.16731733474817609</v>
      </c>
      <c r="K356" s="50">
        <v>5</v>
      </c>
      <c r="L356" s="50">
        <f t="shared" si="37"/>
        <v>0.69897000433601886</v>
      </c>
      <c r="M356" s="50">
        <v>0</v>
      </c>
      <c r="N356" s="50">
        <v>85</v>
      </c>
      <c r="O356" s="50">
        <f t="shared" si="38"/>
        <v>1.9294189257142926</v>
      </c>
      <c r="P356" s="50">
        <v>27.4</v>
      </c>
      <c r="Q356" s="50">
        <f t="shared" si="39"/>
        <v>1.4377505628203879</v>
      </c>
      <c r="R356" s="50">
        <v>35.968444143503902</v>
      </c>
      <c r="S356" s="50">
        <f t="shared" si="40"/>
        <v>1.5559216523165715</v>
      </c>
      <c r="T356" s="50">
        <v>3.1628767233771686</v>
      </c>
      <c r="U356" s="50">
        <v>3.6087947637270492</v>
      </c>
      <c r="V356" s="186">
        <v>800000000</v>
      </c>
      <c r="W356" s="186">
        <f t="shared" si="41"/>
        <v>8.9030899869919438</v>
      </c>
      <c r="X356" s="50">
        <v>7</v>
      </c>
      <c r="Y356" s="66" t="s">
        <v>602</v>
      </c>
    </row>
    <row r="357" spans="1:25" x14ac:dyDescent="0.35">
      <c r="A357" s="67">
        <v>8.8136088700551299E-2</v>
      </c>
      <c r="B357" s="52" t="s">
        <v>45</v>
      </c>
      <c r="C357" s="52">
        <v>7.7808219178082192</v>
      </c>
      <c r="D357" s="50">
        <f t="shared" si="35"/>
        <v>0.891025475590563</v>
      </c>
      <c r="E357" s="52">
        <v>0</v>
      </c>
      <c r="F357" s="52">
        <v>1.6627578316815741</v>
      </c>
      <c r="G357" s="52">
        <v>2.95</v>
      </c>
      <c r="H357" s="50">
        <f t="shared" si="36"/>
        <v>0.46982201597816303</v>
      </c>
      <c r="I357" s="52">
        <v>0</v>
      </c>
      <c r="J357" s="52">
        <v>0.12385164096708581</v>
      </c>
      <c r="K357" s="52">
        <v>16</v>
      </c>
      <c r="L357" s="50">
        <f t="shared" si="37"/>
        <v>1.2041199826559248</v>
      </c>
      <c r="M357" s="52">
        <v>0</v>
      </c>
      <c r="N357" s="52">
        <v>85</v>
      </c>
      <c r="O357" s="50">
        <f t="shared" si="38"/>
        <v>1.9294189257142926</v>
      </c>
      <c r="P357" s="52">
        <v>24.4</v>
      </c>
      <c r="Q357" s="50">
        <f t="shared" si="39"/>
        <v>1.3873898263387294</v>
      </c>
      <c r="R357" s="52">
        <v>37.256914365427299</v>
      </c>
      <c r="S357" s="50">
        <f t="shared" si="40"/>
        <v>1.5712068835833228</v>
      </c>
      <c r="T357" s="52">
        <v>3.0958500844125241</v>
      </c>
      <c r="U357" s="52">
        <v>3.5078178355445662</v>
      </c>
      <c r="V357" s="187">
        <v>800000000</v>
      </c>
      <c r="W357" s="186">
        <f t="shared" si="41"/>
        <v>8.9030899869919438</v>
      </c>
      <c r="X357" s="52">
        <v>5</v>
      </c>
      <c r="Y357" s="68" t="s">
        <v>602</v>
      </c>
    </row>
    <row r="358" spans="1:25" x14ac:dyDescent="0.35">
      <c r="A358" s="49">
        <v>0.17595556323145492</v>
      </c>
      <c r="B358" s="50" t="s">
        <v>45</v>
      </c>
      <c r="C358" s="50">
        <v>3.8054794520547945</v>
      </c>
      <c r="D358" s="50">
        <f t="shared" si="35"/>
        <v>0.58040938128114083</v>
      </c>
      <c r="E358" s="50">
        <v>0</v>
      </c>
      <c r="F358" s="50">
        <v>1.1760912590556813</v>
      </c>
      <c r="G358" s="50">
        <v>2.95</v>
      </c>
      <c r="H358" s="50">
        <f t="shared" si="36"/>
        <v>0.46982201597816303</v>
      </c>
      <c r="I358" s="50">
        <v>0</v>
      </c>
      <c r="J358" s="50">
        <v>0.13987908640123647</v>
      </c>
      <c r="K358" s="50">
        <v>13</v>
      </c>
      <c r="L358" s="50">
        <f t="shared" si="37"/>
        <v>1.1139433523068367</v>
      </c>
      <c r="M358" s="50">
        <v>0</v>
      </c>
      <c r="N358" s="50">
        <v>90.5</v>
      </c>
      <c r="O358" s="50">
        <f t="shared" si="38"/>
        <v>1.9566485792052033</v>
      </c>
      <c r="P358" s="50">
        <v>25.7</v>
      </c>
      <c r="Q358" s="50">
        <f t="shared" si="39"/>
        <v>1.4099331233312946</v>
      </c>
      <c r="R358" s="50">
        <v>39.010023979360902</v>
      </c>
      <c r="S358" s="50">
        <f t="shared" si="40"/>
        <v>1.5911762172715689</v>
      </c>
      <c r="T358" s="50">
        <v>3.8138923126200468</v>
      </c>
      <c r="U358" s="50">
        <v>3.9458684738355512</v>
      </c>
      <c r="V358" s="186">
        <v>800250000</v>
      </c>
      <c r="W358" s="186">
        <f t="shared" si="41"/>
        <v>8.9032256828161707</v>
      </c>
      <c r="X358" s="50">
        <v>4</v>
      </c>
      <c r="Y358" s="66" t="s">
        <v>602</v>
      </c>
    </row>
    <row r="359" spans="1:25" x14ac:dyDescent="0.35">
      <c r="A359" s="67">
        <v>-1.2686455602074718</v>
      </c>
      <c r="B359" s="52" t="s">
        <v>45</v>
      </c>
      <c r="C359" s="52">
        <v>4.3452054794520549</v>
      </c>
      <c r="D359" s="50">
        <f t="shared" si="35"/>
        <v>0.63801031852511025</v>
      </c>
      <c r="E359" s="52">
        <v>0</v>
      </c>
      <c r="F359" s="52">
        <v>1.3010299956639813</v>
      </c>
      <c r="G359" s="52">
        <v>2.95</v>
      </c>
      <c r="H359" s="50">
        <f t="shared" si="36"/>
        <v>0.46982201597816303</v>
      </c>
      <c r="I359" s="52">
        <v>0</v>
      </c>
      <c r="J359" s="52">
        <v>-3.1517051446064911E-2</v>
      </c>
      <c r="K359" s="52">
        <v>18</v>
      </c>
      <c r="L359" s="50">
        <f t="shared" si="37"/>
        <v>1.255272505103306</v>
      </c>
      <c r="M359" s="52">
        <v>0</v>
      </c>
      <c r="N359" s="52">
        <v>85</v>
      </c>
      <c r="O359" s="50">
        <f t="shared" si="38"/>
        <v>1.9294189257142926</v>
      </c>
      <c r="P359" s="52">
        <v>25.9</v>
      </c>
      <c r="Q359" s="50">
        <f t="shared" si="39"/>
        <v>1.4132997640812519</v>
      </c>
      <c r="R359" s="52">
        <v>36.959146749272797</v>
      </c>
      <c r="S359" s="50">
        <f t="shared" si="40"/>
        <v>1.5677219364019672</v>
      </c>
      <c r="T359" s="52">
        <v>3.0958500844125241</v>
      </c>
      <c r="U359" s="52">
        <v>3.5078178355445662</v>
      </c>
      <c r="V359" s="187">
        <v>800540000</v>
      </c>
      <c r="W359" s="186">
        <f t="shared" si="41"/>
        <v>8.9033830368740166</v>
      </c>
      <c r="X359" s="52">
        <v>9</v>
      </c>
      <c r="Y359" s="68" t="s">
        <v>602</v>
      </c>
    </row>
    <row r="360" spans="1:25" x14ac:dyDescent="0.35">
      <c r="A360" s="49">
        <v>9.8345219325912878E-2</v>
      </c>
      <c r="B360" s="50" t="s">
        <v>163</v>
      </c>
      <c r="C360" s="50">
        <v>4.6602739726027398</v>
      </c>
      <c r="D360" s="50">
        <f t="shared" si="35"/>
        <v>0.66841144915609429</v>
      </c>
      <c r="E360" s="50">
        <v>2.5362300726332561</v>
      </c>
      <c r="F360" s="50">
        <v>0.77815125038364363</v>
      </c>
      <c r="G360" s="50">
        <v>2.3199999999999998</v>
      </c>
      <c r="H360" s="50">
        <f t="shared" si="36"/>
        <v>0.36548798489089962</v>
      </c>
      <c r="I360" s="50">
        <v>2.756001823801419</v>
      </c>
      <c r="J360" s="50">
        <v>0.23299611039215382</v>
      </c>
      <c r="K360" s="50">
        <v>24</v>
      </c>
      <c r="L360" s="50">
        <f t="shared" si="37"/>
        <v>1.3802112417116059</v>
      </c>
      <c r="M360" s="50">
        <v>1</v>
      </c>
      <c r="N360" s="50">
        <v>86.3</v>
      </c>
      <c r="O360" s="50">
        <f t="shared" si="38"/>
        <v>1.9360107957152095</v>
      </c>
      <c r="P360" s="50">
        <v>42.1</v>
      </c>
      <c r="Q360" s="50">
        <f t="shared" si="39"/>
        <v>1.6242820958356683</v>
      </c>
      <c r="R360" s="50">
        <v>56.8818351627258</v>
      </c>
      <c r="S360" s="50">
        <f t="shared" si="40"/>
        <v>1.7549735994690439</v>
      </c>
      <c r="T360" s="50">
        <v>3.2188271541979425</v>
      </c>
      <c r="U360" s="50">
        <v>3.7570584504768405</v>
      </c>
      <c r="V360" s="186">
        <v>806407825</v>
      </c>
      <c r="W360" s="186">
        <f t="shared" si="41"/>
        <v>8.9065547333100721</v>
      </c>
      <c r="X360" s="50">
        <v>7</v>
      </c>
      <c r="Y360" s="66" t="s">
        <v>577</v>
      </c>
    </row>
    <row r="361" spans="1:25" x14ac:dyDescent="0.35">
      <c r="A361" s="67">
        <v>7.7479477617732218E-2</v>
      </c>
      <c r="B361" s="52" t="s">
        <v>45</v>
      </c>
      <c r="C361" s="52">
        <v>5.7260273972602738</v>
      </c>
      <c r="D361" s="50">
        <f t="shared" si="35"/>
        <v>0.75785342165457925</v>
      </c>
      <c r="E361" s="52">
        <v>0</v>
      </c>
      <c r="F361" s="52">
        <v>2.1367205671564067</v>
      </c>
      <c r="G361" s="52">
        <v>2.95</v>
      </c>
      <c r="H361" s="50">
        <f t="shared" si="36"/>
        <v>0.46982201597816303</v>
      </c>
      <c r="I361" s="52">
        <v>0</v>
      </c>
      <c r="J361" s="52">
        <v>-2.2276394711152253E-2</v>
      </c>
      <c r="K361" s="52">
        <v>17</v>
      </c>
      <c r="L361" s="50">
        <f t="shared" si="37"/>
        <v>1.2304489213782739</v>
      </c>
      <c r="M361" s="52">
        <v>0</v>
      </c>
      <c r="N361" s="52">
        <v>91.4</v>
      </c>
      <c r="O361" s="50">
        <f t="shared" si="38"/>
        <v>1.9609461957338314</v>
      </c>
      <c r="P361" s="52">
        <v>26.7</v>
      </c>
      <c r="Q361" s="50">
        <f t="shared" si="39"/>
        <v>1.4265112613645752</v>
      </c>
      <c r="R361" s="52">
        <v>37.425715444240403</v>
      </c>
      <c r="S361" s="50">
        <f t="shared" si="40"/>
        <v>1.5731701112332821</v>
      </c>
      <c r="T361" s="52">
        <v>3.1814248062191788</v>
      </c>
      <c r="U361" s="52">
        <v>3.7294207535322617</v>
      </c>
      <c r="V361" s="187">
        <v>815690000</v>
      </c>
      <c r="W361" s="186">
        <f t="shared" si="41"/>
        <v>8.9115251380808047</v>
      </c>
      <c r="X361" s="52">
        <v>5</v>
      </c>
      <c r="Y361" s="68" t="s">
        <v>45</v>
      </c>
    </row>
    <row r="362" spans="1:25" x14ac:dyDescent="0.35">
      <c r="A362" s="49">
        <v>-0.22590584449276507</v>
      </c>
      <c r="B362" s="83" t="s">
        <v>59</v>
      </c>
      <c r="C362" s="50">
        <v>4.2876712328767121</v>
      </c>
      <c r="D362" s="50">
        <f t="shared" si="35"/>
        <v>0.63222147742599255</v>
      </c>
      <c r="E362" s="50">
        <v>0</v>
      </c>
      <c r="F362" s="50">
        <v>1.8195439355418688</v>
      </c>
      <c r="G362" s="50">
        <v>3.29</v>
      </c>
      <c r="H362" s="50">
        <f t="shared" si="36"/>
        <v>0.51719589794997434</v>
      </c>
      <c r="I362" s="50">
        <v>0</v>
      </c>
      <c r="J362" s="50">
        <v>-0.10790539730951958</v>
      </c>
      <c r="K362" s="50">
        <v>22</v>
      </c>
      <c r="L362" s="50">
        <f t="shared" si="37"/>
        <v>1.3424226808222062</v>
      </c>
      <c r="M362" s="50">
        <v>0</v>
      </c>
      <c r="N362" s="50">
        <v>85</v>
      </c>
      <c r="O362" s="50">
        <f t="shared" si="38"/>
        <v>1.9294189257142926</v>
      </c>
      <c r="P362" s="50">
        <v>32.200000000000003</v>
      </c>
      <c r="Q362" s="50">
        <f t="shared" si="39"/>
        <v>1.507855871695831</v>
      </c>
      <c r="R362" s="50">
        <v>35.326012114535303</v>
      </c>
      <c r="S362" s="50">
        <f t="shared" si="40"/>
        <v>1.548094613534351</v>
      </c>
      <c r="T362" s="50">
        <v>3.1817251205543564</v>
      </c>
      <c r="U362" s="50">
        <v>3.9234321312589846</v>
      </c>
      <c r="V362" s="186">
        <v>825000000</v>
      </c>
      <c r="W362" s="186">
        <f t="shared" si="41"/>
        <v>8.9164539485499255</v>
      </c>
      <c r="X362" s="50">
        <v>2</v>
      </c>
      <c r="Y362" s="102" t="s">
        <v>59</v>
      </c>
    </row>
    <row r="363" spans="1:25" x14ac:dyDescent="0.35">
      <c r="A363" s="67">
        <v>0.42311965077168279</v>
      </c>
      <c r="B363" s="52" t="s">
        <v>7</v>
      </c>
      <c r="C363" s="52">
        <v>8.9452054794520546</v>
      </c>
      <c r="D363" s="50">
        <f t="shared" si="35"/>
        <v>0.95159032115461806</v>
      </c>
      <c r="E363" s="52">
        <v>2.6903467274930635</v>
      </c>
      <c r="F363" s="52">
        <v>1.9344984512435677</v>
      </c>
      <c r="G363" s="52">
        <v>2.59</v>
      </c>
      <c r="H363" s="50">
        <f t="shared" si="36"/>
        <v>0.4132997640812518</v>
      </c>
      <c r="I363" s="52">
        <v>2.7508939203821252</v>
      </c>
      <c r="J363" s="52">
        <v>0.21218760440395779</v>
      </c>
      <c r="K363" s="52">
        <v>24</v>
      </c>
      <c r="L363" s="50">
        <f t="shared" si="37"/>
        <v>1.3802112417116059</v>
      </c>
      <c r="M363" s="52">
        <v>1</v>
      </c>
      <c r="N363" s="52">
        <v>85</v>
      </c>
      <c r="O363" s="50">
        <f t="shared" si="38"/>
        <v>1.9294189257142926</v>
      </c>
      <c r="P363" s="52">
        <v>37.799999999999997</v>
      </c>
      <c r="Q363" s="50">
        <f t="shared" si="39"/>
        <v>1.5774917998372253</v>
      </c>
      <c r="R363" s="52">
        <v>43.5787105608064</v>
      </c>
      <c r="S363" s="50">
        <f t="shared" si="40"/>
        <v>1.6392743758732649</v>
      </c>
      <c r="T363" s="52">
        <v>3.22246453795844</v>
      </c>
      <c r="U363" s="52">
        <v>3.7071267407396937</v>
      </c>
      <c r="V363" s="187">
        <v>830430000</v>
      </c>
      <c r="W363" s="186">
        <f t="shared" si="41"/>
        <v>8.9193030300505232</v>
      </c>
      <c r="X363" s="52">
        <v>1</v>
      </c>
      <c r="Y363" s="68" t="s">
        <v>577</v>
      </c>
    </row>
    <row r="364" spans="1:25" x14ac:dyDescent="0.35">
      <c r="A364" s="49">
        <v>0.42919770240247967</v>
      </c>
      <c r="B364" s="83" t="s">
        <v>45</v>
      </c>
      <c r="C364" s="50">
        <v>0.34246575342465752</v>
      </c>
      <c r="D364" s="50">
        <f t="shared" si="35"/>
        <v>-0.46538285144841829</v>
      </c>
      <c r="E364" s="50">
        <v>0</v>
      </c>
      <c r="F364" s="50">
        <v>1.5563025007672873</v>
      </c>
      <c r="G364" s="50">
        <v>2.95</v>
      </c>
      <c r="H364" s="50">
        <f t="shared" si="36"/>
        <v>0.46982201597816303</v>
      </c>
      <c r="I364" s="50">
        <v>0</v>
      </c>
      <c r="J364" s="50">
        <v>-0.11918640771920865</v>
      </c>
      <c r="K364" s="50">
        <v>16</v>
      </c>
      <c r="L364" s="50">
        <f t="shared" si="37"/>
        <v>1.2041199826559248</v>
      </c>
      <c r="M364" s="50">
        <v>0</v>
      </c>
      <c r="N364" s="50">
        <v>85</v>
      </c>
      <c r="O364" s="50">
        <f t="shared" si="38"/>
        <v>1.9294189257142926</v>
      </c>
      <c r="P364" s="50">
        <v>24.9</v>
      </c>
      <c r="Q364" s="50">
        <f t="shared" si="39"/>
        <v>1.3961993470957363</v>
      </c>
      <c r="R364" s="50">
        <v>36.710134890601303</v>
      </c>
      <c r="S364" s="50">
        <f t="shared" si="40"/>
        <v>1.564785980312654</v>
      </c>
      <c r="T364" s="50">
        <v>3.3704715474841587</v>
      </c>
      <c r="U364" s="50">
        <v>3.6359758652606611</v>
      </c>
      <c r="V364" s="186">
        <v>837500000</v>
      </c>
      <c r="W364" s="186">
        <f t="shared" si="41"/>
        <v>8.9229848157088831</v>
      </c>
      <c r="X364" s="50">
        <v>8</v>
      </c>
      <c r="Y364" s="102" t="s">
        <v>45</v>
      </c>
    </row>
    <row r="365" spans="1:25" x14ac:dyDescent="0.35">
      <c r="A365" s="67">
        <v>-0.40958099049118918</v>
      </c>
      <c r="B365" s="52" t="s">
        <v>45</v>
      </c>
      <c r="C365" s="52">
        <v>8.1808219178082187</v>
      </c>
      <c r="D365" s="50">
        <f t="shared" si="35"/>
        <v>0.91279693893253189</v>
      </c>
      <c r="E365" s="52">
        <v>0</v>
      </c>
      <c r="F365" s="52">
        <v>1.2304489213782739</v>
      </c>
      <c r="G365" s="52">
        <v>2.95</v>
      </c>
      <c r="H365" s="50">
        <f t="shared" si="36"/>
        <v>0.46982201597816303</v>
      </c>
      <c r="I365" s="52">
        <v>0</v>
      </c>
      <c r="J365" s="52">
        <v>6.8185861746161619E-2</v>
      </c>
      <c r="K365" s="52">
        <v>23</v>
      </c>
      <c r="L365" s="50">
        <f t="shared" si="37"/>
        <v>1.3617278360175928</v>
      </c>
      <c r="M365" s="52">
        <v>0</v>
      </c>
      <c r="N365" s="52">
        <v>85</v>
      </c>
      <c r="O365" s="50">
        <f t="shared" si="38"/>
        <v>1.9294189257142926</v>
      </c>
      <c r="P365" s="52">
        <v>27.8</v>
      </c>
      <c r="Q365" s="50">
        <f t="shared" si="39"/>
        <v>1.4440447959180762</v>
      </c>
      <c r="R365" s="52">
        <v>34.656907836978597</v>
      </c>
      <c r="S365" s="50">
        <f t="shared" si="40"/>
        <v>1.5397898114291337</v>
      </c>
      <c r="T365" s="52">
        <v>3.0687415514991745</v>
      </c>
      <c r="U365" s="52">
        <v>3.5297005493117593</v>
      </c>
      <c r="V365" s="187">
        <v>842020000</v>
      </c>
      <c r="W365" s="186">
        <f t="shared" si="41"/>
        <v>8.9253224071605537</v>
      </c>
      <c r="X365" s="52">
        <v>2</v>
      </c>
      <c r="Y365" s="68" t="s">
        <v>45</v>
      </c>
    </row>
    <row r="366" spans="1:25" x14ac:dyDescent="0.35">
      <c r="A366" s="49">
        <v>0.47037020438358634</v>
      </c>
      <c r="B366" s="50" t="s">
        <v>3</v>
      </c>
      <c r="C366" s="50">
        <v>3.3917808219178083</v>
      </c>
      <c r="D366" s="50">
        <f t="shared" si="35"/>
        <v>0.53042778022762449</v>
      </c>
      <c r="E366" s="50">
        <v>2.9808892467722719</v>
      </c>
      <c r="F366" s="50">
        <v>2.0334237554869499</v>
      </c>
      <c r="G366" s="50">
        <v>3.13</v>
      </c>
      <c r="H366" s="50">
        <f t="shared" si="36"/>
        <v>0.49554433754644844</v>
      </c>
      <c r="I366" s="50">
        <v>2.7343997425205671</v>
      </c>
      <c r="J366" s="50">
        <v>0.18469143081759881</v>
      </c>
      <c r="K366" s="50">
        <v>22</v>
      </c>
      <c r="L366" s="50">
        <f t="shared" si="37"/>
        <v>1.3424226808222062</v>
      </c>
      <c r="M366" s="50">
        <v>1</v>
      </c>
      <c r="N366" s="50">
        <v>100</v>
      </c>
      <c r="O366" s="50">
        <f t="shared" si="38"/>
        <v>2</v>
      </c>
      <c r="P366" s="50">
        <v>45.6</v>
      </c>
      <c r="Q366" s="50">
        <f t="shared" si="39"/>
        <v>1.658964842664435</v>
      </c>
      <c r="R366" s="50">
        <v>53.639357132864397</v>
      </c>
      <c r="S366" s="50">
        <f t="shared" si="40"/>
        <v>1.7294835641959176</v>
      </c>
      <c r="T366" s="50">
        <v>3.2224645332922388</v>
      </c>
      <c r="U366" s="50">
        <v>3.707126713924402</v>
      </c>
      <c r="V366" s="186">
        <v>847560000</v>
      </c>
      <c r="W366" s="186">
        <f t="shared" si="41"/>
        <v>8.9281704522987919</v>
      </c>
      <c r="X366" s="50">
        <v>1</v>
      </c>
      <c r="Y366" s="66" t="s">
        <v>59</v>
      </c>
    </row>
    <row r="367" spans="1:25" x14ac:dyDescent="0.35">
      <c r="A367" s="67">
        <v>0.20114482427160621</v>
      </c>
      <c r="B367" s="52" t="s">
        <v>1</v>
      </c>
      <c r="C367" s="52">
        <v>1.9369863013698629</v>
      </c>
      <c r="D367" s="50">
        <f t="shared" si="35"/>
        <v>0.2871265493404247</v>
      </c>
      <c r="E367" s="52">
        <v>3.7947040944998616</v>
      </c>
      <c r="F367" s="52">
        <v>2.173186268412274</v>
      </c>
      <c r="G367" s="52">
        <v>2.93</v>
      </c>
      <c r="H367" s="50">
        <f t="shared" si="36"/>
        <v>0.4668676203541095</v>
      </c>
      <c r="I367" s="52">
        <v>2.7962273140294389</v>
      </c>
      <c r="J367" s="52">
        <v>6.069784035361165E-2</v>
      </c>
      <c r="K367" s="52">
        <v>29</v>
      </c>
      <c r="L367" s="50">
        <f t="shared" si="37"/>
        <v>1.4623979978989561</v>
      </c>
      <c r="M367" s="52">
        <v>1</v>
      </c>
      <c r="N367" s="52">
        <v>92.6</v>
      </c>
      <c r="O367" s="50">
        <f t="shared" si="38"/>
        <v>1.9666109866819343</v>
      </c>
      <c r="P367" s="52">
        <v>39.9</v>
      </c>
      <c r="Q367" s="50">
        <f t="shared" si="39"/>
        <v>1.6009728956867482</v>
      </c>
      <c r="R367" s="52">
        <v>43.966315241865303</v>
      </c>
      <c r="S367" s="50">
        <f t="shared" si="40"/>
        <v>1.6431200695045953</v>
      </c>
      <c r="T367" s="52">
        <v>3.20911860699078</v>
      </c>
      <c r="U367" s="52">
        <v>3.5849986651910224</v>
      </c>
      <c r="V367" s="187">
        <v>849550000</v>
      </c>
      <c r="W367" s="186">
        <f t="shared" si="41"/>
        <v>8.9291889442233998</v>
      </c>
      <c r="X367" s="52">
        <v>7</v>
      </c>
      <c r="Y367" s="68" t="s">
        <v>45</v>
      </c>
    </row>
    <row r="368" spans="1:25" x14ac:dyDescent="0.35">
      <c r="A368" s="49">
        <v>0.24667233334138849</v>
      </c>
      <c r="B368" s="50" t="s">
        <v>59</v>
      </c>
      <c r="C368" s="50">
        <v>3.1945205479452055</v>
      </c>
      <c r="D368" s="50">
        <f t="shared" si="35"/>
        <v>0.50440568596652058</v>
      </c>
      <c r="E368" s="50">
        <v>3.1566248585544785</v>
      </c>
      <c r="F368" s="50">
        <v>0.90308998699194354</v>
      </c>
      <c r="G368" s="50">
        <v>3.43</v>
      </c>
      <c r="H368" s="50">
        <f t="shared" si="36"/>
        <v>0.53529412004277055</v>
      </c>
      <c r="I368" s="50">
        <v>2.8438554226231609</v>
      </c>
      <c r="J368" s="50">
        <v>0.13033376849500614</v>
      </c>
      <c r="K368" s="50">
        <v>21</v>
      </c>
      <c r="L368" s="50">
        <f t="shared" si="37"/>
        <v>1.3222192947339193</v>
      </c>
      <c r="M368" s="50">
        <v>1</v>
      </c>
      <c r="N368" s="50">
        <v>91.1</v>
      </c>
      <c r="O368" s="50">
        <f t="shared" si="38"/>
        <v>1.9595183769729982</v>
      </c>
      <c r="P368" s="50">
        <v>32.200000000000003</v>
      </c>
      <c r="Q368" s="50">
        <f t="shared" si="39"/>
        <v>1.507855871695831</v>
      </c>
      <c r="R368" s="50">
        <v>42.1993112284324</v>
      </c>
      <c r="S368" s="50">
        <f t="shared" si="40"/>
        <v>1.6253053625225207</v>
      </c>
      <c r="T368" s="50">
        <v>3.1616209089088487</v>
      </c>
      <c r="U368" s="50">
        <v>3.7997633234477775</v>
      </c>
      <c r="V368" s="186">
        <v>850000000</v>
      </c>
      <c r="W368" s="186">
        <f t="shared" si="41"/>
        <v>8.9294189257142929</v>
      </c>
      <c r="X368" s="50">
        <v>3</v>
      </c>
      <c r="Y368" s="66" t="s">
        <v>4</v>
      </c>
    </row>
    <row r="369" spans="1:25" x14ac:dyDescent="0.35">
      <c r="A369" s="67">
        <v>0.55842619439714281</v>
      </c>
      <c r="B369" s="52" t="s">
        <v>45</v>
      </c>
      <c r="C369" s="52">
        <v>7.5698630136986305</v>
      </c>
      <c r="D369" s="50">
        <f t="shared" si="35"/>
        <v>0.87908802046003665</v>
      </c>
      <c r="E369" s="52">
        <v>0</v>
      </c>
      <c r="F369" s="52">
        <v>0</v>
      </c>
      <c r="G369" s="52">
        <v>2.95</v>
      </c>
      <c r="H369" s="50">
        <f t="shared" si="36"/>
        <v>0.46982201597816303</v>
      </c>
      <c r="I369" s="52">
        <v>0</v>
      </c>
      <c r="J369" s="52">
        <v>0.13672056715640679</v>
      </c>
      <c r="K369" s="52">
        <v>17</v>
      </c>
      <c r="L369" s="50">
        <f t="shared" si="37"/>
        <v>1.2304489213782739</v>
      </c>
      <c r="M369" s="52">
        <v>0</v>
      </c>
      <c r="N369" s="52">
        <v>91.4</v>
      </c>
      <c r="O369" s="50">
        <f t="shared" si="38"/>
        <v>1.9609461957338314</v>
      </c>
      <c r="P369" s="52">
        <v>26.7</v>
      </c>
      <c r="Q369" s="50">
        <f t="shared" si="39"/>
        <v>1.4265112613645752</v>
      </c>
      <c r="R369" s="52">
        <v>37.425715444240403</v>
      </c>
      <c r="S369" s="50">
        <f t="shared" si="40"/>
        <v>1.5731701112332821</v>
      </c>
      <c r="T369" s="52">
        <v>3.1814248062191788</v>
      </c>
      <c r="U369" s="52">
        <v>3.7294207535322617</v>
      </c>
      <c r="V369" s="187">
        <v>850000000</v>
      </c>
      <c r="W369" s="186">
        <f t="shared" si="41"/>
        <v>8.9294189257142929</v>
      </c>
      <c r="X369" s="52">
        <v>5</v>
      </c>
      <c r="Y369" s="68" t="s">
        <v>45</v>
      </c>
    </row>
    <row r="370" spans="1:25" x14ac:dyDescent="0.35">
      <c r="A370" s="49">
        <v>0.40575447990253999</v>
      </c>
      <c r="B370" s="50" t="s">
        <v>59</v>
      </c>
      <c r="C370" s="50">
        <v>3.0575342465753423</v>
      </c>
      <c r="D370" s="50">
        <f t="shared" si="35"/>
        <v>0.48537133014508521</v>
      </c>
      <c r="E370" s="50">
        <v>0</v>
      </c>
      <c r="F370" s="50">
        <v>0</v>
      </c>
      <c r="G370" s="50">
        <v>3.29</v>
      </c>
      <c r="H370" s="50">
        <f t="shared" si="36"/>
        <v>0.51719589794997434</v>
      </c>
      <c r="I370" s="50">
        <v>0</v>
      </c>
      <c r="J370" s="50">
        <v>0.13672056715640679</v>
      </c>
      <c r="K370" s="50">
        <v>68</v>
      </c>
      <c r="L370" s="50">
        <f t="shared" si="37"/>
        <v>1.8325089127062364</v>
      </c>
      <c r="M370" s="50">
        <v>0</v>
      </c>
      <c r="N370" s="50">
        <v>85</v>
      </c>
      <c r="O370" s="50">
        <f t="shared" si="38"/>
        <v>1.9294189257142926</v>
      </c>
      <c r="P370" s="50">
        <v>31.5</v>
      </c>
      <c r="Q370" s="50">
        <f t="shared" si="39"/>
        <v>1.4983105537896004</v>
      </c>
      <c r="R370" s="50">
        <v>37.589394702761602</v>
      </c>
      <c r="S370" s="50">
        <f t="shared" si="40"/>
        <v>1.575065332381355</v>
      </c>
      <c r="T370" s="50">
        <v>3.3314213062933389</v>
      </c>
      <c r="U370" s="50">
        <v>3.884802064783424</v>
      </c>
      <c r="V370" s="186">
        <v>856450000</v>
      </c>
      <c r="W370" s="186">
        <f t="shared" si="41"/>
        <v>8.9327020137020643</v>
      </c>
      <c r="X370" s="50">
        <v>5</v>
      </c>
      <c r="Y370" s="66" t="s">
        <v>59</v>
      </c>
    </row>
    <row r="371" spans="1:25" x14ac:dyDescent="0.35">
      <c r="A371" s="67">
        <v>-0.27378151671391243</v>
      </c>
      <c r="B371" s="52" t="s">
        <v>59</v>
      </c>
      <c r="C371" s="52">
        <v>2.2000000000000002</v>
      </c>
      <c r="D371" s="50">
        <f t="shared" si="35"/>
        <v>0.34242268082220628</v>
      </c>
      <c r="E371" s="52">
        <v>0</v>
      </c>
      <c r="F371" s="52">
        <v>1.4313637641589874</v>
      </c>
      <c r="G371" s="52">
        <v>3.29</v>
      </c>
      <c r="H371" s="50">
        <f t="shared" si="36"/>
        <v>0.51719589794997434</v>
      </c>
      <c r="I371" s="52">
        <v>0</v>
      </c>
      <c r="J371" s="52">
        <v>0.15228834438305647</v>
      </c>
      <c r="K371" s="52">
        <v>32</v>
      </c>
      <c r="L371" s="50">
        <f t="shared" si="37"/>
        <v>1.505149978319906</v>
      </c>
      <c r="M371" s="52">
        <v>0</v>
      </c>
      <c r="N371" s="52">
        <v>94.7</v>
      </c>
      <c r="O371" s="50">
        <f t="shared" si="38"/>
        <v>1.9763499790032735</v>
      </c>
      <c r="P371" s="52">
        <v>32.4</v>
      </c>
      <c r="Q371" s="50">
        <f t="shared" si="39"/>
        <v>1.510545010206612</v>
      </c>
      <c r="R371" s="52">
        <v>45.737088331856903</v>
      </c>
      <c r="S371" s="50">
        <f t="shared" si="40"/>
        <v>1.6602685135357675</v>
      </c>
      <c r="T371" s="52">
        <v>3.1606353037386858</v>
      </c>
      <c r="U371" s="52">
        <v>3.9767438733352263</v>
      </c>
      <c r="V371" s="187">
        <v>867807686</v>
      </c>
      <c r="W371" s="186">
        <f t="shared" si="41"/>
        <v>8.9384234922700383</v>
      </c>
      <c r="X371" s="52">
        <v>6</v>
      </c>
      <c r="Y371" s="68" t="s">
        <v>59</v>
      </c>
    </row>
    <row r="372" spans="1:25" x14ac:dyDescent="0.35">
      <c r="A372" s="49">
        <v>0.16496831948392221</v>
      </c>
      <c r="B372" s="50" t="s">
        <v>45</v>
      </c>
      <c r="C372" s="50">
        <v>1.9232876712328768</v>
      </c>
      <c r="D372" s="50">
        <f t="shared" si="35"/>
        <v>0.28404424767333059</v>
      </c>
      <c r="E372" s="50">
        <v>0</v>
      </c>
      <c r="F372" s="50">
        <v>1.3010299956639813</v>
      </c>
      <c r="G372" s="50">
        <v>2.95</v>
      </c>
      <c r="H372" s="50">
        <f t="shared" si="36"/>
        <v>0.46982201597816303</v>
      </c>
      <c r="I372" s="50">
        <v>0</v>
      </c>
      <c r="J372" s="50">
        <v>0.11727129565576427</v>
      </c>
      <c r="K372" s="50">
        <v>13</v>
      </c>
      <c r="L372" s="50">
        <f t="shared" si="37"/>
        <v>1.1139433523068367</v>
      </c>
      <c r="M372" s="50">
        <v>0</v>
      </c>
      <c r="N372" s="50">
        <v>90.5</v>
      </c>
      <c r="O372" s="50">
        <f t="shared" si="38"/>
        <v>1.9566485792052033</v>
      </c>
      <c r="P372" s="50">
        <v>25.7</v>
      </c>
      <c r="Q372" s="50">
        <f t="shared" si="39"/>
        <v>1.4099331233312946</v>
      </c>
      <c r="R372" s="50">
        <v>39.010023979360902</v>
      </c>
      <c r="S372" s="50">
        <f t="shared" si="40"/>
        <v>1.5911762172715689</v>
      </c>
      <c r="T372" s="50">
        <v>3.8138923126200468</v>
      </c>
      <c r="U372" s="50">
        <v>3.9458684738355512</v>
      </c>
      <c r="V372" s="186">
        <v>889150000</v>
      </c>
      <c r="W372" s="186">
        <f t="shared" si="41"/>
        <v>8.948975032822915</v>
      </c>
      <c r="X372" s="50">
        <v>9</v>
      </c>
      <c r="Y372" s="66" t="s">
        <v>602</v>
      </c>
    </row>
    <row r="373" spans="1:25" x14ac:dyDescent="0.35">
      <c r="A373" s="67">
        <v>-0.17270020850490278</v>
      </c>
      <c r="B373" s="52" t="s">
        <v>163</v>
      </c>
      <c r="C373" s="52">
        <v>8.5863013698630137</v>
      </c>
      <c r="D373" s="50">
        <f t="shared" si="35"/>
        <v>0.93380612767609661</v>
      </c>
      <c r="E373" s="52">
        <v>2.5362300726332561</v>
      </c>
      <c r="F373" s="52">
        <v>1.8512583487190752</v>
      </c>
      <c r="G373" s="52">
        <v>2.3199999999999998</v>
      </c>
      <c r="H373" s="50">
        <f t="shared" si="36"/>
        <v>0.36548798489089962</v>
      </c>
      <c r="I373" s="52">
        <v>2.756001823801419</v>
      </c>
      <c r="J373" s="52">
        <v>0.1903316981702915</v>
      </c>
      <c r="K373" s="52">
        <v>28</v>
      </c>
      <c r="L373" s="50">
        <f t="shared" si="37"/>
        <v>1.4471580313422192</v>
      </c>
      <c r="M373" s="52">
        <v>1</v>
      </c>
      <c r="N373" s="52">
        <v>70</v>
      </c>
      <c r="O373" s="50">
        <f t="shared" si="38"/>
        <v>1.8450980400142569</v>
      </c>
      <c r="P373" s="52">
        <v>42.9</v>
      </c>
      <c r="Q373" s="50">
        <f t="shared" si="39"/>
        <v>1.6324572921847242</v>
      </c>
      <c r="R373" s="52">
        <v>53.2941466273667</v>
      </c>
      <c r="S373" s="50">
        <f t="shared" si="40"/>
        <v>1.7266795124593939</v>
      </c>
      <c r="T373" s="52">
        <v>3.0962405795987471</v>
      </c>
      <c r="U373" s="52">
        <v>3.4010931514437841</v>
      </c>
      <c r="V373" s="187">
        <v>893000000</v>
      </c>
      <c r="W373" s="186">
        <f t="shared" si="41"/>
        <v>8.9508514588885468</v>
      </c>
      <c r="X373" s="52">
        <v>5</v>
      </c>
      <c r="Y373" s="68" t="s">
        <v>59</v>
      </c>
    </row>
    <row r="374" spans="1:25" x14ac:dyDescent="0.35">
      <c r="A374" s="49">
        <v>0.15970084286751188</v>
      </c>
      <c r="B374" s="50" t="s">
        <v>2</v>
      </c>
      <c r="C374" s="50">
        <v>2.7808219178082192</v>
      </c>
      <c r="D374" s="50">
        <f t="shared" si="35"/>
        <v>0.444173177792757</v>
      </c>
      <c r="E374" s="50">
        <v>3.8335760926148099</v>
      </c>
      <c r="F374" s="50">
        <v>0.47712125471966244</v>
      </c>
      <c r="G374" s="50">
        <v>2.85</v>
      </c>
      <c r="H374" s="50">
        <f t="shared" si="36"/>
        <v>0.45484486000851021</v>
      </c>
      <c r="I374" s="50">
        <v>2.9138138523837167</v>
      </c>
      <c r="J374" s="50">
        <v>0.11727129565576427</v>
      </c>
      <c r="K374" s="50">
        <v>18</v>
      </c>
      <c r="L374" s="50">
        <f t="shared" si="37"/>
        <v>1.255272505103306</v>
      </c>
      <c r="M374" s="50">
        <v>1</v>
      </c>
      <c r="N374" s="50">
        <v>70</v>
      </c>
      <c r="O374" s="50">
        <f t="shared" si="38"/>
        <v>1.8450980400142569</v>
      </c>
      <c r="P374" s="50">
        <v>34.6</v>
      </c>
      <c r="Q374" s="50">
        <f t="shared" si="39"/>
        <v>1.5390760987927767</v>
      </c>
      <c r="R374" s="50">
        <v>47.8156192569637</v>
      </c>
      <c r="S374" s="50">
        <f t="shared" si="40"/>
        <v>1.6795697846681461</v>
      </c>
      <c r="T374" s="50">
        <v>3.3647319918335836</v>
      </c>
      <c r="U374" s="50">
        <v>3.568659604598353</v>
      </c>
      <c r="V374" s="186">
        <v>900000000</v>
      </c>
      <c r="W374" s="186">
        <f t="shared" si="41"/>
        <v>8.9542425094393252</v>
      </c>
      <c r="X374" s="50">
        <v>4</v>
      </c>
      <c r="Y374" s="66" t="s">
        <v>602</v>
      </c>
    </row>
    <row r="375" spans="1:25" x14ac:dyDescent="0.35">
      <c r="A375" s="67">
        <v>4.5757490560675143E-2</v>
      </c>
      <c r="B375" s="52" t="s">
        <v>45</v>
      </c>
      <c r="C375" s="52">
        <v>1.1698630136986301</v>
      </c>
      <c r="D375" s="50">
        <f t="shared" si="35"/>
        <v>6.8135010568549148E-2</v>
      </c>
      <c r="E375" s="52">
        <v>3.7899753459779522</v>
      </c>
      <c r="F375" s="52">
        <v>1.3979400086720377</v>
      </c>
      <c r="G375" s="52">
        <v>3.18</v>
      </c>
      <c r="H375" s="50">
        <f t="shared" si="36"/>
        <v>0.50242711998443268</v>
      </c>
      <c r="I375" s="52">
        <v>2.7670321178317625</v>
      </c>
      <c r="J375" s="52">
        <v>2.9383777685209667E-2</v>
      </c>
      <c r="K375" s="52">
        <v>16</v>
      </c>
      <c r="L375" s="50">
        <f t="shared" si="37"/>
        <v>1.2041199826559248</v>
      </c>
      <c r="M375" s="52">
        <v>1</v>
      </c>
      <c r="N375" s="52">
        <v>89.2</v>
      </c>
      <c r="O375" s="50">
        <f t="shared" si="38"/>
        <v>1.9503648543761232</v>
      </c>
      <c r="P375" s="52">
        <v>26</v>
      </c>
      <c r="Q375" s="50">
        <f t="shared" si="39"/>
        <v>1.414973347970818</v>
      </c>
      <c r="R375" s="52">
        <v>38.344872802923099</v>
      </c>
      <c r="S375" s="50">
        <f t="shared" si="40"/>
        <v>1.5837073014724459</v>
      </c>
      <c r="T375" s="52">
        <v>3.2258683317817765</v>
      </c>
      <c r="U375" s="52">
        <v>3.9615291224236637</v>
      </c>
      <c r="V375" s="187">
        <v>900000000</v>
      </c>
      <c r="W375" s="186">
        <f t="shared" si="41"/>
        <v>8.9542425094393252</v>
      </c>
      <c r="X375" s="52">
        <v>1</v>
      </c>
      <c r="Y375" s="68" t="s">
        <v>163</v>
      </c>
    </row>
    <row r="376" spans="1:25" x14ac:dyDescent="0.35">
      <c r="A376" s="49">
        <v>0.30023115302562903</v>
      </c>
      <c r="B376" s="50" t="s">
        <v>45</v>
      </c>
      <c r="C376" s="50">
        <v>3.8493150684931505</v>
      </c>
      <c r="D376" s="50">
        <f t="shared" si="35"/>
        <v>0.58538345978462403</v>
      </c>
      <c r="E376" s="50">
        <v>0</v>
      </c>
      <c r="F376" s="50">
        <v>0</v>
      </c>
      <c r="G376" s="50">
        <v>2.95</v>
      </c>
      <c r="H376" s="50">
        <f t="shared" si="36"/>
        <v>0.46982201597816303</v>
      </c>
      <c r="I376" s="50">
        <v>0</v>
      </c>
      <c r="J376" s="50">
        <v>0.1553360374650618</v>
      </c>
      <c r="K376" s="50">
        <v>15</v>
      </c>
      <c r="L376" s="50">
        <f t="shared" si="37"/>
        <v>1.1760912590556813</v>
      </c>
      <c r="M376" s="50">
        <v>0</v>
      </c>
      <c r="N376" s="50">
        <v>85</v>
      </c>
      <c r="O376" s="50">
        <f t="shared" si="38"/>
        <v>1.9294189257142926</v>
      </c>
      <c r="P376" s="50">
        <v>24.9</v>
      </c>
      <c r="Q376" s="50">
        <f t="shared" si="39"/>
        <v>1.3961993470957363</v>
      </c>
      <c r="R376" s="50">
        <v>36.710134890601303</v>
      </c>
      <c r="S376" s="50">
        <f t="shared" si="40"/>
        <v>1.564785980312654</v>
      </c>
      <c r="T376" s="50">
        <v>3.0958500844125241</v>
      </c>
      <c r="U376" s="50">
        <v>3.5078178355445662</v>
      </c>
      <c r="V376" s="186">
        <v>914180000</v>
      </c>
      <c r="W376" s="186">
        <f t="shared" si="41"/>
        <v>8.9610317157668646</v>
      </c>
      <c r="X376" s="50">
        <v>1</v>
      </c>
      <c r="Y376" s="66" t="s">
        <v>602</v>
      </c>
    </row>
    <row r="377" spans="1:25" x14ac:dyDescent="0.35">
      <c r="A377" s="67">
        <v>0.41216609703415352</v>
      </c>
      <c r="B377" s="52" t="s">
        <v>4</v>
      </c>
      <c r="C377" s="52">
        <v>2.8493150684931505</v>
      </c>
      <c r="D377" s="50">
        <f t="shared" si="35"/>
        <v>0.45474047484230562</v>
      </c>
      <c r="E377" s="52">
        <v>0</v>
      </c>
      <c r="F377" s="52">
        <v>1.3222192947339193</v>
      </c>
      <c r="G377" s="52">
        <v>3.59</v>
      </c>
      <c r="H377" s="50">
        <f t="shared" si="36"/>
        <v>0.55509444857831913</v>
      </c>
      <c r="I377" s="52">
        <v>0</v>
      </c>
      <c r="J377" s="52">
        <v>-4.3648054024500883E-3</v>
      </c>
      <c r="K377" s="52">
        <v>14</v>
      </c>
      <c r="L377" s="50">
        <f t="shared" si="37"/>
        <v>1.146128035678238</v>
      </c>
      <c r="M377" s="52">
        <v>0</v>
      </c>
      <c r="N377" s="52">
        <v>95.6</v>
      </c>
      <c r="O377" s="50">
        <f t="shared" si="38"/>
        <v>1.9804578922761</v>
      </c>
      <c r="P377" s="52">
        <v>44</v>
      </c>
      <c r="Q377" s="50">
        <f t="shared" si="39"/>
        <v>1.6434526764861874</v>
      </c>
      <c r="R377" s="52">
        <v>50.007710041127098</v>
      </c>
      <c r="S377" s="50">
        <f t="shared" si="40"/>
        <v>1.6990369677395805</v>
      </c>
      <c r="T377" s="52">
        <v>3.1616209089088487</v>
      </c>
      <c r="U377" s="52">
        <v>3.7997633234477775</v>
      </c>
      <c r="V377" s="187">
        <v>915710000</v>
      </c>
      <c r="W377" s="186">
        <f t="shared" si="41"/>
        <v>8.9617579569203265</v>
      </c>
      <c r="X377" s="52">
        <v>1</v>
      </c>
      <c r="Y377" s="68" t="s">
        <v>4</v>
      </c>
    </row>
    <row r="378" spans="1:25" x14ac:dyDescent="0.35">
      <c r="A378" s="49">
        <v>0.15348346831020904</v>
      </c>
      <c r="B378" s="50" t="s">
        <v>163</v>
      </c>
      <c r="C378" s="50">
        <v>3.6958904109589041</v>
      </c>
      <c r="D378" s="50">
        <f t="shared" si="35"/>
        <v>0.56771908521542958</v>
      </c>
      <c r="E378" s="50">
        <v>2.5362300726332561</v>
      </c>
      <c r="F378" s="50">
        <v>1.9822712330395684</v>
      </c>
      <c r="G378" s="50">
        <v>2.3199999999999998</v>
      </c>
      <c r="H378" s="50">
        <f t="shared" si="36"/>
        <v>0.36548798489089962</v>
      </c>
      <c r="I378" s="50">
        <v>2.756001823801419</v>
      </c>
      <c r="J378" s="50">
        <v>2.1189299069938092E-2</v>
      </c>
      <c r="K378" s="50">
        <v>21</v>
      </c>
      <c r="L378" s="50">
        <f t="shared" si="37"/>
        <v>1.3222192947339193</v>
      </c>
      <c r="M378" s="50">
        <v>1</v>
      </c>
      <c r="N378" s="50">
        <v>70</v>
      </c>
      <c r="O378" s="50">
        <f t="shared" si="38"/>
        <v>1.8450980400142569</v>
      </c>
      <c r="P378" s="50">
        <v>43.1</v>
      </c>
      <c r="Q378" s="50">
        <f t="shared" si="39"/>
        <v>1.6344772701607315</v>
      </c>
      <c r="R378" s="50">
        <v>51.718307112209096</v>
      </c>
      <c r="S378" s="50">
        <f t="shared" si="40"/>
        <v>1.7136443007431839</v>
      </c>
      <c r="T378" s="50">
        <v>3.2327651641054547</v>
      </c>
      <c r="U378" s="50">
        <v>3.9527244147731087</v>
      </c>
      <c r="V378" s="186">
        <v>920000000</v>
      </c>
      <c r="W378" s="186">
        <f t="shared" si="41"/>
        <v>8.9637878273455556</v>
      </c>
      <c r="X378" s="50">
        <v>7</v>
      </c>
      <c r="Y378" s="66" t="s">
        <v>59</v>
      </c>
    </row>
    <row r="379" spans="1:25" x14ac:dyDescent="0.35">
      <c r="A379" s="67">
        <v>0.14780161956780419</v>
      </c>
      <c r="B379" s="52" t="s">
        <v>2</v>
      </c>
      <c r="C379" s="52">
        <v>5.6849315068493151</v>
      </c>
      <c r="D379" s="50">
        <f t="shared" si="35"/>
        <v>0.75472523659163682</v>
      </c>
      <c r="E379" s="52">
        <v>3.8335760926148099</v>
      </c>
      <c r="F379" s="52">
        <v>1.568201724066995</v>
      </c>
      <c r="G379" s="52">
        <v>2.85</v>
      </c>
      <c r="H379" s="50">
        <f t="shared" si="36"/>
        <v>0.45484486000851021</v>
      </c>
      <c r="I379" s="52">
        <v>2.9138138523837167</v>
      </c>
      <c r="J379" s="52">
        <v>0.13987908640123647</v>
      </c>
      <c r="K379" s="52">
        <v>1</v>
      </c>
      <c r="L379" s="50">
        <f t="shared" si="37"/>
        <v>0</v>
      </c>
      <c r="M379" s="52">
        <v>1</v>
      </c>
      <c r="N379" s="52">
        <v>70</v>
      </c>
      <c r="O379" s="50">
        <f t="shared" si="38"/>
        <v>1.8450980400142569</v>
      </c>
      <c r="P379" s="52">
        <v>35</v>
      </c>
      <c r="Q379" s="50">
        <f t="shared" si="39"/>
        <v>1.5440680443502757</v>
      </c>
      <c r="R379" s="52">
        <v>46.908044131476899</v>
      </c>
      <c r="S379" s="50">
        <f t="shared" si="40"/>
        <v>1.6712473250679141</v>
      </c>
      <c r="T379" s="52">
        <v>3.348721986001856</v>
      </c>
      <c r="U379" s="52">
        <v>3.7520876635386311</v>
      </c>
      <c r="V379" s="187">
        <v>925000000</v>
      </c>
      <c r="W379" s="186">
        <f t="shared" si="41"/>
        <v>8.9661417327390325</v>
      </c>
      <c r="X379" s="52">
        <v>8</v>
      </c>
      <c r="Y379" s="68" t="s">
        <v>45</v>
      </c>
    </row>
    <row r="380" spans="1:25" x14ac:dyDescent="0.35">
      <c r="A380" s="49">
        <v>0.40991495239420256</v>
      </c>
      <c r="B380" s="110" t="s">
        <v>7</v>
      </c>
      <c r="C380" s="50">
        <v>3.9205479452054797</v>
      </c>
      <c r="D380" s="50">
        <f t="shared" si="35"/>
        <v>0.59334676930330166</v>
      </c>
      <c r="E380" s="50">
        <v>2.6903467274930635</v>
      </c>
      <c r="F380" s="50">
        <v>1.4913616938342726</v>
      </c>
      <c r="G380" s="50">
        <v>2.59</v>
      </c>
      <c r="H380" s="50">
        <f t="shared" si="36"/>
        <v>0.4132997640812518</v>
      </c>
      <c r="I380" s="50">
        <v>2.7508939203821252</v>
      </c>
      <c r="J380" s="50">
        <v>0.19589965240923368</v>
      </c>
      <c r="K380" s="50">
        <v>22</v>
      </c>
      <c r="L380" s="50">
        <f t="shared" si="37"/>
        <v>1.3424226808222062</v>
      </c>
      <c r="M380" s="50">
        <v>1</v>
      </c>
      <c r="N380" s="50">
        <v>85</v>
      </c>
      <c r="O380" s="50">
        <f t="shared" si="38"/>
        <v>1.9294189257142926</v>
      </c>
      <c r="P380" s="50">
        <v>37.5</v>
      </c>
      <c r="Q380" s="50">
        <f t="shared" si="39"/>
        <v>1.5740312677277188</v>
      </c>
      <c r="R380" s="50">
        <v>43.5008834269711</v>
      </c>
      <c r="S380" s="50">
        <f t="shared" si="40"/>
        <v>1.6384980768066575</v>
      </c>
      <c r="T380" s="50">
        <v>3.2224645332922388</v>
      </c>
      <c r="U380" s="50">
        <v>3.707126713924402</v>
      </c>
      <c r="V380" s="186">
        <v>930000000</v>
      </c>
      <c r="W380" s="186">
        <f t="shared" si="41"/>
        <v>8.9684829485539357</v>
      </c>
      <c r="X380" s="50">
        <v>1</v>
      </c>
      <c r="Y380" s="111" t="s">
        <v>59</v>
      </c>
    </row>
    <row r="381" spans="1:25" x14ac:dyDescent="0.35">
      <c r="A381" s="67">
        <v>0.30526090847065979</v>
      </c>
      <c r="B381" s="52" t="s">
        <v>45</v>
      </c>
      <c r="C381" s="52">
        <v>2.6191780821917807</v>
      </c>
      <c r="D381" s="50">
        <f t="shared" si="35"/>
        <v>0.41816502781962533</v>
      </c>
      <c r="E381" s="52">
        <v>3.7707754512906644</v>
      </c>
      <c r="F381" s="52">
        <v>1.2787536009528289</v>
      </c>
      <c r="G381" s="52">
        <v>2.3199999999999998</v>
      </c>
      <c r="H381" s="50">
        <f t="shared" si="36"/>
        <v>0.36548798489089962</v>
      </c>
      <c r="I381" s="52">
        <v>2.1238516409670858</v>
      </c>
      <c r="J381" s="52">
        <v>0.11394335230683679</v>
      </c>
      <c r="K381" s="52">
        <v>24</v>
      </c>
      <c r="L381" s="50">
        <f t="shared" si="37"/>
        <v>1.3802112417116059</v>
      </c>
      <c r="M381" s="52">
        <v>1</v>
      </c>
      <c r="N381" s="52">
        <v>85</v>
      </c>
      <c r="O381" s="50">
        <f t="shared" si="38"/>
        <v>1.9294189257142926</v>
      </c>
      <c r="P381" s="52">
        <v>24.6</v>
      </c>
      <c r="Q381" s="50">
        <f t="shared" si="39"/>
        <v>1.3909351071033791</v>
      </c>
      <c r="R381" s="52">
        <v>36.876470987978301</v>
      </c>
      <c r="S381" s="50">
        <f t="shared" si="40"/>
        <v>1.5667493531684615</v>
      </c>
      <c r="T381" s="52">
        <v>3.2327651641054547</v>
      </c>
      <c r="U381" s="52">
        <v>3.9527244147731087</v>
      </c>
      <c r="V381" s="187">
        <v>940790000</v>
      </c>
      <c r="W381" s="186">
        <f t="shared" si="41"/>
        <v>8.9734926924821696</v>
      </c>
      <c r="X381" s="52">
        <v>3</v>
      </c>
      <c r="Y381" s="68" t="s">
        <v>59</v>
      </c>
    </row>
    <row r="382" spans="1:25" x14ac:dyDescent="0.35">
      <c r="A382" s="49">
        <v>0.40572718258820278</v>
      </c>
      <c r="B382" s="83" t="s">
        <v>45</v>
      </c>
      <c r="C382" s="50">
        <v>3.463013698630137</v>
      </c>
      <c r="D382" s="50">
        <f t="shared" si="35"/>
        <v>0.53945420948989153</v>
      </c>
      <c r="E382" s="50">
        <v>0</v>
      </c>
      <c r="F382" s="50">
        <v>1.2041199826559248</v>
      </c>
      <c r="G382" s="50">
        <v>2.95</v>
      </c>
      <c r="H382" s="50">
        <f t="shared" si="36"/>
        <v>0.46982201597816303</v>
      </c>
      <c r="I382" s="50">
        <v>0</v>
      </c>
      <c r="J382" s="50">
        <v>0.2253092817258629</v>
      </c>
      <c r="K382" s="50">
        <v>21</v>
      </c>
      <c r="L382" s="50">
        <f t="shared" si="37"/>
        <v>1.3222192947339193</v>
      </c>
      <c r="M382" s="50">
        <v>0</v>
      </c>
      <c r="N382" s="50">
        <v>91</v>
      </c>
      <c r="O382" s="50">
        <f t="shared" si="38"/>
        <v>1.9590413923210936</v>
      </c>
      <c r="P382" s="50">
        <v>23.9</v>
      </c>
      <c r="Q382" s="50">
        <f t="shared" si="39"/>
        <v>1.3783979009481377</v>
      </c>
      <c r="R382" s="50">
        <v>42.048698215007001</v>
      </c>
      <c r="S382" s="50">
        <f t="shared" si="40"/>
        <v>1.6237525550259535</v>
      </c>
      <c r="T382" s="50">
        <v>3.1438417908875378</v>
      </c>
      <c r="U382" s="50">
        <v>3.5593338228462725</v>
      </c>
      <c r="V382" s="186">
        <v>942940000</v>
      </c>
      <c r="W382" s="186">
        <f t="shared" si="41"/>
        <v>8.9744840591234034</v>
      </c>
      <c r="X382" s="50">
        <v>9</v>
      </c>
      <c r="Y382" s="102" t="s">
        <v>45</v>
      </c>
    </row>
    <row r="383" spans="1:25" x14ac:dyDescent="0.35">
      <c r="A383" s="67">
        <v>1.6901758266215719E-3</v>
      </c>
      <c r="B383" s="52" t="s">
        <v>45</v>
      </c>
      <c r="C383" s="52">
        <v>5.6301369863013697</v>
      </c>
      <c r="D383" s="50">
        <f t="shared" si="35"/>
        <v>0.75051896175561328</v>
      </c>
      <c r="E383" s="52">
        <v>3.7707754512906644</v>
      </c>
      <c r="F383" s="52">
        <v>1.4313637641589874</v>
      </c>
      <c r="G383" s="52">
        <v>2.3199999999999998</v>
      </c>
      <c r="H383" s="50">
        <f t="shared" si="36"/>
        <v>0.36548798489089962</v>
      </c>
      <c r="I383" s="52">
        <v>2.1238516409670858</v>
      </c>
      <c r="J383" s="52">
        <v>2.5305865264770262E-2</v>
      </c>
      <c r="K383" s="52">
        <v>21</v>
      </c>
      <c r="L383" s="50">
        <f t="shared" si="37"/>
        <v>1.3222192947339193</v>
      </c>
      <c r="M383" s="52">
        <v>1</v>
      </c>
      <c r="N383" s="52">
        <v>85</v>
      </c>
      <c r="O383" s="50">
        <f t="shared" si="38"/>
        <v>1.9294189257142926</v>
      </c>
      <c r="P383" s="52">
        <v>25.9</v>
      </c>
      <c r="Q383" s="50">
        <f t="shared" si="39"/>
        <v>1.4132997640812519</v>
      </c>
      <c r="R383" s="52">
        <v>36.959146749272797</v>
      </c>
      <c r="S383" s="50">
        <f t="shared" si="40"/>
        <v>1.5677219364019672</v>
      </c>
      <c r="T383" s="52">
        <v>3.25553976325445</v>
      </c>
      <c r="U383" s="52">
        <v>3.9251377454872847</v>
      </c>
      <c r="V383" s="187">
        <v>946310000</v>
      </c>
      <c r="W383" s="186">
        <f t="shared" si="41"/>
        <v>8.9760334294622268</v>
      </c>
      <c r="X383" s="52">
        <v>5</v>
      </c>
      <c r="Y383" s="68" t="s">
        <v>577</v>
      </c>
    </row>
    <row r="384" spans="1:25" x14ac:dyDescent="0.35">
      <c r="A384" s="49">
        <v>-0.6127113446665251</v>
      </c>
      <c r="B384" s="50" t="s">
        <v>59</v>
      </c>
      <c r="C384" s="50">
        <v>2.0739726027397261</v>
      </c>
      <c r="D384" s="50">
        <f t="shared" si="35"/>
        <v>0.31680301504359804</v>
      </c>
      <c r="E384" s="50">
        <v>0</v>
      </c>
      <c r="F384" s="50">
        <v>1.3979400086720377</v>
      </c>
      <c r="G384" s="50">
        <v>3.29</v>
      </c>
      <c r="H384" s="50">
        <f t="shared" si="36"/>
        <v>0.51719589794997434</v>
      </c>
      <c r="I384" s="50">
        <v>0</v>
      </c>
      <c r="J384" s="50">
        <v>7.554696139253074E-2</v>
      </c>
      <c r="K384" s="50">
        <v>18</v>
      </c>
      <c r="L384" s="50">
        <f t="shared" si="37"/>
        <v>1.255272505103306</v>
      </c>
      <c r="M384" s="50">
        <v>0</v>
      </c>
      <c r="N384" s="50">
        <v>85</v>
      </c>
      <c r="O384" s="50">
        <f t="shared" si="38"/>
        <v>1.9294189257142926</v>
      </c>
      <c r="P384" s="50">
        <v>31.3</v>
      </c>
      <c r="Q384" s="50">
        <f t="shared" si="39"/>
        <v>1.4955443375464486</v>
      </c>
      <c r="R384" s="50">
        <v>38.7850112673514</v>
      </c>
      <c r="S384" s="50">
        <f t="shared" si="40"/>
        <v>1.5886639219461918</v>
      </c>
      <c r="T384" s="50">
        <v>3.2699236952309465</v>
      </c>
      <c r="U384" s="50">
        <v>3.6984415808994222</v>
      </c>
      <c r="V384" s="186">
        <v>976170000</v>
      </c>
      <c r="W384" s="186">
        <f t="shared" si="41"/>
        <v>8.9895254566347216</v>
      </c>
      <c r="X384" s="50">
        <v>4</v>
      </c>
      <c r="Y384" s="66" t="s">
        <v>577</v>
      </c>
    </row>
    <row r="385" spans="1:25" x14ac:dyDescent="0.35">
      <c r="A385" s="67">
        <v>0.46954857143534467</v>
      </c>
      <c r="B385" s="52" t="s">
        <v>45</v>
      </c>
      <c r="C385" s="52">
        <v>5.9424657534246572</v>
      </c>
      <c r="D385" s="50">
        <f t="shared" si="35"/>
        <v>0.77396668755771858</v>
      </c>
      <c r="E385" s="52">
        <v>0</v>
      </c>
      <c r="F385" s="52">
        <v>1.255272505103306</v>
      </c>
      <c r="G385" s="52">
        <v>2.95</v>
      </c>
      <c r="H385" s="50">
        <f t="shared" si="36"/>
        <v>0.46982201597816303</v>
      </c>
      <c r="I385" s="52">
        <v>0</v>
      </c>
      <c r="J385" s="52">
        <v>0.10037054511756291</v>
      </c>
      <c r="K385" s="52">
        <v>16</v>
      </c>
      <c r="L385" s="50">
        <f t="shared" si="37"/>
        <v>1.2041199826559248</v>
      </c>
      <c r="M385" s="52">
        <v>0</v>
      </c>
      <c r="N385" s="52">
        <v>92.6</v>
      </c>
      <c r="O385" s="50">
        <f t="shared" si="38"/>
        <v>1.9666109866819343</v>
      </c>
      <c r="P385" s="52">
        <v>25.7</v>
      </c>
      <c r="Q385" s="50">
        <f t="shared" si="39"/>
        <v>1.4099331233312946</v>
      </c>
      <c r="R385" s="52">
        <v>39.823361151429197</v>
      </c>
      <c r="S385" s="50">
        <f t="shared" si="40"/>
        <v>1.6001379123442065</v>
      </c>
      <c r="T385" s="52">
        <v>3.1628767233771686</v>
      </c>
      <c r="U385" s="52">
        <v>3.6087947637270492</v>
      </c>
      <c r="V385" s="187">
        <v>983670000</v>
      </c>
      <c r="W385" s="186">
        <f t="shared" si="41"/>
        <v>8.9928494264636107</v>
      </c>
      <c r="X385" s="52">
        <v>2</v>
      </c>
      <c r="Y385" s="68" t="s">
        <v>602</v>
      </c>
    </row>
    <row r="386" spans="1:25" x14ac:dyDescent="0.35">
      <c r="A386" s="49">
        <v>0.12368252267762356</v>
      </c>
      <c r="B386" s="50" t="s">
        <v>5</v>
      </c>
      <c r="C386" s="50">
        <v>3.7342465753424658</v>
      </c>
      <c r="D386" s="50">
        <f t="shared" si="35"/>
        <v>0.57220299137819886</v>
      </c>
      <c r="E386" s="50">
        <v>2.5542346870234227</v>
      </c>
      <c r="F386" s="50">
        <v>1.2304489213782739</v>
      </c>
      <c r="G386" s="50">
        <v>3.16</v>
      </c>
      <c r="H386" s="50">
        <f t="shared" si="36"/>
        <v>0.49968708261840383</v>
      </c>
      <c r="I386" s="50">
        <v>2.9876662649262746</v>
      </c>
      <c r="J386" s="50">
        <v>-6.5501548756432285E-2</v>
      </c>
      <c r="K386" s="50">
        <v>21</v>
      </c>
      <c r="L386" s="50">
        <f t="shared" si="37"/>
        <v>1.3222192947339193</v>
      </c>
      <c r="M386" s="50">
        <v>1</v>
      </c>
      <c r="N386" s="50">
        <v>88.4</v>
      </c>
      <c r="O386" s="50">
        <f t="shared" si="38"/>
        <v>1.9464522650130731</v>
      </c>
      <c r="P386" s="50">
        <v>35.700000000000003</v>
      </c>
      <c r="Q386" s="50">
        <f t="shared" si="39"/>
        <v>1.5526682161121932</v>
      </c>
      <c r="R386" s="50">
        <v>42.337645557762798</v>
      </c>
      <c r="S386" s="50">
        <f t="shared" si="40"/>
        <v>1.6267267027692975</v>
      </c>
      <c r="T386" s="50">
        <v>3.2188271541979425</v>
      </c>
      <c r="U386" s="50">
        <v>3.7570584504768405</v>
      </c>
      <c r="V386" s="186">
        <v>992530499</v>
      </c>
      <c r="W386" s="186">
        <f t="shared" si="41"/>
        <v>8.996743860869806</v>
      </c>
      <c r="X386" s="50">
        <v>9</v>
      </c>
      <c r="Y386" s="66" t="s">
        <v>577</v>
      </c>
    </row>
    <row r="387" spans="1:25" x14ac:dyDescent="0.35">
      <c r="A387" s="67">
        <v>0.50696632713727663</v>
      </c>
      <c r="B387" s="52" t="s">
        <v>2</v>
      </c>
      <c r="C387" s="52">
        <v>3.6356164383561644</v>
      </c>
      <c r="D387" s="50">
        <f t="shared" ref="D387" si="42">LOG(C387)</f>
        <v>0.56057805840796082</v>
      </c>
      <c r="E387" s="52">
        <v>2.9629325585580042</v>
      </c>
      <c r="F387" s="52">
        <v>1.6720978579357175</v>
      </c>
      <c r="G387" s="52">
        <v>2.62</v>
      </c>
      <c r="H387" s="50">
        <f t="shared" ref="H387" si="43">LOG(G387)</f>
        <v>0.41830129131974547</v>
      </c>
      <c r="I387" s="52">
        <v>2.9323046139517812</v>
      </c>
      <c r="J387" s="52">
        <v>0.16435285578443709</v>
      </c>
      <c r="K387" s="52">
        <v>22</v>
      </c>
      <c r="L387" s="50">
        <f t="shared" ref="L387" si="44">IF(K387=0,0,LOG(K387))</f>
        <v>1.3424226808222062</v>
      </c>
      <c r="M387" s="52">
        <v>1</v>
      </c>
      <c r="N387" s="52">
        <v>70</v>
      </c>
      <c r="O387" s="50">
        <f t="shared" ref="O387" si="45">LOG(N387)</f>
        <v>1.8450980400142569</v>
      </c>
      <c r="P387" s="52">
        <v>34.6</v>
      </c>
      <c r="Q387" s="50">
        <f t="shared" ref="Q387" si="46">LOG(P387)</f>
        <v>1.5390760987927767</v>
      </c>
      <c r="R387" s="52">
        <v>47.8156192569637</v>
      </c>
      <c r="S387" s="50">
        <f t="shared" ref="S387" si="47">LOG(R387)</f>
        <v>1.6795697846681461</v>
      </c>
      <c r="T387" s="52">
        <v>3.2224645332922388</v>
      </c>
      <c r="U387" s="52">
        <v>3.707126713924402</v>
      </c>
      <c r="V387" s="187">
        <v>992590000</v>
      </c>
      <c r="W387" s="186">
        <f t="shared" ref="W387" si="48">LOG(V387)</f>
        <v>8.9967698955170619</v>
      </c>
      <c r="X387" s="52">
        <v>1</v>
      </c>
      <c r="Y387" s="68" t="s">
        <v>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3"/>
  <sheetViews>
    <sheetView topLeftCell="A88" workbookViewId="0">
      <selection activeCell="AD24" sqref="AD24"/>
    </sheetView>
  </sheetViews>
  <sheetFormatPr defaultRowHeight="14.5" x14ac:dyDescent="0.35"/>
  <cols>
    <col min="4" max="4" width="9.1796875" style="137"/>
    <col min="8" max="8" width="9.1796875" style="137"/>
    <col min="12" max="12" width="9.1796875" style="137"/>
    <col min="14" max="14" width="9.1796875" style="137"/>
    <col min="16" max="16" width="9.1796875" style="137"/>
    <col min="17" max="17" width="19.7265625" bestFit="1" customWidth="1"/>
    <col min="18" max="18" width="19.7265625" style="137" customWidth="1"/>
    <col min="21" max="21" width="19.7265625" bestFit="1" customWidth="1"/>
    <col min="22" max="22" width="19.7265625" style="137" customWidth="1"/>
    <col min="24" max="24" width="16.1796875" customWidth="1"/>
  </cols>
  <sheetData>
    <row r="1" spans="1:25" x14ac:dyDescent="0.35">
      <c r="A1" s="98" t="s">
        <v>1330</v>
      </c>
      <c r="B1" s="100" t="s">
        <v>11</v>
      </c>
      <c r="C1" s="99" t="s">
        <v>23</v>
      </c>
      <c r="D1" s="99" t="s">
        <v>1391</v>
      </c>
      <c r="E1" s="99" t="s">
        <v>1332</v>
      </c>
      <c r="F1" s="99" t="s">
        <v>1313</v>
      </c>
      <c r="G1" s="99" t="s">
        <v>1314</v>
      </c>
      <c r="H1" s="99" t="s">
        <v>1380</v>
      </c>
      <c r="I1" s="99" t="s">
        <v>1315</v>
      </c>
      <c r="J1" s="99" t="s">
        <v>1316</v>
      </c>
      <c r="K1" s="99" t="s">
        <v>40</v>
      </c>
      <c r="L1" s="99" t="s">
        <v>1392</v>
      </c>
      <c r="M1" s="99" t="s">
        <v>35</v>
      </c>
      <c r="N1" s="99" t="s">
        <v>1384</v>
      </c>
      <c r="O1" s="99" t="s">
        <v>36</v>
      </c>
      <c r="P1" s="99" t="s">
        <v>1385</v>
      </c>
      <c r="Q1" s="99" t="s">
        <v>37</v>
      </c>
      <c r="R1" s="99" t="s">
        <v>1393</v>
      </c>
      <c r="S1" s="99" t="s">
        <v>31</v>
      </c>
      <c r="T1" s="99" t="s">
        <v>33</v>
      </c>
      <c r="U1" s="99" t="s">
        <v>1317</v>
      </c>
      <c r="V1" s="99" t="s">
        <v>1394</v>
      </c>
      <c r="W1" s="99" t="s">
        <v>1322</v>
      </c>
      <c r="X1" s="105" t="s">
        <v>13</v>
      </c>
      <c r="Y1" s="81" t="s">
        <v>1374</v>
      </c>
    </row>
    <row r="2" spans="1:25" x14ac:dyDescent="0.35">
      <c r="A2" s="49">
        <v>0.49136169383427269</v>
      </c>
      <c r="B2" s="50" t="s">
        <v>45</v>
      </c>
      <c r="C2" s="50">
        <v>4.5452054794520551</v>
      </c>
      <c r="D2" s="50">
        <f>LOG(C2)</f>
        <v>0.65755352156788605</v>
      </c>
      <c r="E2" s="50">
        <v>0</v>
      </c>
      <c r="F2" s="50">
        <v>1.4313637641589874</v>
      </c>
      <c r="G2" s="50">
        <v>2.95</v>
      </c>
      <c r="H2" s="50">
        <f>LOG(G2)</f>
        <v>0.46982201597816303</v>
      </c>
      <c r="I2" s="50">
        <v>0</v>
      </c>
      <c r="J2" s="50">
        <v>-7.0581074285707285E-2</v>
      </c>
      <c r="K2" s="50">
        <v>19</v>
      </c>
      <c r="L2" s="50">
        <f>IF(K2=0,0,LOG(K2))</f>
        <v>1.2787536009528289</v>
      </c>
      <c r="M2" s="50">
        <v>93.2</v>
      </c>
      <c r="N2" s="50">
        <f>LOG(M2)</f>
        <v>1.9694159123539814</v>
      </c>
      <c r="O2" s="50">
        <v>26.7</v>
      </c>
      <c r="P2" s="50">
        <f>LOG(O2)</f>
        <v>1.4265112613645752</v>
      </c>
      <c r="Q2" s="50">
        <v>36.669158714517401</v>
      </c>
      <c r="R2" s="50">
        <f>LOG(Q2)</f>
        <v>1.5643009462345601</v>
      </c>
      <c r="S2" s="50">
        <v>3.0958500844125241</v>
      </c>
      <c r="T2" s="50">
        <v>3.5078178355445662</v>
      </c>
      <c r="U2" s="186">
        <v>1000000000</v>
      </c>
      <c r="V2" s="186">
        <f>LOG(U2)</f>
        <v>9</v>
      </c>
      <c r="W2" s="50">
        <v>7</v>
      </c>
      <c r="X2" s="66" t="s">
        <v>45</v>
      </c>
      <c r="Y2">
        <f>IF(E2=0,0,1)</f>
        <v>0</v>
      </c>
    </row>
    <row r="3" spans="1:25" x14ac:dyDescent="0.35">
      <c r="A3" s="67">
        <v>0.14612803567823801</v>
      </c>
      <c r="B3" s="52" t="s">
        <v>447</v>
      </c>
      <c r="C3" s="52">
        <v>2.7342465753424658</v>
      </c>
      <c r="D3" s="50">
        <f t="shared" ref="D3:D66" si="0">LOG(C3)</f>
        <v>0.43683767683089642</v>
      </c>
      <c r="E3" s="52">
        <v>3.7845345619950592</v>
      </c>
      <c r="F3" s="52">
        <v>1</v>
      </c>
      <c r="G3" s="52">
        <v>2.81</v>
      </c>
      <c r="H3" s="50">
        <f t="shared" ref="H3:H66" si="1">LOG(G3)</f>
        <v>0.44870631990507992</v>
      </c>
      <c r="I3" s="52">
        <v>2.9168924084376502</v>
      </c>
      <c r="J3" s="52">
        <v>0.14921911265537988</v>
      </c>
      <c r="K3" s="52">
        <v>21</v>
      </c>
      <c r="L3" s="50">
        <f t="shared" ref="L3:L66" si="2">IF(K3=0,0,LOG(K3))</f>
        <v>1.3222192947339193</v>
      </c>
      <c r="M3" s="52">
        <v>76</v>
      </c>
      <c r="N3" s="50">
        <f t="shared" ref="N3:N66" si="3">LOG(M3)</f>
        <v>1.8808135922807914</v>
      </c>
      <c r="O3" s="52">
        <v>33.19</v>
      </c>
      <c r="P3" s="50">
        <f t="shared" ref="P3:P66" si="4">LOG(O3)</f>
        <v>1.521007252408604</v>
      </c>
      <c r="Q3" s="52">
        <v>42.2040629527961</v>
      </c>
      <c r="R3" s="50">
        <f t="shared" ref="R3:R66" si="5">LOG(Q3)</f>
        <v>1.6253542621712107</v>
      </c>
      <c r="S3" s="52">
        <v>3.1574743240259107</v>
      </c>
      <c r="T3" s="52">
        <v>3.7043045135512243</v>
      </c>
      <c r="U3" s="187">
        <v>1000000000</v>
      </c>
      <c r="V3" s="186">
        <f t="shared" ref="V3:V66" si="6">LOG(U3)</f>
        <v>9</v>
      </c>
      <c r="W3" s="52">
        <v>3</v>
      </c>
      <c r="X3" s="68" t="s">
        <v>45</v>
      </c>
      <c r="Y3" s="137">
        <f t="shared" ref="Y3:Y66" si="7">IF(E3=0,0,1)</f>
        <v>1</v>
      </c>
    </row>
    <row r="4" spans="1:25" x14ac:dyDescent="0.35">
      <c r="A4" s="49">
        <v>-0.3979400086720376</v>
      </c>
      <c r="B4" s="50" t="s">
        <v>2</v>
      </c>
      <c r="C4" s="50">
        <v>3.6958904109589041</v>
      </c>
      <c r="D4" s="50">
        <f t="shared" si="0"/>
        <v>0.56771908521542958</v>
      </c>
      <c r="E4" s="50">
        <v>2.9629325585580042</v>
      </c>
      <c r="F4" s="50">
        <v>1.4623979978989561</v>
      </c>
      <c r="G4" s="50">
        <v>2.62</v>
      </c>
      <c r="H4" s="50">
        <f t="shared" si="1"/>
        <v>0.41830129131974547</v>
      </c>
      <c r="I4" s="50">
        <v>2.9323046139517812</v>
      </c>
      <c r="J4" s="50">
        <v>-9.1514981121350217E-2</v>
      </c>
      <c r="K4" s="50">
        <v>26</v>
      </c>
      <c r="L4" s="50">
        <f t="shared" si="2"/>
        <v>1.414973347970818</v>
      </c>
      <c r="M4" s="50">
        <v>88.9</v>
      </c>
      <c r="N4" s="50">
        <f t="shared" si="3"/>
        <v>1.9489017609702137</v>
      </c>
      <c r="O4" s="50">
        <v>34.9</v>
      </c>
      <c r="P4" s="50">
        <f t="shared" si="4"/>
        <v>1.5428254269591799</v>
      </c>
      <c r="Q4" s="50">
        <v>42.817370475444001</v>
      </c>
      <c r="R4" s="50">
        <f t="shared" si="5"/>
        <v>1.6316199926391717</v>
      </c>
      <c r="S4" s="50">
        <v>3.22246453795844</v>
      </c>
      <c r="T4" s="50">
        <v>3.7071267407396937</v>
      </c>
      <c r="U4" s="186">
        <v>1000000000</v>
      </c>
      <c r="V4" s="186">
        <f t="shared" si="6"/>
        <v>9</v>
      </c>
      <c r="W4" s="50">
        <v>5</v>
      </c>
      <c r="X4" s="66" t="s">
        <v>577</v>
      </c>
      <c r="Y4" s="137">
        <f t="shared" si="7"/>
        <v>1</v>
      </c>
    </row>
    <row r="5" spans="1:25" x14ac:dyDescent="0.35">
      <c r="A5" s="67">
        <v>0.37016136667678035</v>
      </c>
      <c r="B5" s="52" t="s">
        <v>497</v>
      </c>
      <c r="C5" s="52">
        <v>5.6410958904109592</v>
      </c>
      <c r="D5" s="50">
        <f t="shared" si="0"/>
        <v>0.75136348216155668</v>
      </c>
      <c r="E5" s="52">
        <v>2.6674249329872439</v>
      </c>
      <c r="F5" s="52">
        <v>0</v>
      </c>
      <c r="G5" s="52">
        <v>2.61</v>
      </c>
      <c r="H5" s="50">
        <f t="shared" si="1"/>
        <v>0.41664050733828095</v>
      </c>
      <c r="I5" s="52">
        <v>2.2881746749783951</v>
      </c>
      <c r="J5" s="52">
        <v>0.2528530309798932</v>
      </c>
      <c r="K5" s="52">
        <v>29</v>
      </c>
      <c r="L5" s="50">
        <f t="shared" si="2"/>
        <v>1.4623979978989561</v>
      </c>
      <c r="M5" s="52">
        <v>92.8</v>
      </c>
      <c r="N5" s="50">
        <f t="shared" si="3"/>
        <v>1.9675479762188621</v>
      </c>
      <c r="O5" s="52">
        <v>27</v>
      </c>
      <c r="P5" s="50">
        <f t="shared" si="4"/>
        <v>1.4313637641589874</v>
      </c>
      <c r="Q5" s="52">
        <v>65.041501268831993</v>
      </c>
      <c r="R5" s="50">
        <f t="shared" si="5"/>
        <v>1.8131905569593969</v>
      </c>
      <c r="S5" s="52">
        <v>3.22246453795844</v>
      </c>
      <c r="T5" s="52">
        <v>3.7071267407396937</v>
      </c>
      <c r="U5" s="187">
        <v>1000000000</v>
      </c>
      <c r="V5" s="186">
        <f t="shared" si="6"/>
        <v>9</v>
      </c>
      <c r="W5" s="52">
        <v>6</v>
      </c>
      <c r="X5" s="68" t="s">
        <v>577</v>
      </c>
      <c r="Y5" s="137">
        <f t="shared" si="7"/>
        <v>1</v>
      </c>
    </row>
    <row r="6" spans="1:25" x14ac:dyDescent="0.35">
      <c r="A6" s="49">
        <v>-3.6684488613888719E-2</v>
      </c>
      <c r="B6" s="50" t="s">
        <v>2</v>
      </c>
      <c r="C6" s="50">
        <v>2.6547945205479451</v>
      </c>
      <c r="D6" s="50">
        <f t="shared" si="0"/>
        <v>0.4240309125942906</v>
      </c>
      <c r="E6" s="50">
        <v>3.8335760926148099</v>
      </c>
      <c r="F6" s="50">
        <v>1.4771212547196624</v>
      </c>
      <c r="G6" s="50">
        <v>2.85</v>
      </c>
      <c r="H6" s="50">
        <f t="shared" si="1"/>
        <v>0.45484486000851021</v>
      </c>
      <c r="I6" s="50">
        <v>2.9138138523837167</v>
      </c>
      <c r="J6" s="50">
        <v>-9.6910013008056392E-2</v>
      </c>
      <c r="K6" s="50">
        <v>23</v>
      </c>
      <c r="L6" s="50">
        <f t="shared" si="2"/>
        <v>1.3617278360175928</v>
      </c>
      <c r="M6" s="50">
        <v>88.9</v>
      </c>
      <c r="N6" s="50">
        <f t="shared" si="3"/>
        <v>1.9489017609702137</v>
      </c>
      <c r="O6" s="50">
        <v>34.9</v>
      </c>
      <c r="P6" s="50">
        <f t="shared" si="4"/>
        <v>1.5428254269591799</v>
      </c>
      <c r="Q6" s="50">
        <v>42.817370475444001</v>
      </c>
      <c r="R6" s="50">
        <f t="shared" si="5"/>
        <v>1.6316199926391717</v>
      </c>
      <c r="S6" s="50">
        <v>3.20911860699078</v>
      </c>
      <c r="T6" s="50">
        <v>3.5849986651910224</v>
      </c>
      <c r="U6" s="186">
        <v>1000000000</v>
      </c>
      <c r="V6" s="186">
        <f t="shared" si="6"/>
        <v>9</v>
      </c>
      <c r="W6" s="50">
        <v>1</v>
      </c>
      <c r="X6" s="66" t="s">
        <v>45</v>
      </c>
      <c r="Y6" s="137">
        <f t="shared" si="7"/>
        <v>1</v>
      </c>
    </row>
    <row r="7" spans="1:25" x14ac:dyDescent="0.35">
      <c r="A7" s="67">
        <v>0.34242268082220628</v>
      </c>
      <c r="B7" s="52" t="s">
        <v>5</v>
      </c>
      <c r="C7" s="52">
        <v>4.8301369863013699</v>
      </c>
      <c r="D7" s="50">
        <f t="shared" si="0"/>
        <v>0.68395944784284735</v>
      </c>
      <c r="E7" s="52">
        <v>3.7916829312790057</v>
      </c>
      <c r="F7" s="52">
        <v>1.919078092376074</v>
      </c>
      <c r="G7" s="52">
        <v>2.72</v>
      </c>
      <c r="H7" s="50">
        <f t="shared" si="1"/>
        <v>0.43456890403419873</v>
      </c>
      <c r="I7" s="52">
        <v>3.0355631414974997</v>
      </c>
      <c r="J7" s="52">
        <v>0.24551266781414982</v>
      </c>
      <c r="K7" s="52">
        <v>19</v>
      </c>
      <c r="L7" s="50">
        <f t="shared" si="2"/>
        <v>1.2787536009528289</v>
      </c>
      <c r="M7" s="52">
        <v>70</v>
      </c>
      <c r="N7" s="50">
        <f t="shared" si="3"/>
        <v>1.8450980400142569</v>
      </c>
      <c r="O7" s="52">
        <v>34.799999999999997</v>
      </c>
      <c r="P7" s="50">
        <f t="shared" si="4"/>
        <v>1.541579243946581</v>
      </c>
      <c r="Q7" s="52">
        <v>44.539498059710198</v>
      </c>
      <c r="R7" s="50">
        <f t="shared" si="5"/>
        <v>1.6487453184203718</v>
      </c>
      <c r="S7" s="52">
        <v>3.20911860699078</v>
      </c>
      <c r="T7" s="52">
        <v>3.5849986651910224</v>
      </c>
      <c r="U7" s="187">
        <v>1000000000</v>
      </c>
      <c r="V7" s="186">
        <f t="shared" si="6"/>
        <v>9</v>
      </c>
      <c r="W7" s="52">
        <v>8</v>
      </c>
      <c r="X7" s="68" t="s">
        <v>45</v>
      </c>
      <c r="Y7" s="137">
        <f t="shared" si="7"/>
        <v>1</v>
      </c>
    </row>
    <row r="8" spans="1:25" x14ac:dyDescent="0.35">
      <c r="A8" s="49">
        <v>0.22788670461367352</v>
      </c>
      <c r="B8" s="50" t="s">
        <v>2</v>
      </c>
      <c r="C8" s="50">
        <v>1.7205479452054795</v>
      </c>
      <c r="D8" s="50">
        <f t="shared" si="0"/>
        <v>0.23566677928072144</v>
      </c>
      <c r="E8" s="50">
        <v>3.8335760926148099</v>
      </c>
      <c r="F8" s="50">
        <v>0.90308998699194354</v>
      </c>
      <c r="G8" s="50">
        <v>2.85</v>
      </c>
      <c r="H8" s="50">
        <f t="shared" si="1"/>
        <v>0.45484486000851021</v>
      </c>
      <c r="I8" s="50">
        <v>2.9138138523837167</v>
      </c>
      <c r="J8" s="50">
        <v>7.1882007306125359E-2</v>
      </c>
      <c r="K8" s="50">
        <v>13</v>
      </c>
      <c r="L8" s="50">
        <f t="shared" si="2"/>
        <v>1.1139433523068367</v>
      </c>
      <c r="M8" s="50">
        <v>70</v>
      </c>
      <c r="N8" s="50">
        <f t="shared" si="3"/>
        <v>1.8450980400142569</v>
      </c>
      <c r="O8" s="50">
        <v>33.9</v>
      </c>
      <c r="P8" s="50">
        <f t="shared" si="4"/>
        <v>1.5301996982030821</v>
      </c>
      <c r="Q8" s="50">
        <v>46.200073016176603</v>
      </c>
      <c r="R8" s="50">
        <f t="shared" si="5"/>
        <v>1.664642661930531</v>
      </c>
      <c r="S8" s="50">
        <v>3.3265688034989269</v>
      </c>
      <c r="T8" s="50">
        <v>3.64990043303693</v>
      </c>
      <c r="U8" s="186">
        <v>1000000000</v>
      </c>
      <c r="V8" s="186">
        <f t="shared" si="6"/>
        <v>9</v>
      </c>
      <c r="W8" s="50">
        <v>6</v>
      </c>
      <c r="X8" s="66" t="s">
        <v>45</v>
      </c>
      <c r="Y8" s="137">
        <f t="shared" si="7"/>
        <v>1</v>
      </c>
    </row>
    <row r="9" spans="1:25" x14ac:dyDescent="0.35">
      <c r="A9" s="67">
        <v>-1.6020599913279621</v>
      </c>
      <c r="B9" s="52" t="s">
        <v>434</v>
      </c>
      <c r="C9" s="52">
        <v>17.032876712328768</v>
      </c>
      <c r="D9" s="50">
        <f t="shared" si="0"/>
        <v>1.2312880029116811</v>
      </c>
      <c r="E9" s="52">
        <v>3.8584156743566731</v>
      </c>
      <c r="F9" s="52">
        <v>1.9030899869919435</v>
      </c>
      <c r="G9" s="52">
        <v>2.66</v>
      </c>
      <c r="H9" s="50">
        <f t="shared" si="1"/>
        <v>0.42488163663106698</v>
      </c>
      <c r="I9" s="52">
        <v>2.8134697878296753</v>
      </c>
      <c r="J9" s="52">
        <v>0.29885307640970665</v>
      </c>
      <c r="K9" s="52">
        <v>22</v>
      </c>
      <c r="L9" s="50">
        <f t="shared" si="2"/>
        <v>1.3424226808222062</v>
      </c>
      <c r="M9" s="52">
        <v>70</v>
      </c>
      <c r="N9" s="50">
        <f t="shared" si="3"/>
        <v>1.8450980400142569</v>
      </c>
      <c r="O9" s="52">
        <v>40.57</v>
      </c>
      <c r="P9" s="50">
        <f t="shared" si="4"/>
        <v>1.6082050077043262</v>
      </c>
      <c r="Q9" s="52">
        <v>46.612741748887998</v>
      </c>
      <c r="R9" s="50">
        <f t="shared" si="5"/>
        <v>1.6685046487680937</v>
      </c>
      <c r="S9" s="52">
        <v>3.3075667315086759</v>
      </c>
      <c r="T9" s="52">
        <v>3.8308810053047755</v>
      </c>
      <c r="U9" s="187">
        <v>1000000000</v>
      </c>
      <c r="V9" s="186">
        <f t="shared" si="6"/>
        <v>9</v>
      </c>
      <c r="W9" s="52">
        <v>9</v>
      </c>
      <c r="X9" s="68" t="s">
        <v>45</v>
      </c>
      <c r="Y9" s="137">
        <f t="shared" si="7"/>
        <v>1</v>
      </c>
    </row>
    <row r="10" spans="1:25" x14ac:dyDescent="0.35">
      <c r="A10" s="49">
        <v>0.16136800223497488</v>
      </c>
      <c r="B10" s="50" t="s">
        <v>45</v>
      </c>
      <c r="C10" s="50">
        <v>5.4821917808219176</v>
      </c>
      <c r="D10" s="50">
        <f t="shared" si="0"/>
        <v>0.73895422417973666</v>
      </c>
      <c r="E10" s="50">
        <v>0</v>
      </c>
      <c r="F10" s="50">
        <v>1.2787536009528289</v>
      </c>
      <c r="G10" s="50">
        <v>2.95</v>
      </c>
      <c r="H10" s="50">
        <f t="shared" si="1"/>
        <v>0.46982201597816303</v>
      </c>
      <c r="I10" s="50">
        <v>0</v>
      </c>
      <c r="J10" s="50">
        <v>0.26951294421791627</v>
      </c>
      <c r="K10" s="50">
        <v>21</v>
      </c>
      <c r="L10" s="50">
        <f t="shared" si="2"/>
        <v>1.3222192947339193</v>
      </c>
      <c r="M10" s="50">
        <v>90.5</v>
      </c>
      <c r="N10" s="50">
        <f t="shared" si="3"/>
        <v>1.9566485792052033</v>
      </c>
      <c r="O10" s="50">
        <v>25.7</v>
      </c>
      <c r="P10" s="50">
        <f t="shared" si="4"/>
        <v>1.4099331233312946</v>
      </c>
      <c r="Q10" s="50">
        <v>39.010023979360902</v>
      </c>
      <c r="R10" s="50">
        <f t="shared" si="5"/>
        <v>1.5911762172715689</v>
      </c>
      <c r="S10" s="50">
        <v>3.1628767233771686</v>
      </c>
      <c r="T10" s="50">
        <v>3.6087947637270492</v>
      </c>
      <c r="U10" s="186">
        <v>1000000000</v>
      </c>
      <c r="V10" s="186">
        <f t="shared" si="6"/>
        <v>9</v>
      </c>
      <c r="W10" s="50">
        <v>9</v>
      </c>
      <c r="X10" s="66" t="s">
        <v>602</v>
      </c>
      <c r="Y10" s="137">
        <f t="shared" si="7"/>
        <v>0</v>
      </c>
    </row>
    <row r="11" spans="1:25" x14ac:dyDescent="0.35">
      <c r="A11" s="67">
        <v>-3.9038779764747678E-2</v>
      </c>
      <c r="B11" s="52" t="s">
        <v>45</v>
      </c>
      <c r="C11" s="52">
        <v>1.8821917808219177</v>
      </c>
      <c r="D11" s="50">
        <f t="shared" si="0"/>
        <v>0.27466387260307573</v>
      </c>
      <c r="E11" s="52">
        <v>0</v>
      </c>
      <c r="F11" s="52">
        <v>1.7781512503836436</v>
      </c>
      <c r="G11" s="52">
        <v>2.95</v>
      </c>
      <c r="H11" s="50">
        <f t="shared" si="1"/>
        <v>0.46982201597816303</v>
      </c>
      <c r="I11" s="52">
        <v>0</v>
      </c>
      <c r="J11" s="52">
        <v>0.15075643986030904</v>
      </c>
      <c r="K11" s="52">
        <v>8</v>
      </c>
      <c r="L11" s="50">
        <f t="shared" si="2"/>
        <v>0.90308998699194354</v>
      </c>
      <c r="M11" s="52">
        <v>85</v>
      </c>
      <c r="N11" s="50">
        <f t="shared" si="3"/>
        <v>1.9294189257142926</v>
      </c>
      <c r="O11" s="52">
        <v>24.1</v>
      </c>
      <c r="P11" s="50">
        <f t="shared" si="4"/>
        <v>1.3820170425748683</v>
      </c>
      <c r="Q11" s="52">
        <v>36.728532427451597</v>
      </c>
      <c r="R11" s="50">
        <f t="shared" si="5"/>
        <v>1.5650035754622837</v>
      </c>
      <c r="S11" s="52">
        <v>3.0687415514991745</v>
      </c>
      <c r="T11" s="52">
        <v>3.5297005493117593</v>
      </c>
      <c r="U11" s="187">
        <v>1012000000</v>
      </c>
      <c r="V11" s="186">
        <f t="shared" si="6"/>
        <v>9.0051805125037809</v>
      </c>
      <c r="W11" s="52">
        <v>5</v>
      </c>
      <c r="X11" s="68" t="s">
        <v>45</v>
      </c>
      <c r="Y11" s="137">
        <f t="shared" si="7"/>
        <v>0</v>
      </c>
    </row>
    <row r="12" spans="1:25" x14ac:dyDescent="0.35">
      <c r="A12" s="49">
        <v>0.68777185185419265</v>
      </c>
      <c r="B12" s="50" t="s">
        <v>59</v>
      </c>
      <c r="C12" s="50">
        <v>3.484931506849315</v>
      </c>
      <c r="D12" s="50">
        <f t="shared" si="0"/>
        <v>0.54219424685592033</v>
      </c>
      <c r="E12" s="50">
        <v>0</v>
      </c>
      <c r="F12" s="50">
        <v>1.3424226808222062</v>
      </c>
      <c r="G12" s="50">
        <v>3.29</v>
      </c>
      <c r="H12" s="50">
        <f t="shared" si="1"/>
        <v>0.51719589794997434</v>
      </c>
      <c r="I12" s="50">
        <v>0</v>
      </c>
      <c r="J12" s="50">
        <v>0.21218760440395779</v>
      </c>
      <c r="K12" s="50">
        <v>24</v>
      </c>
      <c r="L12" s="50">
        <f t="shared" si="2"/>
        <v>1.3802112417116059</v>
      </c>
      <c r="M12" s="50">
        <v>89.8</v>
      </c>
      <c r="N12" s="50">
        <f t="shared" si="3"/>
        <v>1.9532763366673043</v>
      </c>
      <c r="O12" s="50">
        <v>31.2</v>
      </c>
      <c r="P12" s="50">
        <f t="shared" si="4"/>
        <v>1.4941545940184429</v>
      </c>
      <c r="Q12" s="50">
        <v>47.307367293927399</v>
      </c>
      <c r="R12" s="50">
        <f t="shared" si="5"/>
        <v>1.6749287797641836</v>
      </c>
      <c r="S12" s="50">
        <v>3.2699236952309465</v>
      </c>
      <c r="T12" s="50">
        <v>3.6984415808994222</v>
      </c>
      <c r="U12" s="186">
        <v>1026120000</v>
      </c>
      <c r="V12" s="186">
        <f t="shared" si="6"/>
        <v>9.0111981524818265</v>
      </c>
      <c r="W12" s="50">
        <v>9</v>
      </c>
      <c r="X12" s="66" t="s">
        <v>577</v>
      </c>
      <c r="Y12" s="137">
        <f t="shared" si="7"/>
        <v>0</v>
      </c>
    </row>
    <row r="13" spans="1:25" x14ac:dyDescent="0.35">
      <c r="A13" s="67">
        <v>0.43495373531147641</v>
      </c>
      <c r="B13" s="84" t="s">
        <v>45</v>
      </c>
      <c r="C13" s="52">
        <v>4.3397260273972602</v>
      </c>
      <c r="D13" s="50">
        <f t="shared" si="0"/>
        <v>0.63746231279699994</v>
      </c>
      <c r="E13" s="52">
        <v>0</v>
      </c>
      <c r="F13" s="52">
        <v>1.4771212547196624</v>
      </c>
      <c r="G13" s="52">
        <v>2.95</v>
      </c>
      <c r="H13" s="50">
        <f t="shared" si="1"/>
        <v>0.46982201597816303</v>
      </c>
      <c r="I13" s="52">
        <v>0</v>
      </c>
      <c r="J13" s="52">
        <v>0.20411998265592479</v>
      </c>
      <c r="K13" s="52">
        <v>4</v>
      </c>
      <c r="L13" s="50">
        <f t="shared" si="2"/>
        <v>0.6020599913279624</v>
      </c>
      <c r="M13" s="52">
        <v>91.1</v>
      </c>
      <c r="N13" s="50">
        <f t="shared" si="3"/>
        <v>1.9595183769729982</v>
      </c>
      <c r="O13" s="52">
        <v>24.1</v>
      </c>
      <c r="P13" s="50">
        <f t="shared" si="4"/>
        <v>1.3820170425748683</v>
      </c>
      <c r="Q13" s="52">
        <v>40.229046020662899</v>
      </c>
      <c r="R13" s="50">
        <f t="shared" si="5"/>
        <v>1.6045397339663818</v>
      </c>
      <c r="S13" s="52">
        <v>3.698064657996265</v>
      </c>
      <c r="T13" s="52">
        <v>3.9549654300921482</v>
      </c>
      <c r="U13" s="187">
        <v>1028500000</v>
      </c>
      <c r="V13" s="186">
        <f t="shared" si="6"/>
        <v>9.0122042960307436</v>
      </c>
      <c r="W13" s="52">
        <v>9</v>
      </c>
      <c r="X13" s="103" t="s">
        <v>45</v>
      </c>
      <c r="Y13" s="137">
        <f t="shared" si="7"/>
        <v>0</v>
      </c>
    </row>
    <row r="14" spans="1:25" x14ac:dyDescent="0.35">
      <c r="A14" s="49">
        <v>6.3955656373769681E-2</v>
      </c>
      <c r="B14" s="50" t="s">
        <v>6</v>
      </c>
      <c r="C14" s="50">
        <v>7.9397260273972599</v>
      </c>
      <c r="D14" s="50">
        <f t="shared" si="0"/>
        <v>0.89980551667868103</v>
      </c>
      <c r="E14" s="50">
        <v>2.5075455505094206</v>
      </c>
      <c r="F14" s="50">
        <v>0</v>
      </c>
      <c r="G14" s="50">
        <v>2.91</v>
      </c>
      <c r="H14" s="50">
        <f t="shared" si="1"/>
        <v>0.46389298898590731</v>
      </c>
      <c r="I14" s="50">
        <v>2.6517624473801109</v>
      </c>
      <c r="J14" s="50">
        <v>0.16435285578443709</v>
      </c>
      <c r="K14" s="50">
        <v>23</v>
      </c>
      <c r="L14" s="50">
        <f t="shared" si="2"/>
        <v>1.3617278360175928</v>
      </c>
      <c r="M14" s="50">
        <v>70</v>
      </c>
      <c r="N14" s="50">
        <f t="shared" si="3"/>
        <v>1.8450980400142569</v>
      </c>
      <c r="O14" s="50">
        <v>43.1</v>
      </c>
      <c r="P14" s="50">
        <f t="shared" si="4"/>
        <v>1.6344772701607315</v>
      </c>
      <c r="Q14" s="50">
        <v>50.714433556883101</v>
      </c>
      <c r="R14" s="50">
        <f t="shared" si="5"/>
        <v>1.7051315790969346</v>
      </c>
      <c r="S14" s="50">
        <v>3.2327651641054547</v>
      </c>
      <c r="T14" s="50">
        <v>3.9527244147731087</v>
      </c>
      <c r="U14" s="186">
        <v>1035680000</v>
      </c>
      <c r="V14" s="186">
        <f t="shared" si="6"/>
        <v>9.0152255896738556</v>
      </c>
      <c r="W14" s="50">
        <v>7</v>
      </c>
      <c r="X14" s="66" t="s">
        <v>59</v>
      </c>
      <c r="Y14" s="137">
        <f t="shared" si="7"/>
        <v>1</v>
      </c>
    </row>
    <row r="15" spans="1:25" x14ac:dyDescent="0.35">
      <c r="A15" s="67">
        <v>0.30518595543513888</v>
      </c>
      <c r="B15" s="52" t="s">
        <v>163</v>
      </c>
      <c r="C15" s="52">
        <v>5.095890410958904</v>
      </c>
      <c r="D15" s="50">
        <f t="shared" si="0"/>
        <v>0.70722007976144163</v>
      </c>
      <c r="E15" s="52">
        <v>0</v>
      </c>
      <c r="F15" s="52">
        <v>2.0293837776852097</v>
      </c>
      <c r="G15" s="52">
        <v>3.18</v>
      </c>
      <c r="H15" s="50">
        <f t="shared" si="1"/>
        <v>0.50242711998443268</v>
      </c>
      <c r="I15" s="52">
        <v>0</v>
      </c>
      <c r="J15" s="52">
        <v>-1.7728766960431602E-2</v>
      </c>
      <c r="K15" s="52">
        <v>8</v>
      </c>
      <c r="L15" s="50">
        <f t="shared" si="2"/>
        <v>0.90308998699194354</v>
      </c>
      <c r="M15" s="52">
        <v>88</v>
      </c>
      <c r="N15" s="50">
        <f t="shared" si="3"/>
        <v>1.9444826721501687</v>
      </c>
      <c r="O15" s="52">
        <v>43.3</v>
      </c>
      <c r="P15" s="50">
        <f t="shared" si="4"/>
        <v>1.6364878963533653</v>
      </c>
      <c r="Q15" s="52">
        <v>52.875711995394298</v>
      </c>
      <c r="R15" s="50">
        <f t="shared" si="5"/>
        <v>1.7232562283942385</v>
      </c>
      <c r="S15" s="52">
        <v>3.2258683344006376</v>
      </c>
      <c r="T15" s="52">
        <v>3.9615291321450066</v>
      </c>
      <c r="U15" s="187">
        <v>1040000000</v>
      </c>
      <c r="V15" s="186">
        <f t="shared" si="6"/>
        <v>9.0170333392987807</v>
      </c>
      <c r="W15" s="52">
        <v>1</v>
      </c>
      <c r="X15" s="68" t="s">
        <v>163</v>
      </c>
      <c r="Y15" s="137">
        <f t="shared" si="7"/>
        <v>0</v>
      </c>
    </row>
    <row r="16" spans="1:25" x14ac:dyDescent="0.35">
      <c r="A16" s="49">
        <v>-0.78233669104106385</v>
      </c>
      <c r="B16" s="50" t="s">
        <v>45</v>
      </c>
      <c r="C16" s="50">
        <v>6.5616438356164384</v>
      </c>
      <c r="D16" s="50">
        <f t="shared" si="0"/>
        <v>0.81701265329410733</v>
      </c>
      <c r="E16" s="50">
        <v>3.7707754512906644</v>
      </c>
      <c r="F16" s="50">
        <v>1.9344984512435677</v>
      </c>
      <c r="G16" s="50">
        <v>2.3199999999999998</v>
      </c>
      <c r="H16" s="50">
        <f t="shared" si="1"/>
        <v>0.36548798489089962</v>
      </c>
      <c r="I16" s="50">
        <v>2.1238516409670858</v>
      </c>
      <c r="J16" s="50">
        <v>2.5305865264770262E-2</v>
      </c>
      <c r="K16" s="50">
        <v>17</v>
      </c>
      <c r="L16" s="50">
        <f t="shared" si="2"/>
        <v>1.2304489213782739</v>
      </c>
      <c r="M16" s="50">
        <v>85</v>
      </c>
      <c r="N16" s="50">
        <f t="shared" si="3"/>
        <v>1.9294189257142926</v>
      </c>
      <c r="O16" s="50">
        <v>27.8</v>
      </c>
      <c r="P16" s="50">
        <f t="shared" si="4"/>
        <v>1.4440447959180762</v>
      </c>
      <c r="Q16" s="50">
        <v>35.119429201759203</v>
      </c>
      <c r="R16" s="50">
        <f t="shared" si="5"/>
        <v>1.5455474486765259</v>
      </c>
      <c r="S16" s="50">
        <v>3.2224645332922388</v>
      </c>
      <c r="T16" s="50">
        <v>3.707126713924402</v>
      </c>
      <c r="U16" s="186">
        <v>1060168118</v>
      </c>
      <c r="V16" s="186">
        <f t="shared" si="6"/>
        <v>9.0253747397273578</v>
      </c>
      <c r="W16" s="50">
        <v>5</v>
      </c>
      <c r="X16" s="66" t="s">
        <v>59</v>
      </c>
      <c r="Y16" s="137">
        <f t="shared" si="7"/>
        <v>1</v>
      </c>
    </row>
    <row r="17" spans="1:25" x14ac:dyDescent="0.35">
      <c r="A17" s="67">
        <v>0.29681183283328078</v>
      </c>
      <c r="B17" s="52" t="s">
        <v>45</v>
      </c>
      <c r="C17" s="52">
        <v>3.9123287671232876</v>
      </c>
      <c r="D17" s="50">
        <f t="shared" si="0"/>
        <v>0.59243534298368083</v>
      </c>
      <c r="E17" s="52">
        <v>0</v>
      </c>
      <c r="F17" s="52">
        <v>1.5797835966168101</v>
      </c>
      <c r="G17" s="52">
        <v>2.95</v>
      </c>
      <c r="H17" s="50">
        <f t="shared" si="1"/>
        <v>0.46982201597816303</v>
      </c>
      <c r="I17" s="52">
        <v>0</v>
      </c>
      <c r="J17" s="52">
        <v>-7.0581074285707285E-2</v>
      </c>
      <c r="K17" s="52">
        <v>14</v>
      </c>
      <c r="L17" s="50">
        <f t="shared" si="2"/>
        <v>1.146128035678238</v>
      </c>
      <c r="M17" s="52">
        <v>93.2</v>
      </c>
      <c r="N17" s="50">
        <f t="shared" si="3"/>
        <v>1.9694159123539814</v>
      </c>
      <c r="O17" s="52">
        <v>26.7</v>
      </c>
      <c r="P17" s="50">
        <f t="shared" si="4"/>
        <v>1.4265112613645752</v>
      </c>
      <c r="Q17" s="52">
        <v>36.669158714517401</v>
      </c>
      <c r="R17" s="50">
        <f t="shared" si="5"/>
        <v>1.5643009462345601</v>
      </c>
      <c r="S17" s="52">
        <v>3.1628767233771686</v>
      </c>
      <c r="T17" s="52">
        <v>3.6087947637270492</v>
      </c>
      <c r="U17" s="187">
        <v>1072870000</v>
      </c>
      <c r="V17" s="186">
        <f t="shared" si="6"/>
        <v>9.030547101553049</v>
      </c>
      <c r="W17" s="52">
        <v>9</v>
      </c>
      <c r="X17" s="68" t="s">
        <v>602</v>
      </c>
      <c r="Y17" s="137">
        <f t="shared" si="7"/>
        <v>0</v>
      </c>
    </row>
    <row r="18" spans="1:25" x14ac:dyDescent="0.35">
      <c r="A18" s="49">
        <v>7.4923097647764739E-2</v>
      </c>
      <c r="B18" s="50" t="s">
        <v>45</v>
      </c>
      <c r="C18" s="50">
        <v>6.2876712328767121</v>
      </c>
      <c r="D18" s="50">
        <f t="shared" si="0"/>
        <v>0.79848982541680535</v>
      </c>
      <c r="E18" s="50">
        <v>0</v>
      </c>
      <c r="F18" s="50">
        <v>0.6020599913279624</v>
      </c>
      <c r="G18" s="50">
        <v>2.95</v>
      </c>
      <c r="H18" s="50">
        <f t="shared" si="1"/>
        <v>0.46982201597816303</v>
      </c>
      <c r="I18" s="50">
        <v>0</v>
      </c>
      <c r="J18" s="50">
        <v>2.1189299069938092E-2</v>
      </c>
      <c r="K18" s="50">
        <v>0</v>
      </c>
      <c r="L18" s="50">
        <f t="shared" si="2"/>
        <v>0</v>
      </c>
      <c r="M18" s="50">
        <v>85</v>
      </c>
      <c r="N18" s="50">
        <f t="shared" si="3"/>
        <v>1.9294189257142926</v>
      </c>
      <c r="O18" s="50">
        <v>24.4</v>
      </c>
      <c r="P18" s="50">
        <f t="shared" si="4"/>
        <v>1.3873898263387294</v>
      </c>
      <c r="Q18" s="50">
        <v>37.256914365427299</v>
      </c>
      <c r="R18" s="50">
        <f t="shared" si="5"/>
        <v>1.5712068835833228</v>
      </c>
      <c r="S18" s="50">
        <v>3.0958500844125241</v>
      </c>
      <c r="T18" s="50">
        <v>3.5078178355445662</v>
      </c>
      <c r="U18" s="186">
        <v>1082000000</v>
      </c>
      <c r="V18" s="186">
        <f t="shared" si="6"/>
        <v>9.0342272607705514</v>
      </c>
      <c r="W18" s="50">
        <v>3</v>
      </c>
      <c r="X18" s="66" t="s">
        <v>602</v>
      </c>
      <c r="Y18" s="137">
        <f t="shared" si="7"/>
        <v>0</v>
      </c>
    </row>
    <row r="19" spans="1:25" x14ac:dyDescent="0.35">
      <c r="A19" s="67">
        <v>-0.15519461605153834</v>
      </c>
      <c r="B19" s="52" t="s">
        <v>45</v>
      </c>
      <c r="C19" s="52">
        <v>7.9972602739726026</v>
      </c>
      <c r="D19" s="50">
        <f t="shared" si="0"/>
        <v>0.90294123053153963</v>
      </c>
      <c r="E19" s="52">
        <v>0</v>
      </c>
      <c r="F19" s="52">
        <v>1.4313637641589874</v>
      </c>
      <c r="G19" s="52">
        <v>2.95</v>
      </c>
      <c r="H19" s="50">
        <f t="shared" si="1"/>
        <v>0.46982201597816303</v>
      </c>
      <c r="I19" s="52">
        <v>0</v>
      </c>
      <c r="J19" s="52">
        <v>0.18469143081759881</v>
      </c>
      <c r="K19" s="52">
        <v>7</v>
      </c>
      <c r="L19" s="50">
        <f t="shared" si="2"/>
        <v>0.84509804001425681</v>
      </c>
      <c r="M19" s="52">
        <v>93.2</v>
      </c>
      <c r="N19" s="50">
        <f t="shared" si="3"/>
        <v>1.9694159123539814</v>
      </c>
      <c r="O19" s="52">
        <v>26.7</v>
      </c>
      <c r="P19" s="50">
        <f t="shared" si="4"/>
        <v>1.4265112613645752</v>
      </c>
      <c r="Q19" s="52">
        <v>36.669158714517401</v>
      </c>
      <c r="R19" s="50">
        <f t="shared" si="5"/>
        <v>1.5643009462345601</v>
      </c>
      <c r="S19" s="52">
        <v>3.5168755324519045</v>
      </c>
      <c r="T19" s="52">
        <v>3.8089018284940463</v>
      </c>
      <c r="U19" s="187">
        <v>1092150000</v>
      </c>
      <c r="V19" s="186">
        <f t="shared" si="6"/>
        <v>9.0382822901072792</v>
      </c>
      <c r="W19" s="52">
        <v>9</v>
      </c>
      <c r="X19" s="68" t="s">
        <v>602</v>
      </c>
      <c r="Y19" s="137">
        <f t="shared" si="7"/>
        <v>0</v>
      </c>
    </row>
    <row r="20" spans="1:25" x14ac:dyDescent="0.35">
      <c r="A20" s="49">
        <v>-0.69897000433601886</v>
      </c>
      <c r="B20" s="83" t="s">
        <v>45</v>
      </c>
      <c r="C20" s="50">
        <v>2.2219178082191782</v>
      </c>
      <c r="D20" s="50">
        <f t="shared" si="0"/>
        <v>0.34672798975468133</v>
      </c>
      <c r="E20" s="50">
        <v>0</v>
      </c>
      <c r="F20" s="50">
        <v>2.0374264979406238</v>
      </c>
      <c r="G20" s="50">
        <v>2.95</v>
      </c>
      <c r="H20" s="50">
        <f t="shared" si="1"/>
        <v>0.46982201597816303</v>
      </c>
      <c r="I20" s="50">
        <v>0</v>
      </c>
      <c r="J20" s="50">
        <v>0.23044892137827391</v>
      </c>
      <c r="K20" s="50">
        <v>9</v>
      </c>
      <c r="L20" s="50">
        <f t="shared" si="2"/>
        <v>0.95424250943932487</v>
      </c>
      <c r="M20" s="50">
        <v>85</v>
      </c>
      <c r="N20" s="50">
        <f t="shared" si="3"/>
        <v>1.9294189257142926</v>
      </c>
      <c r="O20" s="50">
        <v>26.2</v>
      </c>
      <c r="P20" s="50">
        <f t="shared" si="4"/>
        <v>1.4183012913197455</v>
      </c>
      <c r="Q20" s="50">
        <v>37.8446121410093</v>
      </c>
      <c r="R20" s="50">
        <f t="shared" si="5"/>
        <v>1.5780040586317157</v>
      </c>
      <c r="S20" s="50">
        <v>3.3647319918335836</v>
      </c>
      <c r="T20" s="50">
        <v>3.568659604598353</v>
      </c>
      <c r="U20" s="186">
        <v>1100000000</v>
      </c>
      <c r="V20" s="186">
        <f t="shared" si="6"/>
        <v>9.0413926851582254</v>
      </c>
      <c r="W20" s="50">
        <v>5</v>
      </c>
      <c r="X20" s="102" t="s">
        <v>45</v>
      </c>
      <c r="Y20" s="137">
        <f t="shared" si="7"/>
        <v>0</v>
      </c>
    </row>
    <row r="21" spans="1:25" x14ac:dyDescent="0.35">
      <c r="A21" s="67">
        <v>0.19832643952855722</v>
      </c>
      <c r="B21" s="52" t="s">
        <v>6</v>
      </c>
      <c r="C21" s="52">
        <v>1.167123287671233</v>
      </c>
      <c r="D21" s="50">
        <f t="shared" si="0"/>
        <v>6.711673464624425E-2</v>
      </c>
      <c r="E21" s="52">
        <v>3.7936074118204202</v>
      </c>
      <c r="F21" s="52">
        <v>1</v>
      </c>
      <c r="G21" s="52">
        <v>2.92</v>
      </c>
      <c r="H21" s="50">
        <f t="shared" si="1"/>
        <v>0.46538285144841829</v>
      </c>
      <c r="I21" s="52">
        <v>2.7370600539441581</v>
      </c>
      <c r="J21" s="52">
        <v>5.6904851336472641E-2</v>
      </c>
      <c r="K21" s="52">
        <v>22</v>
      </c>
      <c r="L21" s="50">
        <f t="shared" si="2"/>
        <v>1.3424226808222062</v>
      </c>
      <c r="M21" s="52">
        <v>92.3</v>
      </c>
      <c r="N21" s="50">
        <f t="shared" si="3"/>
        <v>1.965201701025912</v>
      </c>
      <c r="O21" s="52">
        <v>44.2</v>
      </c>
      <c r="P21" s="50">
        <f t="shared" si="4"/>
        <v>1.6454222693490919</v>
      </c>
      <c r="Q21" s="52">
        <v>55.865585583074697</v>
      </c>
      <c r="R21" s="50">
        <f t="shared" si="5"/>
        <v>1.7471443554007058</v>
      </c>
      <c r="S21" s="52">
        <v>3.1814248062191788</v>
      </c>
      <c r="T21" s="52">
        <v>3.7294207535322617</v>
      </c>
      <c r="U21" s="187">
        <v>1100000000</v>
      </c>
      <c r="V21" s="186">
        <f t="shared" si="6"/>
        <v>9.0413926851582254</v>
      </c>
      <c r="W21" s="52">
        <v>8</v>
      </c>
      <c r="X21" s="68" t="s">
        <v>45</v>
      </c>
      <c r="Y21" s="137">
        <f t="shared" si="7"/>
        <v>1</v>
      </c>
    </row>
    <row r="22" spans="1:25" x14ac:dyDescent="0.35">
      <c r="A22" s="49">
        <v>0.22577904324478879</v>
      </c>
      <c r="B22" s="50" t="s">
        <v>59</v>
      </c>
      <c r="C22" s="50">
        <v>2.7150684931506848</v>
      </c>
      <c r="D22" s="50">
        <f t="shared" si="0"/>
        <v>0.4337807900288006</v>
      </c>
      <c r="E22" s="50">
        <v>3.7707754512906644</v>
      </c>
      <c r="F22" s="50">
        <v>1.6020599913279623</v>
      </c>
      <c r="G22" s="50">
        <v>2.3199999999999998</v>
      </c>
      <c r="H22" s="50">
        <f t="shared" si="1"/>
        <v>0.36548798489089962</v>
      </c>
      <c r="I22" s="50">
        <v>2.1238516409670858</v>
      </c>
      <c r="J22" s="50">
        <v>0.17897694729316943</v>
      </c>
      <c r="K22" s="50">
        <v>28</v>
      </c>
      <c r="L22" s="50">
        <f t="shared" si="2"/>
        <v>1.4471580313422192</v>
      </c>
      <c r="M22" s="50">
        <v>94.7</v>
      </c>
      <c r="N22" s="50">
        <f t="shared" si="3"/>
        <v>1.9763499790032735</v>
      </c>
      <c r="O22" s="50">
        <v>32.4</v>
      </c>
      <c r="P22" s="50">
        <f t="shared" si="4"/>
        <v>1.510545010206612</v>
      </c>
      <c r="Q22" s="50">
        <v>45.737088331856903</v>
      </c>
      <c r="R22" s="50">
        <f t="shared" si="5"/>
        <v>1.6602685135357675</v>
      </c>
      <c r="S22" s="50">
        <v>3.3240201037352737</v>
      </c>
      <c r="T22" s="50">
        <v>3.7683162170970865</v>
      </c>
      <c r="U22" s="186">
        <v>1100000000</v>
      </c>
      <c r="V22" s="186">
        <f t="shared" si="6"/>
        <v>9.0413926851582254</v>
      </c>
      <c r="W22" s="50">
        <v>4</v>
      </c>
      <c r="X22" s="66" t="s">
        <v>45</v>
      </c>
      <c r="Y22" s="137">
        <f t="shared" si="7"/>
        <v>1</v>
      </c>
    </row>
    <row r="23" spans="1:25" x14ac:dyDescent="0.35">
      <c r="A23" s="67">
        <v>0.16408235158266582</v>
      </c>
      <c r="B23" s="52" t="s">
        <v>434</v>
      </c>
      <c r="C23" s="52">
        <v>2.3698630136986303</v>
      </c>
      <c r="D23" s="50">
        <f t="shared" si="0"/>
        <v>0.37472324300833953</v>
      </c>
      <c r="E23" s="52">
        <v>3.8584156743566731</v>
      </c>
      <c r="F23" s="52">
        <v>0.6020599913279624</v>
      </c>
      <c r="G23" s="52">
        <v>2.66</v>
      </c>
      <c r="H23" s="50">
        <f t="shared" si="1"/>
        <v>0.42488163663106698</v>
      </c>
      <c r="I23" s="52">
        <v>2.8134697878296753</v>
      </c>
      <c r="J23" s="52">
        <v>0.20951501454263097</v>
      </c>
      <c r="K23" s="52">
        <v>40</v>
      </c>
      <c r="L23" s="50">
        <f t="shared" si="2"/>
        <v>1.6020599913279623</v>
      </c>
      <c r="M23" s="52">
        <v>77</v>
      </c>
      <c r="N23" s="50">
        <f t="shared" si="3"/>
        <v>1.8864907251724818</v>
      </c>
      <c r="O23" s="52">
        <v>41.72</v>
      </c>
      <c r="P23" s="50">
        <f t="shared" si="4"/>
        <v>1.6203442997544932</v>
      </c>
      <c r="Q23" s="52">
        <v>47.830384300274197</v>
      </c>
      <c r="R23" s="50">
        <f t="shared" si="5"/>
        <v>1.6797038702890243</v>
      </c>
      <c r="S23" s="52">
        <v>3.3885364494891754</v>
      </c>
      <c r="T23" s="52">
        <v>3.818148300254375</v>
      </c>
      <c r="U23" s="187">
        <v>1100000000</v>
      </c>
      <c r="V23" s="186">
        <f t="shared" si="6"/>
        <v>9.0413926851582254</v>
      </c>
      <c r="W23" s="52">
        <v>4</v>
      </c>
      <c r="X23" s="68" t="s">
        <v>602</v>
      </c>
      <c r="Y23" s="137">
        <f t="shared" si="7"/>
        <v>1</v>
      </c>
    </row>
    <row r="24" spans="1:25" x14ac:dyDescent="0.35">
      <c r="A24" s="49">
        <v>-2</v>
      </c>
      <c r="B24" s="50" t="s">
        <v>45</v>
      </c>
      <c r="C24" s="50">
        <v>4.0712328767123287</v>
      </c>
      <c r="D24" s="50">
        <f t="shared" si="0"/>
        <v>0.60972594496808175</v>
      </c>
      <c r="E24" s="50">
        <v>0</v>
      </c>
      <c r="F24" s="50">
        <v>1.8750612633917001</v>
      </c>
      <c r="G24" s="50">
        <v>2.95</v>
      </c>
      <c r="H24" s="50">
        <f t="shared" si="1"/>
        <v>0.46982201597816303</v>
      </c>
      <c r="I24" s="50">
        <v>0</v>
      </c>
      <c r="J24" s="50">
        <v>-8.092190762392612E-2</v>
      </c>
      <c r="K24" s="50">
        <v>19</v>
      </c>
      <c r="L24" s="50">
        <f t="shared" si="2"/>
        <v>1.2787536009528289</v>
      </c>
      <c r="M24" s="50">
        <v>93.2</v>
      </c>
      <c r="N24" s="50">
        <f t="shared" si="3"/>
        <v>1.9694159123539814</v>
      </c>
      <c r="O24" s="50">
        <v>26.7</v>
      </c>
      <c r="P24" s="50">
        <f t="shared" si="4"/>
        <v>1.4265112613645752</v>
      </c>
      <c r="Q24" s="50">
        <v>36.669158714517401</v>
      </c>
      <c r="R24" s="50">
        <f t="shared" si="5"/>
        <v>1.5643009462345601</v>
      </c>
      <c r="S24" s="50">
        <v>3.0958500844125241</v>
      </c>
      <c r="T24" s="50">
        <v>3.5078178355445662</v>
      </c>
      <c r="U24" s="186">
        <v>1100000000</v>
      </c>
      <c r="V24" s="186">
        <f t="shared" si="6"/>
        <v>9.0413926851582254</v>
      </c>
      <c r="W24" s="50">
        <v>5</v>
      </c>
      <c r="X24" s="66" t="s">
        <v>602</v>
      </c>
      <c r="Y24" s="137">
        <f t="shared" si="7"/>
        <v>0</v>
      </c>
    </row>
    <row r="25" spans="1:25" x14ac:dyDescent="0.35">
      <c r="A25" s="67">
        <v>0.12774269509812849</v>
      </c>
      <c r="B25" s="52" t="s">
        <v>163</v>
      </c>
      <c r="C25" s="52">
        <v>4.5999999999999996</v>
      </c>
      <c r="D25" s="50">
        <f t="shared" si="0"/>
        <v>0.66275783168157409</v>
      </c>
      <c r="E25" s="52">
        <v>2.5362300726332561</v>
      </c>
      <c r="F25" s="52">
        <v>1.9084850188786497</v>
      </c>
      <c r="G25" s="52">
        <v>2.3199999999999998</v>
      </c>
      <c r="H25" s="50">
        <f t="shared" si="1"/>
        <v>0.36548798489089962</v>
      </c>
      <c r="I25" s="52">
        <v>2.756001823801419</v>
      </c>
      <c r="J25" s="52">
        <v>-9.1514981121350217E-2</v>
      </c>
      <c r="K25" s="52">
        <v>22</v>
      </c>
      <c r="L25" s="50">
        <f t="shared" si="2"/>
        <v>1.3424226808222062</v>
      </c>
      <c r="M25" s="52">
        <v>87.2</v>
      </c>
      <c r="N25" s="50">
        <f t="shared" si="3"/>
        <v>1.9405164849325673</v>
      </c>
      <c r="O25" s="52">
        <v>42.5</v>
      </c>
      <c r="P25" s="50">
        <f t="shared" si="4"/>
        <v>1.6283889300503116</v>
      </c>
      <c r="Q25" s="52">
        <v>52.565521078007201</v>
      </c>
      <c r="R25" s="50">
        <f t="shared" si="5"/>
        <v>1.7207009738992591</v>
      </c>
      <c r="S25" s="52">
        <v>3.2699236952309461</v>
      </c>
      <c r="T25" s="52">
        <v>3.6984415808994222</v>
      </c>
      <c r="U25" s="187">
        <v>1117760000</v>
      </c>
      <c r="V25" s="186">
        <f t="shared" si="6"/>
        <v>9.0483485639575534</v>
      </c>
      <c r="W25" s="52">
        <v>7</v>
      </c>
      <c r="X25" s="68" t="s">
        <v>577</v>
      </c>
      <c r="Y25" s="137">
        <f t="shared" si="7"/>
        <v>1</v>
      </c>
    </row>
    <row r="26" spans="1:25" x14ac:dyDescent="0.35">
      <c r="A26" s="49">
        <v>0.348721986001856</v>
      </c>
      <c r="B26" s="50" t="s">
        <v>45</v>
      </c>
      <c r="C26" s="50">
        <v>3.1315068493150684</v>
      </c>
      <c r="D26" s="50">
        <f t="shared" si="0"/>
        <v>0.49575336593880703</v>
      </c>
      <c r="E26" s="50">
        <v>0</v>
      </c>
      <c r="F26" s="50">
        <v>1.1760912590556813</v>
      </c>
      <c r="G26" s="50">
        <v>2.95</v>
      </c>
      <c r="H26" s="50">
        <f t="shared" si="1"/>
        <v>0.46982201597816303</v>
      </c>
      <c r="I26" s="50">
        <v>0</v>
      </c>
      <c r="J26" s="50">
        <v>0.19589965240923368</v>
      </c>
      <c r="K26" s="50">
        <v>36</v>
      </c>
      <c r="L26" s="50">
        <f t="shared" si="2"/>
        <v>1.5563025007672873</v>
      </c>
      <c r="M26" s="50">
        <v>91.1</v>
      </c>
      <c r="N26" s="50">
        <f t="shared" si="3"/>
        <v>1.9595183769729982</v>
      </c>
      <c r="O26" s="50">
        <v>24.1</v>
      </c>
      <c r="P26" s="50">
        <f t="shared" si="4"/>
        <v>1.3820170425748683</v>
      </c>
      <c r="Q26" s="50">
        <v>40.229046020662899</v>
      </c>
      <c r="R26" s="50">
        <f t="shared" si="5"/>
        <v>1.6045397339663818</v>
      </c>
      <c r="S26" s="50">
        <v>3.0687415514991745</v>
      </c>
      <c r="T26" s="50">
        <v>3.5297005493117593</v>
      </c>
      <c r="U26" s="186">
        <v>1120000000</v>
      </c>
      <c r="V26" s="186">
        <f t="shared" si="6"/>
        <v>9.0492180226701819</v>
      </c>
      <c r="W26" s="50">
        <v>9</v>
      </c>
      <c r="X26" s="66" t="s">
        <v>45</v>
      </c>
      <c r="Y26" s="137">
        <f t="shared" si="7"/>
        <v>0</v>
      </c>
    </row>
    <row r="27" spans="1:25" x14ac:dyDescent="0.35">
      <c r="A27" s="67">
        <v>0.13120336988464582</v>
      </c>
      <c r="B27" s="52" t="s">
        <v>45</v>
      </c>
      <c r="C27" s="52">
        <v>9.6465753424657539</v>
      </c>
      <c r="D27" s="50">
        <f t="shared" si="0"/>
        <v>0.9843731606137095</v>
      </c>
      <c r="E27" s="52">
        <v>0</v>
      </c>
      <c r="F27" s="52">
        <v>2.1875207208364631</v>
      </c>
      <c r="G27" s="52">
        <v>2.95</v>
      </c>
      <c r="H27" s="50">
        <f t="shared" si="1"/>
        <v>0.46982201597816303</v>
      </c>
      <c r="I27" s="52">
        <v>0</v>
      </c>
      <c r="J27" s="52">
        <v>0.16136800223497488</v>
      </c>
      <c r="K27" s="52">
        <v>17</v>
      </c>
      <c r="L27" s="50">
        <f t="shared" si="2"/>
        <v>1.2304489213782739</v>
      </c>
      <c r="M27" s="52">
        <v>85</v>
      </c>
      <c r="N27" s="50">
        <f t="shared" si="3"/>
        <v>1.9294189257142926</v>
      </c>
      <c r="O27" s="52">
        <v>24.9</v>
      </c>
      <c r="P27" s="50">
        <f t="shared" si="4"/>
        <v>1.3961993470957363</v>
      </c>
      <c r="Q27" s="52">
        <v>36.710134890601303</v>
      </c>
      <c r="R27" s="50">
        <f t="shared" si="5"/>
        <v>1.564785980312654</v>
      </c>
      <c r="S27" s="52">
        <v>3.4636820971642801</v>
      </c>
      <c r="T27" s="52">
        <v>3.6703795027080157</v>
      </c>
      <c r="U27" s="187">
        <v>1127370000</v>
      </c>
      <c r="V27" s="186">
        <f t="shared" si="6"/>
        <v>9.052066473798158</v>
      </c>
      <c r="W27" s="52">
        <v>2</v>
      </c>
      <c r="X27" s="68" t="s">
        <v>45</v>
      </c>
      <c r="Y27" s="137">
        <f t="shared" si="7"/>
        <v>0</v>
      </c>
    </row>
    <row r="28" spans="1:25" x14ac:dyDescent="0.35">
      <c r="A28" s="49">
        <v>1.085692621382691</v>
      </c>
      <c r="B28" s="50" t="s">
        <v>489</v>
      </c>
      <c r="C28" s="50">
        <v>8.8328767123287673</v>
      </c>
      <c r="D28" s="50">
        <f t="shared" si="0"/>
        <v>0.94610216867657837</v>
      </c>
      <c r="E28" s="50">
        <v>3.8229763963637051</v>
      </c>
      <c r="F28" s="50">
        <v>2.1105897102992488</v>
      </c>
      <c r="G28" s="50">
        <v>3.03</v>
      </c>
      <c r="H28" s="50">
        <f t="shared" si="1"/>
        <v>0.48144262850230496</v>
      </c>
      <c r="I28" s="50">
        <v>2.7113853790984517</v>
      </c>
      <c r="J28" s="50">
        <v>8.2785370316450071E-2</v>
      </c>
      <c r="K28" s="50">
        <v>17</v>
      </c>
      <c r="L28" s="50">
        <f t="shared" si="2"/>
        <v>1.2304489213782739</v>
      </c>
      <c r="M28" s="50">
        <v>70</v>
      </c>
      <c r="N28" s="50">
        <f t="shared" si="3"/>
        <v>1.8450980400142569</v>
      </c>
      <c r="O28" s="50">
        <v>27.63</v>
      </c>
      <c r="P28" s="50">
        <f t="shared" si="4"/>
        <v>1.4413808849165113</v>
      </c>
      <c r="Q28" s="50">
        <v>49.329709120205997</v>
      </c>
      <c r="R28" s="50">
        <f t="shared" si="5"/>
        <v>1.6931085545892062</v>
      </c>
      <c r="S28" s="50">
        <v>3.4636820971642801</v>
      </c>
      <c r="T28" s="50">
        <v>3.6703795027080157</v>
      </c>
      <c r="U28" s="186">
        <v>1127370000</v>
      </c>
      <c r="V28" s="186">
        <f t="shared" si="6"/>
        <v>9.052066473798158</v>
      </c>
      <c r="W28" s="50">
        <v>2</v>
      </c>
      <c r="X28" s="66" t="s">
        <v>45</v>
      </c>
      <c r="Y28" s="137">
        <f t="shared" si="7"/>
        <v>1</v>
      </c>
    </row>
    <row r="29" spans="1:25" x14ac:dyDescent="0.35">
      <c r="A29" s="67">
        <v>0.3816510038809775</v>
      </c>
      <c r="B29" s="52" t="s">
        <v>45</v>
      </c>
      <c r="C29" s="52">
        <v>7.6794520547945204</v>
      </c>
      <c r="D29" s="50">
        <f t="shared" si="0"/>
        <v>0.88533023330381144</v>
      </c>
      <c r="E29" s="52">
        <v>0</v>
      </c>
      <c r="F29" s="52">
        <v>1.9294189257142926</v>
      </c>
      <c r="G29" s="52">
        <v>2.95</v>
      </c>
      <c r="H29" s="50">
        <f t="shared" si="1"/>
        <v>0.46982201597816303</v>
      </c>
      <c r="I29" s="52">
        <v>0</v>
      </c>
      <c r="J29" s="52">
        <v>6.445798922691845E-2</v>
      </c>
      <c r="K29" s="52">
        <v>14</v>
      </c>
      <c r="L29" s="50">
        <f t="shared" si="2"/>
        <v>1.146128035678238</v>
      </c>
      <c r="M29" s="52">
        <v>85</v>
      </c>
      <c r="N29" s="50">
        <f t="shared" si="3"/>
        <v>1.9294189257142926</v>
      </c>
      <c r="O29" s="52">
        <v>24.6</v>
      </c>
      <c r="P29" s="50">
        <f t="shared" si="4"/>
        <v>1.3909351071033791</v>
      </c>
      <c r="Q29" s="52">
        <v>36.876470987978301</v>
      </c>
      <c r="R29" s="50">
        <f t="shared" si="5"/>
        <v>1.5667493531684615</v>
      </c>
      <c r="S29" s="52">
        <v>3.1814248062191788</v>
      </c>
      <c r="T29" s="52">
        <v>3.7294207535322617</v>
      </c>
      <c r="U29" s="187">
        <v>1140330000</v>
      </c>
      <c r="V29" s="186">
        <f t="shared" si="6"/>
        <v>9.0570305499678359</v>
      </c>
      <c r="W29" s="52">
        <v>5</v>
      </c>
      <c r="X29" s="68" t="s">
        <v>45</v>
      </c>
      <c r="Y29" s="137">
        <f t="shared" si="7"/>
        <v>0</v>
      </c>
    </row>
    <row r="30" spans="1:25" x14ac:dyDescent="0.35">
      <c r="A30" s="49">
        <v>-0.21439828045410877</v>
      </c>
      <c r="B30" s="50" t="s">
        <v>489</v>
      </c>
      <c r="C30" s="50">
        <v>8.4493150684931511</v>
      </c>
      <c r="D30" s="50">
        <f t="shared" si="0"/>
        <v>0.92682150492244464</v>
      </c>
      <c r="E30" s="50">
        <v>2.8270718863448598</v>
      </c>
      <c r="F30" s="50">
        <v>1.7075701760979363</v>
      </c>
      <c r="G30" s="50">
        <v>3.25</v>
      </c>
      <c r="H30" s="50">
        <f t="shared" si="1"/>
        <v>0.51188336097887432</v>
      </c>
      <c r="I30" s="50">
        <v>2.7172543127625497</v>
      </c>
      <c r="J30" s="50">
        <v>0.12057393120584989</v>
      </c>
      <c r="K30" s="50">
        <v>9</v>
      </c>
      <c r="L30" s="50">
        <f t="shared" si="2"/>
        <v>0.95424250943932487</v>
      </c>
      <c r="M30" s="50">
        <v>84.1</v>
      </c>
      <c r="N30" s="50">
        <f t="shared" si="3"/>
        <v>1.9247959957979122</v>
      </c>
      <c r="O30" s="50">
        <v>26.2</v>
      </c>
      <c r="P30" s="50">
        <f t="shared" si="4"/>
        <v>1.4183012913197455</v>
      </c>
      <c r="Q30" s="50">
        <v>49.329709120205997</v>
      </c>
      <c r="R30" s="50">
        <f t="shared" si="5"/>
        <v>1.6931085545892062</v>
      </c>
      <c r="S30" s="50">
        <v>3.9690067974360175</v>
      </c>
      <c r="T30" s="50">
        <v>3.6622275530882837</v>
      </c>
      <c r="U30" s="186">
        <v>1146822805</v>
      </c>
      <c r="V30" s="186">
        <f t="shared" si="6"/>
        <v>9.0594963204683658</v>
      </c>
      <c r="W30" s="50">
        <v>1</v>
      </c>
      <c r="X30" s="66" t="s">
        <v>2</v>
      </c>
      <c r="Y30" s="137">
        <f t="shared" si="7"/>
        <v>1</v>
      </c>
    </row>
    <row r="31" spans="1:25" x14ac:dyDescent="0.35">
      <c r="A31" s="67">
        <v>-2</v>
      </c>
      <c r="B31" s="52" t="s">
        <v>45</v>
      </c>
      <c r="C31" s="52">
        <v>2.463013698630137</v>
      </c>
      <c r="D31" s="50">
        <f t="shared" si="0"/>
        <v>0.39146682727675408</v>
      </c>
      <c r="E31" s="52">
        <v>0</v>
      </c>
      <c r="F31" s="52">
        <v>1.8061799739838871</v>
      </c>
      <c r="G31" s="52">
        <v>2.95</v>
      </c>
      <c r="H31" s="50">
        <f t="shared" si="1"/>
        <v>0.46982201597816303</v>
      </c>
      <c r="I31" s="52">
        <v>0</v>
      </c>
      <c r="J31" s="52">
        <v>0.2528530309798932</v>
      </c>
      <c r="K31" s="52">
        <v>19</v>
      </c>
      <c r="L31" s="50">
        <f t="shared" si="2"/>
        <v>1.2787536009528289</v>
      </c>
      <c r="M31" s="52">
        <v>85</v>
      </c>
      <c r="N31" s="50">
        <f t="shared" si="3"/>
        <v>1.9294189257142926</v>
      </c>
      <c r="O31" s="52">
        <v>26.5</v>
      </c>
      <c r="P31" s="50">
        <f t="shared" si="4"/>
        <v>1.4232458739368079</v>
      </c>
      <c r="Q31" s="52">
        <v>37.808596853116498</v>
      </c>
      <c r="R31" s="50">
        <f t="shared" si="5"/>
        <v>1.577590560190987</v>
      </c>
      <c r="S31" s="52">
        <v>3.0687415514991745</v>
      </c>
      <c r="T31" s="52">
        <v>3.5297005493117593</v>
      </c>
      <c r="U31" s="187">
        <v>1150000000</v>
      </c>
      <c r="V31" s="186">
        <f t="shared" si="6"/>
        <v>9.0606978403536118</v>
      </c>
      <c r="W31" s="52">
        <v>7</v>
      </c>
      <c r="X31" s="68" t="s">
        <v>45</v>
      </c>
      <c r="Y31" s="137">
        <f t="shared" si="7"/>
        <v>0</v>
      </c>
    </row>
    <row r="32" spans="1:25" x14ac:dyDescent="0.35">
      <c r="A32" s="49">
        <v>0.47001521451749351</v>
      </c>
      <c r="B32" s="50" t="s">
        <v>163</v>
      </c>
      <c r="C32" s="50">
        <v>2.7945205479452055</v>
      </c>
      <c r="D32" s="50">
        <f t="shared" si="0"/>
        <v>0.44630730730544288</v>
      </c>
      <c r="E32" s="50">
        <v>0</v>
      </c>
      <c r="F32" s="50">
        <v>0.6020599913279624</v>
      </c>
      <c r="G32" s="50">
        <v>3.18</v>
      </c>
      <c r="H32" s="50">
        <f t="shared" si="1"/>
        <v>0.50242711998443268</v>
      </c>
      <c r="I32" s="50">
        <v>0</v>
      </c>
      <c r="J32" s="50">
        <v>0.10037054511756291</v>
      </c>
      <c r="K32" s="50">
        <v>6</v>
      </c>
      <c r="L32" s="50">
        <f t="shared" si="2"/>
        <v>0.77815125038364363</v>
      </c>
      <c r="M32" s="50">
        <v>70</v>
      </c>
      <c r="N32" s="50">
        <f t="shared" si="3"/>
        <v>1.8450980400142569</v>
      </c>
      <c r="O32" s="50">
        <v>42.4</v>
      </c>
      <c r="P32" s="50">
        <f t="shared" si="4"/>
        <v>1.6273658565927327</v>
      </c>
      <c r="Q32" s="50">
        <v>52.984855215816303</v>
      </c>
      <c r="R32" s="50">
        <f t="shared" si="5"/>
        <v>1.7241517519382803</v>
      </c>
      <c r="S32" s="50">
        <v>3.2258683344006376</v>
      </c>
      <c r="T32" s="50">
        <v>3.9615291321450066</v>
      </c>
      <c r="U32" s="186">
        <v>1185913000</v>
      </c>
      <c r="V32" s="186">
        <f t="shared" si="6"/>
        <v>9.0740528298327821</v>
      </c>
      <c r="W32" s="50">
        <v>5</v>
      </c>
      <c r="X32" s="66" t="s">
        <v>163</v>
      </c>
      <c r="Y32" s="137">
        <f t="shared" si="7"/>
        <v>0</v>
      </c>
    </row>
    <row r="33" spans="1:25" x14ac:dyDescent="0.35">
      <c r="A33" s="67">
        <v>-2</v>
      </c>
      <c r="B33" s="52" t="s">
        <v>2</v>
      </c>
      <c r="C33" s="52">
        <v>2.3232876712328765</v>
      </c>
      <c r="D33" s="50">
        <f t="shared" si="0"/>
        <v>0.36610298780023909</v>
      </c>
      <c r="E33" s="52">
        <v>3.8335760926148099</v>
      </c>
      <c r="F33" s="52">
        <v>1.8260748027008264</v>
      </c>
      <c r="G33" s="52">
        <v>2.85</v>
      </c>
      <c r="H33" s="50">
        <f t="shared" si="1"/>
        <v>0.45484486000851021</v>
      </c>
      <c r="I33" s="52">
        <v>2.9138138523837167</v>
      </c>
      <c r="J33" s="52">
        <v>-0.13076828026902382</v>
      </c>
      <c r="K33" s="52">
        <v>22</v>
      </c>
      <c r="L33" s="50">
        <f t="shared" si="2"/>
        <v>1.3424226808222062</v>
      </c>
      <c r="M33" s="52">
        <v>70</v>
      </c>
      <c r="N33" s="50">
        <f t="shared" si="3"/>
        <v>1.8450980400142569</v>
      </c>
      <c r="O33" s="52">
        <v>36.200000000000003</v>
      </c>
      <c r="P33" s="50">
        <f t="shared" si="4"/>
        <v>1.5587085705331658</v>
      </c>
      <c r="Q33" s="52">
        <v>44.748733746598099</v>
      </c>
      <c r="R33" s="50">
        <f t="shared" si="5"/>
        <v>1.6507807506095689</v>
      </c>
      <c r="S33" s="52">
        <v>3.3075667315086759</v>
      </c>
      <c r="T33" s="52">
        <v>3.8308810053047755</v>
      </c>
      <c r="U33" s="187">
        <v>1200000000</v>
      </c>
      <c r="V33" s="186">
        <f t="shared" si="6"/>
        <v>9.0791812460476251</v>
      </c>
      <c r="W33" s="52">
        <v>1</v>
      </c>
      <c r="X33" s="68" t="s">
        <v>45</v>
      </c>
      <c r="Y33" s="137">
        <f t="shared" si="7"/>
        <v>1</v>
      </c>
    </row>
    <row r="34" spans="1:25" x14ac:dyDescent="0.35">
      <c r="A34" s="49">
        <v>0.14085386038334191</v>
      </c>
      <c r="B34" s="50" t="s">
        <v>45</v>
      </c>
      <c r="C34" s="50">
        <v>7.3123287671232875</v>
      </c>
      <c r="D34" s="50">
        <f t="shared" si="0"/>
        <v>0.86405570933103293</v>
      </c>
      <c r="E34" s="50">
        <v>0</v>
      </c>
      <c r="F34" s="50">
        <v>1.8195439355418688</v>
      </c>
      <c r="G34" s="50">
        <v>2.95</v>
      </c>
      <c r="H34" s="50">
        <f t="shared" si="1"/>
        <v>0.46982201597816303</v>
      </c>
      <c r="I34" s="50">
        <v>0</v>
      </c>
      <c r="J34" s="50">
        <v>0.12385164096708581</v>
      </c>
      <c r="K34" s="50">
        <v>21</v>
      </c>
      <c r="L34" s="50">
        <f t="shared" si="2"/>
        <v>1.3222192947339193</v>
      </c>
      <c r="M34" s="50">
        <v>85</v>
      </c>
      <c r="N34" s="50">
        <f t="shared" si="3"/>
        <v>1.9294189257142926</v>
      </c>
      <c r="O34" s="50">
        <v>27.4</v>
      </c>
      <c r="P34" s="50">
        <f t="shared" si="4"/>
        <v>1.4377505628203879</v>
      </c>
      <c r="Q34" s="50">
        <v>35.968444143503902</v>
      </c>
      <c r="R34" s="50">
        <f t="shared" si="5"/>
        <v>1.5559216523165715</v>
      </c>
      <c r="S34" s="50">
        <v>3.0687415514991745</v>
      </c>
      <c r="T34" s="50">
        <v>3.5297005493117593</v>
      </c>
      <c r="U34" s="186">
        <v>1201720000</v>
      </c>
      <c r="V34" s="186">
        <f t="shared" si="6"/>
        <v>9.079803289113908</v>
      </c>
      <c r="W34" s="50">
        <v>1</v>
      </c>
      <c r="X34" s="66" t="s">
        <v>45</v>
      </c>
      <c r="Y34" s="137">
        <f t="shared" si="7"/>
        <v>0</v>
      </c>
    </row>
    <row r="35" spans="1:25" x14ac:dyDescent="0.35">
      <c r="A35" s="67">
        <v>0.14680170202996193</v>
      </c>
      <c r="B35" s="52" t="s">
        <v>2</v>
      </c>
      <c r="C35" s="52">
        <v>4.484931506849315</v>
      </c>
      <c r="D35" s="50">
        <f t="shared" si="0"/>
        <v>0.65175581495546675</v>
      </c>
      <c r="E35" s="52">
        <v>3.8335760926148099</v>
      </c>
      <c r="F35" s="52">
        <v>2.2041199826559246</v>
      </c>
      <c r="G35" s="52">
        <v>2.85</v>
      </c>
      <c r="H35" s="50">
        <f t="shared" si="1"/>
        <v>0.45484486000851021</v>
      </c>
      <c r="I35" s="52">
        <v>2.9138138523837167</v>
      </c>
      <c r="J35" s="52">
        <v>0.22271647114758325</v>
      </c>
      <c r="K35" s="52">
        <v>36</v>
      </c>
      <c r="L35" s="50">
        <f t="shared" si="2"/>
        <v>1.5563025007672873</v>
      </c>
      <c r="M35" s="52">
        <v>90.5</v>
      </c>
      <c r="N35" s="50">
        <f t="shared" si="3"/>
        <v>1.9566485792052033</v>
      </c>
      <c r="O35" s="52">
        <v>36.4</v>
      </c>
      <c r="P35" s="50">
        <f t="shared" si="4"/>
        <v>1.5611013836490559</v>
      </c>
      <c r="Q35" s="52">
        <v>44.295389122127702</v>
      </c>
      <c r="R35" s="50">
        <f t="shared" si="5"/>
        <v>1.6463585211883986</v>
      </c>
      <c r="S35" s="52">
        <v>3.0687415514991745</v>
      </c>
      <c r="T35" s="52">
        <v>3.5297005493117593</v>
      </c>
      <c r="U35" s="187">
        <v>1202168337</v>
      </c>
      <c r="V35" s="186">
        <f t="shared" si="6"/>
        <v>9.0799652852302781</v>
      </c>
      <c r="W35" s="52">
        <v>5</v>
      </c>
      <c r="X35" s="68" t="s">
        <v>45</v>
      </c>
      <c r="Y35" s="137">
        <f t="shared" si="7"/>
        <v>1</v>
      </c>
    </row>
    <row r="36" spans="1:25" x14ac:dyDescent="0.35">
      <c r="A36" s="49">
        <v>-0.36768611887009245</v>
      </c>
      <c r="B36" s="50" t="s">
        <v>2</v>
      </c>
      <c r="C36" s="50">
        <v>2.0767123287671234</v>
      </c>
      <c r="D36" s="50">
        <f t="shared" si="0"/>
        <v>0.31737634117557884</v>
      </c>
      <c r="E36" s="50">
        <v>3.8335760926148099</v>
      </c>
      <c r="F36" s="50">
        <v>2</v>
      </c>
      <c r="G36" s="50">
        <v>2.85</v>
      </c>
      <c r="H36" s="50">
        <f t="shared" si="1"/>
        <v>0.45484486000851021</v>
      </c>
      <c r="I36" s="50">
        <v>2.9138138523837167</v>
      </c>
      <c r="J36" s="50">
        <v>9.3421685162235063E-2</v>
      </c>
      <c r="K36" s="50">
        <v>4</v>
      </c>
      <c r="L36" s="50">
        <f t="shared" si="2"/>
        <v>0.6020599913279624</v>
      </c>
      <c r="M36" s="50">
        <v>70</v>
      </c>
      <c r="N36" s="50">
        <f t="shared" si="3"/>
        <v>1.8450980400142569</v>
      </c>
      <c r="O36" s="50">
        <v>33.9</v>
      </c>
      <c r="P36" s="50">
        <f t="shared" si="4"/>
        <v>1.5301996982030821</v>
      </c>
      <c r="Q36" s="50">
        <v>46.200073016176603</v>
      </c>
      <c r="R36" s="50">
        <f t="shared" si="5"/>
        <v>1.664642661930531</v>
      </c>
      <c r="S36" s="50">
        <v>3.1630287862164392</v>
      </c>
      <c r="T36" s="50">
        <v>3.8199093495153855</v>
      </c>
      <c r="U36" s="186">
        <v>1220000000</v>
      </c>
      <c r="V36" s="186">
        <f t="shared" si="6"/>
        <v>9.0863598306747484</v>
      </c>
      <c r="W36" s="50">
        <v>8</v>
      </c>
      <c r="X36" s="66" t="s">
        <v>45</v>
      </c>
      <c r="Y36" s="137">
        <f t="shared" si="7"/>
        <v>1</v>
      </c>
    </row>
    <row r="37" spans="1:25" x14ac:dyDescent="0.35">
      <c r="A37" s="67">
        <v>0.13775272040897549</v>
      </c>
      <c r="B37" s="52" t="s">
        <v>45</v>
      </c>
      <c r="C37" s="52">
        <v>9.8849315068493144</v>
      </c>
      <c r="D37" s="50">
        <f t="shared" si="0"/>
        <v>0.99497366441342938</v>
      </c>
      <c r="E37" s="52">
        <v>0</v>
      </c>
      <c r="F37" s="52">
        <v>1.146128035678238</v>
      </c>
      <c r="G37" s="52">
        <v>2.95</v>
      </c>
      <c r="H37" s="50">
        <f t="shared" si="1"/>
        <v>0.46982201597816303</v>
      </c>
      <c r="I37" s="52">
        <v>0</v>
      </c>
      <c r="J37" s="52">
        <v>0.22271647114758325</v>
      </c>
      <c r="K37" s="52">
        <v>29</v>
      </c>
      <c r="L37" s="50">
        <f t="shared" si="2"/>
        <v>1.4623979978989561</v>
      </c>
      <c r="M37" s="52">
        <v>85</v>
      </c>
      <c r="N37" s="50">
        <f t="shared" si="3"/>
        <v>1.9294189257142926</v>
      </c>
      <c r="O37" s="52">
        <v>25.9</v>
      </c>
      <c r="P37" s="50">
        <f t="shared" si="4"/>
        <v>1.4132997640812519</v>
      </c>
      <c r="Q37" s="52">
        <v>36.959146749272797</v>
      </c>
      <c r="R37" s="50">
        <f t="shared" si="5"/>
        <v>1.5677219364019672</v>
      </c>
      <c r="S37" s="52">
        <v>3.0687415514991745</v>
      </c>
      <c r="T37" s="52">
        <v>3.5297005493117593</v>
      </c>
      <c r="U37" s="187">
        <v>1270000000</v>
      </c>
      <c r="V37" s="186">
        <f t="shared" si="6"/>
        <v>9.1038037209559572</v>
      </c>
      <c r="W37" s="52">
        <v>7</v>
      </c>
      <c r="X37" s="68" t="s">
        <v>45</v>
      </c>
      <c r="Y37" s="137">
        <f t="shared" si="7"/>
        <v>0</v>
      </c>
    </row>
    <row r="38" spans="1:25" x14ac:dyDescent="0.35">
      <c r="A38" s="49">
        <v>-9.7812748955715761E-2</v>
      </c>
      <c r="B38" s="83" t="s">
        <v>45</v>
      </c>
      <c r="C38" s="50">
        <v>6.2520547945205482</v>
      </c>
      <c r="D38" s="50">
        <f t="shared" si="0"/>
        <v>0.7960227756257211</v>
      </c>
      <c r="E38" s="50">
        <v>0</v>
      </c>
      <c r="F38" s="50">
        <v>1.1760912590556813</v>
      </c>
      <c r="G38" s="50">
        <v>2.95</v>
      </c>
      <c r="H38" s="50">
        <f t="shared" si="1"/>
        <v>0.46982201597816303</v>
      </c>
      <c r="I38" s="50">
        <v>0</v>
      </c>
      <c r="J38" s="50">
        <v>2.9383777685209667E-2</v>
      </c>
      <c r="K38" s="50">
        <v>19</v>
      </c>
      <c r="L38" s="50">
        <f t="shared" si="2"/>
        <v>1.2787536009528289</v>
      </c>
      <c r="M38" s="50">
        <v>93.2</v>
      </c>
      <c r="N38" s="50">
        <f t="shared" si="3"/>
        <v>1.9694159123539814</v>
      </c>
      <c r="O38" s="50">
        <v>26.7</v>
      </c>
      <c r="P38" s="50">
        <f t="shared" si="4"/>
        <v>1.4265112613645752</v>
      </c>
      <c r="Q38" s="50">
        <v>36.669158714517401</v>
      </c>
      <c r="R38" s="50">
        <f t="shared" si="5"/>
        <v>1.5643009462345601</v>
      </c>
      <c r="S38" s="50">
        <v>3.0958500844125241</v>
      </c>
      <c r="T38" s="50">
        <v>3.5078178355445662</v>
      </c>
      <c r="U38" s="186">
        <v>1271390000</v>
      </c>
      <c r="V38" s="186">
        <f t="shared" si="6"/>
        <v>9.1042787912049477</v>
      </c>
      <c r="W38" s="50">
        <v>9</v>
      </c>
      <c r="X38" s="102" t="s">
        <v>45</v>
      </c>
      <c r="Y38" s="137">
        <f t="shared" si="7"/>
        <v>0</v>
      </c>
    </row>
    <row r="39" spans="1:25" x14ac:dyDescent="0.35">
      <c r="A39" s="67">
        <v>-9.7812748955715761E-2</v>
      </c>
      <c r="B39" s="52" t="s">
        <v>45</v>
      </c>
      <c r="C39" s="52">
        <v>5.978082191780822</v>
      </c>
      <c r="D39" s="50">
        <f t="shared" si="0"/>
        <v>0.7765618817958484</v>
      </c>
      <c r="E39" s="52">
        <v>0</v>
      </c>
      <c r="F39" s="52">
        <v>1.2041199826559248</v>
      </c>
      <c r="G39" s="52">
        <v>2.95</v>
      </c>
      <c r="H39" s="50">
        <f t="shared" si="1"/>
        <v>0.46982201597816303</v>
      </c>
      <c r="I39" s="52">
        <v>0</v>
      </c>
      <c r="J39" s="52">
        <v>8.6001717619175692E-3</v>
      </c>
      <c r="K39" s="52">
        <v>20</v>
      </c>
      <c r="L39" s="50">
        <f t="shared" si="2"/>
        <v>1.3010299956639813</v>
      </c>
      <c r="M39" s="52">
        <v>91.4</v>
      </c>
      <c r="N39" s="50">
        <f t="shared" si="3"/>
        <v>1.9609461957338314</v>
      </c>
      <c r="O39" s="52">
        <v>26.7</v>
      </c>
      <c r="P39" s="50">
        <f t="shared" si="4"/>
        <v>1.4265112613645752</v>
      </c>
      <c r="Q39" s="52">
        <v>37.425715444240403</v>
      </c>
      <c r="R39" s="50">
        <f t="shared" si="5"/>
        <v>1.5731701112332821</v>
      </c>
      <c r="S39" s="52">
        <v>3.0958500844125241</v>
      </c>
      <c r="T39" s="52">
        <v>3.5078178355445662</v>
      </c>
      <c r="U39" s="187">
        <v>1271390000</v>
      </c>
      <c r="V39" s="186">
        <f t="shared" si="6"/>
        <v>9.1042787912049477</v>
      </c>
      <c r="W39" s="52">
        <v>9</v>
      </c>
      <c r="X39" s="68" t="s">
        <v>602</v>
      </c>
      <c r="Y39" s="137">
        <f t="shared" si="7"/>
        <v>0</v>
      </c>
    </row>
    <row r="40" spans="1:25" x14ac:dyDescent="0.35">
      <c r="A40" s="49">
        <v>-0.74978649618430626</v>
      </c>
      <c r="B40" s="50" t="s">
        <v>2</v>
      </c>
      <c r="C40" s="50">
        <v>5.3835616438356162</v>
      </c>
      <c r="D40" s="50">
        <f t="shared" si="0"/>
        <v>0.73106969025497082</v>
      </c>
      <c r="E40" s="50">
        <v>3.8335760926148099</v>
      </c>
      <c r="F40" s="50">
        <v>1.6334684555795864</v>
      </c>
      <c r="G40" s="50">
        <v>2.85</v>
      </c>
      <c r="H40" s="50">
        <f t="shared" si="1"/>
        <v>0.45484486000851021</v>
      </c>
      <c r="I40" s="50">
        <v>2.9138138523837167</v>
      </c>
      <c r="J40" s="50">
        <v>-4.3648054024500883E-3</v>
      </c>
      <c r="K40" s="50">
        <v>22</v>
      </c>
      <c r="L40" s="50">
        <f t="shared" si="2"/>
        <v>1.3424226808222062</v>
      </c>
      <c r="M40" s="50">
        <v>88.9</v>
      </c>
      <c r="N40" s="50">
        <f t="shared" si="3"/>
        <v>1.9489017609702137</v>
      </c>
      <c r="O40" s="50">
        <v>34.9</v>
      </c>
      <c r="P40" s="50">
        <f t="shared" si="4"/>
        <v>1.5428254269591799</v>
      </c>
      <c r="Q40" s="50">
        <v>42.817370475444001</v>
      </c>
      <c r="R40" s="50">
        <f t="shared" si="5"/>
        <v>1.6316199926391717</v>
      </c>
      <c r="S40" s="50">
        <v>3.3647319918335836</v>
      </c>
      <c r="T40" s="50">
        <v>3.568659604598353</v>
      </c>
      <c r="U40" s="186">
        <v>1300000000</v>
      </c>
      <c r="V40" s="186">
        <f t="shared" si="6"/>
        <v>9.1139433523068369</v>
      </c>
      <c r="W40" s="50">
        <v>1</v>
      </c>
      <c r="X40" s="66" t="s">
        <v>45</v>
      </c>
      <c r="Y40" s="137">
        <f t="shared" si="7"/>
        <v>1</v>
      </c>
    </row>
    <row r="41" spans="1:25" x14ac:dyDescent="0.35">
      <c r="A41" s="67">
        <v>0.385743730311567</v>
      </c>
      <c r="B41" s="52" t="s">
        <v>2</v>
      </c>
      <c r="C41" s="52">
        <v>4.904109589041096</v>
      </c>
      <c r="D41" s="50">
        <f t="shared" si="0"/>
        <v>0.69056016652341845</v>
      </c>
      <c r="E41" s="52">
        <v>3.1189984043805832</v>
      </c>
      <c r="F41" s="52">
        <v>0.77815125038364363</v>
      </c>
      <c r="G41" s="52">
        <v>3.13</v>
      </c>
      <c r="H41" s="50">
        <f t="shared" si="1"/>
        <v>0.49554433754644844</v>
      </c>
      <c r="I41" s="52">
        <v>3.0711452904510828</v>
      </c>
      <c r="J41" s="52">
        <v>-4.3648054024500883E-3</v>
      </c>
      <c r="K41" s="52">
        <v>12</v>
      </c>
      <c r="L41" s="50">
        <f t="shared" si="2"/>
        <v>1.0791812460476249</v>
      </c>
      <c r="M41" s="52">
        <v>89.1</v>
      </c>
      <c r="N41" s="50">
        <f t="shared" si="3"/>
        <v>1.9498777040368747</v>
      </c>
      <c r="O41" s="52">
        <v>34.5</v>
      </c>
      <c r="P41" s="50">
        <f t="shared" si="4"/>
        <v>1.5378190950732742</v>
      </c>
      <c r="Q41" s="52">
        <v>44.696333437793797</v>
      </c>
      <c r="R41" s="50">
        <f t="shared" si="5"/>
        <v>1.6502718982315996</v>
      </c>
      <c r="S41" s="52">
        <v>3.1616209089088487</v>
      </c>
      <c r="T41" s="52">
        <v>3.7997633234477775</v>
      </c>
      <c r="U41" s="187">
        <v>1300000000</v>
      </c>
      <c r="V41" s="186">
        <f t="shared" si="6"/>
        <v>9.1139433523068369</v>
      </c>
      <c r="W41" s="52">
        <v>4</v>
      </c>
      <c r="X41" s="68" t="s">
        <v>4</v>
      </c>
      <c r="Y41" s="137">
        <f t="shared" si="7"/>
        <v>1</v>
      </c>
    </row>
    <row r="42" spans="1:25" x14ac:dyDescent="0.35">
      <c r="A42" s="49">
        <v>-0.83518975135400775</v>
      </c>
      <c r="B42" s="50" t="s">
        <v>2</v>
      </c>
      <c r="C42" s="50">
        <v>5.0684931506849313</v>
      </c>
      <c r="D42" s="50">
        <f t="shared" si="0"/>
        <v>0.70487886394653909</v>
      </c>
      <c r="E42" s="50">
        <v>3.8335760926148099</v>
      </c>
      <c r="F42" s="50">
        <v>1.6334684555795864</v>
      </c>
      <c r="G42" s="50">
        <v>2.85</v>
      </c>
      <c r="H42" s="50">
        <f t="shared" si="1"/>
        <v>0.45484486000851021</v>
      </c>
      <c r="I42" s="50">
        <v>2.9138138523837167</v>
      </c>
      <c r="J42" s="50">
        <v>-4.5757490560675115E-2</v>
      </c>
      <c r="K42" s="50">
        <v>22</v>
      </c>
      <c r="L42" s="50">
        <f t="shared" si="2"/>
        <v>1.3424226808222062</v>
      </c>
      <c r="M42" s="50">
        <v>88.9</v>
      </c>
      <c r="N42" s="50">
        <f t="shared" si="3"/>
        <v>1.9489017609702137</v>
      </c>
      <c r="O42" s="50">
        <v>34.9</v>
      </c>
      <c r="P42" s="50">
        <f t="shared" si="4"/>
        <v>1.5428254269591799</v>
      </c>
      <c r="Q42" s="50">
        <v>42.817370475444001</v>
      </c>
      <c r="R42" s="50">
        <f t="shared" si="5"/>
        <v>1.6316199926391717</v>
      </c>
      <c r="S42" s="50">
        <v>3.3647319918335836</v>
      </c>
      <c r="T42" s="50">
        <v>3.568659604598353</v>
      </c>
      <c r="U42" s="186">
        <v>1300000000</v>
      </c>
      <c r="V42" s="186">
        <f t="shared" si="6"/>
        <v>9.1139433523068369</v>
      </c>
      <c r="W42" s="50">
        <v>8</v>
      </c>
      <c r="X42" s="66" t="s">
        <v>602</v>
      </c>
      <c r="Y42" s="137">
        <f t="shared" si="7"/>
        <v>1</v>
      </c>
    </row>
    <row r="43" spans="1:25" x14ac:dyDescent="0.35">
      <c r="A43" s="67">
        <v>0.22622304257923964</v>
      </c>
      <c r="B43" s="52" t="s">
        <v>59</v>
      </c>
      <c r="C43" s="52">
        <v>8.8520547945205479</v>
      </c>
      <c r="D43" s="50">
        <f t="shared" si="0"/>
        <v>0.94704409356116936</v>
      </c>
      <c r="E43" s="52">
        <v>3.7707754512906644</v>
      </c>
      <c r="F43" s="52">
        <v>1.6989700043360187</v>
      </c>
      <c r="G43" s="52">
        <v>2.3199999999999998</v>
      </c>
      <c r="H43" s="50">
        <f t="shared" si="1"/>
        <v>0.36548798489089962</v>
      </c>
      <c r="I43" s="52">
        <v>2.1238516409670858</v>
      </c>
      <c r="J43" s="52">
        <v>0.15228834438305647</v>
      </c>
      <c r="K43" s="52">
        <v>23</v>
      </c>
      <c r="L43" s="50">
        <f t="shared" si="2"/>
        <v>1.3617278360175928</v>
      </c>
      <c r="M43" s="52">
        <v>91.2</v>
      </c>
      <c r="N43" s="50">
        <f t="shared" si="3"/>
        <v>1.9599948383284163</v>
      </c>
      <c r="O43" s="52">
        <v>33</v>
      </c>
      <c r="P43" s="50">
        <f t="shared" si="4"/>
        <v>1.5185139398778875</v>
      </c>
      <c r="Q43" s="52">
        <v>40.902544500539101</v>
      </c>
      <c r="R43" s="50">
        <f t="shared" si="5"/>
        <v>1.6117503258110162</v>
      </c>
      <c r="S43" s="52">
        <v>3.20911860699078</v>
      </c>
      <c r="T43" s="52">
        <v>3.5849986651910224</v>
      </c>
      <c r="U43" s="187">
        <v>1300000000</v>
      </c>
      <c r="V43" s="186">
        <f t="shared" si="6"/>
        <v>9.1139433523068369</v>
      </c>
      <c r="W43" s="52">
        <v>5</v>
      </c>
      <c r="X43" s="68" t="s">
        <v>45</v>
      </c>
      <c r="Y43" s="137">
        <f t="shared" si="7"/>
        <v>1</v>
      </c>
    </row>
    <row r="44" spans="1:25" x14ac:dyDescent="0.35">
      <c r="A44" s="49">
        <v>0.22847932851536945</v>
      </c>
      <c r="B44" s="50" t="s">
        <v>59</v>
      </c>
      <c r="C44" s="50">
        <v>5.6958904109589037</v>
      </c>
      <c r="D44" s="50">
        <f t="shared" si="0"/>
        <v>0.75556162487499445</v>
      </c>
      <c r="E44" s="50">
        <v>0</v>
      </c>
      <c r="F44" s="50">
        <v>0.90308998699194354</v>
      </c>
      <c r="G44" s="50">
        <v>3.29</v>
      </c>
      <c r="H44" s="50">
        <f t="shared" si="1"/>
        <v>0.51719589794997434</v>
      </c>
      <c r="I44" s="50">
        <v>0</v>
      </c>
      <c r="J44" s="50">
        <v>-7.0581074285707285E-2</v>
      </c>
      <c r="K44" s="50">
        <v>14</v>
      </c>
      <c r="L44" s="50">
        <f t="shared" si="2"/>
        <v>1.146128035678238</v>
      </c>
      <c r="M44" s="50">
        <v>85</v>
      </c>
      <c r="N44" s="50">
        <f t="shared" si="3"/>
        <v>1.9294189257142926</v>
      </c>
      <c r="O44" s="50">
        <v>32.9</v>
      </c>
      <c r="P44" s="50">
        <f t="shared" si="4"/>
        <v>1.5171958979499742</v>
      </c>
      <c r="Q44" s="50">
        <v>35.433808146393098</v>
      </c>
      <c r="R44" s="50">
        <f t="shared" si="5"/>
        <v>1.5494178293890581</v>
      </c>
      <c r="S44" s="50">
        <v>3.2188268626467691</v>
      </c>
      <c r="T44" s="50">
        <v>3.7570580283396975</v>
      </c>
      <c r="U44" s="186">
        <v>1300000000</v>
      </c>
      <c r="V44" s="186">
        <f t="shared" si="6"/>
        <v>9.1139433523068369</v>
      </c>
      <c r="W44" s="50">
        <v>2</v>
      </c>
      <c r="X44" s="66" t="s">
        <v>577</v>
      </c>
      <c r="Y44" s="137">
        <f t="shared" si="7"/>
        <v>0</v>
      </c>
    </row>
    <row r="45" spans="1:25" x14ac:dyDescent="0.35">
      <c r="A45" s="67">
        <v>5.881996339991695E-2</v>
      </c>
      <c r="B45" s="52" t="s">
        <v>163</v>
      </c>
      <c r="C45" s="52">
        <v>6.1479452054794521</v>
      </c>
      <c r="D45" s="50">
        <f t="shared" si="0"/>
        <v>0.78872998812764905</v>
      </c>
      <c r="E45" s="52">
        <v>2.5362300726332561</v>
      </c>
      <c r="F45" s="52">
        <v>1.9956351945975499</v>
      </c>
      <c r="G45" s="52">
        <v>2.3199999999999998</v>
      </c>
      <c r="H45" s="50">
        <f t="shared" si="1"/>
        <v>0.36548798489089962</v>
      </c>
      <c r="I45" s="52">
        <v>2.756001823801419</v>
      </c>
      <c r="J45" s="52">
        <v>5.3078443483419682E-2</v>
      </c>
      <c r="K45" s="52">
        <v>18</v>
      </c>
      <c r="L45" s="50">
        <f t="shared" si="2"/>
        <v>1.255272505103306</v>
      </c>
      <c r="M45" s="52">
        <v>70</v>
      </c>
      <c r="N45" s="50">
        <f t="shared" si="3"/>
        <v>1.8450980400142569</v>
      </c>
      <c r="O45" s="52">
        <v>42.4</v>
      </c>
      <c r="P45" s="50">
        <f t="shared" si="4"/>
        <v>1.6273658565927327</v>
      </c>
      <c r="Q45" s="52">
        <v>52.984855215816303</v>
      </c>
      <c r="R45" s="50">
        <f t="shared" si="5"/>
        <v>1.7241517519382803</v>
      </c>
      <c r="S45" s="52">
        <v>3.2188271541979425</v>
      </c>
      <c r="T45" s="52">
        <v>3.7570584504768405</v>
      </c>
      <c r="U45" s="187">
        <v>1310000000</v>
      </c>
      <c r="V45" s="186">
        <f t="shared" si="6"/>
        <v>9.1172712956557636</v>
      </c>
      <c r="W45" s="52">
        <v>7</v>
      </c>
      <c r="X45" s="68" t="s">
        <v>577</v>
      </c>
      <c r="Y45" s="137">
        <f t="shared" si="7"/>
        <v>1</v>
      </c>
    </row>
    <row r="46" spans="1:25" x14ac:dyDescent="0.35">
      <c r="A46" s="49">
        <v>-2</v>
      </c>
      <c r="B46" s="50" t="s">
        <v>45</v>
      </c>
      <c r="C46" s="50">
        <v>3.9808219178082194</v>
      </c>
      <c r="D46" s="50">
        <f t="shared" si="0"/>
        <v>0.5999727498415468</v>
      </c>
      <c r="E46" s="50">
        <v>0</v>
      </c>
      <c r="F46" s="50">
        <v>1.146128035678238</v>
      </c>
      <c r="G46" s="50">
        <v>2.95</v>
      </c>
      <c r="H46" s="50">
        <f t="shared" si="1"/>
        <v>0.46982201597816303</v>
      </c>
      <c r="I46" s="50">
        <v>0</v>
      </c>
      <c r="J46" s="50">
        <v>3.7426497940623665E-2</v>
      </c>
      <c r="K46" s="50">
        <v>5</v>
      </c>
      <c r="L46" s="50">
        <f t="shared" si="2"/>
        <v>0.69897000433601886</v>
      </c>
      <c r="M46" s="50">
        <v>85</v>
      </c>
      <c r="N46" s="50">
        <f t="shared" si="3"/>
        <v>1.9294189257142926</v>
      </c>
      <c r="O46" s="50">
        <v>27.4</v>
      </c>
      <c r="P46" s="50">
        <f t="shared" si="4"/>
        <v>1.4377505628203879</v>
      </c>
      <c r="Q46" s="50">
        <v>35.968444143503902</v>
      </c>
      <c r="R46" s="50">
        <f t="shared" si="5"/>
        <v>1.5559216523165715</v>
      </c>
      <c r="S46" s="50">
        <v>3.1628767233771686</v>
      </c>
      <c r="T46" s="50">
        <v>3.6087947637270492</v>
      </c>
      <c r="U46" s="186">
        <v>1335100000</v>
      </c>
      <c r="V46" s="186">
        <f t="shared" si="6"/>
        <v>9.1255137959041157</v>
      </c>
      <c r="W46" s="50">
        <v>2</v>
      </c>
      <c r="X46" s="66" t="s">
        <v>602</v>
      </c>
      <c r="Y46" s="137">
        <f t="shared" si="7"/>
        <v>0</v>
      </c>
    </row>
    <row r="47" spans="1:25" x14ac:dyDescent="0.35">
      <c r="A47" s="67">
        <v>0.12746371163880357</v>
      </c>
      <c r="B47" s="52" t="s">
        <v>45</v>
      </c>
      <c r="C47" s="52">
        <v>3.2630136986301368</v>
      </c>
      <c r="D47" s="50">
        <f t="shared" si="0"/>
        <v>0.51361889702630281</v>
      </c>
      <c r="E47" s="52">
        <v>3.7358167906061537</v>
      </c>
      <c r="F47" s="52">
        <v>0.3010299956639812</v>
      </c>
      <c r="G47" s="52">
        <v>2.81</v>
      </c>
      <c r="H47" s="50">
        <f t="shared" si="1"/>
        <v>0.44870631990507992</v>
      </c>
      <c r="I47" s="52">
        <v>2.103233406386928</v>
      </c>
      <c r="J47" s="52">
        <v>-4.5757490560675115E-2</v>
      </c>
      <c r="K47" s="52">
        <v>0</v>
      </c>
      <c r="L47" s="50">
        <f t="shared" si="2"/>
        <v>0</v>
      </c>
      <c r="M47" s="52">
        <v>85</v>
      </c>
      <c r="N47" s="50">
        <f t="shared" si="3"/>
        <v>1.9294189257142926</v>
      </c>
      <c r="O47" s="52">
        <v>27.2</v>
      </c>
      <c r="P47" s="50">
        <f t="shared" si="4"/>
        <v>1.4345689040341987</v>
      </c>
      <c r="Q47" s="52">
        <v>35.608384832026097</v>
      </c>
      <c r="R47" s="50">
        <f t="shared" si="5"/>
        <v>1.5515522748692276</v>
      </c>
      <c r="S47" s="52">
        <v>3.3884049978579722</v>
      </c>
      <c r="T47" s="52">
        <v>3.8579486949156889</v>
      </c>
      <c r="U47" s="187">
        <v>1372000000</v>
      </c>
      <c r="V47" s="186">
        <f t="shared" si="6"/>
        <v>9.1373541113707333</v>
      </c>
      <c r="W47" s="52">
        <v>8</v>
      </c>
      <c r="X47" s="68" t="s">
        <v>497</v>
      </c>
      <c r="Y47" s="137">
        <f t="shared" si="7"/>
        <v>1</v>
      </c>
    </row>
    <row r="48" spans="1:25" x14ac:dyDescent="0.35">
      <c r="A48" s="49">
        <v>6.1105182401829682E-2</v>
      </c>
      <c r="B48" s="50" t="s">
        <v>2</v>
      </c>
      <c r="C48" s="50">
        <v>2.1945205479452055</v>
      </c>
      <c r="D48" s="50">
        <f t="shared" si="0"/>
        <v>0.34133965162776297</v>
      </c>
      <c r="E48" s="50">
        <v>3.8335760926148099</v>
      </c>
      <c r="F48" s="50">
        <v>2.1335389083702174</v>
      </c>
      <c r="G48" s="50">
        <v>2.85</v>
      </c>
      <c r="H48" s="50">
        <f t="shared" si="1"/>
        <v>0.45484486000851021</v>
      </c>
      <c r="I48" s="50">
        <v>2.9138138523837167</v>
      </c>
      <c r="J48" s="50">
        <v>6.445798922691845E-2</v>
      </c>
      <c r="K48" s="50">
        <v>19</v>
      </c>
      <c r="L48" s="50">
        <f t="shared" si="2"/>
        <v>1.2787536009528289</v>
      </c>
      <c r="M48" s="50">
        <v>70</v>
      </c>
      <c r="N48" s="50">
        <f t="shared" si="3"/>
        <v>1.8450980400142569</v>
      </c>
      <c r="O48" s="50">
        <v>33.9</v>
      </c>
      <c r="P48" s="50">
        <f t="shared" si="4"/>
        <v>1.5301996982030821</v>
      </c>
      <c r="Q48" s="50">
        <v>46.312020505412598</v>
      </c>
      <c r="R48" s="50">
        <f t="shared" si="5"/>
        <v>1.6656937288498501</v>
      </c>
      <c r="S48" s="50">
        <v>3.3647319918335836</v>
      </c>
      <c r="T48" s="50">
        <v>3.568659604598353</v>
      </c>
      <c r="U48" s="186">
        <v>1390000000</v>
      </c>
      <c r="V48" s="186">
        <f t="shared" si="6"/>
        <v>9.143014800254095</v>
      </c>
      <c r="W48" s="50">
        <v>6</v>
      </c>
      <c r="X48" s="66" t="s">
        <v>602</v>
      </c>
      <c r="Y48" s="137">
        <f t="shared" si="7"/>
        <v>1</v>
      </c>
    </row>
    <row r="49" spans="1:25" x14ac:dyDescent="0.35">
      <c r="A49" s="67">
        <v>0.76362344321178399</v>
      </c>
      <c r="B49" s="52" t="s">
        <v>45</v>
      </c>
      <c r="C49" s="52">
        <v>2.9917808219178084</v>
      </c>
      <c r="D49" s="50">
        <f t="shared" si="0"/>
        <v>0.47592977391224373</v>
      </c>
      <c r="E49" s="52">
        <v>0</v>
      </c>
      <c r="F49" s="52">
        <v>1.5440680443502757</v>
      </c>
      <c r="G49" s="52">
        <v>2.95</v>
      </c>
      <c r="H49" s="50">
        <f t="shared" si="1"/>
        <v>0.46982201597816303</v>
      </c>
      <c r="I49" s="52">
        <v>0</v>
      </c>
      <c r="J49" s="52">
        <v>0.11394335230683679</v>
      </c>
      <c r="K49" s="52">
        <v>20</v>
      </c>
      <c r="L49" s="50">
        <f t="shared" si="2"/>
        <v>1.3010299956639813</v>
      </c>
      <c r="M49" s="52">
        <v>91.1</v>
      </c>
      <c r="N49" s="50">
        <f t="shared" si="3"/>
        <v>1.9595183769729982</v>
      </c>
      <c r="O49" s="52">
        <v>24.1</v>
      </c>
      <c r="P49" s="50">
        <f t="shared" si="4"/>
        <v>1.3820170425748683</v>
      </c>
      <c r="Q49" s="52">
        <v>40.229046020662899</v>
      </c>
      <c r="R49" s="50">
        <f t="shared" si="5"/>
        <v>1.6045397339663818</v>
      </c>
      <c r="S49" s="52">
        <v>3.1628767233771686</v>
      </c>
      <c r="T49" s="52">
        <v>3.6087947637270492</v>
      </c>
      <c r="U49" s="187">
        <v>1394200000</v>
      </c>
      <c r="V49" s="186">
        <f t="shared" si="6"/>
        <v>9.1443250784004881</v>
      </c>
      <c r="W49" s="52">
        <v>2</v>
      </c>
      <c r="X49" s="68" t="s">
        <v>45</v>
      </c>
      <c r="Y49" s="137">
        <f t="shared" si="7"/>
        <v>0</v>
      </c>
    </row>
    <row r="50" spans="1:25" x14ac:dyDescent="0.35">
      <c r="A50" s="49">
        <v>0.2852357284807493</v>
      </c>
      <c r="B50" s="50" t="s">
        <v>45</v>
      </c>
      <c r="C50" s="50">
        <v>5.9260273972602739</v>
      </c>
      <c r="D50" s="50">
        <f t="shared" si="0"/>
        <v>0.77276365498261679</v>
      </c>
      <c r="E50" s="50">
        <v>0</v>
      </c>
      <c r="F50" s="50">
        <v>1.6232492903979006</v>
      </c>
      <c r="G50" s="50">
        <v>2.95</v>
      </c>
      <c r="H50" s="50">
        <f t="shared" si="1"/>
        <v>0.46982201597816303</v>
      </c>
      <c r="I50" s="50">
        <v>0</v>
      </c>
      <c r="J50" s="50">
        <v>0.28103336724772759</v>
      </c>
      <c r="K50" s="50">
        <v>18</v>
      </c>
      <c r="L50" s="50">
        <f t="shared" si="2"/>
        <v>1.255272505103306</v>
      </c>
      <c r="M50" s="50">
        <v>91.3</v>
      </c>
      <c r="N50" s="50">
        <f t="shared" si="3"/>
        <v>1.9604707775342989</v>
      </c>
      <c r="O50" s="50">
        <v>23.5</v>
      </c>
      <c r="P50" s="50">
        <f t="shared" si="4"/>
        <v>1.3710678622717363</v>
      </c>
      <c r="Q50" s="50">
        <v>43.1672842383418</v>
      </c>
      <c r="R50" s="50">
        <f t="shared" si="5"/>
        <v>1.6351547269652249</v>
      </c>
      <c r="S50" s="50">
        <v>3.1628767233771686</v>
      </c>
      <c r="T50" s="50">
        <v>3.6087947637270492</v>
      </c>
      <c r="U50" s="186">
        <v>1400000000</v>
      </c>
      <c r="V50" s="186">
        <f t="shared" si="6"/>
        <v>9.1461280356782382</v>
      </c>
      <c r="W50" s="50">
        <v>9</v>
      </c>
      <c r="X50" s="66" t="s">
        <v>602</v>
      </c>
      <c r="Y50" s="137">
        <f t="shared" si="7"/>
        <v>0</v>
      </c>
    </row>
    <row r="51" spans="1:25" x14ac:dyDescent="0.35">
      <c r="A51" s="67">
        <v>1.9154642507423002E-2</v>
      </c>
      <c r="B51" s="52" t="s">
        <v>2</v>
      </c>
      <c r="C51" s="52">
        <v>5</v>
      </c>
      <c r="D51" s="50">
        <f t="shared" si="0"/>
        <v>0.69897000433601886</v>
      </c>
      <c r="E51" s="52">
        <v>2.9629325585580042</v>
      </c>
      <c r="F51" s="52">
        <v>1.8061799739838871</v>
      </c>
      <c r="G51" s="52">
        <v>2.62</v>
      </c>
      <c r="H51" s="50">
        <f t="shared" si="1"/>
        <v>0.41830129131974547</v>
      </c>
      <c r="I51" s="52">
        <v>2.9323046139517812</v>
      </c>
      <c r="J51" s="52">
        <v>-0.10790539730951958</v>
      </c>
      <c r="K51" s="52">
        <v>13</v>
      </c>
      <c r="L51" s="50">
        <f t="shared" si="2"/>
        <v>1.1139433523068367</v>
      </c>
      <c r="M51" s="52">
        <v>70</v>
      </c>
      <c r="N51" s="50">
        <f t="shared" si="3"/>
        <v>1.8450980400142569</v>
      </c>
      <c r="O51" s="52">
        <v>36.200000000000003</v>
      </c>
      <c r="P51" s="50">
        <f t="shared" si="4"/>
        <v>1.5587085705331658</v>
      </c>
      <c r="Q51" s="52">
        <v>47.694345434117203</v>
      </c>
      <c r="R51" s="50">
        <f t="shared" si="5"/>
        <v>1.6784668928277571</v>
      </c>
      <c r="S51" s="52">
        <v>3.2188271541979425</v>
      </c>
      <c r="T51" s="52">
        <v>3.7570584504768405</v>
      </c>
      <c r="U51" s="187">
        <v>1435279945</v>
      </c>
      <c r="V51" s="186">
        <f t="shared" si="6"/>
        <v>9.1569366165482577</v>
      </c>
      <c r="W51" s="52">
        <v>5</v>
      </c>
      <c r="X51" s="68" t="s">
        <v>577</v>
      </c>
      <c r="Y51" s="137">
        <f t="shared" si="7"/>
        <v>1</v>
      </c>
    </row>
    <row r="52" spans="1:25" x14ac:dyDescent="0.35">
      <c r="A52" s="49">
        <v>0.25603820614089967</v>
      </c>
      <c r="B52" s="83" t="s">
        <v>45</v>
      </c>
      <c r="C52" s="50">
        <v>3.5863013698630137</v>
      </c>
      <c r="D52" s="50">
        <f t="shared" si="0"/>
        <v>0.55464678209428109</v>
      </c>
      <c r="E52" s="50">
        <v>0</v>
      </c>
      <c r="F52" s="50">
        <v>1.4771212547196624</v>
      </c>
      <c r="G52" s="50">
        <v>2.95</v>
      </c>
      <c r="H52" s="50">
        <f t="shared" si="1"/>
        <v>0.46982201597816303</v>
      </c>
      <c r="I52" s="50">
        <v>0</v>
      </c>
      <c r="J52" s="50">
        <v>0.1553360374650618</v>
      </c>
      <c r="K52" s="50">
        <v>27</v>
      </c>
      <c r="L52" s="50">
        <f t="shared" si="2"/>
        <v>1.4313637641589874</v>
      </c>
      <c r="M52" s="50">
        <v>91.1</v>
      </c>
      <c r="N52" s="50">
        <f t="shared" si="3"/>
        <v>1.9595183769729982</v>
      </c>
      <c r="O52" s="50">
        <v>24.1</v>
      </c>
      <c r="P52" s="50">
        <f t="shared" si="4"/>
        <v>1.3820170425748683</v>
      </c>
      <c r="Q52" s="50">
        <v>40.229046020662899</v>
      </c>
      <c r="R52" s="50">
        <f t="shared" si="5"/>
        <v>1.6045397339663818</v>
      </c>
      <c r="S52" s="50">
        <v>3.2699236952309465</v>
      </c>
      <c r="T52" s="50">
        <v>3.6984415808994222</v>
      </c>
      <c r="U52" s="186">
        <v>1441900000</v>
      </c>
      <c r="V52" s="186">
        <f t="shared" si="6"/>
        <v>9.1589351418299181</v>
      </c>
      <c r="W52" s="50">
        <v>9</v>
      </c>
      <c r="X52" s="102" t="s">
        <v>45</v>
      </c>
      <c r="Y52" s="137">
        <f t="shared" si="7"/>
        <v>0</v>
      </c>
    </row>
    <row r="53" spans="1:25" x14ac:dyDescent="0.35">
      <c r="A53" s="67">
        <v>-2.2663984635943761E-2</v>
      </c>
      <c r="B53" s="52" t="s">
        <v>45</v>
      </c>
      <c r="C53" s="52">
        <v>7.5041095890410956</v>
      </c>
      <c r="D53" s="50">
        <f t="shared" si="0"/>
        <v>0.87529916779748662</v>
      </c>
      <c r="E53" s="52">
        <v>0</v>
      </c>
      <c r="F53" s="52">
        <v>2.0413926851582249</v>
      </c>
      <c r="G53" s="52">
        <v>2.95</v>
      </c>
      <c r="H53" s="50">
        <f t="shared" si="1"/>
        <v>0.46982201597816303</v>
      </c>
      <c r="I53" s="52">
        <v>0</v>
      </c>
      <c r="J53" s="52">
        <v>0.13353890837021748</v>
      </c>
      <c r="K53" s="52">
        <v>20</v>
      </c>
      <c r="L53" s="50">
        <f t="shared" si="2"/>
        <v>1.3010299956639813</v>
      </c>
      <c r="M53" s="52">
        <v>91.4</v>
      </c>
      <c r="N53" s="50">
        <f t="shared" si="3"/>
        <v>1.9609461957338314</v>
      </c>
      <c r="O53" s="52">
        <v>26.7</v>
      </c>
      <c r="P53" s="50">
        <f t="shared" si="4"/>
        <v>1.4265112613645752</v>
      </c>
      <c r="Q53" s="52">
        <v>37.425715444240403</v>
      </c>
      <c r="R53" s="50">
        <f t="shared" si="5"/>
        <v>1.5731701112332821</v>
      </c>
      <c r="S53" s="52">
        <v>3.0958500844125241</v>
      </c>
      <c r="T53" s="52">
        <v>3.5078178355445662</v>
      </c>
      <c r="U53" s="187">
        <v>1475000000</v>
      </c>
      <c r="V53" s="186">
        <f t="shared" si="6"/>
        <v>9.1687920203141822</v>
      </c>
      <c r="W53" s="52">
        <v>1</v>
      </c>
      <c r="X53" s="68" t="s">
        <v>602</v>
      </c>
      <c r="Y53" s="137">
        <f t="shared" si="7"/>
        <v>0</v>
      </c>
    </row>
    <row r="54" spans="1:25" x14ac:dyDescent="0.35">
      <c r="A54" s="49">
        <v>0.24178707955854389</v>
      </c>
      <c r="B54" s="50" t="s">
        <v>2</v>
      </c>
      <c r="C54" s="50">
        <v>4.1041095890410961</v>
      </c>
      <c r="D54" s="50">
        <f t="shared" si="0"/>
        <v>0.61321894890697304</v>
      </c>
      <c r="E54" s="50">
        <v>2.9629325585580042</v>
      </c>
      <c r="F54" s="50">
        <v>2.0453229787866576</v>
      </c>
      <c r="G54" s="50">
        <v>2.62</v>
      </c>
      <c r="H54" s="50">
        <f t="shared" si="1"/>
        <v>0.41830129131974547</v>
      </c>
      <c r="I54" s="50">
        <v>2.9323046139517812</v>
      </c>
      <c r="J54" s="50">
        <v>0.1903316981702915</v>
      </c>
      <c r="K54" s="50">
        <v>36</v>
      </c>
      <c r="L54" s="50">
        <f t="shared" si="2"/>
        <v>1.5563025007672873</v>
      </c>
      <c r="M54" s="50">
        <v>92.1</v>
      </c>
      <c r="N54" s="50">
        <f t="shared" si="3"/>
        <v>1.9642596301968489</v>
      </c>
      <c r="O54" s="50">
        <v>36.799999999999997</v>
      </c>
      <c r="P54" s="50">
        <f t="shared" si="4"/>
        <v>1.5658478186735176</v>
      </c>
      <c r="Q54" s="50">
        <v>44.688349184782602</v>
      </c>
      <c r="R54" s="50">
        <f t="shared" si="5"/>
        <v>1.6501943118503011</v>
      </c>
      <c r="S54" s="50">
        <v>3.0962405795987471</v>
      </c>
      <c r="T54" s="50">
        <v>3.4010931514437841</v>
      </c>
      <c r="U54" s="186">
        <v>1490000000</v>
      </c>
      <c r="V54" s="186">
        <f t="shared" si="6"/>
        <v>9.1731862684122749</v>
      </c>
      <c r="W54" s="50">
        <v>8</v>
      </c>
      <c r="X54" s="66" t="s">
        <v>59</v>
      </c>
      <c r="Y54" s="137">
        <f t="shared" si="7"/>
        <v>1</v>
      </c>
    </row>
    <row r="55" spans="1:25" x14ac:dyDescent="0.35">
      <c r="A55" s="67">
        <v>0.48930931693725965</v>
      </c>
      <c r="B55" s="84" t="s">
        <v>2</v>
      </c>
      <c r="C55" s="52">
        <v>10.597260273972603</v>
      </c>
      <c r="D55" s="50">
        <f t="shared" si="0"/>
        <v>1.0251936009544893</v>
      </c>
      <c r="E55" s="52">
        <v>2.9629325585580042</v>
      </c>
      <c r="F55" s="52">
        <v>1.7481880270062005</v>
      </c>
      <c r="G55" s="52">
        <v>2.62</v>
      </c>
      <c r="H55" s="50">
        <f t="shared" si="1"/>
        <v>0.41830129131974547</v>
      </c>
      <c r="I55" s="52">
        <v>2.9323046139517812</v>
      </c>
      <c r="J55" s="52">
        <v>0.2576785748691845</v>
      </c>
      <c r="K55" s="52">
        <v>38</v>
      </c>
      <c r="L55" s="50">
        <f t="shared" si="2"/>
        <v>1.5797835966168101</v>
      </c>
      <c r="M55" s="52">
        <v>88.9</v>
      </c>
      <c r="N55" s="50">
        <f t="shared" si="3"/>
        <v>1.9489017609702137</v>
      </c>
      <c r="O55" s="52">
        <v>34.9</v>
      </c>
      <c r="P55" s="50">
        <f t="shared" si="4"/>
        <v>1.5428254269591799</v>
      </c>
      <c r="Q55" s="52">
        <v>42.817370475444001</v>
      </c>
      <c r="R55" s="50">
        <f t="shared" si="5"/>
        <v>1.6316199926391717</v>
      </c>
      <c r="S55" s="52">
        <v>3.3070943565685456</v>
      </c>
      <c r="T55" s="52">
        <v>3.5922013861353577</v>
      </c>
      <c r="U55" s="187">
        <v>1490900000</v>
      </c>
      <c r="V55" s="186">
        <f t="shared" si="6"/>
        <v>9.1734485147443152</v>
      </c>
      <c r="W55" s="52">
        <v>3</v>
      </c>
      <c r="X55" s="103" t="s">
        <v>59</v>
      </c>
      <c r="Y55" s="137">
        <f t="shared" si="7"/>
        <v>1</v>
      </c>
    </row>
    <row r="56" spans="1:25" x14ac:dyDescent="0.35">
      <c r="A56" s="49">
        <v>0.27152736859654975</v>
      </c>
      <c r="B56" s="50" t="s">
        <v>2</v>
      </c>
      <c r="C56" s="50">
        <v>2.6273972602739728</v>
      </c>
      <c r="D56" s="50">
        <f t="shared" si="0"/>
        <v>0.41952574271418891</v>
      </c>
      <c r="E56" s="50">
        <v>3.8335760926148099</v>
      </c>
      <c r="F56" s="50">
        <v>2.012837224705172</v>
      </c>
      <c r="G56" s="50">
        <v>2.85</v>
      </c>
      <c r="H56" s="50">
        <f t="shared" si="1"/>
        <v>0.45484486000851021</v>
      </c>
      <c r="I56" s="50">
        <v>2.9138138523837167</v>
      </c>
      <c r="J56" s="50">
        <v>0.16731733474817609</v>
      </c>
      <c r="K56" s="50">
        <v>28</v>
      </c>
      <c r="L56" s="50">
        <f t="shared" si="2"/>
        <v>1.4471580313422192</v>
      </c>
      <c r="M56" s="50">
        <v>90.5</v>
      </c>
      <c r="N56" s="50">
        <f t="shared" si="3"/>
        <v>1.9566485792052033</v>
      </c>
      <c r="O56" s="50">
        <v>36.4</v>
      </c>
      <c r="P56" s="50">
        <f t="shared" si="4"/>
        <v>1.5611013836490559</v>
      </c>
      <c r="Q56" s="50">
        <v>44.295389122127702</v>
      </c>
      <c r="R56" s="50">
        <f t="shared" si="5"/>
        <v>1.6463585211883986</v>
      </c>
      <c r="S56" s="50">
        <v>3.0962405795987471</v>
      </c>
      <c r="T56" s="50">
        <v>3.4010931514437841</v>
      </c>
      <c r="U56" s="186">
        <v>1498410000</v>
      </c>
      <c r="V56" s="186">
        <f t="shared" si="6"/>
        <v>9.1756306627456699</v>
      </c>
      <c r="W56" s="50">
        <v>5</v>
      </c>
      <c r="X56" s="66" t="s">
        <v>45</v>
      </c>
      <c r="Y56" s="137">
        <f t="shared" si="7"/>
        <v>1</v>
      </c>
    </row>
    <row r="57" spans="1:25" x14ac:dyDescent="0.35">
      <c r="A57" s="67">
        <v>-0.22184874961635639</v>
      </c>
      <c r="B57" s="52" t="s">
        <v>45</v>
      </c>
      <c r="C57" s="52">
        <v>4.4712328767123291</v>
      </c>
      <c r="D57" s="50">
        <f t="shared" si="0"/>
        <v>0.65042728996136767</v>
      </c>
      <c r="E57" s="52">
        <v>3.7707754512906644</v>
      </c>
      <c r="F57" s="52">
        <v>1.3617278360175928</v>
      </c>
      <c r="G57" s="52">
        <v>2.3199999999999998</v>
      </c>
      <c r="H57" s="50">
        <f t="shared" si="1"/>
        <v>0.36548798489089962</v>
      </c>
      <c r="I57" s="52">
        <v>2.1238516409670858</v>
      </c>
      <c r="J57" s="52">
        <v>0.21484384804769791</v>
      </c>
      <c r="K57" s="52">
        <v>27</v>
      </c>
      <c r="L57" s="50">
        <f t="shared" si="2"/>
        <v>1.4313637641589874</v>
      </c>
      <c r="M57" s="52">
        <v>91.1</v>
      </c>
      <c r="N57" s="50">
        <f t="shared" si="3"/>
        <v>1.9595183769729982</v>
      </c>
      <c r="O57" s="52">
        <v>24.1</v>
      </c>
      <c r="P57" s="50">
        <f t="shared" si="4"/>
        <v>1.3820170425748683</v>
      </c>
      <c r="Q57" s="52">
        <v>40.229046020662899</v>
      </c>
      <c r="R57" s="50">
        <f t="shared" si="5"/>
        <v>1.6045397339663818</v>
      </c>
      <c r="S57" s="52">
        <v>3.2699236952309461</v>
      </c>
      <c r="T57" s="52">
        <v>3.6984415808994222</v>
      </c>
      <c r="U57" s="187">
        <v>1500000000</v>
      </c>
      <c r="V57" s="186">
        <f t="shared" si="6"/>
        <v>9.1760912590556813</v>
      </c>
      <c r="W57" s="52">
        <v>9</v>
      </c>
      <c r="X57" s="68" t="s">
        <v>577</v>
      </c>
      <c r="Y57" s="137">
        <f t="shared" si="7"/>
        <v>1</v>
      </c>
    </row>
    <row r="58" spans="1:25" x14ac:dyDescent="0.35">
      <c r="A58" s="49">
        <v>0.15829010364906099</v>
      </c>
      <c r="B58" s="50" t="s">
        <v>45</v>
      </c>
      <c r="C58" s="50">
        <v>3.5123287671232877</v>
      </c>
      <c r="D58" s="50">
        <f t="shared" si="0"/>
        <v>0.54559516072632386</v>
      </c>
      <c r="E58" s="50">
        <v>3.8229763963637051</v>
      </c>
      <c r="F58" s="50">
        <v>1.6127838567197355</v>
      </c>
      <c r="G58" s="50">
        <v>3.03</v>
      </c>
      <c r="H58" s="50">
        <f t="shared" si="1"/>
        <v>0.48144262850230496</v>
      </c>
      <c r="I58" s="50">
        <v>2.7113853790984517</v>
      </c>
      <c r="J58" s="50">
        <v>0.14301480025409513</v>
      </c>
      <c r="K58" s="50">
        <v>18</v>
      </c>
      <c r="L58" s="50">
        <f t="shared" si="2"/>
        <v>1.255272505103306</v>
      </c>
      <c r="M58" s="50">
        <v>89.2</v>
      </c>
      <c r="N58" s="50">
        <f t="shared" si="3"/>
        <v>1.9503648543761232</v>
      </c>
      <c r="O58" s="50">
        <v>26</v>
      </c>
      <c r="P58" s="50">
        <f t="shared" si="4"/>
        <v>1.414973347970818</v>
      </c>
      <c r="Q58" s="50">
        <v>38.344872802923099</v>
      </c>
      <c r="R58" s="50">
        <f t="shared" si="5"/>
        <v>1.5837073014724459</v>
      </c>
      <c r="S58" s="50">
        <v>3.1532162502154288</v>
      </c>
      <c r="T58" s="50">
        <v>3.5175748361336181</v>
      </c>
      <c r="U58" s="186">
        <v>1500000000</v>
      </c>
      <c r="V58" s="186">
        <f t="shared" si="6"/>
        <v>9.1760912590556813</v>
      </c>
      <c r="W58" s="50">
        <v>5</v>
      </c>
      <c r="X58" s="66" t="s">
        <v>489</v>
      </c>
      <c r="Y58" s="137">
        <f t="shared" si="7"/>
        <v>1</v>
      </c>
    </row>
    <row r="59" spans="1:25" x14ac:dyDescent="0.35">
      <c r="A59" s="67">
        <v>0.18184358794477254</v>
      </c>
      <c r="B59" s="52" t="s">
        <v>163</v>
      </c>
      <c r="C59" s="52">
        <v>5.2219178082191782</v>
      </c>
      <c r="D59" s="50">
        <f t="shared" si="0"/>
        <v>0.71783003184583294</v>
      </c>
      <c r="E59" s="52">
        <v>0</v>
      </c>
      <c r="F59" s="52">
        <v>1.5314789170422551</v>
      </c>
      <c r="G59" s="52">
        <v>3.18</v>
      </c>
      <c r="H59" s="50">
        <f t="shared" si="1"/>
        <v>0.50242711998443268</v>
      </c>
      <c r="I59" s="52">
        <v>0</v>
      </c>
      <c r="J59" s="52">
        <v>0.23299611039215382</v>
      </c>
      <c r="K59" s="52">
        <v>4</v>
      </c>
      <c r="L59" s="50">
        <f t="shared" si="2"/>
        <v>0.6020599913279624</v>
      </c>
      <c r="M59" s="52">
        <v>70</v>
      </c>
      <c r="N59" s="50">
        <f t="shared" si="3"/>
        <v>1.8450980400142569</v>
      </c>
      <c r="O59" s="52">
        <v>42.4</v>
      </c>
      <c r="P59" s="50">
        <f t="shared" si="4"/>
        <v>1.6273658565927327</v>
      </c>
      <c r="Q59" s="52">
        <v>52.795294707427601</v>
      </c>
      <c r="R59" s="50">
        <f t="shared" si="5"/>
        <v>1.7225952184872551</v>
      </c>
      <c r="S59" s="52">
        <v>3.2258683344006376</v>
      </c>
      <c r="T59" s="52">
        <v>3.9615291321450066</v>
      </c>
      <c r="U59" s="187">
        <v>1500000000</v>
      </c>
      <c r="V59" s="186">
        <f t="shared" si="6"/>
        <v>9.1760912590556813</v>
      </c>
      <c r="W59" s="52">
        <v>5</v>
      </c>
      <c r="X59" s="68" t="s">
        <v>163</v>
      </c>
      <c r="Y59" s="137">
        <f t="shared" si="7"/>
        <v>0</v>
      </c>
    </row>
    <row r="60" spans="1:25" x14ac:dyDescent="0.35">
      <c r="A60" s="49">
        <v>0.22169411325389282</v>
      </c>
      <c r="B60" s="50" t="s">
        <v>45</v>
      </c>
      <c r="C60" s="50">
        <v>3.8328767123287673</v>
      </c>
      <c r="D60" s="50">
        <f t="shared" si="0"/>
        <v>0.58352485003535293</v>
      </c>
      <c r="E60" s="50">
        <v>0</v>
      </c>
      <c r="F60" s="50">
        <v>1.7075701760979363</v>
      </c>
      <c r="G60" s="50">
        <v>2.95</v>
      </c>
      <c r="H60" s="50">
        <f t="shared" si="1"/>
        <v>0.46982201597816303</v>
      </c>
      <c r="I60" s="50">
        <v>0</v>
      </c>
      <c r="J60" s="50">
        <v>0.14921911265537988</v>
      </c>
      <c r="K60" s="50">
        <v>22</v>
      </c>
      <c r="L60" s="50">
        <f t="shared" si="2"/>
        <v>1.3424226808222062</v>
      </c>
      <c r="M60" s="50">
        <v>89.2</v>
      </c>
      <c r="N60" s="50">
        <f t="shared" si="3"/>
        <v>1.9503648543761232</v>
      </c>
      <c r="O60" s="50">
        <v>26</v>
      </c>
      <c r="P60" s="50">
        <f t="shared" si="4"/>
        <v>1.414973347970818</v>
      </c>
      <c r="Q60" s="50">
        <v>38.344872802923099</v>
      </c>
      <c r="R60" s="50">
        <f t="shared" si="5"/>
        <v>1.5837073014724459</v>
      </c>
      <c r="S60" s="50">
        <v>3.1628767233771686</v>
      </c>
      <c r="T60" s="50">
        <v>3.6087947637270492</v>
      </c>
      <c r="U60" s="186">
        <v>1500000000</v>
      </c>
      <c r="V60" s="186">
        <f t="shared" si="6"/>
        <v>9.1760912590556813</v>
      </c>
      <c r="W60" s="50">
        <v>6</v>
      </c>
      <c r="X60" s="66" t="s">
        <v>602</v>
      </c>
      <c r="Y60" s="137">
        <f t="shared" si="7"/>
        <v>0</v>
      </c>
    </row>
    <row r="61" spans="1:25" x14ac:dyDescent="0.35">
      <c r="A61" s="67">
        <v>-2</v>
      </c>
      <c r="B61" s="52" t="s">
        <v>45</v>
      </c>
      <c r="C61" s="52">
        <v>5.8876712328767127</v>
      </c>
      <c r="D61" s="50">
        <f t="shared" si="0"/>
        <v>0.76994355103496859</v>
      </c>
      <c r="E61" s="52">
        <v>0</v>
      </c>
      <c r="F61" s="52">
        <v>1.7323937598229686</v>
      </c>
      <c r="G61" s="52">
        <v>2.95</v>
      </c>
      <c r="H61" s="50">
        <f t="shared" si="1"/>
        <v>0.46982201597816303</v>
      </c>
      <c r="I61" s="52">
        <v>0</v>
      </c>
      <c r="J61" s="52">
        <v>-2.2276394711152253E-2</v>
      </c>
      <c r="K61" s="52">
        <v>18</v>
      </c>
      <c r="L61" s="50">
        <f t="shared" si="2"/>
        <v>1.255272505103306</v>
      </c>
      <c r="M61" s="52">
        <v>85</v>
      </c>
      <c r="N61" s="50">
        <f t="shared" si="3"/>
        <v>1.9294189257142926</v>
      </c>
      <c r="O61" s="52">
        <v>24.4</v>
      </c>
      <c r="P61" s="50">
        <f t="shared" si="4"/>
        <v>1.3873898263387294</v>
      </c>
      <c r="Q61" s="52">
        <v>37.256914365427299</v>
      </c>
      <c r="R61" s="50">
        <f t="shared" si="5"/>
        <v>1.5712068835833228</v>
      </c>
      <c r="S61" s="52">
        <v>3.3647319918335836</v>
      </c>
      <c r="T61" s="52">
        <v>3.568659604598353</v>
      </c>
      <c r="U61" s="187">
        <v>1501910000</v>
      </c>
      <c r="V61" s="186">
        <f t="shared" si="6"/>
        <v>9.1766439089168497</v>
      </c>
      <c r="W61" s="52">
        <v>4</v>
      </c>
      <c r="X61" s="68" t="s">
        <v>602</v>
      </c>
      <c r="Y61" s="137">
        <f t="shared" si="7"/>
        <v>0</v>
      </c>
    </row>
    <row r="62" spans="1:25" x14ac:dyDescent="0.35">
      <c r="A62" s="49">
        <v>0.48544945131148998</v>
      </c>
      <c r="B62" s="83" t="s">
        <v>45</v>
      </c>
      <c r="C62" s="50">
        <v>2.419178082191781</v>
      </c>
      <c r="D62" s="50">
        <f t="shared" si="0"/>
        <v>0.38366783912109392</v>
      </c>
      <c r="E62" s="50">
        <v>0</v>
      </c>
      <c r="F62" s="50">
        <v>1.0413926851582251</v>
      </c>
      <c r="G62" s="50">
        <v>2.95</v>
      </c>
      <c r="H62" s="50">
        <f t="shared" si="1"/>
        <v>0.46982201597816303</v>
      </c>
      <c r="I62" s="50">
        <v>0</v>
      </c>
      <c r="J62" s="50">
        <v>0.11058971029924898</v>
      </c>
      <c r="K62" s="50">
        <v>16</v>
      </c>
      <c r="L62" s="50">
        <f t="shared" si="2"/>
        <v>1.2041199826559248</v>
      </c>
      <c r="M62" s="50">
        <v>84.7</v>
      </c>
      <c r="N62" s="50">
        <f t="shared" si="3"/>
        <v>1.927883410330707</v>
      </c>
      <c r="O62" s="50">
        <v>25.9</v>
      </c>
      <c r="P62" s="50">
        <f t="shared" si="4"/>
        <v>1.4132997640812519</v>
      </c>
      <c r="Q62" s="50">
        <v>38.207924771594499</v>
      </c>
      <c r="R62" s="50">
        <f t="shared" si="5"/>
        <v>1.5821534500223446</v>
      </c>
      <c r="S62" s="50">
        <v>3.8138923126200468</v>
      </c>
      <c r="T62" s="50">
        <v>3.9458684738355512</v>
      </c>
      <c r="U62" s="186">
        <v>1553260000</v>
      </c>
      <c r="V62" s="186">
        <f t="shared" si="6"/>
        <v>9.1912441583133759</v>
      </c>
      <c r="W62" s="50">
        <v>4</v>
      </c>
      <c r="X62" s="102" t="s">
        <v>45</v>
      </c>
      <c r="Y62" s="137">
        <f t="shared" si="7"/>
        <v>0</v>
      </c>
    </row>
    <row r="63" spans="1:25" x14ac:dyDescent="0.35">
      <c r="A63" s="67">
        <v>-0.38021124171160592</v>
      </c>
      <c r="B63" s="52" t="s">
        <v>2</v>
      </c>
      <c r="C63" s="52">
        <v>6.1753424657534248</v>
      </c>
      <c r="D63" s="50">
        <f t="shared" si="0"/>
        <v>0.79066104725361308</v>
      </c>
      <c r="E63" s="52">
        <v>0</v>
      </c>
      <c r="F63" s="52">
        <v>1</v>
      </c>
      <c r="G63" s="52">
        <v>3.5</v>
      </c>
      <c r="H63" s="50">
        <f t="shared" si="1"/>
        <v>0.54406804435027567</v>
      </c>
      <c r="I63" s="52">
        <v>0</v>
      </c>
      <c r="J63" s="52">
        <v>7.1882007306125359E-2</v>
      </c>
      <c r="K63" s="52">
        <v>9</v>
      </c>
      <c r="L63" s="50">
        <f t="shared" si="2"/>
        <v>0.95424250943932487</v>
      </c>
      <c r="M63" s="52">
        <v>88.9</v>
      </c>
      <c r="N63" s="50">
        <f t="shared" si="3"/>
        <v>1.9489017609702137</v>
      </c>
      <c r="O63" s="52">
        <v>34.9</v>
      </c>
      <c r="P63" s="50">
        <f t="shared" si="4"/>
        <v>1.5428254269591799</v>
      </c>
      <c r="Q63" s="52">
        <v>42.817370475444001</v>
      </c>
      <c r="R63" s="50">
        <f t="shared" si="5"/>
        <v>1.6316199926391717</v>
      </c>
      <c r="S63" s="52">
        <v>3.9690067974360175</v>
      </c>
      <c r="T63" s="52">
        <v>3.6622275530882837</v>
      </c>
      <c r="U63" s="187">
        <v>1560000000</v>
      </c>
      <c r="V63" s="186">
        <f t="shared" si="6"/>
        <v>9.1931245983544621</v>
      </c>
      <c r="W63" s="52">
        <v>1</v>
      </c>
      <c r="X63" s="68" t="s">
        <v>2</v>
      </c>
      <c r="Y63" s="137">
        <f t="shared" si="7"/>
        <v>0</v>
      </c>
    </row>
    <row r="64" spans="1:25" x14ac:dyDescent="0.35">
      <c r="A64" s="49">
        <v>-2</v>
      </c>
      <c r="B64" s="83" t="s">
        <v>59</v>
      </c>
      <c r="C64" s="50">
        <v>4.8136986301369866</v>
      </c>
      <c r="D64" s="50">
        <f t="shared" si="0"/>
        <v>0.68247889703882025</v>
      </c>
      <c r="E64" s="50">
        <v>0</v>
      </c>
      <c r="F64" s="50">
        <v>1.9867717342662448</v>
      </c>
      <c r="G64" s="50">
        <v>3.29</v>
      </c>
      <c r="H64" s="50">
        <f t="shared" si="1"/>
        <v>0.51719589794997434</v>
      </c>
      <c r="I64" s="50">
        <v>0</v>
      </c>
      <c r="J64" s="50">
        <v>2.5305865264770262E-2</v>
      </c>
      <c r="K64" s="50">
        <v>40</v>
      </c>
      <c r="L64" s="50">
        <f t="shared" si="2"/>
        <v>1.6020599913279623</v>
      </c>
      <c r="M64" s="50">
        <v>90.8</v>
      </c>
      <c r="N64" s="50">
        <f t="shared" si="3"/>
        <v>1.958085848521085</v>
      </c>
      <c r="O64" s="50">
        <v>32.299999999999997</v>
      </c>
      <c r="P64" s="50">
        <f t="shared" si="4"/>
        <v>1.5092025223311027</v>
      </c>
      <c r="Q64" s="50">
        <v>44.4007960521485</v>
      </c>
      <c r="R64" s="50">
        <f t="shared" si="5"/>
        <v>1.6473907565550749</v>
      </c>
      <c r="S64" s="50">
        <v>3.1944263938906516</v>
      </c>
      <c r="T64" s="50">
        <v>3.9270969452030209</v>
      </c>
      <c r="U64" s="186">
        <v>1570750000</v>
      </c>
      <c r="V64" s="186">
        <f t="shared" si="6"/>
        <v>9.1961070683879775</v>
      </c>
      <c r="W64" s="50">
        <v>1</v>
      </c>
      <c r="X64" s="102" t="s">
        <v>59</v>
      </c>
      <c r="Y64" s="137">
        <f t="shared" si="7"/>
        <v>0</v>
      </c>
    </row>
    <row r="65" spans="1:25" x14ac:dyDescent="0.35">
      <c r="A65" s="67">
        <v>9.4166166872442655E-2</v>
      </c>
      <c r="B65" s="52" t="s">
        <v>163</v>
      </c>
      <c r="C65" s="52">
        <v>4.8767123287671232</v>
      </c>
      <c r="D65" s="50">
        <f t="shared" si="0"/>
        <v>0.6881271378524193</v>
      </c>
      <c r="E65" s="52">
        <v>2.5362300726332561</v>
      </c>
      <c r="F65" s="52">
        <v>1.6020599913279623</v>
      </c>
      <c r="G65" s="52">
        <v>2.3199999999999998</v>
      </c>
      <c r="H65" s="50">
        <f t="shared" si="1"/>
        <v>0.36548798489089962</v>
      </c>
      <c r="I65" s="52">
        <v>2.756001823801419</v>
      </c>
      <c r="J65" s="52">
        <v>0.20139712432045145</v>
      </c>
      <c r="K65" s="52">
        <v>27</v>
      </c>
      <c r="L65" s="50">
        <f t="shared" si="2"/>
        <v>1.4313637641589874</v>
      </c>
      <c r="M65" s="52">
        <v>85.6</v>
      </c>
      <c r="N65" s="50">
        <f t="shared" si="3"/>
        <v>1.9324737646771533</v>
      </c>
      <c r="O65" s="52">
        <v>43.3</v>
      </c>
      <c r="P65" s="50">
        <f t="shared" si="4"/>
        <v>1.6364878963533653</v>
      </c>
      <c r="Q65" s="52">
        <v>56.2907330998475</v>
      </c>
      <c r="R65" s="50">
        <f t="shared" si="5"/>
        <v>1.750436904711814</v>
      </c>
      <c r="S65" s="52">
        <v>3.25553976325445</v>
      </c>
      <c r="T65" s="52">
        <v>3.9251377454872847</v>
      </c>
      <c r="U65" s="187">
        <v>1629390589</v>
      </c>
      <c r="V65" s="186">
        <f t="shared" si="6"/>
        <v>9.2120252035929049</v>
      </c>
      <c r="W65" s="52">
        <v>6</v>
      </c>
      <c r="X65" s="68" t="s">
        <v>577</v>
      </c>
      <c r="Y65" s="137">
        <f t="shared" si="7"/>
        <v>1</v>
      </c>
    </row>
    <row r="66" spans="1:25" x14ac:dyDescent="0.35">
      <c r="A66" s="49">
        <v>4.0407472475622833E-2</v>
      </c>
      <c r="B66" s="83" t="s">
        <v>45</v>
      </c>
      <c r="C66" s="50">
        <v>6.9452054794520546</v>
      </c>
      <c r="D66" s="50">
        <f t="shared" si="0"/>
        <v>0.84168509921288004</v>
      </c>
      <c r="E66" s="50">
        <v>0</v>
      </c>
      <c r="F66" s="50">
        <v>1.5797835966168101</v>
      </c>
      <c r="G66" s="50">
        <v>2.95</v>
      </c>
      <c r="H66" s="50">
        <f t="shared" si="1"/>
        <v>0.46982201597816303</v>
      </c>
      <c r="I66" s="50">
        <v>0</v>
      </c>
      <c r="J66" s="50">
        <v>8.2785370316450071E-2</v>
      </c>
      <c r="K66" s="50">
        <v>14</v>
      </c>
      <c r="L66" s="50">
        <f t="shared" si="2"/>
        <v>1.146128035678238</v>
      </c>
      <c r="M66" s="50">
        <v>93.2</v>
      </c>
      <c r="N66" s="50">
        <f t="shared" si="3"/>
        <v>1.9694159123539814</v>
      </c>
      <c r="O66" s="50">
        <v>26.7</v>
      </c>
      <c r="P66" s="50">
        <f t="shared" si="4"/>
        <v>1.4265112613645752</v>
      </c>
      <c r="Q66" s="50">
        <v>36.669158714517401</v>
      </c>
      <c r="R66" s="50">
        <f t="shared" si="5"/>
        <v>1.5643009462345601</v>
      </c>
      <c r="S66" s="50">
        <v>3.172065461283164</v>
      </c>
      <c r="T66" s="50">
        <v>3.9004119035914964</v>
      </c>
      <c r="U66" s="186">
        <v>1640080000</v>
      </c>
      <c r="V66" s="186">
        <f t="shared" si="6"/>
        <v>9.2148650326276833</v>
      </c>
      <c r="W66" s="50">
        <v>5</v>
      </c>
      <c r="X66" s="102" t="s">
        <v>45</v>
      </c>
      <c r="Y66" s="137">
        <f t="shared" si="7"/>
        <v>0</v>
      </c>
    </row>
    <row r="67" spans="1:25" x14ac:dyDescent="0.35">
      <c r="A67" s="67">
        <v>0.24610747106817404</v>
      </c>
      <c r="B67" s="52" t="s">
        <v>45</v>
      </c>
      <c r="C67" s="52">
        <v>5.2164383561643834</v>
      </c>
      <c r="D67" s="50">
        <f t="shared" ref="D67:D130" si="8">LOG(C67)</f>
        <v>0.71737407959198085</v>
      </c>
      <c r="E67" s="52">
        <v>0</v>
      </c>
      <c r="F67" s="52">
        <v>1.6434526764861874</v>
      </c>
      <c r="G67" s="52">
        <v>2.95</v>
      </c>
      <c r="H67" s="50">
        <f t="shared" ref="H67:H130" si="9">LOG(G67)</f>
        <v>0.46982201597816303</v>
      </c>
      <c r="I67" s="52">
        <v>0</v>
      </c>
      <c r="J67" s="52">
        <v>0.3010299956639812</v>
      </c>
      <c r="K67" s="52">
        <v>33</v>
      </c>
      <c r="L67" s="50">
        <f t="shared" ref="L67:L130" si="10">IF(K67=0,0,LOG(K67))</f>
        <v>1.5185139398778875</v>
      </c>
      <c r="M67" s="52">
        <v>91.9</v>
      </c>
      <c r="N67" s="50">
        <f t="shared" ref="N67:N130" si="11">LOG(M67)</f>
        <v>1.9633155113861114</v>
      </c>
      <c r="O67" s="52">
        <v>23</v>
      </c>
      <c r="P67" s="50">
        <f t="shared" ref="P67:P130" si="12">LOG(O67)</f>
        <v>1.3617278360175928</v>
      </c>
      <c r="Q67" s="52">
        <v>43.262530407091703</v>
      </c>
      <c r="R67" s="50">
        <f t="shared" ref="R67:R130" si="13">LOG(Q67)</f>
        <v>1.636111917546391</v>
      </c>
      <c r="S67" s="52">
        <v>3.0687415514991745</v>
      </c>
      <c r="T67" s="52">
        <v>3.5297005493117593</v>
      </c>
      <c r="U67" s="187">
        <v>1650000000</v>
      </c>
      <c r="V67" s="186">
        <f t="shared" ref="V67:V130" si="14">LOG(U67)</f>
        <v>9.2174839442139067</v>
      </c>
      <c r="W67" s="52">
        <v>1</v>
      </c>
      <c r="X67" s="68" t="s">
        <v>45</v>
      </c>
      <c r="Y67" s="137">
        <f t="shared" ref="Y67:Y130" si="15">IF(E67=0,0,1)</f>
        <v>0</v>
      </c>
    </row>
    <row r="68" spans="1:25" x14ac:dyDescent="0.35">
      <c r="A68" s="49">
        <v>-2</v>
      </c>
      <c r="B68" s="50" t="s">
        <v>45</v>
      </c>
      <c r="C68" s="50">
        <v>3.6356164383561644</v>
      </c>
      <c r="D68" s="50">
        <f t="shared" si="8"/>
        <v>0.56057805840796082</v>
      </c>
      <c r="E68" s="50">
        <v>0</v>
      </c>
      <c r="F68" s="50">
        <v>2.0899051114393981</v>
      </c>
      <c r="G68" s="50">
        <v>2.95</v>
      </c>
      <c r="H68" s="50">
        <f t="shared" si="9"/>
        <v>0.46982201597816303</v>
      </c>
      <c r="I68" s="50">
        <v>0</v>
      </c>
      <c r="J68" s="50">
        <v>-0.15490195998574319</v>
      </c>
      <c r="K68" s="50">
        <v>18</v>
      </c>
      <c r="L68" s="50">
        <f t="shared" si="10"/>
        <v>1.255272505103306</v>
      </c>
      <c r="M68" s="50">
        <v>85</v>
      </c>
      <c r="N68" s="50">
        <f t="shared" si="11"/>
        <v>1.9294189257142926</v>
      </c>
      <c r="O68" s="50">
        <v>25.9</v>
      </c>
      <c r="P68" s="50">
        <f t="shared" si="12"/>
        <v>1.4132997640812519</v>
      </c>
      <c r="Q68" s="50">
        <v>36.959146749272797</v>
      </c>
      <c r="R68" s="50">
        <f t="shared" si="13"/>
        <v>1.5677219364019672</v>
      </c>
      <c r="S68" s="50">
        <v>3.0958500844125241</v>
      </c>
      <c r="T68" s="50">
        <v>3.5078178355445662</v>
      </c>
      <c r="U68" s="186">
        <v>1650000000</v>
      </c>
      <c r="V68" s="186">
        <f t="shared" si="14"/>
        <v>9.2174839442139067</v>
      </c>
      <c r="W68" s="50">
        <v>4</v>
      </c>
      <c r="X68" s="66" t="s">
        <v>602</v>
      </c>
      <c r="Y68" s="137">
        <f t="shared" si="15"/>
        <v>0</v>
      </c>
    </row>
    <row r="69" spans="1:25" x14ac:dyDescent="0.35">
      <c r="A69" s="67">
        <v>0.29589035601157015</v>
      </c>
      <c r="B69" s="52" t="s">
        <v>45</v>
      </c>
      <c r="C69" s="52">
        <v>4.3890410958904109</v>
      </c>
      <c r="D69" s="50">
        <f t="shared" si="8"/>
        <v>0.64236964729174417</v>
      </c>
      <c r="E69" s="52">
        <v>0</v>
      </c>
      <c r="F69" s="52">
        <v>1.9242792860618816</v>
      </c>
      <c r="G69" s="52">
        <v>2.95</v>
      </c>
      <c r="H69" s="50">
        <f t="shared" si="9"/>
        <v>0.46982201597816303</v>
      </c>
      <c r="I69" s="52">
        <v>0</v>
      </c>
      <c r="J69" s="52">
        <v>0.17897694729316943</v>
      </c>
      <c r="K69" s="52">
        <v>17</v>
      </c>
      <c r="L69" s="50">
        <f t="shared" si="10"/>
        <v>1.2304489213782739</v>
      </c>
      <c r="M69" s="52">
        <v>85</v>
      </c>
      <c r="N69" s="50">
        <f t="shared" si="11"/>
        <v>1.9294189257142926</v>
      </c>
      <c r="O69" s="52">
        <v>24.9</v>
      </c>
      <c r="P69" s="50">
        <f t="shared" si="12"/>
        <v>1.3961993470957363</v>
      </c>
      <c r="Q69" s="52">
        <v>36.710134890601303</v>
      </c>
      <c r="R69" s="50">
        <f t="shared" si="13"/>
        <v>1.564785980312654</v>
      </c>
      <c r="S69" s="52">
        <v>3.3647319918335836</v>
      </c>
      <c r="T69" s="52">
        <v>3.568659604598353</v>
      </c>
      <c r="U69" s="187">
        <v>1700000000</v>
      </c>
      <c r="V69" s="186">
        <f t="shared" si="14"/>
        <v>9.2304489213782741</v>
      </c>
      <c r="W69" s="52">
        <v>4</v>
      </c>
      <c r="X69" s="68" t="s">
        <v>45</v>
      </c>
      <c r="Y69" s="137">
        <f t="shared" si="15"/>
        <v>0</v>
      </c>
    </row>
    <row r="70" spans="1:25" x14ac:dyDescent="0.35">
      <c r="A70" s="49">
        <v>0.13127891463931898</v>
      </c>
      <c r="B70" s="50" t="s">
        <v>5</v>
      </c>
      <c r="C70" s="50">
        <v>2.6657534246575341</v>
      </c>
      <c r="D70" s="50">
        <f t="shared" si="8"/>
        <v>0.42581997581187719</v>
      </c>
      <c r="E70" s="50">
        <v>3.7916829312790057</v>
      </c>
      <c r="F70" s="50">
        <v>0</v>
      </c>
      <c r="G70" s="50">
        <v>2.72</v>
      </c>
      <c r="H70" s="50">
        <f t="shared" si="9"/>
        <v>0.43456890403419873</v>
      </c>
      <c r="I70" s="50">
        <v>3.0355631414974997</v>
      </c>
      <c r="J70" s="50">
        <v>8.6359830674748214E-2</v>
      </c>
      <c r="K70" s="50">
        <v>36</v>
      </c>
      <c r="L70" s="50">
        <f t="shared" si="10"/>
        <v>1.5563025007672873</v>
      </c>
      <c r="M70" s="50">
        <v>89.7</v>
      </c>
      <c r="N70" s="50">
        <f t="shared" si="11"/>
        <v>1.9527924430440922</v>
      </c>
      <c r="O70" s="50">
        <v>37</v>
      </c>
      <c r="P70" s="50">
        <f t="shared" si="12"/>
        <v>1.568201724066995</v>
      </c>
      <c r="Q70" s="50">
        <v>45.741556971826803</v>
      </c>
      <c r="R70" s="50">
        <f t="shared" si="13"/>
        <v>1.660310943234538</v>
      </c>
      <c r="S70" s="50">
        <v>3.3075667315086759</v>
      </c>
      <c r="T70" s="50">
        <v>3.8308810053047755</v>
      </c>
      <c r="U70" s="186">
        <v>1700000000</v>
      </c>
      <c r="V70" s="186">
        <f t="shared" si="14"/>
        <v>9.2304489213782741</v>
      </c>
      <c r="W70" s="50">
        <v>8</v>
      </c>
      <c r="X70" s="66" t="s">
        <v>45</v>
      </c>
      <c r="Y70" s="137">
        <f t="shared" si="15"/>
        <v>1</v>
      </c>
    </row>
    <row r="71" spans="1:25" x14ac:dyDescent="0.35">
      <c r="A71" s="67">
        <v>0.3997785728774681</v>
      </c>
      <c r="B71" s="52" t="s">
        <v>163</v>
      </c>
      <c r="C71" s="52">
        <v>6.3342465753424655</v>
      </c>
      <c r="D71" s="50">
        <f t="shared" si="8"/>
        <v>0.80169496529201667</v>
      </c>
      <c r="E71" s="52">
        <v>3.7899753459779522</v>
      </c>
      <c r="F71" s="52">
        <v>0.3010299956639812</v>
      </c>
      <c r="G71" s="52">
        <v>3.18</v>
      </c>
      <c r="H71" s="50">
        <f t="shared" si="9"/>
        <v>0.50242711998443268</v>
      </c>
      <c r="I71" s="52">
        <v>2.7670321178317625</v>
      </c>
      <c r="J71" s="52">
        <v>0.16731733474817609</v>
      </c>
      <c r="K71" s="52">
        <v>21</v>
      </c>
      <c r="L71" s="50">
        <f t="shared" si="10"/>
        <v>1.3222192947339193</v>
      </c>
      <c r="M71" s="52">
        <v>88</v>
      </c>
      <c r="N71" s="50">
        <f t="shared" si="11"/>
        <v>1.9444826721501687</v>
      </c>
      <c r="O71" s="52">
        <v>42.3</v>
      </c>
      <c r="P71" s="50">
        <f t="shared" si="12"/>
        <v>1.6263403673750423</v>
      </c>
      <c r="Q71" s="52">
        <v>53.296308937050199</v>
      </c>
      <c r="R71" s="50">
        <f t="shared" si="13"/>
        <v>1.7266971327830685</v>
      </c>
      <c r="S71" s="52">
        <v>3.0958500844125241</v>
      </c>
      <c r="T71" s="52">
        <v>3.5078178355445662</v>
      </c>
      <c r="U71" s="187">
        <v>1716000000</v>
      </c>
      <c r="V71" s="186">
        <f t="shared" si="14"/>
        <v>9.2345172835126874</v>
      </c>
      <c r="W71" s="52">
        <v>4</v>
      </c>
      <c r="X71" s="68" t="s">
        <v>602</v>
      </c>
      <c r="Y71" s="137">
        <f t="shared" si="15"/>
        <v>1</v>
      </c>
    </row>
    <row r="72" spans="1:25" x14ac:dyDescent="0.35">
      <c r="A72" s="49">
        <v>0.15772854466068537</v>
      </c>
      <c r="B72" s="50" t="s">
        <v>59</v>
      </c>
      <c r="C72" s="50">
        <v>9.6438356164383556</v>
      </c>
      <c r="D72" s="50">
        <f t="shared" si="8"/>
        <v>0.98424979902165632</v>
      </c>
      <c r="E72" s="50">
        <v>3.7707754512906644</v>
      </c>
      <c r="F72" s="50">
        <v>0.90308998699194354</v>
      </c>
      <c r="G72" s="50">
        <v>2.3199999999999998</v>
      </c>
      <c r="H72" s="50">
        <f t="shared" si="9"/>
        <v>0.36548798489089962</v>
      </c>
      <c r="I72" s="50">
        <v>2.1238516409670858</v>
      </c>
      <c r="J72" s="50">
        <v>0.2355284469075489</v>
      </c>
      <c r="K72" s="50">
        <v>20</v>
      </c>
      <c r="L72" s="50">
        <f t="shared" si="10"/>
        <v>1.3010299956639813</v>
      </c>
      <c r="M72" s="50">
        <v>85</v>
      </c>
      <c r="N72" s="50">
        <f t="shared" si="11"/>
        <v>1.9294189257142926</v>
      </c>
      <c r="O72" s="50">
        <v>32.700000000000003</v>
      </c>
      <c r="P72" s="50">
        <f t="shared" si="12"/>
        <v>1.5145477526602862</v>
      </c>
      <c r="Q72" s="50">
        <v>41.286751495766303</v>
      </c>
      <c r="R72" s="50">
        <f t="shared" si="13"/>
        <v>1.6158107132703448</v>
      </c>
      <c r="S72" s="50">
        <v>3.3647319918335836</v>
      </c>
      <c r="T72" s="50">
        <v>3.568659604598353</v>
      </c>
      <c r="U72" s="186">
        <v>1723361008</v>
      </c>
      <c r="V72" s="186">
        <f t="shared" si="14"/>
        <v>9.2363762625668429</v>
      </c>
      <c r="W72" s="50">
        <v>5</v>
      </c>
      <c r="X72" s="66" t="s">
        <v>602</v>
      </c>
      <c r="Y72" s="137">
        <f t="shared" si="15"/>
        <v>1</v>
      </c>
    </row>
    <row r="73" spans="1:25" x14ac:dyDescent="0.35">
      <c r="A73" s="67">
        <v>-0.1290816677404292</v>
      </c>
      <c r="B73" s="52" t="s">
        <v>59</v>
      </c>
      <c r="C73" s="52">
        <v>11.789041095890411</v>
      </c>
      <c r="D73" s="50">
        <f t="shared" si="8"/>
        <v>1.0714784816260807</v>
      </c>
      <c r="E73" s="52">
        <v>0</v>
      </c>
      <c r="F73" s="52">
        <v>2</v>
      </c>
      <c r="G73" s="52">
        <v>3.29</v>
      </c>
      <c r="H73" s="50">
        <f t="shared" si="9"/>
        <v>0.51719589794997434</v>
      </c>
      <c r="I73" s="52">
        <v>0</v>
      </c>
      <c r="J73" s="52">
        <v>0.27875360095282892</v>
      </c>
      <c r="K73" s="52">
        <v>19</v>
      </c>
      <c r="L73" s="50">
        <f t="shared" si="10"/>
        <v>1.2787536009528289</v>
      </c>
      <c r="M73" s="52">
        <v>85</v>
      </c>
      <c r="N73" s="50">
        <f t="shared" si="11"/>
        <v>1.9294189257142926</v>
      </c>
      <c r="O73" s="52">
        <v>32.299999999999997</v>
      </c>
      <c r="P73" s="50">
        <f t="shared" si="12"/>
        <v>1.5092025223311027</v>
      </c>
      <c r="Q73" s="52">
        <v>40.040400531970803</v>
      </c>
      <c r="R73" s="50">
        <f t="shared" si="13"/>
        <v>1.6024984131617945</v>
      </c>
      <c r="S73" s="52">
        <v>3.2699236952309465</v>
      </c>
      <c r="T73" s="52">
        <v>3.6984415808994222</v>
      </c>
      <c r="U73" s="187">
        <v>1750000000</v>
      </c>
      <c r="V73" s="186">
        <f t="shared" si="14"/>
        <v>9.2430380486862944</v>
      </c>
      <c r="W73" s="52">
        <v>5</v>
      </c>
      <c r="X73" s="68" t="s">
        <v>577</v>
      </c>
      <c r="Y73" s="137">
        <f t="shared" si="15"/>
        <v>0</v>
      </c>
    </row>
    <row r="74" spans="1:25" x14ac:dyDescent="0.35">
      <c r="A74" s="49">
        <v>0.369313416884544</v>
      </c>
      <c r="B74" s="50" t="s">
        <v>45</v>
      </c>
      <c r="C74" s="50">
        <v>9.0273972602739718</v>
      </c>
      <c r="D74" s="50">
        <f t="shared" si="8"/>
        <v>0.95556255447355387</v>
      </c>
      <c r="E74" s="50">
        <v>0</v>
      </c>
      <c r="F74" s="50">
        <v>0.90308998699194354</v>
      </c>
      <c r="G74" s="50">
        <v>2.95</v>
      </c>
      <c r="H74" s="50">
        <f t="shared" si="9"/>
        <v>0.46982201597816303</v>
      </c>
      <c r="I74" s="50">
        <v>0</v>
      </c>
      <c r="J74" s="50">
        <v>0.18469143081759881</v>
      </c>
      <c r="K74" s="50">
        <v>19</v>
      </c>
      <c r="L74" s="50">
        <f t="shared" si="10"/>
        <v>1.2787536009528289</v>
      </c>
      <c r="M74" s="50">
        <v>85</v>
      </c>
      <c r="N74" s="50">
        <f t="shared" si="11"/>
        <v>1.9294189257142926</v>
      </c>
      <c r="O74" s="50">
        <v>24.6</v>
      </c>
      <c r="P74" s="50">
        <f t="shared" si="12"/>
        <v>1.3909351071033791</v>
      </c>
      <c r="Q74" s="50">
        <v>36.876470987978301</v>
      </c>
      <c r="R74" s="50">
        <f t="shared" si="13"/>
        <v>1.5667493531684615</v>
      </c>
      <c r="S74" s="50">
        <v>3.3647319918335836</v>
      </c>
      <c r="T74" s="50">
        <v>3.568659604598353</v>
      </c>
      <c r="U74" s="186">
        <v>1750000000</v>
      </c>
      <c r="V74" s="186">
        <f t="shared" si="14"/>
        <v>9.2430380486862944</v>
      </c>
      <c r="W74" s="50">
        <v>2</v>
      </c>
      <c r="X74" s="66" t="s">
        <v>602</v>
      </c>
      <c r="Y74" s="137">
        <f t="shared" si="15"/>
        <v>0</v>
      </c>
    </row>
    <row r="75" spans="1:25" x14ac:dyDescent="0.35">
      <c r="A75" s="67">
        <v>-9.2529421534301021E-2</v>
      </c>
      <c r="B75" s="52" t="s">
        <v>2</v>
      </c>
      <c r="C75" s="52">
        <v>1.1808219178082191</v>
      </c>
      <c r="D75" s="50">
        <f t="shared" si="8"/>
        <v>7.2184405704256868E-2</v>
      </c>
      <c r="E75" s="52">
        <v>3.8335760926148099</v>
      </c>
      <c r="F75" s="52">
        <v>1.8450980400142569</v>
      </c>
      <c r="G75" s="52">
        <v>2.85</v>
      </c>
      <c r="H75" s="50">
        <f t="shared" si="9"/>
        <v>0.45484486000851021</v>
      </c>
      <c r="I75" s="52">
        <v>2.9138138523837167</v>
      </c>
      <c r="J75" s="52">
        <v>4.1392685158225077E-2</v>
      </c>
      <c r="K75" s="52">
        <v>27</v>
      </c>
      <c r="L75" s="50">
        <f t="shared" si="10"/>
        <v>1.4313637641589874</v>
      </c>
      <c r="M75" s="52">
        <v>70</v>
      </c>
      <c r="N75" s="50">
        <f t="shared" si="11"/>
        <v>1.8450980400142569</v>
      </c>
      <c r="O75" s="52">
        <v>34.6</v>
      </c>
      <c r="P75" s="50">
        <f t="shared" si="12"/>
        <v>1.5390760987927767</v>
      </c>
      <c r="Q75" s="52">
        <v>47.8156192569637</v>
      </c>
      <c r="R75" s="50">
        <f t="shared" si="13"/>
        <v>1.6795697846681461</v>
      </c>
      <c r="S75" s="52">
        <v>3.0687415514991745</v>
      </c>
      <c r="T75" s="52">
        <v>3.5297005493117593</v>
      </c>
      <c r="U75" s="187">
        <v>1770884221</v>
      </c>
      <c r="V75" s="186">
        <f t="shared" si="14"/>
        <v>9.248190168290872</v>
      </c>
      <c r="W75" s="52">
        <v>1</v>
      </c>
      <c r="X75" s="68" t="s">
        <v>45</v>
      </c>
      <c r="Y75" s="137">
        <f t="shared" si="15"/>
        <v>1</v>
      </c>
    </row>
    <row r="76" spans="1:25" x14ac:dyDescent="0.35">
      <c r="A76" s="49">
        <v>0.40900802354176158</v>
      </c>
      <c r="B76" s="50" t="s">
        <v>45</v>
      </c>
      <c r="C76" s="50">
        <v>9.2958904109589042</v>
      </c>
      <c r="D76" s="50">
        <f t="shared" si="8"/>
        <v>0.96829099518864303</v>
      </c>
      <c r="E76" s="50">
        <v>0</v>
      </c>
      <c r="F76" s="50">
        <v>1.6232492903979006</v>
      </c>
      <c r="G76" s="50">
        <v>2.95</v>
      </c>
      <c r="H76" s="50">
        <f t="shared" si="9"/>
        <v>0.46982201597816303</v>
      </c>
      <c r="I76" s="50">
        <v>0</v>
      </c>
      <c r="J76" s="50">
        <v>0.12710479836480765</v>
      </c>
      <c r="K76" s="50">
        <v>14</v>
      </c>
      <c r="L76" s="50">
        <f t="shared" si="10"/>
        <v>1.146128035678238</v>
      </c>
      <c r="M76" s="50">
        <v>93.2</v>
      </c>
      <c r="N76" s="50">
        <f t="shared" si="11"/>
        <v>1.9694159123539814</v>
      </c>
      <c r="O76" s="50">
        <v>26.7</v>
      </c>
      <c r="P76" s="50">
        <f t="shared" si="12"/>
        <v>1.4265112613645752</v>
      </c>
      <c r="Q76" s="50">
        <v>36.669158714517401</v>
      </c>
      <c r="R76" s="50">
        <f t="shared" si="13"/>
        <v>1.5643009462345601</v>
      </c>
      <c r="S76" s="50">
        <v>3.1628767233771686</v>
      </c>
      <c r="T76" s="50">
        <v>3.6087947637270492</v>
      </c>
      <c r="U76" s="186">
        <v>1793700000</v>
      </c>
      <c r="V76" s="186">
        <f t="shared" si="14"/>
        <v>9.253749808139812</v>
      </c>
      <c r="W76" s="50">
        <v>5</v>
      </c>
      <c r="X76" s="66" t="s">
        <v>602</v>
      </c>
      <c r="Y76" s="137">
        <f t="shared" si="15"/>
        <v>0</v>
      </c>
    </row>
    <row r="77" spans="1:25" x14ac:dyDescent="0.35">
      <c r="A77" s="67">
        <v>0.18247805771708187</v>
      </c>
      <c r="B77" s="52" t="s">
        <v>2</v>
      </c>
      <c r="C77" s="52">
        <v>4.3260273972602743</v>
      </c>
      <c r="D77" s="50">
        <f t="shared" si="8"/>
        <v>0.63608926555181955</v>
      </c>
      <c r="E77" s="52">
        <v>3.1189984043805832</v>
      </c>
      <c r="F77" s="52">
        <v>1.0791812460476249</v>
      </c>
      <c r="G77" s="52">
        <v>3.13</v>
      </c>
      <c r="H77" s="50">
        <f t="shared" si="9"/>
        <v>0.49554433754644844</v>
      </c>
      <c r="I77" s="52">
        <v>3.0711452904510828</v>
      </c>
      <c r="J77" s="52">
        <v>0.22271647114758325</v>
      </c>
      <c r="K77" s="52">
        <v>18</v>
      </c>
      <c r="L77" s="50">
        <f t="shared" si="10"/>
        <v>1.255272505103306</v>
      </c>
      <c r="M77" s="52">
        <v>90.5</v>
      </c>
      <c r="N77" s="50">
        <f t="shared" si="11"/>
        <v>1.9566485792052033</v>
      </c>
      <c r="O77" s="52">
        <v>36.4</v>
      </c>
      <c r="P77" s="50">
        <f t="shared" si="12"/>
        <v>1.5611013836490559</v>
      </c>
      <c r="Q77" s="52">
        <v>44.295389122127702</v>
      </c>
      <c r="R77" s="50">
        <f t="shared" si="13"/>
        <v>1.6463585211883986</v>
      </c>
      <c r="S77" s="52">
        <v>3.1616209089088487</v>
      </c>
      <c r="T77" s="52">
        <v>3.7997633234477775</v>
      </c>
      <c r="U77" s="187">
        <v>1800000000</v>
      </c>
      <c r="V77" s="186">
        <f t="shared" si="14"/>
        <v>9.2552725051033065</v>
      </c>
      <c r="W77" s="52">
        <v>2</v>
      </c>
      <c r="X77" s="68" t="s">
        <v>4</v>
      </c>
      <c r="Y77" s="137">
        <f t="shared" si="15"/>
        <v>1</v>
      </c>
    </row>
    <row r="78" spans="1:25" x14ac:dyDescent="0.35">
      <c r="A78" s="49">
        <v>-0.90620748727559275</v>
      </c>
      <c r="B78" s="50" t="s">
        <v>59</v>
      </c>
      <c r="C78" s="50">
        <v>5.9013698630136986</v>
      </c>
      <c r="D78" s="50">
        <f t="shared" si="8"/>
        <v>0.77095283450548813</v>
      </c>
      <c r="E78" s="50">
        <v>3.7707754512906644</v>
      </c>
      <c r="F78" s="50">
        <v>2.2810333672477277</v>
      </c>
      <c r="G78" s="50">
        <v>2.3199999999999998</v>
      </c>
      <c r="H78" s="50">
        <f t="shared" si="9"/>
        <v>0.36548798489089962</v>
      </c>
      <c r="I78" s="50">
        <v>2.1238516409670858</v>
      </c>
      <c r="J78" s="50">
        <v>-8.7739243075051505E-3</v>
      </c>
      <c r="K78" s="50">
        <v>11</v>
      </c>
      <c r="L78" s="50">
        <f t="shared" si="10"/>
        <v>1.0413926851582251</v>
      </c>
      <c r="M78" s="50">
        <v>85</v>
      </c>
      <c r="N78" s="50">
        <f t="shared" si="11"/>
        <v>1.9294189257142926</v>
      </c>
      <c r="O78" s="50">
        <v>31.3</v>
      </c>
      <c r="P78" s="50">
        <f t="shared" si="12"/>
        <v>1.4955443375464486</v>
      </c>
      <c r="Q78" s="50">
        <v>38.7850112673514</v>
      </c>
      <c r="R78" s="50">
        <f t="shared" si="13"/>
        <v>1.5886639219461918</v>
      </c>
      <c r="S78" s="50">
        <v>3.1628767233771686</v>
      </c>
      <c r="T78" s="50">
        <v>3.6087947637270492</v>
      </c>
      <c r="U78" s="186">
        <v>1831500000</v>
      </c>
      <c r="V78" s="186">
        <f t="shared" si="14"/>
        <v>9.2628069230005643</v>
      </c>
      <c r="W78" s="50">
        <v>5</v>
      </c>
      <c r="X78" s="66" t="s">
        <v>602</v>
      </c>
      <c r="Y78" s="137">
        <f t="shared" si="15"/>
        <v>1</v>
      </c>
    </row>
    <row r="79" spans="1:25" x14ac:dyDescent="0.35">
      <c r="A79" s="67">
        <v>0.21695206338669118</v>
      </c>
      <c r="B79" s="52" t="s">
        <v>59</v>
      </c>
      <c r="C79" s="52">
        <v>7.3808219178082188</v>
      </c>
      <c r="D79" s="50">
        <f t="shared" si="8"/>
        <v>0.86810472693049212</v>
      </c>
      <c r="E79" s="52">
        <v>3.7707754512906644</v>
      </c>
      <c r="F79" s="52">
        <v>1.7708520116421442</v>
      </c>
      <c r="G79" s="52">
        <v>2.3199999999999998</v>
      </c>
      <c r="H79" s="50">
        <f t="shared" si="9"/>
        <v>0.36548798489089962</v>
      </c>
      <c r="I79" s="52">
        <v>2.1238516409670858</v>
      </c>
      <c r="J79" s="52">
        <v>0.13033376849500614</v>
      </c>
      <c r="K79" s="52">
        <v>21</v>
      </c>
      <c r="L79" s="50">
        <f t="shared" si="10"/>
        <v>1.3222192947339193</v>
      </c>
      <c r="M79" s="52">
        <v>91.5</v>
      </c>
      <c r="N79" s="50">
        <f t="shared" si="11"/>
        <v>1.9614210940664483</v>
      </c>
      <c r="O79" s="52">
        <v>32.9</v>
      </c>
      <c r="P79" s="50">
        <f t="shared" si="12"/>
        <v>1.5171958979499742</v>
      </c>
      <c r="Q79" s="52">
        <v>40.767390998852598</v>
      </c>
      <c r="R79" s="50">
        <f t="shared" si="13"/>
        <v>1.6103129186864549</v>
      </c>
      <c r="S79" s="52">
        <v>3.3647319918335836</v>
      </c>
      <c r="T79" s="52">
        <v>3.568659604598353</v>
      </c>
      <c r="U79" s="187">
        <v>1864800000</v>
      </c>
      <c r="V79" s="186">
        <f t="shared" si="14"/>
        <v>9.2706322605125209</v>
      </c>
      <c r="W79" s="52">
        <v>7</v>
      </c>
      <c r="X79" s="68" t="s">
        <v>45</v>
      </c>
      <c r="Y79" s="137">
        <f t="shared" si="15"/>
        <v>1</v>
      </c>
    </row>
    <row r="80" spans="1:25" x14ac:dyDescent="0.35">
      <c r="A80" s="49">
        <v>0.62144928996850934</v>
      </c>
      <c r="B80" s="50" t="s">
        <v>45</v>
      </c>
      <c r="C80" s="50">
        <v>2.9095890410958902</v>
      </c>
      <c r="D80" s="50">
        <f t="shared" si="8"/>
        <v>0.46383165228897555</v>
      </c>
      <c r="E80" s="50">
        <v>0</v>
      </c>
      <c r="F80" s="50">
        <v>1.5440680443502757</v>
      </c>
      <c r="G80" s="50">
        <v>2.95</v>
      </c>
      <c r="H80" s="50">
        <f t="shared" si="9"/>
        <v>0.46982201597816303</v>
      </c>
      <c r="I80" s="50">
        <v>0</v>
      </c>
      <c r="J80" s="50">
        <v>0.13987908640123647</v>
      </c>
      <c r="K80" s="50">
        <v>20</v>
      </c>
      <c r="L80" s="50">
        <f t="shared" si="10"/>
        <v>1.3010299956639813</v>
      </c>
      <c r="M80" s="50">
        <v>91.1</v>
      </c>
      <c r="N80" s="50">
        <f t="shared" si="11"/>
        <v>1.9595183769729982</v>
      </c>
      <c r="O80" s="50">
        <v>24.1</v>
      </c>
      <c r="P80" s="50">
        <f t="shared" si="12"/>
        <v>1.3820170425748683</v>
      </c>
      <c r="Q80" s="50">
        <v>40.229046020662899</v>
      </c>
      <c r="R80" s="50">
        <f t="shared" si="13"/>
        <v>1.6045397339663818</v>
      </c>
      <c r="S80" s="50">
        <v>3.1628767233771686</v>
      </c>
      <c r="T80" s="50">
        <v>3.6087947637270492</v>
      </c>
      <c r="U80" s="186">
        <v>1934200000</v>
      </c>
      <c r="V80" s="186">
        <f t="shared" si="14"/>
        <v>9.2865013789535684</v>
      </c>
      <c r="W80" s="50">
        <v>2</v>
      </c>
      <c r="X80" s="66" t="s">
        <v>602</v>
      </c>
      <c r="Y80" s="137">
        <f t="shared" si="15"/>
        <v>0</v>
      </c>
    </row>
    <row r="81" spans="1:25" x14ac:dyDescent="0.35">
      <c r="A81" s="67">
        <v>-0.44973627637745167</v>
      </c>
      <c r="B81" s="52" t="s">
        <v>2</v>
      </c>
      <c r="C81" s="52">
        <v>7.6410958904109592</v>
      </c>
      <c r="D81" s="50">
        <f t="shared" si="8"/>
        <v>0.88315564980957517</v>
      </c>
      <c r="E81" s="52">
        <v>3.8335760926148099</v>
      </c>
      <c r="F81" s="52">
        <v>1.9084850188786497</v>
      </c>
      <c r="G81" s="52">
        <v>2.85</v>
      </c>
      <c r="H81" s="50">
        <f t="shared" si="9"/>
        <v>0.45484486000851021</v>
      </c>
      <c r="I81" s="52">
        <v>2.9138138523837167</v>
      </c>
      <c r="J81" s="52">
        <v>7.1882007306125359E-2</v>
      </c>
      <c r="K81" s="52">
        <v>12</v>
      </c>
      <c r="L81" s="50">
        <f t="shared" si="10"/>
        <v>1.0791812460476249</v>
      </c>
      <c r="M81" s="52">
        <v>70</v>
      </c>
      <c r="N81" s="50">
        <f t="shared" si="11"/>
        <v>1.8450980400142569</v>
      </c>
      <c r="O81" s="52">
        <v>33.9</v>
      </c>
      <c r="P81" s="50">
        <f t="shared" si="12"/>
        <v>1.5301996982030821</v>
      </c>
      <c r="Q81" s="52">
        <v>46.312020505412598</v>
      </c>
      <c r="R81" s="50">
        <f t="shared" si="13"/>
        <v>1.6656937288498501</v>
      </c>
      <c r="S81" s="52">
        <v>3.3265688034989269</v>
      </c>
      <c r="T81" s="52">
        <v>3.64990043303693</v>
      </c>
      <c r="U81" s="187">
        <v>1970000000</v>
      </c>
      <c r="V81" s="186">
        <f t="shared" si="14"/>
        <v>9.2944662261615925</v>
      </c>
      <c r="W81" s="52">
        <v>6</v>
      </c>
      <c r="X81" s="68" t="s">
        <v>45</v>
      </c>
      <c r="Y81" s="137">
        <f t="shared" si="15"/>
        <v>1</v>
      </c>
    </row>
    <row r="82" spans="1:25" x14ac:dyDescent="0.35">
      <c r="A82" s="49">
        <v>0.11904132913278011</v>
      </c>
      <c r="B82" s="50" t="s">
        <v>45</v>
      </c>
      <c r="C82" s="50">
        <v>6.6739726027397257</v>
      </c>
      <c r="D82" s="50">
        <f t="shared" si="8"/>
        <v>0.82438441950436303</v>
      </c>
      <c r="E82" s="50">
        <v>0</v>
      </c>
      <c r="F82" s="50">
        <v>1.3424226808222062</v>
      </c>
      <c r="G82" s="50">
        <v>2.95</v>
      </c>
      <c r="H82" s="50">
        <f t="shared" si="9"/>
        <v>0.46982201597816303</v>
      </c>
      <c r="I82" s="50">
        <v>0</v>
      </c>
      <c r="J82" s="50">
        <v>6.069784035361165E-2</v>
      </c>
      <c r="K82" s="50">
        <v>8</v>
      </c>
      <c r="L82" s="50">
        <f t="shared" si="10"/>
        <v>0.90308998699194354</v>
      </c>
      <c r="M82" s="50">
        <v>85</v>
      </c>
      <c r="N82" s="50">
        <f t="shared" si="11"/>
        <v>1.9294189257142926</v>
      </c>
      <c r="O82" s="50">
        <v>28.2</v>
      </c>
      <c r="P82" s="50">
        <f t="shared" si="12"/>
        <v>1.4502491083193612</v>
      </c>
      <c r="Q82" s="50">
        <v>34.298950279384798</v>
      </c>
      <c r="R82" s="50">
        <f t="shared" si="13"/>
        <v>1.5352808286478177</v>
      </c>
      <c r="S82" s="50">
        <v>3.1628767233771686</v>
      </c>
      <c r="T82" s="50">
        <v>3.6087947637270492</v>
      </c>
      <c r="U82" s="186">
        <v>2000000000</v>
      </c>
      <c r="V82" s="186">
        <f t="shared" si="14"/>
        <v>9.3010299956639813</v>
      </c>
      <c r="W82" s="50">
        <v>9</v>
      </c>
      <c r="X82" s="66" t="s">
        <v>602</v>
      </c>
      <c r="Y82" s="137">
        <f t="shared" si="15"/>
        <v>0</v>
      </c>
    </row>
    <row r="83" spans="1:25" x14ac:dyDescent="0.35">
      <c r="A83" s="67">
        <v>-2</v>
      </c>
      <c r="B83" s="52" t="s">
        <v>7</v>
      </c>
      <c r="C83" s="52">
        <v>5.9178082191780819</v>
      </c>
      <c r="D83" s="50">
        <f t="shared" si="8"/>
        <v>0.77216088669445615</v>
      </c>
      <c r="E83" s="52">
        <v>2.6903467274930635</v>
      </c>
      <c r="F83" s="52">
        <v>1.568201724066995</v>
      </c>
      <c r="G83" s="52">
        <v>2.59</v>
      </c>
      <c r="H83" s="50">
        <f t="shared" si="9"/>
        <v>0.4132997640812518</v>
      </c>
      <c r="I83" s="52">
        <v>2.7508939203821252</v>
      </c>
      <c r="J83" s="52">
        <v>0</v>
      </c>
      <c r="K83" s="52">
        <v>27</v>
      </c>
      <c r="L83" s="50">
        <f t="shared" si="10"/>
        <v>1.4313637641589874</v>
      </c>
      <c r="M83" s="52">
        <v>85</v>
      </c>
      <c r="N83" s="50">
        <f t="shared" si="11"/>
        <v>1.9294189257142926</v>
      </c>
      <c r="O83" s="52">
        <v>36.5</v>
      </c>
      <c r="P83" s="50">
        <f t="shared" si="12"/>
        <v>1.5622928644564746</v>
      </c>
      <c r="Q83" s="52">
        <v>43.824698342891402</v>
      </c>
      <c r="R83" s="50">
        <f t="shared" si="13"/>
        <v>1.641718935411159</v>
      </c>
      <c r="S83" s="52">
        <v>3.0962405795987471</v>
      </c>
      <c r="T83" s="52">
        <v>3.4010931514437841</v>
      </c>
      <c r="U83" s="187">
        <v>2075000000</v>
      </c>
      <c r="V83" s="186">
        <f t="shared" si="14"/>
        <v>9.3170181010481112</v>
      </c>
      <c r="W83" s="52">
        <v>4</v>
      </c>
      <c r="X83" s="68" t="s">
        <v>59</v>
      </c>
      <c r="Y83" s="137">
        <f t="shared" si="15"/>
        <v>1</v>
      </c>
    </row>
    <row r="84" spans="1:25" x14ac:dyDescent="0.35">
      <c r="A84" s="49">
        <v>7.5720713938118342E-2</v>
      </c>
      <c r="B84" s="106" t="s">
        <v>59</v>
      </c>
      <c r="C84" s="50">
        <v>4.3698630136986303</v>
      </c>
      <c r="D84" s="50">
        <f t="shared" si="8"/>
        <v>0.64046782293672522</v>
      </c>
      <c r="E84" s="50">
        <v>3.7707754512906644</v>
      </c>
      <c r="F84" s="50">
        <v>1.2304489213782739</v>
      </c>
      <c r="G84" s="50">
        <v>2.3199999999999998</v>
      </c>
      <c r="H84" s="50">
        <f t="shared" si="9"/>
        <v>0.36548798489089962</v>
      </c>
      <c r="I84" s="50">
        <v>2.1238516409670858</v>
      </c>
      <c r="J84" s="50">
        <v>0.2355284469075489</v>
      </c>
      <c r="K84" s="50">
        <v>79</v>
      </c>
      <c r="L84" s="50">
        <f t="shared" si="10"/>
        <v>1.8976270912904414</v>
      </c>
      <c r="M84" s="50">
        <v>94.9</v>
      </c>
      <c r="N84" s="50">
        <f t="shared" si="11"/>
        <v>1.9772662124272926</v>
      </c>
      <c r="O84" s="50">
        <v>32.299999999999997</v>
      </c>
      <c r="P84" s="50">
        <f t="shared" si="12"/>
        <v>1.5092025223311027</v>
      </c>
      <c r="Q84" s="50">
        <v>47.560703662314701</v>
      </c>
      <c r="R84" s="50">
        <f t="shared" si="13"/>
        <v>1.6772482713966061</v>
      </c>
      <c r="S84" s="50">
        <v>3.3779512479807074</v>
      </c>
      <c r="T84" s="50">
        <v>3.7669888618571257</v>
      </c>
      <c r="U84" s="186">
        <v>2100000000</v>
      </c>
      <c r="V84" s="186">
        <f t="shared" si="14"/>
        <v>9.3222192947339195</v>
      </c>
      <c r="W84" s="50">
        <v>6</v>
      </c>
      <c r="X84" s="107" t="s">
        <v>45</v>
      </c>
      <c r="Y84" s="137">
        <f t="shared" si="15"/>
        <v>1</v>
      </c>
    </row>
    <row r="85" spans="1:25" x14ac:dyDescent="0.35">
      <c r="A85" s="67">
        <v>-0.24305045692280344</v>
      </c>
      <c r="B85" s="52" t="s">
        <v>45</v>
      </c>
      <c r="C85" s="52">
        <v>9.7452054794520553</v>
      </c>
      <c r="D85" s="50">
        <f t="shared" si="8"/>
        <v>0.9887910007293057</v>
      </c>
      <c r="E85" s="52">
        <v>0</v>
      </c>
      <c r="F85" s="52">
        <v>2.143014800254095</v>
      </c>
      <c r="G85" s="52">
        <v>2.95</v>
      </c>
      <c r="H85" s="50">
        <f t="shared" si="9"/>
        <v>0.46982201597816303</v>
      </c>
      <c r="I85" s="52">
        <v>0</v>
      </c>
      <c r="J85" s="52">
        <v>0.38021124171160603</v>
      </c>
      <c r="K85" s="52">
        <v>19</v>
      </c>
      <c r="L85" s="50">
        <f t="shared" si="10"/>
        <v>1.2787536009528289</v>
      </c>
      <c r="M85" s="52">
        <v>85</v>
      </c>
      <c r="N85" s="50">
        <f t="shared" si="11"/>
        <v>1.9294189257142926</v>
      </c>
      <c r="O85" s="52">
        <v>26.5</v>
      </c>
      <c r="P85" s="50">
        <f t="shared" si="12"/>
        <v>1.4232458739368079</v>
      </c>
      <c r="Q85" s="52">
        <v>37.808596853116498</v>
      </c>
      <c r="R85" s="50">
        <f t="shared" si="13"/>
        <v>1.577590560190987</v>
      </c>
      <c r="S85" s="52">
        <v>3.0687415514991745</v>
      </c>
      <c r="T85" s="52">
        <v>3.5297005493117593</v>
      </c>
      <c r="U85" s="187">
        <v>2100060000</v>
      </c>
      <c r="V85" s="186">
        <f t="shared" si="14"/>
        <v>9.3222317029704289</v>
      </c>
      <c r="W85" s="52">
        <v>7</v>
      </c>
      <c r="X85" s="68" t="s">
        <v>45</v>
      </c>
      <c r="Y85" s="137">
        <f t="shared" si="15"/>
        <v>0</v>
      </c>
    </row>
    <row r="86" spans="1:25" x14ac:dyDescent="0.35">
      <c r="A86" s="49">
        <v>6.1815356523527966E-2</v>
      </c>
      <c r="B86" s="50" t="s">
        <v>45</v>
      </c>
      <c r="C86" s="50">
        <v>8.0164383561643842</v>
      </c>
      <c r="D86" s="50">
        <f t="shared" si="8"/>
        <v>0.90398145733281732</v>
      </c>
      <c r="E86" s="50">
        <v>0</v>
      </c>
      <c r="F86" s="50">
        <v>1</v>
      </c>
      <c r="G86" s="50">
        <v>2.95</v>
      </c>
      <c r="H86" s="50">
        <f t="shared" si="9"/>
        <v>0.46982201597816303</v>
      </c>
      <c r="I86" s="50">
        <v>0</v>
      </c>
      <c r="J86" s="50">
        <v>0.1553360374650618</v>
      </c>
      <c r="K86" s="50">
        <v>22</v>
      </c>
      <c r="L86" s="50">
        <f t="shared" si="10"/>
        <v>1.3424226808222062</v>
      </c>
      <c r="M86" s="50">
        <v>91.4</v>
      </c>
      <c r="N86" s="50">
        <f t="shared" si="11"/>
        <v>1.9609461957338314</v>
      </c>
      <c r="O86" s="50">
        <v>26.7</v>
      </c>
      <c r="P86" s="50">
        <f t="shared" si="12"/>
        <v>1.4265112613645752</v>
      </c>
      <c r="Q86" s="50">
        <v>37.425715444240403</v>
      </c>
      <c r="R86" s="50">
        <f t="shared" si="13"/>
        <v>1.5731701112332821</v>
      </c>
      <c r="S86" s="50">
        <v>3.3647319918335836</v>
      </c>
      <c r="T86" s="50">
        <v>3.568659604598353</v>
      </c>
      <c r="U86" s="186">
        <v>2160000000</v>
      </c>
      <c r="V86" s="186">
        <f t="shared" si="14"/>
        <v>9.3344537511509316</v>
      </c>
      <c r="W86" s="50">
        <v>7</v>
      </c>
      <c r="X86" s="66" t="s">
        <v>602</v>
      </c>
      <c r="Y86" s="137">
        <f t="shared" si="15"/>
        <v>0</v>
      </c>
    </row>
    <row r="87" spans="1:25" x14ac:dyDescent="0.35">
      <c r="A87" s="67">
        <v>-0.62872113857682677</v>
      </c>
      <c r="B87" s="52" t="s">
        <v>5</v>
      </c>
      <c r="C87" s="52">
        <v>2.3068493150684932</v>
      </c>
      <c r="D87" s="50">
        <f t="shared" si="8"/>
        <v>0.3630192270431748</v>
      </c>
      <c r="E87" s="52">
        <v>2.5542346870234227</v>
      </c>
      <c r="F87" s="52">
        <v>2.6273658565927325</v>
      </c>
      <c r="G87" s="52">
        <v>3.16</v>
      </c>
      <c r="H87" s="50">
        <f t="shared" si="9"/>
        <v>0.49968708261840383</v>
      </c>
      <c r="I87" s="52">
        <v>2.9876662649262746</v>
      </c>
      <c r="J87" s="52">
        <v>0.10380372095595687</v>
      </c>
      <c r="K87" s="52">
        <v>17</v>
      </c>
      <c r="L87" s="50">
        <f t="shared" si="10"/>
        <v>1.2304489213782739</v>
      </c>
      <c r="M87" s="52">
        <v>70</v>
      </c>
      <c r="N87" s="50">
        <f t="shared" si="11"/>
        <v>1.8450980400142569</v>
      </c>
      <c r="O87" s="52">
        <v>36.299999999999997</v>
      </c>
      <c r="P87" s="50">
        <f t="shared" si="12"/>
        <v>1.5599066250361124</v>
      </c>
      <c r="Q87" s="52">
        <v>44.332035658580502</v>
      </c>
      <c r="R87" s="50">
        <f t="shared" si="13"/>
        <v>1.6467176738887899</v>
      </c>
      <c r="S87" s="52">
        <v>3.22246453795844</v>
      </c>
      <c r="T87" s="52">
        <v>3.7071267407396937</v>
      </c>
      <c r="U87" s="187">
        <v>2167670000</v>
      </c>
      <c r="V87" s="186">
        <f t="shared" si="14"/>
        <v>9.3359931671248475</v>
      </c>
      <c r="W87" s="52">
        <v>7</v>
      </c>
      <c r="X87" s="68" t="s">
        <v>577</v>
      </c>
      <c r="Y87" s="137">
        <f t="shared" si="15"/>
        <v>1</v>
      </c>
    </row>
    <row r="88" spans="1:25" x14ac:dyDescent="0.35">
      <c r="A88" s="49">
        <v>-0.16633142176652502</v>
      </c>
      <c r="B88" s="50" t="s">
        <v>45</v>
      </c>
      <c r="C88" s="50">
        <v>10.846575342465753</v>
      </c>
      <c r="D88" s="50">
        <f t="shared" si="8"/>
        <v>1.0352926372957298</v>
      </c>
      <c r="E88" s="50">
        <v>0</v>
      </c>
      <c r="F88" s="50">
        <v>2.0334237554869499</v>
      </c>
      <c r="G88" s="50">
        <v>2.95</v>
      </c>
      <c r="H88" s="50">
        <f t="shared" si="9"/>
        <v>0.46982201597816303</v>
      </c>
      <c r="I88" s="50">
        <v>0</v>
      </c>
      <c r="J88" s="50">
        <v>0.26007138798507473</v>
      </c>
      <c r="K88" s="50">
        <v>28</v>
      </c>
      <c r="L88" s="50">
        <f t="shared" si="10"/>
        <v>1.4471580313422192</v>
      </c>
      <c r="M88" s="50">
        <v>85</v>
      </c>
      <c r="N88" s="50">
        <f t="shared" si="11"/>
        <v>1.9294189257142926</v>
      </c>
      <c r="O88" s="50">
        <v>24.6</v>
      </c>
      <c r="P88" s="50">
        <f t="shared" si="12"/>
        <v>1.3909351071033791</v>
      </c>
      <c r="Q88" s="50">
        <v>36.876470987978301</v>
      </c>
      <c r="R88" s="50">
        <f t="shared" si="13"/>
        <v>1.5667493531684615</v>
      </c>
      <c r="S88" s="50">
        <v>3.0687415514991745</v>
      </c>
      <c r="T88" s="50">
        <v>3.5297005493117593</v>
      </c>
      <c r="U88" s="186">
        <v>2200000000</v>
      </c>
      <c r="V88" s="186">
        <f t="shared" si="14"/>
        <v>9.3424226808222066</v>
      </c>
      <c r="W88" s="50">
        <v>5</v>
      </c>
      <c r="X88" s="66" t="s">
        <v>45</v>
      </c>
      <c r="Y88" s="137">
        <f t="shared" si="15"/>
        <v>0</v>
      </c>
    </row>
    <row r="89" spans="1:25" x14ac:dyDescent="0.35">
      <c r="A89" s="67">
        <v>-0.17571503351222853</v>
      </c>
      <c r="B89" s="84" t="s">
        <v>45</v>
      </c>
      <c r="C89" s="52">
        <v>8.1095890410958908</v>
      </c>
      <c r="D89" s="50">
        <f t="shared" si="8"/>
        <v>0.90899884660246388</v>
      </c>
      <c r="E89" s="52">
        <v>0</v>
      </c>
      <c r="F89" s="52">
        <v>1.6020599913279623</v>
      </c>
      <c r="G89" s="52">
        <v>2.95</v>
      </c>
      <c r="H89" s="50">
        <f t="shared" si="9"/>
        <v>0.46982201597816303</v>
      </c>
      <c r="I89" s="52">
        <v>0</v>
      </c>
      <c r="J89" s="52">
        <v>0.18752072083646307</v>
      </c>
      <c r="K89" s="52">
        <v>16</v>
      </c>
      <c r="L89" s="50">
        <f t="shared" si="10"/>
        <v>1.2041199826559248</v>
      </c>
      <c r="M89" s="52">
        <v>93.2</v>
      </c>
      <c r="N89" s="50">
        <f t="shared" si="11"/>
        <v>1.9694159123539814</v>
      </c>
      <c r="O89" s="52">
        <v>26.7</v>
      </c>
      <c r="P89" s="50">
        <f t="shared" si="12"/>
        <v>1.4265112613645752</v>
      </c>
      <c r="Q89" s="52">
        <v>36.669158714517401</v>
      </c>
      <c r="R89" s="50">
        <f t="shared" si="13"/>
        <v>1.5643009462345601</v>
      </c>
      <c r="S89" s="52">
        <v>3.1814248062191788</v>
      </c>
      <c r="T89" s="52">
        <v>3.7294207535322617</v>
      </c>
      <c r="U89" s="187">
        <v>2250000000</v>
      </c>
      <c r="V89" s="186">
        <f t="shared" si="14"/>
        <v>9.3521825181113627</v>
      </c>
      <c r="W89" s="52">
        <v>8</v>
      </c>
      <c r="X89" s="103" t="s">
        <v>45</v>
      </c>
      <c r="Y89" s="137">
        <f t="shared" si="15"/>
        <v>0</v>
      </c>
    </row>
    <row r="90" spans="1:25" x14ac:dyDescent="0.35">
      <c r="A90" s="49">
        <v>0.19092342405844648</v>
      </c>
      <c r="B90" s="50" t="s">
        <v>59</v>
      </c>
      <c r="C90" s="50">
        <v>6.4958904109589044</v>
      </c>
      <c r="D90" s="50">
        <f t="shared" si="8"/>
        <v>0.81263868952171348</v>
      </c>
      <c r="E90" s="50">
        <v>2.6674249329872439</v>
      </c>
      <c r="F90" s="50">
        <v>1.7242758696007889</v>
      </c>
      <c r="G90" s="50">
        <v>2.81</v>
      </c>
      <c r="H90" s="50">
        <f t="shared" si="9"/>
        <v>0.44870631990507992</v>
      </c>
      <c r="I90" s="50">
        <v>2.2881746749783951</v>
      </c>
      <c r="J90" s="50">
        <v>-1.322826573375516E-2</v>
      </c>
      <c r="K90" s="50">
        <v>0</v>
      </c>
      <c r="L90" s="50">
        <f t="shared" si="10"/>
        <v>0</v>
      </c>
      <c r="M90" s="50">
        <v>85</v>
      </c>
      <c r="N90" s="50">
        <f t="shared" si="11"/>
        <v>1.9294189257142926</v>
      </c>
      <c r="O90" s="50">
        <v>32.9</v>
      </c>
      <c r="P90" s="50">
        <f t="shared" si="12"/>
        <v>1.5171958979499742</v>
      </c>
      <c r="Q90" s="50">
        <v>35.433808146393098</v>
      </c>
      <c r="R90" s="50">
        <f t="shared" si="13"/>
        <v>1.5494178293890581</v>
      </c>
      <c r="S90" s="50">
        <v>3.3884049978579722</v>
      </c>
      <c r="T90" s="50">
        <v>3.8579486949156889</v>
      </c>
      <c r="U90" s="186">
        <v>2254990000</v>
      </c>
      <c r="V90" s="186">
        <f t="shared" si="14"/>
        <v>9.3531446202918289</v>
      </c>
      <c r="W90" s="50">
        <v>7</v>
      </c>
      <c r="X90" s="66" t="s">
        <v>497</v>
      </c>
      <c r="Y90" s="137">
        <f t="shared" si="15"/>
        <v>1</v>
      </c>
    </row>
    <row r="91" spans="1:25" x14ac:dyDescent="0.35">
      <c r="A91" s="67">
        <v>0.16071639748872701</v>
      </c>
      <c r="B91" s="52" t="s">
        <v>2</v>
      </c>
      <c r="C91" s="52">
        <v>3.5342465753424657</v>
      </c>
      <c r="D91" s="50">
        <f t="shared" si="8"/>
        <v>0.54829684584277427</v>
      </c>
      <c r="E91" s="52">
        <v>3.1189984043805832</v>
      </c>
      <c r="F91" s="52">
        <v>2.2278867046136734</v>
      </c>
      <c r="G91" s="52">
        <v>3.13</v>
      </c>
      <c r="H91" s="50">
        <f t="shared" si="9"/>
        <v>0.49554433754644844</v>
      </c>
      <c r="I91" s="52">
        <v>3.0711452904510828</v>
      </c>
      <c r="J91" s="52">
        <v>0.17897694729316943</v>
      </c>
      <c r="K91" s="52">
        <v>16</v>
      </c>
      <c r="L91" s="50">
        <f t="shared" si="10"/>
        <v>1.2041199826559248</v>
      </c>
      <c r="M91" s="52">
        <v>89.6</v>
      </c>
      <c r="N91" s="50">
        <f t="shared" si="11"/>
        <v>1.9523080096621253</v>
      </c>
      <c r="O91" s="52">
        <v>35</v>
      </c>
      <c r="P91" s="50">
        <f t="shared" si="12"/>
        <v>1.5440680443502757</v>
      </c>
      <c r="Q91" s="52">
        <v>47.255451423610303</v>
      </c>
      <c r="R91" s="50">
        <f t="shared" si="13"/>
        <v>1.6744519162659719</v>
      </c>
      <c r="S91" s="52">
        <v>3.1616209089088487</v>
      </c>
      <c r="T91" s="52">
        <v>3.7997633234477775</v>
      </c>
      <c r="U91" s="187">
        <v>2300000000</v>
      </c>
      <c r="V91" s="186">
        <f t="shared" si="14"/>
        <v>9.3617278360175931</v>
      </c>
      <c r="W91" s="52">
        <v>4</v>
      </c>
      <c r="X91" s="68" t="s">
        <v>4</v>
      </c>
      <c r="Y91" s="137">
        <f t="shared" si="15"/>
        <v>1</v>
      </c>
    </row>
    <row r="92" spans="1:25" x14ac:dyDescent="0.35">
      <c r="A92" s="49">
        <v>-2</v>
      </c>
      <c r="B92" s="50" t="s">
        <v>45</v>
      </c>
      <c r="C92" s="50">
        <v>2.1506849315068495</v>
      </c>
      <c r="D92" s="50">
        <f t="shared" si="8"/>
        <v>0.33257679228877784</v>
      </c>
      <c r="E92" s="50">
        <v>0</v>
      </c>
      <c r="F92" s="50">
        <v>0.47712125471966244</v>
      </c>
      <c r="G92" s="50">
        <v>2.95</v>
      </c>
      <c r="H92" s="50">
        <f t="shared" si="9"/>
        <v>0.46982201597816303</v>
      </c>
      <c r="I92" s="50">
        <v>0</v>
      </c>
      <c r="J92" s="50">
        <v>-0.22914798835785574</v>
      </c>
      <c r="K92" s="50">
        <v>14</v>
      </c>
      <c r="L92" s="50">
        <f t="shared" si="10"/>
        <v>1.146128035678238</v>
      </c>
      <c r="M92" s="50">
        <v>93.2</v>
      </c>
      <c r="N92" s="50">
        <f t="shared" si="11"/>
        <v>1.9694159123539814</v>
      </c>
      <c r="O92" s="50">
        <v>26.7</v>
      </c>
      <c r="P92" s="50">
        <f t="shared" si="12"/>
        <v>1.4265112613645752</v>
      </c>
      <c r="Q92" s="50">
        <v>36.669158714517401</v>
      </c>
      <c r="R92" s="50">
        <f t="shared" si="13"/>
        <v>1.5643009462345601</v>
      </c>
      <c r="S92" s="50">
        <v>3.1628767233771686</v>
      </c>
      <c r="T92" s="50">
        <v>3.6087947637270492</v>
      </c>
      <c r="U92" s="186">
        <v>2301620000</v>
      </c>
      <c r="V92" s="186">
        <f t="shared" si="14"/>
        <v>9.3620336227143426</v>
      </c>
      <c r="W92" s="50">
        <v>8</v>
      </c>
      <c r="X92" s="66" t="s">
        <v>602</v>
      </c>
      <c r="Y92" s="137">
        <f t="shared" si="15"/>
        <v>0</v>
      </c>
    </row>
    <row r="93" spans="1:25" x14ac:dyDescent="0.35">
      <c r="A93" s="67">
        <v>-2</v>
      </c>
      <c r="B93" s="52" t="s">
        <v>45</v>
      </c>
      <c r="C93" s="52">
        <v>2.1506849315068495</v>
      </c>
      <c r="D93" s="50">
        <f t="shared" si="8"/>
        <v>0.33257679228877784</v>
      </c>
      <c r="E93" s="52">
        <v>0</v>
      </c>
      <c r="F93" s="52">
        <v>0.47712125471966244</v>
      </c>
      <c r="G93" s="52">
        <v>2.95</v>
      </c>
      <c r="H93" s="50">
        <f t="shared" si="9"/>
        <v>0.46982201597816303</v>
      </c>
      <c r="I93" s="52">
        <v>0</v>
      </c>
      <c r="J93" s="52">
        <v>-0.22914798835785574</v>
      </c>
      <c r="K93" s="52">
        <v>14</v>
      </c>
      <c r="L93" s="50">
        <f t="shared" si="10"/>
        <v>1.146128035678238</v>
      </c>
      <c r="M93" s="52">
        <v>93.2</v>
      </c>
      <c r="N93" s="50">
        <f t="shared" si="11"/>
        <v>1.9694159123539814</v>
      </c>
      <c r="O93" s="52">
        <v>26.7</v>
      </c>
      <c r="P93" s="50">
        <f t="shared" si="12"/>
        <v>1.4265112613645752</v>
      </c>
      <c r="Q93" s="52">
        <v>36.669158714517401</v>
      </c>
      <c r="R93" s="50">
        <f t="shared" si="13"/>
        <v>1.5643009462345601</v>
      </c>
      <c r="S93" s="52">
        <v>3.1628767233771686</v>
      </c>
      <c r="T93" s="52">
        <v>3.6087947637270492</v>
      </c>
      <c r="U93" s="187">
        <v>2301620000</v>
      </c>
      <c r="V93" s="186">
        <f t="shared" si="14"/>
        <v>9.3620336227143426</v>
      </c>
      <c r="W93" s="52">
        <v>8</v>
      </c>
      <c r="X93" s="68" t="s">
        <v>602</v>
      </c>
      <c r="Y93" s="137">
        <f t="shared" si="15"/>
        <v>0</v>
      </c>
    </row>
    <row r="94" spans="1:25" x14ac:dyDescent="0.35">
      <c r="A94" s="49">
        <v>0.36469907553335851</v>
      </c>
      <c r="B94" s="50" t="s">
        <v>7</v>
      </c>
      <c r="C94" s="50">
        <v>6.4164383561643836</v>
      </c>
      <c r="D94" s="50">
        <f t="shared" si="8"/>
        <v>0.80729402627986957</v>
      </c>
      <c r="E94" s="50">
        <v>3.8052737966880943</v>
      </c>
      <c r="F94" s="50">
        <v>1.9084850188786497</v>
      </c>
      <c r="G94" s="50">
        <v>2.99</v>
      </c>
      <c r="H94" s="50">
        <f t="shared" si="9"/>
        <v>0.47567118832442967</v>
      </c>
      <c r="I94" s="50">
        <v>2.8414637553591628</v>
      </c>
      <c r="J94" s="50">
        <v>0.28103336724772759</v>
      </c>
      <c r="K94" s="50">
        <v>35</v>
      </c>
      <c r="L94" s="50">
        <f t="shared" si="10"/>
        <v>1.5440680443502757</v>
      </c>
      <c r="M94" s="50">
        <v>76.400000000000006</v>
      </c>
      <c r="N94" s="50">
        <f t="shared" si="11"/>
        <v>1.8830933585756899</v>
      </c>
      <c r="O94" s="50">
        <v>37</v>
      </c>
      <c r="P94" s="50">
        <f t="shared" si="12"/>
        <v>1.568201724066995</v>
      </c>
      <c r="Q94" s="50">
        <v>42.366037242608201</v>
      </c>
      <c r="R94" s="50">
        <f t="shared" si="13"/>
        <v>1.6270178436527734</v>
      </c>
      <c r="S94" s="50">
        <v>3.0687415514991745</v>
      </c>
      <c r="T94" s="50">
        <v>3.5297005493117593</v>
      </c>
      <c r="U94" s="186">
        <v>2375000000</v>
      </c>
      <c r="V94" s="186">
        <f t="shared" si="14"/>
        <v>9.3756636139608851</v>
      </c>
      <c r="W94" s="50">
        <v>2</v>
      </c>
      <c r="X94" s="66" t="s">
        <v>45</v>
      </c>
      <c r="Y94" s="137">
        <f t="shared" si="15"/>
        <v>1</v>
      </c>
    </row>
    <row r="95" spans="1:25" x14ac:dyDescent="0.35">
      <c r="A95" s="67">
        <v>0.11115045212266668</v>
      </c>
      <c r="B95" s="52" t="s">
        <v>7</v>
      </c>
      <c r="C95" s="52">
        <v>6.5917808219178085</v>
      </c>
      <c r="D95" s="50">
        <f t="shared" si="8"/>
        <v>0.81900275854735127</v>
      </c>
      <c r="E95" s="52">
        <v>2.6903467274930635</v>
      </c>
      <c r="F95" s="52">
        <v>1.5440680443502757</v>
      </c>
      <c r="G95" s="52">
        <v>2.59</v>
      </c>
      <c r="H95" s="50">
        <f t="shared" si="9"/>
        <v>0.4132997640812518</v>
      </c>
      <c r="I95" s="52">
        <v>2.7508939203821252</v>
      </c>
      <c r="J95" s="52">
        <v>8.2785370316450071E-2</v>
      </c>
      <c r="K95" s="52">
        <v>73</v>
      </c>
      <c r="L95" s="50">
        <f t="shared" si="10"/>
        <v>1.8633228601204559</v>
      </c>
      <c r="M95" s="52">
        <v>76.900000000000006</v>
      </c>
      <c r="N95" s="50">
        <f t="shared" si="11"/>
        <v>1.885926339801431</v>
      </c>
      <c r="O95" s="52">
        <v>36.1</v>
      </c>
      <c r="P95" s="50">
        <f t="shared" si="12"/>
        <v>1.5575072019056579</v>
      </c>
      <c r="Q95" s="52">
        <v>37.805693454220297</v>
      </c>
      <c r="R95" s="50">
        <f t="shared" si="13"/>
        <v>1.5775572085556049</v>
      </c>
      <c r="S95" s="52">
        <v>3.3314213062933389</v>
      </c>
      <c r="T95" s="52">
        <v>3.884802064783424</v>
      </c>
      <c r="U95" s="187">
        <v>2400000000</v>
      </c>
      <c r="V95" s="186">
        <f t="shared" si="14"/>
        <v>9.3802112417116064</v>
      </c>
      <c r="W95" s="52">
        <v>1</v>
      </c>
      <c r="X95" s="68" t="s">
        <v>59</v>
      </c>
      <c r="Y95" s="137">
        <f t="shared" si="15"/>
        <v>1</v>
      </c>
    </row>
    <row r="96" spans="1:25" x14ac:dyDescent="0.35">
      <c r="A96" s="49">
        <v>2.8298992127170717E-2</v>
      </c>
      <c r="B96" s="50" t="s">
        <v>59</v>
      </c>
      <c r="C96" s="50">
        <v>3.1424657534246574</v>
      </c>
      <c r="D96" s="50">
        <f t="shared" si="8"/>
        <v>0.49727055344479293</v>
      </c>
      <c r="E96" s="50">
        <v>0</v>
      </c>
      <c r="F96" s="50">
        <v>0.69897000433601886</v>
      </c>
      <c r="G96" s="50">
        <v>3.29</v>
      </c>
      <c r="H96" s="50">
        <f t="shared" si="9"/>
        <v>0.51719589794997434</v>
      </c>
      <c r="I96" s="50">
        <v>0</v>
      </c>
      <c r="J96" s="50">
        <v>0.21218760440395779</v>
      </c>
      <c r="K96" s="50">
        <v>22</v>
      </c>
      <c r="L96" s="50">
        <f t="shared" si="10"/>
        <v>1.3424226808222062</v>
      </c>
      <c r="M96" s="50">
        <v>85</v>
      </c>
      <c r="N96" s="50">
        <f t="shared" si="11"/>
        <v>1.9294189257142926</v>
      </c>
      <c r="O96" s="50">
        <v>31.3</v>
      </c>
      <c r="P96" s="50">
        <f t="shared" si="12"/>
        <v>1.4955443375464486</v>
      </c>
      <c r="Q96" s="50">
        <v>38.7850112673514</v>
      </c>
      <c r="R96" s="50">
        <f t="shared" si="13"/>
        <v>1.5886639219461918</v>
      </c>
      <c r="S96" s="50">
        <v>3.2224645332922388</v>
      </c>
      <c r="T96" s="50">
        <v>3.707126713924402</v>
      </c>
      <c r="U96" s="186">
        <v>2510000000</v>
      </c>
      <c r="V96" s="186">
        <f t="shared" si="14"/>
        <v>9.3996737214810384</v>
      </c>
      <c r="W96" s="50">
        <v>6</v>
      </c>
      <c r="X96" s="66" t="s">
        <v>59</v>
      </c>
      <c r="Y96" s="137">
        <f t="shared" si="15"/>
        <v>0</v>
      </c>
    </row>
    <row r="97" spans="1:25" x14ac:dyDescent="0.35">
      <c r="A97" s="67">
        <v>2.8298992127170717E-2</v>
      </c>
      <c r="B97" s="52" t="s">
        <v>59</v>
      </c>
      <c r="C97" s="52">
        <v>2.1753424657534248</v>
      </c>
      <c r="D97" s="50">
        <f t="shared" si="8"/>
        <v>0.33752763797062157</v>
      </c>
      <c r="E97" s="52">
        <v>3.7707754512906644</v>
      </c>
      <c r="F97" s="52">
        <v>0.69897000433601886</v>
      </c>
      <c r="G97" s="52">
        <v>2.3199999999999998</v>
      </c>
      <c r="H97" s="50">
        <f t="shared" si="9"/>
        <v>0.36548798489089962</v>
      </c>
      <c r="I97" s="52">
        <v>2.1238516409670858</v>
      </c>
      <c r="J97" s="52">
        <v>7.9181246047624818E-2</v>
      </c>
      <c r="K97" s="52">
        <v>18</v>
      </c>
      <c r="L97" s="50">
        <f t="shared" si="10"/>
        <v>1.255272505103306</v>
      </c>
      <c r="M97" s="52">
        <v>85</v>
      </c>
      <c r="N97" s="50">
        <f t="shared" si="11"/>
        <v>1.9294189257142926</v>
      </c>
      <c r="O97" s="52">
        <v>31.3</v>
      </c>
      <c r="P97" s="50">
        <f t="shared" si="12"/>
        <v>1.4955443375464486</v>
      </c>
      <c r="Q97" s="52">
        <v>38.7850112673514</v>
      </c>
      <c r="R97" s="50">
        <f t="shared" si="13"/>
        <v>1.5886639219461918</v>
      </c>
      <c r="S97" s="52">
        <v>3.3647319918335836</v>
      </c>
      <c r="T97" s="52">
        <v>3.568659604598353</v>
      </c>
      <c r="U97" s="187">
        <v>2510000000</v>
      </c>
      <c r="V97" s="186">
        <f t="shared" si="14"/>
        <v>9.3996737214810384</v>
      </c>
      <c r="W97" s="52">
        <v>5</v>
      </c>
      <c r="X97" s="68" t="s">
        <v>602</v>
      </c>
      <c r="Y97" s="137">
        <f t="shared" si="15"/>
        <v>1</v>
      </c>
    </row>
    <row r="98" spans="1:25" x14ac:dyDescent="0.35">
      <c r="A98" s="49">
        <v>0.15295425796258474</v>
      </c>
      <c r="B98" s="50" t="s">
        <v>434</v>
      </c>
      <c r="C98" s="50">
        <v>6.6356164383561644</v>
      </c>
      <c r="D98" s="50">
        <f t="shared" si="8"/>
        <v>0.82188127435055869</v>
      </c>
      <c r="E98" s="50">
        <v>3.1568882168601933</v>
      </c>
      <c r="F98" s="50">
        <v>1.9956351945975499</v>
      </c>
      <c r="G98" s="50">
        <v>2.5099999999999998</v>
      </c>
      <c r="H98" s="50">
        <f t="shared" si="9"/>
        <v>0.39967372148103808</v>
      </c>
      <c r="I98" s="50">
        <v>2.7825920506710684</v>
      </c>
      <c r="J98" s="50">
        <v>7.9181246047624818E-2</v>
      </c>
      <c r="K98" s="50">
        <v>29</v>
      </c>
      <c r="L98" s="50">
        <f t="shared" si="10"/>
        <v>1.4623979978989561</v>
      </c>
      <c r="M98" s="50">
        <v>78.400000000000006</v>
      </c>
      <c r="N98" s="50">
        <f t="shared" si="11"/>
        <v>1.8943160626844384</v>
      </c>
      <c r="O98" s="50">
        <v>40.57</v>
      </c>
      <c r="P98" s="50">
        <f t="shared" si="12"/>
        <v>1.6082050077043262</v>
      </c>
      <c r="Q98" s="50">
        <v>47.629620244041597</v>
      </c>
      <c r="R98" s="50">
        <f t="shared" si="13"/>
        <v>1.6778771188499342</v>
      </c>
      <c r="S98" s="50">
        <v>3.0962405795987471</v>
      </c>
      <c r="T98" s="50">
        <v>3.4010931514437841</v>
      </c>
      <c r="U98" s="186">
        <v>2570000000</v>
      </c>
      <c r="V98" s="186">
        <f t="shared" si="14"/>
        <v>9.4099331233312942</v>
      </c>
      <c r="W98" s="50">
        <v>1</v>
      </c>
      <c r="X98" s="66" t="s">
        <v>59</v>
      </c>
      <c r="Y98" s="137">
        <f t="shared" si="15"/>
        <v>1</v>
      </c>
    </row>
    <row r="99" spans="1:25" x14ac:dyDescent="0.35">
      <c r="A99" s="67">
        <v>-0.59183834003113434</v>
      </c>
      <c r="B99" s="52" t="s">
        <v>59</v>
      </c>
      <c r="C99" s="52">
        <v>4.7178082191780826</v>
      </c>
      <c r="D99" s="50">
        <f t="shared" si="8"/>
        <v>0.67374028266116126</v>
      </c>
      <c r="E99" s="52">
        <v>0</v>
      </c>
      <c r="F99" s="52">
        <v>0</v>
      </c>
      <c r="G99" s="52">
        <v>3.29</v>
      </c>
      <c r="H99" s="50">
        <f t="shared" si="9"/>
        <v>0.51719589794997434</v>
      </c>
      <c r="I99" s="52">
        <v>0</v>
      </c>
      <c r="J99" s="52">
        <v>-5.0609993355087209E-2</v>
      </c>
      <c r="K99" s="52">
        <v>15</v>
      </c>
      <c r="L99" s="50">
        <f t="shared" si="10"/>
        <v>1.1760912590556813</v>
      </c>
      <c r="M99" s="52">
        <v>85</v>
      </c>
      <c r="N99" s="50">
        <f t="shared" si="11"/>
        <v>1.9294189257142926</v>
      </c>
      <c r="O99" s="52">
        <v>32.9</v>
      </c>
      <c r="P99" s="50">
        <f t="shared" si="12"/>
        <v>1.5171958979499742</v>
      </c>
      <c r="Q99" s="52">
        <v>35.433808146393098</v>
      </c>
      <c r="R99" s="50">
        <f t="shared" si="13"/>
        <v>1.5494178293890581</v>
      </c>
      <c r="S99" s="52">
        <v>3.2699236952309465</v>
      </c>
      <c r="T99" s="52">
        <v>3.6984415808994222</v>
      </c>
      <c r="U99" s="187">
        <v>2600000000</v>
      </c>
      <c r="V99" s="186">
        <f t="shared" si="14"/>
        <v>9.4149733479708182</v>
      </c>
      <c r="W99" s="52">
        <v>9</v>
      </c>
      <c r="X99" s="68" t="s">
        <v>577</v>
      </c>
      <c r="Y99" s="137">
        <f t="shared" si="15"/>
        <v>0</v>
      </c>
    </row>
    <row r="100" spans="1:25" x14ac:dyDescent="0.35">
      <c r="A100" s="49">
        <v>0.15195408976985428</v>
      </c>
      <c r="B100" s="83" t="s">
        <v>45</v>
      </c>
      <c r="C100" s="50">
        <v>5.0356164383561648</v>
      </c>
      <c r="D100" s="50">
        <f t="shared" si="8"/>
        <v>0.70205264259361777</v>
      </c>
      <c r="E100" s="50">
        <v>0</v>
      </c>
      <c r="F100" s="50">
        <v>1.5185139398778875</v>
      </c>
      <c r="G100" s="50">
        <v>2.95</v>
      </c>
      <c r="H100" s="50">
        <f t="shared" si="9"/>
        <v>0.46982201597816303</v>
      </c>
      <c r="I100" s="50">
        <v>0</v>
      </c>
      <c r="J100" s="50">
        <v>-2.6872146400301365E-2</v>
      </c>
      <c r="K100" s="50">
        <v>23</v>
      </c>
      <c r="L100" s="50">
        <f t="shared" si="10"/>
        <v>1.3617278360175928</v>
      </c>
      <c r="M100" s="50">
        <v>91.4</v>
      </c>
      <c r="N100" s="50">
        <f t="shared" si="11"/>
        <v>1.9609461957338314</v>
      </c>
      <c r="O100" s="50">
        <v>26.7</v>
      </c>
      <c r="P100" s="50">
        <f t="shared" si="12"/>
        <v>1.4265112613645752</v>
      </c>
      <c r="Q100" s="50">
        <v>37.425715444240403</v>
      </c>
      <c r="R100" s="50">
        <f t="shared" si="13"/>
        <v>1.5731701112332821</v>
      </c>
      <c r="S100" s="50">
        <v>3.3240201037352737</v>
      </c>
      <c r="T100" s="50">
        <v>3.7683162170970865</v>
      </c>
      <c r="U100" s="186">
        <v>2607640000</v>
      </c>
      <c r="V100" s="186">
        <f t="shared" si="14"/>
        <v>9.4162476342971413</v>
      </c>
      <c r="W100" s="50">
        <v>5</v>
      </c>
      <c r="X100" s="102" t="s">
        <v>45</v>
      </c>
      <c r="Y100" s="137">
        <f t="shared" si="15"/>
        <v>0</v>
      </c>
    </row>
    <row r="101" spans="1:25" x14ac:dyDescent="0.35">
      <c r="A101" s="67">
        <v>-1.0016671593674633</v>
      </c>
      <c r="B101" s="52" t="s">
        <v>45</v>
      </c>
      <c r="C101" s="52">
        <v>12.164383561643836</v>
      </c>
      <c r="D101" s="50">
        <f t="shared" si="8"/>
        <v>1.0850901056581452</v>
      </c>
      <c r="E101" s="52">
        <v>0</v>
      </c>
      <c r="F101" s="52">
        <v>2.1643528557844371</v>
      </c>
      <c r="G101" s="52">
        <v>2.95</v>
      </c>
      <c r="H101" s="50">
        <f t="shared" si="9"/>
        <v>0.46982201597816303</v>
      </c>
      <c r="I101" s="52">
        <v>0</v>
      </c>
      <c r="J101" s="52">
        <v>0.658964842664435</v>
      </c>
      <c r="K101" s="52">
        <v>3</v>
      </c>
      <c r="L101" s="50">
        <f t="shared" si="10"/>
        <v>0.47712125471966244</v>
      </c>
      <c r="M101" s="52">
        <v>85</v>
      </c>
      <c r="N101" s="50">
        <f t="shared" si="11"/>
        <v>1.9294189257142926</v>
      </c>
      <c r="O101" s="52">
        <v>25.4</v>
      </c>
      <c r="P101" s="50">
        <f t="shared" si="12"/>
        <v>1.4048337166199381</v>
      </c>
      <c r="Q101" s="52">
        <v>36.691491429861301</v>
      </c>
      <c r="R101" s="50">
        <f t="shared" si="13"/>
        <v>1.5645653652472133</v>
      </c>
      <c r="S101" s="52">
        <v>3.3647319918335836</v>
      </c>
      <c r="T101" s="52">
        <v>3.568659604598353</v>
      </c>
      <c r="U101" s="187">
        <v>2610000000</v>
      </c>
      <c r="V101" s="186">
        <f t="shared" si="14"/>
        <v>9.4166405073382808</v>
      </c>
      <c r="W101" s="52">
        <v>5</v>
      </c>
      <c r="X101" s="68" t="s">
        <v>602</v>
      </c>
      <c r="Y101" s="137">
        <f t="shared" si="15"/>
        <v>0</v>
      </c>
    </row>
    <row r="102" spans="1:25" x14ac:dyDescent="0.35">
      <c r="A102" s="49">
        <v>-3.9250864638126763E-2</v>
      </c>
      <c r="B102" s="50" t="s">
        <v>2</v>
      </c>
      <c r="C102" s="50">
        <v>3.4109589041095889</v>
      </c>
      <c r="D102" s="50">
        <f t="shared" si="8"/>
        <v>0.53287648697528045</v>
      </c>
      <c r="E102" s="50">
        <v>3.8335760926148099</v>
      </c>
      <c r="F102" s="50">
        <v>0.90308998699194354</v>
      </c>
      <c r="G102" s="50">
        <v>2.85</v>
      </c>
      <c r="H102" s="50">
        <f t="shared" si="9"/>
        <v>0.45484486000851021</v>
      </c>
      <c r="I102" s="50">
        <v>2.9138138523837167</v>
      </c>
      <c r="J102" s="50">
        <v>0.14612803567823801</v>
      </c>
      <c r="K102" s="50">
        <v>18</v>
      </c>
      <c r="L102" s="50">
        <f t="shared" si="10"/>
        <v>1.255272505103306</v>
      </c>
      <c r="M102" s="50">
        <v>70</v>
      </c>
      <c r="N102" s="50">
        <f t="shared" si="11"/>
        <v>1.8450980400142569</v>
      </c>
      <c r="O102" s="50">
        <v>34.6</v>
      </c>
      <c r="P102" s="50">
        <f t="shared" si="12"/>
        <v>1.5390760987927767</v>
      </c>
      <c r="Q102" s="50">
        <v>47.8156192569637</v>
      </c>
      <c r="R102" s="50">
        <f t="shared" si="13"/>
        <v>1.6795697846681461</v>
      </c>
      <c r="S102" s="50">
        <v>3.3647319918335836</v>
      </c>
      <c r="T102" s="50">
        <v>3.568659604598353</v>
      </c>
      <c r="U102" s="186">
        <v>2651750000</v>
      </c>
      <c r="V102" s="186">
        <f t="shared" si="14"/>
        <v>9.4235325775237104</v>
      </c>
      <c r="W102" s="50">
        <v>8</v>
      </c>
      <c r="X102" s="66" t="s">
        <v>602</v>
      </c>
      <c r="Y102" s="137">
        <f t="shared" si="15"/>
        <v>1</v>
      </c>
    </row>
    <row r="103" spans="1:25" x14ac:dyDescent="0.35">
      <c r="A103" s="67">
        <v>2.4976673383919339E-2</v>
      </c>
      <c r="B103" s="52" t="s">
        <v>45</v>
      </c>
      <c r="C103" s="52">
        <v>10.846575342465753</v>
      </c>
      <c r="D103" s="50">
        <f t="shared" si="8"/>
        <v>1.0352926372957298</v>
      </c>
      <c r="E103" s="52">
        <v>0</v>
      </c>
      <c r="F103" s="52">
        <v>1.3222192947339193</v>
      </c>
      <c r="G103" s="52">
        <v>2.95</v>
      </c>
      <c r="H103" s="50">
        <f t="shared" si="9"/>
        <v>0.46982201597816303</v>
      </c>
      <c r="I103" s="52">
        <v>0</v>
      </c>
      <c r="J103" s="52">
        <v>-0.11918640771920865</v>
      </c>
      <c r="K103" s="52">
        <v>20</v>
      </c>
      <c r="L103" s="50">
        <f t="shared" si="10"/>
        <v>1.3010299956639813</v>
      </c>
      <c r="M103" s="52">
        <v>85</v>
      </c>
      <c r="N103" s="50">
        <f t="shared" si="11"/>
        <v>1.9294189257142926</v>
      </c>
      <c r="O103" s="52">
        <v>27.8</v>
      </c>
      <c r="P103" s="50">
        <f t="shared" si="12"/>
        <v>1.4440447959180762</v>
      </c>
      <c r="Q103" s="52">
        <v>34.656907836978597</v>
      </c>
      <c r="R103" s="50">
        <f t="shared" si="13"/>
        <v>1.5397898114291337</v>
      </c>
      <c r="S103" s="52">
        <v>3.3879249110011078</v>
      </c>
      <c r="T103" s="52">
        <v>3.9424034595709814</v>
      </c>
      <c r="U103" s="187">
        <v>2652000000</v>
      </c>
      <c r="V103" s="186">
        <f t="shared" si="14"/>
        <v>9.4235735197327362</v>
      </c>
      <c r="W103" s="52">
        <v>4</v>
      </c>
      <c r="X103" s="68" t="s">
        <v>602</v>
      </c>
      <c r="Y103" s="137">
        <f t="shared" si="15"/>
        <v>0</v>
      </c>
    </row>
    <row r="104" spans="1:25" x14ac:dyDescent="0.35">
      <c r="A104" s="49">
        <v>0.10168862928688671</v>
      </c>
      <c r="B104" s="50" t="s">
        <v>2</v>
      </c>
      <c r="C104" s="50">
        <v>6.5780821917808217</v>
      </c>
      <c r="D104" s="50">
        <f t="shared" si="8"/>
        <v>0.81809929560055261</v>
      </c>
      <c r="E104" s="50">
        <v>2.9629325585580042</v>
      </c>
      <c r="F104" s="50">
        <v>0.3010299956639812</v>
      </c>
      <c r="G104" s="50">
        <v>2.62</v>
      </c>
      <c r="H104" s="50">
        <f t="shared" si="9"/>
        <v>0.41830129131974547</v>
      </c>
      <c r="I104" s="50">
        <v>2.9323046139517812</v>
      </c>
      <c r="J104" s="50">
        <v>4.1392685158225077E-2</v>
      </c>
      <c r="K104" s="50">
        <v>17</v>
      </c>
      <c r="L104" s="50">
        <f t="shared" si="10"/>
        <v>1.2304489213782739</v>
      </c>
      <c r="M104" s="50">
        <v>70</v>
      </c>
      <c r="N104" s="50">
        <f t="shared" si="11"/>
        <v>1.8450980400142569</v>
      </c>
      <c r="O104" s="50">
        <v>34.6</v>
      </c>
      <c r="P104" s="50">
        <f t="shared" si="12"/>
        <v>1.5390760987927767</v>
      </c>
      <c r="Q104" s="50">
        <v>47.8156192569637</v>
      </c>
      <c r="R104" s="50">
        <f t="shared" si="13"/>
        <v>1.6795697846681461</v>
      </c>
      <c r="S104" s="50">
        <v>3.2188271541979425</v>
      </c>
      <c r="T104" s="50">
        <v>3.7570584504768405</v>
      </c>
      <c r="U104" s="186">
        <v>2769360000</v>
      </c>
      <c r="V104" s="186">
        <f t="shared" si="14"/>
        <v>9.4423794150633888</v>
      </c>
      <c r="W104" s="50">
        <v>4</v>
      </c>
      <c r="X104" s="66" t="s">
        <v>577</v>
      </c>
      <c r="Y104" s="137">
        <f t="shared" si="15"/>
        <v>1</v>
      </c>
    </row>
    <row r="105" spans="1:25" x14ac:dyDescent="0.35">
      <c r="A105" s="67">
        <v>-0.45526052387525323</v>
      </c>
      <c r="B105" s="52" t="s">
        <v>497</v>
      </c>
      <c r="C105" s="52">
        <v>6.1698630136986301</v>
      </c>
      <c r="D105" s="50">
        <f t="shared" si="8"/>
        <v>0.79027552172283388</v>
      </c>
      <c r="E105" s="52">
        <v>3.7358167906061537</v>
      </c>
      <c r="F105" s="52">
        <v>1.4623979978989561</v>
      </c>
      <c r="G105" s="52">
        <v>2.91</v>
      </c>
      <c r="H105" s="50">
        <f t="shared" si="9"/>
        <v>0.46389298898590731</v>
      </c>
      <c r="I105" s="52">
        <v>2.103233406386928</v>
      </c>
      <c r="J105" s="52">
        <v>4.5322978786657475E-2</v>
      </c>
      <c r="K105" s="52">
        <v>21</v>
      </c>
      <c r="L105" s="50">
        <f t="shared" si="10"/>
        <v>1.3222192947339193</v>
      </c>
      <c r="M105" s="52">
        <v>85</v>
      </c>
      <c r="N105" s="50">
        <f t="shared" si="11"/>
        <v>1.9294189257142926</v>
      </c>
      <c r="O105" s="52">
        <v>29.4</v>
      </c>
      <c r="P105" s="50">
        <f t="shared" si="12"/>
        <v>1.4683473304121573</v>
      </c>
      <c r="Q105" s="52">
        <v>33.3433362985758</v>
      </c>
      <c r="R105" s="50">
        <f t="shared" si="13"/>
        <v>1.5230090527076294</v>
      </c>
      <c r="S105" s="52">
        <v>3.20911860699078</v>
      </c>
      <c r="T105" s="52">
        <v>3.5849986651910224</v>
      </c>
      <c r="U105" s="187">
        <v>2926900000</v>
      </c>
      <c r="V105" s="186">
        <f t="shared" si="14"/>
        <v>9.4664078846510513</v>
      </c>
      <c r="W105" s="52">
        <v>2</v>
      </c>
      <c r="X105" s="68" t="s">
        <v>45</v>
      </c>
      <c r="Y105" s="137">
        <f t="shared" si="15"/>
        <v>1</v>
      </c>
    </row>
    <row r="106" spans="1:25" x14ac:dyDescent="0.35">
      <c r="A106" s="49">
        <v>0.23942674605560585</v>
      </c>
      <c r="B106" s="50" t="s">
        <v>45</v>
      </c>
      <c r="C106" s="50">
        <v>5.3780821917808215</v>
      </c>
      <c r="D106" s="50">
        <f t="shared" si="8"/>
        <v>0.73062743514353146</v>
      </c>
      <c r="E106" s="50">
        <v>0</v>
      </c>
      <c r="F106" s="50">
        <v>1.6334684555795864</v>
      </c>
      <c r="G106" s="50">
        <v>2.95</v>
      </c>
      <c r="H106" s="50">
        <f t="shared" si="9"/>
        <v>0.46982201597816303</v>
      </c>
      <c r="I106" s="50">
        <v>0</v>
      </c>
      <c r="J106" s="50">
        <v>0.26481782300953643</v>
      </c>
      <c r="K106" s="50">
        <v>11</v>
      </c>
      <c r="L106" s="50">
        <f t="shared" si="10"/>
        <v>1.0413926851582251</v>
      </c>
      <c r="M106" s="50">
        <v>91.3</v>
      </c>
      <c r="N106" s="50">
        <f t="shared" si="11"/>
        <v>1.9604707775342989</v>
      </c>
      <c r="O106" s="50">
        <v>23.5</v>
      </c>
      <c r="P106" s="50">
        <f t="shared" si="12"/>
        <v>1.3710678622717363</v>
      </c>
      <c r="Q106" s="50">
        <v>43.1672842383418</v>
      </c>
      <c r="R106" s="50">
        <f t="shared" si="13"/>
        <v>1.6351547269652249</v>
      </c>
      <c r="S106" s="50">
        <v>3.5168755324519045</v>
      </c>
      <c r="T106" s="50">
        <v>3.8089018284940463</v>
      </c>
      <c r="U106" s="186">
        <v>2996240000</v>
      </c>
      <c r="V106" s="186">
        <f t="shared" si="14"/>
        <v>9.4765765975791929</v>
      </c>
      <c r="W106" s="50">
        <v>9</v>
      </c>
      <c r="X106" s="66" t="s">
        <v>602</v>
      </c>
      <c r="Y106" s="137">
        <f t="shared" si="15"/>
        <v>0</v>
      </c>
    </row>
    <row r="107" spans="1:25" x14ac:dyDescent="0.35">
      <c r="A107" s="67">
        <v>7.789513949433749E-2</v>
      </c>
      <c r="B107" s="52" t="s">
        <v>7</v>
      </c>
      <c r="C107" s="52">
        <v>4.2767123287671236</v>
      </c>
      <c r="D107" s="50">
        <f t="shared" si="8"/>
        <v>0.63111003860594284</v>
      </c>
      <c r="E107" s="52">
        <v>2.6903467274930635</v>
      </c>
      <c r="F107" s="52">
        <v>1.6127838567197355</v>
      </c>
      <c r="G107" s="52">
        <v>2.59</v>
      </c>
      <c r="H107" s="50">
        <f t="shared" si="9"/>
        <v>0.4132997640812518</v>
      </c>
      <c r="I107" s="52">
        <v>2.7508939203821252</v>
      </c>
      <c r="J107" s="52">
        <v>0.20682587603184968</v>
      </c>
      <c r="K107" s="52">
        <v>32</v>
      </c>
      <c r="L107" s="50">
        <f t="shared" si="10"/>
        <v>1.505149978319906</v>
      </c>
      <c r="M107" s="52">
        <v>74.8</v>
      </c>
      <c r="N107" s="50">
        <f t="shared" si="11"/>
        <v>1.8739015978644613</v>
      </c>
      <c r="O107" s="52">
        <v>38.299999999999997</v>
      </c>
      <c r="P107" s="50">
        <f t="shared" si="12"/>
        <v>1.5831987739686226</v>
      </c>
      <c r="Q107" s="52">
        <v>43.321936809724697</v>
      </c>
      <c r="R107" s="50">
        <f t="shared" si="13"/>
        <v>1.6367078645500728</v>
      </c>
      <c r="S107" s="52">
        <v>3.2224645332922388</v>
      </c>
      <c r="T107" s="52">
        <v>3.707126713924402</v>
      </c>
      <c r="U107" s="187">
        <v>3100000000</v>
      </c>
      <c r="V107" s="186">
        <f t="shared" si="14"/>
        <v>9.4913616938342731</v>
      </c>
      <c r="W107" s="52">
        <v>1</v>
      </c>
      <c r="X107" s="68" t="s">
        <v>59</v>
      </c>
      <c r="Y107" s="137">
        <f t="shared" si="15"/>
        <v>1</v>
      </c>
    </row>
    <row r="108" spans="1:25" x14ac:dyDescent="0.35">
      <c r="A108" s="49">
        <v>0.15209098265191479</v>
      </c>
      <c r="B108" s="50" t="s">
        <v>45</v>
      </c>
      <c r="C108" s="50">
        <v>3.4493150684931506</v>
      </c>
      <c r="D108" s="50">
        <f t="shared" si="8"/>
        <v>0.53773286565138789</v>
      </c>
      <c r="E108" s="50">
        <v>3.7707754512906644</v>
      </c>
      <c r="F108" s="50">
        <v>1.4913616938342726</v>
      </c>
      <c r="G108" s="50">
        <v>2.3199999999999998</v>
      </c>
      <c r="H108" s="50">
        <f t="shared" si="9"/>
        <v>0.36548798489089962</v>
      </c>
      <c r="I108" s="50">
        <v>2.1238516409670858</v>
      </c>
      <c r="J108" s="50">
        <v>0.2253092817258629</v>
      </c>
      <c r="K108" s="50">
        <v>24</v>
      </c>
      <c r="L108" s="50">
        <f t="shared" si="10"/>
        <v>1.3802112417116059</v>
      </c>
      <c r="M108" s="50">
        <v>91.3</v>
      </c>
      <c r="N108" s="50">
        <f t="shared" si="11"/>
        <v>1.9604707775342989</v>
      </c>
      <c r="O108" s="50">
        <v>23.5</v>
      </c>
      <c r="P108" s="50">
        <f t="shared" si="12"/>
        <v>1.3710678622717363</v>
      </c>
      <c r="Q108" s="50">
        <v>43.1672842383418</v>
      </c>
      <c r="R108" s="50">
        <f t="shared" si="13"/>
        <v>1.6351547269652249</v>
      </c>
      <c r="S108" s="50">
        <v>3.5168755371419098</v>
      </c>
      <c r="T108" s="50">
        <v>3.8089017822076054</v>
      </c>
      <c r="U108" s="186">
        <v>3100000000</v>
      </c>
      <c r="V108" s="186">
        <f t="shared" si="14"/>
        <v>9.4913616938342731</v>
      </c>
      <c r="W108" s="50">
        <v>7</v>
      </c>
      <c r="X108" s="66" t="s">
        <v>59</v>
      </c>
      <c r="Y108" s="137">
        <f t="shared" si="15"/>
        <v>1</v>
      </c>
    </row>
    <row r="109" spans="1:25" x14ac:dyDescent="0.35">
      <c r="A109" s="67">
        <v>0.40977416807183031</v>
      </c>
      <c r="B109" s="52" t="s">
        <v>45</v>
      </c>
      <c r="C109" s="52">
        <v>2.956164383561644</v>
      </c>
      <c r="D109" s="50">
        <f t="shared" si="8"/>
        <v>0.47072858022643599</v>
      </c>
      <c r="E109" s="52">
        <v>0</v>
      </c>
      <c r="F109" s="52">
        <v>1</v>
      </c>
      <c r="G109" s="52">
        <v>2.95</v>
      </c>
      <c r="H109" s="50">
        <f t="shared" si="9"/>
        <v>0.46982201597816303</v>
      </c>
      <c r="I109" s="52">
        <v>0</v>
      </c>
      <c r="J109" s="52">
        <v>0.12057393120584989</v>
      </c>
      <c r="K109" s="52">
        <v>19</v>
      </c>
      <c r="L109" s="50">
        <f t="shared" si="10"/>
        <v>1.2787536009528289</v>
      </c>
      <c r="M109" s="52">
        <v>85</v>
      </c>
      <c r="N109" s="50">
        <f t="shared" si="11"/>
        <v>1.9294189257142926</v>
      </c>
      <c r="O109" s="52">
        <v>24.6</v>
      </c>
      <c r="P109" s="50">
        <f t="shared" si="12"/>
        <v>1.3909351071033791</v>
      </c>
      <c r="Q109" s="52">
        <v>36.876470987978301</v>
      </c>
      <c r="R109" s="50">
        <f t="shared" si="13"/>
        <v>1.5667493531684615</v>
      </c>
      <c r="S109" s="52">
        <v>3.3647319918335836</v>
      </c>
      <c r="T109" s="52">
        <v>3.568659604598353</v>
      </c>
      <c r="U109" s="187">
        <v>3113980000</v>
      </c>
      <c r="V109" s="186">
        <f t="shared" si="14"/>
        <v>9.493315818920113</v>
      </c>
      <c r="W109" s="52">
        <v>5</v>
      </c>
      <c r="X109" s="68" t="s">
        <v>45</v>
      </c>
      <c r="Y109" s="137">
        <f t="shared" si="15"/>
        <v>0</v>
      </c>
    </row>
    <row r="110" spans="1:25" x14ac:dyDescent="0.35">
      <c r="A110" s="49">
        <v>0.32900742703280411</v>
      </c>
      <c r="B110" s="50" t="s">
        <v>45</v>
      </c>
      <c r="C110" s="50">
        <v>2.0986301369863014</v>
      </c>
      <c r="D110" s="50">
        <f t="shared" si="8"/>
        <v>0.32193590517612924</v>
      </c>
      <c r="E110" s="50">
        <v>3.8229763963637051</v>
      </c>
      <c r="F110" s="50">
        <v>1.5440680443502757</v>
      </c>
      <c r="G110" s="50">
        <v>3.03</v>
      </c>
      <c r="H110" s="50">
        <f t="shared" si="9"/>
        <v>0.48144262850230496</v>
      </c>
      <c r="I110" s="50">
        <v>2.7113853790984517</v>
      </c>
      <c r="J110" s="50">
        <v>4.1392685158225077E-2</v>
      </c>
      <c r="K110" s="50">
        <v>18</v>
      </c>
      <c r="L110" s="50">
        <f t="shared" si="10"/>
        <v>1.255272505103306</v>
      </c>
      <c r="M110" s="50">
        <v>89.2</v>
      </c>
      <c r="N110" s="50">
        <f t="shared" si="11"/>
        <v>1.9503648543761232</v>
      </c>
      <c r="O110" s="50">
        <v>26</v>
      </c>
      <c r="P110" s="50">
        <f t="shared" si="12"/>
        <v>1.414973347970818</v>
      </c>
      <c r="Q110" s="50">
        <v>38.344872802923099</v>
      </c>
      <c r="R110" s="50">
        <f t="shared" si="13"/>
        <v>1.5837073014724459</v>
      </c>
      <c r="S110" s="50">
        <v>3.1532162502154288</v>
      </c>
      <c r="T110" s="50">
        <v>3.5175748361336181</v>
      </c>
      <c r="U110" s="186">
        <v>3191180520</v>
      </c>
      <c r="V110" s="186">
        <f t="shared" si="14"/>
        <v>9.5039513722356226</v>
      </c>
      <c r="W110" s="50">
        <v>2</v>
      </c>
      <c r="X110" s="66" t="s">
        <v>489</v>
      </c>
      <c r="Y110" s="137">
        <f t="shared" si="15"/>
        <v>1</v>
      </c>
    </row>
    <row r="111" spans="1:25" x14ac:dyDescent="0.35">
      <c r="A111" s="67">
        <v>-4.1392685158225057E-2</v>
      </c>
      <c r="B111" s="52" t="s">
        <v>45</v>
      </c>
      <c r="C111" s="52">
        <v>5.6520547945205477</v>
      </c>
      <c r="D111" s="50">
        <f t="shared" si="8"/>
        <v>0.7522063635166768</v>
      </c>
      <c r="E111" s="52">
        <v>0</v>
      </c>
      <c r="F111" s="52">
        <v>1.255272505103306</v>
      </c>
      <c r="G111" s="52">
        <v>2.95</v>
      </c>
      <c r="H111" s="50">
        <f t="shared" si="9"/>
        <v>0.46982201597816303</v>
      </c>
      <c r="I111" s="52">
        <v>0</v>
      </c>
      <c r="J111" s="52">
        <v>0.26951294421791627</v>
      </c>
      <c r="K111" s="52">
        <v>25</v>
      </c>
      <c r="L111" s="50">
        <f t="shared" si="10"/>
        <v>1.3979400086720377</v>
      </c>
      <c r="M111" s="52">
        <v>91.1</v>
      </c>
      <c r="N111" s="50">
        <f t="shared" si="11"/>
        <v>1.9595183769729982</v>
      </c>
      <c r="O111" s="52">
        <v>24.1</v>
      </c>
      <c r="P111" s="50">
        <f t="shared" si="12"/>
        <v>1.3820170425748683</v>
      </c>
      <c r="Q111" s="52">
        <v>40.229046020662899</v>
      </c>
      <c r="R111" s="50">
        <f t="shared" si="13"/>
        <v>1.6045397339663818</v>
      </c>
      <c r="S111" s="52">
        <v>3.0958500844125241</v>
      </c>
      <c r="T111" s="52">
        <v>3.5078178355445662</v>
      </c>
      <c r="U111" s="187">
        <v>3300000000</v>
      </c>
      <c r="V111" s="186">
        <f t="shared" si="14"/>
        <v>9.518513939877888</v>
      </c>
      <c r="W111" s="52">
        <v>4</v>
      </c>
      <c r="X111" s="68" t="s">
        <v>45</v>
      </c>
      <c r="Y111" s="137">
        <f t="shared" si="15"/>
        <v>0</v>
      </c>
    </row>
    <row r="112" spans="1:25" x14ac:dyDescent="0.35">
      <c r="A112" s="49">
        <v>-1.0669467896306131</v>
      </c>
      <c r="B112" s="50" t="s">
        <v>45</v>
      </c>
      <c r="C112" s="50">
        <v>9.5287671232876718</v>
      </c>
      <c r="D112" s="50">
        <f t="shared" si="8"/>
        <v>0.97903671321021901</v>
      </c>
      <c r="E112" s="50">
        <v>0</v>
      </c>
      <c r="F112" s="50">
        <v>1.4313637641589874</v>
      </c>
      <c r="G112" s="50">
        <v>2.95</v>
      </c>
      <c r="H112" s="50">
        <f t="shared" si="9"/>
        <v>0.46982201597816303</v>
      </c>
      <c r="I112" s="50">
        <v>0</v>
      </c>
      <c r="J112" s="50">
        <v>0.32428245529769273</v>
      </c>
      <c r="K112" s="50">
        <v>23</v>
      </c>
      <c r="L112" s="50">
        <f t="shared" si="10"/>
        <v>1.3617278360175928</v>
      </c>
      <c r="M112" s="50">
        <v>92.6</v>
      </c>
      <c r="N112" s="50">
        <f t="shared" si="11"/>
        <v>1.9666109866819343</v>
      </c>
      <c r="O112" s="50">
        <v>25.7</v>
      </c>
      <c r="P112" s="50">
        <f t="shared" si="12"/>
        <v>1.4099331233312946</v>
      </c>
      <c r="Q112" s="50">
        <v>39.823361151429197</v>
      </c>
      <c r="R112" s="50">
        <f t="shared" si="13"/>
        <v>1.6001379123442065</v>
      </c>
      <c r="S112" s="50">
        <v>3.3647319918335836</v>
      </c>
      <c r="T112" s="50">
        <v>3.568659604598353</v>
      </c>
      <c r="U112" s="186">
        <v>3500000000</v>
      </c>
      <c r="V112" s="186">
        <f t="shared" si="14"/>
        <v>9.5440680443502757</v>
      </c>
      <c r="W112" s="50">
        <v>4</v>
      </c>
      <c r="X112" s="66" t="s">
        <v>602</v>
      </c>
      <c r="Y112" s="137">
        <f t="shared" si="15"/>
        <v>0</v>
      </c>
    </row>
    <row r="113" spans="1:25" x14ac:dyDescent="0.35">
      <c r="A113" s="67">
        <v>-0.83366857823347484</v>
      </c>
      <c r="B113" s="52" t="s">
        <v>45</v>
      </c>
      <c r="C113" s="52">
        <v>5.0027397260273974</v>
      </c>
      <c r="D113" s="50">
        <f t="shared" si="8"/>
        <v>0.6992079087418055</v>
      </c>
      <c r="E113" s="52">
        <v>0</v>
      </c>
      <c r="F113" s="52">
        <v>1.7634279935629373</v>
      </c>
      <c r="G113" s="52">
        <v>2.95</v>
      </c>
      <c r="H113" s="50">
        <f t="shared" si="9"/>
        <v>0.46982201597816303</v>
      </c>
      <c r="I113" s="52">
        <v>0</v>
      </c>
      <c r="J113" s="52">
        <v>0.29797924415936239</v>
      </c>
      <c r="K113" s="52">
        <v>10</v>
      </c>
      <c r="L113" s="50">
        <f t="shared" si="10"/>
        <v>1</v>
      </c>
      <c r="M113" s="52">
        <v>85</v>
      </c>
      <c r="N113" s="50">
        <f t="shared" si="11"/>
        <v>1.9294189257142926</v>
      </c>
      <c r="O113" s="52">
        <v>24.6</v>
      </c>
      <c r="P113" s="50">
        <f t="shared" si="12"/>
        <v>1.3909351071033791</v>
      </c>
      <c r="Q113" s="52">
        <v>37.767307016657</v>
      </c>
      <c r="R113" s="50">
        <f t="shared" si="13"/>
        <v>1.5771160187300453</v>
      </c>
      <c r="S113" s="52">
        <v>3.0687415514991745</v>
      </c>
      <c r="T113" s="52">
        <v>3.5297005493117593</v>
      </c>
      <c r="U113" s="187">
        <v>3600000000</v>
      </c>
      <c r="V113" s="186">
        <f t="shared" si="14"/>
        <v>9.5563025007672877</v>
      </c>
      <c r="W113" s="52">
        <v>8</v>
      </c>
      <c r="X113" s="68" t="s">
        <v>45</v>
      </c>
      <c r="Y113" s="137">
        <f t="shared" si="15"/>
        <v>0</v>
      </c>
    </row>
    <row r="114" spans="1:25" x14ac:dyDescent="0.35">
      <c r="A114" s="49">
        <v>0.20687222820953113</v>
      </c>
      <c r="B114" s="50" t="s">
        <v>45</v>
      </c>
      <c r="C114" s="50">
        <v>1.1369863013698631</v>
      </c>
      <c r="D114" s="50">
        <f t="shared" si="8"/>
        <v>5.5755232255618042E-2</v>
      </c>
      <c r="E114" s="50">
        <v>0</v>
      </c>
      <c r="F114" s="50">
        <v>0.6020599913279624</v>
      </c>
      <c r="G114" s="50">
        <v>2.95</v>
      </c>
      <c r="H114" s="50">
        <f t="shared" si="9"/>
        <v>0.46982201597816303</v>
      </c>
      <c r="I114" s="50">
        <v>0</v>
      </c>
      <c r="J114" s="50">
        <v>2.5305865264770262E-2</v>
      </c>
      <c r="K114" s="50">
        <v>12</v>
      </c>
      <c r="L114" s="50">
        <f t="shared" si="10"/>
        <v>1.0791812460476249</v>
      </c>
      <c r="M114" s="50">
        <v>85</v>
      </c>
      <c r="N114" s="50">
        <f t="shared" si="11"/>
        <v>1.9294189257142926</v>
      </c>
      <c r="O114" s="50">
        <v>24.6</v>
      </c>
      <c r="P114" s="50">
        <f t="shared" si="12"/>
        <v>1.3909351071033791</v>
      </c>
      <c r="Q114" s="50">
        <v>36.876470987978301</v>
      </c>
      <c r="R114" s="50">
        <f t="shared" si="13"/>
        <v>1.5667493531684615</v>
      </c>
      <c r="S114" s="50">
        <v>3.1628767233771686</v>
      </c>
      <c r="T114" s="50">
        <v>3.6087947637270492</v>
      </c>
      <c r="U114" s="186">
        <v>3602100000</v>
      </c>
      <c r="V114" s="186">
        <f t="shared" si="14"/>
        <v>9.5565557653534068</v>
      </c>
      <c r="W114" s="50">
        <v>10</v>
      </c>
      <c r="X114" s="66" t="s">
        <v>602</v>
      </c>
      <c r="Y114" s="137">
        <f t="shared" si="15"/>
        <v>0</v>
      </c>
    </row>
    <row r="115" spans="1:25" x14ac:dyDescent="0.35">
      <c r="A115" s="67">
        <v>-1.6751726094119797E-2</v>
      </c>
      <c r="B115" s="52" t="s">
        <v>163</v>
      </c>
      <c r="C115" s="52">
        <v>12.304109589041095</v>
      </c>
      <c r="D115" s="50">
        <f t="shared" si="8"/>
        <v>1.0900501906062401</v>
      </c>
      <c r="E115" s="52">
        <v>2.5362300726332561</v>
      </c>
      <c r="F115" s="52">
        <v>1.4471580313422192</v>
      </c>
      <c r="G115" s="52">
        <v>2.3199999999999998</v>
      </c>
      <c r="H115" s="50">
        <f t="shared" si="9"/>
        <v>0.36548798489089962</v>
      </c>
      <c r="I115" s="52">
        <v>2.756001823801419</v>
      </c>
      <c r="J115" s="52">
        <v>0.36548798489089973</v>
      </c>
      <c r="K115" s="52">
        <v>68</v>
      </c>
      <c r="L115" s="50">
        <f t="shared" si="10"/>
        <v>1.8325089127062364</v>
      </c>
      <c r="M115" s="52">
        <v>70</v>
      </c>
      <c r="N115" s="50">
        <f t="shared" si="11"/>
        <v>1.8450980400142569</v>
      </c>
      <c r="O115" s="52">
        <v>42.4</v>
      </c>
      <c r="P115" s="50">
        <f t="shared" si="12"/>
        <v>1.6273658565927327</v>
      </c>
      <c r="Q115" s="52">
        <v>52.795294707427601</v>
      </c>
      <c r="R115" s="50">
        <f t="shared" si="13"/>
        <v>1.7225952184872551</v>
      </c>
      <c r="S115" s="52">
        <v>3.3314213062933389</v>
      </c>
      <c r="T115" s="52">
        <v>3.884802064783424</v>
      </c>
      <c r="U115" s="187">
        <v>3700000000</v>
      </c>
      <c r="V115" s="186">
        <f t="shared" si="14"/>
        <v>9.568201724066995</v>
      </c>
      <c r="W115" s="52">
        <v>4</v>
      </c>
      <c r="X115" s="68" t="s">
        <v>59</v>
      </c>
      <c r="Y115" s="137">
        <f t="shared" si="15"/>
        <v>1</v>
      </c>
    </row>
    <row r="116" spans="1:25" x14ac:dyDescent="0.35">
      <c r="A116" s="49">
        <v>-0.22552947730400111</v>
      </c>
      <c r="B116" s="50" t="s">
        <v>45</v>
      </c>
      <c r="C116" s="50">
        <v>5.8273972602739725</v>
      </c>
      <c r="D116" s="50">
        <f t="shared" si="8"/>
        <v>0.76547462544625422</v>
      </c>
      <c r="E116" s="50">
        <v>0</v>
      </c>
      <c r="F116" s="50">
        <v>1.5563025007672873</v>
      </c>
      <c r="G116" s="50">
        <v>2.95</v>
      </c>
      <c r="H116" s="50">
        <f t="shared" si="9"/>
        <v>0.46982201597816303</v>
      </c>
      <c r="I116" s="50">
        <v>0</v>
      </c>
      <c r="J116" s="50">
        <v>0.2253092817258629</v>
      </c>
      <c r="K116" s="50">
        <v>24</v>
      </c>
      <c r="L116" s="50">
        <f t="shared" si="10"/>
        <v>1.3802112417116059</v>
      </c>
      <c r="M116" s="50">
        <v>91</v>
      </c>
      <c r="N116" s="50">
        <f t="shared" si="11"/>
        <v>1.9590413923210936</v>
      </c>
      <c r="O116" s="50">
        <v>23.9</v>
      </c>
      <c r="P116" s="50">
        <f t="shared" si="12"/>
        <v>1.3783979009481377</v>
      </c>
      <c r="Q116" s="50">
        <v>42.048698215007001</v>
      </c>
      <c r="R116" s="50">
        <f t="shared" si="13"/>
        <v>1.6237525550259535</v>
      </c>
      <c r="S116" s="50">
        <v>3.0958500844125241</v>
      </c>
      <c r="T116" s="50">
        <v>3.5078178355445662</v>
      </c>
      <c r="U116" s="186">
        <v>3787800000</v>
      </c>
      <c r="V116" s="186">
        <f t="shared" si="14"/>
        <v>9.5783870397109983</v>
      </c>
      <c r="W116" s="50">
        <v>9</v>
      </c>
      <c r="X116" s="66" t="s">
        <v>602</v>
      </c>
      <c r="Y116" s="137">
        <f t="shared" si="15"/>
        <v>0</v>
      </c>
    </row>
    <row r="117" spans="1:25" x14ac:dyDescent="0.35">
      <c r="A117" s="67">
        <v>0.34233982334284546</v>
      </c>
      <c r="B117" s="52" t="s">
        <v>45</v>
      </c>
      <c r="C117" s="52">
        <v>5.7753424657534245</v>
      </c>
      <c r="D117" s="50">
        <f t="shared" si="8"/>
        <v>0.76157774208403428</v>
      </c>
      <c r="E117" s="52">
        <v>0</v>
      </c>
      <c r="F117" s="52">
        <v>2.1903316981702914</v>
      </c>
      <c r="G117" s="52">
        <v>2.95</v>
      </c>
      <c r="H117" s="50">
        <f t="shared" si="9"/>
        <v>0.46982201597816303</v>
      </c>
      <c r="I117" s="52">
        <v>0</v>
      </c>
      <c r="J117" s="52">
        <v>2.9383777685209667E-2</v>
      </c>
      <c r="K117" s="52">
        <v>28</v>
      </c>
      <c r="L117" s="50">
        <f t="shared" si="10"/>
        <v>1.4471580313422192</v>
      </c>
      <c r="M117" s="52">
        <v>91.4</v>
      </c>
      <c r="N117" s="50">
        <f t="shared" si="11"/>
        <v>1.9609461957338314</v>
      </c>
      <c r="O117" s="52">
        <v>26.7</v>
      </c>
      <c r="P117" s="50">
        <f t="shared" si="12"/>
        <v>1.4265112613645752</v>
      </c>
      <c r="Q117" s="52">
        <v>37.425715444240403</v>
      </c>
      <c r="R117" s="50">
        <f t="shared" si="13"/>
        <v>1.5731701112332821</v>
      </c>
      <c r="S117" s="52">
        <v>3.3879249110011078</v>
      </c>
      <c r="T117" s="52">
        <v>3.9424034595709814</v>
      </c>
      <c r="U117" s="187">
        <v>3955300000</v>
      </c>
      <c r="V117" s="186">
        <f t="shared" si="14"/>
        <v>9.5971794292757728</v>
      </c>
      <c r="W117" s="52">
        <v>2</v>
      </c>
      <c r="X117" s="68" t="s">
        <v>602</v>
      </c>
      <c r="Y117" s="137">
        <f t="shared" si="15"/>
        <v>0</v>
      </c>
    </row>
    <row r="118" spans="1:25" x14ac:dyDescent="0.35">
      <c r="A118" s="49">
        <v>-1.8149438169419448E-2</v>
      </c>
      <c r="B118" s="50" t="s">
        <v>4</v>
      </c>
      <c r="C118" s="50">
        <v>6.8931506849315065</v>
      </c>
      <c r="D118" s="50">
        <f t="shared" si="8"/>
        <v>0.83841777231675663</v>
      </c>
      <c r="E118" s="50">
        <v>0</v>
      </c>
      <c r="F118" s="50">
        <v>1.6334684555795864</v>
      </c>
      <c r="G118" s="50">
        <v>3.59</v>
      </c>
      <c r="H118" s="50">
        <f t="shared" si="9"/>
        <v>0.55509444857831913</v>
      </c>
      <c r="I118" s="50">
        <v>0</v>
      </c>
      <c r="J118" s="50">
        <v>0.12057393120584989</v>
      </c>
      <c r="K118" s="50">
        <v>12</v>
      </c>
      <c r="L118" s="50">
        <f t="shared" si="10"/>
        <v>1.0791812460476249</v>
      </c>
      <c r="M118" s="50">
        <v>96.1</v>
      </c>
      <c r="N118" s="50">
        <f t="shared" si="11"/>
        <v>1.9827233876685453</v>
      </c>
      <c r="O118" s="50">
        <v>46</v>
      </c>
      <c r="P118" s="50">
        <f t="shared" si="12"/>
        <v>1.6627578316815741</v>
      </c>
      <c r="Q118" s="50">
        <v>50.974560675820896</v>
      </c>
      <c r="R118" s="50">
        <f t="shared" si="13"/>
        <v>1.7073534914999287</v>
      </c>
      <c r="S118" s="50">
        <v>3.1616209089088487</v>
      </c>
      <c r="T118" s="50">
        <v>3.7997633234477775</v>
      </c>
      <c r="U118" s="186">
        <v>4191360000</v>
      </c>
      <c r="V118" s="186">
        <f t="shared" si="14"/>
        <v>9.622354964412688</v>
      </c>
      <c r="W118" s="50">
        <v>2</v>
      </c>
      <c r="X118" s="66" t="s">
        <v>4</v>
      </c>
      <c r="Y118" s="137">
        <f t="shared" si="15"/>
        <v>0</v>
      </c>
    </row>
    <row r="119" spans="1:25" x14ac:dyDescent="0.35">
      <c r="A119" s="67">
        <v>-0.19604918633510771</v>
      </c>
      <c r="B119" s="52" t="s">
        <v>5</v>
      </c>
      <c r="C119" s="52">
        <v>6.5753424657534243</v>
      </c>
      <c r="D119" s="50">
        <f t="shared" si="8"/>
        <v>0.81791837725513128</v>
      </c>
      <c r="E119" s="52">
        <v>2.5542346870234227</v>
      </c>
      <c r="F119" s="52">
        <v>0</v>
      </c>
      <c r="G119" s="52">
        <v>3.16</v>
      </c>
      <c r="H119" s="50">
        <f t="shared" si="9"/>
        <v>0.49968708261840383</v>
      </c>
      <c r="I119" s="52">
        <v>2.9876662649262746</v>
      </c>
      <c r="J119" s="52">
        <v>7.1882007306125359E-2</v>
      </c>
      <c r="K119" s="52">
        <v>29</v>
      </c>
      <c r="L119" s="50">
        <f t="shared" si="10"/>
        <v>1.4623979978989561</v>
      </c>
      <c r="M119" s="52">
        <v>87.5</v>
      </c>
      <c r="N119" s="50">
        <f t="shared" si="11"/>
        <v>1.9420080530223132</v>
      </c>
      <c r="O119" s="52">
        <v>36</v>
      </c>
      <c r="P119" s="50">
        <f t="shared" si="12"/>
        <v>1.5563025007672873</v>
      </c>
      <c r="Q119" s="52">
        <v>42.967191632480599</v>
      </c>
      <c r="R119" s="50">
        <f t="shared" si="13"/>
        <v>1.6331369688020121</v>
      </c>
      <c r="S119" s="52">
        <v>3.0962405795987471</v>
      </c>
      <c r="T119" s="52">
        <v>3.4010931514437841</v>
      </c>
      <c r="U119" s="187">
        <v>4700000000</v>
      </c>
      <c r="V119" s="186">
        <f t="shared" si="14"/>
        <v>9.672097857935718</v>
      </c>
      <c r="W119" s="52">
        <v>4</v>
      </c>
      <c r="X119" s="68" t="s">
        <v>59</v>
      </c>
      <c r="Y119" s="137">
        <f t="shared" si="15"/>
        <v>1</v>
      </c>
    </row>
    <row r="120" spans="1:25" x14ac:dyDescent="0.35">
      <c r="A120" s="49">
        <v>-0.21588482779645182</v>
      </c>
      <c r="B120" s="50" t="s">
        <v>45</v>
      </c>
      <c r="C120" s="50">
        <v>10.435616438356165</v>
      </c>
      <c r="D120" s="50">
        <f t="shared" si="8"/>
        <v>1.0185181082044716</v>
      </c>
      <c r="E120" s="50">
        <v>0</v>
      </c>
      <c r="F120" s="50">
        <v>2</v>
      </c>
      <c r="G120" s="50">
        <v>2.95</v>
      </c>
      <c r="H120" s="50">
        <f t="shared" si="9"/>
        <v>0.46982201597816303</v>
      </c>
      <c r="I120" s="50">
        <v>0</v>
      </c>
      <c r="J120" s="50">
        <v>0.30749603791321295</v>
      </c>
      <c r="K120" s="50">
        <v>18</v>
      </c>
      <c r="L120" s="50">
        <f t="shared" si="10"/>
        <v>1.255272505103306</v>
      </c>
      <c r="M120" s="50">
        <v>85</v>
      </c>
      <c r="N120" s="50">
        <f t="shared" si="11"/>
        <v>1.9294189257142926</v>
      </c>
      <c r="O120" s="50">
        <v>24.4</v>
      </c>
      <c r="P120" s="50">
        <f t="shared" si="12"/>
        <v>1.3873898263387294</v>
      </c>
      <c r="Q120" s="50">
        <v>37.256914365427299</v>
      </c>
      <c r="R120" s="50">
        <f t="shared" si="13"/>
        <v>1.5712068835833228</v>
      </c>
      <c r="S120" s="50">
        <v>3.3647319918335836</v>
      </c>
      <c r="T120" s="50">
        <v>3.568659604598353</v>
      </c>
      <c r="U120" s="186">
        <v>4725000000</v>
      </c>
      <c r="V120" s="186">
        <f t="shared" si="14"/>
        <v>9.6744018128452822</v>
      </c>
      <c r="W120" s="50">
        <v>5</v>
      </c>
      <c r="X120" s="66" t="s">
        <v>602</v>
      </c>
      <c r="Y120" s="137">
        <f t="shared" si="15"/>
        <v>0</v>
      </c>
    </row>
    <row r="121" spans="1:25" x14ac:dyDescent="0.35">
      <c r="A121" s="67">
        <v>-2</v>
      </c>
      <c r="B121" s="52" t="s">
        <v>45</v>
      </c>
      <c r="C121" s="52">
        <v>5.5671232876712331</v>
      </c>
      <c r="D121" s="50">
        <f t="shared" si="8"/>
        <v>0.74563083915540695</v>
      </c>
      <c r="E121" s="52">
        <v>0</v>
      </c>
      <c r="F121" s="52">
        <v>1.9138138523837167</v>
      </c>
      <c r="G121" s="52">
        <v>2.95</v>
      </c>
      <c r="H121" s="50">
        <f t="shared" si="9"/>
        <v>0.46982201597816303</v>
      </c>
      <c r="I121" s="52">
        <v>0</v>
      </c>
      <c r="J121" s="52">
        <v>4.3213737826425782E-3</v>
      </c>
      <c r="K121" s="52">
        <v>13</v>
      </c>
      <c r="L121" s="50">
        <f t="shared" si="10"/>
        <v>1.1139433523068367</v>
      </c>
      <c r="M121" s="52">
        <v>85</v>
      </c>
      <c r="N121" s="50">
        <f t="shared" si="11"/>
        <v>1.9294189257142926</v>
      </c>
      <c r="O121" s="52">
        <v>25.9</v>
      </c>
      <c r="P121" s="50">
        <f t="shared" si="12"/>
        <v>1.4132997640812519</v>
      </c>
      <c r="Q121" s="52">
        <v>36.959146749272797</v>
      </c>
      <c r="R121" s="50">
        <f t="shared" si="13"/>
        <v>1.5677219364019672</v>
      </c>
      <c r="S121" s="52">
        <v>3.1628767233771686</v>
      </c>
      <c r="T121" s="52">
        <v>3.6087947637270492</v>
      </c>
      <c r="U121" s="187">
        <v>4812070000</v>
      </c>
      <c r="V121" s="186">
        <f t="shared" si="14"/>
        <v>9.6823319362888824</v>
      </c>
      <c r="W121" s="52">
        <v>4</v>
      </c>
      <c r="X121" s="68" t="s">
        <v>602</v>
      </c>
      <c r="Y121" s="137">
        <f t="shared" si="15"/>
        <v>0</v>
      </c>
    </row>
    <row r="122" spans="1:25" x14ac:dyDescent="0.35">
      <c r="A122" s="49">
        <v>-0.94200805302231305</v>
      </c>
      <c r="B122" s="50" t="s">
        <v>45</v>
      </c>
      <c r="C122" s="50">
        <v>2.8438356164383563</v>
      </c>
      <c r="D122" s="50">
        <f t="shared" si="8"/>
        <v>0.45390448905596437</v>
      </c>
      <c r="E122" s="50">
        <v>0</v>
      </c>
      <c r="F122" s="50">
        <v>2.167317334748176</v>
      </c>
      <c r="G122" s="50">
        <v>2.95</v>
      </c>
      <c r="H122" s="50">
        <f t="shared" si="9"/>
        <v>0.46982201597816303</v>
      </c>
      <c r="I122" s="50">
        <v>0</v>
      </c>
      <c r="J122" s="50">
        <v>0.17026171539495738</v>
      </c>
      <c r="K122" s="50">
        <v>25</v>
      </c>
      <c r="L122" s="50">
        <f t="shared" si="10"/>
        <v>1.3979400086720377</v>
      </c>
      <c r="M122" s="50">
        <v>91.1</v>
      </c>
      <c r="N122" s="50">
        <f t="shared" si="11"/>
        <v>1.9595183769729982</v>
      </c>
      <c r="O122" s="50">
        <v>24.1</v>
      </c>
      <c r="P122" s="50">
        <f t="shared" si="12"/>
        <v>1.3820170425748683</v>
      </c>
      <c r="Q122" s="50">
        <v>40.229046020662899</v>
      </c>
      <c r="R122" s="50">
        <f t="shared" si="13"/>
        <v>1.6045397339663818</v>
      </c>
      <c r="S122" s="50">
        <v>3.0958500844125241</v>
      </c>
      <c r="T122" s="50">
        <v>3.5078178355445662</v>
      </c>
      <c r="U122" s="186">
        <v>4900000000</v>
      </c>
      <c r="V122" s="186">
        <f t="shared" si="14"/>
        <v>9.6901960800285138</v>
      </c>
      <c r="W122" s="50">
        <v>8</v>
      </c>
      <c r="X122" s="66" t="s">
        <v>45</v>
      </c>
      <c r="Y122" s="137">
        <f t="shared" si="15"/>
        <v>0</v>
      </c>
    </row>
    <row r="123" spans="1:25" x14ac:dyDescent="0.35">
      <c r="A123" s="67">
        <v>-8.1613751481204207E-3</v>
      </c>
      <c r="B123" s="52" t="s">
        <v>45</v>
      </c>
      <c r="C123" s="52">
        <v>11.66027397260274</v>
      </c>
      <c r="D123" s="50">
        <f t="shared" si="8"/>
        <v>1.066708754830517</v>
      </c>
      <c r="E123" s="52">
        <v>0</v>
      </c>
      <c r="F123" s="52">
        <v>1.6812412373755872</v>
      </c>
      <c r="G123" s="52">
        <v>2.95</v>
      </c>
      <c r="H123" s="50">
        <f t="shared" si="9"/>
        <v>0.46982201597816303</v>
      </c>
      <c r="I123" s="52">
        <v>0</v>
      </c>
      <c r="J123" s="52">
        <v>0.27415784926367981</v>
      </c>
      <c r="K123" s="52">
        <v>15</v>
      </c>
      <c r="L123" s="50">
        <f t="shared" si="10"/>
        <v>1.1760912590556813</v>
      </c>
      <c r="M123" s="52">
        <v>91.4</v>
      </c>
      <c r="N123" s="50">
        <f t="shared" si="11"/>
        <v>1.9609461957338314</v>
      </c>
      <c r="O123" s="52">
        <v>26.7</v>
      </c>
      <c r="P123" s="50">
        <f t="shared" si="12"/>
        <v>1.4265112613645752</v>
      </c>
      <c r="Q123" s="52">
        <v>37.425715444240403</v>
      </c>
      <c r="R123" s="50">
        <f t="shared" si="13"/>
        <v>1.5731701112332821</v>
      </c>
      <c r="S123" s="52">
        <v>3.1628767233771686</v>
      </c>
      <c r="T123" s="52">
        <v>3.6087947637270492</v>
      </c>
      <c r="U123" s="187">
        <v>4997640000</v>
      </c>
      <c r="V123" s="186">
        <f t="shared" si="14"/>
        <v>9.6987649689484012</v>
      </c>
      <c r="W123" s="52">
        <v>9</v>
      </c>
      <c r="X123" s="68" t="s">
        <v>602</v>
      </c>
      <c r="Y123" s="137">
        <f t="shared" si="15"/>
        <v>0</v>
      </c>
    </row>
    <row r="124" spans="1:25" x14ac:dyDescent="0.35">
      <c r="A124" s="49">
        <v>0.51666755909904294</v>
      </c>
      <c r="B124" s="50" t="s">
        <v>7</v>
      </c>
      <c r="C124" s="50">
        <v>3.0191780821917806</v>
      </c>
      <c r="D124" s="50">
        <f t="shared" si="8"/>
        <v>0.4798887300592915</v>
      </c>
      <c r="E124" s="50">
        <v>2.6903467274930635</v>
      </c>
      <c r="F124" s="50">
        <v>1.6232492903979006</v>
      </c>
      <c r="G124" s="50">
        <v>2.59</v>
      </c>
      <c r="H124" s="50">
        <f t="shared" si="9"/>
        <v>0.4132997640812518</v>
      </c>
      <c r="I124" s="50">
        <v>2.7508939203821252</v>
      </c>
      <c r="J124" s="50">
        <v>7.1882007306125359E-2</v>
      </c>
      <c r="K124" s="50">
        <v>20</v>
      </c>
      <c r="L124" s="50">
        <f t="shared" si="10"/>
        <v>1.3010299956639813</v>
      </c>
      <c r="M124" s="50">
        <v>85</v>
      </c>
      <c r="N124" s="50">
        <f t="shared" si="11"/>
        <v>1.9294189257142926</v>
      </c>
      <c r="O124" s="50">
        <v>37.799999999999997</v>
      </c>
      <c r="P124" s="50">
        <f t="shared" si="12"/>
        <v>1.5774917998372253</v>
      </c>
      <c r="Q124" s="50">
        <v>43.5787105608064</v>
      </c>
      <c r="R124" s="50">
        <f t="shared" si="13"/>
        <v>1.6392743758732649</v>
      </c>
      <c r="S124" s="50">
        <v>3.2699236952309461</v>
      </c>
      <c r="T124" s="50">
        <v>3.6984415808994222</v>
      </c>
      <c r="U124" s="186">
        <v>5000000000</v>
      </c>
      <c r="V124" s="186">
        <f t="shared" si="14"/>
        <v>9.6989700043360187</v>
      </c>
      <c r="W124" s="50">
        <v>4</v>
      </c>
      <c r="X124" s="66" t="s">
        <v>577</v>
      </c>
      <c r="Y124" s="137">
        <f t="shared" si="15"/>
        <v>1</v>
      </c>
    </row>
    <row r="125" spans="1:25" x14ac:dyDescent="0.35">
      <c r="A125" s="67">
        <v>7.5346899059240954E-2</v>
      </c>
      <c r="B125" s="52" t="s">
        <v>45</v>
      </c>
      <c r="C125" s="52">
        <v>8.0547945205479454</v>
      </c>
      <c r="D125" s="50">
        <f t="shared" si="8"/>
        <v>0.90605446595568262</v>
      </c>
      <c r="E125" s="52">
        <v>0</v>
      </c>
      <c r="F125" s="52">
        <v>1.9956351945975499</v>
      </c>
      <c r="G125" s="52">
        <v>2.95</v>
      </c>
      <c r="H125" s="50">
        <f t="shared" si="9"/>
        <v>0.46982201597816303</v>
      </c>
      <c r="I125" s="52">
        <v>0</v>
      </c>
      <c r="J125" s="52">
        <v>0.16731733474817609</v>
      </c>
      <c r="K125" s="52">
        <v>13</v>
      </c>
      <c r="L125" s="50">
        <f t="shared" si="10"/>
        <v>1.1139433523068367</v>
      </c>
      <c r="M125" s="52">
        <v>85</v>
      </c>
      <c r="N125" s="50">
        <f t="shared" si="11"/>
        <v>1.9294189257142926</v>
      </c>
      <c r="O125" s="52">
        <v>25.9</v>
      </c>
      <c r="P125" s="50">
        <f t="shared" si="12"/>
        <v>1.4132997640812519</v>
      </c>
      <c r="Q125" s="52">
        <v>36.959146749272797</v>
      </c>
      <c r="R125" s="50">
        <f t="shared" si="13"/>
        <v>1.5677219364019672</v>
      </c>
      <c r="S125" s="52">
        <v>3.1628767233771686</v>
      </c>
      <c r="T125" s="52">
        <v>3.6087947637270492</v>
      </c>
      <c r="U125" s="187">
        <v>5044340000</v>
      </c>
      <c r="V125" s="186">
        <f t="shared" si="14"/>
        <v>9.7028043513244029</v>
      </c>
      <c r="W125" s="52">
        <v>5</v>
      </c>
      <c r="X125" s="68" t="s">
        <v>602</v>
      </c>
      <c r="Y125" s="137">
        <f t="shared" si="15"/>
        <v>0</v>
      </c>
    </row>
    <row r="126" spans="1:25" x14ac:dyDescent="0.35">
      <c r="A126" s="49">
        <v>5.1640134968381025E-2</v>
      </c>
      <c r="B126" s="50" t="s">
        <v>45</v>
      </c>
      <c r="C126" s="50">
        <v>3.5534246575342467</v>
      </c>
      <c r="D126" s="50">
        <f t="shared" si="8"/>
        <v>0.55064711162760538</v>
      </c>
      <c r="E126" s="50">
        <v>0</v>
      </c>
      <c r="F126" s="50">
        <v>2.0606978403536118</v>
      </c>
      <c r="G126" s="50">
        <v>2.95</v>
      </c>
      <c r="H126" s="50">
        <f t="shared" si="9"/>
        <v>0.46982201597816303</v>
      </c>
      <c r="I126" s="50">
        <v>0</v>
      </c>
      <c r="J126" s="50">
        <v>0.2528530309798932</v>
      </c>
      <c r="K126" s="50">
        <v>35</v>
      </c>
      <c r="L126" s="50">
        <f t="shared" si="10"/>
        <v>1.5440680443502757</v>
      </c>
      <c r="M126" s="50">
        <v>91</v>
      </c>
      <c r="N126" s="50">
        <f t="shared" si="11"/>
        <v>1.9590413923210936</v>
      </c>
      <c r="O126" s="50">
        <v>23.9</v>
      </c>
      <c r="P126" s="50">
        <f t="shared" si="12"/>
        <v>1.3783979009481377</v>
      </c>
      <c r="Q126" s="50">
        <v>42.048698215007001</v>
      </c>
      <c r="R126" s="50">
        <f t="shared" si="13"/>
        <v>1.6237525550259535</v>
      </c>
      <c r="S126" s="50">
        <v>3.0687415514991745</v>
      </c>
      <c r="T126" s="50">
        <v>3.5297005493117593</v>
      </c>
      <c r="U126" s="186">
        <v>5098610000</v>
      </c>
      <c r="V126" s="186">
        <f t="shared" si="14"/>
        <v>9.7074517934293993</v>
      </c>
      <c r="W126" s="50">
        <v>7</v>
      </c>
      <c r="X126" s="66" t="s">
        <v>45</v>
      </c>
      <c r="Y126" s="137">
        <f t="shared" si="15"/>
        <v>0</v>
      </c>
    </row>
    <row r="127" spans="1:25" x14ac:dyDescent="0.35">
      <c r="A127" s="67">
        <v>-5.8858617968247297E-2</v>
      </c>
      <c r="B127" s="52" t="s">
        <v>45</v>
      </c>
      <c r="C127" s="52">
        <v>7.0794520547945208</v>
      </c>
      <c r="D127" s="50">
        <f t="shared" si="8"/>
        <v>0.84999964486657176</v>
      </c>
      <c r="E127" s="52">
        <v>0</v>
      </c>
      <c r="F127" s="52">
        <v>1.968482948553935</v>
      </c>
      <c r="G127" s="52">
        <v>2.95</v>
      </c>
      <c r="H127" s="50">
        <f t="shared" si="9"/>
        <v>0.46982201597816303</v>
      </c>
      <c r="I127" s="52">
        <v>0</v>
      </c>
      <c r="J127" s="52">
        <v>0.13033376849500614</v>
      </c>
      <c r="K127" s="52">
        <v>20</v>
      </c>
      <c r="L127" s="50">
        <f t="shared" si="10"/>
        <v>1.3010299956639813</v>
      </c>
      <c r="M127" s="52">
        <v>91.4</v>
      </c>
      <c r="N127" s="50">
        <f t="shared" si="11"/>
        <v>1.9609461957338314</v>
      </c>
      <c r="O127" s="52">
        <v>26.7</v>
      </c>
      <c r="P127" s="50">
        <f t="shared" si="12"/>
        <v>1.4265112613645752</v>
      </c>
      <c r="Q127" s="52">
        <v>37.425715444240403</v>
      </c>
      <c r="R127" s="50">
        <f t="shared" si="13"/>
        <v>1.5731701112332821</v>
      </c>
      <c r="S127" s="52">
        <v>3.0958500844125241</v>
      </c>
      <c r="T127" s="52">
        <v>3.5078178355445662</v>
      </c>
      <c r="U127" s="187">
        <v>5575000000</v>
      </c>
      <c r="V127" s="186">
        <f t="shared" si="14"/>
        <v>9.746244871720199</v>
      </c>
      <c r="W127" s="52">
        <v>1</v>
      </c>
      <c r="X127" s="68" t="s">
        <v>602</v>
      </c>
      <c r="Y127" s="137">
        <f t="shared" si="15"/>
        <v>0</v>
      </c>
    </row>
    <row r="128" spans="1:25" x14ac:dyDescent="0.35">
      <c r="A128" s="49">
        <v>-0.61867209278975244</v>
      </c>
      <c r="B128" s="50" t="s">
        <v>59</v>
      </c>
      <c r="C128" s="50">
        <v>8.6219178082191785</v>
      </c>
      <c r="D128" s="50">
        <f t="shared" si="8"/>
        <v>0.93560387845674564</v>
      </c>
      <c r="E128" s="50">
        <v>0</v>
      </c>
      <c r="F128" s="50">
        <v>1.6901960800285136</v>
      </c>
      <c r="G128" s="50">
        <v>3.29</v>
      </c>
      <c r="H128" s="50">
        <f t="shared" si="9"/>
        <v>0.51719589794997434</v>
      </c>
      <c r="I128" s="50">
        <v>0</v>
      </c>
      <c r="J128" s="50">
        <v>0.15836249209524964</v>
      </c>
      <c r="K128" s="50">
        <v>22</v>
      </c>
      <c r="L128" s="50">
        <f t="shared" si="10"/>
        <v>1.3424226808222062</v>
      </c>
      <c r="M128" s="50">
        <v>91.2</v>
      </c>
      <c r="N128" s="50">
        <f t="shared" si="11"/>
        <v>1.9599948383284163</v>
      </c>
      <c r="O128" s="50">
        <v>33</v>
      </c>
      <c r="P128" s="50">
        <f t="shared" si="12"/>
        <v>1.5185139398778875</v>
      </c>
      <c r="Q128" s="50">
        <v>40.902544500539101</v>
      </c>
      <c r="R128" s="50">
        <f t="shared" si="13"/>
        <v>1.6117503258110162</v>
      </c>
      <c r="S128" s="50">
        <v>3.2699236952309465</v>
      </c>
      <c r="T128" s="50">
        <v>3.6984415808994222</v>
      </c>
      <c r="U128" s="186">
        <v>6150000000</v>
      </c>
      <c r="V128" s="186">
        <f t="shared" si="14"/>
        <v>9.7888751157754168</v>
      </c>
      <c r="W128" s="50">
        <v>6</v>
      </c>
      <c r="X128" s="66" t="s">
        <v>577</v>
      </c>
      <c r="Y128" s="137">
        <f t="shared" si="15"/>
        <v>0</v>
      </c>
    </row>
    <row r="129" spans="1:25" x14ac:dyDescent="0.35">
      <c r="A129" s="67">
        <v>-0.35585784809143139</v>
      </c>
      <c r="B129" s="52" t="s">
        <v>45</v>
      </c>
      <c r="C129" s="52">
        <v>3.0849315068493151</v>
      </c>
      <c r="D129" s="50">
        <f t="shared" si="8"/>
        <v>0.48924552605885274</v>
      </c>
      <c r="E129" s="52">
        <v>3.7707754512906644</v>
      </c>
      <c r="F129" s="52">
        <v>1</v>
      </c>
      <c r="G129" s="52">
        <v>2.3199999999999998</v>
      </c>
      <c r="H129" s="50">
        <f t="shared" si="9"/>
        <v>0.36548798489089962</v>
      </c>
      <c r="I129" s="52">
        <v>2.1238516409670858</v>
      </c>
      <c r="J129" s="52">
        <v>0.16435285578443709</v>
      </c>
      <c r="K129" s="52">
        <v>26</v>
      </c>
      <c r="L129" s="50">
        <f t="shared" si="10"/>
        <v>1.414973347970818</v>
      </c>
      <c r="M129" s="52">
        <v>91.1</v>
      </c>
      <c r="N129" s="50">
        <f t="shared" si="11"/>
        <v>1.9595183769729982</v>
      </c>
      <c r="O129" s="52">
        <v>24.1</v>
      </c>
      <c r="P129" s="50">
        <f t="shared" si="12"/>
        <v>1.3820170425748683</v>
      </c>
      <c r="Q129" s="52">
        <v>40.229046020662899</v>
      </c>
      <c r="R129" s="50">
        <f t="shared" si="13"/>
        <v>1.6045397339663818</v>
      </c>
      <c r="S129" s="52">
        <v>3.2188271541979425</v>
      </c>
      <c r="T129" s="52">
        <v>3.7570584504768405</v>
      </c>
      <c r="U129" s="187">
        <v>6580000000</v>
      </c>
      <c r="V129" s="186">
        <f t="shared" si="14"/>
        <v>9.8182258936139561</v>
      </c>
      <c r="W129" s="52">
        <v>4</v>
      </c>
      <c r="X129" s="68" t="s">
        <v>577</v>
      </c>
      <c r="Y129" s="137">
        <f t="shared" si="15"/>
        <v>1</v>
      </c>
    </row>
    <row r="130" spans="1:25" x14ac:dyDescent="0.35">
      <c r="A130" s="49">
        <v>-2</v>
      </c>
      <c r="B130" s="50" t="s">
        <v>45</v>
      </c>
      <c r="C130" s="50">
        <v>0.44931506849315067</v>
      </c>
      <c r="D130" s="50">
        <f t="shared" si="8"/>
        <v>-0.34744901640877685</v>
      </c>
      <c r="E130" s="50">
        <v>0</v>
      </c>
      <c r="F130" s="50">
        <v>2.0791812460476247</v>
      </c>
      <c r="G130" s="50">
        <v>2.95</v>
      </c>
      <c r="H130" s="50">
        <f t="shared" si="9"/>
        <v>0.46982201597816303</v>
      </c>
      <c r="I130" s="50">
        <v>0</v>
      </c>
      <c r="J130" s="50">
        <v>-4.0958607678906384E-2</v>
      </c>
      <c r="K130" s="50">
        <v>16</v>
      </c>
      <c r="L130" s="50">
        <f t="shared" si="10"/>
        <v>1.2041199826559248</v>
      </c>
      <c r="M130" s="50">
        <v>92.6</v>
      </c>
      <c r="N130" s="50">
        <f t="shared" si="11"/>
        <v>1.9666109866819343</v>
      </c>
      <c r="O130" s="50">
        <v>25.7</v>
      </c>
      <c r="P130" s="50">
        <f t="shared" si="12"/>
        <v>1.4099331233312946</v>
      </c>
      <c r="Q130" s="50">
        <v>39.823361151429197</v>
      </c>
      <c r="R130" s="50">
        <f t="shared" si="13"/>
        <v>1.6001379123442065</v>
      </c>
      <c r="S130" s="50">
        <v>3.1628767233771686</v>
      </c>
      <c r="T130" s="50">
        <v>3.6087947637270492</v>
      </c>
      <c r="U130" s="186">
        <v>7040000000</v>
      </c>
      <c r="V130" s="186">
        <f t="shared" si="14"/>
        <v>9.8475726591421129</v>
      </c>
      <c r="W130" s="50">
        <v>6</v>
      </c>
      <c r="X130" s="66" t="s">
        <v>602</v>
      </c>
      <c r="Y130" s="137">
        <f t="shared" si="15"/>
        <v>0</v>
      </c>
    </row>
    <row r="131" spans="1:25" x14ac:dyDescent="0.35">
      <c r="A131" s="67">
        <v>1.285675428614004E-2</v>
      </c>
      <c r="B131" s="52" t="s">
        <v>45</v>
      </c>
      <c r="C131" s="52">
        <v>4.6657534246575345</v>
      </c>
      <c r="D131" s="50">
        <f t="shared" ref="D131:D143" si="16">LOG(C131)</f>
        <v>0.6689217835061263</v>
      </c>
      <c r="E131" s="52">
        <v>0</v>
      </c>
      <c r="F131" s="52">
        <v>1.8388490907372552</v>
      </c>
      <c r="G131" s="52">
        <v>2.95</v>
      </c>
      <c r="H131" s="50">
        <f t="shared" ref="H131:H143" si="17">LOG(G131)</f>
        <v>0.46982201597816303</v>
      </c>
      <c r="I131" s="52">
        <v>0</v>
      </c>
      <c r="J131" s="52">
        <v>-2.6872146400301365E-2</v>
      </c>
      <c r="K131" s="52">
        <v>31</v>
      </c>
      <c r="L131" s="50">
        <f t="shared" ref="L131:L143" si="18">IF(K131=0,0,LOG(K131))</f>
        <v>1.4913616938342726</v>
      </c>
      <c r="M131" s="52">
        <v>91.4</v>
      </c>
      <c r="N131" s="50">
        <f t="shared" ref="N131:N143" si="19">LOG(M131)</f>
        <v>1.9609461957338314</v>
      </c>
      <c r="O131" s="52">
        <v>26.7</v>
      </c>
      <c r="P131" s="50">
        <f t="shared" ref="P131:P143" si="20">LOG(O131)</f>
        <v>1.4265112613645752</v>
      </c>
      <c r="Q131" s="52">
        <v>37.425715444240403</v>
      </c>
      <c r="R131" s="50">
        <f t="shared" ref="R131:R143" si="21">LOG(Q131)</f>
        <v>1.5731701112332821</v>
      </c>
      <c r="S131" s="52">
        <v>3.0687415514991745</v>
      </c>
      <c r="T131" s="52">
        <v>3.5297005493117593</v>
      </c>
      <c r="U131" s="187">
        <v>7321030000</v>
      </c>
      <c r="V131" s="186">
        <f t="shared" ref="V131:V143" si="22">LOG(U131)</f>
        <v>9.8645721865020803</v>
      </c>
      <c r="W131" s="52">
        <v>7</v>
      </c>
      <c r="X131" s="68" t="s">
        <v>45</v>
      </c>
      <c r="Y131" s="137">
        <f t="shared" ref="Y131:Y143" si="23">IF(E131=0,0,1)</f>
        <v>0</v>
      </c>
    </row>
    <row r="132" spans="1:25" x14ac:dyDescent="0.35">
      <c r="A132" s="49">
        <v>-2</v>
      </c>
      <c r="B132" s="50" t="s">
        <v>45</v>
      </c>
      <c r="C132" s="50">
        <v>12.517808219178082</v>
      </c>
      <c r="D132" s="50">
        <f t="shared" si="16"/>
        <v>1.0975282935992303</v>
      </c>
      <c r="E132" s="50">
        <v>0</v>
      </c>
      <c r="F132" s="50">
        <v>1.6901960800285136</v>
      </c>
      <c r="G132" s="50">
        <v>2.95</v>
      </c>
      <c r="H132" s="50">
        <f t="shared" si="17"/>
        <v>0.46982201597816303</v>
      </c>
      <c r="I132" s="50">
        <v>0</v>
      </c>
      <c r="J132" s="50">
        <v>0.32428245529769273</v>
      </c>
      <c r="K132" s="50">
        <v>29</v>
      </c>
      <c r="L132" s="50">
        <f t="shared" si="18"/>
        <v>1.4623979978989561</v>
      </c>
      <c r="M132" s="50">
        <v>85</v>
      </c>
      <c r="N132" s="50">
        <f t="shared" si="19"/>
        <v>1.9294189257142926</v>
      </c>
      <c r="O132" s="50">
        <v>25.9</v>
      </c>
      <c r="P132" s="50">
        <f t="shared" si="20"/>
        <v>1.4132997640812519</v>
      </c>
      <c r="Q132" s="50">
        <v>36.959146749272797</v>
      </c>
      <c r="R132" s="50">
        <f t="shared" si="21"/>
        <v>1.5677219364019672</v>
      </c>
      <c r="S132" s="50">
        <v>3.0687415514991745</v>
      </c>
      <c r="T132" s="50">
        <v>3.5297005493117593</v>
      </c>
      <c r="U132" s="186">
        <v>7544390000</v>
      </c>
      <c r="V132" s="186">
        <f t="shared" si="22"/>
        <v>9.8776241307459784</v>
      </c>
      <c r="W132" s="50">
        <v>5</v>
      </c>
      <c r="X132" s="66" t="s">
        <v>45</v>
      </c>
      <c r="Y132" s="137">
        <f t="shared" si="23"/>
        <v>0</v>
      </c>
    </row>
    <row r="133" spans="1:25" x14ac:dyDescent="0.35">
      <c r="A133" s="67">
        <v>-0.59371729118283922</v>
      </c>
      <c r="B133" s="52" t="s">
        <v>3</v>
      </c>
      <c r="C133" s="52">
        <v>7.1726027397260275</v>
      </c>
      <c r="D133" s="50">
        <f t="shared" si="16"/>
        <v>0.85567677775826234</v>
      </c>
      <c r="E133" s="52">
        <v>3.8137210609712455</v>
      </c>
      <c r="F133" s="52">
        <v>1.2304489213782739</v>
      </c>
      <c r="G133" s="52">
        <v>2.86</v>
      </c>
      <c r="H133" s="50">
        <f t="shared" si="17"/>
        <v>0.456366033129043</v>
      </c>
      <c r="I133" s="52">
        <v>2.9222928506441082</v>
      </c>
      <c r="J133" s="52">
        <v>9.3421685162235063E-2</v>
      </c>
      <c r="K133" s="52">
        <v>21</v>
      </c>
      <c r="L133" s="50">
        <f t="shared" si="18"/>
        <v>1.3222192947339193</v>
      </c>
      <c r="M133" s="52">
        <v>94.6</v>
      </c>
      <c r="N133" s="50">
        <f t="shared" si="19"/>
        <v>1.9758911364017928</v>
      </c>
      <c r="O133" s="52">
        <v>46.5</v>
      </c>
      <c r="P133" s="50">
        <f t="shared" si="20"/>
        <v>1.667452952889954</v>
      </c>
      <c r="Q133" s="52">
        <v>49.829752832499103</v>
      </c>
      <c r="R133" s="50">
        <f t="shared" si="21"/>
        <v>1.69748873297182</v>
      </c>
      <c r="S133" s="52">
        <v>3.3647319918335836</v>
      </c>
      <c r="T133" s="52">
        <v>3.568659604598353</v>
      </c>
      <c r="U133" s="187">
        <v>7987460000</v>
      </c>
      <c r="V133" s="186">
        <f t="shared" si="22"/>
        <v>9.9024086962903652</v>
      </c>
      <c r="W133" s="52">
        <v>4</v>
      </c>
      <c r="X133" s="68" t="s">
        <v>602</v>
      </c>
      <c r="Y133" s="137">
        <f t="shared" si="23"/>
        <v>1</v>
      </c>
    </row>
    <row r="134" spans="1:25" x14ac:dyDescent="0.35">
      <c r="A134" s="49">
        <v>-2</v>
      </c>
      <c r="B134" s="50" t="s">
        <v>45</v>
      </c>
      <c r="C134" s="50">
        <v>3.5945205479452054</v>
      </c>
      <c r="D134" s="50">
        <f t="shared" si="16"/>
        <v>0.55564097058316675</v>
      </c>
      <c r="E134" s="50">
        <v>0</v>
      </c>
      <c r="F134" s="50">
        <v>0.95424250943932487</v>
      </c>
      <c r="G134" s="50">
        <v>2.95</v>
      </c>
      <c r="H134" s="50">
        <f t="shared" si="17"/>
        <v>0.46982201597816303</v>
      </c>
      <c r="I134" s="50">
        <v>0</v>
      </c>
      <c r="J134" s="50">
        <v>-8.092190762392612E-2</v>
      </c>
      <c r="K134" s="50">
        <v>30</v>
      </c>
      <c r="L134" s="50">
        <f t="shared" si="18"/>
        <v>1.4771212547196624</v>
      </c>
      <c r="M134" s="50">
        <v>93.2</v>
      </c>
      <c r="N134" s="50">
        <f t="shared" si="19"/>
        <v>1.9694159123539814</v>
      </c>
      <c r="O134" s="50">
        <v>26.7</v>
      </c>
      <c r="P134" s="50">
        <f t="shared" si="20"/>
        <v>1.4265112613645752</v>
      </c>
      <c r="Q134" s="50">
        <v>36.669158714517401</v>
      </c>
      <c r="R134" s="50">
        <f t="shared" si="21"/>
        <v>1.5643009462345601</v>
      </c>
      <c r="S134" s="50">
        <v>3.0687415514991745</v>
      </c>
      <c r="T134" s="50">
        <v>3.5297005493117593</v>
      </c>
      <c r="U134" s="186">
        <v>8800000000</v>
      </c>
      <c r="V134" s="186">
        <f t="shared" si="22"/>
        <v>9.9444826721501691</v>
      </c>
      <c r="W134" s="50">
        <v>5</v>
      </c>
      <c r="X134" s="66" t="s">
        <v>45</v>
      </c>
      <c r="Y134" s="137">
        <f t="shared" si="23"/>
        <v>0</v>
      </c>
    </row>
    <row r="135" spans="1:25" x14ac:dyDescent="0.35">
      <c r="A135" s="67">
        <v>-6.5916898309755723E-2</v>
      </c>
      <c r="B135" s="52" t="s">
        <v>45</v>
      </c>
      <c r="C135" s="52">
        <v>10.704109589041096</v>
      </c>
      <c r="D135" s="50">
        <f t="shared" si="16"/>
        <v>1.0295505467683097</v>
      </c>
      <c r="E135" s="52">
        <v>0</v>
      </c>
      <c r="F135" s="52">
        <v>1.5797835966168101</v>
      </c>
      <c r="G135" s="52">
        <v>2.95</v>
      </c>
      <c r="H135" s="50">
        <f t="shared" si="17"/>
        <v>0.46982201597816303</v>
      </c>
      <c r="I135" s="52">
        <v>0</v>
      </c>
      <c r="J135" s="52">
        <v>0.24551266781414982</v>
      </c>
      <c r="K135" s="52">
        <v>29</v>
      </c>
      <c r="L135" s="50">
        <f t="shared" si="18"/>
        <v>1.4623979978989561</v>
      </c>
      <c r="M135" s="52">
        <v>85</v>
      </c>
      <c r="N135" s="50">
        <f t="shared" si="19"/>
        <v>1.9294189257142926</v>
      </c>
      <c r="O135" s="52">
        <v>25.9</v>
      </c>
      <c r="P135" s="50">
        <f t="shared" si="20"/>
        <v>1.4132997640812519</v>
      </c>
      <c r="Q135" s="52">
        <v>36.959146749272797</v>
      </c>
      <c r="R135" s="50">
        <f t="shared" si="21"/>
        <v>1.5677219364019672</v>
      </c>
      <c r="S135" s="52">
        <v>3.0687415514991745</v>
      </c>
      <c r="T135" s="52">
        <v>3.5297005493117593</v>
      </c>
      <c r="U135" s="187">
        <v>10591520000</v>
      </c>
      <c r="V135" s="186">
        <f t="shared" si="22"/>
        <v>10.024958290630849</v>
      </c>
      <c r="W135" s="52">
        <v>9</v>
      </c>
      <c r="X135" s="68" t="s">
        <v>45</v>
      </c>
      <c r="Y135" s="137">
        <f t="shared" si="23"/>
        <v>0</v>
      </c>
    </row>
    <row r="136" spans="1:25" x14ac:dyDescent="0.35">
      <c r="A136" s="49">
        <v>6.857641436412143E-2</v>
      </c>
      <c r="B136" s="50" t="s">
        <v>45</v>
      </c>
      <c r="C136" s="50">
        <v>7.7479452054794518</v>
      </c>
      <c r="D136" s="50">
        <f t="shared" si="16"/>
        <v>0.88918654066838709</v>
      </c>
      <c r="E136" s="50">
        <v>0</v>
      </c>
      <c r="F136" s="50">
        <v>1.4913616938342726</v>
      </c>
      <c r="G136" s="50">
        <v>2.95</v>
      </c>
      <c r="H136" s="50">
        <f t="shared" si="17"/>
        <v>0.46982201597816303</v>
      </c>
      <c r="I136" s="50">
        <v>0</v>
      </c>
      <c r="J136" s="50">
        <v>0.13987908640123647</v>
      </c>
      <c r="K136" s="50">
        <v>22</v>
      </c>
      <c r="L136" s="50">
        <f t="shared" si="18"/>
        <v>1.3424226808222062</v>
      </c>
      <c r="M136" s="50">
        <v>91.4</v>
      </c>
      <c r="N136" s="50">
        <f t="shared" si="19"/>
        <v>1.9609461957338314</v>
      </c>
      <c r="O136" s="50">
        <v>26.7</v>
      </c>
      <c r="P136" s="50">
        <f t="shared" si="20"/>
        <v>1.4265112613645752</v>
      </c>
      <c r="Q136" s="50">
        <v>37.425715444240403</v>
      </c>
      <c r="R136" s="50">
        <f t="shared" si="21"/>
        <v>1.5731701112332821</v>
      </c>
      <c r="S136" s="50">
        <v>3.3647319918335836</v>
      </c>
      <c r="T136" s="50">
        <v>3.568659604598353</v>
      </c>
      <c r="U136" s="186">
        <v>11400000000</v>
      </c>
      <c r="V136" s="186">
        <f t="shared" si="22"/>
        <v>10.056904851336473</v>
      </c>
      <c r="W136" s="50">
        <v>2</v>
      </c>
      <c r="X136" s="66" t="s">
        <v>602</v>
      </c>
      <c r="Y136" s="137">
        <f t="shared" si="23"/>
        <v>0</v>
      </c>
    </row>
    <row r="137" spans="1:25" x14ac:dyDescent="0.35">
      <c r="A137" s="67">
        <v>6.7550558562365803E-2</v>
      </c>
      <c r="B137" s="52" t="s">
        <v>45</v>
      </c>
      <c r="C137" s="52">
        <v>7.7479452054794518</v>
      </c>
      <c r="D137" s="50">
        <f t="shared" si="16"/>
        <v>0.88918654066838709</v>
      </c>
      <c r="E137" s="52">
        <v>0</v>
      </c>
      <c r="F137" s="52">
        <v>1.4913616938342726</v>
      </c>
      <c r="G137" s="52">
        <v>2.95</v>
      </c>
      <c r="H137" s="50">
        <f t="shared" si="17"/>
        <v>0.46982201597816303</v>
      </c>
      <c r="I137" s="52">
        <v>0</v>
      </c>
      <c r="J137" s="52">
        <v>0.13987908640123647</v>
      </c>
      <c r="K137" s="52">
        <v>31</v>
      </c>
      <c r="L137" s="50">
        <f t="shared" si="18"/>
        <v>1.4913616938342726</v>
      </c>
      <c r="M137" s="52">
        <v>91.4</v>
      </c>
      <c r="N137" s="50">
        <f t="shared" si="19"/>
        <v>1.9609461957338314</v>
      </c>
      <c r="O137" s="52">
        <v>26.7</v>
      </c>
      <c r="P137" s="50">
        <f t="shared" si="20"/>
        <v>1.4265112613645752</v>
      </c>
      <c r="Q137" s="52">
        <v>37.425715444240403</v>
      </c>
      <c r="R137" s="50">
        <f t="shared" si="21"/>
        <v>1.5731701112332821</v>
      </c>
      <c r="S137" s="52">
        <v>3.0687415514991745</v>
      </c>
      <c r="T137" s="52">
        <v>3.5297005493117593</v>
      </c>
      <c r="U137" s="187">
        <v>11426960000</v>
      </c>
      <c r="V137" s="186">
        <f t="shared" si="22"/>
        <v>10.057930707138228</v>
      </c>
      <c r="W137" s="52">
        <v>2</v>
      </c>
      <c r="X137" s="68" t="s">
        <v>45</v>
      </c>
      <c r="Y137" s="137">
        <f t="shared" si="23"/>
        <v>0</v>
      </c>
    </row>
    <row r="138" spans="1:25" x14ac:dyDescent="0.35">
      <c r="A138" s="49">
        <v>6.7550558562365803E-2</v>
      </c>
      <c r="B138" s="50" t="s">
        <v>45</v>
      </c>
      <c r="C138" s="50">
        <v>7.7479452054794518</v>
      </c>
      <c r="D138" s="50">
        <f t="shared" si="16"/>
        <v>0.88918654066838709</v>
      </c>
      <c r="E138" s="50">
        <v>0</v>
      </c>
      <c r="F138" s="50">
        <v>1.4913616938342726</v>
      </c>
      <c r="G138" s="50">
        <v>2.95</v>
      </c>
      <c r="H138" s="50">
        <f t="shared" si="17"/>
        <v>0.46982201597816303</v>
      </c>
      <c r="I138" s="50">
        <v>0</v>
      </c>
      <c r="J138" s="50">
        <v>0.13987908640123647</v>
      </c>
      <c r="K138" s="50">
        <v>15</v>
      </c>
      <c r="L138" s="50">
        <f t="shared" si="18"/>
        <v>1.1760912590556813</v>
      </c>
      <c r="M138" s="50">
        <v>91.4</v>
      </c>
      <c r="N138" s="50">
        <f t="shared" si="19"/>
        <v>1.9609461957338314</v>
      </c>
      <c r="O138" s="50">
        <v>26.7</v>
      </c>
      <c r="P138" s="50">
        <f t="shared" si="20"/>
        <v>1.4265112613645752</v>
      </c>
      <c r="Q138" s="50">
        <v>37.425715444240403</v>
      </c>
      <c r="R138" s="50">
        <f t="shared" si="21"/>
        <v>1.5731701112332821</v>
      </c>
      <c r="S138" s="50">
        <v>3.1628767233771686</v>
      </c>
      <c r="T138" s="50">
        <v>3.6087947637270492</v>
      </c>
      <c r="U138" s="186">
        <v>11426960000</v>
      </c>
      <c r="V138" s="186">
        <f t="shared" si="22"/>
        <v>10.057930707138228</v>
      </c>
      <c r="W138" s="50">
        <v>2</v>
      </c>
      <c r="X138" s="66" t="s">
        <v>602</v>
      </c>
      <c r="Y138" s="137">
        <f t="shared" si="23"/>
        <v>0</v>
      </c>
    </row>
    <row r="139" spans="1:25" x14ac:dyDescent="0.35">
      <c r="A139" s="67">
        <v>7.8682491717007891E-2</v>
      </c>
      <c r="B139" s="101" t="s">
        <v>59</v>
      </c>
      <c r="C139" s="52">
        <v>8.8493150684931514</v>
      </c>
      <c r="D139" s="50">
        <f t="shared" si="16"/>
        <v>0.94690965787462822</v>
      </c>
      <c r="E139" s="52">
        <v>3.7707754512906644</v>
      </c>
      <c r="F139" s="52">
        <v>0.3010299956639812</v>
      </c>
      <c r="G139" s="52">
        <v>2.3199999999999998</v>
      </c>
      <c r="H139" s="50">
        <f t="shared" si="17"/>
        <v>0.36548798489089962</v>
      </c>
      <c r="I139" s="52">
        <v>2.1238516409670858</v>
      </c>
      <c r="J139" s="52">
        <v>0.15228834438305647</v>
      </c>
      <c r="K139" s="52">
        <v>31</v>
      </c>
      <c r="L139" s="50">
        <f t="shared" si="18"/>
        <v>1.4913616938342726</v>
      </c>
      <c r="M139" s="52">
        <v>91.2</v>
      </c>
      <c r="N139" s="50">
        <f t="shared" si="19"/>
        <v>1.9599948383284163</v>
      </c>
      <c r="O139" s="52">
        <v>33</v>
      </c>
      <c r="P139" s="50">
        <f t="shared" si="20"/>
        <v>1.5185139398778875</v>
      </c>
      <c r="Q139" s="52">
        <v>40.902544500539101</v>
      </c>
      <c r="R139" s="50">
        <f t="shared" si="21"/>
        <v>1.6117503258110162</v>
      </c>
      <c r="S139" s="52">
        <v>3.0687415514991745</v>
      </c>
      <c r="T139" s="52">
        <v>3.5297005493117593</v>
      </c>
      <c r="U139" s="187">
        <v>12081450000</v>
      </c>
      <c r="V139" s="186">
        <f t="shared" si="22"/>
        <v>10.082119060875158</v>
      </c>
      <c r="W139" s="52">
        <v>2</v>
      </c>
      <c r="X139" s="104" t="s">
        <v>45</v>
      </c>
      <c r="Y139" s="137">
        <f t="shared" si="23"/>
        <v>1</v>
      </c>
    </row>
    <row r="140" spans="1:25" x14ac:dyDescent="0.35">
      <c r="A140" s="49">
        <v>7.8047788731252177E-2</v>
      </c>
      <c r="B140" s="50" t="s">
        <v>45</v>
      </c>
      <c r="C140" s="50">
        <v>4.4739726027397264</v>
      </c>
      <c r="D140" s="50">
        <f t="shared" si="16"/>
        <v>0.65069332028019344</v>
      </c>
      <c r="E140" s="50">
        <v>3.7707754512906644</v>
      </c>
      <c r="F140" s="50">
        <v>0.47712125471966244</v>
      </c>
      <c r="G140" s="50">
        <v>2.3199999999999998</v>
      </c>
      <c r="H140" s="50">
        <f t="shared" si="17"/>
        <v>0.36548798489089962</v>
      </c>
      <c r="I140" s="50">
        <v>2.1238516409670858</v>
      </c>
      <c r="J140" s="50">
        <v>-2.6872146400301365E-2</v>
      </c>
      <c r="K140" s="50">
        <v>21</v>
      </c>
      <c r="L140" s="50">
        <f t="shared" si="18"/>
        <v>1.3222192947339193</v>
      </c>
      <c r="M140" s="50">
        <v>93.2</v>
      </c>
      <c r="N140" s="50">
        <f t="shared" si="19"/>
        <v>1.9694159123539814</v>
      </c>
      <c r="O140" s="50">
        <v>26.7</v>
      </c>
      <c r="P140" s="50">
        <f t="shared" si="20"/>
        <v>1.4265112613645752</v>
      </c>
      <c r="Q140" s="50">
        <v>36.669158714517401</v>
      </c>
      <c r="R140" s="50">
        <f t="shared" si="21"/>
        <v>1.5643009462345601</v>
      </c>
      <c r="S140" s="50">
        <v>3.2699236952309461</v>
      </c>
      <c r="T140" s="50">
        <v>3.6984415808994222</v>
      </c>
      <c r="U140" s="186">
        <v>12828530000</v>
      </c>
      <c r="V140" s="186">
        <f t="shared" si="22"/>
        <v>10.108176894140763</v>
      </c>
      <c r="W140" s="50">
        <v>9</v>
      </c>
      <c r="X140" s="66" t="s">
        <v>577</v>
      </c>
      <c r="Y140" s="137">
        <f t="shared" si="23"/>
        <v>1</v>
      </c>
    </row>
    <row r="141" spans="1:25" x14ac:dyDescent="0.35">
      <c r="A141" s="67">
        <v>1.4952482388323004E-2</v>
      </c>
      <c r="B141" s="52" t="s">
        <v>45</v>
      </c>
      <c r="C141" s="52">
        <v>1.1424657534246576</v>
      </c>
      <c r="D141" s="50">
        <f t="shared" si="16"/>
        <v>5.7843190517282844E-2</v>
      </c>
      <c r="E141" s="52">
        <v>0</v>
      </c>
      <c r="F141" s="52">
        <v>1.6812412373755872</v>
      </c>
      <c r="G141" s="52">
        <v>2.95</v>
      </c>
      <c r="H141" s="50">
        <f t="shared" si="17"/>
        <v>0.46982201597816303</v>
      </c>
      <c r="I141" s="52">
        <v>0</v>
      </c>
      <c r="J141" s="52">
        <v>-0.20760831050174613</v>
      </c>
      <c r="K141" s="52">
        <v>15</v>
      </c>
      <c r="L141" s="50">
        <f t="shared" si="18"/>
        <v>1.1760912590556813</v>
      </c>
      <c r="M141" s="52">
        <v>91.4</v>
      </c>
      <c r="N141" s="50">
        <f t="shared" si="19"/>
        <v>1.9609461957338314</v>
      </c>
      <c r="O141" s="52">
        <v>26.7</v>
      </c>
      <c r="P141" s="50">
        <f t="shared" si="20"/>
        <v>1.4265112613645752</v>
      </c>
      <c r="Q141" s="52">
        <v>37.425715444240403</v>
      </c>
      <c r="R141" s="50">
        <f t="shared" si="21"/>
        <v>1.5731701112332821</v>
      </c>
      <c r="S141" s="52">
        <v>3.1628767233771686</v>
      </c>
      <c r="T141" s="52">
        <v>3.6087947637270492</v>
      </c>
      <c r="U141" s="187">
        <v>27149000000</v>
      </c>
      <c r="V141" s="186">
        <f t="shared" si="22"/>
        <v>10.433753837516758</v>
      </c>
      <c r="W141" s="52">
        <v>4</v>
      </c>
      <c r="X141" s="68" t="s">
        <v>602</v>
      </c>
      <c r="Y141" s="137">
        <f t="shared" si="23"/>
        <v>0</v>
      </c>
    </row>
    <row r="142" spans="1:25" x14ac:dyDescent="0.35">
      <c r="A142" s="49">
        <v>-0.41073372100876349</v>
      </c>
      <c r="B142" s="50" t="s">
        <v>45</v>
      </c>
      <c r="C142" s="50">
        <v>9.7835616438356166</v>
      </c>
      <c r="D142" s="50">
        <f t="shared" si="16"/>
        <v>0.99049698573630729</v>
      </c>
      <c r="E142" s="50">
        <v>0</v>
      </c>
      <c r="F142" s="50">
        <v>1.414973347970818</v>
      </c>
      <c r="G142" s="50">
        <v>2.95</v>
      </c>
      <c r="H142" s="50">
        <f t="shared" si="17"/>
        <v>0.46982201597816303</v>
      </c>
      <c r="I142" s="50">
        <v>0</v>
      </c>
      <c r="J142" s="50">
        <v>0.22271647114758325</v>
      </c>
      <c r="K142" s="50">
        <v>31</v>
      </c>
      <c r="L142" s="50">
        <f t="shared" si="18"/>
        <v>1.4913616938342726</v>
      </c>
      <c r="M142" s="50">
        <v>91.4</v>
      </c>
      <c r="N142" s="50">
        <f t="shared" si="19"/>
        <v>1.9609461957338314</v>
      </c>
      <c r="O142" s="50">
        <v>26.7</v>
      </c>
      <c r="P142" s="50">
        <f t="shared" si="20"/>
        <v>1.4265112613645752</v>
      </c>
      <c r="Q142" s="50">
        <v>37.425715444240403</v>
      </c>
      <c r="R142" s="50">
        <f t="shared" si="21"/>
        <v>1.5731701112332821</v>
      </c>
      <c r="S142" s="50">
        <v>3.0687415514991745</v>
      </c>
      <c r="T142" s="50">
        <v>3.5297005493117593</v>
      </c>
      <c r="U142" s="186">
        <v>48405150000</v>
      </c>
      <c r="V142" s="186">
        <f t="shared" si="22"/>
        <v>10.684891570272443</v>
      </c>
      <c r="W142" s="50">
        <v>10</v>
      </c>
      <c r="X142" s="66" t="s">
        <v>45</v>
      </c>
      <c r="Y142" s="137">
        <f t="shared" si="23"/>
        <v>0</v>
      </c>
    </row>
    <row r="143" spans="1:25" x14ac:dyDescent="0.35">
      <c r="A143" s="67">
        <v>-0.41073372100876349</v>
      </c>
      <c r="B143" s="52" t="s">
        <v>45</v>
      </c>
      <c r="C143" s="52">
        <v>9.8657534246575338</v>
      </c>
      <c r="D143" s="50">
        <f t="shared" si="16"/>
        <v>0.99413025691481061</v>
      </c>
      <c r="E143" s="52">
        <v>0</v>
      </c>
      <c r="F143" s="52">
        <v>1.9822712330395684</v>
      </c>
      <c r="G143" s="52">
        <v>2.95</v>
      </c>
      <c r="H143" s="50">
        <f t="shared" si="17"/>
        <v>0.46982201597816303</v>
      </c>
      <c r="I143" s="52">
        <v>0</v>
      </c>
      <c r="J143" s="52">
        <v>0.19312459835446161</v>
      </c>
      <c r="K143" s="52">
        <v>15</v>
      </c>
      <c r="L143" s="50">
        <f t="shared" si="18"/>
        <v>1.1760912590556813</v>
      </c>
      <c r="M143" s="52">
        <v>91.4</v>
      </c>
      <c r="N143" s="50">
        <f t="shared" si="19"/>
        <v>1.9609461957338314</v>
      </c>
      <c r="O143" s="52">
        <v>26.7</v>
      </c>
      <c r="P143" s="50">
        <f t="shared" si="20"/>
        <v>1.4265112613645752</v>
      </c>
      <c r="Q143" s="52">
        <v>37.425715444240403</v>
      </c>
      <c r="R143" s="50">
        <f t="shared" si="21"/>
        <v>1.5731701112332821</v>
      </c>
      <c r="S143" s="52">
        <v>3.1628767233771686</v>
      </c>
      <c r="T143" s="52">
        <v>3.6087947637270492</v>
      </c>
      <c r="U143" s="187">
        <v>48405150000</v>
      </c>
      <c r="V143" s="186">
        <f t="shared" si="22"/>
        <v>10.684891570272443</v>
      </c>
      <c r="W143" s="52">
        <v>10</v>
      </c>
      <c r="X143" s="68" t="s">
        <v>602</v>
      </c>
      <c r="Y143" s="137">
        <f t="shared" si="23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51"/>
  <sheetViews>
    <sheetView topLeftCell="F1" workbookViewId="0">
      <pane ySplit="1" topLeftCell="A2" activePane="bottomLeft" state="frozen"/>
      <selection pane="bottomLeft" activeCell="W2" sqref="W2"/>
    </sheetView>
  </sheetViews>
  <sheetFormatPr defaultRowHeight="14.5" x14ac:dyDescent="0.35"/>
  <cols>
    <col min="1" max="1" width="28.453125" customWidth="1"/>
    <col min="2" max="2" width="14.453125" customWidth="1"/>
    <col min="3" max="3" width="19" customWidth="1"/>
    <col min="4" max="4" width="16.26953125" customWidth="1"/>
    <col min="5" max="6" width="16.26953125" style="137" customWidth="1"/>
    <col min="7" max="7" width="16.26953125" customWidth="1"/>
    <col min="8" max="8" width="12.26953125" customWidth="1"/>
    <col min="9" max="9" width="16.1796875" customWidth="1"/>
    <col min="10" max="10" width="16.1796875" style="137" customWidth="1"/>
    <col min="11" max="11" width="17.54296875" customWidth="1"/>
    <col min="12" max="12" width="20.7265625" customWidth="1"/>
    <col min="13" max="13" width="12" style="137" customWidth="1"/>
    <col min="14" max="14" width="21.1796875" customWidth="1"/>
    <col min="15" max="15" width="21.453125" customWidth="1"/>
    <col min="16" max="18" width="21.453125" style="137" customWidth="1"/>
    <col min="19" max="19" width="19.453125" customWidth="1"/>
    <col min="20" max="20" width="19.453125" style="137" customWidth="1"/>
    <col min="21" max="21" width="19.453125" customWidth="1"/>
    <col min="22" max="22" width="19" customWidth="1"/>
    <col min="23" max="23" width="20.1796875" customWidth="1"/>
    <col min="24" max="24" width="12.81640625" style="137" customWidth="1"/>
    <col min="25" max="25" width="21.1796875" customWidth="1"/>
    <col min="26" max="26" width="21.453125" customWidth="1"/>
    <col min="27" max="27" width="19.453125" customWidth="1"/>
  </cols>
  <sheetData>
    <row r="1" spans="1:23" x14ac:dyDescent="0.35">
      <c r="A1" s="94" t="s">
        <v>10</v>
      </c>
      <c r="B1" s="94" t="s">
        <v>11</v>
      </c>
      <c r="C1" s="94" t="s">
        <v>1322</v>
      </c>
      <c r="D1" s="94" t="s">
        <v>1334</v>
      </c>
      <c r="E1" s="162" t="s">
        <v>23</v>
      </c>
      <c r="F1" s="162" t="s">
        <v>1382</v>
      </c>
      <c r="G1" s="162" t="s">
        <v>1327</v>
      </c>
      <c r="H1" s="162" t="s">
        <v>1368</v>
      </c>
      <c r="I1" s="158" t="s">
        <v>27</v>
      </c>
      <c r="J1" s="165" t="s">
        <v>1383</v>
      </c>
      <c r="K1" s="162" t="s">
        <v>1311</v>
      </c>
      <c r="L1" s="162" t="s">
        <v>31</v>
      </c>
      <c r="M1" s="162" t="s">
        <v>1369</v>
      </c>
      <c r="N1" s="162" t="s">
        <v>1315</v>
      </c>
      <c r="O1" s="159" t="s">
        <v>35</v>
      </c>
      <c r="P1" s="159" t="s">
        <v>1384</v>
      </c>
      <c r="Q1" s="160" t="s">
        <v>36</v>
      </c>
      <c r="R1" s="160" t="s">
        <v>1385</v>
      </c>
      <c r="S1" s="159" t="s">
        <v>37</v>
      </c>
      <c r="T1" s="164" t="s">
        <v>1386</v>
      </c>
      <c r="U1" t="s">
        <v>1316</v>
      </c>
      <c r="V1" s="159" t="s">
        <v>40</v>
      </c>
      <c r="W1" t="s">
        <v>1378</v>
      </c>
    </row>
    <row r="2" spans="1:23" x14ac:dyDescent="0.35">
      <c r="A2" s="87" t="s">
        <v>62</v>
      </c>
      <c r="B2" s="87" t="s">
        <v>4</v>
      </c>
      <c r="C2">
        <v>6</v>
      </c>
      <c r="D2" s="161">
        <v>8.0992316150808819</v>
      </c>
      <c r="E2" s="161">
        <v>4.4027397260273968</v>
      </c>
      <c r="F2" s="161">
        <f>LOG(E2)</f>
        <v>0.64372301230686979</v>
      </c>
      <c r="G2">
        <v>3.1566248585544785</v>
      </c>
      <c r="H2">
        <v>1.8808135922807914</v>
      </c>
      <c r="I2" s="72">
        <v>3.03</v>
      </c>
      <c r="J2" s="183">
        <f>LOG(I2)</f>
        <v>0.48144262850230496</v>
      </c>
      <c r="K2">
        <v>-3.3241325847105839E-2</v>
      </c>
      <c r="L2">
        <v>3.277819633965128</v>
      </c>
      <c r="M2" s="137">
        <v>3.9304083853612104</v>
      </c>
      <c r="N2">
        <v>2.8438554226231609</v>
      </c>
      <c r="O2" s="77">
        <v>70</v>
      </c>
      <c r="P2" s="77">
        <f>LOG(O2)</f>
        <v>1.8450980400142569</v>
      </c>
      <c r="Q2" s="78">
        <v>48.4</v>
      </c>
      <c r="R2" s="78">
        <f>LOG(Q2)</f>
        <v>1.6848453616444126</v>
      </c>
      <c r="S2" s="79">
        <v>56.929890049265502</v>
      </c>
      <c r="T2" s="184">
        <f>LOG(S2)</f>
        <v>1.7553403450438787</v>
      </c>
      <c r="U2">
        <v>-1.322826573375516E-2</v>
      </c>
      <c r="V2" s="77">
        <v>9</v>
      </c>
      <c r="W2">
        <f>IF(V2=0,0,LOG(V2))</f>
        <v>0.95424250943932487</v>
      </c>
    </row>
    <row r="3" spans="1:23" x14ac:dyDescent="0.35">
      <c r="A3" s="88" t="s">
        <v>82</v>
      </c>
      <c r="B3" s="88" t="s">
        <v>2</v>
      </c>
      <c r="C3">
        <v>1</v>
      </c>
      <c r="D3" s="161">
        <v>8.3813858660133764</v>
      </c>
      <c r="E3" s="161">
        <v>4.2164383561643834</v>
      </c>
      <c r="F3" s="161">
        <f t="shared" ref="F3:F66" si="0">LOG(E3)</f>
        <v>0.62494575537500396</v>
      </c>
      <c r="G3">
        <v>2.9629325585580042</v>
      </c>
      <c r="H3">
        <v>1.6812412373755872</v>
      </c>
      <c r="I3" s="73">
        <v>2.62</v>
      </c>
      <c r="J3" s="183">
        <f t="shared" ref="J3:J66" si="1">LOG(I3)</f>
        <v>0.41830129131974547</v>
      </c>
      <c r="K3">
        <v>-5.8286466278308156E-2</v>
      </c>
      <c r="L3">
        <v>3.2699236952309465</v>
      </c>
      <c r="M3" s="137">
        <v>3.6984415808994222</v>
      </c>
      <c r="N3">
        <v>2.9323046139517812</v>
      </c>
      <c r="O3" s="74">
        <v>70</v>
      </c>
      <c r="P3" s="77">
        <f t="shared" ref="P3:P66" si="2">LOG(O3)</f>
        <v>1.8450980400142569</v>
      </c>
      <c r="Q3" s="75">
        <v>35</v>
      </c>
      <c r="R3" s="78">
        <f t="shared" ref="R3:R66" si="3">LOG(Q3)</f>
        <v>1.5440680443502757</v>
      </c>
      <c r="S3" s="76">
        <v>46.908044131476899</v>
      </c>
      <c r="T3" s="184">
        <f t="shared" ref="T3:T66" si="4">LOG(S3)</f>
        <v>1.6712473250679141</v>
      </c>
      <c r="U3">
        <v>-4.3648054024500883E-3</v>
      </c>
      <c r="V3" s="74">
        <v>16</v>
      </c>
      <c r="W3" s="137">
        <f t="shared" ref="W3:W66" si="5">IF(V3=0,0,LOG(V3))</f>
        <v>1.2041199826559248</v>
      </c>
    </row>
    <row r="4" spans="1:23" x14ac:dyDescent="0.35">
      <c r="A4" s="87" t="s">
        <v>123</v>
      </c>
      <c r="B4" s="87" t="s">
        <v>2</v>
      </c>
      <c r="C4">
        <v>3</v>
      </c>
      <c r="D4" s="161">
        <v>9.1734485147443152</v>
      </c>
      <c r="E4" s="161">
        <v>10.597260273972603</v>
      </c>
      <c r="F4" s="161">
        <f t="shared" si="0"/>
        <v>1.0251936009544893</v>
      </c>
      <c r="G4">
        <v>2.9629325585580042</v>
      </c>
      <c r="H4">
        <v>1.7481880270062005</v>
      </c>
      <c r="I4" s="72">
        <v>2.62</v>
      </c>
      <c r="J4" s="183">
        <f t="shared" si="1"/>
        <v>0.41830129131974547</v>
      </c>
      <c r="K4">
        <v>0.48930931693725965</v>
      </c>
      <c r="L4">
        <v>3.3070943565685456</v>
      </c>
      <c r="M4" s="137">
        <v>3.5922013861353577</v>
      </c>
      <c r="N4">
        <v>2.9323046139517812</v>
      </c>
      <c r="O4" s="77">
        <v>88.9</v>
      </c>
      <c r="P4" s="77">
        <f t="shared" si="2"/>
        <v>1.9489017609702137</v>
      </c>
      <c r="Q4" s="78">
        <v>34.9</v>
      </c>
      <c r="R4" s="78">
        <f t="shared" si="3"/>
        <v>1.5428254269591799</v>
      </c>
      <c r="S4" s="79">
        <v>42.817370475444001</v>
      </c>
      <c r="T4" s="184">
        <f t="shared" si="4"/>
        <v>1.6316199926391717</v>
      </c>
      <c r="U4">
        <v>0.2576785748691845</v>
      </c>
      <c r="V4" s="77">
        <v>38</v>
      </c>
      <c r="W4" s="137">
        <f t="shared" si="5"/>
        <v>1.5797835966168101</v>
      </c>
    </row>
    <row r="5" spans="1:23" x14ac:dyDescent="0.35">
      <c r="A5" s="74" t="s">
        <v>150</v>
      </c>
      <c r="B5" s="74" t="s">
        <v>2</v>
      </c>
      <c r="C5">
        <v>1</v>
      </c>
      <c r="D5" s="161">
        <v>8.9967698955170619</v>
      </c>
      <c r="E5" s="161">
        <v>3.6356164383561644</v>
      </c>
      <c r="F5" s="161">
        <f t="shared" si="0"/>
        <v>0.56057805840796082</v>
      </c>
      <c r="G5">
        <v>2.9629325585580042</v>
      </c>
      <c r="H5">
        <v>1.6720978579357175</v>
      </c>
      <c r="I5" s="73">
        <v>2.62</v>
      </c>
      <c r="J5" s="183">
        <f t="shared" si="1"/>
        <v>0.41830129131974547</v>
      </c>
      <c r="K5">
        <v>0.50696632713727663</v>
      </c>
      <c r="L5">
        <v>3.2224645332922388</v>
      </c>
      <c r="M5" s="137">
        <v>3.707126713924402</v>
      </c>
      <c r="N5">
        <v>2.9323046139517812</v>
      </c>
      <c r="O5" s="74">
        <v>70</v>
      </c>
      <c r="P5" s="77">
        <f t="shared" si="2"/>
        <v>1.8450980400142569</v>
      </c>
      <c r="Q5" s="75">
        <v>34.6</v>
      </c>
      <c r="R5" s="78">
        <f t="shared" si="3"/>
        <v>1.5390760987927767</v>
      </c>
      <c r="S5" s="76">
        <v>47.8156192569637</v>
      </c>
      <c r="T5" s="184">
        <f t="shared" si="4"/>
        <v>1.6795697846681461</v>
      </c>
      <c r="U5">
        <v>0.16435285578443709</v>
      </c>
      <c r="V5" s="74">
        <v>22</v>
      </c>
      <c r="W5" s="137">
        <f t="shared" si="5"/>
        <v>1.3424226808222062</v>
      </c>
    </row>
    <row r="6" spans="1:23" x14ac:dyDescent="0.35">
      <c r="A6" s="77" t="s">
        <v>154</v>
      </c>
      <c r="B6" s="77" t="s">
        <v>3</v>
      </c>
      <c r="C6">
        <v>1</v>
      </c>
      <c r="D6" s="161">
        <v>8.9281704522987919</v>
      </c>
      <c r="E6" s="161">
        <v>3.3917808219178083</v>
      </c>
      <c r="F6" s="161">
        <f t="shared" si="0"/>
        <v>0.53042778022762449</v>
      </c>
      <c r="G6">
        <v>2.9808892467722719</v>
      </c>
      <c r="H6">
        <v>2.0334237554869499</v>
      </c>
      <c r="I6" s="72">
        <v>3.13</v>
      </c>
      <c r="J6" s="183">
        <f t="shared" si="1"/>
        <v>0.49554433754644844</v>
      </c>
      <c r="K6">
        <v>0.47037020438358634</v>
      </c>
      <c r="L6">
        <v>3.2224645332922388</v>
      </c>
      <c r="M6" s="137">
        <v>3.707126713924402</v>
      </c>
      <c r="N6">
        <v>2.7343997425205671</v>
      </c>
      <c r="O6" s="77">
        <v>100</v>
      </c>
      <c r="P6" s="77">
        <f t="shared" si="2"/>
        <v>2</v>
      </c>
      <c r="Q6" s="78">
        <v>45.6</v>
      </c>
      <c r="R6" s="78">
        <f t="shared" si="3"/>
        <v>1.658964842664435</v>
      </c>
      <c r="S6" s="79">
        <v>53.639357132864397</v>
      </c>
      <c r="T6" s="184">
        <f t="shared" si="4"/>
        <v>1.7294835641959176</v>
      </c>
      <c r="U6">
        <v>0.18469143081759881</v>
      </c>
      <c r="V6" s="77">
        <v>22</v>
      </c>
      <c r="W6" s="137">
        <f t="shared" si="5"/>
        <v>1.3424226808222062</v>
      </c>
    </row>
    <row r="7" spans="1:23" x14ac:dyDescent="0.35">
      <c r="A7" s="74" t="s">
        <v>157</v>
      </c>
      <c r="B7" s="74" t="s">
        <v>7</v>
      </c>
      <c r="C7">
        <v>1</v>
      </c>
      <c r="D7" s="161">
        <v>9.4913616938342731</v>
      </c>
      <c r="E7" s="161">
        <v>4.2767123287671236</v>
      </c>
      <c r="F7" s="161">
        <f t="shared" si="0"/>
        <v>0.63111003860594284</v>
      </c>
      <c r="G7">
        <v>2.6903467274930635</v>
      </c>
      <c r="H7">
        <v>1.6127838567197355</v>
      </c>
      <c r="I7" s="73">
        <v>2.59</v>
      </c>
      <c r="J7" s="183">
        <f t="shared" si="1"/>
        <v>0.4132997640812518</v>
      </c>
      <c r="K7">
        <v>7.789513949433749E-2</v>
      </c>
      <c r="L7">
        <v>3.2224645332922388</v>
      </c>
      <c r="M7" s="137">
        <v>3.707126713924402</v>
      </c>
      <c r="N7">
        <v>2.7508939203821252</v>
      </c>
      <c r="O7" s="74">
        <v>74.8</v>
      </c>
      <c r="P7" s="77">
        <f t="shared" si="2"/>
        <v>1.8739015978644613</v>
      </c>
      <c r="Q7" s="75">
        <v>38.299999999999997</v>
      </c>
      <c r="R7" s="78">
        <f t="shared" si="3"/>
        <v>1.5831987739686226</v>
      </c>
      <c r="S7" s="76">
        <v>43.321936809724697</v>
      </c>
      <c r="T7" s="184">
        <f t="shared" si="4"/>
        <v>1.6367078645500728</v>
      </c>
      <c r="U7">
        <v>0.20682587603184968</v>
      </c>
      <c r="V7" s="74">
        <v>32</v>
      </c>
      <c r="W7" s="137">
        <f t="shared" si="5"/>
        <v>1.505149978319906</v>
      </c>
    </row>
    <row r="8" spans="1:23" x14ac:dyDescent="0.35">
      <c r="A8" s="77" t="s">
        <v>162</v>
      </c>
      <c r="B8" s="77" t="s">
        <v>163</v>
      </c>
      <c r="C8">
        <v>7</v>
      </c>
      <c r="D8" s="161">
        <v>8.6669389672147119</v>
      </c>
      <c r="E8" s="161">
        <v>5.1424657534246574</v>
      </c>
      <c r="F8" s="161">
        <f t="shared" si="0"/>
        <v>0.71117140816487157</v>
      </c>
      <c r="G8">
        <v>2.5362300726332561</v>
      </c>
      <c r="H8">
        <v>1.5563025007672873</v>
      </c>
      <c r="I8" s="72">
        <v>2.3199999999999998</v>
      </c>
      <c r="J8" s="183">
        <f t="shared" si="1"/>
        <v>0.36548798489089962</v>
      </c>
      <c r="K8">
        <v>0.23615101977723243</v>
      </c>
      <c r="L8">
        <v>3.2555397552391718</v>
      </c>
      <c r="M8" s="137">
        <v>3.9251377713585649</v>
      </c>
      <c r="N8">
        <v>2.756001823801419</v>
      </c>
      <c r="O8" s="77">
        <v>87.2</v>
      </c>
      <c r="P8" s="77">
        <f t="shared" si="2"/>
        <v>1.9405164849325673</v>
      </c>
      <c r="Q8" s="78">
        <v>42.5</v>
      </c>
      <c r="R8" s="78">
        <f t="shared" si="3"/>
        <v>1.6283889300503116</v>
      </c>
      <c r="S8" s="79">
        <v>52.565521078007201</v>
      </c>
      <c r="T8" s="184">
        <f t="shared" si="4"/>
        <v>1.7207009738992591</v>
      </c>
      <c r="U8">
        <v>-4.0958607678906384E-2</v>
      </c>
      <c r="V8" s="77">
        <v>23</v>
      </c>
      <c r="W8" s="137">
        <f t="shared" si="5"/>
        <v>1.3617278360175928</v>
      </c>
    </row>
    <row r="9" spans="1:23" x14ac:dyDescent="0.35">
      <c r="A9" s="74" t="s">
        <v>165</v>
      </c>
      <c r="B9" s="74" t="s">
        <v>163</v>
      </c>
      <c r="C9">
        <v>7</v>
      </c>
      <c r="D9" s="161">
        <v>8.518513939877888</v>
      </c>
      <c r="E9" s="161">
        <v>2.4575342465753423</v>
      </c>
      <c r="F9" s="161">
        <f t="shared" si="0"/>
        <v>0.39049957858761736</v>
      </c>
      <c r="G9">
        <v>2.5362300726332561</v>
      </c>
      <c r="H9">
        <v>1.5563025007672873</v>
      </c>
      <c r="I9" s="73">
        <v>2.3199999999999998</v>
      </c>
      <c r="J9" s="183">
        <f t="shared" si="1"/>
        <v>0.36548798489089962</v>
      </c>
      <c r="K9">
        <v>0.35654732351381263</v>
      </c>
      <c r="L9">
        <v>3.2555397552391718</v>
      </c>
      <c r="M9" s="137">
        <v>3.9251377713585649</v>
      </c>
      <c r="N9">
        <v>2.756001823801419</v>
      </c>
      <c r="O9" s="74">
        <v>70</v>
      </c>
      <c r="P9" s="77">
        <f t="shared" si="2"/>
        <v>1.8450980400142569</v>
      </c>
      <c r="Q9" s="75">
        <v>42.2</v>
      </c>
      <c r="R9" s="78">
        <f t="shared" si="3"/>
        <v>1.6253124509616739</v>
      </c>
      <c r="S9" s="76">
        <v>53.270504198897903</v>
      </c>
      <c r="T9" s="184">
        <f t="shared" si="4"/>
        <v>1.7264868073491786</v>
      </c>
      <c r="U9">
        <v>9.691001300805642E-2</v>
      </c>
      <c r="V9" s="74">
        <v>19</v>
      </c>
      <c r="W9" s="137">
        <f t="shared" si="5"/>
        <v>1.2787536009528289</v>
      </c>
    </row>
    <row r="10" spans="1:23" x14ac:dyDescent="0.35">
      <c r="A10" s="87" t="s">
        <v>188</v>
      </c>
      <c r="B10" s="87" t="s">
        <v>59</v>
      </c>
      <c r="C10">
        <v>2</v>
      </c>
      <c r="D10" s="161">
        <v>10.082119060875158</v>
      </c>
      <c r="E10" s="161">
        <v>8.8493150684931514</v>
      </c>
      <c r="F10" s="161">
        <f t="shared" si="0"/>
        <v>0.94690965787462822</v>
      </c>
      <c r="G10">
        <v>3.7707754512906644</v>
      </c>
      <c r="H10">
        <v>0.3010299956639812</v>
      </c>
      <c r="I10" s="163">
        <v>2.3199999999999998</v>
      </c>
      <c r="J10" s="183">
        <f t="shared" si="1"/>
        <v>0.36548798489089962</v>
      </c>
      <c r="K10">
        <v>7.8682491717007891E-2</v>
      </c>
      <c r="L10">
        <v>3.0687415514991745</v>
      </c>
      <c r="M10" s="137">
        <v>3.5297005493117593</v>
      </c>
      <c r="N10">
        <v>2.1238516409670858</v>
      </c>
      <c r="O10" s="77">
        <v>91.2</v>
      </c>
      <c r="P10" s="77">
        <f t="shared" si="2"/>
        <v>1.9599948383284163</v>
      </c>
      <c r="Q10" s="78">
        <v>33</v>
      </c>
      <c r="R10" s="78">
        <f t="shared" si="3"/>
        <v>1.5185139398778875</v>
      </c>
      <c r="S10" s="79">
        <v>40.902544500539101</v>
      </c>
      <c r="T10" s="184">
        <f t="shared" si="4"/>
        <v>1.6117503258110162</v>
      </c>
      <c r="U10">
        <v>0.15228834438305647</v>
      </c>
      <c r="V10" s="77">
        <v>31</v>
      </c>
      <c r="W10" s="137">
        <f t="shared" si="5"/>
        <v>1.4913616938342726</v>
      </c>
    </row>
    <row r="11" spans="1:23" x14ac:dyDescent="0.35">
      <c r="A11" s="74" t="s">
        <v>194</v>
      </c>
      <c r="B11" s="74" t="s">
        <v>45</v>
      </c>
      <c r="C11">
        <v>7</v>
      </c>
      <c r="D11" s="161">
        <v>9.4913616938342731</v>
      </c>
      <c r="E11" s="161">
        <v>3.4493150684931506</v>
      </c>
      <c r="F11" s="161">
        <f t="shared" si="0"/>
        <v>0.53773286565138789</v>
      </c>
      <c r="G11">
        <v>3.7707754512906644</v>
      </c>
      <c r="H11">
        <v>1.4913616938342726</v>
      </c>
      <c r="I11" s="73">
        <v>2.3199999999999998</v>
      </c>
      <c r="J11" s="183">
        <f t="shared" si="1"/>
        <v>0.36548798489089962</v>
      </c>
      <c r="K11">
        <v>0.15209098265191479</v>
      </c>
      <c r="L11">
        <v>3.5168755371419098</v>
      </c>
      <c r="M11" s="137">
        <v>3.8089017822076054</v>
      </c>
      <c r="N11">
        <v>2.1238516409670858</v>
      </c>
      <c r="O11" s="74">
        <v>91.3</v>
      </c>
      <c r="P11" s="77">
        <f t="shared" si="2"/>
        <v>1.9604707775342989</v>
      </c>
      <c r="Q11" s="75">
        <v>23.5</v>
      </c>
      <c r="R11" s="78">
        <f t="shared" si="3"/>
        <v>1.3710678622717363</v>
      </c>
      <c r="S11" s="76">
        <v>43.1672842383418</v>
      </c>
      <c r="T11" s="184">
        <f t="shared" si="4"/>
        <v>1.6351547269652249</v>
      </c>
      <c r="U11">
        <v>0.2253092817258629</v>
      </c>
      <c r="V11" s="74">
        <v>24</v>
      </c>
      <c r="W11" s="137">
        <f t="shared" si="5"/>
        <v>1.3802112417116059</v>
      </c>
    </row>
    <row r="12" spans="1:23" x14ac:dyDescent="0.35">
      <c r="A12" s="77" t="s">
        <v>197</v>
      </c>
      <c r="B12" s="77" t="s">
        <v>2</v>
      </c>
      <c r="C12">
        <v>7</v>
      </c>
      <c r="D12" s="161">
        <v>8.2552725051033065</v>
      </c>
      <c r="E12" s="161">
        <v>4.3890410958904109</v>
      </c>
      <c r="F12" s="161">
        <f t="shared" si="0"/>
        <v>0.64236964729174417</v>
      </c>
      <c r="G12">
        <v>3.8335760926148099</v>
      </c>
      <c r="H12">
        <v>1.6127838567197355</v>
      </c>
      <c r="I12" s="72">
        <v>2.85</v>
      </c>
      <c r="J12" s="183">
        <f t="shared" si="1"/>
        <v>0.45484486000851021</v>
      </c>
      <c r="K12">
        <v>0.7861201800549189</v>
      </c>
      <c r="L12">
        <v>3.0958500844125241</v>
      </c>
      <c r="M12" s="137">
        <v>3.5078178355445662</v>
      </c>
      <c r="N12">
        <v>2.9138138523837167</v>
      </c>
      <c r="O12" s="77">
        <v>92.1</v>
      </c>
      <c r="P12" s="77">
        <f t="shared" si="2"/>
        <v>1.9642596301968489</v>
      </c>
      <c r="Q12" s="78">
        <v>36.799999999999997</v>
      </c>
      <c r="R12" s="78">
        <f t="shared" si="3"/>
        <v>1.5658478186735176</v>
      </c>
      <c r="S12" s="79">
        <v>44.688349184782602</v>
      </c>
      <c r="T12" s="184">
        <f t="shared" si="4"/>
        <v>1.6501943118503011</v>
      </c>
      <c r="U12">
        <v>0.21218760440395779</v>
      </c>
      <c r="V12" s="77">
        <v>26</v>
      </c>
      <c r="W12" s="137">
        <f t="shared" si="5"/>
        <v>1.414973347970818</v>
      </c>
    </row>
    <row r="13" spans="1:23" x14ac:dyDescent="0.35">
      <c r="A13" s="74" t="s">
        <v>204</v>
      </c>
      <c r="B13" s="74" t="s">
        <v>5</v>
      </c>
      <c r="C13">
        <v>4</v>
      </c>
      <c r="D13" s="161">
        <v>8.8228216453031045</v>
      </c>
      <c r="E13" s="161">
        <v>3.5616438356164384</v>
      </c>
      <c r="F13" s="161">
        <f t="shared" si="0"/>
        <v>0.55165048785036208</v>
      </c>
      <c r="G13">
        <v>3.7916829312790057</v>
      </c>
      <c r="H13">
        <v>1.5185139398778875</v>
      </c>
      <c r="I13" s="73">
        <v>2.72</v>
      </c>
      <c r="J13" s="183">
        <f t="shared" si="1"/>
        <v>0.43456890403419873</v>
      </c>
      <c r="K13">
        <v>0.63202321470540557</v>
      </c>
      <c r="L13">
        <v>3.0958500844125241</v>
      </c>
      <c r="M13" s="137">
        <v>3.5078178355445662</v>
      </c>
      <c r="N13">
        <v>3.0355631414974997</v>
      </c>
      <c r="O13" s="74">
        <v>70</v>
      </c>
      <c r="P13" s="77">
        <f t="shared" si="2"/>
        <v>1.8450980400142569</v>
      </c>
      <c r="Q13" s="75">
        <v>35</v>
      </c>
      <c r="R13" s="78">
        <f t="shared" si="3"/>
        <v>1.5440680443502757</v>
      </c>
      <c r="S13" s="76">
        <v>43.580897040130701</v>
      </c>
      <c r="T13" s="184">
        <f t="shared" si="4"/>
        <v>1.6392961652303231</v>
      </c>
      <c r="U13">
        <v>0.14301480025409513</v>
      </c>
      <c r="V13" s="74">
        <v>15</v>
      </c>
      <c r="W13" s="137">
        <f t="shared" si="5"/>
        <v>1.1760912590556813</v>
      </c>
    </row>
    <row r="14" spans="1:23" x14ac:dyDescent="0.35">
      <c r="A14" s="77" t="s">
        <v>208</v>
      </c>
      <c r="B14" s="77" t="s">
        <v>163</v>
      </c>
      <c r="C14">
        <v>5</v>
      </c>
      <c r="D14" s="161">
        <v>8.685741738602264</v>
      </c>
      <c r="E14" s="161">
        <v>5.3780821917808215</v>
      </c>
      <c r="F14" s="161">
        <f t="shared" si="0"/>
        <v>0.73062743514353146</v>
      </c>
      <c r="G14">
        <v>3.7899753459779522</v>
      </c>
      <c r="H14">
        <v>1.3222192947339193</v>
      </c>
      <c r="I14" s="72">
        <v>3.18</v>
      </c>
      <c r="J14" s="183">
        <f t="shared" si="1"/>
        <v>0.50242711998443268</v>
      </c>
      <c r="K14">
        <v>0.21188535268817776</v>
      </c>
      <c r="L14">
        <v>3.0958500844125241</v>
      </c>
      <c r="M14" s="137">
        <v>3.5078178355445662</v>
      </c>
      <c r="N14">
        <v>2.7670321178317625</v>
      </c>
      <c r="O14" s="77">
        <v>86.3</v>
      </c>
      <c r="P14" s="77">
        <f t="shared" si="2"/>
        <v>1.9360107957152095</v>
      </c>
      <c r="Q14" s="78">
        <v>42.1</v>
      </c>
      <c r="R14" s="78">
        <f t="shared" si="3"/>
        <v>1.6242820958356683</v>
      </c>
      <c r="S14" s="79">
        <v>56.8818351627258</v>
      </c>
      <c r="T14" s="184">
        <f t="shared" si="4"/>
        <v>1.7549735994690439</v>
      </c>
      <c r="U14">
        <v>0.26717172840301384</v>
      </c>
      <c r="V14" s="77">
        <v>23</v>
      </c>
      <c r="W14" s="137">
        <f t="shared" si="5"/>
        <v>1.3617278360175928</v>
      </c>
    </row>
    <row r="15" spans="1:23" x14ac:dyDescent="0.35">
      <c r="A15" s="74" t="s">
        <v>211</v>
      </c>
      <c r="B15" s="74" t="s">
        <v>2</v>
      </c>
      <c r="C15">
        <v>8</v>
      </c>
      <c r="D15" s="161">
        <v>8.4771212547196626</v>
      </c>
      <c r="E15" s="161">
        <v>2.6547945205479451</v>
      </c>
      <c r="F15" s="161">
        <f t="shared" si="0"/>
        <v>0.4240309125942906</v>
      </c>
      <c r="G15">
        <v>3.8335760926148099</v>
      </c>
      <c r="H15">
        <v>0.3010299956639812</v>
      </c>
      <c r="I15" s="73">
        <v>2.85</v>
      </c>
      <c r="J15" s="183">
        <f t="shared" si="1"/>
        <v>0.45484486000851021</v>
      </c>
      <c r="K15">
        <v>0.37337794474981029</v>
      </c>
      <c r="L15">
        <v>3.0958500844125241</v>
      </c>
      <c r="M15" s="137">
        <v>3.5078178355445662</v>
      </c>
      <c r="N15">
        <v>2.9138138523837167</v>
      </c>
      <c r="O15" s="74">
        <v>70</v>
      </c>
      <c r="P15" s="77">
        <f t="shared" si="2"/>
        <v>1.8450980400142569</v>
      </c>
      <c r="Q15" s="75">
        <v>33.9</v>
      </c>
      <c r="R15" s="78">
        <f t="shared" si="3"/>
        <v>1.5301996982030821</v>
      </c>
      <c r="S15" s="76">
        <v>46.312020505412598</v>
      </c>
      <c r="T15" s="184">
        <f t="shared" si="4"/>
        <v>1.6656937288498501</v>
      </c>
      <c r="U15">
        <v>7.9181246047624818E-2</v>
      </c>
      <c r="V15" s="74">
        <v>17</v>
      </c>
      <c r="W15" s="137">
        <f t="shared" si="5"/>
        <v>1.2304489213782739</v>
      </c>
    </row>
    <row r="16" spans="1:23" x14ac:dyDescent="0.35">
      <c r="A16" s="77" t="s">
        <v>218</v>
      </c>
      <c r="B16" s="77" t="s">
        <v>163</v>
      </c>
      <c r="C16">
        <v>1</v>
      </c>
      <c r="D16" s="161">
        <v>8.5811860438211411</v>
      </c>
      <c r="E16" s="161">
        <v>1.9150684931506849</v>
      </c>
      <c r="F16" s="161">
        <f t="shared" si="0"/>
        <v>0.28218431128920668</v>
      </c>
      <c r="G16">
        <v>3.7899753459779522</v>
      </c>
      <c r="H16">
        <v>0.6020599913279624</v>
      </c>
      <c r="I16" s="72">
        <v>3.18</v>
      </c>
      <c r="J16" s="183">
        <f t="shared" si="1"/>
        <v>0.50242711998443268</v>
      </c>
      <c r="K16">
        <v>0.35331240742242576</v>
      </c>
      <c r="L16">
        <v>3.0958500844125241</v>
      </c>
      <c r="M16" s="137">
        <v>3.5078178355445662</v>
      </c>
      <c r="N16">
        <v>2.7670321178317625</v>
      </c>
      <c r="O16" s="77">
        <v>70</v>
      </c>
      <c r="P16" s="77">
        <f t="shared" si="2"/>
        <v>1.8450980400142569</v>
      </c>
      <c r="Q16" s="78">
        <v>42.2</v>
      </c>
      <c r="R16" s="78">
        <f t="shared" si="3"/>
        <v>1.6253124509616739</v>
      </c>
      <c r="S16" s="79">
        <v>53.270504198897903</v>
      </c>
      <c r="T16" s="184">
        <f t="shared" si="4"/>
        <v>1.7264868073491786</v>
      </c>
      <c r="U16">
        <v>0.1553360374650618</v>
      </c>
      <c r="V16" s="77">
        <v>16</v>
      </c>
      <c r="W16" s="137">
        <f t="shared" si="5"/>
        <v>1.2041199826559248</v>
      </c>
    </row>
    <row r="17" spans="1:23" x14ac:dyDescent="0.35">
      <c r="A17" s="74" t="s">
        <v>227</v>
      </c>
      <c r="B17" s="74" t="s">
        <v>2</v>
      </c>
      <c r="C17">
        <v>1</v>
      </c>
      <c r="D17" s="161">
        <v>9.1139433523068369</v>
      </c>
      <c r="E17" s="161">
        <v>5.3835616438356162</v>
      </c>
      <c r="F17" s="161">
        <f t="shared" si="0"/>
        <v>0.73106969025497082</v>
      </c>
      <c r="G17">
        <v>3.8335760926148099</v>
      </c>
      <c r="H17">
        <v>1.6334684555795864</v>
      </c>
      <c r="I17" s="73">
        <v>2.85</v>
      </c>
      <c r="J17" s="183">
        <f t="shared" si="1"/>
        <v>0.45484486000851021</v>
      </c>
      <c r="K17">
        <v>-0.74978649618430626</v>
      </c>
      <c r="L17">
        <v>3.3647319918335836</v>
      </c>
      <c r="M17" s="137">
        <v>3.568659604598353</v>
      </c>
      <c r="N17">
        <v>2.9138138523837167</v>
      </c>
      <c r="O17" s="74">
        <v>88.9</v>
      </c>
      <c r="P17" s="77">
        <f t="shared" si="2"/>
        <v>1.9489017609702137</v>
      </c>
      <c r="Q17" s="75">
        <v>34.9</v>
      </c>
      <c r="R17" s="78">
        <f t="shared" si="3"/>
        <v>1.5428254269591799</v>
      </c>
      <c r="S17" s="76">
        <v>42.817370475444001</v>
      </c>
      <c r="T17" s="184">
        <f t="shared" si="4"/>
        <v>1.6316199926391717</v>
      </c>
      <c r="U17">
        <v>-4.3648054024500883E-3</v>
      </c>
      <c r="V17" s="74">
        <v>22</v>
      </c>
      <c r="W17" s="137">
        <f t="shared" si="5"/>
        <v>1.3424226808222062</v>
      </c>
    </row>
    <row r="18" spans="1:23" x14ac:dyDescent="0.35">
      <c r="A18" s="77" t="s">
        <v>228</v>
      </c>
      <c r="B18" s="77" t="s">
        <v>2</v>
      </c>
      <c r="C18">
        <v>1</v>
      </c>
      <c r="D18" s="161">
        <v>8.6989700043360187</v>
      </c>
      <c r="E18" s="161">
        <v>3.7095890410958905</v>
      </c>
      <c r="F18" s="161">
        <f t="shared" si="0"/>
        <v>0.56932579989265086</v>
      </c>
      <c r="G18">
        <v>3.8335760926148099</v>
      </c>
      <c r="H18">
        <v>2.0492180226701815</v>
      </c>
      <c r="I18" s="72">
        <v>2.85</v>
      </c>
      <c r="J18" s="183">
        <f t="shared" si="1"/>
        <v>0.45484486000851021</v>
      </c>
      <c r="K18">
        <v>0.46239799789895608</v>
      </c>
      <c r="L18">
        <v>3.3647319918335836</v>
      </c>
      <c r="M18" s="137">
        <v>3.568659604598353</v>
      </c>
      <c r="N18">
        <v>2.9138138523837167</v>
      </c>
      <c r="O18" s="77">
        <v>70</v>
      </c>
      <c r="P18" s="77">
        <f t="shared" si="2"/>
        <v>1.8450980400142569</v>
      </c>
      <c r="Q18" s="78">
        <v>34.6</v>
      </c>
      <c r="R18" s="78">
        <f t="shared" si="3"/>
        <v>1.5390760987927767</v>
      </c>
      <c r="S18" s="79">
        <v>47.8156192569637</v>
      </c>
      <c r="T18" s="184">
        <f t="shared" si="4"/>
        <v>1.6795697846681461</v>
      </c>
      <c r="U18">
        <v>0.17897694729316943</v>
      </c>
      <c r="V18" s="77">
        <v>18</v>
      </c>
      <c r="W18" s="137">
        <f t="shared" si="5"/>
        <v>1.255272505103306</v>
      </c>
    </row>
    <row r="19" spans="1:23" x14ac:dyDescent="0.35">
      <c r="A19" s="74" t="s">
        <v>230</v>
      </c>
      <c r="B19" s="74" t="s">
        <v>59</v>
      </c>
      <c r="C19">
        <v>7</v>
      </c>
      <c r="D19" s="161">
        <v>9.2706322605125209</v>
      </c>
      <c r="E19" s="161">
        <v>7.3808219178082188</v>
      </c>
      <c r="F19" s="161">
        <f t="shared" si="0"/>
        <v>0.86810472693049212</v>
      </c>
      <c r="G19">
        <v>3.7707754512906644</v>
      </c>
      <c r="H19">
        <v>1.7708520116421442</v>
      </c>
      <c r="I19" s="73">
        <v>2.3199999999999998</v>
      </c>
      <c r="J19" s="183">
        <f t="shared" si="1"/>
        <v>0.36548798489089962</v>
      </c>
      <c r="K19">
        <v>0.21695206338669118</v>
      </c>
      <c r="L19">
        <v>3.3647319918335836</v>
      </c>
      <c r="M19" s="137">
        <v>3.568659604598353</v>
      </c>
      <c r="N19">
        <v>2.1238516409670858</v>
      </c>
      <c r="O19" s="74">
        <v>91.5</v>
      </c>
      <c r="P19" s="77">
        <f t="shared" si="2"/>
        <v>1.9614210940664483</v>
      </c>
      <c r="Q19" s="75">
        <v>32.9</v>
      </c>
      <c r="R19" s="78">
        <f t="shared" si="3"/>
        <v>1.5171958979499742</v>
      </c>
      <c r="S19" s="76">
        <v>40.767390998852598</v>
      </c>
      <c r="T19" s="184">
        <f t="shared" si="4"/>
        <v>1.6103129186864549</v>
      </c>
      <c r="U19">
        <v>0.13033376849500614</v>
      </c>
      <c r="V19" s="74">
        <v>21</v>
      </c>
      <c r="W19" s="137">
        <f t="shared" si="5"/>
        <v>1.3222192947339193</v>
      </c>
    </row>
    <row r="20" spans="1:23" x14ac:dyDescent="0.35">
      <c r="A20" s="77" t="s">
        <v>232</v>
      </c>
      <c r="B20" s="77" t="s">
        <v>6</v>
      </c>
      <c r="C20">
        <v>1</v>
      </c>
      <c r="D20" s="161">
        <v>8.3979400086720375</v>
      </c>
      <c r="E20" s="161">
        <v>4.7589041095890412</v>
      </c>
      <c r="F20" s="161">
        <f t="shared" si="0"/>
        <v>0.67750695399062388</v>
      </c>
      <c r="G20">
        <v>2.5075455505094206</v>
      </c>
      <c r="H20">
        <v>1.8864907251724818</v>
      </c>
      <c r="I20" s="72">
        <v>2.91</v>
      </c>
      <c r="J20" s="183">
        <f t="shared" si="1"/>
        <v>0.46389298898590731</v>
      </c>
      <c r="K20">
        <v>0.37291200297010657</v>
      </c>
      <c r="L20">
        <v>3.2224645332922388</v>
      </c>
      <c r="M20" s="137">
        <v>3.707126713924402</v>
      </c>
      <c r="N20">
        <v>2.6517624473801109</v>
      </c>
      <c r="O20" s="77">
        <v>70</v>
      </c>
      <c r="P20" s="77">
        <f t="shared" si="2"/>
        <v>1.8450980400142569</v>
      </c>
      <c r="Q20" s="78">
        <v>43.6</v>
      </c>
      <c r="R20" s="78">
        <f t="shared" si="3"/>
        <v>1.6394864892685861</v>
      </c>
      <c r="S20" s="79">
        <v>49.506498643412101</v>
      </c>
      <c r="T20" s="184">
        <f t="shared" si="4"/>
        <v>1.6946622118572952</v>
      </c>
      <c r="U20">
        <v>0.13987908640123647</v>
      </c>
      <c r="V20" s="77">
        <v>21</v>
      </c>
      <c r="W20" s="137">
        <f t="shared" si="5"/>
        <v>1.3222192947339193</v>
      </c>
    </row>
    <row r="21" spans="1:23" x14ac:dyDescent="0.35">
      <c r="A21" s="95" t="s">
        <v>157</v>
      </c>
      <c r="B21" s="95" t="s">
        <v>7</v>
      </c>
      <c r="C21">
        <v>1</v>
      </c>
      <c r="D21" s="161">
        <v>8.9684829485539357</v>
      </c>
      <c r="E21" s="161">
        <v>3.9205479452054797</v>
      </c>
      <c r="F21" s="161">
        <f t="shared" si="0"/>
        <v>0.59334676930330166</v>
      </c>
      <c r="G21">
        <v>2.6903467274930635</v>
      </c>
      <c r="H21">
        <v>1.4913616938342726</v>
      </c>
      <c r="I21" s="73">
        <v>2.59</v>
      </c>
      <c r="J21" s="183">
        <f t="shared" si="1"/>
        <v>0.4132997640812518</v>
      </c>
      <c r="K21">
        <v>0.40991495239420256</v>
      </c>
      <c r="L21">
        <v>3.2224645332922388</v>
      </c>
      <c r="M21" s="137">
        <v>3.707126713924402</v>
      </c>
      <c r="N21">
        <v>2.7508939203821252</v>
      </c>
      <c r="O21" s="74">
        <v>85</v>
      </c>
      <c r="P21" s="77">
        <f t="shared" si="2"/>
        <v>1.9294189257142926</v>
      </c>
      <c r="Q21" s="75">
        <v>37.5</v>
      </c>
      <c r="R21" s="78">
        <f t="shared" si="3"/>
        <v>1.5740312677277188</v>
      </c>
      <c r="S21" s="76">
        <v>43.5008834269711</v>
      </c>
      <c r="T21" s="184">
        <f t="shared" si="4"/>
        <v>1.6384980768066575</v>
      </c>
      <c r="U21">
        <v>0.19589965240923368</v>
      </c>
      <c r="V21" s="74">
        <v>22</v>
      </c>
      <c r="W21" s="137">
        <f t="shared" si="5"/>
        <v>1.3424226808222062</v>
      </c>
    </row>
    <row r="22" spans="1:23" x14ac:dyDescent="0.35">
      <c r="A22" s="77" t="s">
        <v>239</v>
      </c>
      <c r="B22" s="77" t="s">
        <v>5</v>
      </c>
      <c r="C22">
        <v>9</v>
      </c>
      <c r="D22" s="161">
        <v>8.6020599913279625</v>
      </c>
      <c r="E22" s="161">
        <v>4.7452054794520544</v>
      </c>
      <c r="F22" s="161">
        <f t="shared" si="0"/>
        <v>0.67625502322485309</v>
      </c>
      <c r="G22">
        <v>2.5542346870234227</v>
      </c>
      <c r="H22">
        <v>1.6720978579357175</v>
      </c>
      <c r="I22" s="72">
        <v>3.16</v>
      </c>
      <c r="J22" s="183">
        <f t="shared" si="1"/>
        <v>0.49968708261840383</v>
      </c>
      <c r="K22">
        <v>-0.34678748622465638</v>
      </c>
      <c r="L22">
        <v>3.2224645332922388</v>
      </c>
      <c r="M22" s="137">
        <v>3.707126713924402</v>
      </c>
      <c r="N22">
        <v>2.9876662649262746</v>
      </c>
      <c r="O22" s="77">
        <v>81.900000000000006</v>
      </c>
      <c r="P22" s="77">
        <f t="shared" si="2"/>
        <v>1.9132839017604184</v>
      </c>
      <c r="Q22" s="78">
        <v>35.4</v>
      </c>
      <c r="R22" s="78">
        <f t="shared" si="3"/>
        <v>1.5490032620257879</v>
      </c>
      <c r="S22" s="79">
        <v>46.7926176158091</v>
      </c>
      <c r="T22" s="184">
        <f t="shared" si="4"/>
        <v>1.6701773406464193</v>
      </c>
      <c r="U22">
        <v>0.24054924828259971</v>
      </c>
      <c r="V22" s="77">
        <v>30</v>
      </c>
      <c r="W22" s="137">
        <f t="shared" si="5"/>
        <v>1.4771212547196624</v>
      </c>
    </row>
    <row r="23" spans="1:23" x14ac:dyDescent="0.35">
      <c r="A23" s="74" t="s">
        <v>242</v>
      </c>
      <c r="B23" s="74" t="s">
        <v>163</v>
      </c>
      <c r="C23">
        <v>2</v>
      </c>
      <c r="D23" s="161">
        <v>8.4771212547196626</v>
      </c>
      <c r="E23" s="161">
        <v>3.8767123287671232</v>
      </c>
      <c r="F23" s="161">
        <f t="shared" si="0"/>
        <v>0.58846357540383432</v>
      </c>
      <c r="G23">
        <v>2.5362300726332561</v>
      </c>
      <c r="H23">
        <v>1.8061799739838871</v>
      </c>
      <c r="I23" s="73">
        <v>2.3199999999999998</v>
      </c>
      <c r="J23" s="183">
        <f t="shared" si="1"/>
        <v>0.36548798489089962</v>
      </c>
      <c r="K23">
        <v>0.12493873660829993</v>
      </c>
      <c r="L23">
        <v>3.2224645332922388</v>
      </c>
      <c r="M23" s="137">
        <v>3.707126713924402</v>
      </c>
      <c r="N23">
        <v>2.756001823801419</v>
      </c>
      <c r="O23" s="74">
        <v>70</v>
      </c>
      <c r="P23" s="77">
        <f t="shared" si="2"/>
        <v>1.8450980400142569</v>
      </c>
      <c r="Q23" s="75">
        <v>42.4</v>
      </c>
      <c r="R23" s="78">
        <f t="shared" si="3"/>
        <v>1.6273658565927327</v>
      </c>
      <c r="S23" s="76">
        <v>52.795294707427601</v>
      </c>
      <c r="T23" s="184">
        <f t="shared" si="4"/>
        <v>1.7225952184872551</v>
      </c>
      <c r="U23">
        <v>4.5322978786657475E-2</v>
      </c>
      <c r="V23" s="74">
        <v>21</v>
      </c>
      <c r="W23" s="137">
        <f t="shared" si="5"/>
        <v>1.3222192947339193</v>
      </c>
    </row>
    <row r="24" spans="1:23" x14ac:dyDescent="0.35">
      <c r="A24" s="77" t="s">
        <v>252</v>
      </c>
      <c r="B24" s="77" t="s">
        <v>1</v>
      </c>
      <c r="C24">
        <v>4</v>
      </c>
      <c r="D24" s="161">
        <v>8.4173886461656746</v>
      </c>
      <c r="E24" s="161">
        <v>5.8794520547945206</v>
      </c>
      <c r="F24" s="161">
        <f t="shared" si="0"/>
        <v>0.76933685317345757</v>
      </c>
      <c r="G24">
        <v>2.6208956659919629</v>
      </c>
      <c r="H24">
        <v>1.0791812460476249</v>
      </c>
      <c r="I24" s="72">
        <v>3.65</v>
      </c>
      <c r="J24" s="183">
        <f t="shared" si="1"/>
        <v>0.56229286445647475</v>
      </c>
      <c r="K24">
        <v>0.22606403032051303</v>
      </c>
      <c r="L24">
        <v>3.1616209089088487</v>
      </c>
      <c r="M24" s="137">
        <v>3.7997633234477775</v>
      </c>
      <c r="N24">
        <v>2.3401134757058348</v>
      </c>
      <c r="O24" s="77">
        <v>88.4</v>
      </c>
      <c r="P24" s="77">
        <f t="shared" si="2"/>
        <v>1.9464522650130731</v>
      </c>
      <c r="Q24" s="78">
        <v>41.5</v>
      </c>
      <c r="R24" s="78">
        <f t="shared" si="3"/>
        <v>1.6180480967120927</v>
      </c>
      <c r="S24" s="79">
        <v>42.888893081396603</v>
      </c>
      <c r="T24" s="184">
        <f t="shared" si="4"/>
        <v>1.6323448376859169</v>
      </c>
      <c r="U24">
        <v>0.2944662261615929</v>
      </c>
      <c r="V24" s="77">
        <v>18</v>
      </c>
      <c r="W24" s="137">
        <f t="shared" si="5"/>
        <v>1.255272505103306</v>
      </c>
    </row>
    <row r="25" spans="1:23" x14ac:dyDescent="0.35">
      <c r="A25" s="74" t="s">
        <v>255</v>
      </c>
      <c r="B25" s="74" t="s">
        <v>4</v>
      </c>
      <c r="C25">
        <v>1</v>
      </c>
      <c r="D25" s="161">
        <v>8.9617579569203265</v>
      </c>
      <c r="E25" s="161">
        <v>2.8493150684931505</v>
      </c>
      <c r="F25" s="161">
        <f t="shared" si="0"/>
        <v>0.45474047484230562</v>
      </c>
      <c r="G25">
        <v>2.6853117085495657</v>
      </c>
      <c r="H25">
        <v>1.3222192947339193</v>
      </c>
      <c r="I25" s="73">
        <v>3.59</v>
      </c>
      <c r="J25" s="183">
        <f t="shared" si="1"/>
        <v>0.55509444857831913</v>
      </c>
      <c r="K25">
        <v>0.41216609703415352</v>
      </c>
      <c r="L25">
        <v>3.1616209089088487</v>
      </c>
      <c r="M25" s="137">
        <v>3.7997633234477775</v>
      </c>
      <c r="N25">
        <v>3.0102999566398121</v>
      </c>
      <c r="O25" s="74">
        <v>95.6</v>
      </c>
      <c r="P25" s="77">
        <f t="shared" si="2"/>
        <v>1.9804578922761</v>
      </c>
      <c r="Q25" s="75">
        <v>44</v>
      </c>
      <c r="R25" s="78">
        <f t="shared" si="3"/>
        <v>1.6434526764861874</v>
      </c>
      <c r="S25" s="76">
        <v>50.007710041127098</v>
      </c>
      <c r="T25" s="184">
        <f t="shared" si="4"/>
        <v>1.6990369677395805</v>
      </c>
      <c r="U25">
        <v>-4.3648054024500883E-3</v>
      </c>
      <c r="V25" s="74">
        <v>14</v>
      </c>
      <c r="W25" s="137">
        <f t="shared" si="5"/>
        <v>1.146128035678238</v>
      </c>
    </row>
    <row r="26" spans="1:23" x14ac:dyDescent="0.35">
      <c r="A26" s="77" t="s">
        <v>274</v>
      </c>
      <c r="B26" s="77" t="s">
        <v>2</v>
      </c>
      <c r="C26">
        <v>2</v>
      </c>
      <c r="D26" s="161">
        <v>9.2552725051033065</v>
      </c>
      <c r="E26" s="161">
        <v>4.3260273972602743</v>
      </c>
      <c r="F26" s="161">
        <f t="shared" si="0"/>
        <v>0.63608926555181955</v>
      </c>
      <c r="G26">
        <v>3.1189984043805832</v>
      </c>
      <c r="H26">
        <v>1.0791812460476249</v>
      </c>
      <c r="I26" s="72">
        <v>3.13</v>
      </c>
      <c r="J26" s="183">
        <f t="shared" si="1"/>
        <v>0.49554433754644844</v>
      </c>
      <c r="K26">
        <v>0.18247805771708187</v>
      </c>
      <c r="L26">
        <v>3.1616209089088487</v>
      </c>
      <c r="M26" s="137">
        <v>3.7997633234477775</v>
      </c>
      <c r="N26">
        <v>3.0711452904510828</v>
      </c>
      <c r="O26" s="77">
        <v>90.5</v>
      </c>
      <c r="P26" s="77">
        <f t="shared" si="2"/>
        <v>1.9566485792052033</v>
      </c>
      <c r="Q26" s="78">
        <v>36.4</v>
      </c>
      <c r="R26" s="78">
        <f t="shared" si="3"/>
        <v>1.5611013836490559</v>
      </c>
      <c r="S26" s="79">
        <v>44.295389122127702</v>
      </c>
      <c r="T26" s="184">
        <f t="shared" si="4"/>
        <v>1.6463585211883986</v>
      </c>
      <c r="U26">
        <v>0.22271647114758325</v>
      </c>
      <c r="V26" s="77">
        <v>18</v>
      </c>
      <c r="W26" s="137">
        <f t="shared" si="5"/>
        <v>1.255272505103306</v>
      </c>
    </row>
    <row r="27" spans="1:23" x14ac:dyDescent="0.35">
      <c r="A27" s="74" t="s">
        <v>277</v>
      </c>
      <c r="B27" s="74" t="s">
        <v>2</v>
      </c>
      <c r="C27">
        <v>4</v>
      </c>
      <c r="D27" s="161">
        <v>9.3617278360175931</v>
      </c>
      <c r="E27" s="161">
        <v>3.5342465753424657</v>
      </c>
      <c r="F27" s="161">
        <f t="shared" si="0"/>
        <v>0.54829684584277427</v>
      </c>
      <c r="G27">
        <v>3.1189984043805832</v>
      </c>
      <c r="H27">
        <v>2.2278867046136734</v>
      </c>
      <c r="I27" s="73">
        <v>3.13</v>
      </c>
      <c r="J27" s="183">
        <f t="shared" si="1"/>
        <v>0.49554433754644844</v>
      </c>
      <c r="K27">
        <v>0.16071639748872701</v>
      </c>
      <c r="L27">
        <v>3.1616209089088487</v>
      </c>
      <c r="M27" s="137">
        <v>3.7997633234477775</v>
      </c>
      <c r="N27">
        <v>3.0711452904510828</v>
      </c>
      <c r="O27" s="74">
        <v>89.6</v>
      </c>
      <c r="P27" s="77">
        <f t="shared" si="2"/>
        <v>1.9523080096621253</v>
      </c>
      <c r="Q27" s="75">
        <v>35</v>
      </c>
      <c r="R27" s="78">
        <f t="shared" si="3"/>
        <v>1.5440680443502757</v>
      </c>
      <c r="S27" s="76">
        <v>47.255451423610303</v>
      </c>
      <c r="T27" s="184">
        <f t="shared" si="4"/>
        <v>1.6744519162659719</v>
      </c>
      <c r="U27">
        <v>0.17897694729316943</v>
      </c>
      <c r="V27" s="74">
        <v>16</v>
      </c>
      <c r="W27" s="137">
        <f t="shared" si="5"/>
        <v>1.2041199826559248</v>
      </c>
    </row>
    <row r="28" spans="1:23" x14ac:dyDescent="0.35">
      <c r="A28" s="77" t="s">
        <v>278</v>
      </c>
      <c r="B28" s="77" t="s">
        <v>2</v>
      </c>
      <c r="C28">
        <v>10</v>
      </c>
      <c r="D28" s="161">
        <v>8.658850434810736</v>
      </c>
      <c r="E28" s="161">
        <v>8.7561643835616429</v>
      </c>
      <c r="F28" s="161">
        <f t="shared" si="0"/>
        <v>0.94231390618547906</v>
      </c>
      <c r="G28">
        <v>3.1189984043805832</v>
      </c>
      <c r="H28">
        <v>0.6020599913279624</v>
      </c>
      <c r="I28" s="72">
        <v>3.13</v>
      </c>
      <c r="J28" s="183">
        <f t="shared" si="1"/>
        <v>0.49554433754644844</v>
      </c>
      <c r="K28">
        <v>0.27056849090355672</v>
      </c>
      <c r="L28">
        <v>3.1616209089088487</v>
      </c>
      <c r="M28" s="137">
        <v>3.7997633234477775</v>
      </c>
      <c r="N28">
        <v>3.0711452904510828</v>
      </c>
      <c r="O28" s="77">
        <v>89.9</v>
      </c>
      <c r="P28" s="77">
        <f t="shared" si="2"/>
        <v>1.9537596917332287</v>
      </c>
      <c r="Q28" s="78">
        <v>35.4</v>
      </c>
      <c r="R28" s="78">
        <f t="shared" si="3"/>
        <v>1.5490032620257879</v>
      </c>
      <c r="S28" s="79">
        <v>43.572845019400901</v>
      </c>
      <c r="T28" s="184">
        <f t="shared" si="4"/>
        <v>1.6392159174268797</v>
      </c>
      <c r="U28">
        <v>0.26717172840301384</v>
      </c>
      <c r="V28" s="77">
        <v>14</v>
      </c>
      <c r="W28" s="137">
        <f t="shared" si="5"/>
        <v>1.146128035678238</v>
      </c>
    </row>
    <row r="29" spans="1:23" x14ac:dyDescent="0.35">
      <c r="A29" s="96" t="s">
        <v>280</v>
      </c>
      <c r="B29" s="74" t="s">
        <v>2</v>
      </c>
      <c r="C29">
        <v>4</v>
      </c>
      <c r="D29" s="161">
        <v>9.1139433523068369</v>
      </c>
      <c r="E29" s="161">
        <v>4.904109589041096</v>
      </c>
      <c r="F29" s="161">
        <f t="shared" si="0"/>
        <v>0.69056016652341845</v>
      </c>
      <c r="G29">
        <v>3.1189984043805832</v>
      </c>
      <c r="H29">
        <v>0.77815125038364363</v>
      </c>
      <c r="I29" s="73">
        <v>3.13</v>
      </c>
      <c r="J29" s="183">
        <f t="shared" si="1"/>
        <v>0.49554433754644844</v>
      </c>
      <c r="K29">
        <v>0.385743730311567</v>
      </c>
      <c r="L29">
        <v>3.1616209089088487</v>
      </c>
      <c r="M29" s="137">
        <v>3.7997633234477775</v>
      </c>
      <c r="N29">
        <v>3.0711452904510828</v>
      </c>
      <c r="O29" s="74">
        <v>89.1</v>
      </c>
      <c r="P29" s="77">
        <f t="shared" si="2"/>
        <v>1.9498777040368747</v>
      </c>
      <c r="Q29" s="75">
        <v>34.5</v>
      </c>
      <c r="R29" s="78">
        <f t="shared" si="3"/>
        <v>1.5378190950732742</v>
      </c>
      <c r="S29" s="76">
        <v>44.696333437793797</v>
      </c>
      <c r="T29" s="184">
        <f t="shared" si="4"/>
        <v>1.6502718982315996</v>
      </c>
      <c r="U29">
        <v>-4.3648054024500883E-3</v>
      </c>
      <c r="V29" s="74">
        <v>12</v>
      </c>
      <c r="W29" s="137">
        <f t="shared" si="5"/>
        <v>1.0791812460476249</v>
      </c>
    </row>
    <row r="30" spans="1:23" x14ac:dyDescent="0.35">
      <c r="A30" s="77" t="s">
        <v>283</v>
      </c>
      <c r="B30" s="77" t="s">
        <v>2</v>
      </c>
      <c r="C30">
        <v>2</v>
      </c>
      <c r="D30" s="161">
        <v>8.6206564798196208</v>
      </c>
      <c r="E30" s="161">
        <v>10.736986301369862</v>
      </c>
      <c r="F30" s="161">
        <f t="shared" si="0"/>
        <v>1.0308823990216278</v>
      </c>
      <c r="G30">
        <v>3.1189984043805832</v>
      </c>
      <c r="H30">
        <v>1.2787536009528289</v>
      </c>
      <c r="I30" s="72">
        <v>3.13</v>
      </c>
      <c r="J30" s="183">
        <f t="shared" si="1"/>
        <v>0.49554433754644844</v>
      </c>
      <c r="K30">
        <v>0.28243350717232268</v>
      </c>
      <c r="L30">
        <v>3.1616209089088487</v>
      </c>
      <c r="M30" s="137">
        <v>3.7997633234477775</v>
      </c>
      <c r="N30">
        <v>3.0711452904510828</v>
      </c>
      <c r="O30" s="77">
        <v>88.2</v>
      </c>
      <c r="P30" s="77">
        <f t="shared" si="2"/>
        <v>1.9454685851318196</v>
      </c>
      <c r="Q30" s="78">
        <v>37</v>
      </c>
      <c r="R30" s="78">
        <f t="shared" si="3"/>
        <v>1.568201724066995</v>
      </c>
      <c r="S30" s="79">
        <v>43.709255262622698</v>
      </c>
      <c r="T30" s="184">
        <f t="shared" si="4"/>
        <v>1.6405734068536693</v>
      </c>
      <c r="U30">
        <v>-0.23657200643706267</v>
      </c>
      <c r="V30" s="77">
        <v>21</v>
      </c>
      <c r="W30" s="137">
        <f t="shared" si="5"/>
        <v>1.3222192947339193</v>
      </c>
    </row>
    <row r="31" spans="1:23" x14ac:dyDescent="0.35">
      <c r="A31" s="74" t="s">
        <v>285</v>
      </c>
      <c r="B31" s="74" t="s">
        <v>59</v>
      </c>
      <c r="C31">
        <v>3</v>
      </c>
      <c r="D31" s="161">
        <v>8.9294189257142929</v>
      </c>
      <c r="E31" s="161">
        <v>3.1945205479452055</v>
      </c>
      <c r="F31" s="161">
        <f t="shared" si="0"/>
        <v>0.50440568596652058</v>
      </c>
      <c r="G31">
        <v>3.1566248585544785</v>
      </c>
      <c r="H31">
        <v>0.90308998699194354</v>
      </c>
      <c r="I31" s="73">
        <v>3.43</v>
      </c>
      <c r="J31" s="183">
        <f t="shared" si="1"/>
        <v>0.53529412004277055</v>
      </c>
      <c r="K31">
        <v>0.24667233334138849</v>
      </c>
      <c r="L31">
        <v>3.1616209089088487</v>
      </c>
      <c r="M31" s="137">
        <v>3.7997633234477775</v>
      </c>
      <c r="N31">
        <v>2.8438554226231609</v>
      </c>
      <c r="O31" s="74">
        <v>91.1</v>
      </c>
      <c r="P31" s="77">
        <f t="shared" si="2"/>
        <v>1.9595183769729982</v>
      </c>
      <c r="Q31" s="75">
        <v>32.200000000000003</v>
      </c>
      <c r="R31" s="78">
        <f t="shared" si="3"/>
        <v>1.507855871695831</v>
      </c>
      <c r="S31" s="76">
        <v>42.1993112284324</v>
      </c>
      <c r="T31" s="184">
        <f t="shared" si="4"/>
        <v>1.6253053625225207</v>
      </c>
      <c r="U31">
        <v>0.13033376849500614</v>
      </c>
      <c r="V31" s="74">
        <v>21</v>
      </c>
      <c r="W31" s="137">
        <f t="shared" si="5"/>
        <v>1.3222192947339193</v>
      </c>
    </row>
    <row r="32" spans="1:23" x14ac:dyDescent="0.35">
      <c r="A32" s="77" t="s">
        <v>287</v>
      </c>
      <c r="B32" s="77" t="s">
        <v>6</v>
      </c>
      <c r="C32">
        <v>7</v>
      </c>
      <c r="D32" s="161">
        <v>8.1139433523068369</v>
      </c>
      <c r="E32" s="161">
        <v>2.4821917808219176</v>
      </c>
      <c r="F32" s="161">
        <f t="shared" si="0"/>
        <v>0.39483533322033831</v>
      </c>
      <c r="G32">
        <v>2.2426159575692655</v>
      </c>
      <c r="H32">
        <v>1.146128035678238</v>
      </c>
      <c r="I32" s="72">
        <v>3.18</v>
      </c>
      <c r="J32" s="183">
        <f t="shared" si="1"/>
        <v>0.50242711998443268</v>
      </c>
      <c r="K32">
        <v>-0.13768510304979162</v>
      </c>
      <c r="L32">
        <v>3.3740570806117947</v>
      </c>
      <c r="M32" s="137">
        <v>3.9700736609473402</v>
      </c>
      <c r="N32">
        <v>2.4705574852172743</v>
      </c>
      <c r="O32" s="77">
        <v>70</v>
      </c>
      <c r="P32" s="77">
        <f t="shared" si="2"/>
        <v>1.8450980400142569</v>
      </c>
      <c r="Q32" s="78">
        <v>44.1</v>
      </c>
      <c r="R32" s="78">
        <f t="shared" si="3"/>
        <v>1.6444385894678386</v>
      </c>
      <c r="S32" s="79">
        <v>50.560579232511799</v>
      </c>
      <c r="T32" s="184">
        <f t="shared" si="4"/>
        <v>1.703812040670742</v>
      </c>
      <c r="U32">
        <v>9.3421685162235063E-2</v>
      </c>
      <c r="V32" s="77">
        <v>16</v>
      </c>
      <c r="W32" s="137">
        <f t="shared" si="5"/>
        <v>1.2041199826559248</v>
      </c>
    </row>
    <row r="33" spans="1:23" x14ac:dyDescent="0.35">
      <c r="A33" s="74" t="s">
        <v>339</v>
      </c>
      <c r="B33" s="74" t="s">
        <v>59</v>
      </c>
      <c r="C33">
        <v>4</v>
      </c>
      <c r="D33" s="161">
        <v>8.4842998393467859</v>
      </c>
      <c r="E33" s="161">
        <v>1.4602739726027398</v>
      </c>
      <c r="F33" s="161">
        <f t="shared" si="0"/>
        <v>0.16443434457009759</v>
      </c>
      <c r="G33">
        <v>3.7707754512906644</v>
      </c>
      <c r="H33">
        <v>0.3010299956639812</v>
      </c>
      <c r="I33" s="73">
        <v>2.3199999999999998</v>
      </c>
      <c r="J33" s="183">
        <f t="shared" si="1"/>
        <v>0.36548798489089962</v>
      </c>
      <c r="K33">
        <v>0.69179141970889546</v>
      </c>
      <c r="L33">
        <v>3.0687415514991745</v>
      </c>
      <c r="M33" s="137">
        <v>3.5297005493117593</v>
      </c>
      <c r="N33">
        <v>2.1238516409670858</v>
      </c>
      <c r="O33" s="74">
        <v>85</v>
      </c>
      <c r="P33" s="77">
        <f t="shared" si="2"/>
        <v>1.9294189257142926</v>
      </c>
      <c r="Q33" s="75">
        <v>29.3</v>
      </c>
      <c r="R33" s="78">
        <f t="shared" si="3"/>
        <v>1.4668676203541096</v>
      </c>
      <c r="S33" s="76">
        <v>36.913126831903199</v>
      </c>
      <c r="T33" s="184">
        <f t="shared" si="4"/>
        <v>1.5671808349091383</v>
      </c>
      <c r="U33">
        <v>0.16435285578443709</v>
      </c>
      <c r="V33" s="74">
        <v>20</v>
      </c>
      <c r="W33" s="137">
        <f t="shared" si="5"/>
        <v>1.3010299956639813</v>
      </c>
    </row>
    <row r="34" spans="1:23" x14ac:dyDescent="0.35">
      <c r="A34" s="77" t="s">
        <v>363</v>
      </c>
      <c r="B34" s="77" t="s">
        <v>7</v>
      </c>
      <c r="C34">
        <v>2</v>
      </c>
      <c r="D34" s="161">
        <v>9.3756636139608851</v>
      </c>
      <c r="E34" s="161">
        <v>6.4164383561643836</v>
      </c>
      <c r="F34" s="161">
        <f t="shared" si="0"/>
        <v>0.80729402627986957</v>
      </c>
      <c r="G34">
        <v>3.8052737966880943</v>
      </c>
      <c r="H34">
        <v>1.9084850188786497</v>
      </c>
      <c r="I34" s="72">
        <v>2.99</v>
      </c>
      <c r="J34" s="183">
        <f t="shared" si="1"/>
        <v>0.47567118832442967</v>
      </c>
      <c r="K34">
        <v>0.36469907553335851</v>
      </c>
      <c r="L34">
        <v>3.0687415514991745</v>
      </c>
      <c r="M34" s="137">
        <v>3.5297005493117593</v>
      </c>
      <c r="N34">
        <v>2.8414637553591628</v>
      </c>
      <c r="O34" s="77">
        <v>76.400000000000006</v>
      </c>
      <c r="P34" s="77">
        <f t="shared" si="2"/>
        <v>1.8830933585756899</v>
      </c>
      <c r="Q34" s="78">
        <v>37</v>
      </c>
      <c r="R34" s="78">
        <f t="shared" si="3"/>
        <v>1.568201724066995</v>
      </c>
      <c r="S34" s="79">
        <v>42.366037242608201</v>
      </c>
      <c r="T34" s="184">
        <f t="shared" si="4"/>
        <v>1.6270178436527734</v>
      </c>
      <c r="U34">
        <v>0.28103336724772759</v>
      </c>
      <c r="V34" s="77">
        <v>35</v>
      </c>
      <c r="W34" s="137">
        <f t="shared" si="5"/>
        <v>1.5440680443502757</v>
      </c>
    </row>
    <row r="35" spans="1:23" x14ac:dyDescent="0.35">
      <c r="A35" s="74" t="s">
        <v>364</v>
      </c>
      <c r="B35" s="74" t="s">
        <v>2</v>
      </c>
      <c r="C35">
        <v>4</v>
      </c>
      <c r="D35" s="161">
        <v>8.3802112417116064</v>
      </c>
      <c r="E35" s="161">
        <v>3.2082191780821918</v>
      </c>
      <c r="F35" s="161">
        <f t="shared" si="0"/>
        <v>0.50626403061588843</v>
      </c>
      <c r="G35">
        <v>3.8335760926148099</v>
      </c>
      <c r="H35">
        <v>0.84509804001425681</v>
      </c>
      <c r="I35" s="73">
        <v>2.85</v>
      </c>
      <c r="J35" s="183">
        <f t="shared" si="1"/>
        <v>0.45484486000851021</v>
      </c>
      <c r="K35">
        <v>0.59613873729166744</v>
      </c>
      <c r="L35">
        <v>3.0687415514991745</v>
      </c>
      <c r="M35" s="137">
        <v>3.5297005493117593</v>
      </c>
      <c r="N35">
        <v>2.9138138523837167</v>
      </c>
      <c r="O35" s="74">
        <v>89.6</v>
      </c>
      <c r="P35" s="77">
        <f t="shared" si="2"/>
        <v>1.9523080096621253</v>
      </c>
      <c r="Q35" s="75">
        <v>35.700000000000003</v>
      </c>
      <c r="R35" s="78">
        <f t="shared" si="3"/>
        <v>1.5526682161121932</v>
      </c>
      <c r="S35" s="76">
        <v>44.7100017757258</v>
      </c>
      <c r="T35" s="184">
        <f t="shared" si="4"/>
        <v>1.6504046871166989</v>
      </c>
      <c r="U35">
        <v>0.22788670461367352</v>
      </c>
      <c r="V35" s="74">
        <v>35</v>
      </c>
      <c r="W35" s="137">
        <f t="shared" si="5"/>
        <v>1.5440680443502757</v>
      </c>
    </row>
    <row r="36" spans="1:23" x14ac:dyDescent="0.35">
      <c r="A36" s="77" t="s">
        <v>370</v>
      </c>
      <c r="B36" s="77" t="s">
        <v>2</v>
      </c>
      <c r="C36">
        <v>5</v>
      </c>
      <c r="D36" s="161">
        <v>9.0799652852302781</v>
      </c>
      <c r="E36" s="161">
        <v>4.484931506849315</v>
      </c>
      <c r="F36" s="161">
        <f t="shared" si="0"/>
        <v>0.65175581495546675</v>
      </c>
      <c r="G36">
        <v>3.8335760926148099</v>
      </c>
      <c r="H36">
        <v>2.2041199826559246</v>
      </c>
      <c r="I36" s="72">
        <v>2.85</v>
      </c>
      <c r="J36" s="183">
        <f t="shared" si="1"/>
        <v>0.45484486000851021</v>
      </c>
      <c r="K36">
        <v>0.14680170202996193</v>
      </c>
      <c r="L36">
        <v>3.0687415514991745</v>
      </c>
      <c r="M36" s="137">
        <v>3.5297005493117593</v>
      </c>
      <c r="N36">
        <v>2.9138138523837167</v>
      </c>
      <c r="O36" s="77">
        <v>90.5</v>
      </c>
      <c r="P36" s="77">
        <f t="shared" si="2"/>
        <v>1.9566485792052033</v>
      </c>
      <c r="Q36" s="78">
        <v>36.4</v>
      </c>
      <c r="R36" s="78">
        <f t="shared" si="3"/>
        <v>1.5611013836490559</v>
      </c>
      <c r="S36" s="79">
        <v>44.295389122127702</v>
      </c>
      <c r="T36" s="184">
        <f t="shared" si="4"/>
        <v>1.6463585211883986</v>
      </c>
      <c r="U36">
        <v>0.22271647114758325</v>
      </c>
      <c r="V36" s="77">
        <v>36</v>
      </c>
      <c r="W36" s="137">
        <f t="shared" si="5"/>
        <v>1.5563025007672873</v>
      </c>
    </row>
    <row r="37" spans="1:23" x14ac:dyDescent="0.35">
      <c r="A37" s="74" t="s">
        <v>372</v>
      </c>
      <c r="B37" s="74" t="s">
        <v>2</v>
      </c>
      <c r="C37">
        <v>4</v>
      </c>
      <c r="D37" s="161">
        <v>8.7086672987165841</v>
      </c>
      <c r="E37" s="161">
        <v>4.6410958904109592</v>
      </c>
      <c r="F37" s="161">
        <f t="shared" si="0"/>
        <v>0.66662054153821337</v>
      </c>
      <c r="G37">
        <v>3.8335760926148099</v>
      </c>
      <c r="H37">
        <v>0</v>
      </c>
      <c r="I37" s="73">
        <v>2.85</v>
      </c>
      <c r="J37" s="183">
        <f t="shared" si="1"/>
        <v>0.45484486000851021</v>
      </c>
      <c r="K37">
        <v>9.4106426575392227E-2</v>
      </c>
      <c r="L37">
        <v>3.0687415514991745</v>
      </c>
      <c r="M37" s="137">
        <v>3.5297005493117593</v>
      </c>
      <c r="N37">
        <v>2.9138138523837167</v>
      </c>
      <c r="O37" s="74">
        <v>70</v>
      </c>
      <c r="P37" s="77">
        <f t="shared" si="2"/>
        <v>1.8450980400142569</v>
      </c>
      <c r="Q37" s="75">
        <v>36.200000000000003</v>
      </c>
      <c r="R37" s="78">
        <f t="shared" si="3"/>
        <v>1.5587085705331658</v>
      </c>
      <c r="S37" s="76">
        <v>44.748733746598099</v>
      </c>
      <c r="T37" s="184">
        <f t="shared" si="4"/>
        <v>1.6507807506095689</v>
      </c>
      <c r="U37">
        <v>-9.6910013008056392E-2</v>
      </c>
      <c r="V37" s="74">
        <v>24</v>
      </c>
      <c r="W37" s="137">
        <f t="shared" si="5"/>
        <v>1.3802112417116059</v>
      </c>
    </row>
    <row r="38" spans="1:23" x14ac:dyDescent="0.35">
      <c r="A38" s="77" t="s">
        <v>375</v>
      </c>
      <c r="B38" s="77" t="s">
        <v>2</v>
      </c>
      <c r="C38">
        <v>1</v>
      </c>
      <c r="D38" s="161">
        <v>9.248190168290872</v>
      </c>
      <c r="E38" s="161">
        <v>1.1808219178082191</v>
      </c>
      <c r="F38" s="161">
        <f t="shared" si="0"/>
        <v>7.2184405704256868E-2</v>
      </c>
      <c r="G38">
        <v>3.8335760926148099</v>
      </c>
      <c r="H38">
        <v>1.8450980400142569</v>
      </c>
      <c r="I38" s="72">
        <v>2.85</v>
      </c>
      <c r="J38" s="183">
        <f t="shared" si="1"/>
        <v>0.45484486000851021</v>
      </c>
      <c r="K38">
        <v>-9.2529421534301021E-2</v>
      </c>
      <c r="L38">
        <v>3.0687415514991745</v>
      </c>
      <c r="M38" s="137">
        <v>3.5297005493117593</v>
      </c>
      <c r="N38">
        <v>2.9138138523837167</v>
      </c>
      <c r="O38" s="77">
        <v>70</v>
      </c>
      <c r="P38" s="77">
        <f t="shared" si="2"/>
        <v>1.8450980400142569</v>
      </c>
      <c r="Q38" s="78">
        <v>34.6</v>
      </c>
      <c r="R38" s="78">
        <f t="shared" si="3"/>
        <v>1.5390760987927767</v>
      </c>
      <c r="S38" s="79">
        <v>47.8156192569637</v>
      </c>
      <c r="T38" s="184">
        <f t="shared" si="4"/>
        <v>1.6795697846681461</v>
      </c>
      <c r="U38">
        <v>4.1392685158225077E-2</v>
      </c>
      <c r="V38" s="77">
        <v>27</v>
      </c>
      <c r="W38" s="137">
        <f t="shared" si="5"/>
        <v>1.4313637641589874</v>
      </c>
    </row>
    <row r="39" spans="1:23" x14ac:dyDescent="0.35">
      <c r="A39" s="74" t="s">
        <v>381</v>
      </c>
      <c r="B39" s="74" t="s">
        <v>6</v>
      </c>
      <c r="C39">
        <v>8</v>
      </c>
      <c r="D39" s="161">
        <v>9.0413926851582254</v>
      </c>
      <c r="E39" s="161">
        <v>1.167123287671233</v>
      </c>
      <c r="F39" s="161">
        <f t="shared" si="0"/>
        <v>6.711673464624425E-2</v>
      </c>
      <c r="G39">
        <v>3.7936074118204202</v>
      </c>
      <c r="H39">
        <v>1</v>
      </c>
      <c r="I39" s="73">
        <v>2.92</v>
      </c>
      <c r="J39" s="183">
        <f t="shared" si="1"/>
        <v>0.46538285144841829</v>
      </c>
      <c r="K39">
        <v>0.19832643952855722</v>
      </c>
      <c r="L39">
        <v>3.1814248062191788</v>
      </c>
      <c r="M39" s="137">
        <v>3.7294207535322617</v>
      </c>
      <c r="N39">
        <v>2.7370600539441581</v>
      </c>
      <c r="O39" s="74">
        <v>92.3</v>
      </c>
      <c r="P39" s="77">
        <f t="shared" si="2"/>
        <v>1.965201701025912</v>
      </c>
      <c r="Q39" s="75">
        <v>44.2</v>
      </c>
      <c r="R39" s="78">
        <f t="shared" si="3"/>
        <v>1.6454222693490919</v>
      </c>
      <c r="S39" s="76">
        <v>55.865585583074697</v>
      </c>
      <c r="T39" s="184">
        <f t="shared" si="4"/>
        <v>1.7471443554007058</v>
      </c>
      <c r="U39">
        <v>5.6904851336472641E-2</v>
      </c>
      <c r="V39" s="74">
        <v>22</v>
      </c>
      <c r="W39" s="137">
        <f t="shared" si="5"/>
        <v>1.3424226808222062</v>
      </c>
    </row>
    <row r="40" spans="1:23" x14ac:dyDescent="0.35">
      <c r="A40" s="77" t="s">
        <v>384</v>
      </c>
      <c r="B40" s="77" t="s">
        <v>163</v>
      </c>
      <c r="C40">
        <v>4</v>
      </c>
      <c r="D40" s="161">
        <v>7.0791812460476251</v>
      </c>
      <c r="E40" s="161">
        <v>1.0876712328767124</v>
      </c>
      <c r="F40" s="161">
        <f t="shared" si="0"/>
        <v>3.649764230664039E-2</v>
      </c>
      <c r="G40">
        <v>3.7899753459779522</v>
      </c>
      <c r="H40">
        <v>0.77815125038364363</v>
      </c>
      <c r="I40" s="72">
        <v>3.18</v>
      </c>
      <c r="J40" s="183">
        <f t="shared" si="1"/>
        <v>0.50242711998443268</v>
      </c>
      <c r="K40">
        <v>0.18799048235538898</v>
      </c>
      <c r="L40">
        <v>3.1814248062191788</v>
      </c>
      <c r="M40" s="137">
        <v>3.7294207535322617</v>
      </c>
      <c r="N40">
        <v>2.7670321178317625</v>
      </c>
      <c r="O40" s="77">
        <v>70</v>
      </c>
      <c r="P40" s="77">
        <f t="shared" si="2"/>
        <v>1.8450980400142569</v>
      </c>
      <c r="Q40" s="78">
        <v>42.4</v>
      </c>
      <c r="R40" s="78">
        <f t="shared" si="3"/>
        <v>1.6273658565927327</v>
      </c>
      <c r="S40" s="79">
        <v>52.984855215816303</v>
      </c>
      <c r="T40" s="184">
        <f t="shared" si="4"/>
        <v>1.7241517519382803</v>
      </c>
      <c r="U40">
        <v>4.9218022670181653E-2</v>
      </c>
      <c r="V40" s="77">
        <v>14</v>
      </c>
      <c r="W40" s="137">
        <f t="shared" si="5"/>
        <v>1.146128035678238</v>
      </c>
    </row>
    <row r="41" spans="1:23" x14ac:dyDescent="0.35">
      <c r="A41" s="74" t="s">
        <v>396</v>
      </c>
      <c r="B41" s="74" t="s">
        <v>5</v>
      </c>
      <c r="C41">
        <v>1</v>
      </c>
      <c r="D41" s="161">
        <v>8.6989700043360187</v>
      </c>
      <c r="E41" s="161">
        <v>3.0657534246575344</v>
      </c>
      <c r="F41" s="161">
        <f t="shared" si="0"/>
        <v>0.48653722207187539</v>
      </c>
      <c r="G41">
        <v>3.7916829312790057</v>
      </c>
      <c r="H41">
        <v>1.7160033436347992</v>
      </c>
      <c r="I41" s="73">
        <v>2.72</v>
      </c>
      <c r="J41" s="183">
        <f t="shared" si="1"/>
        <v>0.43456890403419873</v>
      </c>
      <c r="K41">
        <v>-0.69897000433601886</v>
      </c>
      <c r="L41">
        <v>3.0962405795987471</v>
      </c>
      <c r="M41" s="137">
        <v>3.4010931514437841</v>
      </c>
      <c r="N41">
        <v>3.0355631414974997</v>
      </c>
      <c r="O41" s="74">
        <v>84.3</v>
      </c>
      <c r="P41" s="77">
        <f t="shared" si="2"/>
        <v>1.9258275746247424</v>
      </c>
      <c r="Q41" s="75">
        <v>37</v>
      </c>
      <c r="R41" s="78">
        <f t="shared" si="3"/>
        <v>1.568201724066995</v>
      </c>
      <c r="S41" s="76">
        <v>44.611946528156203</v>
      </c>
      <c r="T41" s="184">
        <f t="shared" si="4"/>
        <v>1.6494511729836956</v>
      </c>
      <c r="U41">
        <v>0.11727129565576427</v>
      </c>
      <c r="V41" s="74">
        <v>31</v>
      </c>
      <c r="W41" s="137">
        <f t="shared" si="5"/>
        <v>1.4913616938342726</v>
      </c>
    </row>
    <row r="42" spans="1:23" x14ac:dyDescent="0.35">
      <c r="A42" s="77" t="s">
        <v>398</v>
      </c>
      <c r="B42" s="77" t="s">
        <v>59</v>
      </c>
      <c r="C42">
        <v>6</v>
      </c>
      <c r="D42" s="161">
        <v>8.8625344996145241</v>
      </c>
      <c r="E42" s="161">
        <v>5.9369863013698634</v>
      </c>
      <c r="F42" s="161">
        <f t="shared" si="0"/>
        <v>0.77356604686334329</v>
      </c>
      <c r="G42">
        <v>3.7707754512906644</v>
      </c>
      <c r="H42">
        <v>1.9822712330395684</v>
      </c>
      <c r="I42" s="72">
        <v>2.3199999999999998</v>
      </c>
      <c r="J42" s="183">
        <f t="shared" si="1"/>
        <v>0.36548798489089962</v>
      </c>
      <c r="K42">
        <v>9.4257061306150067E-2</v>
      </c>
      <c r="L42">
        <v>3.0962405795987471</v>
      </c>
      <c r="M42" s="137">
        <v>3.4010931514437841</v>
      </c>
      <c r="N42">
        <v>2.1238516409670858</v>
      </c>
      <c r="O42" s="77">
        <v>91.2</v>
      </c>
      <c r="P42" s="77">
        <f t="shared" si="2"/>
        <v>1.9599948383284163</v>
      </c>
      <c r="Q42" s="78">
        <v>33</v>
      </c>
      <c r="R42" s="78">
        <f t="shared" si="3"/>
        <v>1.5185139398778875</v>
      </c>
      <c r="S42" s="79">
        <v>40.902544500539101</v>
      </c>
      <c r="T42" s="184">
        <f t="shared" si="4"/>
        <v>1.6117503258110162</v>
      </c>
      <c r="U42">
        <v>6.8185861746161619E-2</v>
      </c>
      <c r="V42" s="77">
        <v>23</v>
      </c>
      <c r="W42" s="137">
        <f t="shared" si="5"/>
        <v>1.3617278360175928</v>
      </c>
    </row>
    <row r="43" spans="1:23" x14ac:dyDescent="0.35">
      <c r="A43" s="74" t="s">
        <v>399</v>
      </c>
      <c r="B43" s="74" t="s">
        <v>2</v>
      </c>
      <c r="C43">
        <v>5</v>
      </c>
      <c r="D43" s="161">
        <v>9.1756306627456699</v>
      </c>
      <c r="E43" s="161">
        <v>2.6273972602739728</v>
      </c>
      <c r="F43" s="161">
        <f t="shared" si="0"/>
        <v>0.41952574271418891</v>
      </c>
      <c r="G43">
        <v>3.8335760926148099</v>
      </c>
      <c r="H43">
        <v>2.012837224705172</v>
      </c>
      <c r="I43" s="73">
        <v>2.85</v>
      </c>
      <c r="J43" s="183">
        <f t="shared" si="1"/>
        <v>0.45484486000851021</v>
      </c>
      <c r="K43">
        <v>0.27152736859654975</v>
      </c>
      <c r="L43">
        <v>3.0962405795987471</v>
      </c>
      <c r="M43" s="137">
        <v>3.4010931514437841</v>
      </c>
      <c r="N43">
        <v>2.9138138523837167</v>
      </c>
      <c r="O43" s="74">
        <v>90.5</v>
      </c>
      <c r="P43" s="77">
        <f t="shared" si="2"/>
        <v>1.9566485792052033</v>
      </c>
      <c r="Q43" s="75">
        <v>36.4</v>
      </c>
      <c r="R43" s="78">
        <f t="shared" si="3"/>
        <v>1.5611013836490559</v>
      </c>
      <c r="S43" s="76">
        <v>44.295389122127702</v>
      </c>
      <c r="T43" s="184">
        <f t="shared" si="4"/>
        <v>1.6463585211883986</v>
      </c>
      <c r="U43">
        <v>0.16731733474817609</v>
      </c>
      <c r="V43" s="74">
        <v>28</v>
      </c>
      <c r="W43" s="137">
        <f t="shared" si="5"/>
        <v>1.4471580313422192</v>
      </c>
    </row>
    <row r="44" spans="1:23" x14ac:dyDescent="0.35">
      <c r="A44" s="77" t="s">
        <v>400</v>
      </c>
      <c r="B44" s="77" t="s">
        <v>59</v>
      </c>
      <c r="C44">
        <v>5</v>
      </c>
      <c r="D44" s="161">
        <v>8.1698918207233895</v>
      </c>
      <c r="E44" s="161">
        <v>1.904109589041096</v>
      </c>
      <c r="F44" s="161">
        <f t="shared" si="0"/>
        <v>0.27969194013363918</v>
      </c>
      <c r="G44">
        <v>3.7707754512906644</v>
      </c>
      <c r="H44">
        <v>1.255272505103306</v>
      </c>
      <c r="I44" s="72">
        <v>2.3199999999999998</v>
      </c>
      <c r="J44" s="183">
        <f t="shared" si="1"/>
        <v>0.36548798489089962</v>
      </c>
      <c r="K44">
        <v>0.386410680043898</v>
      </c>
      <c r="L44">
        <v>3.0962405795987471</v>
      </c>
      <c r="M44" s="137">
        <v>3.4010931514437841</v>
      </c>
      <c r="N44">
        <v>2.1238516409670858</v>
      </c>
      <c r="O44" s="77">
        <v>85</v>
      </c>
      <c r="P44" s="77">
        <f t="shared" si="2"/>
        <v>1.9294189257142926</v>
      </c>
      <c r="Q44" s="78">
        <v>32.700000000000003</v>
      </c>
      <c r="R44" s="78">
        <f t="shared" si="3"/>
        <v>1.5145477526602862</v>
      </c>
      <c r="S44" s="79">
        <v>41.286751495766303</v>
      </c>
      <c r="T44" s="184">
        <f t="shared" si="4"/>
        <v>1.6158107132703448</v>
      </c>
      <c r="U44">
        <v>9.3421685162235063E-2</v>
      </c>
      <c r="V44" s="77">
        <v>21</v>
      </c>
      <c r="W44" s="137">
        <f t="shared" si="5"/>
        <v>1.3222192947339193</v>
      </c>
    </row>
    <row r="45" spans="1:23" x14ac:dyDescent="0.35">
      <c r="A45" s="74" t="s">
        <v>401</v>
      </c>
      <c r="B45" s="74" t="s">
        <v>59</v>
      </c>
      <c r="C45">
        <v>4</v>
      </c>
      <c r="D45" s="161">
        <v>7.4149733479708182</v>
      </c>
      <c r="E45" s="161">
        <v>3.1835616438356165</v>
      </c>
      <c r="F45" s="161">
        <f t="shared" si="0"/>
        <v>0.50291326359783728</v>
      </c>
      <c r="G45">
        <v>3.7707754512906644</v>
      </c>
      <c r="H45">
        <v>1.3424226808222062</v>
      </c>
      <c r="I45" s="73">
        <v>2.3199999999999998</v>
      </c>
      <c r="J45" s="183">
        <f t="shared" si="1"/>
        <v>0.36548798489089962</v>
      </c>
      <c r="K45">
        <v>0.72966311961767405</v>
      </c>
      <c r="L45">
        <v>3.0962405795987471</v>
      </c>
      <c r="M45" s="137">
        <v>3.4010931514437841</v>
      </c>
      <c r="N45">
        <v>2.1238516409670858</v>
      </c>
      <c r="O45" s="74">
        <v>85</v>
      </c>
      <c r="P45" s="77">
        <f t="shared" si="2"/>
        <v>1.9294189257142926</v>
      </c>
      <c r="Q45" s="75">
        <v>31.3</v>
      </c>
      <c r="R45" s="78">
        <f t="shared" si="3"/>
        <v>1.4955443375464486</v>
      </c>
      <c r="S45" s="76">
        <v>38.7850112673514</v>
      </c>
      <c r="T45" s="184">
        <f t="shared" si="4"/>
        <v>1.5886639219461918</v>
      </c>
      <c r="U45">
        <v>0.11058971029924898</v>
      </c>
      <c r="V45" s="74">
        <v>19</v>
      </c>
      <c r="W45" s="137">
        <f t="shared" si="5"/>
        <v>1.2787536009528289</v>
      </c>
    </row>
    <row r="46" spans="1:23" x14ac:dyDescent="0.35">
      <c r="A46" s="77" t="s">
        <v>402</v>
      </c>
      <c r="B46" s="77" t="s">
        <v>2</v>
      </c>
      <c r="C46">
        <v>7</v>
      </c>
      <c r="D46" s="161">
        <v>8.5740312677277188</v>
      </c>
      <c r="E46" s="161">
        <v>3.2136986301369861</v>
      </c>
      <c r="F46" s="161">
        <f t="shared" si="0"/>
        <v>0.50700514765905447</v>
      </c>
      <c r="G46">
        <v>3.8335760926148099</v>
      </c>
      <c r="H46">
        <v>1.3617278360175928</v>
      </c>
      <c r="I46" s="72">
        <v>2.85</v>
      </c>
      <c r="J46" s="183">
        <f t="shared" si="1"/>
        <v>0.45484486000851021</v>
      </c>
      <c r="K46">
        <v>0.19531422369159093</v>
      </c>
      <c r="L46">
        <v>3.0962405795987471</v>
      </c>
      <c r="M46" s="137">
        <v>3.4010931514437841</v>
      </c>
      <c r="N46">
        <v>2.9138138523837167</v>
      </c>
      <c r="O46" s="77">
        <v>70</v>
      </c>
      <c r="P46" s="77">
        <f t="shared" si="2"/>
        <v>1.8450980400142569</v>
      </c>
      <c r="Q46" s="78">
        <v>34.4</v>
      </c>
      <c r="R46" s="78">
        <f t="shared" si="3"/>
        <v>1.5365584425715302</v>
      </c>
      <c r="S46" s="79">
        <v>47.264053157349203</v>
      </c>
      <c r="T46" s="184">
        <f t="shared" si="4"/>
        <v>1.6745309620782511</v>
      </c>
      <c r="U46">
        <v>4.5322978786657475E-2</v>
      </c>
      <c r="V46" s="77">
        <v>18</v>
      </c>
      <c r="W46" s="137">
        <f t="shared" si="5"/>
        <v>1.255272505103306</v>
      </c>
    </row>
    <row r="47" spans="1:23" x14ac:dyDescent="0.35">
      <c r="A47" s="74" t="s">
        <v>404</v>
      </c>
      <c r="B47" s="74" t="s">
        <v>2</v>
      </c>
      <c r="C47">
        <v>1</v>
      </c>
      <c r="D47" s="161">
        <v>7.6900010468830642</v>
      </c>
      <c r="E47" s="161">
        <v>1.5506849315068494</v>
      </c>
      <c r="F47" s="161">
        <f t="shared" si="0"/>
        <v>0.19052356673179674</v>
      </c>
      <c r="G47">
        <v>3.8335760926148099</v>
      </c>
      <c r="H47">
        <v>2.4393326938302629</v>
      </c>
      <c r="I47" s="73">
        <v>2.85</v>
      </c>
      <c r="J47" s="183">
        <f t="shared" si="1"/>
        <v>0.45484486000851021</v>
      </c>
      <c r="K47">
        <v>1.3513916382751612</v>
      </c>
      <c r="L47">
        <v>3.0962405795987471</v>
      </c>
      <c r="M47" s="137">
        <v>3.4010931514437841</v>
      </c>
      <c r="N47">
        <v>2.9138138523837167</v>
      </c>
      <c r="O47" s="74">
        <v>70</v>
      </c>
      <c r="P47" s="77">
        <f t="shared" si="2"/>
        <v>1.8450980400142569</v>
      </c>
      <c r="Q47" s="75">
        <v>33.9</v>
      </c>
      <c r="R47" s="78">
        <f t="shared" si="3"/>
        <v>1.5301996982030821</v>
      </c>
      <c r="S47" s="76">
        <v>46.312020505412598</v>
      </c>
      <c r="T47" s="184">
        <f t="shared" si="4"/>
        <v>1.6656937288498501</v>
      </c>
      <c r="U47">
        <v>4.5322978786657475E-2</v>
      </c>
      <c r="V47" s="74">
        <v>20</v>
      </c>
      <c r="W47" s="137">
        <f t="shared" si="5"/>
        <v>1.3010299956639813</v>
      </c>
    </row>
    <row r="48" spans="1:23" x14ac:dyDescent="0.35">
      <c r="A48" s="77" t="s">
        <v>405</v>
      </c>
      <c r="B48" s="77" t="s">
        <v>163</v>
      </c>
      <c r="C48">
        <v>4</v>
      </c>
      <c r="D48" s="161">
        <v>8.6457110479281258</v>
      </c>
      <c r="E48" s="161">
        <v>2.6739726027397261</v>
      </c>
      <c r="F48" s="161">
        <f t="shared" si="0"/>
        <v>0.42715695321021713</v>
      </c>
      <c r="G48">
        <v>3.7899753459779522</v>
      </c>
      <c r="H48">
        <v>0.6020599913279624</v>
      </c>
      <c r="I48" s="72">
        <v>3.18</v>
      </c>
      <c r="J48" s="183">
        <f t="shared" si="1"/>
        <v>0.50242711998443268</v>
      </c>
      <c r="K48">
        <v>0.29130505953668856</v>
      </c>
      <c r="L48">
        <v>3.0962405795987471</v>
      </c>
      <c r="M48" s="137">
        <v>3.4010931514437841</v>
      </c>
      <c r="N48">
        <v>2.7670321178317625</v>
      </c>
      <c r="O48" s="77">
        <v>70</v>
      </c>
      <c r="P48" s="77">
        <f t="shared" si="2"/>
        <v>1.8450980400142569</v>
      </c>
      <c r="Q48" s="78">
        <v>42.4</v>
      </c>
      <c r="R48" s="78">
        <f t="shared" si="3"/>
        <v>1.6273658565927327</v>
      </c>
      <c r="S48" s="79">
        <v>52.984855215816303</v>
      </c>
      <c r="T48" s="184">
        <f t="shared" si="4"/>
        <v>1.7241517519382803</v>
      </c>
      <c r="U48">
        <v>0.10037054511756291</v>
      </c>
      <c r="V48" s="77">
        <v>20</v>
      </c>
      <c r="W48" s="137">
        <f t="shared" si="5"/>
        <v>1.3010299956639813</v>
      </c>
    </row>
    <row r="49" spans="1:23" x14ac:dyDescent="0.35">
      <c r="A49" s="74" t="s">
        <v>406</v>
      </c>
      <c r="B49" s="74" t="s">
        <v>163</v>
      </c>
      <c r="C49">
        <v>5</v>
      </c>
      <c r="D49" s="161">
        <v>8.1172712956557636</v>
      </c>
      <c r="E49" s="161">
        <v>5.0684931506849313</v>
      </c>
      <c r="F49" s="161">
        <f t="shared" si="0"/>
        <v>0.70487886394653909</v>
      </c>
      <c r="G49">
        <v>3.7899753459779522</v>
      </c>
      <c r="H49">
        <v>1.6627578316815741</v>
      </c>
      <c r="I49" s="73">
        <v>3.18</v>
      </c>
      <c r="J49" s="183">
        <f t="shared" si="1"/>
        <v>0.50242711998443268</v>
      </c>
      <c r="K49">
        <v>0.18375870000821695</v>
      </c>
      <c r="L49">
        <v>3.0962405795987471</v>
      </c>
      <c r="M49" s="137">
        <v>3.4010931514437841</v>
      </c>
      <c r="N49">
        <v>2.7670321178317625</v>
      </c>
      <c r="O49" s="74">
        <v>87.2</v>
      </c>
      <c r="P49" s="77">
        <f t="shared" si="2"/>
        <v>1.9405164849325673</v>
      </c>
      <c r="Q49" s="75">
        <v>42.5</v>
      </c>
      <c r="R49" s="78">
        <f t="shared" si="3"/>
        <v>1.6283889300503116</v>
      </c>
      <c r="S49" s="76">
        <v>52.565521078007201</v>
      </c>
      <c r="T49" s="184">
        <f t="shared" si="4"/>
        <v>1.7207009738992591</v>
      </c>
      <c r="U49">
        <v>-1.7728766960431602E-2</v>
      </c>
      <c r="V49" s="74">
        <v>23</v>
      </c>
      <c r="W49" s="137">
        <f t="shared" si="5"/>
        <v>1.3617278360175928</v>
      </c>
    </row>
    <row r="50" spans="1:23" x14ac:dyDescent="0.35">
      <c r="A50" s="77" t="s">
        <v>407</v>
      </c>
      <c r="B50" s="77" t="s">
        <v>1</v>
      </c>
      <c r="C50">
        <v>2</v>
      </c>
      <c r="D50" s="161">
        <v>8.213950393578326</v>
      </c>
      <c r="E50" s="161">
        <v>3.4602739726027396</v>
      </c>
      <c r="F50" s="161">
        <f t="shared" si="0"/>
        <v>0.53911048609885603</v>
      </c>
      <c r="G50">
        <v>2.6208956659919629</v>
      </c>
      <c r="H50">
        <v>1.2041199826559248</v>
      </c>
      <c r="I50" s="72">
        <v>3.65</v>
      </c>
      <c r="J50" s="183">
        <f t="shared" si="1"/>
        <v>0.56229286445647475</v>
      </c>
      <c r="K50">
        <v>0.26556229421670802</v>
      </c>
      <c r="L50">
        <v>3.212261842580872</v>
      </c>
      <c r="M50" s="137">
        <v>3.9329492300777744</v>
      </c>
      <c r="N50">
        <v>2.3401134757058348</v>
      </c>
      <c r="O50" s="77">
        <v>70</v>
      </c>
      <c r="P50" s="77">
        <f t="shared" si="2"/>
        <v>1.8450980400142569</v>
      </c>
      <c r="Q50" s="78">
        <v>42.1</v>
      </c>
      <c r="R50" s="78">
        <f t="shared" si="3"/>
        <v>1.6242820958356683</v>
      </c>
      <c r="S50" s="79">
        <v>43.801966655694599</v>
      </c>
      <c r="T50" s="184">
        <f t="shared" si="4"/>
        <v>1.6414936102424893</v>
      </c>
      <c r="U50">
        <v>2.9383777685209667E-2</v>
      </c>
      <c r="V50" s="77">
        <v>12</v>
      </c>
      <c r="W50" s="137">
        <f t="shared" si="5"/>
        <v>1.0791812460476249</v>
      </c>
    </row>
    <row r="51" spans="1:23" x14ac:dyDescent="0.35">
      <c r="A51" s="74" t="s">
        <v>409</v>
      </c>
      <c r="B51" s="74" t="s">
        <v>3</v>
      </c>
      <c r="C51">
        <v>1</v>
      </c>
      <c r="D51" s="161">
        <v>8.6020599913279625</v>
      </c>
      <c r="E51" s="161">
        <v>5.6739726027397257</v>
      </c>
      <c r="F51" s="161">
        <f t="shared" si="0"/>
        <v>0.75388723443697792</v>
      </c>
      <c r="G51">
        <v>2.7187258365781268</v>
      </c>
      <c r="H51">
        <v>1.568201724066995</v>
      </c>
      <c r="I51" s="73">
        <v>3.57</v>
      </c>
      <c r="J51" s="183">
        <f t="shared" si="1"/>
        <v>0.55266821611219319</v>
      </c>
      <c r="K51">
        <v>0.21748394421390627</v>
      </c>
      <c r="L51">
        <v>3.212261842580872</v>
      </c>
      <c r="M51" s="137">
        <v>3.9329492300777744</v>
      </c>
      <c r="N51">
        <v>3.0910217769380406</v>
      </c>
      <c r="O51" s="74">
        <v>98.4</v>
      </c>
      <c r="P51" s="77">
        <f t="shared" si="2"/>
        <v>1.9929950984313416</v>
      </c>
      <c r="Q51" s="75">
        <v>45.9</v>
      </c>
      <c r="R51" s="78">
        <f t="shared" si="3"/>
        <v>1.6618126855372612</v>
      </c>
      <c r="S51" s="76">
        <v>55.820378229102602</v>
      </c>
      <c r="T51" s="184">
        <f t="shared" si="4"/>
        <v>1.7467927748658987</v>
      </c>
      <c r="U51">
        <v>0.24054924828259971</v>
      </c>
      <c r="V51" s="74">
        <v>24</v>
      </c>
      <c r="W51" s="137">
        <f t="shared" si="5"/>
        <v>1.3802112417116059</v>
      </c>
    </row>
    <row r="52" spans="1:23" x14ac:dyDescent="0.35">
      <c r="A52" s="77" t="s">
        <v>412</v>
      </c>
      <c r="B52" s="77" t="s">
        <v>3</v>
      </c>
      <c r="C52">
        <v>2</v>
      </c>
      <c r="D52" s="161">
        <v>8.852520054235173</v>
      </c>
      <c r="E52" s="161">
        <v>6.3561643835616435</v>
      </c>
      <c r="F52" s="161">
        <f t="shared" si="0"/>
        <v>0.80319512043442498</v>
      </c>
      <c r="G52">
        <v>2.7187258365781268</v>
      </c>
      <c r="H52">
        <v>1.9956351945975499</v>
      </c>
      <c r="I52" s="72">
        <v>3.58</v>
      </c>
      <c r="J52" s="183">
        <f t="shared" si="1"/>
        <v>0.55388302664387434</v>
      </c>
      <c r="K52">
        <v>0.13929335130964862</v>
      </c>
      <c r="L52">
        <v>3.212261842580872</v>
      </c>
      <c r="M52" s="137">
        <v>3.9329492300777744</v>
      </c>
      <c r="N52">
        <v>3.0910217769380406</v>
      </c>
      <c r="O52" s="77">
        <v>100</v>
      </c>
      <c r="P52" s="77">
        <f t="shared" si="2"/>
        <v>2</v>
      </c>
      <c r="Q52" s="78">
        <v>46.4</v>
      </c>
      <c r="R52" s="78">
        <f t="shared" si="3"/>
        <v>1.6665179805548809</v>
      </c>
      <c r="S52" s="79">
        <v>52.997375167745602</v>
      </c>
      <c r="T52" s="184">
        <f t="shared" si="4"/>
        <v>1.7242543605745053</v>
      </c>
      <c r="U52">
        <v>5.6904851336472641E-2</v>
      </c>
      <c r="V52" s="77">
        <v>15</v>
      </c>
      <c r="W52" s="137">
        <f t="shared" si="5"/>
        <v>1.1760912590556813</v>
      </c>
    </row>
    <row r="53" spans="1:23" x14ac:dyDescent="0.35">
      <c r="A53" s="74" t="s">
        <v>415</v>
      </c>
      <c r="B53" s="74" t="s">
        <v>3</v>
      </c>
      <c r="C53">
        <v>2</v>
      </c>
      <c r="D53" s="161">
        <v>8.5998830720736876</v>
      </c>
      <c r="E53" s="161">
        <v>3.5561643835616437</v>
      </c>
      <c r="F53" s="161">
        <f t="shared" si="0"/>
        <v>0.55098182800787565</v>
      </c>
      <c r="G53">
        <v>2.7187258365781268</v>
      </c>
      <c r="H53">
        <v>2.1003705451175629</v>
      </c>
      <c r="I53" s="73">
        <v>3.59</v>
      </c>
      <c r="J53" s="183">
        <f t="shared" si="1"/>
        <v>0.55509444857831913</v>
      </c>
      <c r="K53">
        <v>0.25978950514211202</v>
      </c>
      <c r="L53">
        <v>3.212261842580872</v>
      </c>
      <c r="M53" s="137">
        <v>3.9329492300777744</v>
      </c>
      <c r="N53">
        <v>3.0910217769380406</v>
      </c>
      <c r="O53" s="74">
        <v>85</v>
      </c>
      <c r="P53" s="77">
        <f t="shared" si="2"/>
        <v>1.9294189257142926</v>
      </c>
      <c r="Q53" s="75">
        <v>47.9</v>
      </c>
      <c r="R53" s="78">
        <f t="shared" si="3"/>
        <v>1.6803355134145632</v>
      </c>
      <c r="S53" s="76">
        <v>54.533270077590302</v>
      </c>
      <c r="T53" s="184">
        <f t="shared" si="4"/>
        <v>1.7366615408570338</v>
      </c>
      <c r="U53">
        <v>-0.15490195998574319</v>
      </c>
      <c r="V53" s="74">
        <v>10</v>
      </c>
      <c r="W53" s="137">
        <f t="shared" si="5"/>
        <v>1</v>
      </c>
    </row>
    <row r="54" spans="1:23" x14ac:dyDescent="0.35">
      <c r="A54" s="77" t="s">
        <v>418</v>
      </c>
      <c r="B54" s="77" t="s">
        <v>419</v>
      </c>
      <c r="C54">
        <v>1</v>
      </c>
      <c r="D54" s="161">
        <v>8.7774268223893106</v>
      </c>
      <c r="E54" s="161">
        <v>11.490410958904109</v>
      </c>
      <c r="F54" s="161">
        <f t="shared" si="0"/>
        <v>1.0603355616728503</v>
      </c>
      <c r="G54">
        <v>2.5987029826834349</v>
      </c>
      <c r="H54">
        <v>2</v>
      </c>
      <c r="I54" s="72">
        <v>3.35</v>
      </c>
      <c r="J54" s="183">
        <f t="shared" si="1"/>
        <v>0.5250448070368452</v>
      </c>
      <c r="K54">
        <v>-0.17885209215101669</v>
      </c>
      <c r="L54">
        <v>3.212261842580872</v>
      </c>
      <c r="M54" s="137">
        <v>3.9329492300777744</v>
      </c>
      <c r="N54">
        <v>2.5401208298279827</v>
      </c>
      <c r="O54" s="77">
        <v>85</v>
      </c>
      <c r="P54" s="77">
        <f t="shared" si="2"/>
        <v>1.9294189257142926</v>
      </c>
      <c r="Q54" s="78">
        <v>42.1</v>
      </c>
      <c r="R54" s="78">
        <f t="shared" si="3"/>
        <v>1.6242820958356683</v>
      </c>
      <c r="S54" s="79">
        <v>49.275185994026302</v>
      </c>
      <c r="T54" s="184">
        <f t="shared" si="4"/>
        <v>1.6926282722417263</v>
      </c>
      <c r="U54">
        <v>0.26481782300953643</v>
      </c>
      <c r="V54" s="77">
        <v>16</v>
      </c>
      <c r="W54" s="137">
        <f t="shared" si="5"/>
        <v>1.2041199826559248</v>
      </c>
    </row>
    <row r="55" spans="1:23" x14ac:dyDescent="0.35">
      <c r="A55" s="74" t="s">
        <v>422</v>
      </c>
      <c r="B55" s="74" t="s">
        <v>419</v>
      </c>
      <c r="C55">
        <v>5</v>
      </c>
      <c r="D55" s="161">
        <v>7.2257948254542494</v>
      </c>
      <c r="E55" s="161">
        <v>6.5315068493150683</v>
      </c>
      <c r="F55" s="161">
        <f t="shared" si="0"/>
        <v>0.81501338661172407</v>
      </c>
      <c r="G55">
        <v>2.5987029826834349</v>
      </c>
      <c r="H55">
        <v>1.2304489213782739</v>
      </c>
      <c r="I55" s="73">
        <v>3.35</v>
      </c>
      <c r="J55" s="183">
        <f t="shared" si="1"/>
        <v>0.5250448070368452</v>
      </c>
      <c r="K55">
        <v>0.89805681551283612</v>
      </c>
      <c r="L55">
        <v>3.212261842580872</v>
      </c>
      <c r="M55" s="137">
        <v>3.9329492300777744</v>
      </c>
      <c r="N55">
        <v>2.5401208298279827</v>
      </c>
      <c r="O55" s="74">
        <v>70</v>
      </c>
      <c r="P55" s="77">
        <f t="shared" si="2"/>
        <v>1.8450980400142569</v>
      </c>
      <c r="Q55" s="75">
        <v>43.2</v>
      </c>
      <c r="R55" s="78">
        <f t="shared" si="3"/>
        <v>1.6354837468149122</v>
      </c>
      <c r="S55" s="76">
        <v>47.338285896273099</v>
      </c>
      <c r="T55" s="184">
        <f t="shared" si="4"/>
        <v>1.6752125282177461</v>
      </c>
      <c r="U55">
        <v>0.13353890837021748</v>
      </c>
      <c r="V55" s="74">
        <v>12</v>
      </c>
      <c r="W55" s="137">
        <f t="shared" si="5"/>
        <v>1.0791812460476249</v>
      </c>
    </row>
    <row r="56" spans="1:23" x14ac:dyDescent="0.35">
      <c r="A56" s="77" t="s">
        <v>424</v>
      </c>
      <c r="B56" s="77" t="s">
        <v>4</v>
      </c>
      <c r="C56">
        <v>5</v>
      </c>
      <c r="D56" s="161">
        <v>8.5563025007672877</v>
      </c>
      <c r="E56" s="161">
        <v>4.6301369863013697</v>
      </c>
      <c r="F56" s="161">
        <f t="shared" si="0"/>
        <v>0.6655938401571988</v>
      </c>
      <c r="G56">
        <v>3.1566248585544785</v>
      </c>
      <c r="H56">
        <v>1.4471580313422192</v>
      </c>
      <c r="I56" s="72">
        <v>3.03</v>
      </c>
      <c r="J56" s="183">
        <f t="shared" si="1"/>
        <v>0.48144262850230496</v>
      </c>
      <c r="K56">
        <v>0.44369749923271273</v>
      </c>
      <c r="L56">
        <v>3.3209851425446502</v>
      </c>
      <c r="M56" s="137">
        <v>3.9950367434689285</v>
      </c>
      <c r="N56">
        <v>2.8438554226231609</v>
      </c>
      <c r="O56" s="77">
        <v>94.2</v>
      </c>
      <c r="P56" s="77">
        <f t="shared" si="2"/>
        <v>1.9740509027928774</v>
      </c>
      <c r="Q56" s="78">
        <v>45</v>
      </c>
      <c r="R56" s="78">
        <f t="shared" si="3"/>
        <v>1.6532125137753437</v>
      </c>
      <c r="S56" s="79">
        <v>49.278563385512697</v>
      </c>
      <c r="T56" s="184">
        <f t="shared" si="4"/>
        <v>1.6926580383844774</v>
      </c>
      <c r="U56">
        <v>-7.0581074285707285E-2</v>
      </c>
      <c r="V56" s="77">
        <v>0</v>
      </c>
      <c r="W56" s="137">
        <f t="shared" si="5"/>
        <v>0</v>
      </c>
    </row>
    <row r="57" spans="1:23" x14ac:dyDescent="0.35">
      <c r="A57" s="74" t="s">
        <v>427</v>
      </c>
      <c r="B57" s="74" t="s">
        <v>163</v>
      </c>
      <c r="C57">
        <v>8</v>
      </c>
      <c r="D57" s="161">
        <v>7.8129133566428557</v>
      </c>
      <c r="E57" s="161">
        <v>5.3287671232876717</v>
      </c>
      <c r="F57" s="161">
        <f t="shared" si="0"/>
        <v>0.72662674120525184</v>
      </c>
      <c r="G57">
        <v>2.5362300726332561</v>
      </c>
      <c r="H57">
        <v>1.0791812460476249</v>
      </c>
      <c r="I57" s="73">
        <v>2.3199999999999998</v>
      </c>
      <c r="J57" s="183">
        <f t="shared" si="1"/>
        <v>0.36548798489089962</v>
      </c>
      <c r="K57">
        <v>0.1290946963794577</v>
      </c>
      <c r="L57">
        <v>3.3209851425446502</v>
      </c>
      <c r="M57" s="137">
        <v>3.9950367434689285</v>
      </c>
      <c r="N57">
        <v>2.756001823801419</v>
      </c>
      <c r="O57" s="74">
        <v>87.2</v>
      </c>
      <c r="P57" s="77">
        <f t="shared" si="2"/>
        <v>1.9405164849325673</v>
      </c>
      <c r="Q57" s="75">
        <v>42.5</v>
      </c>
      <c r="R57" s="78">
        <f t="shared" si="3"/>
        <v>1.6283889300503116</v>
      </c>
      <c r="S57" s="76">
        <v>52.565521078007201</v>
      </c>
      <c r="T57" s="184">
        <f t="shared" si="4"/>
        <v>1.7207009738992591</v>
      </c>
      <c r="U57">
        <v>-8.7739243075051505E-3</v>
      </c>
      <c r="V57" s="74">
        <v>0</v>
      </c>
      <c r="W57" s="137">
        <f t="shared" si="5"/>
        <v>0</v>
      </c>
    </row>
    <row r="58" spans="1:23" x14ac:dyDescent="0.35">
      <c r="A58" s="77" t="s">
        <v>428</v>
      </c>
      <c r="B58" s="77" t="s">
        <v>163</v>
      </c>
      <c r="C58">
        <v>2</v>
      </c>
      <c r="D58" s="161">
        <v>8.5051499783199063</v>
      </c>
      <c r="E58" s="161">
        <v>1.9397260273972603</v>
      </c>
      <c r="F58" s="161">
        <f t="shared" si="0"/>
        <v>0.28774039323329431</v>
      </c>
      <c r="G58">
        <v>2.5362300726332561</v>
      </c>
      <c r="H58">
        <v>1.1760912590556813</v>
      </c>
      <c r="I58" s="72">
        <v>2.3199999999999998</v>
      </c>
      <c r="J58" s="183">
        <f t="shared" si="1"/>
        <v>0.36548798489089962</v>
      </c>
      <c r="K58">
        <v>0.27300127206373764</v>
      </c>
      <c r="L58">
        <v>3.3209851425446502</v>
      </c>
      <c r="M58" s="137">
        <v>3.9950367434689285</v>
      </c>
      <c r="N58">
        <v>2.756001823801419</v>
      </c>
      <c r="O58" s="77">
        <v>70</v>
      </c>
      <c r="P58" s="77">
        <f t="shared" si="2"/>
        <v>1.8450980400142569</v>
      </c>
      <c r="Q58" s="78">
        <v>42.9</v>
      </c>
      <c r="R58" s="78">
        <f t="shared" si="3"/>
        <v>1.6324572921847242</v>
      </c>
      <c r="S58" s="79">
        <v>53.2941466273667</v>
      </c>
      <c r="T58" s="184">
        <f t="shared" si="4"/>
        <v>1.7266795124593939</v>
      </c>
      <c r="U58">
        <v>8.9905111439397931E-2</v>
      </c>
      <c r="V58" s="77">
        <v>0</v>
      </c>
      <c r="W58" s="137">
        <f t="shared" si="5"/>
        <v>0</v>
      </c>
    </row>
    <row r="59" spans="1:23" x14ac:dyDescent="0.35">
      <c r="A59" s="74" t="s">
        <v>431</v>
      </c>
      <c r="B59" s="74" t="s">
        <v>163</v>
      </c>
      <c r="C59">
        <v>5</v>
      </c>
      <c r="D59" s="161">
        <v>8.7160033436347994</v>
      </c>
      <c r="E59" s="161">
        <v>2.2547945205479452</v>
      </c>
      <c r="F59" s="161">
        <f t="shared" si="0"/>
        <v>0.35310697075579511</v>
      </c>
      <c r="G59">
        <v>2.5362300726332561</v>
      </c>
      <c r="H59">
        <v>1.8388490907372552</v>
      </c>
      <c r="I59" s="73">
        <v>2.3199999999999998</v>
      </c>
      <c r="J59" s="183">
        <f t="shared" si="1"/>
        <v>0.36548798489089962</v>
      </c>
      <c r="K59">
        <v>0.23484811525374724</v>
      </c>
      <c r="L59">
        <v>3.3209851425446502</v>
      </c>
      <c r="M59" s="137">
        <v>3.9950367434689285</v>
      </c>
      <c r="N59">
        <v>2.756001823801419</v>
      </c>
      <c r="O59" s="74">
        <v>70</v>
      </c>
      <c r="P59" s="77">
        <f t="shared" si="2"/>
        <v>1.8450980400142569</v>
      </c>
      <c r="Q59" s="75">
        <v>42.2</v>
      </c>
      <c r="R59" s="78">
        <f t="shared" si="3"/>
        <v>1.6253124509616739</v>
      </c>
      <c r="S59" s="76">
        <v>53.270504198897903</v>
      </c>
      <c r="T59" s="184">
        <f t="shared" si="4"/>
        <v>1.7264868073491786</v>
      </c>
      <c r="U59">
        <v>9.691001300805642E-2</v>
      </c>
      <c r="V59" s="74">
        <v>0</v>
      </c>
      <c r="W59" s="137">
        <f t="shared" si="5"/>
        <v>0</v>
      </c>
    </row>
    <row r="60" spans="1:23" x14ac:dyDescent="0.35">
      <c r="A60" s="77" t="s">
        <v>433</v>
      </c>
      <c r="B60" s="77" t="s">
        <v>434</v>
      </c>
      <c r="C60">
        <v>5</v>
      </c>
      <c r="D60" s="161">
        <v>8.9030899869919438</v>
      </c>
      <c r="E60" s="161">
        <v>7.3287671232876717</v>
      </c>
      <c r="F60" s="161">
        <f t="shared" si="0"/>
        <v>0.86503092190077258</v>
      </c>
      <c r="G60">
        <v>3.1568882168601933</v>
      </c>
      <c r="H60">
        <v>1.968482948553935</v>
      </c>
      <c r="I60" s="72">
        <v>2.5099999999999998</v>
      </c>
      <c r="J60" s="183">
        <f t="shared" si="1"/>
        <v>0.39967372148103808</v>
      </c>
      <c r="K60">
        <v>-6.4240896254688248E-2</v>
      </c>
      <c r="L60">
        <v>3.1884249941294067</v>
      </c>
      <c r="M60" s="137">
        <v>3.9391261945252749</v>
      </c>
      <c r="N60">
        <v>2.7825920506710684</v>
      </c>
      <c r="O60" s="77">
        <v>77</v>
      </c>
      <c r="P60" s="77">
        <f t="shared" si="2"/>
        <v>1.8864907251724818</v>
      </c>
      <c r="Q60" s="78">
        <v>41.72</v>
      </c>
      <c r="R60" s="78">
        <f t="shared" si="3"/>
        <v>1.6203442997544932</v>
      </c>
      <c r="S60" s="79">
        <v>47.830384300274197</v>
      </c>
      <c r="T60" s="184">
        <f t="shared" si="4"/>
        <v>1.6797038702890243</v>
      </c>
      <c r="U60">
        <v>0.3820170425748684</v>
      </c>
      <c r="V60" s="77">
        <v>0</v>
      </c>
      <c r="W60" s="137">
        <f t="shared" si="5"/>
        <v>0</v>
      </c>
    </row>
    <row r="61" spans="1:23" x14ac:dyDescent="0.35">
      <c r="A61" s="74" t="s">
        <v>440</v>
      </c>
      <c r="B61" s="74" t="s">
        <v>1</v>
      </c>
      <c r="C61">
        <v>6</v>
      </c>
      <c r="D61" s="161">
        <v>8.2951673321181332</v>
      </c>
      <c r="E61" s="161">
        <v>10.731506849315069</v>
      </c>
      <c r="F61" s="161">
        <f t="shared" si="0"/>
        <v>1.0306607070913911</v>
      </c>
      <c r="G61">
        <v>2.6208956659919629</v>
      </c>
      <c r="H61">
        <v>2.0293837776852097</v>
      </c>
      <c r="I61" s="73">
        <v>3.65</v>
      </c>
      <c r="J61" s="183">
        <f t="shared" si="1"/>
        <v>0.56229286445647475</v>
      </c>
      <c r="K61">
        <v>0.76929065710878552</v>
      </c>
      <c r="L61">
        <v>3.1884249941294067</v>
      </c>
      <c r="M61" s="137">
        <v>3.9391261945252749</v>
      </c>
      <c r="N61">
        <v>2.3401134757058348</v>
      </c>
      <c r="O61" s="74">
        <v>70</v>
      </c>
      <c r="P61" s="77">
        <f t="shared" si="2"/>
        <v>1.8450980400142569</v>
      </c>
      <c r="Q61" s="75">
        <v>42.4</v>
      </c>
      <c r="R61" s="78">
        <f t="shared" si="3"/>
        <v>1.6273658565927327</v>
      </c>
      <c r="S61" s="76">
        <v>44.9782573439335</v>
      </c>
      <c r="T61" s="184">
        <f t="shared" si="4"/>
        <v>1.6530026249418825</v>
      </c>
      <c r="U61">
        <v>0.24054924828259971</v>
      </c>
      <c r="V61" s="74">
        <v>1</v>
      </c>
      <c r="W61" s="137">
        <f t="shared" si="5"/>
        <v>0</v>
      </c>
    </row>
    <row r="62" spans="1:23" x14ac:dyDescent="0.35">
      <c r="A62" s="77" t="s">
        <v>441</v>
      </c>
      <c r="B62" s="77" t="s">
        <v>45</v>
      </c>
      <c r="C62">
        <v>9</v>
      </c>
      <c r="D62" s="161">
        <v>7.0791812460476251</v>
      </c>
      <c r="E62" s="161">
        <v>0.72602739726027399</v>
      </c>
      <c r="F62" s="161">
        <f t="shared" si="0"/>
        <v>-0.13904699051966685</v>
      </c>
      <c r="G62">
        <v>3.7707754512906644</v>
      </c>
      <c r="H62">
        <v>1.7403626894942439</v>
      </c>
      <c r="I62" s="72">
        <v>2.3199999999999998</v>
      </c>
      <c r="J62" s="183">
        <f t="shared" si="1"/>
        <v>0.36548798489089962</v>
      </c>
      <c r="K62">
        <v>0.58357658563394932</v>
      </c>
      <c r="L62">
        <v>3.1990557401914899</v>
      </c>
      <c r="M62" s="137">
        <v>3.7784953647769717</v>
      </c>
      <c r="N62">
        <v>2.1238516409670858</v>
      </c>
      <c r="O62" s="77">
        <v>85</v>
      </c>
      <c r="P62" s="77">
        <f t="shared" si="2"/>
        <v>1.9294189257142926</v>
      </c>
      <c r="Q62" s="78">
        <v>27.2</v>
      </c>
      <c r="R62" s="78">
        <f t="shared" si="3"/>
        <v>1.4345689040341987</v>
      </c>
      <c r="S62" s="79">
        <v>35.608384832026097</v>
      </c>
      <c r="T62" s="184">
        <f t="shared" si="4"/>
        <v>1.5515522748692276</v>
      </c>
      <c r="U62">
        <v>-5.0609993355087209E-2</v>
      </c>
      <c r="V62" s="77">
        <v>56</v>
      </c>
      <c r="W62" s="137">
        <f t="shared" si="5"/>
        <v>1.7481880270062005</v>
      </c>
    </row>
    <row r="63" spans="1:23" x14ac:dyDescent="0.35">
      <c r="A63" s="74" t="s">
        <v>444</v>
      </c>
      <c r="B63" s="74" t="s">
        <v>59</v>
      </c>
      <c r="C63">
        <v>9</v>
      </c>
      <c r="D63" s="161">
        <v>7.1760912590556813</v>
      </c>
      <c r="E63" s="161">
        <v>7.1808219178082195</v>
      </c>
      <c r="F63" s="161">
        <f t="shared" si="0"/>
        <v>0.85617415649012574</v>
      </c>
      <c r="G63">
        <v>3.0625406208792199</v>
      </c>
      <c r="H63">
        <v>0.90308998699194354</v>
      </c>
      <c r="I63" s="73">
        <v>3.27</v>
      </c>
      <c r="J63" s="183">
        <f t="shared" si="1"/>
        <v>0.51454775266028607</v>
      </c>
      <c r="K63">
        <v>-1</v>
      </c>
      <c r="L63">
        <v>3.2566108558755684</v>
      </c>
      <c r="M63" s="137">
        <v>3.9279973385794986</v>
      </c>
      <c r="N63">
        <v>2.8714756364568856</v>
      </c>
      <c r="O63" s="74">
        <v>90.8</v>
      </c>
      <c r="P63" s="77">
        <f t="shared" si="2"/>
        <v>1.958085848521085</v>
      </c>
      <c r="Q63" s="75">
        <v>32.299999999999997</v>
      </c>
      <c r="R63" s="78">
        <f t="shared" si="3"/>
        <v>1.5092025223311027</v>
      </c>
      <c r="S63" s="76">
        <v>44.4007960521485</v>
      </c>
      <c r="T63" s="184">
        <f t="shared" si="4"/>
        <v>1.6473907565550749</v>
      </c>
      <c r="U63">
        <v>0.18184358794477254</v>
      </c>
      <c r="V63" s="74">
        <v>7</v>
      </c>
      <c r="W63" s="137">
        <f t="shared" si="5"/>
        <v>0.84509804001425681</v>
      </c>
    </row>
    <row r="64" spans="1:23" x14ac:dyDescent="0.35">
      <c r="A64" s="77" t="s">
        <v>446</v>
      </c>
      <c r="B64" s="77" t="s">
        <v>447</v>
      </c>
      <c r="C64">
        <v>3</v>
      </c>
      <c r="D64" s="161">
        <v>9</v>
      </c>
      <c r="E64" s="161">
        <v>2.7342465753424658</v>
      </c>
      <c r="F64" s="161">
        <f t="shared" si="0"/>
        <v>0.43683767683089642</v>
      </c>
      <c r="G64">
        <v>3.7845345619950592</v>
      </c>
      <c r="H64">
        <v>1</v>
      </c>
      <c r="I64" s="72">
        <v>2.81</v>
      </c>
      <c r="J64" s="183">
        <f t="shared" si="1"/>
        <v>0.44870631990507992</v>
      </c>
      <c r="K64">
        <v>0.14612803567823801</v>
      </c>
      <c r="L64">
        <v>3.1574743240259107</v>
      </c>
      <c r="M64" s="137">
        <v>3.7043045135512243</v>
      </c>
      <c r="N64">
        <v>2.9168924084376502</v>
      </c>
      <c r="O64" s="77">
        <v>76</v>
      </c>
      <c r="P64" s="77">
        <f t="shared" si="2"/>
        <v>1.8808135922807914</v>
      </c>
      <c r="Q64" s="78">
        <v>33.19</v>
      </c>
      <c r="R64" s="78">
        <f t="shared" si="3"/>
        <v>1.521007252408604</v>
      </c>
      <c r="S64" s="79">
        <v>42.2040629527961</v>
      </c>
      <c r="T64" s="184">
        <f t="shared" si="4"/>
        <v>1.6253542621712107</v>
      </c>
      <c r="U64">
        <v>0.14921911265537988</v>
      </c>
      <c r="V64" s="77">
        <v>21</v>
      </c>
      <c r="W64" s="137">
        <f t="shared" si="5"/>
        <v>1.3222192947339193</v>
      </c>
    </row>
    <row r="65" spans="1:23" x14ac:dyDescent="0.35">
      <c r="A65" s="74" t="s">
        <v>451</v>
      </c>
      <c r="B65" s="74" t="s">
        <v>59</v>
      </c>
      <c r="C65">
        <v>8</v>
      </c>
      <c r="D65" s="161">
        <v>8.53424192979422</v>
      </c>
      <c r="E65" s="161">
        <v>4.1753424657534248</v>
      </c>
      <c r="F65" s="161">
        <f t="shared" si="0"/>
        <v>0.62069210254710705</v>
      </c>
      <c r="G65">
        <v>3.7707754512906644</v>
      </c>
      <c r="H65">
        <v>0.84509804001425681</v>
      </c>
      <c r="I65" s="73">
        <v>2.3199999999999998</v>
      </c>
      <c r="J65" s="183">
        <f t="shared" si="1"/>
        <v>0.36548798489089962</v>
      </c>
      <c r="K65">
        <v>0.23201101174001795</v>
      </c>
      <c r="L65">
        <v>3.1574743240259107</v>
      </c>
      <c r="M65" s="137">
        <v>3.7043045135512243</v>
      </c>
      <c r="N65">
        <v>2.1238516409670858</v>
      </c>
      <c r="O65" s="74">
        <v>89.8</v>
      </c>
      <c r="P65" s="77">
        <f t="shared" si="2"/>
        <v>1.9532763366673043</v>
      </c>
      <c r="Q65" s="75">
        <v>31.2</v>
      </c>
      <c r="R65" s="78">
        <f t="shared" si="3"/>
        <v>1.4941545940184429</v>
      </c>
      <c r="S65" s="76">
        <v>47.307367293927399</v>
      </c>
      <c r="T65" s="184">
        <f t="shared" si="4"/>
        <v>1.6749287797641836</v>
      </c>
      <c r="U65">
        <v>0.26481782300953643</v>
      </c>
      <c r="V65" s="74">
        <v>14</v>
      </c>
      <c r="W65" s="137">
        <f t="shared" si="5"/>
        <v>1.146128035678238</v>
      </c>
    </row>
    <row r="66" spans="1:23" x14ac:dyDescent="0.35">
      <c r="A66" s="77" t="s">
        <v>868</v>
      </c>
      <c r="B66" s="77" t="s">
        <v>434</v>
      </c>
      <c r="C66">
        <v>5</v>
      </c>
      <c r="D66" s="161">
        <v>8.8692317197309762</v>
      </c>
      <c r="E66" s="161">
        <v>1.1972602739726028</v>
      </c>
      <c r="F66" s="161">
        <f t="shared" si="0"/>
        <v>7.818857251394716E-2</v>
      </c>
      <c r="G66">
        <v>3.8584156743566731</v>
      </c>
      <c r="H66">
        <v>2.0681858617461617</v>
      </c>
      <c r="I66" s="72">
        <v>2.66</v>
      </c>
      <c r="J66" s="183">
        <f t="shared" si="1"/>
        <v>0.42488163663106698</v>
      </c>
      <c r="K66">
        <v>5.2714734498433974E-2</v>
      </c>
      <c r="L66">
        <v>3.1867416979308154</v>
      </c>
      <c r="M66" s="137">
        <v>3.6572619512401316</v>
      </c>
      <c r="N66">
        <v>2.8134697878296753</v>
      </c>
      <c r="O66" s="77">
        <v>78.400000000000006</v>
      </c>
      <c r="P66" s="77">
        <f t="shared" si="2"/>
        <v>1.8943160626844384</v>
      </c>
      <c r="Q66" s="78">
        <v>40.57</v>
      </c>
      <c r="R66" s="78">
        <f t="shared" si="3"/>
        <v>1.6082050077043262</v>
      </c>
      <c r="S66" s="79">
        <v>47.629620244041597</v>
      </c>
      <c r="T66" s="184">
        <f t="shared" si="4"/>
        <v>1.6778771188499342</v>
      </c>
      <c r="U66">
        <v>-3.6212172654444715E-2</v>
      </c>
      <c r="V66" s="77">
        <v>5</v>
      </c>
      <c r="W66" s="137">
        <f t="shared" si="5"/>
        <v>0.69897000433601886</v>
      </c>
    </row>
    <row r="67" spans="1:23" x14ac:dyDescent="0.35">
      <c r="A67" s="74" t="s">
        <v>455</v>
      </c>
      <c r="B67" s="74" t="s">
        <v>5</v>
      </c>
      <c r="C67">
        <v>4</v>
      </c>
      <c r="D67" s="161">
        <v>8.8259386592127473</v>
      </c>
      <c r="E67" s="161">
        <v>0.56712328767123288</v>
      </c>
      <c r="F67" s="161">
        <f t="shared" ref="F67:F130" si="6">LOG(E67)</f>
        <v>-0.24632251899955696</v>
      </c>
      <c r="G67">
        <v>2.5542346870234227</v>
      </c>
      <c r="H67">
        <v>1</v>
      </c>
      <c r="I67" s="73">
        <v>3.16</v>
      </c>
      <c r="J67" s="183">
        <f t="shared" ref="J67:J130" si="7">LOG(I67)</f>
        <v>0.49968708261840383</v>
      </c>
      <c r="K67">
        <v>0.40857862429993902</v>
      </c>
      <c r="L67">
        <v>3.0962405795987471</v>
      </c>
      <c r="M67" s="137">
        <v>3.4010931514437841</v>
      </c>
      <c r="N67">
        <v>2.9876662649262746</v>
      </c>
      <c r="O67" s="74">
        <v>88.4</v>
      </c>
      <c r="P67" s="77">
        <f t="shared" ref="P67:P130" si="8">LOG(O67)</f>
        <v>1.9464522650130731</v>
      </c>
      <c r="Q67" s="75">
        <v>35.700000000000003</v>
      </c>
      <c r="R67" s="78">
        <f t="shared" ref="R67:R130" si="9">LOG(Q67)</f>
        <v>1.5526682161121932</v>
      </c>
      <c r="S67" s="76">
        <v>42.337645557762798</v>
      </c>
      <c r="T67" s="184">
        <f t="shared" ref="T67:T130" si="10">LOG(S67)</f>
        <v>1.6267267027692975</v>
      </c>
      <c r="U67">
        <v>-3.6212172654444715E-2</v>
      </c>
      <c r="V67" s="74">
        <v>30</v>
      </c>
      <c r="W67" s="137">
        <f t="shared" ref="W67:W130" si="11">IF(V67=0,0,LOG(V67))</f>
        <v>1.4771212547196624</v>
      </c>
    </row>
    <row r="68" spans="1:23" x14ac:dyDescent="0.35">
      <c r="A68" s="77" t="s">
        <v>457</v>
      </c>
      <c r="B68" s="77" t="s">
        <v>5</v>
      </c>
      <c r="C68">
        <v>4</v>
      </c>
      <c r="D68" s="161">
        <v>9.672097857935718</v>
      </c>
      <c r="E68" s="161">
        <v>6.5753424657534243</v>
      </c>
      <c r="F68" s="161">
        <f t="shared" si="6"/>
        <v>0.81791837725513128</v>
      </c>
      <c r="G68">
        <v>2.5542346870234227</v>
      </c>
      <c r="H68">
        <v>0</v>
      </c>
      <c r="I68" s="72">
        <v>3.16</v>
      </c>
      <c r="J68" s="183">
        <f t="shared" si="7"/>
        <v>0.49968708261840383</v>
      </c>
      <c r="K68">
        <v>-0.19604918633510771</v>
      </c>
      <c r="L68">
        <v>3.0962405795987471</v>
      </c>
      <c r="M68" s="137">
        <v>3.4010931514437841</v>
      </c>
      <c r="N68">
        <v>2.9876662649262746</v>
      </c>
      <c r="O68" s="77">
        <v>87.5</v>
      </c>
      <c r="P68" s="77">
        <f t="shared" si="8"/>
        <v>1.9420080530223132</v>
      </c>
      <c r="Q68" s="78">
        <v>36</v>
      </c>
      <c r="R68" s="78">
        <f t="shared" si="9"/>
        <v>1.5563025007672873</v>
      </c>
      <c r="S68" s="79">
        <v>42.967191632480599</v>
      </c>
      <c r="T68" s="184">
        <f t="shared" si="10"/>
        <v>1.6331369688020121</v>
      </c>
      <c r="U68">
        <v>7.1882007306125359E-2</v>
      </c>
      <c r="V68" s="77">
        <v>29</v>
      </c>
      <c r="W68" s="137">
        <f t="shared" si="11"/>
        <v>1.4623979978989561</v>
      </c>
    </row>
    <row r="69" spans="1:23" x14ac:dyDescent="0.35">
      <c r="A69" s="74" t="s">
        <v>460</v>
      </c>
      <c r="B69" s="74" t="s">
        <v>2</v>
      </c>
      <c r="C69">
        <v>8</v>
      </c>
      <c r="D69" s="161">
        <v>9.1731862684122749</v>
      </c>
      <c r="E69" s="161">
        <v>4.1041095890410961</v>
      </c>
      <c r="F69" s="161">
        <f t="shared" si="6"/>
        <v>0.61321894890697304</v>
      </c>
      <c r="G69">
        <v>2.9629325585580042</v>
      </c>
      <c r="H69">
        <v>2.0453229787866576</v>
      </c>
      <c r="I69" s="73">
        <v>2.62</v>
      </c>
      <c r="J69" s="183">
        <f t="shared" si="7"/>
        <v>0.41830129131974547</v>
      </c>
      <c r="K69">
        <v>0.24178707955854389</v>
      </c>
      <c r="L69">
        <v>3.0962405795987471</v>
      </c>
      <c r="M69" s="137">
        <v>3.4010931514437841</v>
      </c>
      <c r="N69">
        <v>2.9323046139517812</v>
      </c>
      <c r="O69" s="74">
        <v>92.1</v>
      </c>
      <c r="P69" s="77">
        <f t="shared" si="8"/>
        <v>1.9642596301968489</v>
      </c>
      <c r="Q69" s="75">
        <v>36.799999999999997</v>
      </c>
      <c r="R69" s="78">
        <f t="shared" si="9"/>
        <v>1.5658478186735176</v>
      </c>
      <c r="S69" s="76">
        <v>44.688349184782602</v>
      </c>
      <c r="T69" s="184">
        <f t="shared" si="10"/>
        <v>1.6501943118503011</v>
      </c>
      <c r="U69">
        <v>0.1903316981702915</v>
      </c>
      <c r="V69" s="74">
        <v>36</v>
      </c>
      <c r="W69" s="137">
        <f t="shared" si="11"/>
        <v>1.5563025007672873</v>
      </c>
    </row>
    <row r="70" spans="1:23" x14ac:dyDescent="0.35">
      <c r="A70" s="77" t="s">
        <v>462</v>
      </c>
      <c r="B70" s="77" t="s">
        <v>2</v>
      </c>
      <c r="C70">
        <v>1</v>
      </c>
      <c r="D70" s="161">
        <v>8.6020599913279625</v>
      </c>
      <c r="E70" s="161">
        <v>5.5972602739726032</v>
      </c>
      <c r="F70" s="161">
        <f t="shared" si="6"/>
        <v>0.74797550217597297</v>
      </c>
      <c r="G70">
        <v>2.9629325585580042</v>
      </c>
      <c r="H70">
        <v>1.5185139398778875</v>
      </c>
      <c r="I70" s="72">
        <v>2.62</v>
      </c>
      <c r="J70" s="183">
        <f t="shared" si="7"/>
        <v>0.41830129131974547</v>
      </c>
      <c r="K70">
        <v>0.3010299956639812</v>
      </c>
      <c r="L70">
        <v>3.0962405795987471</v>
      </c>
      <c r="M70" s="137">
        <v>3.4010931514437841</v>
      </c>
      <c r="N70">
        <v>2.9323046139517812</v>
      </c>
      <c r="O70" s="77">
        <v>89.6</v>
      </c>
      <c r="P70" s="77">
        <f t="shared" si="8"/>
        <v>1.9523080096621253</v>
      </c>
      <c r="Q70" s="78">
        <v>35.700000000000003</v>
      </c>
      <c r="R70" s="78">
        <f t="shared" si="9"/>
        <v>1.5526682161121932</v>
      </c>
      <c r="S70" s="79">
        <v>44.7100017757258</v>
      </c>
      <c r="T70" s="184">
        <f t="shared" si="10"/>
        <v>1.6504046871166989</v>
      </c>
      <c r="U70">
        <v>0.2355284469075489</v>
      </c>
      <c r="V70" s="77">
        <v>34</v>
      </c>
      <c r="W70" s="137">
        <f t="shared" si="11"/>
        <v>1.5314789170422551</v>
      </c>
    </row>
    <row r="71" spans="1:23" x14ac:dyDescent="0.35">
      <c r="A71" s="74" t="s">
        <v>463</v>
      </c>
      <c r="B71" s="74" t="s">
        <v>163</v>
      </c>
      <c r="C71">
        <v>2</v>
      </c>
      <c r="D71" s="161">
        <v>8.9030899869919438</v>
      </c>
      <c r="E71" s="161">
        <v>4.7616438356164386</v>
      </c>
      <c r="F71" s="161">
        <f t="shared" si="6"/>
        <v>0.67775690765617302</v>
      </c>
      <c r="G71">
        <v>2.5362300726332561</v>
      </c>
      <c r="H71">
        <v>0.69897000433601886</v>
      </c>
      <c r="I71" s="73">
        <v>2.3199999999999998</v>
      </c>
      <c r="J71" s="183">
        <f t="shared" si="7"/>
        <v>0.36548798489089962</v>
      </c>
      <c r="K71">
        <v>0.24303804868629444</v>
      </c>
      <c r="L71">
        <v>3.0962405795987471</v>
      </c>
      <c r="M71" s="137">
        <v>3.4010931514437841</v>
      </c>
      <c r="N71">
        <v>2.756001823801419</v>
      </c>
      <c r="O71" s="74">
        <v>86.3</v>
      </c>
      <c r="P71" s="77">
        <f t="shared" si="8"/>
        <v>1.9360107957152095</v>
      </c>
      <c r="Q71" s="75">
        <v>42.1</v>
      </c>
      <c r="R71" s="78">
        <f t="shared" si="9"/>
        <v>1.6242820958356683</v>
      </c>
      <c r="S71" s="76">
        <v>56.8818351627258</v>
      </c>
      <c r="T71" s="184">
        <f t="shared" si="10"/>
        <v>1.7549735994690439</v>
      </c>
      <c r="U71">
        <v>0.24303804868629444</v>
      </c>
      <c r="V71" s="74">
        <v>33</v>
      </c>
      <c r="W71" s="137">
        <f t="shared" si="11"/>
        <v>1.5185139398778875</v>
      </c>
    </row>
    <row r="72" spans="1:23" x14ac:dyDescent="0.35">
      <c r="A72" s="77" t="s">
        <v>431</v>
      </c>
      <c r="B72" s="77" t="s">
        <v>163</v>
      </c>
      <c r="C72">
        <v>5</v>
      </c>
      <c r="D72" s="161">
        <v>8.9508514588885468</v>
      </c>
      <c r="E72" s="161">
        <v>8.5863013698630137</v>
      </c>
      <c r="F72" s="161">
        <f t="shared" si="6"/>
        <v>0.93380612767609661</v>
      </c>
      <c r="G72">
        <v>2.5362300726332561</v>
      </c>
      <c r="H72">
        <v>1.8512583487190752</v>
      </c>
      <c r="I72" s="72">
        <v>2.3199999999999998</v>
      </c>
      <c r="J72" s="183">
        <f t="shared" si="7"/>
        <v>0.36548798489089962</v>
      </c>
      <c r="K72">
        <v>-0.17270020850490278</v>
      </c>
      <c r="L72">
        <v>3.0962405795987471</v>
      </c>
      <c r="M72" s="137">
        <v>3.4010931514437841</v>
      </c>
      <c r="N72">
        <v>2.756001823801419</v>
      </c>
      <c r="O72" s="77">
        <v>70</v>
      </c>
      <c r="P72" s="77">
        <f t="shared" si="8"/>
        <v>1.8450980400142569</v>
      </c>
      <c r="Q72" s="78">
        <v>42.9</v>
      </c>
      <c r="R72" s="78">
        <f t="shared" si="9"/>
        <v>1.6324572921847242</v>
      </c>
      <c r="S72" s="79">
        <v>53.2941466273667</v>
      </c>
      <c r="T72" s="184">
        <f t="shared" si="10"/>
        <v>1.7266795124593939</v>
      </c>
      <c r="U72">
        <v>0.1903316981702915</v>
      </c>
      <c r="V72" s="77">
        <v>28</v>
      </c>
      <c r="W72" s="137">
        <f t="shared" si="11"/>
        <v>1.4471580313422192</v>
      </c>
    </row>
    <row r="73" spans="1:23" x14ac:dyDescent="0.35">
      <c r="A73" s="74" t="s">
        <v>464</v>
      </c>
      <c r="B73" s="74" t="s">
        <v>163</v>
      </c>
      <c r="C73">
        <v>4</v>
      </c>
      <c r="D73" s="161">
        <v>8.5276299008713394</v>
      </c>
      <c r="E73" s="161">
        <v>2.1397260273972605</v>
      </c>
      <c r="F73" s="161">
        <f t="shared" si="6"/>
        <v>0.33035816942082569</v>
      </c>
      <c r="G73">
        <v>2.5362300726332561</v>
      </c>
      <c r="H73">
        <v>1.4471580313422192</v>
      </c>
      <c r="I73" s="73">
        <v>2.3199999999999998</v>
      </c>
      <c r="J73" s="183">
        <f t="shared" si="7"/>
        <v>0.36548798489089962</v>
      </c>
      <c r="K73">
        <v>3.7937368562579774E-2</v>
      </c>
      <c r="L73">
        <v>3.0962405795987471</v>
      </c>
      <c r="M73" s="137">
        <v>3.4010931514437841</v>
      </c>
      <c r="N73">
        <v>2.756001823801419</v>
      </c>
      <c r="O73" s="74">
        <v>70</v>
      </c>
      <c r="P73" s="77">
        <f t="shared" si="8"/>
        <v>1.8450980400142569</v>
      </c>
      <c r="Q73" s="75">
        <v>42.4</v>
      </c>
      <c r="R73" s="78">
        <f t="shared" si="9"/>
        <v>1.6273658565927327</v>
      </c>
      <c r="S73" s="76">
        <v>52.984855215816303</v>
      </c>
      <c r="T73" s="184">
        <f t="shared" si="10"/>
        <v>1.7241517519382803</v>
      </c>
      <c r="U73">
        <v>7.9181246047624818E-2</v>
      </c>
      <c r="V73" s="74">
        <v>27</v>
      </c>
      <c r="W73" s="137">
        <f t="shared" si="11"/>
        <v>1.4313637641589874</v>
      </c>
    </row>
    <row r="74" spans="1:23" x14ac:dyDescent="0.35">
      <c r="A74" s="77" t="s">
        <v>431</v>
      </c>
      <c r="B74" s="77" t="s">
        <v>163</v>
      </c>
      <c r="C74">
        <v>5</v>
      </c>
      <c r="D74" s="161">
        <v>8.6190933306267432</v>
      </c>
      <c r="E74" s="161">
        <v>3.6630136986301371</v>
      </c>
      <c r="F74" s="161">
        <f t="shared" si="6"/>
        <v>0.56383854280550971</v>
      </c>
      <c r="G74">
        <v>2.5362300726332561</v>
      </c>
      <c r="H74">
        <v>1.8195439355418688</v>
      </c>
      <c r="I74" s="72">
        <v>2.3199999999999998</v>
      </c>
      <c r="J74" s="183">
        <f t="shared" si="7"/>
        <v>0.36548798489089962</v>
      </c>
      <c r="K74">
        <v>9.691001300805642E-2</v>
      </c>
      <c r="L74">
        <v>3.0962405795987471</v>
      </c>
      <c r="M74" s="137">
        <v>3.4010931514437841</v>
      </c>
      <c r="N74">
        <v>2.756001823801419</v>
      </c>
      <c r="O74" s="77">
        <v>70</v>
      </c>
      <c r="P74" s="77">
        <f t="shared" si="8"/>
        <v>1.8450980400142569</v>
      </c>
      <c r="Q74" s="78">
        <v>43.4</v>
      </c>
      <c r="R74" s="78">
        <f t="shared" si="9"/>
        <v>1.6374897295125106</v>
      </c>
      <c r="S74" s="79">
        <v>51.652289181886701</v>
      </c>
      <c r="T74" s="184">
        <f t="shared" si="10"/>
        <v>1.7130895738136374</v>
      </c>
      <c r="U74">
        <v>-0.14874165128092473</v>
      </c>
      <c r="V74" s="77">
        <v>23</v>
      </c>
      <c r="W74" s="137">
        <f t="shared" si="11"/>
        <v>1.3617278360175928</v>
      </c>
    </row>
    <row r="75" spans="1:23" x14ac:dyDescent="0.35">
      <c r="A75" s="74" t="s">
        <v>467</v>
      </c>
      <c r="B75" s="74" t="s">
        <v>7</v>
      </c>
      <c r="C75">
        <v>4</v>
      </c>
      <c r="D75" s="161">
        <v>9.3170181010481112</v>
      </c>
      <c r="E75" s="161">
        <v>5.9178082191780819</v>
      </c>
      <c r="F75" s="161">
        <f t="shared" si="6"/>
        <v>0.77216088669445615</v>
      </c>
      <c r="G75">
        <v>2.6903467274930635</v>
      </c>
      <c r="H75">
        <v>1.568201724066995</v>
      </c>
      <c r="I75" s="73">
        <v>2.59</v>
      </c>
      <c r="J75" s="183">
        <f t="shared" si="7"/>
        <v>0.4132997640812518</v>
      </c>
      <c r="K75">
        <v>-1</v>
      </c>
      <c r="L75">
        <v>3.0962405795987471</v>
      </c>
      <c r="M75" s="137">
        <v>3.4010931514437841</v>
      </c>
      <c r="N75">
        <v>2.7508939203821252</v>
      </c>
      <c r="O75" s="74">
        <v>85</v>
      </c>
      <c r="P75" s="77">
        <f t="shared" si="8"/>
        <v>1.9294189257142926</v>
      </c>
      <c r="Q75" s="75">
        <v>36.5</v>
      </c>
      <c r="R75" s="78">
        <f t="shared" si="9"/>
        <v>1.5622928644564746</v>
      </c>
      <c r="S75" s="76">
        <v>43.824698342891402</v>
      </c>
      <c r="T75" s="184">
        <f t="shared" si="10"/>
        <v>1.641718935411159</v>
      </c>
      <c r="U75">
        <v>0</v>
      </c>
      <c r="V75" s="74">
        <v>27</v>
      </c>
      <c r="W75" s="137">
        <f t="shared" si="11"/>
        <v>1.4313637641589874</v>
      </c>
    </row>
    <row r="76" spans="1:23" x14ac:dyDescent="0.35">
      <c r="A76" s="77" t="s">
        <v>469</v>
      </c>
      <c r="B76" s="77" t="s">
        <v>45</v>
      </c>
      <c r="C76">
        <v>2</v>
      </c>
      <c r="D76" s="161">
        <v>8.8226211051659256</v>
      </c>
      <c r="E76" s="161">
        <v>4.3890410958904109</v>
      </c>
      <c r="F76" s="161">
        <f t="shared" si="6"/>
        <v>0.64236964729174417</v>
      </c>
      <c r="G76">
        <v>3.7707754512906644</v>
      </c>
      <c r="H76">
        <v>1.3617278360175928</v>
      </c>
      <c r="I76" s="72">
        <v>2.3199999999999998</v>
      </c>
      <c r="J76" s="183">
        <f t="shared" si="7"/>
        <v>0.36548798489089962</v>
      </c>
      <c r="K76">
        <v>0.13951136413231044</v>
      </c>
      <c r="L76">
        <v>3.0962405795987471</v>
      </c>
      <c r="M76" s="137">
        <v>3.4010931514437841</v>
      </c>
      <c r="N76">
        <v>2.1238516409670858</v>
      </c>
      <c r="O76" s="77">
        <v>89.2</v>
      </c>
      <c r="P76" s="77">
        <f t="shared" si="8"/>
        <v>1.9503648543761232</v>
      </c>
      <c r="Q76" s="78">
        <v>26</v>
      </c>
      <c r="R76" s="78">
        <f t="shared" si="9"/>
        <v>1.414973347970818</v>
      </c>
      <c r="S76" s="79">
        <v>38.344872802923099</v>
      </c>
      <c r="T76" s="184">
        <f t="shared" si="10"/>
        <v>1.5837073014724459</v>
      </c>
      <c r="U76">
        <v>0.18184358794477254</v>
      </c>
      <c r="V76" s="77">
        <v>37</v>
      </c>
      <c r="W76" s="137">
        <f t="shared" si="11"/>
        <v>1.568201724066995</v>
      </c>
    </row>
    <row r="77" spans="1:23" x14ac:dyDescent="0.35">
      <c r="A77" s="74" t="s">
        <v>470</v>
      </c>
      <c r="B77" s="74" t="s">
        <v>45</v>
      </c>
      <c r="C77">
        <v>8</v>
      </c>
      <c r="D77" s="161">
        <v>8.5078558716958312</v>
      </c>
      <c r="E77" s="161">
        <v>7.8547945205479452</v>
      </c>
      <c r="F77" s="161">
        <f t="shared" si="6"/>
        <v>0.8951348284900098</v>
      </c>
      <c r="G77">
        <v>3.7707754512906644</v>
      </c>
      <c r="H77">
        <v>1.8692317197309762</v>
      </c>
      <c r="I77" s="73">
        <v>2.3199999999999998</v>
      </c>
      <c r="J77" s="183">
        <f t="shared" si="7"/>
        <v>0.36548798489089962</v>
      </c>
      <c r="K77">
        <v>0.13382641228938827</v>
      </c>
      <c r="L77">
        <v>3.0962405795987471</v>
      </c>
      <c r="M77" s="137">
        <v>3.4010931514437841</v>
      </c>
      <c r="N77">
        <v>2.1238516409670858</v>
      </c>
      <c r="O77" s="74">
        <v>85</v>
      </c>
      <c r="P77" s="77">
        <f t="shared" si="8"/>
        <v>1.9294189257142926</v>
      </c>
      <c r="Q77" s="75">
        <v>27.8</v>
      </c>
      <c r="R77" s="78">
        <f t="shared" si="9"/>
        <v>1.4440447959180762</v>
      </c>
      <c r="S77" s="76">
        <v>34.656907836978597</v>
      </c>
      <c r="T77" s="184">
        <f t="shared" si="10"/>
        <v>1.5397898114291337</v>
      </c>
      <c r="U77">
        <v>4.5322978786657475E-2</v>
      </c>
      <c r="V77" s="74">
        <v>22</v>
      </c>
      <c r="W77" s="137">
        <f t="shared" si="11"/>
        <v>1.3424226808222062</v>
      </c>
    </row>
    <row r="78" spans="1:23" x14ac:dyDescent="0.35">
      <c r="A78" s="77" t="s">
        <v>471</v>
      </c>
      <c r="B78" s="77" t="s">
        <v>447</v>
      </c>
      <c r="C78">
        <v>2</v>
      </c>
      <c r="D78" s="161">
        <v>8.8293037728310253</v>
      </c>
      <c r="E78" s="161">
        <v>1.8493150684931507</v>
      </c>
      <c r="F78" s="161">
        <f t="shared" si="6"/>
        <v>0.26701090837455022</v>
      </c>
      <c r="G78">
        <v>3.1016130541812235</v>
      </c>
      <c r="H78">
        <v>1</v>
      </c>
      <c r="I78" s="72">
        <v>2.4700000000000002</v>
      </c>
      <c r="J78" s="183">
        <f t="shared" si="7"/>
        <v>0.39269695325966575</v>
      </c>
      <c r="K78">
        <v>-0.13033376849500614</v>
      </c>
      <c r="L78">
        <v>3.0962405795987471</v>
      </c>
      <c r="M78" s="137">
        <v>3.4010931514437841</v>
      </c>
      <c r="N78">
        <v>2.9811387826406603</v>
      </c>
      <c r="O78" s="77">
        <v>78</v>
      </c>
      <c r="P78" s="77">
        <f t="shared" si="8"/>
        <v>1.8920946026904804</v>
      </c>
      <c r="Q78" s="78">
        <v>36.36</v>
      </c>
      <c r="R78" s="78">
        <f t="shared" si="9"/>
        <v>1.5606238745499299</v>
      </c>
      <c r="S78" s="79">
        <v>39.0275969715222</v>
      </c>
      <c r="T78" s="184">
        <f t="shared" si="10"/>
        <v>1.5913718114878503</v>
      </c>
      <c r="U78">
        <v>-0.23657200643706267</v>
      </c>
      <c r="V78" s="77">
        <v>30</v>
      </c>
      <c r="W78" s="137">
        <f t="shared" si="11"/>
        <v>1.4771212547196624</v>
      </c>
    </row>
    <row r="79" spans="1:23" x14ac:dyDescent="0.35">
      <c r="A79" s="74" t="s">
        <v>474</v>
      </c>
      <c r="B79" s="74" t="s">
        <v>434</v>
      </c>
      <c r="C79">
        <v>1</v>
      </c>
      <c r="D79" s="161">
        <v>9.4099331233312942</v>
      </c>
      <c r="E79" s="161">
        <v>6.6356164383561644</v>
      </c>
      <c r="F79" s="161">
        <f t="shared" si="6"/>
        <v>0.82188127435055869</v>
      </c>
      <c r="G79">
        <v>3.1568882168601933</v>
      </c>
      <c r="H79">
        <v>1.9956351945975499</v>
      </c>
      <c r="I79" s="73">
        <v>2.5099999999999998</v>
      </c>
      <c r="J79" s="183">
        <f t="shared" si="7"/>
        <v>0.39967372148103808</v>
      </c>
      <c r="K79">
        <v>0.15295425796258474</v>
      </c>
      <c r="L79">
        <v>3.0962405795987471</v>
      </c>
      <c r="M79" s="137">
        <v>3.4010931514437841</v>
      </c>
      <c r="N79">
        <v>2.7825920506710684</v>
      </c>
      <c r="O79" s="74">
        <v>78.400000000000006</v>
      </c>
      <c r="P79" s="77">
        <f t="shared" si="8"/>
        <v>1.8943160626844384</v>
      </c>
      <c r="Q79" s="75">
        <v>40.57</v>
      </c>
      <c r="R79" s="78">
        <f t="shared" si="9"/>
        <v>1.6082050077043262</v>
      </c>
      <c r="S79" s="76">
        <v>47.629620244041597</v>
      </c>
      <c r="T79" s="184">
        <f t="shared" si="10"/>
        <v>1.6778771188499342</v>
      </c>
      <c r="U79">
        <v>7.9181246047624818E-2</v>
      </c>
      <c r="V79" s="74">
        <v>29</v>
      </c>
      <c r="W79" s="137">
        <f t="shared" si="11"/>
        <v>1.4623979978989561</v>
      </c>
    </row>
    <row r="80" spans="1:23" x14ac:dyDescent="0.35">
      <c r="A80" s="77" t="s">
        <v>366</v>
      </c>
      <c r="B80" s="77" t="s">
        <v>45</v>
      </c>
      <c r="C80">
        <v>9</v>
      </c>
      <c r="D80" s="161">
        <v>8.6180480967120925</v>
      </c>
      <c r="E80" s="161">
        <v>4.602739726027397</v>
      </c>
      <c r="F80" s="161">
        <f t="shared" si="6"/>
        <v>0.66301641726938809</v>
      </c>
      <c r="G80">
        <v>3.7707754512906644</v>
      </c>
      <c r="H80">
        <v>1</v>
      </c>
      <c r="I80" s="72">
        <v>2.3199999999999998</v>
      </c>
      <c r="J80" s="183">
        <f t="shared" si="7"/>
        <v>0.36548798489089962</v>
      </c>
      <c r="K80">
        <v>0.30686665541695157</v>
      </c>
      <c r="L80">
        <v>3.2327651641054547</v>
      </c>
      <c r="M80" s="137">
        <v>3.9527244147731087</v>
      </c>
      <c r="N80">
        <v>2.1238516409670858</v>
      </c>
      <c r="O80" s="77">
        <v>91.4</v>
      </c>
      <c r="P80" s="77">
        <f t="shared" si="8"/>
        <v>1.9609461957338314</v>
      </c>
      <c r="Q80" s="78">
        <v>26.7</v>
      </c>
      <c r="R80" s="78">
        <f t="shared" si="9"/>
        <v>1.4265112613645752</v>
      </c>
      <c r="S80" s="79">
        <v>37.425715444240403</v>
      </c>
      <c r="T80" s="184">
        <f t="shared" si="10"/>
        <v>1.5731701112332821</v>
      </c>
      <c r="U80">
        <v>-6.5501548756432285E-2</v>
      </c>
      <c r="V80" s="77">
        <v>27</v>
      </c>
      <c r="W80" s="137">
        <f t="shared" si="11"/>
        <v>1.4313637641589874</v>
      </c>
    </row>
    <row r="81" spans="1:23" x14ac:dyDescent="0.35">
      <c r="A81" s="74" t="s">
        <v>476</v>
      </c>
      <c r="B81" s="74" t="s">
        <v>1</v>
      </c>
      <c r="C81">
        <v>4</v>
      </c>
      <c r="D81" s="161">
        <v>8.653212513775344</v>
      </c>
      <c r="E81" s="161">
        <v>1.821917808219178</v>
      </c>
      <c r="F81" s="161">
        <f t="shared" si="6"/>
        <v>0.26052878084662989</v>
      </c>
      <c r="G81">
        <v>3.0625406208792199</v>
      </c>
      <c r="H81">
        <v>1.5797835966168101</v>
      </c>
      <c r="I81" s="73">
        <v>3.06</v>
      </c>
      <c r="J81" s="183">
        <f t="shared" si="7"/>
        <v>0.48572142648158001</v>
      </c>
      <c r="K81">
        <v>0.20885920560465057</v>
      </c>
      <c r="L81">
        <v>3.2327651641054547</v>
      </c>
      <c r="M81" s="137">
        <v>3.9527244147731087</v>
      </c>
      <c r="N81">
        <v>2.8714756364568856</v>
      </c>
      <c r="O81" s="74">
        <v>91.4</v>
      </c>
      <c r="P81" s="77">
        <f t="shared" si="8"/>
        <v>1.9609461957338314</v>
      </c>
      <c r="Q81" s="75">
        <v>42.8</v>
      </c>
      <c r="R81" s="78">
        <f t="shared" si="9"/>
        <v>1.631443769013172</v>
      </c>
      <c r="S81" s="76">
        <v>40.8082924662531</v>
      </c>
      <c r="T81" s="184">
        <f t="shared" si="10"/>
        <v>1.6107484230506914</v>
      </c>
      <c r="U81">
        <v>5.6904851336472641E-2</v>
      </c>
      <c r="V81" s="74">
        <v>26</v>
      </c>
      <c r="W81" s="137">
        <f t="shared" si="11"/>
        <v>1.414973347970818</v>
      </c>
    </row>
    <row r="82" spans="1:23" x14ac:dyDescent="0.35">
      <c r="A82" s="77" t="s">
        <v>271</v>
      </c>
      <c r="B82" s="77" t="s">
        <v>4</v>
      </c>
      <c r="C82">
        <v>5</v>
      </c>
      <c r="D82" s="161">
        <v>8.6674529528899544</v>
      </c>
      <c r="E82" s="161">
        <v>2.536986301369863</v>
      </c>
      <c r="F82" s="161">
        <f t="shared" si="6"/>
        <v>0.40431812222545965</v>
      </c>
      <c r="G82">
        <v>3.1566248585544785</v>
      </c>
      <c r="H82">
        <v>1.7993405494535817</v>
      </c>
      <c r="I82" s="72">
        <v>3.03</v>
      </c>
      <c r="J82" s="183">
        <f t="shared" si="7"/>
        <v>0.48144262850230496</v>
      </c>
      <c r="K82">
        <v>0.4117282931576709</v>
      </c>
      <c r="L82">
        <v>3.2327651641054547</v>
      </c>
      <c r="M82" s="137">
        <v>3.9527244147731087</v>
      </c>
      <c r="N82">
        <v>2.8438554226231609</v>
      </c>
      <c r="O82" s="77">
        <v>70</v>
      </c>
      <c r="P82" s="77">
        <f t="shared" si="8"/>
        <v>1.8450980400142569</v>
      </c>
      <c r="Q82" s="78">
        <v>45.7</v>
      </c>
      <c r="R82" s="78">
        <f t="shared" si="9"/>
        <v>1.6599162000698502</v>
      </c>
      <c r="S82" s="79">
        <v>52.379377176281302</v>
      </c>
      <c r="T82" s="184">
        <f t="shared" si="10"/>
        <v>1.7191603300855409</v>
      </c>
      <c r="U82">
        <v>9.691001300805642E-2</v>
      </c>
      <c r="V82" s="77">
        <v>24</v>
      </c>
      <c r="W82" s="137">
        <f t="shared" si="11"/>
        <v>1.3802112417116059</v>
      </c>
    </row>
    <row r="83" spans="1:23" x14ac:dyDescent="0.35">
      <c r="A83" s="74" t="s">
        <v>479</v>
      </c>
      <c r="B83" s="74" t="s">
        <v>5</v>
      </c>
      <c r="C83">
        <v>9</v>
      </c>
      <c r="D83" s="161">
        <v>8.4771212547196626</v>
      </c>
      <c r="E83" s="161">
        <v>3.0794520547945203</v>
      </c>
      <c r="F83" s="161">
        <f t="shared" si="6"/>
        <v>0.48847344677656757</v>
      </c>
      <c r="G83">
        <v>2.5542346870234227</v>
      </c>
      <c r="H83">
        <v>1.146128035678238</v>
      </c>
      <c r="I83" s="73">
        <v>3.16</v>
      </c>
      <c r="J83" s="183">
        <f t="shared" si="7"/>
        <v>0.49968708261840383</v>
      </c>
      <c r="K83">
        <v>0.36797678529459443</v>
      </c>
      <c r="L83">
        <v>3.2327651641054547</v>
      </c>
      <c r="M83" s="137">
        <v>3.9527244147731087</v>
      </c>
      <c r="N83">
        <v>2.9876662649262746</v>
      </c>
      <c r="O83" s="74">
        <v>70</v>
      </c>
      <c r="P83" s="77">
        <f t="shared" si="8"/>
        <v>1.8450980400142569</v>
      </c>
      <c r="Q83" s="75">
        <v>34.799999999999997</v>
      </c>
      <c r="R83" s="78">
        <f t="shared" si="9"/>
        <v>1.541579243946581</v>
      </c>
      <c r="S83" s="76">
        <v>43.471204603938098</v>
      </c>
      <c r="T83" s="184">
        <f t="shared" si="10"/>
        <v>1.6382016748260968</v>
      </c>
      <c r="U83">
        <v>0.12385164096708581</v>
      </c>
      <c r="V83" s="74">
        <v>24</v>
      </c>
      <c r="W83" s="137">
        <f t="shared" si="11"/>
        <v>1.3802112417116059</v>
      </c>
    </row>
    <row r="84" spans="1:23" x14ac:dyDescent="0.35">
      <c r="A84" s="77" t="s">
        <v>483</v>
      </c>
      <c r="B84" s="77" t="s">
        <v>45</v>
      </c>
      <c r="C84">
        <v>3</v>
      </c>
      <c r="D84" s="161">
        <v>8.9734926924821696</v>
      </c>
      <c r="E84" s="161">
        <v>2.6191780821917807</v>
      </c>
      <c r="F84" s="161">
        <f t="shared" si="6"/>
        <v>0.41816502781962533</v>
      </c>
      <c r="G84">
        <v>3.7707754512906644</v>
      </c>
      <c r="H84">
        <v>1.2787536009528289</v>
      </c>
      <c r="I84" s="72">
        <v>2.3199999999999998</v>
      </c>
      <c r="J84" s="183">
        <f t="shared" si="7"/>
        <v>0.36548798489089962</v>
      </c>
      <c r="K84">
        <v>0.30526090847065979</v>
      </c>
      <c r="L84">
        <v>3.2327651641054547</v>
      </c>
      <c r="M84" s="137">
        <v>3.9527244147731087</v>
      </c>
      <c r="N84">
        <v>2.1238516409670858</v>
      </c>
      <c r="O84" s="77">
        <v>85</v>
      </c>
      <c r="P84" s="77">
        <f t="shared" si="8"/>
        <v>1.9294189257142926</v>
      </c>
      <c r="Q84" s="78">
        <v>24.6</v>
      </c>
      <c r="R84" s="78">
        <f t="shared" si="9"/>
        <v>1.3909351071033791</v>
      </c>
      <c r="S84" s="79">
        <v>36.876470987978301</v>
      </c>
      <c r="T84" s="184">
        <f t="shared" si="10"/>
        <v>1.5667493531684615</v>
      </c>
      <c r="U84">
        <v>0.11394335230683679</v>
      </c>
      <c r="V84" s="77">
        <v>24</v>
      </c>
      <c r="W84" s="137">
        <f t="shared" si="11"/>
        <v>1.3802112417116059</v>
      </c>
    </row>
    <row r="85" spans="1:23" x14ac:dyDescent="0.35">
      <c r="A85" s="74" t="s">
        <v>484</v>
      </c>
      <c r="B85" s="74" t="s">
        <v>5</v>
      </c>
      <c r="C85">
        <v>6</v>
      </c>
      <c r="D85" s="161">
        <v>8.2612628687924943</v>
      </c>
      <c r="E85" s="161">
        <v>7.6410958904109592</v>
      </c>
      <c r="F85" s="161">
        <f t="shared" si="6"/>
        <v>0.88315564980957517</v>
      </c>
      <c r="G85">
        <v>2.5542346870234227</v>
      </c>
      <c r="H85">
        <v>1.2041199826559248</v>
      </c>
      <c r="I85" s="73">
        <v>3.16</v>
      </c>
      <c r="J85" s="183">
        <f t="shared" si="7"/>
        <v>0.49968708261840383</v>
      </c>
      <c r="K85">
        <v>0.28280517555778212</v>
      </c>
      <c r="L85">
        <v>3.2327651641054547</v>
      </c>
      <c r="M85" s="137">
        <v>3.9527244147731087</v>
      </c>
      <c r="N85">
        <v>2.9876662649262746</v>
      </c>
      <c r="O85" s="74">
        <v>70</v>
      </c>
      <c r="P85" s="77">
        <f t="shared" si="8"/>
        <v>1.8450980400142569</v>
      </c>
      <c r="Q85" s="75">
        <v>34.799999999999997</v>
      </c>
      <c r="R85" s="78">
        <f t="shared" si="9"/>
        <v>1.541579243946581</v>
      </c>
      <c r="S85" s="76">
        <v>44.539498059710198</v>
      </c>
      <c r="T85" s="184">
        <f t="shared" si="10"/>
        <v>1.6487453184203718</v>
      </c>
      <c r="U85">
        <v>0.12710479836480765</v>
      </c>
      <c r="V85" s="74">
        <v>23</v>
      </c>
      <c r="W85" s="137">
        <f t="shared" si="11"/>
        <v>1.3617278360175928</v>
      </c>
    </row>
    <row r="86" spans="1:23" x14ac:dyDescent="0.35">
      <c r="A86" s="77" t="s">
        <v>486</v>
      </c>
      <c r="B86" s="77" t="s">
        <v>6</v>
      </c>
      <c r="C86">
        <v>7</v>
      </c>
      <c r="D86" s="161">
        <v>9.0152255896738556</v>
      </c>
      <c r="E86" s="161">
        <v>7.9397260273972599</v>
      </c>
      <c r="F86" s="161">
        <f t="shared" si="6"/>
        <v>0.89980551667868103</v>
      </c>
      <c r="G86">
        <v>2.5075455505094206</v>
      </c>
      <c r="H86">
        <v>0</v>
      </c>
      <c r="I86" s="72">
        <v>2.91</v>
      </c>
      <c r="J86" s="183">
        <f t="shared" si="7"/>
        <v>0.46389298898590731</v>
      </c>
      <c r="K86">
        <v>6.3955656373769681E-2</v>
      </c>
      <c r="L86">
        <v>3.2327651641054547</v>
      </c>
      <c r="M86" s="137">
        <v>3.9527244147731087</v>
      </c>
      <c r="N86">
        <v>2.6517624473801109</v>
      </c>
      <c r="O86" s="77">
        <v>70</v>
      </c>
      <c r="P86" s="77">
        <f t="shared" si="8"/>
        <v>1.8450980400142569</v>
      </c>
      <c r="Q86" s="78">
        <v>43.1</v>
      </c>
      <c r="R86" s="78">
        <f t="shared" si="9"/>
        <v>1.6344772701607315</v>
      </c>
      <c r="S86" s="79">
        <v>50.714433556883101</v>
      </c>
      <c r="T86" s="184">
        <f t="shared" si="10"/>
        <v>1.7051315790969346</v>
      </c>
      <c r="U86">
        <v>0.16435285578443709</v>
      </c>
      <c r="V86" s="77">
        <v>23</v>
      </c>
      <c r="W86" s="137">
        <f t="shared" si="11"/>
        <v>1.3617278360175928</v>
      </c>
    </row>
    <row r="87" spans="1:23" x14ac:dyDescent="0.35">
      <c r="A87" s="74" t="s">
        <v>488</v>
      </c>
      <c r="B87" s="74" t="s">
        <v>489</v>
      </c>
      <c r="C87">
        <v>1</v>
      </c>
      <c r="D87" s="161">
        <v>8.7634279935629369</v>
      </c>
      <c r="E87" s="161">
        <v>3.6739726027397261</v>
      </c>
      <c r="F87" s="161">
        <f t="shared" si="6"/>
        <v>0.56513591339512426</v>
      </c>
      <c r="G87">
        <v>2.8904489647796185</v>
      </c>
      <c r="H87">
        <v>0.84509804001425681</v>
      </c>
      <c r="I87" s="73">
        <v>3.18</v>
      </c>
      <c r="J87" s="183">
        <f t="shared" si="7"/>
        <v>0.50242711998443268</v>
      </c>
      <c r="K87">
        <v>4.6804524432146763E-2</v>
      </c>
      <c r="L87">
        <v>3.2327651641054547</v>
      </c>
      <c r="M87" s="137">
        <v>3.9527244147731087</v>
      </c>
      <c r="N87">
        <v>2.4068239403146179</v>
      </c>
      <c r="O87" s="74">
        <v>70</v>
      </c>
      <c r="P87" s="77">
        <f t="shared" si="8"/>
        <v>1.8450980400142569</v>
      </c>
      <c r="Q87" s="75">
        <v>27.63</v>
      </c>
      <c r="R87" s="78">
        <f t="shared" si="9"/>
        <v>1.4413808849165113</v>
      </c>
      <c r="S87" s="76">
        <v>49.329709120205997</v>
      </c>
      <c r="T87" s="184">
        <f t="shared" si="10"/>
        <v>1.6931085545892062</v>
      </c>
      <c r="U87">
        <v>4.1392685158225077E-2</v>
      </c>
      <c r="V87" s="74">
        <v>22</v>
      </c>
      <c r="W87" s="137">
        <f t="shared" si="11"/>
        <v>1.3424226808222062</v>
      </c>
    </row>
    <row r="88" spans="1:23" x14ac:dyDescent="0.35">
      <c r="A88" s="77" t="s">
        <v>491</v>
      </c>
      <c r="B88" s="77" t="s">
        <v>163</v>
      </c>
      <c r="C88">
        <v>7</v>
      </c>
      <c r="D88" s="161">
        <v>8.9637878273455556</v>
      </c>
      <c r="E88" s="161">
        <v>3.6958904109589041</v>
      </c>
      <c r="F88" s="161">
        <f t="shared" si="6"/>
        <v>0.56771908521542958</v>
      </c>
      <c r="G88">
        <v>2.5362300726332561</v>
      </c>
      <c r="H88">
        <v>1.9822712330395684</v>
      </c>
      <c r="I88" s="72">
        <v>2.3199999999999998</v>
      </c>
      <c r="J88" s="183">
        <f t="shared" si="7"/>
        <v>0.36548798489089962</v>
      </c>
      <c r="K88">
        <v>0.15348346831020904</v>
      </c>
      <c r="L88">
        <v>3.2327651641054547</v>
      </c>
      <c r="M88" s="137">
        <v>3.9527244147731087</v>
      </c>
      <c r="N88">
        <v>2.756001823801419</v>
      </c>
      <c r="O88" s="77">
        <v>70</v>
      </c>
      <c r="P88" s="77">
        <f t="shared" si="8"/>
        <v>1.8450980400142569</v>
      </c>
      <c r="Q88" s="78">
        <v>43.1</v>
      </c>
      <c r="R88" s="78">
        <f t="shared" si="9"/>
        <v>1.6344772701607315</v>
      </c>
      <c r="S88" s="79">
        <v>51.718307112209096</v>
      </c>
      <c r="T88" s="184">
        <f t="shared" si="10"/>
        <v>1.7136443007431839</v>
      </c>
      <c r="U88">
        <v>2.1189299069938092E-2</v>
      </c>
      <c r="V88" s="77">
        <v>21</v>
      </c>
      <c r="W88" s="137">
        <f t="shared" si="11"/>
        <v>1.3222192947339193</v>
      </c>
    </row>
    <row r="89" spans="1:23" x14ac:dyDescent="0.35">
      <c r="A89" s="74" t="s">
        <v>496</v>
      </c>
      <c r="B89" s="74" t="s">
        <v>497</v>
      </c>
      <c r="C89">
        <v>8</v>
      </c>
      <c r="D89" s="161">
        <v>8.5873854027135259</v>
      </c>
      <c r="E89" s="161">
        <v>4.2328767123287667</v>
      </c>
      <c r="F89" s="161">
        <f t="shared" si="6"/>
        <v>0.62663561930437872</v>
      </c>
      <c r="G89">
        <v>2.6674249329872439</v>
      </c>
      <c r="H89">
        <v>0</v>
      </c>
      <c r="I89" s="73">
        <v>2.61</v>
      </c>
      <c r="J89" s="183">
        <f t="shared" si="7"/>
        <v>0.41664050733828095</v>
      </c>
      <c r="K89">
        <v>0.21195514674005575</v>
      </c>
      <c r="L89">
        <v>3.2327651641054547</v>
      </c>
      <c r="M89" s="137">
        <v>3.9527244147731087</v>
      </c>
      <c r="N89">
        <v>2.2881746749783951</v>
      </c>
      <c r="O89" s="74">
        <v>85</v>
      </c>
      <c r="P89" s="77">
        <f t="shared" si="8"/>
        <v>1.9294189257142926</v>
      </c>
      <c r="Q89" s="75">
        <v>30.9</v>
      </c>
      <c r="R89" s="78">
        <f t="shared" si="9"/>
        <v>1.4899584794248346</v>
      </c>
      <c r="S89" s="76">
        <v>33.950689057445601</v>
      </c>
      <c r="T89" s="184">
        <f t="shared" si="10"/>
        <v>1.5308485930733544</v>
      </c>
      <c r="U89">
        <v>-8.092190762392612E-2</v>
      </c>
      <c r="V89" s="74">
        <v>19</v>
      </c>
      <c r="W89" s="137">
        <f t="shared" si="11"/>
        <v>1.2787536009528289</v>
      </c>
    </row>
    <row r="90" spans="1:23" x14ac:dyDescent="0.35">
      <c r="A90" s="77" t="s">
        <v>501</v>
      </c>
      <c r="B90" s="77" t="s">
        <v>6</v>
      </c>
      <c r="C90">
        <v>1</v>
      </c>
      <c r="D90" s="161">
        <v>7.4268364538035083</v>
      </c>
      <c r="E90" s="161">
        <v>3.0301369863013701</v>
      </c>
      <c r="F90" s="161">
        <f t="shared" si="6"/>
        <v>0.48146226251220475</v>
      </c>
      <c r="G90">
        <v>2.5075455505094206</v>
      </c>
      <c r="H90">
        <v>1.7993405494535817</v>
      </c>
      <c r="I90" s="72">
        <v>2.91</v>
      </c>
      <c r="J90" s="183">
        <f t="shared" si="7"/>
        <v>0.46389298898590731</v>
      </c>
      <c r="K90">
        <v>0.1337635315040327</v>
      </c>
      <c r="L90">
        <v>3.2327651641054547</v>
      </c>
      <c r="M90" s="137">
        <v>3.9527244147731087</v>
      </c>
      <c r="N90">
        <v>2.6517624473801109</v>
      </c>
      <c r="O90" s="77">
        <v>70</v>
      </c>
      <c r="P90" s="77">
        <f t="shared" si="8"/>
        <v>1.8450980400142569</v>
      </c>
      <c r="Q90" s="78">
        <v>43.9</v>
      </c>
      <c r="R90" s="78">
        <f t="shared" si="9"/>
        <v>1.6424645202421213</v>
      </c>
      <c r="S90" s="79">
        <v>50.068420233717902</v>
      </c>
      <c r="T90" s="184">
        <f t="shared" si="10"/>
        <v>1.6995638886906486</v>
      </c>
      <c r="U90">
        <v>-0.13667713987954411</v>
      </c>
      <c r="V90" s="77">
        <v>19</v>
      </c>
      <c r="W90" s="137">
        <f t="shared" si="11"/>
        <v>1.2787536009528289</v>
      </c>
    </row>
    <row r="91" spans="1:23" x14ac:dyDescent="0.35">
      <c r="A91" s="74" t="s">
        <v>509</v>
      </c>
      <c r="B91" s="74" t="s">
        <v>5</v>
      </c>
      <c r="C91">
        <v>5</v>
      </c>
      <c r="D91" s="161">
        <v>7.3424226808222066</v>
      </c>
      <c r="E91" s="161">
        <v>0.88767123287671235</v>
      </c>
      <c r="F91" s="161">
        <f t="shared" si="6"/>
        <v>-5.1747854249862557E-2</v>
      </c>
      <c r="G91">
        <v>3.7916829312790057</v>
      </c>
      <c r="H91">
        <v>1</v>
      </c>
      <c r="I91" s="73">
        <v>2.72</v>
      </c>
      <c r="J91" s="183">
        <f t="shared" si="7"/>
        <v>0.43456890403419873</v>
      </c>
      <c r="K91">
        <v>0.45222844311731442</v>
      </c>
      <c r="L91">
        <v>3.3787349600790799</v>
      </c>
      <c r="M91" s="137">
        <v>3.7392221923384441</v>
      </c>
      <c r="N91">
        <v>3.0355631414974997</v>
      </c>
      <c r="O91" s="74">
        <v>70</v>
      </c>
      <c r="P91" s="77">
        <f t="shared" si="8"/>
        <v>1.8450980400142569</v>
      </c>
      <c r="Q91" s="75">
        <v>34.799999999999997</v>
      </c>
      <c r="R91" s="78">
        <f t="shared" si="9"/>
        <v>1.541579243946581</v>
      </c>
      <c r="S91" s="76">
        <v>43.471204603938098</v>
      </c>
      <c r="T91" s="184">
        <f t="shared" si="10"/>
        <v>1.6382016748260968</v>
      </c>
      <c r="U91">
        <v>2.1189299069938092E-2</v>
      </c>
      <c r="V91" s="74">
        <v>22</v>
      </c>
      <c r="W91" s="137">
        <f t="shared" si="11"/>
        <v>1.3424226808222062</v>
      </c>
    </row>
    <row r="92" spans="1:23" x14ac:dyDescent="0.35">
      <c r="A92" s="77" t="s">
        <v>511</v>
      </c>
      <c r="B92" s="77" t="s">
        <v>434</v>
      </c>
      <c r="C92">
        <v>2</v>
      </c>
      <c r="D92" s="161">
        <v>8.5314789170422554</v>
      </c>
      <c r="E92" s="161">
        <v>2.1945205479452055</v>
      </c>
      <c r="F92" s="161">
        <f t="shared" si="6"/>
        <v>0.34133965162776297</v>
      </c>
      <c r="G92">
        <v>3.1568882168601933</v>
      </c>
      <c r="H92">
        <v>1.255272505103306</v>
      </c>
      <c r="I92" s="72">
        <v>2.5099999999999998</v>
      </c>
      <c r="J92" s="183">
        <f t="shared" si="7"/>
        <v>0.39967372148103808</v>
      </c>
      <c r="K92">
        <v>0.27470105694163205</v>
      </c>
      <c r="L92">
        <v>3.3314213062933389</v>
      </c>
      <c r="M92" s="137">
        <v>3.884802064783424</v>
      </c>
      <c r="N92">
        <v>2.7825920506710684</v>
      </c>
      <c r="O92" s="77">
        <v>76.900000000000006</v>
      </c>
      <c r="P92" s="77">
        <f t="shared" si="8"/>
        <v>1.885926339801431</v>
      </c>
      <c r="Q92" s="78">
        <v>44.05</v>
      </c>
      <c r="R92" s="78">
        <f t="shared" si="9"/>
        <v>1.6439459127480667</v>
      </c>
      <c r="S92" s="79">
        <v>51.064530698041601</v>
      </c>
      <c r="T92" s="184">
        <f t="shared" si="10"/>
        <v>1.7081193449348573</v>
      </c>
      <c r="U92">
        <v>3.7426497940623665E-2</v>
      </c>
      <c r="V92" s="77">
        <v>79</v>
      </c>
      <c r="W92" s="137">
        <f t="shared" si="11"/>
        <v>1.8976270912904414</v>
      </c>
    </row>
    <row r="93" spans="1:23" x14ac:dyDescent="0.35">
      <c r="A93" s="74" t="s">
        <v>514</v>
      </c>
      <c r="B93" s="74" t="s">
        <v>2</v>
      </c>
      <c r="C93">
        <v>8</v>
      </c>
      <c r="D93" s="161">
        <v>8.6989700043360187</v>
      </c>
      <c r="E93" s="161">
        <v>1.9150684931506849</v>
      </c>
      <c r="F93" s="161">
        <f t="shared" si="6"/>
        <v>0.28218431128920668</v>
      </c>
      <c r="G93">
        <v>2.9629325585580042</v>
      </c>
      <c r="H93">
        <v>1.146128035678238</v>
      </c>
      <c r="I93" s="73">
        <v>2.62</v>
      </c>
      <c r="J93" s="183">
        <f t="shared" si="7"/>
        <v>0.41830129131974547</v>
      </c>
      <c r="K93">
        <v>0.28103336724772754</v>
      </c>
      <c r="L93">
        <v>3.3314213062933389</v>
      </c>
      <c r="M93" s="137">
        <v>3.884802064783424</v>
      </c>
      <c r="N93">
        <v>2.9323046139517812</v>
      </c>
      <c r="O93" s="74">
        <v>92.1</v>
      </c>
      <c r="P93" s="77">
        <f t="shared" si="8"/>
        <v>1.9642596301968489</v>
      </c>
      <c r="Q93" s="75">
        <v>36.799999999999997</v>
      </c>
      <c r="R93" s="78">
        <f t="shared" si="9"/>
        <v>1.5658478186735176</v>
      </c>
      <c r="S93" s="76">
        <v>44.688349184782602</v>
      </c>
      <c r="T93" s="184">
        <f t="shared" si="10"/>
        <v>1.6501943118503011</v>
      </c>
      <c r="U93">
        <v>5.3078443483419682E-2</v>
      </c>
      <c r="V93" s="74">
        <v>79</v>
      </c>
      <c r="W93" s="137">
        <f t="shared" si="11"/>
        <v>1.8976270912904414</v>
      </c>
    </row>
    <row r="94" spans="1:23" x14ac:dyDescent="0.35">
      <c r="A94" s="77" t="s">
        <v>518</v>
      </c>
      <c r="B94" s="77" t="s">
        <v>163</v>
      </c>
      <c r="C94">
        <v>9</v>
      </c>
      <c r="D94" s="161">
        <v>8.2552725051033065</v>
      </c>
      <c r="E94" s="161">
        <v>4.7616438356164386</v>
      </c>
      <c r="F94" s="161">
        <f t="shared" si="6"/>
        <v>0.67775690765617302</v>
      </c>
      <c r="G94">
        <v>2.5362300726332561</v>
      </c>
      <c r="H94">
        <v>1.0791812460476249</v>
      </c>
      <c r="I94" s="72">
        <v>2.3199999999999998</v>
      </c>
      <c r="J94" s="183">
        <f t="shared" si="7"/>
        <v>0.36548798489089962</v>
      </c>
      <c r="K94">
        <v>0.52287874528033762</v>
      </c>
      <c r="L94">
        <v>3.3314213062933389</v>
      </c>
      <c r="M94" s="137">
        <v>3.884802064783424</v>
      </c>
      <c r="N94">
        <v>2.756001823801419</v>
      </c>
      <c r="O94" s="77">
        <v>85.6</v>
      </c>
      <c r="P94" s="77">
        <f t="shared" si="8"/>
        <v>1.9324737646771533</v>
      </c>
      <c r="Q94" s="78">
        <v>43.3</v>
      </c>
      <c r="R94" s="78">
        <f t="shared" si="9"/>
        <v>1.6364878963533653</v>
      </c>
      <c r="S94" s="79">
        <v>56.2907330998475</v>
      </c>
      <c r="T94" s="184">
        <f t="shared" si="10"/>
        <v>1.750436904711814</v>
      </c>
      <c r="U94">
        <v>0.20139712432045145</v>
      </c>
      <c r="V94" s="77">
        <v>77</v>
      </c>
      <c r="W94" s="137">
        <f t="shared" si="11"/>
        <v>1.8864907251724818</v>
      </c>
    </row>
    <row r="95" spans="1:23" x14ac:dyDescent="0.35">
      <c r="A95" s="74" t="s">
        <v>157</v>
      </c>
      <c r="B95" s="74" t="s">
        <v>7</v>
      </c>
      <c r="C95">
        <v>1</v>
      </c>
      <c r="D95" s="161">
        <v>9.3802112417116064</v>
      </c>
      <c r="E95" s="161">
        <v>6.5917808219178085</v>
      </c>
      <c r="F95" s="161">
        <f t="shared" si="6"/>
        <v>0.81900275854735127</v>
      </c>
      <c r="G95">
        <v>2.6903467274930635</v>
      </c>
      <c r="H95">
        <v>1.5440680443502757</v>
      </c>
      <c r="I95" s="73">
        <v>2.59</v>
      </c>
      <c r="J95" s="183">
        <f t="shared" si="7"/>
        <v>0.4132997640812518</v>
      </c>
      <c r="K95">
        <v>0.11115045212266668</v>
      </c>
      <c r="L95">
        <v>3.3314213062933389</v>
      </c>
      <c r="M95" s="137">
        <v>3.884802064783424</v>
      </c>
      <c r="N95">
        <v>2.7508939203821252</v>
      </c>
      <c r="O95" s="74">
        <v>76.900000000000006</v>
      </c>
      <c r="P95" s="77">
        <f t="shared" si="8"/>
        <v>1.885926339801431</v>
      </c>
      <c r="Q95" s="75">
        <v>36.1</v>
      </c>
      <c r="R95" s="78">
        <f t="shared" si="9"/>
        <v>1.5575072019056579</v>
      </c>
      <c r="S95" s="76">
        <v>37.805693454220297</v>
      </c>
      <c r="T95" s="184">
        <f t="shared" si="10"/>
        <v>1.5775572085556049</v>
      </c>
      <c r="U95">
        <v>8.2785370316450071E-2</v>
      </c>
      <c r="V95" s="74">
        <v>73</v>
      </c>
      <c r="W95" s="137">
        <f t="shared" si="11"/>
        <v>1.8633228601204559</v>
      </c>
    </row>
    <row r="96" spans="1:23" x14ac:dyDescent="0.35">
      <c r="A96" s="77" t="s">
        <v>522</v>
      </c>
      <c r="B96" s="77" t="s">
        <v>163</v>
      </c>
      <c r="C96">
        <v>5</v>
      </c>
      <c r="D96" s="161">
        <v>8.5440680443502757</v>
      </c>
      <c r="E96" s="161">
        <v>2.5013698630136987</v>
      </c>
      <c r="F96" s="161">
        <f t="shared" si="6"/>
        <v>0.39817791307782424</v>
      </c>
      <c r="G96">
        <v>2.5362300726332561</v>
      </c>
      <c r="H96">
        <v>0</v>
      </c>
      <c r="I96" s="72">
        <v>2.3199999999999998</v>
      </c>
      <c r="J96" s="183">
        <f t="shared" si="7"/>
        <v>0.36548798489089962</v>
      </c>
      <c r="K96">
        <v>0.3010299956639812</v>
      </c>
      <c r="L96">
        <v>3.3314213062933389</v>
      </c>
      <c r="M96" s="137">
        <v>3.884802064783424</v>
      </c>
      <c r="N96">
        <v>2.756001823801419</v>
      </c>
      <c r="O96" s="77">
        <v>70</v>
      </c>
      <c r="P96" s="77">
        <f t="shared" si="8"/>
        <v>1.8450980400142569</v>
      </c>
      <c r="Q96" s="78">
        <v>42.9</v>
      </c>
      <c r="R96" s="78">
        <f t="shared" si="9"/>
        <v>1.6324572921847242</v>
      </c>
      <c r="S96" s="79">
        <v>53.2941466273667</v>
      </c>
      <c r="T96" s="184">
        <f t="shared" si="10"/>
        <v>1.7266795124593939</v>
      </c>
      <c r="U96">
        <v>2.9383777685209667E-2</v>
      </c>
      <c r="V96" s="77">
        <v>71</v>
      </c>
      <c r="W96" s="137">
        <f t="shared" si="11"/>
        <v>1.8512583487190752</v>
      </c>
    </row>
    <row r="97" spans="1:23" x14ac:dyDescent="0.35">
      <c r="A97" s="74" t="s">
        <v>525</v>
      </c>
      <c r="B97" s="74" t="s">
        <v>163</v>
      </c>
      <c r="C97">
        <v>5</v>
      </c>
      <c r="D97" s="161">
        <v>8.6989700043360187</v>
      </c>
      <c r="E97" s="161">
        <v>7.8630136986301373</v>
      </c>
      <c r="F97" s="161">
        <f t="shared" si="6"/>
        <v>0.89558903227751763</v>
      </c>
      <c r="G97">
        <v>2.5362300726332561</v>
      </c>
      <c r="H97">
        <v>1.3424226808222062</v>
      </c>
      <c r="I97" s="73">
        <v>2.3199999999999998</v>
      </c>
      <c r="J97" s="183">
        <f t="shared" si="7"/>
        <v>0.36548798489089962</v>
      </c>
      <c r="K97">
        <v>-0.11350927482751812</v>
      </c>
      <c r="L97">
        <v>3.3314213062933389</v>
      </c>
      <c r="M97" s="137">
        <v>3.884802064783424</v>
      </c>
      <c r="N97">
        <v>2.756001823801419</v>
      </c>
      <c r="O97" s="74">
        <v>70</v>
      </c>
      <c r="P97" s="77">
        <f t="shared" si="8"/>
        <v>1.8450980400142569</v>
      </c>
      <c r="Q97" s="75">
        <v>42.9</v>
      </c>
      <c r="R97" s="78">
        <f t="shared" si="9"/>
        <v>1.6324572921847242</v>
      </c>
      <c r="S97" s="76">
        <v>53.2941466273667</v>
      </c>
      <c r="T97" s="184">
        <f t="shared" si="10"/>
        <v>1.7266795124593939</v>
      </c>
      <c r="U97">
        <v>0.13987908640123647</v>
      </c>
      <c r="V97" s="74">
        <v>71</v>
      </c>
      <c r="W97" s="137">
        <f t="shared" si="11"/>
        <v>1.8512583487190752</v>
      </c>
    </row>
    <row r="98" spans="1:23" x14ac:dyDescent="0.35">
      <c r="A98" s="77" t="s">
        <v>527</v>
      </c>
      <c r="B98" s="77" t="s">
        <v>163</v>
      </c>
      <c r="C98">
        <v>4</v>
      </c>
      <c r="D98" s="161">
        <v>9.568201724066995</v>
      </c>
      <c r="E98" s="161">
        <v>12.304109589041095</v>
      </c>
      <c r="F98" s="161">
        <f t="shared" si="6"/>
        <v>1.0900501906062401</v>
      </c>
      <c r="G98">
        <v>2.5362300726332561</v>
      </c>
      <c r="H98">
        <v>1.4471580313422192</v>
      </c>
      <c r="I98" s="72">
        <v>2.3199999999999998</v>
      </c>
      <c r="J98" s="183">
        <f t="shared" si="7"/>
        <v>0.36548798489089962</v>
      </c>
      <c r="K98">
        <v>-1.6751726094119797E-2</v>
      </c>
      <c r="L98">
        <v>3.3314213062933389</v>
      </c>
      <c r="M98" s="137">
        <v>3.884802064783424</v>
      </c>
      <c r="N98">
        <v>2.756001823801419</v>
      </c>
      <c r="O98" s="77">
        <v>70</v>
      </c>
      <c r="P98" s="77">
        <f t="shared" si="8"/>
        <v>1.8450980400142569</v>
      </c>
      <c r="Q98" s="78">
        <v>42.4</v>
      </c>
      <c r="R98" s="78">
        <f t="shared" si="9"/>
        <v>1.6273658565927327</v>
      </c>
      <c r="S98" s="79">
        <v>52.795294707427601</v>
      </c>
      <c r="T98" s="184">
        <f t="shared" si="10"/>
        <v>1.7225952184872551</v>
      </c>
      <c r="U98">
        <v>0.36548798489089973</v>
      </c>
      <c r="V98" s="77">
        <v>68</v>
      </c>
      <c r="W98" s="137">
        <f t="shared" si="11"/>
        <v>1.8325089127062364</v>
      </c>
    </row>
    <row r="99" spans="1:23" x14ac:dyDescent="0.35">
      <c r="A99" s="74" t="s">
        <v>530</v>
      </c>
      <c r="B99" s="74" t="s">
        <v>163</v>
      </c>
      <c r="C99">
        <v>1</v>
      </c>
      <c r="D99" s="161">
        <v>8.8785217955012072</v>
      </c>
      <c r="E99" s="161">
        <v>5.6328767123287671</v>
      </c>
      <c r="F99" s="161">
        <f t="shared" si="6"/>
        <v>0.7507302458667634</v>
      </c>
      <c r="G99">
        <v>2.5362300726332561</v>
      </c>
      <c r="H99">
        <v>1.1139433523068367</v>
      </c>
      <c r="I99" s="73">
        <v>2.3199999999999998</v>
      </c>
      <c r="J99" s="183">
        <f t="shared" si="7"/>
        <v>0.36548798489089962</v>
      </c>
      <c r="K99">
        <v>0.16287088965701854</v>
      </c>
      <c r="L99">
        <v>3.3314213062933389</v>
      </c>
      <c r="M99" s="137">
        <v>3.884802064783424</v>
      </c>
      <c r="N99">
        <v>2.756001823801419</v>
      </c>
      <c r="O99" s="74">
        <v>70</v>
      </c>
      <c r="P99" s="77">
        <f t="shared" si="8"/>
        <v>1.8450980400142569</v>
      </c>
      <c r="Q99" s="75">
        <v>43.1</v>
      </c>
      <c r="R99" s="78">
        <f t="shared" si="9"/>
        <v>1.6344772701607315</v>
      </c>
      <c r="S99" s="76">
        <v>51.718307112209096</v>
      </c>
      <c r="T99" s="184">
        <f t="shared" si="10"/>
        <v>1.7136443007431839</v>
      </c>
      <c r="U99">
        <v>5.6904851336472641E-2</v>
      </c>
      <c r="V99" s="74">
        <v>67</v>
      </c>
      <c r="W99" s="137">
        <f t="shared" si="11"/>
        <v>1.8260748027008264</v>
      </c>
    </row>
    <row r="100" spans="1:23" x14ac:dyDescent="0.35">
      <c r="A100" s="77" t="s">
        <v>537</v>
      </c>
      <c r="B100" s="77" t="s">
        <v>59</v>
      </c>
      <c r="C100">
        <v>5</v>
      </c>
      <c r="D100" s="161">
        <v>8.4369573306694488</v>
      </c>
      <c r="E100" s="161">
        <v>3.8</v>
      </c>
      <c r="F100" s="161">
        <f t="shared" si="6"/>
        <v>0.57978359661681012</v>
      </c>
      <c r="G100">
        <v>3.7707754512906644</v>
      </c>
      <c r="H100">
        <v>1.6232492903979006</v>
      </c>
      <c r="I100" s="72">
        <v>2.3199999999999998</v>
      </c>
      <c r="J100" s="183">
        <f t="shared" si="7"/>
        <v>0.36548798489089962</v>
      </c>
      <c r="K100">
        <v>0.45307083395064052</v>
      </c>
      <c r="L100">
        <v>3.348721986001856</v>
      </c>
      <c r="M100" s="137">
        <v>3.7520876635386311</v>
      </c>
      <c r="N100">
        <v>2.1238516409670858</v>
      </c>
      <c r="O100" s="77">
        <v>85</v>
      </c>
      <c r="P100" s="77">
        <f t="shared" si="8"/>
        <v>1.9294189257142926</v>
      </c>
      <c r="Q100" s="78">
        <v>32.299999999999997</v>
      </c>
      <c r="R100" s="78">
        <f t="shared" si="9"/>
        <v>1.5092025223311027</v>
      </c>
      <c r="S100" s="79">
        <v>40.040400531970803</v>
      </c>
      <c r="T100" s="184">
        <f t="shared" si="10"/>
        <v>1.6024984131617945</v>
      </c>
      <c r="U100">
        <v>8.2785370316450071E-2</v>
      </c>
      <c r="V100" s="77">
        <v>4</v>
      </c>
      <c r="W100" s="137">
        <f t="shared" si="11"/>
        <v>0.6020599913279624</v>
      </c>
    </row>
    <row r="101" spans="1:23" x14ac:dyDescent="0.35">
      <c r="A101" s="74" t="s">
        <v>539</v>
      </c>
      <c r="B101" s="74" t="s">
        <v>59</v>
      </c>
      <c r="C101">
        <v>5</v>
      </c>
      <c r="D101" s="161">
        <v>8.5440680443502757</v>
      </c>
      <c r="E101" s="161">
        <v>2.1671232876712327</v>
      </c>
      <c r="F101" s="161">
        <f t="shared" si="6"/>
        <v>0.33588361904120184</v>
      </c>
      <c r="G101">
        <v>3.7707754512906644</v>
      </c>
      <c r="H101">
        <v>1.6020599913279623</v>
      </c>
      <c r="I101" s="73">
        <v>2.3199999999999998</v>
      </c>
      <c r="J101" s="183">
        <f t="shared" si="7"/>
        <v>0.36548798489089962</v>
      </c>
      <c r="K101">
        <v>0</v>
      </c>
      <c r="L101">
        <v>3.348721986001856</v>
      </c>
      <c r="M101" s="137">
        <v>3.7520876635386311</v>
      </c>
      <c r="N101">
        <v>2.1238516409670858</v>
      </c>
      <c r="O101" s="74">
        <v>85</v>
      </c>
      <c r="P101" s="77">
        <f t="shared" si="8"/>
        <v>1.9294189257142926</v>
      </c>
      <c r="Q101" s="75">
        <v>32.299999999999997</v>
      </c>
      <c r="R101" s="78">
        <f t="shared" si="9"/>
        <v>1.5092025223311027</v>
      </c>
      <c r="S101" s="76">
        <v>40.040400531970803</v>
      </c>
      <c r="T101" s="184">
        <f t="shared" si="10"/>
        <v>1.6024984131617945</v>
      </c>
      <c r="U101">
        <v>5.6904851336472641E-2</v>
      </c>
      <c r="V101" s="74">
        <v>4</v>
      </c>
      <c r="W101" s="137">
        <f t="shared" si="11"/>
        <v>0.6020599913279624</v>
      </c>
    </row>
    <row r="102" spans="1:23" x14ac:dyDescent="0.35">
      <c r="A102" s="77" t="s">
        <v>541</v>
      </c>
      <c r="B102" s="77" t="s">
        <v>447</v>
      </c>
      <c r="C102">
        <v>4</v>
      </c>
      <c r="D102" s="161">
        <v>8.7275412570285571</v>
      </c>
      <c r="E102" s="161">
        <v>8.7205479452054799</v>
      </c>
      <c r="F102" s="161">
        <f t="shared" si="6"/>
        <v>0.94054377416452839</v>
      </c>
      <c r="G102">
        <v>3.7845345619950592</v>
      </c>
      <c r="H102">
        <v>0.77815125038364363</v>
      </c>
      <c r="I102" s="72">
        <v>2.81</v>
      </c>
      <c r="J102" s="183">
        <f t="shared" si="7"/>
        <v>0.44870631990507992</v>
      </c>
      <c r="K102">
        <v>0.85733249643126852</v>
      </c>
      <c r="L102">
        <v>3.348721986001856</v>
      </c>
      <c r="M102" s="137">
        <v>3.7520876635386311</v>
      </c>
      <c r="N102">
        <v>2.9168924084376502</v>
      </c>
      <c r="O102" s="77">
        <v>70</v>
      </c>
      <c r="P102" s="77">
        <f t="shared" si="8"/>
        <v>1.8450980400142569</v>
      </c>
      <c r="Q102" s="78">
        <v>35.14</v>
      </c>
      <c r="R102" s="78">
        <f t="shared" si="9"/>
        <v>1.5458017571592761</v>
      </c>
      <c r="S102" s="79">
        <v>38.315068463709203</v>
      </c>
      <c r="T102" s="184">
        <f t="shared" si="10"/>
        <v>1.5833696059173574</v>
      </c>
      <c r="U102">
        <v>0.21218760440395779</v>
      </c>
      <c r="V102" s="77">
        <v>5</v>
      </c>
      <c r="W102" s="137">
        <f t="shared" si="11"/>
        <v>0.69897000433601886</v>
      </c>
    </row>
    <row r="103" spans="1:23" x14ac:dyDescent="0.35">
      <c r="A103" s="74" t="s">
        <v>544</v>
      </c>
      <c r="B103" s="74" t="s">
        <v>434</v>
      </c>
      <c r="C103">
        <v>5</v>
      </c>
      <c r="D103" s="161">
        <v>8.3979400086720375</v>
      </c>
      <c r="E103" s="161">
        <v>8.4027397260273968</v>
      </c>
      <c r="F103" s="161">
        <f t="shared" si="6"/>
        <v>0.9244209115260108</v>
      </c>
      <c r="G103">
        <v>3.8584156743566731</v>
      </c>
      <c r="H103">
        <v>1.7708520116421442</v>
      </c>
      <c r="I103" s="73">
        <v>2.66</v>
      </c>
      <c r="J103" s="183">
        <f t="shared" si="7"/>
        <v>0.42488163663106698</v>
      </c>
      <c r="K103">
        <v>0.2966651902615311</v>
      </c>
      <c r="L103">
        <v>3.348721986001856</v>
      </c>
      <c r="M103" s="137">
        <v>3.7520876635386311</v>
      </c>
      <c r="N103">
        <v>2.8134697878296753</v>
      </c>
      <c r="O103" s="74">
        <v>70</v>
      </c>
      <c r="P103" s="77">
        <f t="shared" si="8"/>
        <v>1.8450980400142569</v>
      </c>
      <c r="Q103" s="75">
        <v>39.33</v>
      </c>
      <c r="R103" s="78">
        <f t="shared" si="9"/>
        <v>1.5947239464097467</v>
      </c>
      <c r="S103" s="76">
        <v>46.838198746764199</v>
      </c>
      <c r="T103" s="184">
        <f t="shared" si="10"/>
        <v>1.6706001850898524</v>
      </c>
      <c r="U103">
        <v>0.12385164096708581</v>
      </c>
      <c r="V103" s="74">
        <v>4</v>
      </c>
      <c r="W103" s="137">
        <f t="shared" si="11"/>
        <v>0.6020599913279624</v>
      </c>
    </row>
    <row r="104" spans="1:23" x14ac:dyDescent="0.35">
      <c r="A104" s="77" t="s">
        <v>546</v>
      </c>
      <c r="B104" s="77" t="s">
        <v>434</v>
      </c>
      <c r="C104">
        <v>5</v>
      </c>
      <c r="D104" s="161">
        <v>8.6627578316815743</v>
      </c>
      <c r="E104" s="161">
        <v>4.5315068493150683</v>
      </c>
      <c r="F104" s="161">
        <f t="shared" si="6"/>
        <v>0.65624264076005312</v>
      </c>
      <c r="G104">
        <v>3.8584156743566731</v>
      </c>
      <c r="H104">
        <v>1.3979400086720377</v>
      </c>
      <c r="I104" s="72">
        <v>2.66</v>
      </c>
      <c r="J104" s="183">
        <f t="shared" si="7"/>
        <v>0.42488163663106698</v>
      </c>
      <c r="K104">
        <v>9.4324195066784917E-3</v>
      </c>
      <c r="L104">
        <v>3.348721986001856</v>
      </c>
      <c r="M104" s="137">
        <v>3.7520876635386311</v>
      </c>
      <c r="N104">
        <v>2.8134697878296753</v>
      </c>
      <c r="O104" s="77">
        <v>70</v>
      </c>
      <c r="P104" s="77">
        <f t="shared" si="8"/>
        <v>1.8450980400142569</v>
      </c>
      <c r="Q104" s="78">
        <v>39.75</v>
      </c>
      <c r="R104" s="78">
        <f t="shared" si="9"/>
        <v>1.599337132992489</v>
      </c>
      <c r="S104" s="79">
        <v>46.7864254430581</v>
      </c>
      <c r="T104" s="184">
        <f t="shared" si="10"/>
        <v>1.6701198656739731</v>
      </c>
      <c r="U104">
        <v>0.24551266781414982</v>
      </c>
      <c r="V104" s="77">
        <v>2</v>
      </c>
      <c r="W104" s="137">
        <f t="shared" si="11"/>
        <v>0.3010299956639812</v>
      </c>
    </row>
    <row r="105" spans="1:23" x14ac:dyDescent="0.35">
      <c r="A105" s="96" t="s">
        <v>550</v>
      </c>
      <c r="B105" s="74" t="s">
        <v>497</v>
      </c>
      <c r="C105">
        <v>9</v>
      </c>
      <c r="D105" s="161">
        <v>7.2430380486862944</v>
      </c>
      <c r="E105" s="161">
        <v>7.3643835616438356</v>
      </c>
      <c r="F105" s="161">
        <f t="shared" si="6"/>
        <v>0.86713639992531288</v>
      </c>
      <c r="G105">
        <v>2.6674249329872439</v>
      </c>
      <c r="H105">
        <v>0.47712125471966244</v>
      </c>
      <c r="I105" s="73">
        <v>2.61</v>
      </c>
      <c r="J105" s="183">
        <f t="shared" si="7"/>
        <v>0.41664050733828095</v>
      </c>
      <c r="K105">
        <v>0.75696195131370558</v>
      </c>
      <c r="L105">
        <v>3.2860283894181141</v>
      </c>
      <c r="M105" s="137">
        <v>3.9098977130890344</v>
      </c>
      <c r="N105">
        <v>2.2881746749783951</v>
      </c>
      <c r="O105" s="74">
        <v>85</v>
      </c>
      <c r="P105" s="77">
        <f t="shared" si="8"/>
        <v>1.9294189257142926</v>
      </c>
      <c r="Q105" s="75">
        <v>28.6</v>
      </c>
      <c r="R105" s="78">
        <f t="shared" si="9"/>
        <v>1.4563660331290431</v>
      </c>
      <c r="S105" s="76">
        <v>32.513676738539097</v>
      </c>
      <c r="T105" s="184">
        <f t="shared" si="10"/>
        <v>1.5120660835216855</v>
      </c>
      <c r="U105">
        <v>-0.10790539730951958</v>
      </c>
      <c r="V105" s="74">
        <v>1</v>
      </c>
      <c r="W105" s="137">
        <f t="shared" si="11"/>
        <v>0</v>
      </c>
    </row>
    <row r="106" spans="1:23" x14ac:dyDescent="0.35">
      <c r="A106" s="77" t="s">
        <v>239</v>
      </c>
      <c r="B106" s="77" t="s">
        <v>5</v>
      </c>
      <c r="C106">
        <v>9</v>
      </c>
      <c r="D106" s="161">
        <v>8.2552725051033065</v>
      </c>
      <c r="E106" s="161">
        <v>2.2438356164383562</v>
      </c>
      <c r="F106" s="161">
        <f t="shared" si="6"/>
        <v>0.35099103730394376</v>
      </c>
      <c r="G106">
        <v>2.5542346870234227</v>
      </c>
      <c r="H106">
        <v>1.146128035678238</v>
      </c>
      <c r="I106" s="72">
        <v>3.16</v>
      </c>
      <c r="J106" s="183">
        <f t="shared" si="7"/>
        <v>0.49968708261840383</v>
      </c>
      <c r="K106">
        <v>0.52287874528033762</v>
      </c>
      <c r="L106">
        <v>3.2860283894181141</v>
      </c>
      <c r="M106" s="137">
        <v>3.9098977130890344</v>
      </c>
      <c r="N106">
        <v>2.9876662649262746</v>
      </c>
      <c r="O106" s="77">
        <v>80</v>
      </c>
      <c r="P106" s="77">
        <f t="shared" si="8"/>
        <v>1.9030899869919435</v>
      </c>
      <c r="Q106" s="78">
        <v>38.4</v>
      </c>
      <c r="R106" s="78">
        <f t="shared" si="9"/>
        <v>1.5843312243675307</v>
      </c>
      <c r="S106" s="79">
        <v>43.580244996378802</v>
      </c>
      <c r="T106" s="184">
        <f t="shared" si="10"/>
        <v>1.639289667403498</v>
      </c>
      <c r="U106">
        <v>0.13353890837021748</v>
      </c>
      <c r="V106" s="77">
        <v>16</v>
      </c>
      <c r="W106" s="137">
        <f t="shared" si="11"/>
        <v>1.2041199826559248</v>
      </c>
    </row>
    <row r="107" spans="1:23" x14ac:dyDescent="0.35">
      <c r="A107" s="74" t="s">
        <v>556</v>
      </c>
      <c r="B107" s="74" t="s">
        <v>5</v>
      </c>
      <c r="C107">
        <v>5</v>
      </c>
      <c r="D107" s="161">
        <v>7.012837224705172</v>
      </c>
      <c r="E107" s="161">
        <v>2.4027397260273973</v>
      </c>
      <c r="F107" s="161">
        <f t="shared" si="6"/>
        <v>0.38070672890956581</v>
      </c>
      <c r="G107">
        <v>2.5542346870234227</v>
      </c>
      <c r="H107">
        <v>0.6020599913279624</v>
      </c>
      <c r="I107" s="73">
        <v>3.16</v>
      </c>
      <c r="J107" s="183">
        <f t="shared" si="7"/>
        <v>0.49968708261840383</v>
      </c>
      <c r="K107">
        <v>1.2539352388078999</v>
      </c>
      <c r="L107">
        <v>3.2860283894181141</v>
      </c>
      <c r="M107" s="137">
        <v>3.9098977130890344</v>
      </c>
      <c r="N107">
        <v>2.9876662649262746</v>
      </c>
      <c r="O107" s="74">
        <v>81.900000000000006</v>
      </c>
      <c r="P107" s="77">
        <f t="shared" si="8"/>
        <v>1.9132839017604184</v>
      </c>
      <c r="Q107" s="75">
        <v>35.4</v>
      </c>
      <c r="R107" s="78">
        <f t="shared" si="9"/>
        <v>1.5490032620257879</v>
      </c>
      <c r="S107" s="76">
        <v>46.7926176158091</v>
      </c>
      <c r="T107" s="184">
        <f t="shared" si="10"/>
        <v>1.6701773406464193</v>
      </c>
      <c r="U107">
        <v>0.13033376849500614</v>
      </c>
      <c r="V107" s="74">
        <v>11</v>
      </c>
      <c r="W107" s="137">
        <f t="shared" si="11"/>
        <v>1.0413926851582251</v>
      </c>
    </row>
    <row r="108" spans="1:23" x14ac:dyDescent="0.35">
      <c r="A108" s="77" t="s">
        <v>558</v>
      </c>
      <c r="B108" s="77" t="s">
        <v>5</v>
      </c>
      <c r="C108">
        <v>8</v>
      </c>
      <c r="D108" s="161">
        <v>7</v>
      </c>
      <c r="E108" s="161">
        <v>3.9917808219178084</v>
      </c>
      <c r="F108" s="161">
        <f t="shared" si="6"/>
        <v>0.60116668731351541</v>
      </c>
      <c r="G108">
        <v>2.5542346870234227</v>
      </c>
      <c r="H108">
        <v>0</v>
      </c>
      <c r="I108" s="72">
        <v>3.16</v>
      </c>
      <c r="J108" s="183">
        <f t="shared" si="7"/>
        <v>0.49968708261840383</v>
      </c>
      <c r="K108">
        <v>1.6020599913279623</v>
      </c>
      <c r="L108">
        <v>3.2860283894181141</v>
      </c>
      <c r="M108" s="137">
        <v>3.9098977130890344</v>
      </c>
      <c r="N108">
        <v>2.9876662649262746</v>
      </c>
      <c r="O108" s="77">
        <v>88.4</v>
      </c>
      <c r="P108" s="77">
        <f t="shared" si="8"/>
        <v>1.9464522650130731</v>
      </c>
      <c r="Q108" s="78">
        <v>35.700000000000003</v>
      </c>
      <c r="R108" s="78">
        <f t="shared" si="9"/>
        <v>1.5526682161121932</v>
      </c>
      <c r="S108" s="79">
        <v>42.337645557762798</v>
      </c>
      <c r="T108" s="184">
        <f t="shared" si="10"/>
        <v>1.6267267027692975</v>
      </c>
      <c r="U108">
        <v>-8.092190762392612E-2</v>
      </c>
      <c r="V108" s="77">
        <v>7</v>
      </c>
      <c r="W108" s="137">
        <f t="shared" si="11"/>
        <v>0.84509804001425681</v>
      </c>
    </row>
    <row r="109" spans="1:23" x14ac:dyDescent="0.35">
      <c r="A109" s="74" t="s">
        <v>560</v>
      </c>
      <c r="B109" s="74" t="s">
        <v>5</v>
      </c>
      <c r="C109">
        <v>2</v>
      </c>
      <c r="D109" s="161">
        <v>7.9542425094393252</v>
      </c>
      <c r="E109" s="161">
        <v>3.43013698630137</v>
      </c>
      <c r="F109" s="161">
        <f t="shared" si="6"/>
        <v>0.5353114644179362</v>
      </c>
      <c r="G109">
        <v>2.5542346870234227</v>
      </c>
      <c r="H109">
        <v>1.2787536009528289</v>
      </c>
      <c r="I109" s="73">
        <v>3.16</v>
      </c>
      <c r="J109" s="183">
        <f t="shared" si="7"/>
        <v>0.49968708261840383</v>
      </c>
      <c r="K109">
        <v>2.7898069076135487E-3</v>
      </c>
      <c r="L109">
        <v>3.2860283894181141</v>
      </c>
      <c r="M109" s="137">
        <v>3.9098977130890344</v>
      </c>
      <c r="N109">
        <v>2.9876662649262746</v>
      </c>
      <c r="O109" s="74">
        <v>70</v>
      </c>
      <c r="P109" s="77">
        <f t="shared" si="8"/>
        <v>1.8450980400142569</v>
      </c>
      <c r="Q109" s="75">
        <v>35</v>
      </c>
      <c r="R109" s="78">
        <f t="shared" si="9"/>
        <v>1.5440680443502757</v>
      </c>
      <c r="S109" s="76">
        <v>43.580897040130701</v>
      </c>
      <c r="T109" s="184">
        <f t="shared" si="10"/>
        <v>1.6392961652303231</v>
      </c>
      <c r="U109">
        <v>0.16731733474817609</v>
      </c>
      <c r="V109" s="74">
        <v>2</v>
      </c>
      <c r="W109" s="137">
        <f t="shared" si="11"/>
        <v>0.3010299956639812</v>
      </c>
    </row>
    <row r="110" spans="1:23" x14ac:dyDescent="0.35">
      <c r="A110" s="96" t="s">
        <v>561</v>
      </c>
      <c r="B110" s="77" t="s">
        <v>2</v>
      </c>
      <c r="C110">
        <v>1</v>
      </c>
      <c r="D110" s="161">
        <v>7.1687990867431779</v>
      </c>
      <c r="E110" s="161">
        <v>4.9835616438356167</v>
      </c>
      <c r="F110" s="161">
        <f t="shared" si="6"/>
        <v>0.69753983460700886</v>
      </c>
      <c r="G110">
        <v>2.9629325585580042</v>
      </c>
      <c r="H110">
        <v>1.255272505103306</v>
      </c>
      <c r="I110" s="72">
        <v>2.62</v>
      </c>
      <c r="J110" s="183">
        <f t="shared" si="7"/>
        <v>0.41830129131974547</v>
      </c>
      <c r="K110">
        <v>1.4332609045847848</v>
      </c>
      <c r="L110">
        <v>3.2860283894181141</v>
      </c>
      <c r="M110" s="137">
        <v>3.9098977130890344</v>
      </c>
      <c r="N110">
        <v>2.9323046139517812</v>
      </c>
      <c r="O110" s="77">
        <v>90.5</v>
      </c>
      <c r="P110" s="77">
        <f t="shared" si="8"/>
        <v>1.9566485792052033</v>
      </c>
      <c r="Q110" s="78">
        <v>36.4</v>
      </c>
      <c r="R110" s="78">
        <f t="shared" si="9"/>
        <v>1.5611013836490559</v>
      </c>
      <c r="S110" s="79">
        <v>44.295389122127702</v>
      </c>
      <c r="T110" s="184">
        <f t="shared" si="10"/>
        <v>1.6463585211883986</v>
      </c>
      <c r="U110">
        <v>0.2355284469075489</v>
      </c>
      <c r="V110" s="77">
        <v>12</v>
      </c>
      <c r="W110" s="137">
        <f t="shared" si="11"/>
        <v>1.0791812460476249</v>
      </c>
    </row>
    <row r="111" spans="1:23" x14ac:dyDescent="0.35">
      <c r="A111" s="74" t="s">
        <v>562</v>
      </c>
      <c r="B111" s="74" t="s">
        <v>2</v>
      </c>
      <c r="C111">
        <v>1</v>
      </c>
      <c r="D111" s="161">
        <v>8.0974617757209728</v>
      </c>
      <c r="E111" s="161">
        <v>5.2136986301369861</v>
      </c>
      <c r="F111" s="161">
        <f t="shared" si="6"/>
        <v>0.71714592383054576</v>
      </c>
      <c r="G111">
        <v>2.9629325585580042</v>
      </c>
      <c r="H111">
        <v>1.2041199826559248</v>
      </c>
      <c r="I111" s="73">
        <v>2.62</v>
      </c>
      <c r="J111" s="183">
        <f t="shared" si="7"/>
        <v>0.41830129131974547</v>
      </c>
      <c r="K111">
        <v>0.22475751901294613</v>
      </c>
      <c r="L111">
        <v>3.2860283894181141</v>
      </c>
      <c r="M111" s="137">
        <v>3.9098977130890344</v>
      </c>
      <c r="N111">
        <v>2.9323046139517812</v>
      </c>
      <c r="O111" s="74">
        <v>89.6</v>
      </c>
      <c r="P111" s="77">
        <f t="shared" si="8"/>
        <v>1.9523080096621253</v>
      </c>
      <c r="Q111" s="75">
        <v>35</v>
      </c>
      <c r="R111" s="78">
        <f t="shared" si="9"/>
        <v>1.5440680443502757</v>
      </c>
      <c r="S111" s="76">
        <v>47.255451423610303</v>
      </c>
      <c r="T111" s="184">
        <f t="shared" si="10"/>
        <v>1.6744519162659719</v>
      </c>
      <c r="U111">
        <v>0.2355284469075489</v>
      </c>
      <c r="V111" s="74">
        <v>10</v>
      </c>
      <c r="W111" s="137">
        <f t="shared" si="11"/>
        <v>1</v>
      </c>
    </row>
    <row r="112" spans="1:23" x14ac:dyDescent="0.35">
      <c r="A112" s="77" t="s">
        <v>462</v>
      </c>
      <c r="B112" s="77" t="s">
        <v>2</v>
      </c>
      <c r="C112">
        <v>1</v>
      </c>
      <c r="D112" s="161">
        <v>8.3113299523037938</v>
      </c>
      <c r="E112" s="161">
        <v>3.7780821917808218</v>
      </c>
      <c r="F112" s="161">
        <f t="shared" si="6"/>
        <v>0.57727140171937508</v>
      </c>
      <c r="G112">
        <v>2.9629325585580042</v>
      </c>
      <c r="H112">
        <v>1.4623979978989561</v>
      </c>
      <c r="I112" s="72">
        <v>2.62</v>
      </c>
      <c r="J112" s="183">
        <f t="shared" si="7"/>
        <v>0.41830129131974547</v>
      </c>
      <c r="K112">
        <v>9.691001300805642E-2</v>
      </c>
      <c r="L112">
        <v>3.2860283894181141</v>
      </c>
      <c r="M112" s="137">
        <v>3.9098977130890344</v>
      </c>
      <c r="N112">
        <v>2.9323046139517812</v>
      </c>
      <c r="O112" s="77">
        <v>88.9</v>
      </c>
      <c r="P112" s="77">
        <f t="shared" si="8"/>
        <v>1.9489017609702137</v>
      </c>
      <c r="Q112" s="78">
        <v>34.9</v>
      </c>
      <c r="R112" s="78">
        <f t="shared" si="9"/>
        <v>1.5428254269591799</v>
      </c>
      <c r="S112" s="79">
        <v>42.817370475444001</v>
      </c>
      <c r="T112" s="184">
        <f t="shared" si="10"/>
        <v>1.6316199926391717</v>
      </c>
      <c r="U112">
        <v>-4.5757490560675115E-2</v>
      </c>
      <c r="V112" s="77">
        <v>7</v>
      </c>
      <c r="W112" s="137">
        <f t="shared" si="11"/>
        <v>0.84509804001425681</v>
      </c>
    </row>
    <row r="113" spans="1:23" x14ac:dyDescent="0.35">
      <c r="A113" s="74" t="s">
        <v>564</v>
      </c>
      <c r="B113" s="74" t="s">
        <v>2</v>
      </c>
      <c r="C113">
        <v>5</v>
      </c>
      <c r="D113" s="161">
        <v>8.0606978403536118</v>
      </c>
      <c r="E113" s="161">
        <v>2.9506849315068493</v>
      </c>
      <c r="F113" s="161">
        <f t="shared" si="6"/>
        <v>0.46992283884150687</v>
      </c>
      <c r="G113">
        <v>2.9629325585580042</v>
      </c>
      <c r="H113">
        <v>1.9084850188786497</v>
      </c>
      <c r="I113" s="73">
        <v>2.62</v>
      </c>
      <c r="J113" s="183">
        <f t="shared" si="7"/>
        <v>0.41830129131974547</v>
      </c>
      <c r="K113">
        <v>0.24167638572197084</v>
      </c>
      <c r="L113">
        <v>3.2860283894181141</v>
      </c>
      <c r="M113" s="137">
        <v>3.9098977130890344</v>
      </c>
      <c r="N113">
        <v>2.9323046139517812</v>
      </c>
      <c r="O113" s="74">
        <v>70</v>
      </c>
      <c r="P113" s="77">
        <f t="shared" si="8"/>
        <v>1.8450980400142569</v>
      </c>
      <c r="Q113" s="75">
        <v>33.9</v>
      </c>
      <c r="R113" s="78">
        <f t="shared" si="9"/>
        <v>1.5301996982030821</v>
      </c>
      <c r="S113" s="76">
        <v>46.312020505412598</v>
      </c>
      <c r="T113" s="184">
        <f t="shared" si="10"/>
        <v>1.6656937288498501</v>
      </c>
      <c r="U113">
        <v>0.10037054511756291</v>
      </c>
      <c r="V113" s="74">
        <v>4</v>
      </c>
      <c r="W113" s="137">
        <f t="shared" si="11"/>
        <v>0.6020599913279624</v>
      </c>
    </row>
    <row r="114" spans="1:23" x14ac:dyDescent="0.35">
      <c r="A114" s="77" t="s">
        <v>565</v>
      </c>
      <c r="B114" s="77" t="s">
        <v>2</v>
      </c>
      <c r="C114">
        <v>5</v>
      </c>
      <c r="D114" s="161">
        <v>8.1760912590556813</v>
      </c>
      <c r="E114" s="161">
        <v>2.3890410958904109</v>
      </c>
      <c r="F114" s="161">
        <f t="shared" si="6"/>
        <v>0.37822362047609248</v>
      </c>
      <c r="G114">
        <v>2.9629325585580042</v>
      </c>
      <c r="H114">
        <v>1.7781512503836436</v>
      </c>
      <c r="I114" s="72">
        <v>2.62</v>
      </c>
      <c r="J114" s="183">
        <f t="shared" si="7"/>
        <v>0.41830129131974547</v>
      </c>
      <c r="K114">
        <v>0.51673804142676738</v>
      </c>
      <c r="L114">
        <v>3.2860283894181141</v>
      </c>
      <c r="M114" s="137">
        <v>3.9098977130890344</v>
      </c>
      <c r="N114">
        <v>2.9323046139517812</v>
      </c>
      <c r="O114" s="77">
        <v>70</v>
      </c>
      <c r="P114" s="77">
        <f t="shared" si="8"/>
        <v>1.8450980400142569</v>
      </c>
      <c r="Q114" s="78">
        <v>34.4</v>
      </c>
      <c r="R114" s="78">
        <f t="shared" si="9"/>
        <v>1.5365584425715302</v>
      </c>
      <c r="S114" s="79">
        <v>47.264053157349203</v>
      </c>
      <c r="T114" s="184">
        <f t="shared" si="10"/>
        <v>1.6745309620782511</v>
      </c>
      <c r="U114">
        <v>0.10720996964786837</v>
      </c>
      <c r="V114" s="77">
        <v>2</v>
      </c>
      <c r="W114" s="137">
        <f t="shared" si="11"/>
        <v>0.3010299956639812</v>
      </c>
    </row>
    <row r="115" spans="1:23" x14ac:dyDescent="0.35">
      <c r="A115" s="74" t="s">
        <v>566</v>
      </c>
      <c r="B115" s="74" t="s">
        <v>4</v>
      </c>
      <c r="C115">
        <v>9</v>
      </c>
      <c r="D115" s="161">
        <v>7.6151680596380977</v>
      </c>
      <c r="E115" s="161">
        <v>5.4438356164383563</v>
      </c>
      <c r="F115" s="161">
        <f t="shared" si="6"/>
        <v>0.73590500265334047</v>
      </c>
      <c r="G115">
        <v>2.5987029826834349</v>
      </c>
      <c r="H115">
        <v>0.95424250943932487</v>
      </c>
      <c r="I115" s="73">
        <v>3.35</v>
      </c>
      <c r="J115" s="183">
        <f t="shared" si="7"/>
        <v>0.5250448070368452</v>
      </c>
      <c r="K115">
        <v>0.66217254470212683</v>
      </c>
      <c r="L115">
        <v>3.277819633965128</v>
      </c>
      <c r="M115" s="137">
        <v>3.9304083853612104</v>
      </c>
      <c r="N115">
        <v>2.5401208298279827</v>
      </c>
      <c r="O115" s="74">
        <v>70</v>
      </c>
      <c r="P115" s="77">
        <f t="shared" si="8"/>
        <v>1.8450980400142569</v>
      </c>
      <c r="Q115" s="75">
        <v>46.6</v>
      </c>
      <c r="R115" s="78">
        <f t="shared" si="9"/>
        <v>1.6683859166900001</v>
      </c>
      <c r="S115" s="76">
        <v>52.311776995296299</v>
      </c>
      <c r="T115" s="184">
        <f t="shared" si="10"/>
        <v>1.7185994729646119</v>
      </c>
      <c r="U115">
        <v>2.5305865264770262E-2</v>
      </c>
      <c r="V115" s="74">
        <v>11</v>
      </c>
      <c r="W115" s="137">
        <f t="shared" si="11"/>
        <v>1.0413926851582251</v>
      </c>
    </row>
    <row r="116" spans="1:23" x14ac:dyDescent="0.35">
      <c r="A116" s="96" t="s">
        <v>569</v>
      </c>
      <c r="B116" s="77" t="s">
        <v>45</v>
      </c>
      <c r="C116">
        <v>1</v>
      </c>
      <c r="D116" s="161">
        <v>6.9030899869919438</v>
      </c>
      <c r="E116" s="161">
        <v>7.1342465753424653</v>
      </c>
      <c r="F116" s="161">
        <f t="shared" si="6"/>
        <v>0.85334811543967959</v>
      </c>
      <c r="G116">
        <v>3.840813443212804</v>
      </c>
      <c r="H116">
        <v>0.6020599913279624</v>
      </c>
      <c r="I116" s="72">
        <v>2.92</v>
      </c>
      <c r="J116" s="183">
        <f t="shared" si="7"/>
        <v>0.46538285144841829</v>
      </c>
      <c r="K116">
        <v>9.691001300805642E-2</v>
      </c>
      <c r="L116">
        <v>3.277819633965128</v>
      </c>
      <c r="M116" s="137">
        <v>3.9304083853612104</v>
      </c>
      <c r="N116">
        <v>2.6316128538827028</v>
      </c>
      <c r="O116" s="77">
        <v>85</v>
      </c>
      <c r="P116" s="77">
        <f t="shared" si="8"/>
        <v>1.9294189257142926</v>
      </c>
      <c r="Q116" s="78">
        <v>24.4</v>
      </c>
      <c r="R116" s="78">
        <f t="shared" si="9"/>
        <v>1.3873898263387294</v>
      </c>
      <c r="S116" s="79">
        <v>37.256914365427299</v>
      </c>
      <c r="T116" s="184">
        <f t="shared" si="10"/>
        <v>1.5712068835833228</v>
      </c>
      <c r="U116">
        <v>8.6359830674748214E-2</v>
      </c>
      <c r="V116" s="77">
        <v>14</v>
      </c>
      <c r="W116" s="137">
        <f t="shared" si="11"/>
        <v>1.146128035678238</v>
      </c>
    </row>
    <row r="117" spans="1:23" x14ac:dyDescent="0.35">
      <c r="A117" s="96" t="s">
        <v>571</v>
      </c>
      <c r="B117" s="74" t="s">
        <v>4</v>
      </c>
      <c r="C117">
        <v>9</v>
      </c>
      <c r="D117" s="161">
        <v>6.344392273685111</v>
      </c>
      <c r="E117" s="161">
        <v>9.6794520547945204</v>
      </c>
      <c r="F117" s="161">
        <f t="shared" si="6"/>
        <v>0.98585077297837076</v>
      </c>
      <c r="G117">
        <v>2.5987029826834349</v>
      </c>
      <c r="H117">
        <v>0.77815125038364363</v>
      </c>
      <c r="I117" s="73">
        <v>3.35</v>
      </c>
      <c r="J117" s="183">
        <f t="shared" si="7"/>
        <v>0.5250448070368452</v>
      </c>
      <c r="K117">
        <v>0.84593942448518078</v>
      </c>
      <c r="L117">
        <v>3.277819633965128</v>
      </c>
      <c r="M117" s="137">
        <v>3.9304083853612104</v>
      </c>
      <c r="N117">
        <v>2.5401208298279827</v>
      </c>
      <c r="O117" s="74">
        <v>70</v>
      </c>
      <c r="P117" s="77">
        <f t="shared" si="8"/>
        <v>1.8450980400142569</v>
      </c>
      <c r="Q117" s="75">
        <v>45.2</v>
      </c>
      <c r="R117" s="78">
        <f t="shared" si="9"/>
        <v>1.6551384348113822</v>
      </c>
      <c r="S117" s="76">
        <v>53.8530722517336</v>
      </c>
      <c r="T117" s="184">
        <f t="shared" si="10"/>
        <v>1.7312104843083773</v>
      </c>
      <c r="U117">
        <v>0.18469143081759881</v>
      </c>
      <c r="V117" s="74">
        <v>13</v>
      </c>
      <c r="W117" s="137">
        <f t="shared" si="11"/>
        <v>1.1139433523068367</v>
      </c>
    </row>
    <row r="118" spans="1:23" x14ac:dyDescent="0.35">
      <c r="A118" s="96" t="s">
        <v>574</v>
      </c>
      <c r="B118" s="77" t="s">
        <v>4</v>
      </c>
      <c r="C118">
        <v>9</v>
      </c>
      <c r="D118" s="161">
        <v>6.337858429041094</v>
      </c>
      <c r="E118" s="161">
        <v>5.4602739726027396</v>
      </c>
      <c r="F118" s="161">
        <f t="shared" si="6"/>
        <v>0.7372144342440129</v>
      </c>
      <c r="G118">
        <v>2.5987029826834349</v>
      </c>
      <c r="H118">
        <v>1.2787536009528289</v>
      </c>
      <c r="I118" s="72">
        <v>3.35</v>
      </c>
      <c r="J118" s="183">
        <f t="shared" si="7"/>
        <v>0.5250448070368452</v>
      </c>
      <c r="K118">
        <v>1.2117945616294652</v>
      </c>
      <c r="L118">
        <v>3.277819633965128</v>
      </c>
      <c r="M118" s="137">
        <v>3.9304083853612104</v>
      </c>
      <c r="N118">
        <v>2.5401208298279827</v>
      </c>
      <c r="O118" s="77">
        <v>70</v>
      </c>
      <c r="P118" s="77">
        <f t="shared" si="8"/>
        <v>1.8450980400142569</v>
      </c>
      <c r="Q118" s="78">
        <v>45.2</v>
      </c>
      <c r="R118" s="78">
        <f t="shared" si="9"/>
        <v>1.6551384348113822</v>
      </c>
      <c r="S118" s="79">
        <v>53.8530722517336</v>
      </c>
      <c r="T118" s="184">
        <f t="shared" si="10"/>
        <v>1.7312104843083773</v>
      </c>
      <c r="U118">
        <v>0.13672056715640679</v>
      </c>
      <c r="V118" s="77">
        <v>13</v>
      </c>
      <c r="W118" s="137">
        <f t="shared" si="11"/>
        <v>1.1139433523068367</v>
      </c>
    </row>
    <row r="119" spans="1:23" x14ac:dyDescent="0.35">
      <c r="A119" s="74" t="s">
        <v>575</v>
      </c>
      <c r="B119" s="74" t="s">
        <v>163</v>
      </c>
      <c r="C119">
        <v>1</v>
      </c>
      <c r="D119" s="161">
        <v>8.4369573306694488</v>
      </c>
      <c r="E119" s="161">
        <v>3.0547945205479454</v>
      </c>
      <c r="F119" s="161">
        <f t="shared" si="6"/>
        <v>0.48498200292770483</v>
      </c>
      <c r="G119">
        <v>3.127956346922264</v>
      </c>
      <c r="H119">
        <v>2.2787536009528289</v>
      </c>
      <c r="I119" s="73">
        <v>2.93</v>
      </c>
      <c r="J119" s="183">
        <f t="shared" si="7"/>
        <v>0.4668676203541095</v>
      </c>
      <c r="K119">
        <v>4.0163924050212831E-2</v>
      </c>
      <c r="L119">
        <v>3.277819633965128</v>
      </c>
      <c r="M119" s="137">
        <v>3.9304083853612104</v>
      </c>
      <c r="N119">
        <v>2.307496037913213</v>
      </c>
      <c r="O119" s="74">
        <v>70</v>
      </c>
      <c r="P119" s="77">
        <f t="shared" si="8"/>
        <v>1.8450980400142569</v>
      </c>
      <c r="Q119" s="75">
        <v>43.1</v>
      </c>
      <c r="R119" s="78">
        <f t="shared" si="9"/>
        <v>1.6344772701607315</v>
      </c>
      <c r="S119" s="76">
        <v>51.718307112209096</v>
      </c>
      <c r="T119" s="184">
        <f t="shared" si="10"/>
        <v>1.7136443007431839</v>
      </c>
      <c r="U119">
        <v>-4.5757490560675115E-2</v>
      </c>
      <c r="V119" s="74">
        <v>12</v>
      </c>
      <c r="W119" s="137">
        <f t="shared" si="11"/>
        <v>1.0791812460476249</v>
      </c>
    </row>
    <row r="120" spans="1:23" x14ac:dyDescent="0.35">
      <c r="A120" s="77" t="s">
        <v>578</v>
      </c>
      <c r="B120" s="77" t="s">
        <v>2</v>
      </c>
      <c r="C120">
        <v>5</v>
      </c>
      <c r="D120" s="161">
        <v>8.2253092817258633</v>
      </c>
      <c r="E120" s="161">
        <v>2.6</v>
      </c>
      <c r="F120" s="161">
        <f t="shared" si="6"/>
        <v>0.41497334797081797</v>
      </c>
      <c r="G120">
        <v>3.1177384910037165</v>
      </c>
      <c r="H120">
        <v>1.4313637641589874</v>
      </c>
      <c r="I120" s="72">
        <v>2.99</v>
      </c>
      <c r="J120" s="183">
        <f t="shared" si="7"/>
        <v>0.47567118832442967</v>
      </c>
      <c r="K120">
        <v>0.77469071827413716</v>
      </c>
      <c r="L120">
        <v>3.277819633965128</v>
      </c>
      <c r="M120" s="137">
        <v>3.9304083853612104</v>
      </c>
      <c r="N120">
        <v>2.8969852540843504</v>
      </c>
      <c r="O120" s="77">
        <v>70</v>
      </c>
      <c r="P120" s="77">
        <f t="shared" si="8"/>
        <v>1.8450980400142569</v>
      </c>
      <c r="Q120" s="78">
        <v>33.9</v>
      </c>
      <c r="R120" s="78">
        <f t="shared" si="9"/>
        <v>1.5301996982030821</v>
      </c>
      <c r="S120" s="79">
        <v>46.200073016176603</v>
      </c>
      <c r="T120" s="184">
        <f t="shared" si="10"/>
        <v>1.664642661930531</v>
      </c>
      <c r="U120">
        <v>0.11058971029924898</v>
      </c>
      <c r="V120" s="77">
        <v>16</v>
      </c>
      <c r="W120" s="137">
        <f t="shared" si="11"/>
        <v>1.2041199826559248</v>
      </c>
    </row>
    <row r="121" spans="1:23" x14ac:dyDescent="0.35">
      <c r="A121" s="74" t="s">
        <v>581</v>
      </c>
      <c r="B121" s="74" t="s">
        <v>2</v>
      </c>
      <c r="C121">
        <v>5</v>
      </c>
      <c r="D121" s="161">
        <v>7.7626035495668031</v>
      </c>
      <c r="E121" s="161">
        <v>4.6356164383561644</v>
      </c>
      <c r="F121" s="161">
        <f t="shared" si="6"/>
        <v>0.66610749424653004</v>
      </c>
      <c r="G121">
        <v>3.1177384910037165</v>
      </c>
      <c r="H121">
        <v>1.6232492903979006</v>
      </c>
      <c r="I121" s="73">
        <v>2.99</v>
      </c>
      <c r="J121" s="183">
        <f t="shared" si="7"/>
        <v>0.47567118832442967</v>
      </c>
      <c r="K121">
        <v>0.98506145820071134</v>
      </c>
      <c r="L121">
        <v>3.277819633965128</v>
      </c>
      <c r="M121" s="137">
        <v>3.9304083853612104</v>
      </c>
      <c r="N121">
        <v>2.8969852540843504</v>
      </c>
      <c r="O121" s="74">
        <v>70</v>
      </c>
      <c r="P121" s="77">
        <f t="shared" si="8"/>
        <v>1.8450980400142569</v>
      </c>
      <c r="Q121" s="75">
        <v>34.4</v>
      </c>
      <c r="R121" s="78">
        <f t="shared" si="9"/>
        <v>1.5365584425715302</v>
      </c>
      <c r="S121" s="76">
        <v>47.264053157349203</v>
      </c>
      <c r="T121" s="184">
        <f t="shared" si="10"/>
        <v>1.6745309620782511</v>
      </c>
      <c r="U121">
        <v>0.11058971029924898</v>
      </c>
      <c r="V121" s="74">
        <v>13</v>
      </c>
      <c r="W121" s="137">
        <f t="shared" si="11"/>
        <v>1.1139433523068367</v>
      </c>
    </row>
    <row r="122" spans="1:23" x14ac:dyDescent="0.35">
      <c r="A122" s="77" t="s">
        <v>582</v>
      </c>
      <c r="B122" s="77" t="s">
        <v>5</v>
      </c>
      <c r="C122">
        <v>7</v>
      </c>
      <c r="D122" s="161">
        <v>7.7907424457557015</v>
      </c>
      <c r="E122" s="161">
        <v>7.4657534246575343</v>
      </c>
      <c r="F122" s="161">
        <f t="shared" si="6"/>
        <v>0.87307364215618655</v>
      </c>
      <c r="G122">
        <v>2.9607370758409366</v>
      </c>
      <c r="H122">
        <v>2.2430380486862944</v>
      </c>
      <c r="I122" s="72">
        <v>3.26</v>
      </c>
      <c r="J122" s="183">
        <f t="shared" si="7"/>
        <v>0.51321760006793893</v>
      </c>
      <c r="K122">
        <v>0.25065023940252346</v>
      </c>
      <c r="L122">
        <v>3.277819633965128</v>
      </c>
      <c r="M122" s="137">
        <v>3.9304083853612104</v>
      </c>
      <c r="N122">
        <v>3.0947621912367507</v>
      </c>
      <c r="O122" s="77">
        <v>70</v>
      </c>
      <c r="P122" s="77">
        <f t="shared" si="8"/>
        <v>1.8450980400142569</v>
      </c>
      <c r="Q122" s="78">
        <v>37.200000000000003</v>
      </c>
      <c r="R122" s="78">
        <f t="shared" si="9"/>
        <v>1.5705429398818975</v>
      </c>
      <c r="S122" s="79">
        <v>43.419976684252802</v>
      </c>
      <c r="T122" s="184">
        <f t="shared" si="10"/>
        <v>1.6376895859101317</v>
      </c>
      <c r="U122">
        <v>8.6001717619175692E-3</v>
      </c>
      <c r="V122" s="77">
        <v>10</v>
      </c>
      <c r="W122" s="137">
        <f t="shared" si="11"/>
        <v>1</v>
      </c>
    </row>
    <row r="123" spans="1:23" x14ac:dyDescent="0.35">
      <c r="A123" s="74" t="s">
        <v>585</v>
      </c>
      <c r="B123" s="74" t="s">
        <v>1</v>
      </c>
      <c r="C123">
        <v>7</v>
      </c>
      <c r="D123" s="161">
        <v>8.4771212547196626</v>
      </c>
      <c r="E123" s="161">
        <v>7.4246575342465757</v>
      </c>
      <c r="F123" s="161">
        <f t="shared" si="6"/>
        <v>0.87067642641793108</v>
      </c>
      <c r="G123">
        <v>3.0625406208792199</v>
      </c>
      <c r="H123">
        <v>1.1139433523068367</v>
      </c>
      <c r="I123" s="73">
        <v>3.42</v>
      </c>
      <c r="J123" s="183">
        <f t="shared" si="7"/>
        <v>0.53402610605613499</v>
      </c>
      <c r="K123">
        <v>0.24539996693467084</v>
      </c>
      <c r="L123">
        <v>3.277819633965128</v>
      </c>
      <c r="M123" s="137">
        <v>3.9304083853612104</v>
      </c>
      <c r="N123">
        <v>2.8714756364568856</v>
      </c>
      <c r="O123" s="74">
        <v>70</v>
      </c>
      <c r="P123" s="77">
        <f t="shared" si="8"/>
        <v>1.8450980400142569</v>
      </c>
      <c r="Q123" s="75">
        <v>42.4</v>
      </c>
      <c r="R123" s="78">
        <f t="shared" si="9"/>
        <v>1.6273658565927327</v>
      </c>
      <c r="S123" s="76">
        <v>44.9782573439335</v>
      </c>
      <c r="T123" s="184">
        <f t="shared" si="10"/>
        <v>1.6530026249418825</v>
      </c>
      <c r="U123">
        <v>8.9905111439397931E-2</v>
      </c>
      <c r="V123" s="74">
        <v>15</v>
      </c>
      <c r="W123" s="137">
        <f t="shared" si="11"/>
        <v>1.1760912590556813</v>
      </c>
    </row>
    <row r="124" spans="1:23" x14ac:dyDescent="0.35">
      <c r="A124" s="77" t="s">
        <v>586</v>
      </c>
      <c r="B124" s="77" t="s">
        <v>1</v>
      </c>
      <c r="C124">
        <v>8</v>
      </c>
      <c r="D124" s="161">
        <v>8.8084338040518055</v>
      </c>
      <c r="E124" s="161">
        <v>5.117808219178082</v>
      </c>
      <c r="F124" s="161">
        <f t="shared" si="6"/>
        <v>0.70908400743759981</v>
      </c>
      <c r="G124">
        <v>3.0625406208792199</v>
      </c>
      <c r="H124">
        <v>2.1038037209559568</v>
      </c>
      <c r="I124" s="72">
        <v>3.42</v>
      </c>
      <c r="J124" s="183">
        <f t="shared" si="7"/>
        <v>0.53402610605613499</v>
      </c>
      <c r="K124">
        <v>0.33449350360926283</v>
      </c>
      <c r="L124">
        <v>3.277819633965128</v>
      </c>
      <c r="M124" s="137">
        <v>3.9304083853612104</v>
      </c>
      <c r="N124">
        <v>2.8714756364568856</v>
      </c>
      <c r="O124" s="77">
        <v>70</v>
      </c>
      <c r="P124" s="77">
        <f t="shared" si="8"/>
        <v>1.8450980400142569</v>
      </c>
      <c r="Q124" s="78">
        <v>41.9</v>
      </c>
      <c r="R124" s="78">
        <f t="shared" si="9"/>
        <v>1.6222140229662954</v>
      </c>
      <c r="S124" s="79">
        <v>42.033747909324703</v>
      </c>
      <c r="T124" s="184">
        <f t="shared" si="10"/>
        <v>1.6235981152914243</v>
      </c>
      <c r="U124">
        <v>-4.5757490560675115E-2</v>
      </c>
      <c r="V124" s="77">
        <v>11</v>
      </c>
      <c r="W124" s="137">
        <f t="shared" si="11"/>
        <v>1.0413926851582251</v>
      </c>
    </row>
    <row r="125" spans="1:23" x14ac:dyDescent="0.35">
      <c r="A125" s="74" t="s">
        <v>588</v>
      </c>
      <c r="B125" s="74" t="s">
        <v>419</v>
      </c>
      <c r="C125">
        <v>4</v>
      </c>
      <c r="D125" s="161">
        <v>8.2787536009528289</v>
      </c>
      <c r="E125" s="161">
        <v>2.6931506849315068</v>
      </c>
      <c r="F125" s="161">
        <f t="shared" si="6"/>
        <v>0.43026065337566088</v>
      </c>
      <c r="G125">
        <v>2.8967741575094288</v>
      </c>
      <c r="H125">
        <v>0.84509804001425681</v>
      </c>
      <c r="I125" s="73">
        <v>3.48</v>
      </c>
      <c r="J125" s="183">
        <f t="shared" si="7"/>
        <v>0.54157924394658097</v>
      </c>
      <c r="K125">
        <v>0.53415975569002661</v>
      </c>
      <c r="L125">
        <v>3.277819633965128</v>
      </c>
      <c r="M125" s="137">
        <v>3.9304083853612104</v>
      </c>
      <c r="N125">
        <v>1.888366730171237</v>
      </c>
      <c r="O125" s="74">
        <v>85</v>
      </c>
      <c r="P125" s="77">
        <f t="shared" si="8"/>
        <v>1.9294189257142926</v>
      </c>
      <c r="Q125" s="75">
        <v>41.8</v>
      </c>
      <c r="R125" s="78">
        <f t="shared" si="9"/>
        <v>1.6211762817750353</v>
      </c>
      <c r="S125" s="76">
        <v>49.305577465499702</v>
      </c>
      <c r="T125" s="184">
        <f t="shared" si="10"/>
        <v>1.6928960496115248</v>
      </c>
      <c r="U125">
        <v>9.3421685162235063E-2</v>
      </c>
      <c r="V125" s="74">
        <v>15</v>
      </c>
      <c r="W125" s="137">
        <f t="shared" si="11"/>
        <v>1.1760912590556813</v>
      </c>
    </row>
    <row r="126" spans="1:23" x14ac:dyDescent="0.35">
      <c r="A126" s="77" t="s">
        <v>590</v>
      </c>
      <c r="B126" s="77" t="s">
        <v>419</v>
      </c>
      <c r="C126">
        <v>5</v>
      </c>
      <c r="D126" s="161">
        <v>8.010812833684307</v>
      </c>
      <c r="E126" s="161">
        <v>7.0191780821917806</v>
      </c>
      <c r="F126" s="161">
        <f t="shared" si="6"/>
        <v>0.84628626095219273</v>
      </c>
      <c r="G126">
        <v>2.8967741575094288</v>
      </c>
      <c r="H126">
        <v>0</v>
      </c>
      <c r="I126" s="72">
        <v>3.48</v>
      </c>
      <c r="J126" s="183">
        <f t="shared" si="7"/>
        <v>0.54157924394658097</v>
      </c>
      <c r="K126">
        <v>-0.18150906085328272</v>
      </c>
      <c r="L126">
        <v>3.277819633965128</v>
      </c>
      <c r="M126" s="137">
        <v>3.9304083853612104</v>
      </c>
      <c r="N126">
        <v>1.888366730171237</v>
      </c>
      <c r="O126" s="77">
        <v>70</v>
      </c>
      <c r="P126" s="77">
        <f t="shared" si="8"/>
        <v>1.8450980400142569</v>
      </c>
      <c r="Q126" s="78">
        <v>44.3</v>
      </c>
      <c r="R126" s="78">
        <f t="shared" si="9"/>
        <v>1.6464037262230695</v>
      </c>
      <c r="S126" s="79">
        <v>50.959243005601799</v>
      </c>
      <c r="T126" s="184">
        <f t="shared" si="10"/>
        <v>1.7072229679746294</v>
      </c>
      <c r="U126">
        <v>-5.551732784983137E-2</v>
      </c>
      <c r="V126" s="77">
        <v>10</v>
      </c>
      <c r="W126" s="137">
        <f t="shared" si="11"/>
        <v>1</v>
      </c>
    </row>
    <row r="127" spans="1:23" x14ac:dyDescent="0.35">
      <c r="A127" s="74" t="s">
        <v>600</v>
      </c>
      <c r="B127" s="74" t="s">
        <v>2</v>
      </c>
      <c r="C127">
        <v>9</v>
      </c>
      <c r="D127" s="161">
        <v>8.15248098771362</v>
      </c>
      <c r="E127" s="161">
        <v>9.169863013698631</v>
      </c>
      <c r="F127" s="161">
        <f t="shared" si="6"/>
        <v>0.96236284790130244</v>
      </c>
      <c r="G127">
        <v>3.8335760926148099</v>
      </c>
      <c r="H127">
        <v>1.0791812460476249</v>
      </c>
      <c r="I127" s="73">
        <v>2.85</v>
      </c>
      <c r="J127" s="183">
        <f t="shared" si="7"/>
        <v>0.45484486000851021</v>
      </c>
      <c r="K127">
        <v>0.34735724705707294</v>
      </c>
      <c r="L127">
        <v>3.0958500844125241</v>
      </c>
      <c r="M127" s="137">
        <v>3.5078178355445662</v>
      </c>
      <c r="N127">
        <v>2.9138138523837167</v>
      </c>
      <c r="O127" s="74">
        <v>70</v>
      </c>
      <c r="P127" s="77">
        <f t="shared" si="8"/>
        <v>1.8450980400142569</v>
      </c>
      <c r="Q127" s="75">
        <v>33.9</v>
      </c>
      <c r="R127" s="78">
        <f t="shared" si="9"/>
        <v>1.5301996982030821</v>
      </c>
      <c r="S127" s="76">
        <v>46.312020505412598</v>
      </c>
      <c r="T127" s="184">
        <f t="shared" si="10"/>
        <v>1.6656937288498501</v>
      </c>
      <c r="U127">
        <v>0.22271647114758325</v>
      </c>
      <c r="V127" s="74">
        <v>17</v>
      </c>
      <c r="W127" s="137">
        <f t="shared" si="11"/>
        <v>1.2304489213782739</v>
      </c>
    </row>
    <row r="128" spans="1:23" x14ac:dyDescent="0.35">
      <c r="A128" s="77" t="s">
        <v>604</v>
      </c>
      <c r="B128" s="77" t="s">
        <v>2</v>
      </c>
      <c r="C128">
        <v>5</v>
      </c>
      <c r="D128" s="161">
        <v>7.8962505624616384</v>
      </c>
      <c r="E128" s="161">
        <v>4.5534246575342463</v>
      </c>
      <c r="F128" s="161">
        <f t="shared" si="6"/>
        <v>0.65833815499161741</v>
      </c>
      <c r="G128">
        <v>3.8335760926148099</v>
      </c>
      <c r="H128">
        <v>1.9493900066449128</v>
      </c>
      <c r="I128" s="72">
        <v>2.85</v>
      </c>
      <c r="J128" s="183">
        <f t="shared" si="7"/>
        <v>0.45484486000851021</v>
      </c>
      <c r="K128">
        <v>-7.90325429903092E-3</v>
      </c>
      <c r="L128">
        <v>3.0958500844125241</v>
      </c>
      <c r="M128" s="137">
        <v>3.5078178355445662</v>
      </c>
      <c r="N128">
        <v>2.9138138523837167</v>
      </c>
      <c r="O128" s="77">
        <v>70</v>
      </c>
      <c r="P128" s="77">
        <f t="shared" si="8"/>
        <v>1.8450980400142569</v>
      </c>
      <c r="Q128" s="78">
        <v>36.200000000000003</v>
      </c>
      <c r="R128" s="78">
        <f t="shared" si="9"/>
        <v>1.5587085705331658</v>
      </c>
      <c r="S128" s="79">
        <v>44.748733746598099</v>
      </c>
      <c r="T128" s="184">
        <f t="shared" si="10"/>
        <v>1.6507807506095689</v>
      </c>
      <c r="U128">
        <v>-9.1514981121350217E-2</v>
      </c>
      <c r="V128" s="77">
        <v>13</v>
      </c>
      <c r="W128" s="137">
        <f t="shared" si="11"/>
        <v>1.1139433523068367</v>
      </c>
    </row>
    <row r="129" spans="1:23" x14ac:dyDescent="0.35">
      <c r="A129" s="74" t="s">
        <v>606</v>
      </c>
      <c r="B129" s="74" t="s">
        <v>2</v>
      </c>
      <c r="C129">
        <v>1</v>
      </c>
      <c r="D129" s="161">
        <v>7.7981478778951168</v>
      </c>
      <c r="E129" s="161">
        <v>5.5095890410958903</v>
      </c>
      <c r="F129" s="161">
        <f t="shared" si="6"/>
        <v>0.74111920614026727</v>
      </c>
      <c r="G129">
        <v>3.8335760926148099</v>
      </c>
      <c r="H129">
        <v>1.9637878273455553</v>
      </c>
      <c r="I129" s="73">
        <v>2.85</v>
      </c>
      <c r="J129" s="183">
        <f t="shared" si="7"/>
        <v>0.45484486000851021</v>
      </c>
      <c r="K129">
        <v>1.0469501621191397</v>
      </c>
      <c r="L129">
        <v>3.0958500844125241</v>
      </c>
      <c r="M129" s="137">
        <v>3.5078178355445662</v>
      </c>
      <c r="N129">
        <v>2.9138138523837167</v>
      </c>
      <c r="O129" s="74">
        <v>70</v>
      </c>
      <c r="P129" s="77">
        <f t="shared" si="8"/>
        <v>1.8450980400142569</v>
      </c>
      <c r="Q129" s="75">
        <v>36.200000000000003</v>
      </c>
      <c r="R129" s="78">
        <f t="shared" si="9"/>
        <v>1.5587085705331658</v>
      </c>
      <c r="S129" s="76">
        <v>47.694345434117203</v>
      </c>
      <c r="T129" s="184">
        <f t="shared" si="10"/>
        <v>1.6784668928277571</v>
      </c>
      <c r="U129">
        <v>-3.6212172654444715E-2</v>
      </c>
      <c r="V129" s="74">
        <v>12</v>
      </c>
      <c r="W129" s="137">
        <f t="shared" si="11"/>
        <v>1.0791812460476249</v>
      </c>
    </row>
    <row r="130" spans="1:23" x14ac:dyDescent="0.35">
      <c r="A130" s="77" t="s">
        <v>261</v>
      </c>
      <c r="B130" s="77" t="s">
        <v>4</v>
      </c>
      <c r="C130">
        <v>4</v>
      </c>
      <c r="D130" s="161">
        <v>8.6974554989651978</v>
      </c>
      <c r="E130" s="161">
        <v>5.6520547945205477</v>
      </c>
      <c r="F130" s="161">
        <f t="shared" si="6"/>
        <v>0.7522063635166768</v>
      </c>
      <c r="G130">
        <v>3.8219626565950726</v>
      </c>
      <c r="H130">
        <v>1.3802112417116059</v>
      </c>
      <c r="I130" s="72">
        <v>3.03</v>
      </c>
      <c r="J130" s="183">
        <f t="shared" si="7"/>
        <v>0.48144262850230496</v>
      </c>
      <c r="K130">
        <v>0.56946234932479256</v>
      </c>
      <c r="L130">
        <v>3.0958500844125241</v>
      </c>
      <c r="M130" s="137">
        <v>3.5078178355445662</v>
      </c>
      <c r="N130">
        <v>2.9079485216122722</v>
      </c>
      <c r="O130" s="77">
        <v>96.1</v>
      </c>
      <c r="P130" s="77">
        <f t="shared" si="8"/>
        <v>1.9827233876685453</v>
      </c>
      <c r="Q130" s="78">
        <v>46</v>
      </c>
      <c r="R130" s="78">
        <f t="shared" si="9"/>
        <v>1.6627578316815741</v>
      </c>
      <c r="S130" s="79">
        <v>50.974560675820896</v>
      </c>
      <c r="T130" s="184">
        <f t="shared" si="10"/>
        <v>1.7073534914999287</v>
      </c>
      <c r="U130">
        <v>-4.0958607678906384E-2</v>
      </c>
      <c r="V130" s="77">
        <v>19</v>
      </c>
      <c r="W130" s="137">
        <f t="shared" si="11"/>
        <v>1.2787536009528289</v>
      </c>
    </row>
    <row r="131" spans="1:23" x14ac:dyDescent="0.35">
      <c r="A131" s="74" t="s">
        <v>609</v>
      </c>
      <c r="B131" s="74" t="s">
        <v>1</v>
      </c>
      <c r="C131">
        <v>3</v>
      </c>
      <c r="D131" s="161">
        <v>8.2443266102306367</v>
      </c>
      <c r="E131" s="161">
        <v>8.9972602739726035</v>
      </c>
      <c r="F131" s="161">
        <f t="shared" ref="F131:F194" si="12">LOG(E131)</f>
        <v>0.95411028399092845</v>
      </c>
      <c r="G131">
        <v>3.7947040944998616</v>
      </c>
      <c r="H131">
        <v>0.69897000433601886</v>
      </c>
      <c r="I131" s="73">
        <v>2.93</v>
      </c>
      <c r="J131" s="183">
        <f t="shared" ref="J131:J194" si="13">LOG(I131)</f>
        <v>0.4668676203541095</v>
      </c>
      <c r="K131">
        <v>1.0002720910982315</v>
      </c>
      <c r="L131">
        <v>3.0958500844125241</v>
      </c>
      <c r="M131" s="137">
        <v>3.5078178355445662</v>
      </c>
      <c r="N131">
        <v>2.7962273140294389</v>
      </c>
      <c r="O131" s="74">
        <v>70</v>
      </c>
      <c r="P131" s="77">
        <f t="shared" ref="P131:P194" si="14">LOG(O131)</f>
        <v>1.8450980400142569</v>
      </c>
      <c r="Q131" s="75">
        <v>42.1</v>
      </c>
      <c r="R131" s="78">
        <f t="shared" ref="R131:R194" si="15">LOG(Q131)</f>
        <v>1.6242820958356683</v>
      </c>
      <c r="S131" s="76">
        <v>43.801966655694599</v>
      </c>
      <c r="T131" s="184">
        <f t="shared" ref="T131:T194" si="16">LOG(S131)</f>
        <v>1.6414936102424893</v>
      </c>
      <c r="U131">
        <v>-4.0958607678906384E-2</v>
      </c>
      <c r="V131" s="74">
        <v>14</v>
      </c>
      <c r="W131" s="137">
        <f t="shared" ref="W131:W194" si="17">IF(V131=0,0,LOG(V131))</f>
        <v>1.146128035678238</v>
      </c>
    </row>
    <row r="132" spans="1:23" x14ac:dyDescent="0.35">
      <c r="A132" s="77" t="s">
        <v>613</v>
      </c>
      <c r="B132" s="77" t="s">
        <v>163</v>
      </c>
      <c r="C132">
        <v>4</v>
      </c>
      <c r="D132" s="161">
        <v>9.2345172835126874</v>
      </c>
      <c r="E132" s="161">
        <v>6.3342465753424655</v>
      </c>
      <c r="F132" s="161">
        <f t="shared" si="12"/>
        <v>0.80169496529201667</v>
      </c>
      <c r="G132">
        <v>3.7899753459779522</v>
      </c>
      <c r="H132">
        <v>0.3010299956639812</v>
      </c>
      <c r="I132" s="72">
        <v>3.18</v>
      </c>
      <c r="J132" s="183">
        <f t="shared" si="13"/>
        <v>0.50242711998443268</v>
      </c>
      <c r="K132">
        <v>0.3997785728774681</v>
      </c>
      <c r="L132">
        <v>3.0958500844125241</v>
      </c>
      <c r="M132" s="137">
        <v>3.5078178355445662</v>
      </c>
      <c r="N132">
        <v>2.7670321178317625</v>
      </c>
      <c r="O132" s="77">
        <v>88</v>
      </c>
      <c r="P132" s="77">
        <f t="shared" si="14"/>
        <v>1.9444826721501687</v>
      </c>
      <c r="Q132" s="78">
        <v>42.3</v>
      </c>
      <c r="R132" s="78">
        <f t="shared" si="15"/>
        <v>1.6263403673750423</v>
      </c>
      <c r="S132" s="79">
        <v>53.296308937050199</v>
      </c>
      <c r="T132" s="184">
        <f t="shared" si="16"/>
        <v>1.7266971327830685</v>
      </c>
      <c r="U132">
        <v>0.16731733474817609</v>
      </c>
      <c r="V132" s="77">
        <v>21</v>
      </c>
      <c r="W132" s="137">
        <f t="shared" si="17"/>
        <v>1.3222192947339193</v>
      </c>
    </row>
    <row r="133" spans="1:23" x14ac:dyDescent="0.35">
      <c r="A133" s="74" t="s">
        <v>616</v>
      </c>
      <c r="B133" s="74" t="s">
        <v>163</v>
      </c>
      <c r="C133">
        <v>8</v>
      </c>
      <c r="D133" s="161">
        <v>8.4222778761641806</v>
      </c>
      <c r="E133" s="161">
        <v>4.7287671232876711</v>
      </c>
      <c r="F133" s="161">
        <f t="shared" si="12"/>
        <v>0.67474792692271612</v>
      </c>
      <c r="G133">
        <v>3.7899753459779522</v>
      </c>
      <c r="H133">
        <v>1.4623979978989561</v>
      </c>
      <c r="I133" s="73">
        <v>3.18</v>
      </c>
      <c r="J133" s="183">
        <f t="shared" si="13"/>
        <v>0.50242711998443268</v>
      </c>
      <c r="K133">
        <v>-3.4354409190743784E-2</v>
      </c>
      <c r="L133">
        <v>3.0958500844125241</v>
      </c>
      <c r="M133" s="137">
        <v>3.5078178355445662</v>
      </c>
      <c r="N133">
        <v>2.7670321178317625</v>
      </c>
      <c r="O133" s="74">
        <v>88</v>
      </c>
      <c r="P133" s="77">
        <f t="shared" si="14"/>
        <v>1.9444826721501687</v>
      </c>
      <c r="Q133" s="75">
        <v>43.3</v>
      </c>
      <c r="R133" s="78">
        <f t="shared" si="15"/>
        <v>1.6364878963533653</v>
      </c>
      <c r="S133" s="76">
        <v>52.875711995394298</v>
      </c>
      <c r="T133" s="184">
        <f t="shared" si="16"/>
        <v>1.7232562283942385</v>
      </c>
      <c r="U133">
        <v>-2.6872146400301365E-2</v>
      </c>
      <c r="V133" s="74">
        <v>19</v>
      </c>
      <c r="W133" s="137">
        <f t="shared" si="17"/>
        <v>1.2787536009528289</v>
      </c>
    </row>
    <row r="134" spans="1:23" x14ac:dyDescent="0.35">
      <c r="A134" s="77" t="s">
        <v>617</v>
      </c>
      <c r="B134" s="77" t="s">
        <v>163</v>
      </c>
      <c r="C134">
        <v>1</v>
      </c>
      <c r="D134" s="161">
        <v>7.6232492903979008</v>
      </c>
      <c r="E134" s="161">
        <v>2.3534246575342466</v>
      </c>
      <c r="F134" s="161">
        <f t="shared" si="12"/>
        <v>0.37170029937476762</v>
      </c>
      <c r="G134">
        <v>3.7899753459779522</v>
      </c>
      <c r="H134">
        <v>1.8864907251724818</v>
      </c>
      <c r="I134" s="72">
        <v>3.18</v>
      </c>
      <c r="J134" s="183">
        <f t="shared" si="13"/>
        <v>0.50242711998443268</v>
      </c>
      <c r="K134">
        <v>0.29178099986126038</v>
      </c>
      <c r="L134">
        <v>3.0958500844125241</v>
      </c>
      <c r="M134" s="137">
        <v>3.5078178355445662</v>
      </c>
      <c r="N134">
        <v>2.7670321178317625</v>
      </c>
      <c r="O134" s="77">
        <v>70</v>
      </c>
      <c r="P134" s="77">
        <f t="shared" si="14"/>
        <v>1.8450980400142569</v>
      </c>
      <c r="Q134" s="78">
        <v>42.9</v>
      </c>
      <c r="R134" s="78">
        <f t="shared" si="15"/>
        <v>1.6324572921847242</v>
      </c>
      <c r="S134" s="79">
        <v>53.2941466273667</v>
      </c>
      <c r="T134" s="184">
        <f t="shared" si="16"/>
        <v>1.7266795124593939</v>
      </c>
      <c r="U134">
        <v>8.9905111439397931E-2</v>
      </c>
      <c r="V134" s="77">
        <v>18</v>
      </c>
      <c r="W134" s="137">
        <f t="shared" si="17"/>
        <v>1.255272505103306</v>
      </c>
    </row>
    <row r="135" spans="1:23" x14ac:dyDescent="0.35">
      <c r="A135" s="96" t="s">
        <v>618</v>
      </c>
      <c r="B135" s="74" t="s">
        <v>163</v>
      </c>
      <c r="C135">
        <v>5</v>
      </c>
      <c r="D135" s="161">
        <v>6.8450980400142569</v>
      </c>
      <c r="E135" s="161">
        <v>3.9178082191780823</v>
      </c>
      <c r="F135" s="161">
        <f t="shared" si="12"/>
        <v>0.59304317300858711</v>
      </c>
      <c r="G135">
        <v>3.7899753459779522</v>
      </c>
      <c r="H135">
        <v>0</v>
      </c>
      <c r="I135" s="73">
        <v>3.18</v>
      </c>
      <c r="J135" s="183">
        <f t="shared" si="13"/>
        <v>0.50242711998443268</v>
      </c>
      <c r="K135">
        <v>0.84509804001425681</v>
      </c>
      <c r="L135">
        <v>3.0958500844125241</v>
      </c>
      <c r="M135" s="137">
        <v>3.5078178355445662</v>
      </c>
      <c r="N135">
        <v>2.7670321178317625</v>
      </c>
      <c r="O135" s="74">
        <v>70</v>
      </c>
      <c r="P135" s="77">
        <f t="shared" si="14"/>
        <v>1.8450980400142569</v>
      </c>
      <c r="Q135" s="75">
        <v>43.4</v>
      </c>
      <c r="R135" s="78">
        <f t="shared" si="15"/>
        <v>1.6374897295125106</v>
      </c>
      <c r="S135" s="76">
        <v>51.652289181886701</v>
      </c>
      <c r="T135" s="184">
        <f t="shared" si="16"/>
        <v>1.7130895738136374</v>
      </c>
      <c r="U135">
        <v>-0.10790539730951958</v>
      </c>
      <c r="V135" s="74">
        <v>13</v>
      </c>
      <c r="W135" s="137">
        <f t="shared" si="17"/>
        <v>1.1139433523068367</v>
      </c>
    </row>
    <row r="136" spans="1:23" x14ac:dyDescent="0.35">
      <c r="A136" s="96" t="s">
        <v>619</v>
      </c>
      <c r="B136" s="77" t="s">
        <v>163</v>
      </c>
      <c r="C136">
        <v>1</v>
      </c>
      <c r="D136" s="161">
        <v>8.3412425615911907</v>
      </c>
      <c r="E136" s="161">
        <v>8.7452054794520553</v>
      </c>
      <c r="F136" s="161">
        <f t="shared" si="12"/>
        <v>0.94177001822221718</v>
      </c>
      <c r="G136">
        <v>3.7899753459779522</v>
      </c>
      <c r="H136">
        <v>1.5563025007672873</v>
      </c>
      <c r="I136" s="72">
        <v>3.18</v>
      </c>
      <c r="J136" s="183">
        <f t="shared" si="13"/>
        <v>0.50242711998443268</v>
      </c>
      <c r="K136">
        <v>0.12115543630776511</v>
      </c>
      <c r="L136">
        <v>3.0958500844125241</v>
      </c>
      <c r="M136" s="137">
        <v>3.5078178355445662</v>
      </c>
      <c r="N136">
        <v>2.7670321178317625</v>
      </c>
      <c r="O136" s="77">
        <v>85</v>
      </c>
      <c r="P136" s="77">
        <f t="shared" si="14"/>
        <v>1.9294189257142926</v>
      </c>
      <c r="Q136" s="78">
        <v>43.5</v>
      </c>
      <c r="R136" s="78">
        <f t="shared" si="15"/>
        <v>1.6384892569546374</v>
      </c>
      <c r="S136" s="79">
        <v>52.924485315438503</v>
      </c>
      <c r="T136" s="184">
        <f t="shared" si="16"/>
        <v>1.7236566432478624</v>
      </c>
      <c r="U136">
        <v>0.12385164096708581</v>
      </c>
      <c r="V136" s="77">
        <v>11</v>
      </c>
      <c r="W136" s="137">
        <f t="shared" si="17"/>
        <v>1.0413926851582251</v>
      </c>
    </row>
    <row r="137" spans="1:23" x14ac:dyDescent="0.35">
      <c r="A137" s="74" t="s">
        <v>621</v>
      </c>
      <c r="B137" s="74" t="s">
        <v>59</v>
      </c>
      <c r="C137">
        <v>7</v>
      </c>
      <c r="D137" s="161">
        <v>7.7911590602836815</v>
      </c>
      <c r="E137" s="161">
        <v>6.1863013698630134</v>
      </c>
      <c r="F137" s="161">
        <f t="shared" si="12"/>
        <v>0.79143107313247429</v>
      </c>
      <c r="G137">
        <v>3.7707754512906644</v>
      </c>
      <c r="H137">
        <v>0.77815125038364363</v>
      </c>
      <c r="I137" s="73">
        <v>2.3199999999999998</v>
      </c>
      <c r="J137" s="183">
        <f t="shared" si="13"/>
        <v>0.36548798489089962</v>
      </c>
      <c r="K137">
        <v>0.44193238125204243</v>
      </c>
      <c r="L137">
        <v>3.0958500844125241</v>
      </c>
      <c r="M137" s="137">
        <v>3.5078178355445662</v>
      </c>
      <c r="N137">
        <v>2.1238516409670858</v>
      </c>
      <c r="O137" s="74">
        <v>94.7</v>
      </c>
      <c r="P137" s="77">
        <f t="shared" si="14"/>
        <v>1.9763499790032735</v>
      </c>
      <c r="Q137" s="75">
        <v>32.4</v>
      </c>
      <c r="R137" s="78">
        <f t="shared" si="15"/>
        <v>1.510545010206612</v>
      </c>
      <c r="S137" s="76">
        <v>45.737088331856903</v>
      </c>
      <c r="T137" s="184">
        <f t="shared" si="16"/>
        <v>1.6602685135357675</v>
      </c>
      <c r="U137">
        <v>0.28555730900777382</v>
      </c>
      <c r="V137" s="74">
        <v>25</v>
      </c>
      <c r="W137" s="137">
        <f t="shared" si="17"/>
        <v>1.3979400086720377</v>
      </c>
    </row>
    <row r="138" spans="1:23" x14ac:dyDescent="0.35">
      <c r="A138" s="77" t="s">
        <v>624</v>
      </c>
      <c r="B138" s="77" t="s">
        <v>59</v>
      </c>
      <c r="C138">
        <v>6</v>
      </c>
      <c r="D138" s="161">
        <v>8.5563025007672877</v>
      </c>
      <c r="E138" s="161">
        <v>3.8575342465753426</v>
      </c>
      <c r="F138" s="161">
        <f t="shared" si="12"/>
        <v>0.58630979034961872</v>
      </c>
      <c r="G138">
        <v>3.7707754512906644</v>
      </c>
      <c r="H138">
        <v>0</v>
      </c>
      <c r="I138" s="72">
        <v>2.3199999999999998</v>
      </c>
      <c r="J138" s="183">
        <f t="shared" si="13"/>
        <v>0.36548798489089962</v>
      </c>
      <c r="K138">
        <v>0.25661085587556831</v>
      </c>
      <c r="L138">
        <v>3.0958500844125241</v>
      </c>
      <c r="M138" s="137">
        <v>3.5078178355445662</v>
      </c>
      <c r="N138">
        <v>2.1238516409670858</v>
      </c>
      <c r="O138" s="77">
        <v>90.8</v>
      </c>
      <c r="P138" s="77">
        <f t="shared" si="14"/>
        <v>1.958085848521085</v>
      </c>
      <c r="Q138" s="78">
        <v>32.299999999999997</v>
      </c>
      <c r="R138" s="78">
        <f t="shared" si="15"/>
        <v>1.5092025223311027</v>
      </c>
      <c r="S138" s="79">
        <v>44.4007960521485</v>
      </c>
      <c r="T138" s="184">
        <f t="shared" si="16"/>
        <v>1.6473907565550749</v>
      </c>
      <c r="U138">
        <v>2.1189299069938092E-2</v>
      </c>
      <c r="V138" s="77">
        <v>21</v>
      </c>
      <c r="W138" s="137">
        <f t="shared" si="17"/>
        <v>1.3222192947339193</v>
      </c>
    </row>
    <row r="139" spans="1:23" x14ac:dyDescent="0.35">
      <c r="A139" s="74" t="s">
        <v>539</v>
      </c>
      <c r="B139" s="74" t="s">
        <v>59</v>
      </c>
      <c r="C139">
        <v>5</v>
      </c>
      <c r="D139" s="161">
        <v>8.5440680443502757</v>
      </c>
      <c r="E139" s="161">
        <v>3.3397260273972602</v>
      </c>
      <c r="F139" s="161">
        <f t="shared" si="12"/>
        <v>0.52371084116190725</v>
      </c>
      <c r="G139">
        <v>3.7707754512906644</v>
      </c>
      <c r="H139">
        <v>1.6232492903979006</v>
      </c>
      <c r="I139" s="73">
        <v>2.3199999999999998</v>
      </c>
      <c r="J139" s="183">
        <f t="shared" si="13"/>
        <v>0.36548798489089962</v>
      </c>
      <c r="K139">
        <v>-4.8523706803827171E-2</v>
      </c>
      <c r="L139">
        <v>3.0958500844125241</v>
      </c>
      <c r="M139" s="137">
        <v>3.5078178355445662</v>
      </c>
      <c r="N139">
        <v>2.1238516409670858</v>
      </c>
      <c r="O139" s="74">
        <v>91.5</v>
      </c>
      <c r="P139" s="77">
        <f t="shared" si="14"/>
        <v>1.9614210940664483</v>
      </c>
      <c r="Q139" s="75">
        <v>32.9</v>
      </c>
      <c r="R139" s="78">
        <f t="shared" si="15"/>
        <v>1.5171958979499742</v>
      </c>
      <c r="S139" s="76">
        <v>40.767390998852598</v>
      </c>
      <c r="T139" s="184">
        <f t="shared" si="16"/>
        <v>1.6103129186864549</v>
      </c>
      <c r="U139">
        <v>-0.11918640771920865</v>
      </c>
      <c r="V139" s="74">
        <v>19</v>
      </c>
      <c r="W139" s="137">
        <f t="shared" si="17"/>
        <v>1.2787536009528289</v>
      </c>
    </row>
    <row r="140" spans="1:23" x14ac:dyDescent="0.35">
      <c r="A140" s="77" t="s">
        <v>627</v>
      </c>
      <c r="B140" s="77" t="s">
        <v>59</v>
      </c>
      <c r="C140">
        <v>8</v>
      </c>
      <c r="D140" s="161">
        <v>7.7264011621029223</v>
      </c>
      <c r="E140" s="161">
        <v>3.128767123287671</v>
      </c>
      <c r="F140" s="161">
        <f t="shared" si="12"/>
        <v>0.49537323945335449</v>
      </c>
      <c r="G140">
        <v>3.7707754512906644</v>
      </c>
      <c r="H140">
        <v>1.9030899869919435</v>
      </c>
      <c r="I140" s="72">
        <v>2.3199999999999998</v>
      </c>
      <c r="J140" s="183">
        <f t="shared" si="13"/>
        <v>0.36548798489089962</v>
      </c>
      <c r="K140">
        <v>-4.8952980787425474E-4</v>
      </c>
      <c r="L140">
        <v>3.0958500844125241</v>
      </c>
      <c r="M140" s="137">
        <v>3.5078178355445662</v>
      </c>
      <c r="N140">
        <v>2.1238516409670858</v>
      </c>
      <c r="O140" s="77">
        <v>85</v>
      </c>
      <c r="P140" s="77">
        <f t="shared" si="14"/>
        <v>1.9294189257142926</v>
      </c>
      <c r="Q140" s="78">
        <v>32.700000000000003</v>
      </c>
      <c r="R140" s="78">
        <f t="shared" si="15"/>
        <v>1.5145477526602862</v>
      </c>
      <c r="S140" s="79">
        <v>41.286751495766303</v>
      </c>
      <c r="T140" s="184">
        <f t="shared" si="16"/>
        <v>1.6158107132703448</v>
      </c>
      <c r="U140">
        <v>-0.13076828026902382</v>
      </c>
      <c r="V140" s="77">
        <v>18</v>
      </c>
      <c r="W140" s="137">
        <f t="shared" si="17"/>
        <v>1.255272505103306</v>
      </c>
    </row>
    <row r="141" spans="1:23" x14ac:dyDescent="0.35">
      <c r="A141" s="74" t="s">
        <v>629</v>
      </c>
      <c r="B141" s="74" t="s">
        <v>59</v>
      </c>
      <c r="C141">
        <v>5</v>
      </c>
      <c r="D141" s="161">
        <v>8.3617278360175931</v>
      </c>
      <c r="E141" s="161">
        <v>5.0630136986301366</v>
      </c>
      <c r="F141" s="161">
        <f t="shared" si="12"/>
        <v>0.70440910242761312</v>
      </c>
      <c r="G141">
        <v>3.7707754512906644</v>
      </c>
      <c r="H141">
        <v>0</v>
      </c>
      <c r="I141" s="73">
        <v>2.3199999999999998</v>
      </c>
      <c r="J141" s="183">
        <f t="shared" si="13"/>
        <v>0.36548798489089962</v>
      </c>
      <c r="K141">
        <v>0.29148467775775083</v>
      </c>
      <c r="L141">
        <v>3.0958500844125241</v>
      </c>
      <c r="M141" s="137">
        <v>3.5078178355445662</v>
      </c>
      <c r="N141">
        <v>2.1238516409670858</v>
      </c>
      <c r="O141" s="74">
        <v>85</v>
      </c>
      <c r="P141" s="77">
        <f t="shared" si="14"/>
        <v>1.9294189257142926</v>
      </c>
      <c r="Q141" s="75">
        <v>32.700000000000003</v>
      </c>
      <c r="R141" s="78">
        <f t="shared" si="15"/>
        <v>1.5145477526602862</v>
      </c>
      <c r="S141" s="76">
        <v>41.286751495766303</v>
      </c>
      <c r="T141" s="184">
        <f t="shared" si="16"/>
        <v>1.6158107132703448</v>
      </c>
      <c r="U141">
        <v>-4.3648054024500883E-3</v>
      </c>
      <c r="V141" s="74">
        <v>18</v>
      </c>
      <c r="W141" s="137">
        <f t="shared" si="17"/>
        <v>1.255272505103306</v>
      </c>
    </row>
    <row r="142" spans="1:23" x14ac:dyDescent="0.35">
      <c r="A142" s="77" t="s">
        <v>630</v>
      </c>
      <c r="B142" s="77" t="s">
        <v>59</v>
      </c>
      <c r="C142">
        <v>4</v>
      </c>
      <c r="D142" s="161">
        <v>7.5314789170422554</v>
      </c>
      <c r="E142" s="161">
        <v>1.210958904109589</v>
      </c>
      <c r="F142" s="161">
        <f t="shared" si="12"/>
        <v>8.3129404892617151E-2</v>
      </c>
      <c r="G142">
        <v>3.7707754512906644</v>
      </c>
      <c r="H142">
        <v>1.0413926851582251</v>
      </c>
      <c r="I142" s="72">
        <v>2.3199999999999998</v>
      </c>
      <c r="J142" s="183">
        <f t="shared" si="13"/>
        <v>0.36548798489089962</v>
      </c>
      <c r="K142">
        <v>0.29846777889938081</v>
      </c>
      <c r="L142">
        <v>3.0958500844125241</v>
      </c>
      <c r="M142" s="137">
        <v>3.5078178355445662</v>
      </c>
      <c r="N142">
        <v>2.1238516409670858</v>
      </c>
      <c r="O142" s="77">
        <v>85</v>
      </c>
      <c r="P142" s="77">
        <f t="shared" si="14"/>
        <v>1.9294189257142926</v>
      </c>
      <c r="Q142" s="78">
        <v>32.299999999999997</v>
      </c>
      <c r="R142" s="78">
        <f t="shared" si="15"/>
        <v>1.5092025223311027</v>
      </c>
      <c r="S142" s="79">
        <v>40.040400531970803</v>
      </c>
      <c r="T142" s="184">
        <f t="shared" si="16"/>
        <v>1.6024984131617945</v>
      </c>
      <c r="U142">
        <v>4.1392685158225077E-2</v>
      </c>
      <c r="V142" s="77">
        <v>17</v>
      </c>
      <c r="W142" s="137">
        <f t="shared" si="17"/>
        <v>1.2304489213782739</v>
      </c>
    </row>
    <row r="143" spans="1:23" x14ac:dyDescent="0.35">
      <c r="A143" s="74" t="s">
        <v>631</v>
      </c>
      <c r="B143" s="74" t="s">
        <v>59</v>
      </c>
      <c r="C143">
        <v>8</v>
      </c>
      <c r="D143" s="161">
        <v>8.0041063232796574</v>
      </c>
      <c r="E143" s="161">
        <v>4.7835616438356166</v>
      </c>
      <c r="F143" s="161">
        <f t="shared" si="12"/>
        <v>0.67975137491307625</v>
      </c>
      <c r="G143">
        <v>3.7707754512906644</v>
      </c>
      <c r="H143">
        <v>2.2227164711475833</v>
      </c>
      <c r="I143" s="73">
        <v>2.3199999999999998</v>
      </c>
      <c r="J143" s="183">
        <f t="shared" si="13"/>
        <v>0.36548798489089962</v>
      </c>
      <c r="K143">
        <v>0.97132548522960493</v>
      </c>
      <c r="L143">
        <v>3.0958500844125241</v>
      </c>
      <c r="M143" s="137">
        <v>3.5078178355445662</v>
      </c>
      <c r="N143">
        <v>2.1238516409670858</v>
      </c>
      <c r="O143" s="74">
        <v>85</v>
      </c>
      <c r="P143" s="77">
        <f t="shared" si="14"/>
        <v>1.9294189257142926</v>
      </c>
      <c r="Q143" s="75">
        <v>31.3</v>
      </c>
      <c r="R143" s="78">
        <f t="shared" si="15"/>
        <v>1.4955443375464486</v>
      </c>
      <c r="S143" s="76">
        <v>38.7850112673514</v>
      </c>
      <c r="T143" s="184">
        <f t="shared" si="16"/>
        <v>1.5886639219461918</v>
      </c>
      <c r="U143">
        <v>0.250420002308894</v>
      </c>
      <c r="V143" s="74">
        <v>16</v>
      </c>
      <c r="W143" s="137">
        <f t="shared" si="17"/>
        <v>1.2041199826559248</v>
      </c>
    </row>
    <row r="144" spans="1:23" x14ac:dyDescent="0.35">
      <c r="A144" s="77" t="s">
        <v>634</v>
      </c>
      <c r="B144" s="77" t="s">
        <v>59</v>
      </c>
      <c r="C144">
        <v>9</v>
      </c>
      <c r="D144" s="161">
        <v>8.1760912590556813</v>
      </c>
      <c r="E144" s="161">
        <v>2.9452054794520546</v>
      </c>
      <c r="F144" s="161">
        <f t="shared" si="12"/>
        <v>0.46911559979514939</v>
      </c>
      <c r="G144">
        <v>3.7707754512906644</v>
      </c>
      <c r="H144">
        <v>0.47712125471966244</v>
      </c>
      <c r="I144" s="72">
        <v>2.3199999999999998</v>
      </c>
      <c r="J144" s="183">
        <f t="shared" si="13"/>
        <v>0.36548798489089962</v>
      </c>
      <c r="K144">
        <v>0.28307026740134966</v>
      </c>
      <c r="L144">
        <v>3.0958500844125241</v>
      </c>
      <c r="M144" s="137">
        <v>3.5078178355445662</v>
      </c>
      <c r="N144">
        <v>2.1238516409670858</v>
      </c>
      <c r="O144" s="77">
        <v>85</v>
      </c>
      <c r="P144" s="77">
        <f t="shared" si="14"/>
        <v>1.9294189257142926</v>
      </c>
      <c r="Q144" s="78">
        <v>31.3</v>
      </c>
      <c r="R144" s="78">
        <f t="shared" si="15"/>
        <v>1.4955443375464486</v>
      </c>
      <c r="S144" s="79">
        <v>38.7850112673514</v>
      </c>
      <c r="T144" s="184">
        <f t="shared" si="16"/>
        <v>1.5886639219461918</v>
      </c>
      <c r="U144">
        <v>0.18184358794477254</v>
      </c>
      <c r="V144" s="77">
        <v>0</v>
      </c>
      <c r="W144" s="137">
        <f t="shared" si="17"/>
        <v>0</v>
      </c>
    </row>
    <row r="145" spans="1:23" x14ac:dyDescent="0.35">
      <c r="A145" s="74" t="s">
        <v>636</v>
      </c>
      <c r="B145" s="74" t="s">
        <v>59</v>
      </c>
      <c r="C145">
        <v>9</v>
      </c>
      <c r="D145" s="161">
        <v>6.8388490907372557</v>
      </c>
      <c r="E145" s="161">
        <v>3.0931506849315067</v>
      </c>
      <c r="F145" s="161">
        <f t="shared" si="12"/>
        <v>0.49040107746849315</v>
      </c>
      <c r="G145">
        <v>3.7707754512906644</v>
      </c>
      <c r="H145">
        <v>0.6020599913279624</v>
      </c>
      <c r="I145" s="73">
        <v>2.3199999999999998</v>
      </c>
      <c r="J145" s="183">
        <f t="shared" si="13"/>
        <v>0.36548798489089962</v>
      </c>
      <c r="K145">
        <v>0.33666272262619235</v>
      </c>
      <c r="L145">
        <v>3.0958500844125241</v>
      </c>
      <c r="M145" s="137">
        <v>3.5078178355445662</v>
      </c>
      <c r="N145">
        <v>2.1238516409670858</v>
      </c>
      <c r="O145" s="74">
        <v>85</v>
      </c>
      <c r="P145" s="77">
        <f t="shared" si="14"/>
        <v>1.9294189257142926</v>
      </c>
      <c r="Q145" s="75">
        <v>31.5</v>
      </c>
      <c r="R145" s="78">
        <f t="shared" si="15"/>
        <v>1.4983105537896004</v>
      </c>
      <c r="S145" s="76">
        <v>37.589394702761602</v>
      </c>
      <c r="T145" s="184">
        <f t="shared" si="16"/>
        <v>1.575065332381355</v>
      </c>
      <c r="U145">
        <v>1.2837224705172217E-2</v>
      </c>
      <c r="V145" s="74">
        <v>15</v>
      </c>
      <c r="W145" s="137">
        <f t="shared" si="17"/>
        <v>1.1760912590556813</v>
      </c>
    </row>
    <row r="146" spans="1:23" x14ac:dyDescent="0.35">
      <c r="A146" s="77" t="s">
        <v>637</v>
      </c>
      <c r="B146" s="77" t="s">
        <v>59</v>
      </c>
      <c r="C146">
        <v>2</v>
      </c>
      <c r="D146" s="161">
        <v>8.2095150145426317</v>
      </c>
      <c r="E146" s="161">
        <v>2.4767123287671233</v>
      </c>
      <c r="F146" s="161">
        <f t="shared" si="12"/>
        <v>0.39387556601888862</v>
      </c>
      <c r="G146">
        <v>3.7707754512906644</v>
      </c>
      <c r="H146">
        <v>1</v>
      </c>
      <c r="I146" s="72">
        <v>2.3199999999999998</v>
      </c>
      <c r="J146" s="183">
        <f t="shared" si="13"/>
        <v>0.36548798489089962</v>
      </c>
      <c r="K146">
        <v>8.3405285057375253E-2</v>
      </c>
      <c r="L146">
        <v>3.3647319918335836</v>
      </c>
      <c r="M146" s="137">
        <v>3.568659604598353</v>
      </c>
      <c r="N146">
        <v>2.1238516409670858</v>
      </c>
      <c r="O146" s="77">
        <v>85</v>
      </c>
      <c r="P146" s="77">
        <f t="shared" si="14"/>
        <v>1.9294189257142926</v>
      </c>
      <c r="Q146" s="78">
        <v>32.299999999999997</v>
      </c>
      <c r="R146" s="78">
        <f t="shared" si="15"/>
        <v>1.5092025223311027</v>
      </c>
      <c r="S146" s="79">
        <v>40.040400531970803</v>
      </c>
      <c r="T146" s="184">
        <f t="shared" si="16"/>
        <v>1.6024984131617945</v>
      </c>
      <c r="U146">
        <v>9.691001300805642E-2</v>
      </c>
      <c r="V146" s="77">
        <v>19</v>
      </c>
      <c r="W146" s="137">
        <f t="shared" si="17"/>
        <v>1.2787536009528289</v>
      </c>
    </row>
    <row r="147" spans="1:23" x14ac:dyDescent="0.35">
      <c r="A147" s="74" t="s">
        <v>639</v>
      </c>
      <c r="B147" s="74" t="s">
        <v>59</v>
      </c>
      <c r="C147">
        <v>5</v>
      </c>
      <c r="D147" s="161">
        <v>8.4239990900577286</v>
      </c>
      <c r="E147" s="161">
        <v>9.2246575342465746</v>
      </c>
      <c r="F147" s="161">
        <f t="shared" si="12"/>
        <v>0.96495025193161388</v>
      </c>
      <c r="G147">
        <v>3.7707754512906644</v>
      </c>
      <c r="H147">
        <v>1.3010299956639813</v>
      </c>
      <c r="I147" s="73">
        <v>2.3199999999999998</v>
      </c>
      <c r="J147" s="183">
        <f t="shared" si="13"/>
        <v>0.36548798489089962</v>
      </c>
      <c r="K147">
        <v>0.67392371517510419</v>
      </c>
      <c r="L147">
        <v>3.3647319918335836</v>
      </c>
      <c r="M147" s="137">
        <v>3.568659604598353</v>
      </c>
      <c r="N147">
        <v>2.1238516409670858</v>
      </c>
      <c r="O147" s="74">
        <v>91.5</v>
      </c>
      <c r="P147" s="77">
        <f t="shared" si="14"/>
        <v>1.9614210940664483</v>
      </c>
      <c r="Q147" s="75">
        <v>32.9</v>
      </c>
      <c r="R147" s="78">
        <f t="shared" si="15"/>
        <v>1.5171958979499742</v>
      </c>
      <c r="S147" s="76">
        <v>40.767390998852598</v>
      </c>
      <c r="T147" s="184">
        <f t="shared" si="16"/>
        <v>1.6103129186864549</v>
      </c>
      <c r="U147">
        <v>0.20951501454263097</v>
      </c>
      <c r="V147" s="74">
        <v>21</v>
      </c>
      <c r="W147" s="137">
        <f t="shared" si="17"/>
        <v>1.3222192947339193</v>
      </c>
    </row>
    <row r="148" spans="1:23" x14ac:dyDescent="0.35">
      <c r="A148" s="77" t="s">
        <v>641</v>
      </c>
      <c r="B148" s="77" t="s">
        <v>59</v>
      </c>
      <c r="C148">
        <v>1</v>
      </c>
      <c r="D148" s="161">
        <v>8.204119982655925</v>
      </c>
      <c r="E148" s="161">
        <v>5.624657534246575</v>
      </c>
      <c r="F148" s="161">
        <f t="shared" si="12"/>
        <v>0.75009608491411717</v>
      </c>
      <c r="G148">
        <v>3.7707754512906644</v>
      </c>
      <c r="H148">
        <v>1.8976270912904414</v>
      </c>
      <c r="I148" s="72">
        <v>2.3199999999999998</v>
      </c>
      <c r="J148" s="183">
        <f t="shared" si="13"/>
        <v>0.36548798489089962</v>
      </c>
      <c r="K148">
        <v>0.61212131733585828</v>
      </c>
      <c r="L148">
        <v>3.3647319918335836</v>
      </c>
      <c r="M148" s="137">
        <v>3.568659604598353</v>
      </c>
      <c r="N148">
        <v>2.1238516409670858</v>
      </c>
      <c r="O148" s="77">
        <v>94.7</v>
      </c>
      <c r="P148" s="77">
        <f t="shared" si="14"/>
        <v>1.9763499790032735</v>
      </c>
      <c r="Q148" s="78">
        <v>32.4</v>
      </c>
      <c r="R148" s="78">
        <f t="shared" si="15"/>
        <v>1.510545010206612</v>
      </c>
      <c r="S148" s="79">
        <v>45.737088331856903</v>
      </c>
      <c r="T148" s="184">
        <f t="shared" si="16"/>
        <v>1.6602685135357675</v>
      </c>
      <c r="U148">
        <v>0.28103336724772759</v>
      </c>
      <c r="V148" s="77">
        <v>26</v>
      </c>
      <c r="W148" s="137">
        <f t="shared" si="17"/>
        <v>1.414973347970818</v>
      </c>
    </row>
    <row r="149" spans="1:23" x14ac:dyDescent="0.35">
      <c r="A149" s="96" t="s">
        <v>643</v>
      </c>
      <c r="B149" s="74" t="s">
        <v>59</v>
      </c>
      <c r="C149">
        <v>2</v>
      </c>
      <c r="D149" s="161">
        <v>7.5412046906832586</v>
      </c>
      <c r="E149" s="161">
        <v>5.9917808219178079</v>
      </c>
      <c r="F149" s="161">
        <f t="shared" si="12"/>
        <v>0.77755591858116235</v>
      </c>
      <c r="G149">
        <v>3.7707754512906644</v>
      </c>
      <c r="H149">
        <v>0.47712125471966244</v>
      </c>
      <c r="I149" s="73">
        <v>2.3199999999999998</v>
      </c>
      <c r="J149" s="183">
        <f t="shared" si="13"/>
        <v>0.36548798489089962</v>
      </c>
      <c r="K149">
        <v>0.71406781442004763</v>
      </c>
      <c r="L149">
        <v>3.3647319918335836</v>
      </c>
      <c r="M149" s="137">
        <v>3.568659604598353</v>
      </c>
      <c r="N149">
        <v>2.1238516409670858</v>
      </c>
      <c r="O149" s="74">
        <v>89.8</v>
      </c>
      <c r="P149" s="77">
        <f t="shared" si="14"/>
        <v>1.9532763366673043</v>
      </c>
      <c r="Q149" s="75">
        <v>31.2</v>
      </c>
      <c r="R149" s="78">
        <f t="shared" si="15"/>
        <v>1.4941545940184429</v>
      </c>
      <c r="S149" s="76">
        <v>47.307367293927399</v>
      </c>
      <c r="T149" s="184">
        <f t="shared" si="16"/>
        <v>1.6749287797641836</v>
      </c>
      <c r="U149">
        <v>0.43616264704075602</v>
      </c>
      <c r="V149" s="74">
        <v>0</v>
      </c>
      <c r="W149" s="137">
        <f t="shared" si="17"/>
        <v>0</v>
      </c>
    </row>
    <row r="150" spans="1:23" x14ac:dyDescent="0.35">
      <c r="A150" s="77" t="s">
        <v>645</v>
      </c>
      <c r="B150" s="77" t="s">
        <v>59</v>
      </c>
      <c r="C150">
        <v>5</v>
      </c>
      <c r="D150" s="161">
        <v>9.3996737214810384</v>
      </c>
      <c r="E150" s="161">
        <v>2.1753424657534248</v>
      </c>
      <c r="F150" s="161">
        <f t="shared" si="12"/>
        <v>0.33752763797062157</v>
      </c>
      <c r="G150">
        <v>3.7707754512906644</v>
      </c>
      <c r="H150">
        <v>0.69897000433601886</v>
      </c>
      <c r="I150" s="72">
        <v>2.3199999999999998</v>
      </c>
      <c r="J150" s="183">
        <f t="shared" si="13"/>
        <v>0.36548798489089962</v>
      </c>
      <c r="K150">
        <v>2.8298992127170717E-2</v>
      </c>
      <c r="L150">
        <v>3.3647319918335836</v>
      </c>
      <c r="M150" s="137">
        <v>3.568659604598353</v>
      </c>
      <c r="N150">
        <v>2.1238516409670858</v>
      </c>
      <c r="O150" s="77">
        <v>85</v>
      </c>
      <c r="P150" s="77">
        <f t="shared" si="14"/>
        <v>1.9294189257142926</v>
      </c>
      <c r="Q150" s="78">
        <v>31.3</v>
      </c>
      <c r="R150" s="78">
        <f t="shared" si="15"/>
        <v>1.4955443375464486</v>
      </c>
      <c r="S150" s="79">
        <v>38.7850112673514</v>
      </c>
      <c r="T150" s="184">
        <f t="shared" si="16"/>
        <v>1.5886639219461918</v>
      </c>
      <c r="U150">
        <v>7.9181246047624818E-2</v>
      </c>
      <c r="V150" s="77">
        <v>18</v>
      </c>
      <c r="W150" s="137">
        <f t="shared" si="17"/>
        <v>1.255272505103306</v>
      </c>
    </row>
    <row r="151" spans="1:23" x14ac:dyDescent="0.35">
      <c r="A151" s="74" t="s">
        <v>647</v>
      </c>
      <c r="B151" s="74" t="s">
        <v>59</v>
      </c>
      <c r="C151">
        <v>5</v>
      </c>
      <c r="D151" s="161">
        <v>9.2363762625668429</v>
      </c>
      <c r="E151" s="161">
        <v>9.6438356164383556</v>
      </c>
      <c r="F151" s="161">
        <f t="shared" si="12"/>
        <v>0.98424979902165632</v>
      </c>
      <c r="G151">
        <v>3.7707754512906644</v>
      </c>
      <c r="H151">
        <v>0.90308998699194354</v>
      </c>
      <c r="I151" s="73">
        <v>2.3199999999999998</v>
      </c>
      <c r="J151" s="183">
        <f t="shared" si="13"/>
        <v>0.36548798489089962</v>
      </c>
      <c r="K151">
        <v>0.15772854466068537</v>
      </c>
      <c r="L151">
        <v>3.3647319918335836</v>
      </c>
      <c r="M151" s="137">
        <v>3.568659604598353</v>
      </c>
      <c r="N151">
        <v>2.1238516409670858</v>
      </c>
      <c r="O151" s="74">
        <v>85</v>
      </c>
      <c r="P151" s="77">
        <f t="shared" si="14"/>
        <v>1.9294189257142926</v>
      </c>
      <c r="Q151" s="75">
        <v>32.700000000000003</v>
      </c>
      <c r="R151" s="78">
        <f t="shared" si="15"/>
        <v>1.5145477526602862</v>
      </c>
      <c r="S151" s="76">
        <v>41.286751495766303</v>
      </c>
      <c r="T151" s="184">
        <f t="shared" si="16"/>
        <v>1.6158107132703448</v>
      </c>
      <c r="U151">
        <v>0.2355284469075489</v>
      </c>
      <c r="V151" s="74">
        <v>20</v>
      </c>
      <c r="W151" s="137">
        <f t="shared" si="17"/>
        <v>1.3010299956639813</v>
      </c>
    </row>
    <row r="152" spans="1:23" x14ac:dyDescent="0.35">
      <c r="A152" s="96" t="s">
        <v>648</v>
      </c>
      <c r="B152" s="77" t="s">
        <v>59</v>
      </c>
      <c r="C152">
        <v>6</v>
      </c>
      <c r="D152" s="161">
        <v>7.7781512503836439</v>
      </c>
      <c r="E152" s="161">
        <v>1.5863013698630137</v>
      </c>
      <c r="F152" s="161">
        <f t="shared" si="12"/>
        <v>0.2003856992709615</v>
      </c>
      <c r="G152">
        <v>3.7707754512906644</v>
      </c>
      <c r="H152">
        <v>1.1139433523068367</v>
      </c>
      <c r="I152" s="72">
        <v>2.3199999999999998</v>
      </c>
      <c r="J152" s="183">
        <f t="shared" si="13"/>
        <v>0.36548798489089962</v>
      </c>
      <c r="K152">
        <v>0.96614173273903259</v>
      </c>
      <c r="L152">
        <v>3.3647319918335836</v>
      </c>
      <c r="M152" s="137">
        <v>3.568659604598353</v>
      </c>
      <c r="N152">
        <v>2.1238516409670858</v>
      </c>
      <c r="O152" s="77">
        <v>85</v>
      </c>
      <c r="P152" s="77">
        <f t="shared" si="14"/>
        <v>1.9294189257142926</v>
      </c>
      <c r="Q152" s="78">
        <v>32.9</v>
      </c>
      <c r="R152" s="78">
        <f t="shared" si="15"/>
        <v>1.5171958979499742</v>
      </c>
      <c r="S152" s="79">
        <v>35.433808146393098</v>
      </c>
      <c r="T152" s="184">
        <f t="shared" si="16"/>
        <v>1.5494178293890581</v>
      </c>
      <c r="U152">
        <v>-0.10237290870955855</v>
      </c>
      <c r="V152" s="77">
        <v>15</v>
      </c>
      <c r="W152" s="137">
        <f t="shared" si="17"/>
        <v>1.1760912590556813</v>
      </c>
    </row>
    <row r="153" spans="1:23" x14ac:dyDescent="0.35">
      <c r="A153" s="74" t="s">
        <v>650</v>
      </c>
      <c r="B153" s="74" t="s">
        <v>3</v>
      </c>
      <c r="C153">
        <v>4</v>
      </c>
      <c r="D153" s="161">
        <v>9.9024086962903652</v>
      </c>
      <c r="E153" s="161">
        <v>7.1726027397260275</v>
      </c>
      <c r="F153" s="161">
        <f t="shared" si="12"/>
        <v>0.85567677775826234</v>
      </c>
      <c r="G153">
        <v>3.8137210609712455</v>
      </c>
      <c r="H153">
        <v>1.2304489213782739</v>
      </c>
      <c r="I153" s="73">
        <v>2.86</v>
      </c>
      <c r="J153" s="183">
        <f t="shared" si="13"/>
        <v>0.456366033129043</v>
      </c>
      <c r="K153">
        <v>-0.59371729118283922</v>
      </c>
      <c r="L153">
        <v>3.3647319918335836</v>
      </c>
      <c r="M153" s="137">
        <v>3.568659604598353</v>
      </c>
      <c r="N153">
        <v>2.9222928506441082</v>
      </c>
      <c r="O153" s="74">
        <v>94.6</v>
      </c>
      <c r="P153" s="77">
        <f t="shared" si="14"/>
        <v>1.9758911364017928</v>
      </c>
      <c r="Q153" s="75">
        <v>46.5</v>
      </c>
      <c r="R153" s="78">
        <f t="shared" si="15"/>
        <v>1.667452952889954</v>
      </c>
      <c r="S153" s="76">
        <v>49.829752832499103</v>
      </c>
      <c r="T153" s="184">
        <f t="shared" si="16"/>
        <v>1.69748873297182</v>
      </c>
      <c r="U153">
        <v>9.3421685162235063E-2</v>
      </c>
      <c r="V153" s="74">
        <v>21</v>
      </c>
      <c r="W153" s="137">
        <f t="shared" si="17"/>
        <v>1.3222192947339193</v>
      </c>
    </row>
    <row r="154" spans="1:23" x14ac:dyDescent="0.35">
      <c r="A154" s="77" t="s">
        <v>653</v>
      </c>
      <c r="B154" s="77" t="s">
        <v>5</v>
      </c>
      <c r="C154">
        <v>4</v>
      </c>
      <c r="D154" s="161">
        <v>8.8192608938937127</v>
      </c>
      <c r="E154" s="161">
        <v>1.1123287671232878</v>
      </c>
      <c r="F154" s="161">
        <f t="shared" si="12"/>
        <v>4.6233169120719446E-2</v>
      </c>
      <c r="G154">
        <v>3.7916829312790057</v>
      </c>
      <c r="H154">
        <v>0.84509804001425681</v>
      </c>
      <c r="I154" s="72">
        <v>2.72</v>
      </c>
      <c r="J154" s="183">
        <f t="shared" si="13"/>
        <v>0.43456890403419873</v>
      </c>
      <c r="K154">
        <v>-1.795873695462381E-2</v>
      </c>
      <c r="L154">
        <v>3.3647319918335836</v>
      </c>
      <c r="M154" s="137">
        <v>3.568659604598353</v>
      </c>
      <c r="N154">
        <v>3.0355631414974997</v>
      </c>
      <c r="O154" s="77">
        <v>70</v>
      </c>
      <c r="P154" s="77">
        <f t="shared" si="14"/>
        <v>1.8450980400142569</v>
      </c>
      <c r="Q154" s="78">
        <v>34.799999999999997</v>
      </c>
      <c r="R154" s="78">
        <f t="shared" si="15"/>
        <v>1.541579243946581</v>
      </c>
      <c r="S154" s="79">
        <v>43.471204603938098</v>
      </c>
      <c r="T154" s="184">
        <f t="shared" si="16"/>
        <v>1.6382016748260968</v>
      </c>
      <c r="U154">
        <v>4.5322978786657475E-2</v>
      </c>
      <c r="V154" s="77">
        <v>19</v>
      </c>
      <c r="W154" s="137">
        <f t="shared" si="17"/>
        <v>1.2787536009528289</v>
      </c>
    </row>
    <row r="155" spans="1:23" x14ac:dyDescent="0.35">
      <c r="A155" s="74" t="s">
        <v>654</v>
      </c>
      <c r="B155" s="74" t="s">
        <v>2</v>
      </c>
      <c r="C155">
        <v>6</v>
      </c>
      <c r="D155" s="161">
        <v>9.143014800254095</v>
      </c>
      <c r="E155" s="161">
        <v>2.1945205479452055</v>
      </c>
      <c r="F155" s="161">
        <f t="shared" si="12"/>
        <v>0.34133965162776297</v>
      </c>
      <c r="G155">
        <v>3.8335760926148099</v>
      </c>
      <c r="H155">
        <v>2.1335389083702174</v>
      </c>
      <c r="I155" s="73">
        <v>2.85</v>
      </c>
      <c r="J155" s="183">
        <f t="shared" si="13"/>
        <v>0.45484486000851021</v>
      </c>
      <c r="K155">
        <v>6.1105182401829682E-2</v>
      </c>
      <c r="L155">
        <v>3.3647319918335836</v>
      </c>
      <c r="M155" s="137">
        <v>3.568659604598353</v>
      </c>
      <c r="N155">
        <v>2.9138138523837167</v>
      </c>
      <c r="O155" s="74">
        <v>70</v>
      </c>
      <c r="P155" s="77">
        <f t="shared" si="14"/>
        <v>1.8450980400142569</v>
      </c>
      <c r="Q155" s="75">
        <v>33.9</v>
      </c>
      <c r="R155" s="78">
        <f t="shared" si="15"/>
        <v>1.5301996982030821</v>
      </c>
      <c r="S155" s="76">
        <v>46.312020505412598</v>
      </c>
      <c r="T155" s="184">
        <f t="shared" si="16"/>
        <v>1.6656937288498501</v>
      </c>
      <c r="U155">
        <v>6.445798922691845E-2</v>
      </c>
      <c r="V155" s="74">
        <v>19</v>
      </c>
      <c r="W155" s="137">
        <f t="shared" si="17"/>
        <v>1.2787536009528289</v>
      </c>
    </row>
    <row r="156" spans="1:23" x14ac:dyDescent="0.35">
      <c r="A156" s="77" t="s">
        <v>656</v>
      </c>
      <c r="B156" s="77" t="s">
        <v>2</v>
      </c>
      <c r="C156">
        <v>5</v>
      </c>
      <c r="D156" s="161">
        <v>8.8450980400142569</v>
      </c>
      <c r="E156" s="161">
        <v>5.9835616438356167</v>
      </c>
      <c r="F156" s="161">
        <f t="shared" si="12"/>
        <v>0.77695976957622492</v>
      </c>
      <c r="G156">
        <v>3.8335760926148099</v>
      </c>
      <c r="H156">
        <v>1.4913616938342726</v>
      </c>
      <c r="I156" s="72">
        <v>2.85</v>
      </c>
      <c r="J156" s="183">
        <f t="shared" si="13"/>
        <v>0.45484486000851021</v>
      </c>
      <c r="K156">
        <v>-0.28280517555778212</v>
      </c>
      <c r="L156">
        <v>3.3647319918335836</v>
      </c>
      <c r="M156" s="137">
        <v>3.568659604598353</v>
      </c>
      <c r="N156">
        <v>2.9138138523837167</v>
      </c>
      <c r="O156" s="77">
        <v>89.6</v>
      </c>
      <c r="P156" s="77">
        <f t="shared" si="14"/>
        <v>1.9523080096621253</v>
      </c>
      <c r="Q156" s="78">
        <v>35.700000000000003</v>
      </c>
      <c r="R156" s="78">
        <f t="shared" si="15"/>
        <v>1.5526682161121932</v>
      </c>
      <c r="S156" s="79">
        <v>44.7100017757258</v>
      </c>
      <c r="T156" s="184">
        <f t="shared" si="16"/>
        <v>1.6504046871166989</v>
      </c>
      <c r="U156">
        <v>0.26007138798507473</v>
      </c>
      <c r="V156" s="77">
        <v>26</v>
      </c>
      <c r="W156" s="137">
        <f t="shared" si="17"/>
        <v>1.414973347970818</v>
      </c>
    </row>
    <row r="157" spans="1:23" x14ac:dyDescent="0.35">
      <c r="A157" s="74" t="s">
        <v>227</v>
      </c>
      <c r="B157" s="74" t="s">
        <v>2</v>
      </c>
      <c r="C157">
        <v>8</v>
      </c>
      <c r="D157" s="161">
        <v>9.1139433523068369</v>
      </c>
      <c r="E157" s="161">
        <v>5.0684931506849313</v>
      </c>
      <c r="F157" s="161">
        <f t="shared" si="12"/>
        <v>0.70487886394653909</v>
      </c>
      <c r="G157">
        <v>3.8335760926148099</v>
      </c>
      <c r="H157">
        <v>1.6334684555795864</v>
      </c>
      <c r="I157" s="73">
        <v>2.85</v>
      </c>
      <c r="J157" s="183">
        <f t="shared" si="13"/>
        <v>0.45484486000851021</v>
      </c>
      <c r="K157">
        <v>-0.83518975135400775</v>
      </c>
      <c r="L157">
        <v>3.3647319918335836</v>
      </c>
      <c r="M157" s="137">
        <v>3.568659604598353</v>
      </c>
      <c r="N157">
        <v>2.9138138523837167</v>
      </c>
      <c r="O157" s="74">
        <v>88.9</v>
      </c>
      <c r="P157" s="77">
        <f t="shared" si="14"/>
        <v>1.9489017609702137</v>
      </c>
      <c r="Q157" s="75">
        <v>34.9</v>
      </c>
      <c r="R157" s="78">
        <f t="shared" si="15"/>
        <v>1.5428254269591799</v>
      </c>
      <c r="S157" s="76">
        <v>42.817370475444001</v>
      </c>
      <c r="T157" s="184">
        <f t="shared" si="16"/>
        <v>1.6316199926391717</v>
      </c>
      <c r="U157">
        <v>-4.5757490560675115E-2</v>
      </c>
      <c r="V157" s="74">
        <v>22</v>
      </c>
      <c r="W157" s="137">
        <f t="shared" si="17"/>
        <v>1.3424226808222062</v>
      </c>
    </row>
    <row r="158" spans="1:23" x14ac:dyDescent="0.35">
      <c r="A158" s="77" t="s">
        <v>658</v>
      </c>
      <c r="B158" s="77" t="s">
        <v>2</v>
      </c>
      <c r="C158">
        <v>8</v>
      </c>
      <c r="D158" s="161">
        <v>9.4235325775237104</v>
      </c>
      <c r="E158" s="161">
        <v>3.4109589041095889</v>
      </c>
      <c r="F158" s="161">
        <f t="shared" si="12"/>
        <v>0.53287648697528045</v>
      </c>
      <c r="G158">
        <v>3.8335760926148099</v>
      </c>
      <c r="H158">
        <v>0.90308998699194354</v>
      </c>
      <c r="I158" s="72">
        <v>2.85</v>
      </c>
      <c r="J158" s="183">
        <f t="shared" si="13"/>
        <v>0.45484486000851021</v>
      </c>
      <c r="K158">
        <v>-3.9250864638126763E-2</v>
      </c>
      <c r="L158">
        <v>3.3647319918335836</v>
      </c>
      <c r="M158" s="137">
        <v>3.568659604598353</v>
      </c>
      <c r="N158">
        <v>2.9138138523837167</v>
      </c>
      <c r="O158" s="77">
        <v>70</v>
      </c>
      <c r="P158" s="77">
        <f t="shared" si="14"/>
        <v>1.8450980400142569</v>
      </c>
      <c r="Q158" s="78">
        <v>34.6</v>
      </c>
      <c r="R158" s="78">
        <f t="shared" si="15"/>
        <v>1.5390760987927767</v>
      </c>
      <c r="S158" s="79">
        <v>47.8156192569637</v>
      </c>
      <c r="T158" s="184">
        <f t="shared" si="16"/>
        <v>1.6795697846681461</v>
      </c>
      <c r="U158">
        <v>0.14612803567823801</v>
      </c>
      <c r="V158" s="77">
        <v>18</v>
      </c>
      <c r="W158" s="137">
        <f t="shared" si="17"/>
        <v>1.255272505103306</v>
      </c>
    </row>
    <row r="159" spans="1:23" x14ac:dyDescent="0.35">
      <c r="A159" s="74" t="s">
        <v>659</v>
      </c>
      <c r="B159" s="74" t="s">
        <v>2</v>
      </c>
      <c r="C159">
        <v>8</v>
      </c>
      <c r="D159" s="161">
        <v>8.6989700043360187</v>
      </c>
      <c r="E159" s="161">
        <v>3.3561643835616439</v>
      </c>
      <c r="F159" s="161">
        <f t="shared" si="12"/>
        <v>0.52584322424407659</v>
      </c>
      <c r="G159">
        <v>3.8335760926148099</v>
      </c>
      <c r="H159">
        <v>2.0530784434834195</v>
      </c>
      <c r="I159" s="73">
        <v>2.85</v>
      </c>
      <c r="J159" s="183">
        <f t="shared" si="13"/>
        <v>0.45484486000851021</v>
      </c>
      <c r="K159">
        <v>0.46239799789895608</v>
      </c>
      <c r="L159">
        <v>3.3647319918335836</v>
      </c>
      <c r="M159" s="137">
        <v>3.568659604598353</v>
      </c>
      <c r="N159">
        <v>2.9138138523837167</v>
      </c>
      <c r="O159" s="74">
        <v>70</v>
      </c>
      <c r="P159" s="77">
        <f t="shared" si="14"/>
        <v>1.8450980400142569</v>
      </c>
      <c r="Q159" s="75">
        <v>33.9</v>
      </c>
      <c r="R159" s="78">
        <f t="shared" si="15"/>
        <v>1.5301996982030821</v>
      </c>
      <c r="S159" s="76">
        <v>46.312020505412598</v>
      </c>
      <c r="T159" s="184">
        <f t="shared" si="16"/>
        <v>1.6656937288498501</v>
      </c>
      <c r="U159">
        <v>0.12710479836480765</v>
      </c>
      <c r="V159" s="74">
        <v>19</v>
      </c>
      <c r="W159" s="137">
        <f t="shared" si="17"/>
        <v>1.2787536009528289</v>
      </c>
    </row>
    <row r="160" spans="1:23" x14ac:dyDescent="0.35">
      <c r="A160" s="77" t="s">
        <v>660</v>
      </c>
      <c r="B160" s="77" t="s">
        <v>2</v>
      </c>
      <c r="C160">
        <v>8</v>
      </c>
      <c r="D160" s="161">
        <v>8.7781512503836439</v>
      </c>
      <c r="E160" s="161">
        <v>3.3232876712328765</v>
      </c>
      <c r="F160" s="161">
        <f t="shared" si="12"/>
        <v>0.52156793641009824</v>
      </c>
      <c r="G160">
        <v>3.8335760926148099</v>
      </c>
      <c r="H160">
        <v>2.1492191126553797</v>
      </c>
      <c r="I160" s="72">
        <v>2.85</v>
      </c>
      <c r="J160" s="183">
        <f t="shared" si="13"/>
        <v>0.45484486000851021</v>
      </c>
      <c r="K160">
        <v>6.8509665297384587E-2</v>
      </c>
      <c r="L160">
        <v>3.3647319918335836</v>
      </c>
      <c r="M160" s="137">
        <v>3.568659604598353</v>
      </c>
      <c r="N160">
        <v>2.9138138523837167</v>
      </c>
      <c r="O160" s="77">
        <v>70</v>
      </c>
      <c r="P160" s="77">
        <f t="shared" si="14"/>
        <v>1.8450980400142569</v>
      </c>
      <c r="Q160" s="78">
        <v>33.9</v>
      </c>
      <c r="R160" s="78">
        <f t="shared" si="15"/>
        <v>1.5301996982030821</v>
      </c>
      <c r="S160" s="79">
        <v>46.312020505412598</v>
      </c>
      <c r="T160" s="184">
        <f t="shared" si="16"/>
        <v>1.6656937288498501</v>
      </c>
      <c r="U160">
        <v>5.6904851336472641E-2</v>
      </c>
      <c r="V160" s="77">
        <v>19</v>
      </c>
      <c r="W160" s="137">
        <f t="shared" si="17"/>
        <v>1.2787536009528289</v>
      </c>
    </row>
    <row r="161" spans="1:23" x14ac:dyDescent="0.35">
      <c r="A161" s="74" t="s">
        <v>280</v>
      </c>
      <c r="B161" s="74" t="s">
        <v>2</v>
      </c>
      <c r="C161">
        <v>4</v>
      </c>
      <c r="D161" s="161">
        <v>8.9542425094393252</v>
      </c>
      <c r="E161" s="161">
        <v>2.7808219178082192</v>
      </c>
      <c r="F161" s="161">
        <f t="shared" si="12"/>
        <v>0.444173177792757</v>
      </c>
      <c r="G161">
        <v>3.8335760926148099</v>
      </c>
      <c r="H161">
        <v>0.47712125471966244</v>
      </c>
      <c r="I161" s="73">
        <v>2.85</v>
      </c>
      <c r="J161" s="183">
        <f t="shared" si="13"/>
        <v>0.45484486000851021</v>
      </c>
      <c r="K161">
        <v>0.15970084286751188</v>
      </c>
      <c r="L161">
        <v>3.3647319918335836</v>
      </c>
      <c r="M161" s="137">
        <v>3.568659604598353</v>
      </c>
      <c r="N161">
        <v>2.9138138523837167</v>
      </c>
      <c r="O161" s="74">
        <v>70</v>
      </c>
      <c r="P161" s="77">
        <f t="shared" si="14"/>
        <v>1.8450980400142569</v>
      </c>
      <c r="Q161" s="75">
        <v>34.6</v>
      </c>
      <c r="R161" s="78">
        <f t="shared" si="15"/>
        <v>1.5390760987927767</v>
      </c>
      <c r="S161" s="76">
        <v>47.8156192569637</v>
      </c>
      <c r="T161" s="184">
        <f t="shared" si="16"/>
        <v>1.6795697846681461</v>
      </c>
      <c r="U161">
        <v>0.11727129565576427</v>
      </c>
      <c r="V161" s="74">
        <v>18</v>
      </c>
      <c r="W161" s="137">
        <f t="shared" si="17"/>
        <v>1.255272505103306</v>
      </c>
    </row>
    <row r="162" spans="1:23" x14ac:dyDescent="0.35">
      <c r="A162" s="77" t="s">
        <v>661</v>
      </c>
      <c r="B162" s="77" t="s">
        <v>163</v>
      </c>
      <c r="C162">
        <v>5</v>
      </c>
      <c r="D162" s="161">
        <v>8.6434526764861879</v>
      </c>
      <c r="E162" s="161">
        <v>3.2301369863013698</v>
      </c>
      <c r="F162" s="161">
        <f t="shared" si="12"/>
        <v>0.50922094063861445</v>
      </c>
      <c r="G162">
        <v>3.7899753459779522</v>
      </c>
      <c r="H162">
        <v>1.414973347970818</v>
      </c>
      <c r="I162" s="72">
        <v>3.18</v>
      </c>
      <c r="J162" s="183">
        <f t="shared" si="13"/>
        <v>0.50242711998443268</v>
      </c>
      <c r="K162">
        <v>0.5840226669961831</v>
      </c>
      <c r="L162">
        <v>3.3647319918335836</v>
      </c>
      <c r="M162" s="137">
        <v>3.568659604598353</v>
      </c>
      <c r="N162">
        <v>2.7670321178317625</v>
      </c>
      <c r="O162" s="77">
        <v>79.900000000000006</v>
      </c>
      <c r="P162" s="77">
        <f t="shared" si="14"/>
        <v>1.9025467793139914</v>
      </c>
      <c r="Q162" s="78">
        <v>45.4</v>
      </c>
      <c r="R162" s="78">
        <f t="shared" si="15"/>
        <v>1.657055852857104</v>
      </c>
      <c r="S162" s="79">
        <v>57.213602417008403</v>
      </c>
      <c r="T162" s="184">
        <f t="shared" si="16"/>
        <v>1.7574992936942306</v>
      </c>
      <c r="U162">
        <v>0.12385164096708581</v>
      </c>
      <c r="V162" s="77">
        <v>29</v>
      </c>
      <c r="W162" s="137">
        <f t="shared" si="17"/>
        <v>1.4623979978989561</v>
      </c>
    </row>
    <row r="163" spans="1:23" x14ac:dyDescent="0.35">
      <c r="A163" s="74" t="s">
        <v>247</v>
      </c>
      <c r="B163" s="74" t="s">
        <v>59</v>
      </c>
      <c r="C163">
        <v>5</v>
      </c>
      <c r="D163" s="161">
        <v>8.9030899869919438</v>
      </c>
      <c r="E163" s="161">
        <v>5.882191780821918</v>
      </c>
      <c r="F163" s="161">
        <f t="shared" si="12"/>
        <v>0.76953917997977395</v>
      </c>
      <c r="G163">
        <v>2.5362300726332561</v>
      </c>
      <c r="H163">
        <v>1.0413926851582251</v>
      </c>
      <c r="I163" s="73">
        <v>2.5499999999999998</v>
      </c>
      <c r="J163" s="183">
        <f t="shared" si="13"/>
        <v>0.40654018043395512</v>
      </c>
      <c r="K163">
        <v>-9.8950554656593151E-2</v>
      </c>
      <c r="L163">
        <v>3.0840515198150036</v>
      </c>
      <c r="M163" s="137">
        <v>3.905035725793323</v>
      </c>
      <c r="N163">
        <v>2.756001823801419</v>
      </c>
      <c r="O163" s="74">
        <v>85</v>
      </c>
      <c r="P163" s="77">
        <f t="shared" si="14"/>
        <v>1.9294189257142926</v>
      </c>
      <c r="Q163" s="75">
        <v>32.700000000000003</v>
      </c>
      <c r="R163" s="78">
        <f t="shared" si="15"/>
        <v>1.5145477526602862</v>
      </c>
      <c r="S163" s="76">
        <v>41.286751495766303</v>
      </c>
      <c r="T163" s="184">
        <f t="shared" si="16"/>
        <v>1.6158107132703448</v>
      </c>
      <c r="U163">
        <v>4.1392685158225077E-2</v>
      </c>
      <c r="V163" s="74">
        <v>11</v>
      </c>
      <c r="W163" s="137">
        <f t="shared" si="17"/>
        <v>1.0413926851582251</v>
      </c>
    </row>
    <row r="164" spans="1:23" x14ac:dyDescent="0.35">
      <c r="A164" s="77" t="s">
        <v>665</v>
      </c>
      <c r="B164" s="77" t="s">
        <v>2</v>
      </c>
      <c r="C164">
        <v>7</v>
      </c>
      <c r="D164" s="161">
        <v>8.1727780146558526</v>
      </c>
      <c r="E164" s="161">
        <v>2.0027397260273974</v>
      </c>
      <c r="F164" s="161">
        <f t="shared" si="12"/>
        <v>0.30162451250138578</v>
      </c>
      <c r="G164">
        <v>2.8358680570524939</v>
      </c>
      <c r="H164">
        <v>1.7242758696007889</v>
      </c>
      <c r="I164" s="72">
        <v>2.74</v>
      </c>
      <c r="J164" s="183">
        <f t="shared" si="13"/>
        <v>0.43775056282038799</v>
      </c>
      <c r="K164">
        <v>-0.21230723712155383</v>
      </c>
      <c r="L164">
        <v>3.0840515198150036</v>
      </c>
      <c r="M164" s="137">
        <v>3.905035725793323</v>
      </c>
      <c r="N164">
        <v>3.1502958128255383</v>
      </c>
      <c r="O164" s="77">
        <v>70</v>
      </c>
      <c r="P164" s="77">
        <f t="shared" si="14"/>
        <v>1.8450980400142569</v>
      </c>
      <c r="Q164" s="78">
        <v>34.6</v>
      </c>
      <c r="R164" s="78">
        <f t="shared" si="15"/>
        <v>1.5390760987927767</v>
      </c>
      <c r="S164" s="79">
        <v>47.8156192569637</v>
      </c>
      <c r="T164" s="184">
        <f t="shared" si="16"/>
        <v>1.6795697846681461</v>
      </c>
      <c r="U164">
        <v>0.10037054511756291</v>
      </c>
      <c r="V164" s="77">
        <v>9</v>
      </c>
      <c r="W164" s="137">
        <f t="shared" si="17"/>
        <v>0.95424250943932487</v>
      </c>
    </row>
    <row r="165" spans="1:23" x14ac:dyDescent="0.35">
      <c r="A165" s="74" t="s">
        <v>667</v>
      </c>
      <c r="B165" s="74" t="s">
        <v>6</v>
      </c>
      <c r="C165">
        <v>1</v>
      </c>
      <c r="D165" s="161">
        <v>8.318063334962762</v>
      </c>
      <c r="E165" s="161">
        <v>4.3726027397260276</v>
      </c>
      <c r="F165" s="161">
        <f t="shared" si="12"/>
        <v>0.64074002255823592</v>
      </c>
      <c r="G165">
        <v>2.4227867541517965</v>
      </c>
      <c r="H165">
        <v>1.8260748027008264</v>
      </c>
      <c r="I165" s="73">
        <v>3.07</v>
      </c>
      <c r="J165" s="183">
        <f t="shared" si="13"/>
        <v>0.48713837547718647</v>
      </c>
      <c r="K165">
        <v>0.63617917447656325</v>
      </c>
      <c r="L165">
        <v>3.2258683317817765</v>
      </c>
      <c r="M165" s="137">
        <v>3.9615291224236637</v>
      </c>
      <c r="N165">
        <v>2.9283958522567137</v>
      </c>
      <c r="O165" s="74">
        <v>91.6</v>
      </c>
      <c r="P165" s="77">
        <f t="shared" si="14"/>
        <v>1.9618954736678504</v>
      </c>
      <c r="Q165" s="75">
        <v>45.1</v>
      </c>
      <c r="R165" s="78">
        <f t="shared" si="15"/>
        <v>1.6541765418779606</v>
      </c>
      <c r="S165" s="76">
        <v>55.827525017854398</v>
      </c>
      <c r="T165" s="184">
        <f t="shared" si="16"/>
        <v>1.7468483748517865</v>
      </c>
      <c r="U165">
        <v>0.20682587603184968</v>
      </c>
      <c r="V165" s="74">
        <v>15</v>
      </c>
      <c r="W165" s="137">
        <f t="shared" si="17"/>
        <v>1.1760912590556813</v>
      </c>
    </row>
    <row r="166" spans="1:23" x14ac:dyDescent="0.35">
      <c r="A166" s="77" t="s">
        <v>670</v>
      </c>
      <c r="B166" s="77" t="s">
        <v>45</v>
      </c>
      <c r="C166">
        <v>1</v>
      </c>
      <c r="D166" s="161">
        <v>8.9542425094393252</v>
      </c>
      <c r="E166" s="161">
        <v>1.1698630136986301</v>
      </c>
      <c r="F166" s="161">
        <f t="shared" si="12"/>
        <v>6.8135010568549148E-2</v>
      </c>
      <c r="G166">
        <v>3.7899753459779522</v>
      </c>
      <c r="H166">
        <v>1.3979400086720377</v>
      </c>
      <c r="I166" s="72">
        <v>3.18</v>
      </c>
      <c r="J166" s="183">
        <f t="shared" si="13"/>
        <v>0.50242711998443268</v>
      </c>
      <c r="K166">
        <v>4.5757490560675143E-2</v>
      </c>
      <c r="L166">
        <v>3.2258683317817765</v>
      </c>
      <c r="M166" s="137">
        <v>3.9615291224236637</v>
      </c>
      <c r="N166">
        <v>2.7670321178317625</v>
      </c>
      <c r="O166" s="77">
        <v>89.2</v>
      </c>
      <c r="P166" s="77">
        <f t="shared" si="14"/>
        <v>1.9503648543761232</v>
      </c>
      <c r="Q166" s="78">
        <v>26</v>
      </c>
      <c r="R166" s="78">
        <f t="shared" si="15"/>
        <v>1.414973347970818</v>
      </c>
      <c r="S166" s="79">
        <v>38.344872802923099</v>
      </c>
      <c r="T166" s="184">
        <f t="shared" si="16"/>
        <v>1.5837073014724459</v>
      </c>
      <c r="U166">
        <v>2.9383777685209667E-2</v>
      </c>
      <c r="V166" s="77">
        <v>16</v>
      </c>
      <c r="W166" s="137">
        <f t="shared" si="17"/>
        <v>1.2041199826559248</v>
      </c>
    </row>
    <row r="167" spans="1:23" x14ac:dyDescent="0.35">
      <c r="A167" s="74" t="s">
        <v>565</v>
      </c>
      <c r="B167" s="74" t="s">
        <v>2</v>
      </c>
      <c r="C167">
        <v>5</v>
      </c>
      <c r="D167" s="161">
        <v>8.568201724066995</v>
      </c>
      <c r="E167" s="161">
        <v>8.2547945205479447</v>
      </c>
      <c r="F167" s="161">
        <f t="shared" si="12"/>
        <v>0.91670626721688242</v>
      </c>
      <c r="G167">
        <v>2.8358680570524939</v>
      </c>
      <c r="H167">
        <v>1.7993405494535817</v>
      </c>
      <c r="I167" s="73">
        <v>2.74</v>
      </c>
      <c r="J167" s="183">
        <f t="shared" si="13"/>
        <v>0.43775056282038799</v>
      </c>
      <c r="K167">
        <v>3.3858267260967419E-2</v>
      </c>
      <c r="L167">
        <v>3.2258683317817765</v>
      </c>
      <c r="M167" s="137">
        <v>3.9615291224236637</v>
      </c>
      <c r="N167">
        <v>3.1502958128255383</v>
      </c>
      <c r="O167" s="74">
        <v>70</v>
      </c>
      <c r="P167" s="77">
        <f t="shared" si="14"/>
        <v>1.8450980400142569</v>
      </c>
      <c r="Q167" s="75">
        <v>33.9</v>
      </c>
      <c r="R167" s="78">
        <f t="shared" si="15"/>
        <v>1.5301996982030821</v>
      </c>
      <c r="S167" s="76">
        <v>46.200073016176603</v>
      </c>
      <c r="T167" s="184">
        <f t="shared" si="16"/>
        <v>1.664642661930531</v>
      </c>
      <c r="U167">
        <v>0.16435285578443709</v>
      </c>
      <c r="V167" s="74">
        <v>7</v>
      </c>
      <c r="W167" s="137">
        <f t="shared" si="17"/>
        <v>0.84509804001425681</v>
      </c>
    </row>
    <row r="168" spans="1:23" x14ac:dyDescent="0.35">
      <c r="A168" s="77" t="s">
        <v>673</v>
      </c>
      <c r="B168" s="77" t="s">
        <v>4</v>
      </c>
      <c r="C168">
        <v>2</v>
      </c>
      <c r="D168" s="161">
        <v>8.6275501877675218</v>
      </c>
      <c r="E168" s="161">
        <v>2.0849315068493151</v>
      </c>
      <c r="F168" s="161">
        <f t="shared" si="12"/>
        <v>0.31909179231409812</v>
      </c>
      <c r="G168">
        <v>3.1189984043805832</v>
      </c>
      <c r="H168">
        <v>1.5314789170422551</v>
      </c>
      <c r="I168" s="72">
        <v>2.99</v>
      </c>
      <c r="J168" s="183">
        <f t="shared" si="13"/>
        <v>0.47567118832442967</v>
      </c>
      <c r="K168">
        <v>0.481352939899792</v>
      </c>
      <c r="L168">
        <v>3.2258683317817765</v>
      </c>
      <c r="M168" s="137">
        <v>3.9615291224236637</v>
      </c>
      <c r="N168">
        <v>3.0711452904510828</v>
      </c>
      <c r="O168" s="77">
        <v>70</v>
      </c>
      <c r="P168" s="77">
        <f t="shared" si="14"/>
        <v>1.8450980400142569</v>
      </c>
      <c r="Q168" s="78">
        <v>45.7</v>
      </c>
      <c r="R168" s="78">
        <f t="shared" si="15"/>
        <v>1.6599162000698502</v>
      </c>
      <c r="S168" s="79">
        <v>52.379377176281302</v>
      </c>
      <c r="T168" s="184">
        <f t="shared" si="16"/>
        <v>1.7191603300855409</v>
      </c>
      <c r="U168">
        <v>7.554696139253074E-2</v>
      </c>
      <c r="V168" s="77">
        <v>7</v>
      </c>
      <c r="W168" s="137">
        <f t="shared" si="17"/>
        <v>0.84509804001425681</v>
      </c>
    </row>
    <row r="169" spans="1:23" x14ac:dyDescent="0.35">
      <c r="A169" s="74" t="s">
        <v>676</v>
      </c>
      <c r="B169" s="74" t="s">
        <v>5</v>
      </c>
      <c r="C169">
        <v>7</v>
      </c>
      <c r="D169" s="161">
        <v>8.271237354470836</v>
      </c>
      <c r="E169" s="161">
        <v>8.5506849315068489</v>
      </c>
      <c r="F169" s="161">
        <f t="shared" si="12"/>
        <v>0.93200090420885795</v>
      </c>
      <c r="G169">
        <v>3.7916829312790057</v>
      </c>
      <c r="H169">
        <v>1.8976270912904414</v>
      </c>
      <c r="I169" s="73">
        <v>2.72</v>
      </c>
      <c r="J169" s="183">
        <f t="shared" si="13"/>
        <v>0.43456890403419873</v>
      </c>
      <c r="K169">
        <v>0.1386957688604587</v>
      </c>
      <c r="L169">
        <v>3.1628767233771686</v>
      </c>
      <c r="M169" s="137">
        <v>3.6087947637270492</v>
      </c>
      <c r="N169">
        <v>3.0355631414974997</v>
      </c>
      <c r="O169" s="74">
        <v>88</v>
      </c>
      <c r="P169" s="77">
        <f t="shared" si="14"/>
        <v>1.9444826721501687</v>
      </c>
      <c r="Q169" s="75">
        <v>35.9</v>
      </c>
      <c r="R169" s="78">
        <f t="shared" si="15"/>
        <v>1.5550944485783191</v>
      </c>
      <c r="S169" s="76">
        <v>43.1081369225492</v>
      </c>
      <c r="T169" s="184">
        <f t="shared" si="16"/>
        <v>1.634559253618429</v>
      </c>
      <c r="U169">
        <v>0.28103336724772759</v>
      </c>
      <c r="V169" s="74">
        <v>16</v>
      </c>
      <c r="W169" s="137">
        <f t="shared" si="17"/>
        <v>1.2041199826559248</v>
      </c>
    </row>
    <row r="170" spans="1:23" x14ac:dyDescent="0.35">
      <c r="A170" s="77" t="s">
        <v>680</v>
      </c>
      <c r="B170" s="77" t="s">
        <v>2</v>
      </c>
      <c r="C170">
        <v>4</v>
      </c>
      <c r="D170" s="161">
        <v>8.423245873936807</v>
      </c>
      <c r="E170" s="161">
        <v>2.0027397260273974</v>
      </c>
      <c r="F170" s="161">
        <f t="shared" si="12"/>
        <v>0.30162451250138578</v>
      </c>
      <c r="G170">
        <v>3.8335760926148099</v>
      </c>
      <c r="H170">
        <v>1.1760912590556813</v>
      </c>
      <c r="I170" s="72">
        <v>2.85</v>
      </c>
      <c r="J170" s="183">
        <f t="shared" si="13"/>
        <v>0.45484486000851021</v>
      </c>
      <c r="K170">
        <v>9.1633117733940173E-2</v>
      </c>
      <c r="L170">
        <v>3.1628767233771686</v>
      </c>
      <c r="M170" s="137">
        <v>3.6087947637270492</v>
      </c>
      <c r="N170">
        <v>2.9138138523837167</v>
      </c>
      <c r="O170" s="77">
        <v>70</v>
      </c>
      <c r="P170" s="77">
        <f t="shared" si="14"/>
        <v>1.8450980400142569</v>
      </c>
      <c r="Q170" s="78">
        <v>33.9</v>
      </c>
      <c r="R170" s="78">
        <f t="shared" si="15"/>
        <v>1.5301996982030821</v>
      </c>
      <c r="S170" s="79">
        <v>46.200073016176603</v>
      </c>
      <c r="T170" s="184">
        <f t="shared" si="16"/>
        <v>1.664642661930531</v>
      </c>
      <c r="U170">
        <v>0.10720996964786837</v>
      </c>
      <c r="V170" s="77">
        <v>13</v>
      </c>
      <c r="W170" s="137">
        <f t="shared" si="17"/>
        <v>1.1139433523068367</v>
      </c>
    </row>
    <row r="171" spans="1:23" x14ac:dyDescent="0.35">
      <c r="A171" s="74" t="s">
        <v>683</v>
      </c>
      <c r="B171" s="74" t="s">
        <v>497</v>
      </c>
      <c r="C171">
        <v>6</v>
      </c>
      <c r="D171" s="161">
        <v>7.8344842853348053</v>
      </c>
      <c r="E171" s="161">
        <v>2.0493150684931507</v>
      </c>
      <c r="F171" s="161">
        <f t="shared" si="12"/>
        <v>0.31160873340798667</v>
      </c>
      <c r="G171">
        <v>3.7358167906061537</v>
      </c>
      <c r="H171">
        <v>1.3802112417116059</v>
      </c>
      <c r="I171" s="73">
        <v>2.91</v>
      </c>
      <c r="J171" s="183">
        <f t="shared" si="13"/>
        <v>0.46389298898590731</v>
      </c>
      <c r="K171">
        <v>0.55837223743297271</v>
      </c>
      <c r="L171">
        <v>3.1628767233771686</v>
      </c>
      <c r="M171" s="137">
        <v>3.6087947637270492</v>
      </c>
      <c r="N171">
        <v>2.103233406386928</v>
      </c>
      <c r="O171" s="74">
        <v>85</v>
      </c>
      <c r="P171" s="77">
        <f t="shared" si="14"/>
        <v>1.9294189257142926</v>
      </c>
      <c r="Q171" s="75">
        <v>30.8</v>
      </c>
      <c r="R171" s="78">
        <f t="shared" si="15"/>
        <v>1.4885507165004443</v>
      </c>
      <c r="S171" s="76">
        <v>34.575632305406103</v>
      </c>
      <c r="T171" s="184">
        <f t="shared" si="16"/>
        <v>1.5387701310586521</v>
      </c>
      <c r="U171">
        <v>7.9181246047624818E-2</v>
      </c>
      <c r="V171" s="74">
        <v>6</v>
      </c>
      <c r="W171" s="137">
        <f t="shared" si="17"/>
        <v>0.77815125038364363</v>
      </c>
    </row>
    <row r="172" spans="1:23" x14ac:dyDescent="0.35">
      <c r="A172" s="77" t="s">
        <v>686</v>
      </c>
      <c r="B172" s="77" t="s">
        <v>59</v>
      </c>
      <c r="C172">
        <v>5</v>
      </c>
      <c r="D172" s="161">
        <v>9.2628069230005643</v>
      </c>
      <c r="E172" s="161">
        <v>5.9013698630136986</v>
      </c>
      <c r="F172" s="161">
        <f t="shared" si="12"/>
        <v>0.77095283450548813</v>
      </c>
      <c r="G172">
        <v>3.7707754512906644</v>
      </c>
      <c r="H172">
        <v>2.2810333672477277</v>
      </c>
      <c r="I172" s="72">
        <v>2.3199999999999998</v>
      </c>
      <c r="J172" s="183">
        <f t="shared" si="13"/>
        <v>0.36548798489089962</v>
      </c>
      <c r="K172">
        <v>-0.90620748727559275</v>
      </c>
      <c r="L172">
        <v>3.1628767233771686</v>
      </c>
      <c r="M172" s="137">
        <v>3.6087947637270492</v>
      </c>
      <c r="N172">
        <v>2.1238516409670858</v>
      </c>
      <c r="O172" s="77">
        <v>85</v>
      </c>
      <c r="P172" s="77">
        <f t="shared" si="14"/>
        <v>1.9294189257142926</v>
      </c>
      <c r="Q172" s="78">
        <v>31.3</v>
      </c>
      <c r="R172" s="78">
        <f t="shared" si="15"/>
        <v>1.4955443375464486</v>
      </c>
      <c r="S172" s="79">
        <v>38.7850112673514</v>
      </c>
      <c r="T172" s="184">
        <f t="shared" si="16"/>
        <v>1.5886639219461918</v>
      </c>
      <c r="U172">
        <v>-8.7739243075051505E-3</v>
      </c>
      <c r="V172" s="77">
        <v>11</v>
      </c>
      <c r="W172" s="137">
        <f t="shared" si="17"/>
        <v>1.0413926851582251</v>
      </c>
    </row>
    <row r="173" spans="1:23" x14ac:dyDescent="0.35">
      <c r="A173" s="74" t="s">
        <v>688</v>
      </c>
      <c r="B173" s="74" t="s">
        <v>59</v>
      </c>
      <c r="C173">
        <v>4</v>
      </c>
      <c r="D173" s="161">
        <v>8.3007910679877988</v>
      </c>
      <c r="E173" s="161">
        <v>4.2109589041095887</v>
      </c>
      <c r="F173" s="161">
        <f t="shared" si="12"/>
        <v>0.62438100304327038</v>
      </c>
      <c r="G173">
        <v>3.7707754512906644</v>
      </c>
      <c r="H173">
        <v>0</v>
      </c>
      <c r="I173" s="73">
        <v>2.3199999999999998</v>
      </c>
      <c r="J173" s="183">
        <f t="shared" si="13"/>
        <v>0.36548798489089962</v>
      </c>
      <c r="K173">
        <v>3.1647391927806502E-2</v>
      </c>
      <c r="L173">
        <v>3.1628767233771686</v>
      </c>
      <c r="M173" s="137">
        <v>3.6087947637270492</v>
      </c>
      <c r="N173">
        <v>2.1238516409670858</v>
      </c>
      <c r="O173" s="74">
        <v>100</v>
      </c>
      <c r="P173" s="77">
        <f t="shared" si="14"/>
        <v>2</v>
      </c>
      <c r="Q173" s="75">
        <v>29.5</v>
      </c>
      <c r="R173" s="78">
        <f t="shared" si="15"/>
        <v>1.469822015978163</v>
      </c>
      <c r="S173" s="76">
        <v>38.538703610951003</v>
      </c>
      <c r="T173" s="184">
        <f t="shared" si="16"/>
        <v>1.5858971014953607</v>
      </c>
      <c r="U173">
        <v>0.35410843914740087</v>
      </c>
      <c r="V173" s="74">
        <v>3</v>
      </c>
      <c r="W173" s="137">
        <f t="shared" si="17"/>
        <v>0.47712125471966244</v>
      </c>
    </row>
    <row r="174" spans="1:23" x14ac:dyDescent="0.35">
      <c r="A174" s="77" t="s">
        <v>690</v>
      </c>
      <c r="B174" s="77" t="s">
        <v>59</v>
      </c>
      <c r="C174">
        <v>5</v>
      </c>
      <c r="D174" s="161">
        <v>8.4771212547196626</v>
      </c>
      <c r="E174" s="161">
        <v>2.6547945205479451</v>
      </c>
      <c r="F174" s="161">
        <f t="shared" si="12"/>
        <v>0.4240309125942906</v>
      </c>
      <c r="G174">
        <v>3.7707754512906644</v>
      </c>
      <c r="H174">
        <v>1.414973347970818</v>
      </c>
      <c r="I174" s="72">
        <v>2.3199999999999998</v>
      </c>
      <c r="J174" s="183">
        <f t="shared" si="13"/>
        <v>0.36548798489089962</v>
      </c>
      <c r="K174">
        <v>-1</v>
      </c>
      <c r="L174">
        <v>3.1628767233771686</v>
      </c>
      <c r="M174" s="137">
        <v>3.6087947637270492</v>
      </c>
      <c r="N174">
        <v>2.1238516409670858</v>
      </c>
      <c r="O174" s="77">
        <v>94.9</v>
      </c>
      <c r="P174" s="77">
        <f t="shared" si="14"/>
        <v>1.9772662124272926</v>
      </c>
      <c r="Q174" s="78">
        <v>32.299999999999997</v>
      </c>
      <c r="R174" s="78">
        <f t="shared" si="15"/>
        <v>1.5092025223311027</v>
      </c>
      <c r="S174" s="79">
        <v>47.560703662314701</v>
      </c>
      <c r="T174" s="184">
        <f t="shared" si="16"/>
        <v>1.6772482713966061</v>
      </c>
      <c r="U174">
        <v>0.13353890837021748</v>
      </c>
      <c r="V174" s="77">
        <v>18</v>
      </c>
      <c r="W174" s="137">
        <f t="shared" si="17"/>
        <v>1.255272505103306</v>
      </c>
    </row>
    <row r="175" spans="1:23" x14ac:dyDescent="0.35">
      <c r="A175" s="96" t="s">
        <v>692</v>
      </c>
      <c r="B175" s="74" t="s">
        <v>59</v>
      </c>
      <c r="C175">
        <v>9</v>
      </c>
      <c r="D175" s="161">
        <v>6.5563025007672868</v>
      </c>
      <c r="E175" s="161">
        <v>2.5424657534246577</v>
      </c>
      <c r="F175" s="161">
        <f t="shared" si="12"/>
        <v>0.40525511176238738</v>
      </c>
      <c r="G175">
        <v>3.7707754512906644</v>
      </c>
      <c r="H175">
        <v>0.77815125038364363</v>
      </c>
      <c r="I175" s="73">
        <v>2.3199999999999998</v>
      </c>
      <c r="J175" s="183">
        <f t="shared" si="13"/>
        <v>0.36548798489089962</v>
      </c>
      <c r="K175">
        <v>-1</v>
      </c>
      <c r="L175">
        <v>3.1628767233771686</v>
      </c>
      <c r="M175" s="137">
        <v>3.6087947637270492</v>
      </c>
      <c r="N175">
        <v>2.1238516409670858</v>
      </c>
      <c r="O175" s="74">
        <v>85</v>
      </c>
      <c r="P175" s="77">
        <f t="shared" si="14"/>
        <v>1.9294189257142926</v>
      </c>
      <c r="Q175" s="75">
        <v>32.299999999999997</v>
      </c>
      <c r="R175" s="78">
        <f t="shared" si="15"/>
        <v>1.5092025223311027</v>
      </c>
      <c r="S175" s="76">
        <v>40.040400531970803</v>
      </c>
      <c r="T175" s="184">
        <f t="shared" si="16"/>
        <v>1.6024984131617945</v>
      </c>
      <c r="U175">
        <v>0.10037054511756291</v>
      </c>
      <c r="V175" s="74">
        <v>12</v>
      </c>
      <c r="W175" s="137">
        <f t="shared" si="17"/>
        <v>1.0791812460476249</v>
      </c>
    </row>
    <row r="176" spans="1:23" x14ac:dyDescent="0.35">
      <c r="A176" s="77" t="s">
        <v>694</v>
      </c>
      <c r="B176" s="77" t="s">
        <v>7</v>
      </c>
      <c r="C176">
        <v>9</v>
      </c>
      <c r="D176" s="161">
        <v>8.7781512503836439</v>
      </c>
      <c r="E176" s="161">
        <v>8.0520547945205472</v>
      </c>
      <c r="F176" s="161">
        <f t="shared" si="12"/>
        <v>0.90590672161613783</v>
      </c>
      <c r="G176">
        <v>3.8052737966880943</v>
      </c>
      <c r="H176">
        <v>1</v>
      </c>
      <c r="I176" s="72">
        <v>2.99</v>
      </c>
      <c r="J176" s="183">
        <f t="shared" si="13"/>
        <v>0.47567118832442967</v>
      </c>
      <c r="K176">
        <v>-3.7788560889399803E-2</v>
      </c>
      <c r="L176">
        <v>3.1527645837352773</v>
      </c>
      <c r="M176" s="137">
        <v>3.5411223705253856</v>
      </c>
      <c r="N176">
        <v>2.8414637553591628</v>
      </c>
      <c r="O176" s="77">
        <v>85</v>
      </c>
      <c r="P176" s="77">
        <f t="shared" si="14"/>
        <v>1.9294189257142926</v>
      </c>
      <c r="Q176" s="78">
        <v>37.799999999999997</v>
      </c>
      <c r="R176" s="78">
        <f t="shared" si="15"/>
        <v>1.5774917998372253</v>
      </c>
      <c r="S176" s="79">
        <v>43.5787105608064</v>
      </c>
      <c r="T176" s="184">
        <f t="shared" si="16"/>
        <v>1.6392743758732649</v>
      </c>
      <c r="U176">
        <v>0.12710479836480765</v>
      </c>
      <c r="V176" s="77">
        <v>39</v>
      </c>
      <c r="W176" s="137">
        <f t="shared" si="17"/>
        <v>1.5910646070264991</v>
      </c>
    </row>
    <row r="177" spans="1:23" x14ac:dyDescent="0.35">
      <c r="A177" s="74" t="s">
        <v>697</v>
      </c>
      <c r="B177" s="74" t="s">
        <v>2</v>
      </c>
      <c r="C177">
        <v>9</v>
      </c>
      <c r="D177" s="161">
        <v>7.5866998016240492</v>
      </c>
      <c r="E177" s="161">
        <v>7.4356164383561643</v>
      </c>
      <c r="F177" s="161">
        <f t="shared" si="12"/>
        <v>0.87131697886724357</v>
      </c>
      <c r="G177">
        <v>3.8335760926148099</v>
      </c>
      <c r="H177">
        <v>1.7075701760979363</v>
      </c>
      <c r="I177" s="73">
        <v>2.85</v>
      </c>
      <c r="J177" s="183">
        <f t="shared" si="13"/>
        <v>0.45484486000851021</v>
      </c>
      <c r="K177">
        <v>0.147699940896518</v>
      </c>
      <c r="L177">
        <v>3.1527645837352773</v>
      </c>
      <c r="M177" s="137">
        <v>3.5411223705253856</v>
      </c>
      <c r="N177">
        <v>2.9138138523837167</v>
      </c>
      <c r="O177" s="74">
        <v>90.3</v>
      </c>
      <c r="P177" s="77">
        <f t="shared" si="14"/>
        <v>1.9556877503135057</v>
      </c>
      <c r="Q177" s="75">
        <v>36.1</v>
      </c>
      <c r="R177" s="78">
        <f t="shared" si="15"/>
        <v>1.5575072019056579</v>
      </c>
      <c r="S177" s="76">
        <v>47.576210837790804</v>
      </c>
      <c r="T177" s="184">
        <f t="shared" si="16"/>
        <v>1.6773898501062838</v>
      </c>
      <c r="U177">
        <v>0.35793484700045386</v>
      </c>
      <c r="V177" s="74">
        <v>43</v>
      </c>
      <c r="W177" s="137">
        <f t="shared" si="17"/>
        <v>1.6334684555795864</v>
      </c>
    </row>
    <row r="178" spans="1:23" x14ac:dyDescent="0.35">
      <c r="A178" s="96" t="s">
        <v>699</v>
      </c>
      <c r="B178" s="77" t="s">
        <v>59</v>
      </c>
      <c r="C178">
        <v>1</v>
      </c>
      <c r="D178" s="161">
        <v>8.4471580313422194</v>
      </c>
      <c r="E178" s="161">
        <v>5.117808219178082</v>
      </c>
      <c r="F178" s="161">
        <f t="shared" si="12"/>
        <v>0.70908400743759981</v>
      </c>
      <c r="G178">
        <v>3.7707754512906644</v>
      </c>
      <c r="H178">
        <v>1.9590413923210936</v>
      </c>
      <c r="I178" s="72">
        <v>2.3199999999999998</v>
      </c>
      <c r="J178" s="183">
        <f t="shared" si="13"/>
        <v>0.36548798489089962</v>
      </c>
      <c r="K178">
        <v>0.38535088136401707</v>
      </c>
      <c r="L178">
        <v>3.1527645837352773</v>
      </c>
      <c r="M178" s="137">
        <v>3.5411223705253856</v>
      </c>
      <c r="N178">
        <v>2.1238516409670858</v>
      </c>
      <c r="O178" s="77">
        <v>94.9</v>
      </c>
      <c r="P178" s="77">
        <f t="shared" si="14"/>
        <v>1.9772662124272926</v>
      </c>
      <c r="Q178" s="78">
        <v>32.299999999999997</v>
      </c>
      <c r="R178" s="78">
        <f t="shared" si="15"/>
        <v>1.5092025223311027</v>
      </c>
      <c r="S178" s="79">
        <v>47.560703662314701</v>
      </c>
      <c r="T178" s="184">
        <f t="shared" si="16"/>
        <v>1.6772482713966061</v>
      </c>
      <c r="U178">
        <v>0.28330122870354957</v>
      </c>
      <c r="V178" s="77">
        <v>44</v>
      </c>
      <c r="W178" s="137">
        <f t="shared" si="17"/>
        <v>1.6434526764861874</v>
      </c>
    </row>
    <row r="179" spans="1:23" x14ac:dyDescent="0.35">
      <c r="A179" s="74" t="s">
        <v>537</v>
      </c>
      <c r="B179" s="74" t="s">
        <v>59</v>
      </c>
      <c r="C179">
        <v>5</v>
      </c>
      <c r="D179" s="161">
        <v>8.7520484478194387</v>
      </c>
      <c r="E179" s="161">
        <v>8.9205479452054792</v>
      </c>
      <c r="F179" s="161">
        <f t="shared" si="12"/>
        <v>0.95039153176068891</v>
      </c>
      <c r="G179">
        <v>3.7707754512906644</v>
      </c>
      <c r="H179">
        <v>1.0413926851582251</v>
      </c>
      <c r="I179" s="73">
        <v>2.3199999999999998</v>
      </c>
      <c r="J179" s="183">
        <f t="shared" si="13"/>
        <v>0.36548798489089962</v>
      </c>
      <c r="K179">
        <v>0.14004615487104186</v>
      </c>
      <c r="L179">
        <v>3.1527645837352773</v>
      </c>
      <c r="M179" s="137">
        <v>3.5411223705253856</v>
      </c>
      <c r="N179">
        <v>2.1238516409670858</v>
      </c>
      <c r="O179" s="74">
        <v>90.8</v>
      </c>
      <c r="P179" s="77">
        <f t="shared" si="14"/>
        <v>1.958085848521085</v>
      </c>
      <c r="Q179" s="75">
        <v>32.299999999999997</v>
      </c>
      <c r="R179" s="78">
        <f t="shared" si="15"/>
        <v>1.5092025223311027</v>
      </c>
      <c r="S179" s="76">
        <v>44.4007960521485</v>
      </c>
      <c r="T179" s="184">
        <f t="shared" si="16"/>
        <v>1.6473907565550749</v>
      </c>
      <c r="U179">
        <v>0.24797326636180664</v>
      </c>
      <c r="V179" s="74">
        <v>42</v>
      </c>
      <c r="W179" s="137">
        <f t="shared" si="17"/>
        <v>1.6232492903979006</v>
      </c>
    </row>
    <row r="180" spans="1:23" x14ac:dyDescent="0.35">
      <c r="A180" s="96" t="s">
        <v>700</v>
      </c>
      <c r="B180" s="77" t="s">
        <v>59</v>
      </c>
      <c r="C180">
        <v>2</v>
      </c>
      <c r="D180" s="161">
        <v>7.8129133566428557</v>
      </c>
      <c r="E180" s="161">
        <v>5.0630136986301366</v>
      </c>
      <c r="F180" s="161">
        <f t="shared" si="12"/>
        <v>0.70440910242761312</v>
      </c>
      <c r="G180">
        <v>3.7707754512906644</v>
      </c>
      <c r="H180">
        <v>0.3010299956639812</v>
      </c>
      <c r="I180" s="72">
        <v>2.3199999999999998</v>
      </c>
      <c r="J180" s="183">
        <f t="shared" si="13"/>
        <v>0.36548798489089962</v>
      </c>
      <c r="K180">
        <v>0.14469393041723971</v>
      </c>
      <c r="L180">
        <v>3.1527645837352773</v>
      </c>
      <c r="M180" s="137">
        <v>3.5411223705253856</v>
      </c>
      <c r="N180">
        <v>2.1238516409670858</v>
      </c>
      <c r="O180" s="77">
        <v>85</v>
      </c>
      <c r="P180" s="77">
        <f t="shared" si="14"/>
        <v>1.9294189257142926</v>
      </c>
      <c r="Q180" s="78">
        <v>32.700000000000003</v>
      </c>
      <c r="R180" s="78">
        <f t="shared" si="15"/>
        <v>1.5145477526602862</v>
      </c>
      <c r="S180" s="79">
        <v>41.286751495766303</v>
      </c>
      <c r="T180" s="184">
        <f t="shared" si="16"/>
        <v>1.6158107132703448</v>
      </c>
      <c r="U180">
        <v>-2.6872146400301365E-2</v>
      </c>
      <c r="V180" s="77">
        <v>39</v>
      </c>
      <c r="W180" s="137">
        <f t="shared" si="17"/>
        <v>1.5910646070264991</v>
      </c>
    </row>
    <row r="181" spans="1:23" x14ac:dyDescent="0.35">
      <c r="A181" s="74" t="s">
        <v>702</v>
      </c>
      <c r="B181" s="74" t="s">
        <v>59</v>
      </c>
      <c r="C181">
        <v>5</v>
      </c>
      <c r="D181" s="161">
        <v>8.2561402266345336</v>
      </c>
      <c r="E181" s="161">
        <v>4.7315068493150685</v>
      </c>
      <c r="F181" s="161">
        <f t="shared" si="12"/>
        <v>0.67499947311098407</v>
      </c>
      <c r="G181">
        <v>3.7707754512906644</v>
      </c>
      <c r="H181">
        <v>1.4913616938342726</v>
      </c>
      <c r="I181" s="73">
        <v>2.3199999999999998</v>
      </c>
      <c r="J181" s="183">
        <f t="shared" si="13"/>
        <v>0.36548798489089962</v>
      </c>
      <c r="K181">
        <v>0</v>
      </c>
      <c r="L181">
        <v>3.1527645837352773</v>
      </c>
      <c r="M181" s="137">
        <v>3.5411223705253856</v>
      </c>
      <c r="N181">
        <v>2.1238516409670858</v>
      </c>
      <c r="O181" s="74">
        <v>85</v>
      </c>
      <c r="P181" s="77">
        <f t="shared" si="14"/>
        <v>1.9294189257142926</v>
      </c>
      <c r="Q181" s="75">
        <v>32.200000000000003</v>
      </c>
      <c r="R181" s="78">
        <f t="shared" si="15"/>
        <v>1.507855871695831</v>
      </c>
      <c r="S181" s="76">
        <v>35.326012114535303</v>
      </c>
      <c r="T181" s="184">
        <f t="shared" si="16"/>
        <v>1.548094613534351</v>
      </c>
      <c r="U181">
        <v>-7.0581074285707285E-2</v>
      </c>
      <c r="V181" s="74">
        <v>33</v>
      </c>
      <c r="W181" s="137">
        <f t="shared" si="17"/>
        <v>1.5185139398778875</v>
      </c>
    </row>
    <row r="182" spans="1:23" x14ac:dyDescent="0.35">
      <c r="A182" s="96" t="s">
        <v>704</v>
      </c>
      <c r="B182" s="77" t="s">
        <v>59</v>
      </c>
      <c r="C182">
        <v>4</v>
      </c>
      <c r="D182" s="161">
        <v>7.8450980400142569</v>
      </c>
      <c r="E182" s="161">
        <v>1.8958904109589041</v>
      </c>
      <c r="F182" s="161">
        <f t="shared" si="12"/>
        <v>0.27781323000028307</v>
      </c>
      <c r="G182">
        <v>3.7707754512906644</v>
      </c>
      <c r="H182">
        <v>0</v>
      </c>
      <c r="I182" s="72">
        <v>2.3199999999999998</v>
      </c>
      <c r="J182" s="183">
        <f t="shared" si="13"/>
        <v>0.36548798489089962</v>
      </c>
      <c r="K182">
        <v>0.28812141671823749</v>
      </c>
      <c r="L182">
        <v>3.1527645837352773</v>
      </c>
      <c r="M182" s="137">
        <v>3.5411223705253856</v>
      </c>
      <c r="N182">
        <v>2.1238516409670858</v>
      </c>
      <c r="O182" s="77">
        <v>100</v>
      </c>
      <c r="P182" s="77">
        <f t="shared" si="14"/>
        <v>2</v>
      </c>
      <c r="Q182" s="78">
        <v>30.9</v>
      </c>
      <c r="R182" s="78">
        <f t="shared" si="15"/>
        <v>1.4899584794248346</v>
      </c>
      <c r="S182" s="79">
        <v>49.329709120205997</v>
      </c>
      <c r="T182" s="184">
        <f t="shared" si="16"/>
        <v>1.6931085545892062</v>
      </c>
      <c r="U182">
        <v>5.3078443483419682E-2</v>
      </c>
      <c r="V182" s="77">
        <v>26</v>
      </c>
      <c r="W182" s="137">
        <f t="shared" si="17"/>
        <v>1.414973347970818</v>
      </c>
    </row>
    <row r="183" spans="1:23" x14ac:dyDescent="0.35">
      <c r="A183" s="74" t="s">
        <v>706</v>
      </c>
      <c r="B183" s="74" t="s">
        <v>5</v>
      </c>
      <c r="C183">
        <v>2</v>
      </c>
      <c r="D183" s="161">
        <v>7.5240455588884867</v>
      </c>
      <c r="E183" s="161">
        <v>11.887671232876713</v>
      </c>
      <c r="F183" s="161">
        <f t="shared" si="12"/>
        <v>1.0750967856727371</v>
      </c>
      <c r="G183">
        <v>3.7916829312790057</v>
      </c>
      <c r="H183">
        <v>1.2041199826559248</v>
      </c>
      <c r="I183" s="73">
        <v>2.72</v>
      </c>
      <c r="J183" s="183">
        <f t="shared" si="13"/>
        <v>0.43456890403419873</v>
      </c>
      <c r="K183">
        <v>1.4670033807127596</v>
      </c>
      <c r="L183">
        <v>3.1527645837352773</v>
      </c>
      <c r="M183" s="137">
        <v>3.5411223705253856</v>
      </c>
      <c r="N183">
        <v>3.0355631414974997</v>
      </c>
      <c r="O183" s="74">
        <v>70</v>
      </c>
      <c r="P183" s="77">
        <f t="shared" si="14"/>
        <v>1.8450980400142569</v>
      </c>
      <c r="Q183" s="75">
        <v>37.200000000000003</v>
      </c>
      <c r="R183" s="78">
        <f t="shared" si="15"/>
        <v>1.5705429398818975</v>
      </c>
      <c r="S183" s="76">
        <v>43.419976684252802</v>
      </c>
      <c r="T183" s="184">
        <f t="shared" si="16"/>
        <v>1.6376895859101317</v>
      </c>
      <c r="U183">
        <v>-4.3648054024500883E-3</v>
      </c>
      <c r="V183" s="74">
        <v>33</v>
      </c>
      <c r="W183" s="137">
        <f t="shared" si="17"/>
        <v>1.5185139398778875</v>
      </c>
    </row>
    <row r="184" spans="1:23" x14ac:dyDescent="0.35">
      <c r="A184" s="77" t="s">
        <v>707</v>
      </c>
      <c r="B184" s="77" t="s">
        <v>4</v>
      </c>
      <c r="C184">
        <v>7</v>
      </c>
      <c r="D184" s="161">
        <v>7.9799578933406652</v>
      </c>
      <c r="E184" s="161">
        <v>2.7397260273972601</v>
      </c>
      <c r="F184" s="161">
        <f t="shared" si="12"/>
        <v>0.43770713554352525</v>
      </c>
      <c r="G184">
        <v>2.6208956659919629</v>
      </c>
      <c r="H184">
        <v>1.2304489213782739</v>
      </c>
      <c r="I184" s="72">
        <v>3.49</v>
      </c>
      <c r="J184" s="183">
        <f t="shared" si="13"/>
        <v>0.5428254269591799</v>
      </c>
      <c r="K184">
        <v>0.39051099108289822</v>
      </c>
      <c r="L184">
        <v>3.3222069919483515</v>
      </c>
      <c r="M184" s="137">
        <v>3.9577021302433337</v>
      </c>
      <c r="N184">
        <v>2.3401134757058348</v>
      </c>
      <c r="O184" s="77">
        <v>94.6</v>
      </c>
      <c r="P184" s="77">
        <f t="shared" si="14"/>
        <v>1.9758911364017928</v>
      </c>
      <c r="Q184" s="78">
        <v>42.6</v>
      </c>
      <c r="R184" s="78">
        <f t="shared" si="15"/>
        <v>1.6294095991027189</v>
      </c>
      <c r="S184" s="79">
        <v>51.303664454517403</v>
      </c>
      <c r="T184" s="184">
        <f t="shared" si="16"/>
        <v>1.7101483864673446</v>
      </c>
      <c r="U184">
        <v>0.17609125905568124</v>
      </c>
      <c r="V184" s="77">
        <v>9</v>
      </c>
      <c r="W184" s="137">
        <f t="shared" si="17"/>
        <v>0.95424250943932487</v>
      </c>
    </row>
    <row r="185" spans="1:23" x14ac:dyDescent="0.35">
      <c r="A185" s="74" t="s">
        <v>709</v>
      </c>
      <c r="B185" s="74" t="s">
        <v>7</v>
      </c>
      <c r="C185">
        <v>1</v>
      </c>
      <c r="D185" s="161">
        <v>8.9193030300505232</v>
      </c>
      <c r="E185" s="161">
        <v>8.9452054794520546</v>
      </c>
      <c r="F185" s="161">
        <f t="shared" si="12"/>
        <v>0.95159032115461806</v>
      </c>
      <c r="G185">
        <v>2.6903467274930635</v>
      </c>
      <c r="H185">
        <v>1.9344984512435677</v>
      </c>
      <c r="I185" s="73">
        <v>2.59</v>
      </c>
      <c r="J185" s="183">
        <f t="shared" si="13"/>
        <v>0.4132997640812518</v>
      </c>
      <c r="K185">
        <v>0.42311965077168279</v>
      </c>
      <c r="L185">
        <v>3.22246453795844</v>
      </c>
      <c r="M185" s="137">
        <v>3.7071267407396937</v>
      </c>
      <c r="N185">
        <v>2.7508939203821252</v>
      </c>
      <c r="O185" s="74">
        <v>85</v>
      </c>
      <c r="P185" s="77">
        <f t="shared" si="14"/>
        <v>1.9294189257142926</v>
      </c>
      <c r="Q185" s="75">
        <v>37.799999999999997</v>
      </c>
      <c r="R185" s="78">
        <f t="shared" si="15"/>
        <v>1.5774917998372253</v>
      </c>
      <c r="S185" s="76">
        <v>43.5787105608064</v>
      </c>
      <c r="T185" s="184">
        <f t="shared" si="16"/>
        <v>1.6392743758732649</v>
      </c>
      <c r="U185">
        <v>0.21218760440395779</v>
      </c>
      <c r="V185" s="74">
        <v>24</v>
      </c>
      <c r="W185" s="137">
        <f t="shared" si="17"/>
        <v>1.3802112417116059</v>
      </c>
    </row>
    <row r="186" spans="1:23" x14ac:dyDescent="0.35">
      <c r="A186" s="77" t="s">
        <v>711</v>
      </c>
      <c r="B186" s="77" t="s">
        <v>5</v>
      </c>
      <c r="C186">
        <v>7</v>
      </c>
      <c r="D186" s="161">
        <v>8.8401060944567575</v>
      </c>
      <c r="E186" s="161">
        <v>3.4027397260273973</v>
      </c>
      <c r="F186" s="161">
        <f t="shared" si="12"/>
        <v>0.53182873138408671</v>
      </c>
      <c r="G186">
        <v>2.5542346870234227</v>
      </c>
      <c r="H186">
        <v>1.4471580313422192</v>
      </c>
      <c r="I186" s="72">
        <v>3.16</v>
      </c>
      <c r="J186" s="183">
        <f t="shared" si="13"/>
        <v>0.49968708261840383</v>
      </c>
      <c r="K186">
        <v>0.10699908637159473</v>
      </c>
      <c r="L186">
        <v>3.22246453795844</v>
      </c>
      <c r="M186" s="137">
        <v>3.7071267407396937</v>
      </c>
      <c r="N186">
        <v>2.9876662649262746</v>
      </c>
      <c r="O186" s="77">
        <v>88</v>
      </c>
      <c r="P186" s="77">
        <f t="shared" si="14"/>
        <v>1.9444826721501687</v>
      </c>
      <c r="Q186" s="78">
        <v>35.9</v>
      </c>
      <c r="R186" s="78">
        <f t="shared" si="15"/>
        <v>1.5550944485783191</v>
      </c>
      <c r="S186" s="79">
        <v>43.1081369225492</v>
      </c>
      <c r="T186" s="184">
        <f t="shared" si="16"/>
        <v>1.634559253618429</v>
      </c>
      <c r="U186">
        <v>-4.0958607678906384E-2</v>
      </c>
      <c r="V186" s="77">
        <v>27</v>
      </c>
      <c r="W186" s="137">
        <f t="shared" si="17"/>
        <v>1.4313637641589874</v>
      </c>
    </row>
    <row r="187" spans="1:23" x14ac:dyDescent="0.35">
      <c r="A187" s="74" t="s">
        <v>713</v>
      </c>
      <c r="B187" s="74" t="s">
        <v>5</v>
      </c>
      <c r="C187">
        <v>7</v>
      </c>
      <c r="D187" s="161">
        <v>9.3359931671248475</v>
      </c>
      <c r="E187" s="161">
        <v>2.3068493150684932</v>
      </c>
      <c r="F187" s="161">
        <f t="shared" si="12"/>
        <v>0.3630192270431748</v>
      </c>
      <c r="G187">
        <v>2.5542346870234227</v>
      </c>
      <c r="H187">
        <v>2.6273658565927325</v>
      </c>
      <c r="I187" s="73">
        <v>3.16</v>
      </c>
      <c r="J187" s="183">
        <f t="shared" si="13"/>
        <v>0.49968708261840383</v>
      </c>
      <c r="K187">
        <v>-0.62872113857682677</v>
      </c>
      <c r="L187">
        <v>3.22246453795844</v>
      </c>
      <c r="M187" s="137">
        <v>3.7071267407396937</v>
      </c>
      <c r="N187">
        <v>2.9876662649262746</v>
      </c>
      <c r="O187" s="74">
        <v>70</v>
      </c>
      <c r="P187" s="77">
        <f t="shared" si="14"/>
        <v>1.8450980400142569</v>
      </c>
      <c r="Q187" s="75">
        <v>36.299999999999997</v>
      </c>
      <c r="R187" s="78">
        <f t="shared" si="15"/>
        <v>1.5599066250361124</v>
      </c>
      <c r="S187" s="76">
        <v>44.332035658580502</v>
      </c>
      <c r="T187" s="184">
        <f t="shared" si="16"/>
        <v>1.6467176738887899</v>
      </c>
      <c r="U187">
        <v>0.10380372095595687</v>
      </c>
      <c r="V187" s="74">
        <v>17</v>
      </c>
      <c r="W187" s="137">
        <f t="shared" si="17"/>
        <v>1.2304489213782739</v>
      </c>
    </row>
    <row r="188" spans="1:23" x14ac:dyDescent="0.35">
      <c r="A188" s="77" t="s">
        <v>715</v>
      </c>
      <c r="B188" s="77" t="s">
        <v>5</v>
      </c>
      <c r="C188">
        <v>1</v>
      </c>
      <c r="D188" s="161">
        <v>8.214843848047698</v>
      </c>
      <c r="E188" s="161">
        <v>7.2986301369863016</v>
      </c>
      <c r="F188" s="161">
        <f t="shared" si="12"/>
        <v>0.86324135604178875</v>
      </c>
      <c r="G188">
        <v>2.5542346870234227</v>
      </c>
      <c r="H188">
        <v>0</v>
      </c>
      <c r="I188" s="72">
        <v>3.16</v>
      </c>
      <c r="J188" s="183">
        <f t="shared" si="13"/>
        <v>0.49968708261840383</v>
      </c>
      <c r="K188">
        <v>0.2400010119608123</v>
      </c>
      <c r="L188">
        <v>3.22246453795844</v>
      </c>
      <c r="M188" s="137">
        <v>3.7071267407396937</v>
      </c>
      <c r="N188">
        <v>2.9876662649262746</v>
      </c>
      <c r="O188" s="77">
        <v>85</v>
      </c>
      <c r="P188" s="77">
        <f t="shared" si="14"/>
        <v>1.9294189257142926</v>
      </c>
      <c r="Q188" s="78">
        <v>36.799999999999997</v>
      </c>
      <c r="R188" s="78">
        <f t="shared" si="15"/>
        <v>1.5658478186735176</v>
      </c>
      <c r="S188" s="79">
        <v>45.479154360161097</v>
      </c>
      <c r="T188" s="184">
        <f t="shared" si="16"/>
        <v>1.6578123808149479</v>
      </c>
      <c r="U188">
        <v>0.12057393120584989</v>
      </c>
      <c r="V188" s="77">
        <v>16</v>
      </c>
      <c r="W188" s="137">
        <f t="shared" si="17"/>
        <v>1.2041199826559248</v>
      </c>
    </row>
    <row r="189" spans="1:23" x14ac:dyDescent="0.35">
      <c r="A189" s="74" t="s">
        <v>717</v>
      </c>
      <c r="B189" s="74" t="s">
        <v>163</v>
      </c>
      <c r="C189">
        <v>8</v>
      </c>
      <c r="D189" s="161">
        <v>8.9030899869919438</v>
      </c>
      <c r="E189" s="161">
        <v>2.8410958904109589</v>
      </c>
      <c r="F189" s="161">
        <f t="shared" si="12"/>
        <v>0.45348589193256628</v>
      </c>
      <c r="G189">
        <v>2.5362300726332561</v>
      </c>
      <c r="H189">
        <v>1.1760912590556813</v>
      </c>
      <c r="I189" s="73">
        <v>2.3199999999999998</v>
      </c>
      <c r="J189" s="183">
        <f t="shared" si="13"/>
        <v>0.36548798489089962</v>
      </c>
      <c r="K189">
        <v>-0.58087069225802435</v>
      </c>
      <c r="L189">
        <v>3.22246453795844</v>
      </c>
      <c r="M189" s="137">
        <v>3.7071267407396937</v>
      </c>
      <c r="N189">
        <v>2.756001823801419</v>
      </c>
      <c r="O189" s="74">
        <v>70</v>
      </c>
      <c r="P189" s="77">
        <f t="shared" si="14"/>
        <v>1.8450980400142569</v>
      </c>
      <c r="Q189" s="75">
        <v>43.4</v>
      </c>
      <c r="R189" s="78">
        <f t="shared" si="15"/>
        <v>1.6374897295125106</v>
      </c>
      <c r="S189" s="76">
        <v>51.652289181886701</v>
      </c>
      <c r="T189" s="184">
        <f t="shared" si="16"/>
        <v>1.7130895738136374</v>
      </c>
      <c r="U189">
        <v>-0.13076828026902382</v>
      </c>
      <c r="V189" s="74">
        <v>19</v>
      </c>
      <c r="W189" s="137">
        <f t="shared" si="17"/>
        <v>1.2787536009528289</v>
      </c>
    </row>
    <row r="190" spans="1:23" x14ac:dyDescent="0.35">
      <c r="A190" s="77" t="s">
        <v>578</v>
      </c>
      <c r="B190" s="77" t="s">
        <v>2</v>
      </c>
      <c r="C190">
        <v>5</v>
      </c>
      <c r="D190" s="161">
        <v>9</v>
      </c>
      <c r="E190" s="161">
        <v>3.6958904109589041</v>
      </c>
      <c r="F190" s="161">
        <f t="shared" si="12"/>
        <v>0.56771908521542958</v>
      </c>
      <c r="G190">
        <v>2.9629325585580042</v>
      </c>
      <c r="H190">
        <v>1.4623979978989561</v>
      </c>
      <c r="I190" s="72">
        <v>2.62</v>
      </c>
      <c r="J190" s="183">
        <f t="shared" si="13"/>
        <v>0.41830129131974547</v>
      </c>
      <c r="K190">
        <v>-0.3979400086720376</v>
      </c>
      <c r="L190">
        <v>3.22246453795844</v>
      </c>
      <c r="M190" s="137">
        <v>3.7071267407396937</v>
      </c>
      <c r="N190">
        <v>2.9323046139517812</v>
      </c>
      <c r="O190" s="77">
        <v>88.9</v>
      </c>
      <c r="P190" s="77">
        <f t="shared" si="14"/>
        <v>1.9489017609702137</v>
      </c>
      <c r="Q190" s="78">
        <v>34.9</v>
      </c>
      <c r="R190" s="78">
        <f t="shared" si="15"/>
        <v>1.5428254269591799</v>
      </c>
      <c r="S190" s="79">
        <v>42.817370475444001</v>
      </c>
      <c r="T190" s="184">
        <f t="shared" si="16"/>
        <v>1.6316199926391717</v>
      </c>
      <c r="U190">
        <v>-9.1514981121350217E-2</v>
      </c>
      <c r="V190" s="77">
        <v>26</v>
      </c>
      <c r="W190" s="137">
        <f t="shared" si="17"/>
        <v>1.414973347970818</v>
      </c>
    </row>
    <row r="191" spans="1:23" x14ac:dyDescent="0.35">
      <c r="A191" s="74" t="s">
        <v>718</v>
      </c>
      <c r="B191" s="74" t="s">
        <v>497</v>
      </c>
      <c r="C191">
        <v>6</v>
      </c>
      <c r="D191" s="161">
        <v>9</v>
      </c>
      <c r="E191" s="161">
        <v>5.6410958904109592</v>
      </c>
      <c r="F191" s="161">
        <f t="shared" si="12"/>
        <v>0.75136348216155668</v>
      </c>
      <c r="G191">
        <v>2.6674249329872439</v>
      </c>
      <c r="H191">
        <v>0</v>
      </c>
      <c r="I191" s="73">
        <v>2.61</v>
      </c>
      <c r="J191" s="183">
        <f t="shared" si="13"/>
        <v>0.41664050733828095</v>
      </c>
      <c r="K191">
        <v>0.37016136667678035</v>
      </c>
      <c r="L191">
        <v>3.22246453795844</v>
      </c>
      <c r="M191" s="137">
        <v>3.7071267407396937</v>
      </c>
      <c r="N191">
        <v>2.2881746749783951</v>
      </c>
      <c r="O191" s="74">
        <v>92.8</v>
      </c>
      <c r="P191" s="77">
        <f t="shared" si="14"/>
        <v>1.9675479762188621</v>
      </c>
      <c r="Q191" s="75">
        <v>27</v>
      </c>
      <c r="R191" s="78">
        <f t="shared" si="15"/>
        <v>1.4313637641589874</v>
      </c>
      <c r="S191" s="76">
        <v>65.041501268831993</v>
      </c>
      <c r="T191" s="184">
        <f t="shared" si="16"/>
        <v>1.8131905569593969</v>
      </c>
      <c r="U191">
        <v>0.2528530309798932</v>
      </c>
      <c r="V191" s="74">
        <v>29</v>
      </c>
      <c r="W191" s="137">
        <f t="shared" si="17"/>
        <v>1.4623979978989561</v>
      </c>
    </row>
    <row r="192" spans="1:23" x14ac:dyDescent="0.35">
      <c r="A192" s="77" t="s">
        <v>719</v>
      </c>
      <c r="B192" s="77" t="s">
        <v>163</v>
      </c>
      <c r="C192">
        <v>4</v>
      </c>
      <c r="D192" s="161">
        <v>8.653212513775344</v>
      </c>
      <c r="E192" s="161">
        <v>4.183561643835616</v>
      </c>
      <c r="F192" s="161">
        <f t="shared" si="12"/>
        <v>0.62154617259994649</v>
      </c>
      <c r="G192">
        <v>2.5362300726332561</v>
      </c>
      <c r="H192">
        <v>1</v>
      </c>
      <c r="I192" s="72">
        <v>2.3199999999999998</v>
      </c>
      <c r="J192" s="183">
        <f t="shared" si="13"/>
        <v>0.36548798489089962</v>
      </c>
      <c r="K192">
        <v>-1</v>
      </c>
      <c r="L192">
        <v>3.22246453795844</v>
      </c>
      <c r="M192" s="137">
        <v>3.7071267407396937</v>
      </c>
      <c r="N192">
        <v>2.756001823801419</v>
      </c>
      <c r="O192" s="77">
        <v>70</v>
      </c>
      <c r="P192" s="77">
        <f t="shared" si="14"/>
        <v>1.8450980400142569</v>
      </c>
      <c r="Q192" s="78">
        <v>42.9</v>
      </c>
      <c r="R192" s="78">
        <f t="shared" si="15"/>
        <v>1.6324572921847242</v>
      </c>
      <c r="S192" s="79">
        <v>53.2941466273667</v>
      </c>
      <c r="T192" s="184">
        <f t="shared" si="16"/>
        <v>1.7266795124593939</v>
      </c>
      <c r="U192">
        <v>-6.5501548756432285E-2</v>
      </c>
      <c r="V192" s="77">
        <v>24</v>
      </c>
      <c r="W192" s="137">
        <f t="shared" si="17"/>
        <v>1.3802112417116059</v>
      </c>
    </row>
    <row r="193" spans="1:23" x14ac:dyDescent="0.35">
      <c r="A193" s="74" t="s">
        <v>720</v>
      </c>
      <c r="B193" s="74" t="s">
        <v>45</v>
      </c>
      <c r="C193">
        <v>4</v>
      </c>
      <c r="D193" s="161">
        <v>7.4771212547196626</v>
      </c>
      <c r="E193" s="161">
        <v>2.1315068493150684</v>
      </c>
      <c r="F193" s="161">
        <f t="shared" si="12"/>
        <v>0.32868673253321423</v>
      </c>
      <c r="G193">
        <v>3.7707754512906644</v>
      </c>
      <c r="H193">
        <v>1.2787536009528289</v>
      </c>
      <c r="I193" s="73">
        <v>2.3199999999999998</v>
      </c>
      <c r="J193" s="183">
        <f t="shared" si="13"/>
        <v>0.36548798489089962</v>
      </c>
      <c r="K193">
        <v>-1</v>
      </c>
      <c r="L193">
        <v>3.22246453795844</v>
      </c>
      <c r="M193" s="137">
        <v>3.7071267407396937</v>
      </c>
      <c r="N193">
        <v>2.1238516409670858</v>
      </c>
      <c r="O193" s="74">
        <v>85</v>
      </c>
      <c r="P193" s="77">
        <f t="shared" si="14"/>
        <v>1.9294189257142926</v>
      </c>
      <c r="Q193" s="75">
        <v>28.2</v>
      </c>
      <c r="R193" s="78">
        <f t="shared" si="15"/>
        <v>1.4502491083193612</v>
      </c>
      <c r="S193" s="76">
        <v>34.298950279384798</v>
      </c>
      <c r="T193" s="184">
        <f t="shared" si="16"/>
        <v>1.5352808286478177</v>
      </c>
      <c r="U193">
        <v>-0.18708664335714442</v>
      </c>
      <c r="V193" s="74">
        <v>19</v>
      </c>
      <c r="W193" s="137">
        <f t="shared" si="17"/>
        <v>1.2787536009528289</v>
      </c>
    </row>
    <row r="194" spans="1:23" x14ac:dyDescent="0.35">
      <c r="A194" s="77" t="s">
        <v>721</v>
      </c>
      <c r="B194" s="77" t="s">
        <v>45</v>
      </c>
      <c r="C194">
        <v>4</v>
      </c>
      <c r="D194" s="161">
        <v>9.8182258936139561</v>
      </c>
      <c r="E194" s="161">
        <v>3.0849315068493151</v>
      </c>
      <c r="F194" s="161">
        <f t="shared" si="12"/>
        <v>0.48924552605885274</v>
      </c>
      <c r="G194">
        <v>3.7707754512906644</v>
      </c>
      <c r="H194">
        <v>1</v>
      </c>
      <c r="I194" s="72">
        <v>2.3199999999999998</v>
      </c>
      <c r="J194" s="183">
        <f t="shared" si="13"/>
        <v>0.36548798489089962</v>
      </c>
      <c r="K194">
        <v>-0.35585784809143139</v>
      </c>
      <c r="L194">
        <v>3.2188271541979425</v>
      </c>
      <c r="M194" s="137">
        <v>3.7570584504768405</v>
      </c>
      <c r="N194">
        <v>2.1238516409670858</v>
      </c>
      <c r="O194" s="77">
        <v>91.1</v>
      </c>
      <c r="P194" s="77">
        <f t="shared" si="14"/>
        <v>1.9595183769729982</v>
      </c>
      <c r="Q194" s="78">
        <v>24.1</v>
      </c>
      <c r="R194" s="78">
        <f t="shared" si="15"/>
        <v>1.3820170425748683</v>
      </c>
      <c r="S194" s="79">
        <v>40.229046020662899</v>
      </c>
      <c r="T194" s="184">
        <f t="shared" si="16"/>
        <v>1.6045397339663818</v>
      </c>
      <c r="U194">
        <v>0.16435285578443709</v>
      </c>
      <c r="V194" s="77">
        <v>26</v>
      </c>
      <c r="W194" s="137">
        <f t="shared" si="17"/>
        <v>1.414973347970818</v>
      </c>
    </row>
    <row r="195" spans="1:23" x14ac:dyDescent="0.35">
      <c r="A195" s="74" t="s">
        <v>723</v>
      </c>
      <c r="B195" s="74" t="s">
        <v>163</v>
      </c>
      <c r="C195">
        <v>7</v>
      </c>
      <c r="D195" s="161">
        <v>8.9065547333100721</v>
      </c>
      <c r="E195" s="161">
        <v>4.6602739726027398</v>
      </c>
      <c r="F195" s="161">
        <f t="shared" ref="F195:F258" si="18">LOG(E195)</f>
        <v>0.66841144915609429</v>
      </c>
      <c r="G195">
        <v>2.5362300726332561</v>
      </c>
      <c r="H195">
        <v>0.77815125038364363</v>
      </c>
      <c r="I195" s="73">
        <v>2.3199999999999998</v>
      </c>
      <c r="J195" s="183">
        <f t="shared" ref="J195:J258" si="19">LOG(I195)</f>
        <v>0.36548798489089962</v>
      </c>
      <c r="K195">
        <v>9.8345219325912878E-2</v>
      </c>
      <c r="L195">
        <v>3.2188271541979425</v>
      </c>
      <c r="M195" s="137">
        <v>3.7570584504768405</v>
      </c>
      <c r="N195">
        <v>2.756001823801419</v>
      </c>
      <c r="O195" s="74">
        <v>86.3</v>
      </c>
      <c r="P195" s="77">
        <f t="shared" ref="P195:P258" si="20">LOG(O195)</f>
        <v>1.9360107957152095</v>
      </c>
      <c r="Q195" s="75">
        <v>42.1</v>
      </c>
      <c r="R195" s="78">
        <f t="shared" ref="R195:R258" si="21">LOG(Q195)</f>
        <v>1.6242820958356683</v>
      </c>
      <c r="S195" s="76">
        <v>56.8818351627258</v>
      </c>
      <c r="T195" s="184">
        <f t="shared" ref="T195:T258" si="22">LOG(S195)</f>
        <v>1.7549735994690439</v>
      </c>
      <c r="U195">
        <v>0.23299611039215382</v>
      </c>
      <c r="V195" s="74">
        <v>24</v>
      </c>
      <c r="W195" s="137">
        <f t="shared" ref="W195:W258" si="23">IF(V195=0,0,LOG(V195))</f>
        <v>1.3802112417116059</v>
      </c>
    </row>
    <row r="196" spans="1:23" x14ac:dyDescent="0.35">
      <c r="A196" s="77" t="s">
        <v>725</v>
      </c>
      <c r="B196" s="77" t="s">
        <v>2</v>
      </c>
      <c r="C196">
        <v>2</v>
      </c>
      <c r="D196" s="161">
        <v>8.6940356954964511</v>
      </c>
      <c r="E196" s="161">
        <v>5.7534246575342465</v>
      </c>
      <c r="F196" s="161">
        <f t="shared" si="18"/>
        <v>0.75992643027744455</v>
      </c>
      <c r="G196">
        <v>2.9629325585580042</v>
      </c>
      <c r="H196">
        <v>1.0791812460476249</v>
      </c>
      <c r="I196" s="72">
        <v>2.62</v>
      </c>
      <c r="J196" s="183">
        <f t="shared" si="19"/>
        <v>0.41830129131974547</v>
      </c>
      <c r="K196">
        <v>0.60939357636285729</v>
      </c>
      <c r="L196">
        <v>3.2188271541979425</v>
      </c>
      <c r="M196" s="137">
        <v>3.7570584504768405</v>
      </c>
      <c r="N196">
        <v>2.9323046139517812</v>
      </c>
      <c r="O196" s="77">
        <v>90.3</v>
      </c>
      <c r="P196" s="77">
        <f t="shared" si="20"/>
        <v>1.9556877503135057</v>
      </c>
      <c r="Q196" s="78">
        <v>36.1</v>
      </c>
      <c r="R196" s="78">
        <f t="shared" si="21"/>
        <v>1.5575072019056579</v>
      </c>
      <c r="S196" s="79">
        <v>47.576210837790804</v>
      </c>
      <c r="T196" s="184">
        <f t="shared" si="22"/>
        <v>1.6773898501062838</v>
      </c>
      <c r="U196">
        <v>0.2380461031287954</v>
      </c>
      <c r="V196" s="77">
        <v>23</v>
      </c>
      <c r="W196" s="137">
        <f t="shared" si="23"/>
        <v>1.3617278360175928</v>
      </c>
    </row>
    <row r="197" spans="1:23" x14ac:dyDescent="0.35">
      <c r="A197" s="74" t="s">
        <v>727</v>
      </c>
      <c r="B197" s="74" t="s">
        <v>45</v>
      </c>
      <c r="C197">
        <v>5</v>
      </c>
      <c r="D197" s="161">
        <v>8.5440680443502757</v>
      </c>
      <c r="E197" s="161">
        <v>4.375342465753425</v>
      </c>
      <c r="F197" s="161">
        <f t="shared" si="18"/>
        <v>0.64101205168200825</v>
      </c>
      <c r="G197">
        <v>3.7707754512906644</v>
      </c>
      <c r="H197">
        <v>1.3802112417116059</v>
      </c>
      <c r="I197" s="73">
        <v>2.3199999999999998</v>
      </c>
      <c r="J197" s="183">
        <f t="shared" si="19"/>
        <v>0.36548798489089962</v>
      </c>
      <c r="K197">
        <v>-6.3357022441473329E-2</v>
      </c>
      <c r="L197">
        <v>3.2188271541979425</v>
      </c>
      <c r="M197" s="137">
        <v>3.7570584504768405</v>
      </c>
      <c r="N197">
        <v>2.1238516409670858</v>
      </c>
      <c r="O197" s="74">
        <v>91.9</v>
      </c>
      <c r="P197" s="77">
        <f t="shared" si="20"/>
        <v>1.9633155113861114</v>
      </c>
      <c r="Q197" s="75">
        <v>23</v>
      </c>
      <c r="R197" s="78">
        <f t="shared" si="21"/>
        <v>1.3617278360175928</v>
      </c>
      <c r="S197" s="76">
        <v>43.262530407091703</v>
      </c>
      <c r="T197" s="184">
        <f t="shared" si="22"/>
        <v>1.636111917546391</v>
      </c>
      <c r="U197">
        <v>0.2966651902615311</v>
      </c>
      <c r="V197" s="74">
        <v>23</v>
      </c>
      <c r="W197" s="137">
        <f t="shared" si="23"/>
        <v>1.3617278360175928</v>
      </c>
    </row>
    <row r="198" spans="1:23" x14ac:dyDescent="0.35">
      <c r="A198" s="77" t="s">
        <v>479</v>
      </c>
      <c r="B198" s="77" t="s">
        <v>5</v>
      </c>
      <c r="C198">
        <v>9</v>
      </c>
      <c r="D198" s="161">
        <v>8.996743860869806</v>
      </c>
      <c r="E198" s="161">
        <v>3.7342465753424658</v>
      </c>
      <c r="F198" s="161">
        <f t="shared" si="18"/>
        <v>0.57220299137819886</v>
      </c>
      <c r="G198">
        <v>2.5542346870234227</v>
      </c>
      <c r="H198">
        <v>1.2304489213782739</v>
      </c>
      <c r="I198" s="72">
        <v>3.16</v>
      </c>
      <c r="J198" s="183">
        <f t="shared" si="19"/>
        <v>0.49968708261840383</v>
      </c>
      <c r="K198">
        <v>0.12368252267762356</v>
      </c>
      <c r="L198">
        <v>3.2188271541979425</v>
      </c>
      <c r="M198" s="137">
        <v>3.7570584504768405</v>
      </c>
      <c r="N198">
        <v>2.9876662649262746</v>
      </c>
      <c r="O198" s="77">
        <v>88.4</v>
      </c>
      <c r="P198" s="77">
        <f t="shared" si="20"/>
        <v>1.9464522650130731</v>
      </c>
      <c r="Q198" s="78">
        <v>35.700000000000003</v>
      </c>
      <c r="R198" s="78">
        <f t="shared" si="21"/>
        <v>1.5526682161121932</v>
      </c>
      <c r="S198" s="79">
        <v>42.337645557762798</v>
      </c>
      <c r="T198" s="184">
        <f t="shared" si="22"/>
        <v>1.6267267027692975</v>
      </c>
      <c r="U198">
        <v>-6.5501548756432285E-2</v>
      </c>
      <c r="V198" s="77">
        <v>21</v>
      </c>
      <c r="W198" s="137">
        <f t="shared" si="23"/>
        <v>1.3222192947339193</v>
      </c>
    </row>
    <row r="199" spans="1:23" x14ac:dyDescent="0.35">
      <c r="A199" s="74" t="s">
        <v>491</v>
      </c>
      <c r="B199" s="74" t="s">
        <v>163</v>
      </c>
      <c r="C199">
        <v>7</v>
      </c>
      <c r="D199" s="161">
        <v>9.1172712956557636</v>
      </c>
      <c r="E199" s="161">
        <v>6.1479452054794521</v>
      </c>
      <c r="F199" s="161">
        <f t="shared" si="18"/>
        <v>0.78872998812764905</v>
      </c>
      <c r="G199">
        <v>2.5362300726332561</v>
      </c>
      <c r="H199">
        <v>1.9956351945975499</v>
      </c>
      <c r="I199" s="73">
        <v>2.3199999999999998</v>
      </c>
      <c r="J199" s="183">
        <f t="shared" si="19"/>
        <v>0.36548798489089962</v>
      </c>
      <c r="K199">
        <v>5.881996339991695E-2</v>
      </c>
      <c r="L199">
        <v>3.2188271541979425</v>
      </c>
      <c r="M199" s="137">
        <v>3.7570584504768405</v>
      </c>
      <c r="N199">
        <v>2.756001823801419</v>
      </c>
      <c r="O199" s="74">
        <v>70</v>
      </c>
      <c r="P199" s="77">
        <f t="shared" si="20"/>
        <v>1.8450980400142569</v>
      </c>
      <c r="Q199" s="75">
        <v>42.4</v>
      </c>
      <c r="R199" s="78">
        <f t="shared" si="21"/>
        <v>1.6273658565927327</v>
      </c>
      <c r="S199" s="76">
        <v>52.984855215816303</v>
      </c>
      <c r="T199" s="184">
        <f t="shared" si="22"/>
        <v>1.7241517519382803</v>
      </c>
      <c r="U199">
        <v>5.3078443483419682E-2</v>
      </c>
      <c r="V199" s="74">
        <v>18</v>
      </c>
      <c r="W199" s="137">
        <f t="shared" si="23"/>
        <v>1.255272505103306</v>
      </c>
    </row>
    <row r="200" spans="1:23" x14ac:dyDescent="0.35">
      <c r="A200" s="77" t="s">
        <v>730</v>
      </c>
      <c r="B200" s="77" t="s">
        <v>2</v>
      </c>
      <c r="C200">
        <v>4</v>
      </c>
      <c r="D200" s="161">
        <v>9.4423794150633888</v>
      </c>
      <c r="E200" s="161">
        <v>6.5780821917808217</v>
      </c>
      <c r="F200" s="161">
        <f t="shared" si="18"/>
        <v>0.81809929560055261</v>
      </c>
      <c r="G200">
        <v>2.9629325585580042</v>
      </c>
      <c r="H200">
        <v>0.3010299956639812</v>
      </c>
      <c r="I200" s="72">
        <v>2.62</v>
      </c>
      <c r="J200" s="183">
        <f t="shared" si="19"/>
        <v>0.41830129131974547</v>
      </c>
      <c r="K200">
        <v>0.10168862928688671</v>
      </c>
      <c r="L200">
        <v>3.2188271541979425</v>
      </c>
      <c r="M200" s="137">
        <v>3.7570584504768405</v>
      </c>
      <c r="N200">
        <v>2.9323046139517812</v>
      </c>
      <c r="O200" s="77">
        <v>70</v>
      </c>
      <c r="P200" s="77">
        <f t="shared" si="20"/>
        <v>1.8450980400142569</v>
      </c>
      <c r="Q200" s="78">
        <v>34.6</v>
      </c>
      <c r="R200" s="78">
        <f t="shared" si="21"/>
        <v>1.5390760987927767</v>
      </c>
      <c r="S200" s="79">
        <v>47.8156192569637</v>
      </c>
      <c r="T200" s="184">
        <f t="shared" si="22"/>
        <v>1.6795697846681461</v>
      </c>
      <c r="U200">
        <v>4.1392685158225077E-2</v>
      </c>
      <c r="V200" s="77">
        <v>17</v>
      </c>
      <c r="W200" s="137">
        <f t="shared" si="23"/>
        <v>1.2304489213782739</v>
      </c>
    </row>
    <row r="201" spans="1:23" x14ac:dyDescent="0.35">
      <c r="A201" s="74" t="s">
        <v>731</v>
      </c>
      <c r="B201" s="74" t="s">
        <v>2</v>
      </c>
      <c r="C201">
        <v>5</v>
      </c>
      <c r="D201" s="161">
        <v>9.1569366165482577</v>
      </c>
      <c r="E201" s="161">
        <v>5</v>
      </c>
      <c r="F201" s="161">
        <f t="shared" si="18"/>
        <v>0.69897000433601886</v>
      </c>
      <c r="G201">
        <v>2.9629325585580042</v>
      </c>
      <c r="H201">
        <v>1.8061799739838871</v>
      </c>
      <c r="I201" s="73">
        <v>2.62</v>
      </c>
      <c r="J201" s="183">
        <f t="shared" si="19"/>
        <v>0.41830129131974547</v>
      </c>
      <c r="K201">
        <v>1.9154642507423002E-2</v>
      </c>
      <c r="L201">
        <v>3.2188271541979425</v>
      </c>
      <c r="M201" s="137">
        <v>3.7570584504768405</v>
      </c>
      <c r="N201">
        <v>2.9323046139517812</v>
      </c>
      <c r="O201" s="74">
        <v>70</v>
      </c>
      <c r="P201" s="77">
        <f t="shared" si="20"/>
        <v>1.8450980400142569</v>
      </c>
      <c r="Q201" s="75">
        <v>36.200000000000003</v>
      </c>
      <c r="R201" s="78">
        <f t="shared" si="21"/>
        <v>1.5587085705331658</v>
      </c>
      <c r="S201" s="76">
        <v>47.694345434117203</v>
      </c>
      <c r="T201" s="184">
        <f t="shared" si="22"/>
        <v>1.6784668928277571</v>
      </c>
      <c r="U201">
        <v>-0.10790539730951958</v>
      </c>
      <c r="V201" s="74">
        <v>13</v>
      </c>
      <c r="W201" s="137">
        <f t="shared" si="23"/>
        <v>1.1139433523068367</v>
      </c>
    </row>
    <row r="202" spans="1:23" x14ac:dyDescent="0.35">
      <c r="A202" s="77" t="s">
        <v>733</v>
      </c>
      <c r="B202" s="77" t="s">
        <v>497</v>
      </c>
      <c r="C202">
        <v>7</v>
      </c>
      <c r="D202" s="161">
        <v>8.7151673578484576</v>
      </c>
      <c r="E202" s="161">
        <v>5.3506849315068497</v>
      </c>
      <c r="F202" s="161">
        <f t="shared" si="18"/>
        <v>0.72840937883137968</v>
      </c>
      <c r="G202">
        <v>2.6674249329872439</v>
      </c>
      <c r="H202">
        <v>2.1702617153949575</v>
      </c>
      <c r="I202" s="72">
        <v>2.61</v>
      </c>
      <c r="J202" s="183">
        <f t="shared" si="19"/>
        <v>0.41664050733828095</v>
      </c>
      <c r="K202">
        <v>-0.2932838616563514</v>
      </c>
      <c r="L202">
        <v>3.2188271541979425</v>
      </c>
      <c r="M202" s="137">
        <v>3.7570584504768405</v>
      </c>
      <c r="N202">
        <v>2.2881746749783951</v>
      </c>
      <c r="O202" s="77">
        <v>85</v>
      </c>
      <c r="P202" s="77">
        <f t="shared" si="20"/>
        <v>1.9294189257142926</v>
      </c>
      <c r="Q202" s="78">
        <v>30.9</v>
      </c>
      <c r="R202" s="78">
        <f t="shared" si="21"/>
        <v>1.4899584794248346</v>
      </c>
      <c r="S202" s="79">
        <v>33.950689057445601</v>
      </c>
      <c r="T202" s="184">
        <f t="shared" si="22"/>
        <v>1.5308485930733544</v>
      </c>
      <c r="U202">
        <v>-6.5501548756432285E-2</v>
      </c>
      <c r="V202" s="77">
        <v>13</v>
      </c>
      <c r="W202" s="137">
        <f t="shared" si="23"/>
        <v>1.1139433523068367</v>
      </c>
    </row>
    <row r="203" spans="1:23" x14ac:dyDescent="0.35">
      <c r="A203" s="74" t="s">
        <v>734</v>
      </c>
      <c r="B203" s="74" t="s">
        <v>163</v>
      </c>
      <c r="C203">
        <v>5</v>
      </c>
      <c r="D203" s="161">
        <v>8.8475541518806526</v>
      </c>
      <c r="E203" s="161">
        <v>5.3808219178082188</v>
      </c>
      <c r="F203" s="161">
        <f t="shared" si="18"/>
        <v>0.73084861899445608</v>
      </c>
      <c r="G203">
        <v>2.5362300726332561</v>
      </c>
      <c r="H203">
        <v>1.4623979978989561</v>
      </c>
      <c r="I203" s="73">
        <v>2.3199999999999998</v>
      </c>
      <c r="J203" s="183">
        <f t="shared" si="19"/>
        <v>0.36548798489089962</v>
      </c>
      <c r="K203">
        <v>0.32853710717502921</v>
      </c>
      <c r="L203">
        <v>3.2188271541979425</v>
      </c>
      <c r="M203" s="137">
        <v>3.7570584504768405</v>
      </c>
      <c r="N203">
        <v>2.756001823801419</v>
      </c>
      <c r="O203" s="74">
        <v>85</v>
      </c>
      <c r="P203" s="77">
        <f t="shared" si="20"/>
        <v>1.9294189257142926</v>
      </c>
      <c r="Q203" s="75">
        <v>43.7</v>
      </c>
      <c r="R203" s="78">
        <f t="shared" si="21"/>
        <v>1.6404814369704219</v>
      </c>
      <c r="S203" s="76">
        <v>54.530673116863902</v>
      </c>
      <c r="T203" s="184">
        <f t="shared" si="22"/>
        <v>1.7366408585732218</v>
      </c>
      <c r="U203">
        <v>5.6904851336472641E-2</v>
      </c>
      <c r="V203" s="74">
        <v>11</v>
      </c>
      <c r="W203" s="137">
        <f t="shared" si="23"/>
        <v>1.0413926851582251</v>
      </c>
    </row>
    <row r="204" spans="1:23" x14ac:dyDescent="0.35">
      <c r="A204" s="77" t="s">
        <v>736</v>
      </c>
      <c r="B204" s="77" t="s">
        <v>45</v>
      </c>
      <c r="C204">
        <v>1</v>
      </c>
      <c r="D204" s="161">
        <v>8.6989700043360187</v>
      </c>
      <c r="E204" s="161">
        <v>4.0849315068493155</v>
      </c>
      <c r="F204" s="161">
        <f t="shared" si="18"/>
        <v>0.61118477899651991</v>
      </c>
      <c r="G204">
        <v>3.7707754512906644</v>
      </c>
      <c r="H204">
        <v>1.0791812460476249</v>
      </c>
      <c r="I204" s="72">
        <v>2.3199999999999998</v>
      </c>
      <c r="J204" s="183">
        <f t="shared" si="19"/>
        <v>0.36548798489089962</v>
      </c>
      <c r="K204">
        <v>0.47712125471966244</v>
      </c>
      <c r="L204">
        <v>3.2699236952309461</v>
      </c>
      <c r="M204" s="137">
        <v>3.6984415808994222</v>
      </c>
      <c r="N204">
        <v>2.1238516409670858</v>
      </c>
      <c r="O204" s="77">
        <v>91.1</v>
      </c>
      <c r="P204" s="77">
        <f t="shared" si="20"/>
        <v>1.9595183769729982</v>
      </c>
      <c r="Q204" s="78">
        <v>24.1</v>
      </c>
      <c r="R204" s="78">
        <f t="shared" si="21"/>
        <v>1.3820170425748683</v>
      </c>
      <c r="S204" s="79">
        <v>40.229046020662899</v>
      </c>
      <c r="T204" s="184">
        <f t="shared" si="22"/>
        <v>1.6045397339663818</v>
      </c>
      <c r="U204">
        <v>0.19865708695442263</v>
      </c>
      <c r="V204" s="77">
        <v>27</v>
      </c>
      <c r="W204" s="137">
        <f t="shared" si="23"/>
        <v>1.4313637641589874</v>
      </c>
    </row>
    <row r="205" spans="1:23" x14ac:dyDescent="0.35">
      <c r="A205" s="74" t="s">
        <v>738</v>
      </c>
      <c r="B205" s="74" t="s">
        <v>45</v>
      </c>
      <c r="C205">
        <v>9</v>
      </c>
      <c r="D205" s="161">
        <v>9.1760912590556813</v>
      </c>
      <c r="E205" s="161">
        <v>4.4712328767123291</v>
      </c>
      <c r="F205" s="161">
        <f t="shared" si="18"/>
        <v>0.65042728996136767</v>
      </c>
      <c r="G205">
        <v>3.7707754512906644</v>
      </c>
      <c r="H205">
        <v>1.3617278360175928</v>
      </c>
      <c r="I205" s="73">
        <v>2.3199999999999998</v>
      </c>
      <c r="J205" s="183">
        <f t="shared" si="19"/>
        <v>0.36548798489089962</v>
      </c>
      <c r="K205">
        <v>-0.22184874961635639</v>
      </c>
      <c r="L205">
        <v>3.2699236952309461</v>
      </c>
      <c r="M205" s="137">
        <v>3.6984415808994222</v>
      </c>
      <c r="N205">
        <v>2.1238516409670858</v>
      </c>
      <c r="O205" s="74">
        <v>91.1</v>
      </c>
      <c r="P205" s="77">
        <f t="shared" si="20"/>
        <v>1.9595183769729982</v>
      </c>
      <c r="Q205" s="75">
        <v>24.1</v>
      </c>
      <c r="R205" s="78">
        <f t="shared" si="21"/>
        <v>1.3820170425748683</v>
      </c>
      <c r="S205" s="76">
        <v>40.229046020662899</v>
      </c>
      <c r="T205" s="184">
        <f t="shared" si="22"/>
        <v>1.6045397339663818</v>
      </c>
      <c r="U205">
        <v>0.21484384804769791</v>
      </c>
      <c r="V205" s="74">
        <v>27</v>
      </c>
      <c r="W205" s="137">
        <f t="shared" si="23"/>
        <v>1.4313637641589874</v>
      </c>
    </row>
    <row r="206" spans="1:23" x14ac:dyDescent="0.35">
      <c r="A206" s="77" t="s">
        <v>740</v>
      </c>
      <c r="B206" s="77" t="s">
        <v>45</v>
      </c>
      <c r="C206">
        <v>9</v>
      </c>
      <c r="D206" s="161">
        <v>8.1797240960600899</v>
      </c>
      <c r="E206" s="161">
        <v>2.473972602739726</v>
      </c>
      <c r="F206" s="161">
        <f t="shared" si="18"/>
        <v>0.39339488585703108</v>
      </c>
      <c r="G206">
        <v>3.7707754512906644</v>
      </c>
      <c r="H206">
        <v>1.4471580313422192</v>
      </c>
      <c r="I206" s="72">
        <v>2.3199999999999998</v>
      </c>
      <c r="J206" s="183">
        <f t="shared" si="19"/>
        <v>0.36548798489089962</v>
      </c>
      <c r="K206">
        <v>0.35303028293240818</v>
      </c>
      <c r="L206">
        <v>3.2699236952309461</v>
      </c>
      <c r="M206" s="137">
        <v>3.6984415808994222</v>
      </c>
      <c r="N206">
        <v>2.1238516409670858</v>
      </c>
      <c r="O206" s="77">
        <v>91</v>
      </c>
      <c r="P206" s="77">
        <f t="shared" si="20"/>
        <v>1.9590413923210936</v>
      </c>
      <c r="Q206" s="78">
        <v>23.9</v>
      </c>
      <c r="R206" s="78">
        <f t="shared" si="21"/>
        <v>1.3783979009481377</v>
      </c>
      <c r="S206" s="79">
        <v>42.048698215007001</v>
      </c>
      <c r="T206" s="184">
        <f t="shared" si="22"/>
        <v>1.6237525550259535</v>
      </c>
      <c r="U206">
        <v>0.17897694729316943</v>
      </c>
      <c r="V206" s="77">
        <v>26</v>
      </c>
      <c r="W206" s="137">
        <f t="shared" si="23"/>
        <v>1.414973347970818</v>
      </c>
    </row>
    <row r="207" spans="1:23" x14ac:dyDescent="0.35">
      <c r="A207" s="74" t="s">
        <v>741</v>
      </c>
      <c r="B207" s="74" t="s">
        <v>45</v>
      </c>
      <c r="C207">
        <v>9</v>
      </c>
      <c r="D207" s="161">
        <v>10.108176894140763</v>
      </c>
      <c r="E207" s="161">
        <v>4.4739726027397264</v>
      </c>
      <c r="F207" s="161">
        <f t="shared" si="18"/>
        <v>0.65069332028019344</v>
      </c>
      <c r="G207">
        <v>3.7707754512906644</v>
      </c>
      <c r="H207">
        <v>0.47712125471966244</v>
      </c>
      <c r="I207" s="73">
        <v>2.3199999999999998</v>
      </c>
      <c r="J207" s="183">
        <f t="shared" si="19"/>
        <v>0.36548798489089962</v>
      </c>
      <c r="K207">
        <v>7.8047788731252177E-2</v>
      </c>
      <c r="L207">
        <v>3.2699236952309461</v>
      </c>
      <c r="M207" s="137">
        <v>3.6984415808994222</v>
      </c>
      <c r="N207">
        <v>2.1238516409670858</v>
      </c>
      <c r="O207" s="74">
        <v>93.2</v>
      </c>
      <c r="P207" s="77">
        <f t="shared" si="20"/>
        <v>1.9694159123539814</v>
      </c>
      <c r="Q207" s="75">
        <v>26.7</v>
      </c>
      <c r="R207" s="78">
        <f t="shared" si="21"/>
        <v>1.4265112613645752</v>
      </c>
      <c r="S207" s="76">
        <v>36.669158714517401</v>
      </c>
      <c r="T207" s="184">
        <f t="shared" si="22"/>
        <v>1.5643009462345601</v>
      </c>
      <c r="U207">
        <v>-2.6872146400301365E-2</v>
      </c>
      <c r="V207" s="74">
        <v>21</v>
      </c>
      <c r="W207" s="137">
        <f t="shared" si="23"/>
        <v>1.3222192947339193</v>
      </c>
    </row>
    <row r="208" spans="1:23" x14ac:dyDescent="0.35">
      <c r="A208" s="77" t="s">
        <v>742</v>
      </c>
      <c r="B208" s="77" t="s">
        <v>45</v>
      </c>
      <c r="C208">
        <v>2</v>
      </c>
      <c r="D208" s="161">
        <v>8.8836614351536181</v>
      </c>
      <c r="E208" s="161">
        <v>2.0054794520547947</v>
      </c>
      <c r="F208" s="161">
        <f t="shared" si="18"/>
        <v>0.30221821660191722</v>
      </c>
      <c r="G208">
        <v>3.7707754512906644</v>
      </c>
      <c r="H208">
        <v>1.2304489213782739</v>
      </c>
      <c r="I208" s="72">
        <v>2.3199999999999998</v>
      </c>
      <c r="J208" s="183">
        <f t="shared" si="19"/>
        <v>0.36548798489089962</v>
      </c>
      <c r="K208">
        <v>0.19551981089400722</v>
      </c>
      <c r="L208">
        <v>3.2699236952309461</v>
      </c>
      <c r="M208" s="137">
        <v>3.6984415808994222</v>
      </c>
      <c r="N208">
        <v>2.1238516409670858</v>
      </c>
      <c r="O208" s="77">
        <v>93.2</v>
      </c>
      <c r="P208" s="77">
        <f t="shared" si="20"/>
        <v>1.9694159123539814</v>
      </c>
      <c r="Q208" s="78">
        <v>26.7</v>
      </c>
      <c r="R208" s="78">
        <f t="shared" si="21"/>
        <v>1.4265112613645752</v>
      </c>
      <c r="S208" s="79">
        <v>36.669158714517401</v>
      </c>
      <c r="T208" s="184">
        <f t="shared" si="22"/>
        <v>1.5643009462345601</v>
      </c>
      <c r="U208">
        <v>2.5305865264770262E-2</v>
      </c>
      <c r="V208" s="77">
        <v>21</v>
      </c>
      <c r="W208" s="137">
        <f t="shared" si="23"/>
        <v>1.3222192947339193</v>
      </c>
    </row>
    <row r="209" spans="1:23" x14ac:dyDescent="0.35">
      <c r="A209" s="74" t="s">
        <v>743</v>
      </c>
      <c r="B209" s="74" t="s">
        <v>497</v>
      </c>
      <c r="C209">
        <v>2</v>
      </c>
      <c r="D209" s="161">
        <v>8.3424226808222066</v>
      </c>
      <c r="E209" s="161">
        <v>5.4986301369863018</v>
      </c>
      <c r="F209" s="161">
        <f t="shared" si="18"/>
        <v>0.74025450803101089</v>
      </c>
      <c r="G209">
        <v>2.6674249329872439</v>
      </c>
      <c r="H209">
        <v>1.505149978319906</v>
      </c>
      <c r="I209" s="73">
        <v>2.61</v>
      </c>
      <c r="J209" s="183">
        <f t="shared" si="19"/>
        <v>0.41664050733828095</v>
      </c>
      <c r="K209">
        <v>0.60940035449370578</v>
      </c>
      <c r="L209">
        <v>3.2699236952309461</v>
      </c>
      <c r="M209" s="137">
        <v>3.6984415808994222</v>
      </c>
      <c r="N209">
        <v>2.2881746749783951</v>
      </c>
      <c r="O209" s="74">
        <v>92.8</v>
      </c>
      <c r="P209" s="77">
        <f t="shared" si="20"/>
        <v>1.9675479762188621</v>
      </c>
      <c r="Q209" s="75">
        <v>27</v>
      </c>
      <c r="R209" s="78">
        <f t="shared" si="21"/>
        <v>1.4313637641589874</v>
      </c>
      <c r="S209" s="76">
        <v>65.041501268831993</v>
      </c>
      <c r="T209" s="184">
        <f t="shared" si="22"/>
        <v>1.8131905569593969</v>
      </c>
      <c r="U209">
        <v>0.250420002308894</v>
      </c>
      <c r="V209" s="74">
        <v>25</v>
      </c>
      <c r="W209" s="137">
        <f t="shared" si="23"/>
        <v>1.3979400086720377</v>
      </c>
    </row>
    <row r="210" spans="1:23" x14ac:dyDescent="0.35">
      <c r="A210" s="77" t="s">
        <v>744</v>
      </c>
      <c r="B210" s="77" t="s">
        <v>1</v>
      </c>
      <c r="C210">
        <v>2</v>
      </c>
      <c r="D210" s="161">
        <v>7.524396122103842</v>
      </c>
      <c r="E210" s="161">
        <v>2.4465753424657533</v>
      </c>
      <c r="F210" s="161">
        <f t="shared" si="18"/>
        <v>0.38855859443207169</v>
      </c>
      <c r="G210">
        <v>3.0625406208792199</v>
      </c>
      <c r="H210">
        <v>1</v>
      </c>
      <c r="I210" s="72">
        <v>3.06</v>
      </c>
      <c r="J210" s="183">
        <f t="shared" si="19"/>
        <v>0.48572142648158001</v>
      </c>
      <c r="K210">
        <v>1.3592653130497758</v>
      </c>
      <c r="L210">
        <v>3.2699236952309461</v>
      </c>
      <c r="M210" s="137">
        <v>3.6984415808994222</v>
      </c>
      <c r="N210">
        <v>2.8714756364568856</v>
      </c>
      <c r="O210" s="77">
        <v>92.6</v>
      </c>
      <c r="P210" s="77">
        <f t="shared" si="20"/>
        <v>1.9666109866819343</v>
      </c>
      <c r="Q210" s="78">
        <v>39.9</v>
      </c>
      <c r="R210" s="78">
        <f t="shared" si="21"/>
        <v>1.6009728956867482</v>
      </c>
      <c r="S210" s="79">
        <v>43.966315241865303</v>
      </c>
      <c r="T210" s="184">
        <f t="shared" si="22"/>
        <v>1.6431200695045953</v>
      </c>
      <c r="U210">
        <v>0.10720996964786837</v>
      </c>
      <c r="V210" s="77">
        <v>28</v>
      </c>
      <c r="W210" s="137">
        <f t="shared" si="23"/>
        <v>1.4471580313422192</v>
      </c>
    </row>
    <row r="211" spans="1:23" x14ac:dyDescent="0.35">
      <c r="A211" s="74" t="s">
        <v>747</v>
      </c>
      <c r="B211" s="74" t="s">
        <v>2</v>
      </c>
      <c r="C211">
        <v>4</v>
      </c>
      <c r="D211" s="161">
        <v>8.7773688159137464</v>
      </c>
      <c r="E211" s="161">
        <v>4.0821917808219181</v>
      </c>
      <c r="F211" s="161">
        <f t="shared" si="18"/>
        <v>0.61089340395579939</v>
      </c>
      <c r="G211">
        <v>2.9629325585580042</v>
      </c>
      <c r="H211">
        <v>1.146128035678238</v>
      </c>
      <c r="I211" s="73">
        <v>2.62</v>
      </c>
      <c r="J211" s="183">
        <f t="shared" si="19"/>
        <v>0.41830129131974547</v>
      </c>
      <c r="K211">
        <v>0.43635873299666728</v>
      </c>
      <c r="L211">
        <v>3.2699236952309461</v>
      </c>
      <c r="M211" s="137">
        <v>3.6984415808994222</v>
      </c>
      <c r="N211">
        <v>2.9323046139517812</v>
      </c>
      <c r="O211" s="74">
        <v>70</v>
      </c>
      <c r="P211" s="77">
        <f t="shared" si="20"/>
        <v>1.8450980400142569</v>
      </c>
      <c r="Q211" s="75">
        <v>33.9</v>
      </c>
      <c r="R211" s="78">
        <f t="shared" si="21"/>
        <v>1.5301996982030821</v>
      </c>
      <c r="S211" s="76">
        <v>46.312020505412598</v>
      </c>
      <c r="T211" s="184">
        <f t="shared" si="22"/>
        <v>1.6656937288498501</v>
      </c>
      <c r="U211">
        <v>4.1392685158225077E-2</v>
      </c>
      <c r="V211" s="74">
        <v>19</v>
      </c>
      <c r="W211" s="137">
        <f t="shared" si="23"/>
        <v>1.2787536009528289</v>
      </c>
    </row>
    <row r="212" spans="1:23" x14ac:dyDescent="0.35">
      <c r="A212" s="77" t="s">
        <v>749</v>
      </c>
      <c r="B212" s="77" t="s">
        <v>2</v>
      </c>
      <c r="C212">
        <v>4</v>
      </c>
      <c r="D212" s="161">
        <v>8.3010299956639813</v>
      </c>
      <c r="E212" s="161">
        <v>3.7232876712328768</v>
      </c>
      <c r="F212" s="161">
        <f t="shared" si="18"/>
        <v>0.57092659227601961</v>
      </c>
      <c r="G212">
        <v>2.9629325585580042</v>
      </c>
      <c r="H212">
        <v>1.1139433523068367</v>
      </c>
      <c r="I212" s="72">
        <v>2.62</v>
      </c>
      <c r="J212" s="183">
        <f t="shared" si="19"/>
        <v>0.41830129131974547</v>
      </c>
      <c r="K212">
        <v>0.80823731347034766</v>
      </c>
      <c r="L212">
        <v>3.2699236952309461</v>
      </c>
      <c r="M212" s="137">
        <v>3.6984415808994222</v>
      </c>
      <c r="N212">
        <v>2.9323046139517812</v>
      </c>
      <c r="O212" s="77">
        <v>70</v>
      </c>
      <c r="P212" s="77">
        <f t="shared" si="20"/>
        <v>1.8450980400142569</v>
      </c>
      <c r="Q212" s="78">
        <v>34.6</v>
      </c>
      <c r="R212" s="78">
        <f t="shared" si="21"/>
        <v>1.5390760987927767</v>
      </c>
      <c r="S212" s="79">
        <v>47.8156192569637</v>
      </c>
      <c r="T212" s="184">
        <f t="shared" si="22"/>
        <v>1.6795697846681461</v>
      </c>
      <c r="U212">
        <v>0.21748394421390627</v>
      </c>
      <c r="V212" s="77">
        <v>18</v>
      </c>
      <c r="W212" s="137">
        <f t="shared" si="23"/>
        <v>1.255272505103306</v>
      </c>
    </row>
    <row r="213" spans="1:23" x14ac:dyDescent="0.35">
      <c r="A213" s="74" t="s">
        <v>283</v>
      </c>
      <c r="B213" s="74" t="s">
        <v>2</v>
      </c>
      <c r="C213">
        <v>2</v>
      </c>
      <c r="D213" s="161">
        <v>8.1367205671564076</v>
      </c>
      <c r="E213" s="161">
        <v>2.8301369863013699</v>
      </c>
      <c r="F213" s="161">
        <f t="shared" si="18"/>
        <v>0.4518074570631459</v>
      </c>
      <c r="G213">
        <v>2.9629325585580042</v>
      </c>
      <c r="H213">
        <v>0.6020599913279624</v>
      </c>
      <c r="I213" s="73">
        <v>2.62</v>
      </c>
      <c r="J213" s="183">
        <f t="shared" si="19"/>
        <v>0.41830129131974547</v>
      </c>
      <c r="K213">
        <v>0.32150923106716078</v>
      </c>
      <c r="L213">
        <v>3.2699236952309461</v>
      </c>
      <c r="M213" s="137">
        <v>3.6984415808994222</v>
      </c>
      <c r="N213">
        <v>2.9323046139517812</v>
      </c>
      <c r="O213" s="74">
        <v>70</v>
      </c>
      <c r="P213" s="77">
        <f t="shared" si="20"/>
        <v>1.8450980400142569</v>
      </c>
      <c r="Q213" s="75">
        <v>36.200000000000003</v>
      </c>
      <c r="R213" s="78">
        <f t="shared" si="21"/>
        <v>1.5587085705331658</v>
      </c>
      <c r="S213" s="76">
        <v>44.748733746598099</v>
      </c>
      <c r="T213" s="184">
        <f t="shared" si="22"/>
        <v>1.6507807506095689</v>
      </c>
      <c r="U213">
        <v>-0.10237290870955855</v>
      </c>
      <c r="V213" s="74">
        <v>15</v>
      </c>
      <c r="W213" s="137">
        <f t="shared" si="23"/>
        <v>1.1760912590556813</v>
      </c>
    </row>
    <row r="214" spans="1:23" x14ac:dyDescent="0.35">
      <c r="A214" s="77" t="s">
        <v>751</v>
      </c>
      <c r="B214" s="77" t="s">
        <v>2</v>
      </c>
      <c r="C214">
        <v>9</v>
      </c>
      <c r="D214" s="161">
        <v>7.3802112417116064</v>
      </c>
      <c r="E214" s="161">
        <v>2.6794520547945204</v>
      </c>
      <c r="F214" s="161">
        <f t="shared" si="18"/>
        <v>0.42804599033112672</v>
      </c>
      <c r="G214">
        <v>2.9629325585580042</v>
      </c>
      <c r="H214">
        <v>0.47712125471966244</v>
      </c>
      <c r="I214" s="72">
        <v>2.62</v>
      </c>
      <c r="J214" s="183">
        <f t="shared" si="19"/>
        <v>0.41830129131974547</v>
      </c>
      <c r="K214">
        <v>0.97003677662255683</v>
      </c>
      <c r="L214">
        <v>3.2699236952309461</v>
      </c>
      <c r="M214" s="137">
        <v>3.6984415808994222</v>
      </c>
      <c r="N214">
        <v>2.9323046139517812</v>
      </c>
      <c r="O214" s="77">
        <v>70</v>
      </c>
      <c r="P214" s="77">
        <f t="shared" si="20"/>
        <v>1.8450980400142569</v>
      </c>
      <c r="Q214" s="78">
        <v>35.200000000000003</v>
      </c>
      <c r="R214" s="78">
        <f t="shared" si="21"/>
        <v>1.546542663478131</v>
      </c>
      <c r="S214" s="79">
        <v>48.057282584935102</v>
      </c>
      <c r="T214" s="184">
        <f t="shared" si="22"/>
        <v>1.6817592098358938</v>
      </c>
      <c r="U214">
        <v>0.17897694729316943</v>
      </c>
      <c r="V214" s="77">
        <v>12</v>
      </c>
      <c r="W214" s="137">
        <f t="shared" si="23"/>
        <v>1.0791812460476249</v>
      </c>
    </row>
    <row r="215" spans="1:23" x14ac:dyDescent="0.35">
      <c r="A215" s="74" t="s">
        <v>755</v>
      </c>
      <c r="B215" s="74" t="s">
        <v>163</v>
      </c>
      <c r="C215">
        <v>7</v>
      </c>
      <c r="D215" s="161">
        <v>9.0483485639575534</v>
      </c>
      <c r="E215" s="161">
        <v>4.5999999999999996</v>
      </c>
      <c r="F215" s="161">
        <f t="shared" si="18"/>
        <v>0.66275783168157409</v>
      </c>
      <c r="G215">
        <v>2.5362300726332561</v>
      </c>
      <c r="H215">
        <v>1.9084850188786497</v>
      </c>
      <c r="I215" s="73">
        <v>2.3199999999999998</v>
      </c>
      <c r="J215" s="183">
        <f t="shared" si="19"/>
        <v>0.36548798489089962</v>
      </c>
      <c r="K215">
        <v>0.12774269509812849</v>
      </c>
      <c r="L215">
        <v>3.2699236952309461</v>
      </c>
      <c r="M215" s="137">
        <v>3.6984415808994222</v>
      </c>
      <c r="N215">
        <v>2.756001823801419</v>
      </c>
      <c r="O215" s="74">
        <v>87.2</v>
      </c>
      <c r="P215" s="77">
        <f t="shared" si="20"/>
        <v>1.9405164849325673</v>
      </c>
      <c r="Q215" s="75">
        <v>42.5</v>
      </c>
      <c r="R215" s="78">
        <f t="shared" si="21"/>
        <v>1.6283889300503116</v>
      </c>
      <c r="S215" s="76">
        <v>52.565521078007201</v>
      </c>
      <c r="T215" s="184">
        <f t="shared" si="22"/>
        <v>1.7207009738992591</v>
      </c>
      <c r="U215">
        <v>-9.1514981121350217E-2</v>
      </c>
      <c r="V215" s="74">
        <v>22</v>
      </c>
      <c r="W215" s="137">
        <f t="shared" si="23"/>
        <v>1.3424226808222062</v>
      </c>
    </row>
    <row r="216" spans="1:23" x14ac:dyDescent="0.35">
      <c r="A216" s="77" t="s">
        <v>756</v>
      </c>
      <c r="B216" s="77" t="s">
        <v>7</v>
      </c>
      <c r="C216">
        <v>4</v>
      </c>
      <c r="D216" s="161">
        <v>9.6989700043360187</v>
      </c>
      <c r="E216" s="161">
        <v>3.0191780821917806</v>
      </c>
      <c r="F216" s="161">
        <f t="shared" si="18"/>
        <v>0.4798887300592915</v>
      </c>
      <c r="G216">
        <v>2.6903467274930635</v>
      </c>
      <c r="H216">
        <v>1.6232492903979006</v>
      </c>
      <c r="I216" s="72">
        <v>2.59</v>
      </c>
      <c r="J216" s="183">
        <f t="shared" si="19"/>
        <v>0.4132997640812518</v>
      </c>
      <c r="K216">
        <v>0.51666755909904294</v>
      </c>
      <c r="L216">
        <v>3.2699236952309461</v>
      </c>
      <c r="M216" s="137">
        <v>3.6984415808994222</v>
      </c>
      <c r="N216">
        <v>2.7508939203821252</v>
      </c>
      <c r="O216" s="77">
        <v>85</v>
      </c>
      <c r="P216" s="77">
        <f t="shared" si="20"/>
        <v>1.9294189257142926</v>
      </c>
      <c r="Q216" s="78">
        <v>37.799999999999997</v>
      </c>
      <c r="R216" s="78">
        <f t="shared" si="21"/>
        <v>1.5774917998372253</v>
      </c>
      <c r="S216" s="79">
        <v>43.5787105608064</v>
      </c>
      <c r="T216" s="184">
        <f t="shared" si="22"/>
        <v>1.6392743758732649</v>
      </c>
      <c r="U216">
        <v>7.1882007306125359E-2</v>
      </c>
      <c r="V216" s="77">
        <v>20</v>
      </c>
      <c r="W216" s="137">
        <f t="shared" si="23"/>
        <v>1.3010299956639813</v>
      </c>
    </row>
    <row r="217" spans="1:23" x14ac:dyDescent="0.35">
      <c r="A217" s="74" t="s">
        <v>757</v>
      </c>
      <c r="B217" s="74" t="s">
        <v>163</v>
      </c>
      <c r="C217">
        <v>6</v>
      </c>
      <c r="D217" s="161">
        <v>9.2120252035929049</v>
      </c>
      <c r="E217" s="161">
        <v>4.8767123287671232</v>
      </c>
      <c r="F217" s="161">
        <f t="shared" si="18"/>
        <v>0.6881271378524193</v>
      </c>
      <c r="G217">
        <v>2.5362300726332561</v>
      </c>
      <c r="H217">
        <v>1.6020599913279623</v>
      </c>
      <c r="I217" s="73">
        <v>2.3199999999999998</v>
      </c>
      <c r="J217" s="183">
        <f t="shared" si="19"/>
        <v>0.36548798489089962</v>
      </c>
      <c r="K217">
        <v>9.4166166872442655E-2</v>
      </c>
      <c r="L217">
        <v>3.25553976325445</v>
      </c>
      <c r="M217" s="137">
        <v>3.9251377454872847</v>
      </c>
      <c r="N217">
        <v>2.756001823801419</v>
      </c>
      <c r="O217" s="74">
        <v>85.6</v>
      </c>
      <c r="P217" s="77">
        <f t="shared" si="20"/>
        <v>1.9324737646771533</v>
      </c>
      <c r="Q217" s="75">
        <v>43.3</v>
      </c>
      <c r="R217" s="78">
        <f t="shared" si="21"/>
        <v>1.6364878963533653</v>
      </c>
      <c r="S217" s="76">
        <v>56.2907330998475</v>
      </c>
      <c r="T217" s="184">
        <f t="shared" si="22"/>
        <v>1.750436904711814</v>
      </c>
      <c r="U217">
        <v>0.20139712432045145</v>
      </c>
      <c r="V217" s="74">
        <v>27</v>
      </c>
      <c r="W217" s="137">
        <f t="shared" si="23"/>
        <v>1.4313637641589874</v>
      </c>
    </row>
    <row r="218" spans="1:23" x14ac:dyDescent="0.35">
      <c r="A218" s="77" t="s">
        <v>759</v>
      </c>
      <c r="B218" s="77" t="s">
        <v>163</v>
      </c>
      <c r="C218">
        <v>1</v>
      </c>
      <c r="D218" s="161">
        <v>8.5352941200427708</v>
      </c>
      <c r="E218" s="161">
        <v>6.4273972602739722</v>
      </c>
      <c r="F218" s="161">
        <f t="shared" si="18"/>
        <v>0.80803514332303572</v>
      </c>
      <c r="G218">
        <v>2.5362300726332561</v>
      </c>
      <c r="H218">
        <v>1.5314789170422551</v>
      </c>
      <c r="I218" s="72">
        <v>2.3199999999999998</v>
      </c>
      <c r="J218" s="183">
        <f t="shared" si="19"/>
        <v>0.36548798489089962</v>
      </c>
      <c r="K218">
        <v>0.24285713034087314</v>
      </c>
      <c r="L218">
        <v>3.25553976325445</v>
      </c>
      <c r="M218" s="137">
        <v>3.9251377454872847</v>
      </c>
      <c r="N218">
        <v>2.756001823801419</v>
      </c>
      <c r="O218" s="77">
        <v>87.2</v>
      </c>
      <c r="P218" s="77">
        <f t="shared" si="20"/>
        <v>1.9405164849325673</v>
      </c>
      <c r="Q218" s="78">
        <v>42.5</v>
      </c>
      <c r="R218" s="78">
        <f t="shared" si="21"/>
        <v>1.6283889300503116</v>
      </c>
      <c r="S218" s="79">
        <v>52.565521078007201</v>
      </c>
      <c r="T218" s="184">
        <f t="shared" si="22"/>
        <v>1.7207009738992591</v>
      </c>
      <c r="U218">
        <v>6.069784035361165E-2</v>
      </c>
      <c r="V218" s="77">
        <v>23</v>
      </c>
      <c r="W218" s="137">
        <f t="shared" si="23"/>
        <v>1.3617278360175928</v>
      </c>
    </row>
    <row r="219" spans="1:23" x14ac:dyDescent="0.35">
      <c r="A219" s="74" t="s">
        <v>761</v>
      </c>
      <c r="B219" s="74" t="s">
        <v>163</v>
      </c>
      <c r="C219">
        <v>5</v>
      </c>
      <c r="D219" s="161">
        <v>8.4261926928379598</v>
      </c>
      <c r="E219" s="161">
        <v>4.0767123287671234</v>
      </c>
      <c r="F219" s="161">
        <f t="shared" si="18"/>
        <v>0.61031006675338517</v>
      </c>
      <c r="G219">
        <v>2.5362300726332561</v>
      </c>
      <c r="H219">
        <v>1.6127838567197355</v>
      </c>
      <c r="I219" s="73">
        <v>2.3199999999999998</v>
      </c>
      <c r="J219" s="183">
        <f t="shared" si="19"/>
        <v>0.36548798489089962</v>
      </c>
      <c r="K219">
        <v>0.23010916470304998</v>
      </c>
      <c r="L219">
        <v>3.25553976325445</v>
      </c>
      <c r="M219" s="137">
        <v>3.9251377454872847</v>
      </c>
      <c r="N219">
        <v>2.756001823801419</v>
      </c>
      <c r="O219" s="74">
        <v>70</v>
      </c>
      <c r="P219" s="77">
        <f t="shared" si="20"/>
        <v>1.8450980400142569</v>
      </c>
      <c r="Q219" s="75">
        <v>43.4</v>
      </c>
      <c r="R219" s="78">
        <f t="shared" si="21"/>
        <v>1.6374897295125106</v>
      </c>
      <c r="S219" s="76">
        <v>51.652289181886701</v>
      </c>
      <c r="T219" s="184">
        <f t="shared" si="22"/>
        <v>1.7130895738136374</v>
      </c>
      <c r="U219">
        <v>-5.0609993355087209E-2</v>
      </c>
      <c r="V219" s="74">
        <v>4</v>
      </c>
      <c r="W219" s="137">
        <f t="shared" si="23"/>
        <v>0.6020599913279624</v>
      </c>
    </row>
    <row r="220" spans="1:23" x14ac:dyDescent="0.35">
      <c r="A220" s="77" t="s">
        <v>763</v>
      </c>
      <c r="B220" s="77" t="s">
        <v>163</v>
      </c>
      <c r="C220">
        <v>5</v>
      </c>
      <c r="D220" s="161">
        <v>7.6434526764861879</v>
      </c>
      <c r="E220" s="161">
        <v>5.043835616438356</v>
      </c>
      <c r="F220" s="161">
        <f t="shared" si="18"/>
        <v>0.70276092404753998</v>
      </c>
      <c r="G220">
        <v>2.5362300726332561</v>
      </c>
      <c r="H220">
        <v>0.69897000433601886</v>
      </c>
      <c r="I220" s="72">
        <v>2.3199999999999998</v>
      </c>
      <c r="J220" s="183">
        <f t="shared" si="19"/>
        <v>0.36548798489089962</v>
      </c>
      <c r="K220">
        <v>0.35654732351381263</v>
      </c>
      <c r="L220">
        <v>3.25553976325445</v>
      </c>
      <c r="M220" s="137">
        <v>3.9251377454872847</v>
      </c>
      <c r="N220">
        <v>2.756001823801419</v>
      </c>
      <c r="O220" s="77">
        <v>85</v>
      </c>
      <c r="P220" s="77">
        <f t="shared" si="20"/>
        <v>1.9294189257142926</v>
      </c>
      <c r="Q220" s="78">
        <v>44.2</v>
      </c>
      <c r="R220" s="78">
        <f t="shared" si="21"/>
        <v>1.6454222693490919</v>
      </c>
      <c r="S220" s="79">
        <v>52.629944775121203</v>
      </c>
      <c r="T220" s="184">
        <f t="shared" si="22"/>
        <v>1.7212329143100249</v>
      </c>
      <c r="U220">
        <v>-9.1514981121350217E-2</v>
      </c>
      <c r="V220" s="77">
        <v>15</v>
      </c>
      <c r="W220" s="137">
        <f t="shared" si="23"/>
        <v>1.1760912590556813</v>
      </c>
    </row>
    <row r="221" spans="1:23" x14ac:dyDescent="0.35">
      <c r="A221" s="74" t="s">
        <v>765</v>
      </c>
      <c r="B221" s="74" t="s">
        <v>163</v>
      </c>
      <c r="C221">
        <v>4</v>
      </c>
      <c r="D221" s="161">
        <v>7.3979400086720375</v>
      </c>
      <c r="E221" s="161">
        <v>7.0547945205479454</v>
      </c>
      <c r="F221" s="161">
        <f t="shared" si="18"/>
        <v>0.84848436892073509</v>
      </c>
      <c r="G221">
        <v>2.5362300726332561</v>
      </c>
      <c r="H221">
        <v>1.2041199826559248</v>
      </c>
      <c r="I221" s="73">
        <v>2.3199999999999998</v>
      </c>
      <c r="J221" s="183">
        <f t="shared" si="19"/>
        <v>0.36548798489089962</v>
      </c>
      <c r="K221">
        <v>0.44715803134221921</v>
      </c>
      <c r="L221">
        <v>3.25553976325445</v>
      </c>
      <c r="M221" s="137">
        <v>3.9251377454872847</v>
      </c>
      <c r="N221">
        <v>2.756001823801419</v>
      </c>
      <c r="O221" s="74">
        <v>85</v>
      </c>
      <c r="P221" s="77">
        <f t="shared" si="20"/>
        <v>1.9294189257142926</v>
      </c>
      <c r="Q221" s="75">
        <v>43.5</v>
      </c>
      <c r="R221" s="78">
        <f t="shared" si="21"/>
        <v>1.6384892569546374</v>
      </c>
      <c r="S221" s="76">
        <v>52.924485315438503</v>
      </c>
      <c r="T221" s="184">
        <f t="shared" si="22"/>
        <v>1.7236566432478624</v>
      </c>
      <c r="U221">
        <v>1.703333929878037E-2</v>
      </c>
      <c r="V221" s="74">
        <v>14</v>
      </c>
      <c r="W221" s="137">
        <f t="shared" si="23"/>
        <v>1.146128035678238</v>
      </c>
    </row>
    <row r="222" spans="1:23" x14ac:dyDescent="0.35">
      <c r="A222" s="77" t="s">
        <v>766</v>
      </c>
      <c r="B222" s="77" t="s">
        <v>2</v>
      </c>
      <c r="C222">
        <v>8</v>
      </c>
      <c r="D222" s="161">
        <v>8.5273542735518628</v>
      </c>
      <c r="E222" s="161">
        <v>3.2958904109589042</v>
      </c>
      <c r="F222" s="161">
        <f t="shared" si="18"/>
        <v>0.51797276288337002</v>
      </c>
      <c r="G222">
        <v>2.9629325585580042</v>
      </c>
      <c r="H222">
        <v>0.95424250943932487</v>
      </c>
      <c r="I222" s="72">
        <v>2.62</v>
      </c>
      <c r="J222" s="183">
        <f t="shared" si="19"/>
        <v>0.41830129131974547</v>
      </c>
      <c r="K222">
        <v>0.375735713440081</v>
      </c>
      <c r="L222">
        <v>3.25553976325445</v>
      </c>
      <c r="M222" s="137">
        <v>3.9251377454872847</v>
      </c>
      <c r="N222">
        <v>2.9323046139517812</v>
      </c>
      <c r="O222" s="77">
        <v>89.6</v>
      </c>
      <c r="P222" s="77">
        <f t="shared" si="20"/>
        <v>1.9523080096621253</v>
      </c>
      <c r="Q222" s="78">
        <v>35.700000000000003</v>
      </c>
      <c r="R222" s="78">
        <f t="shared" si="21"/>
        <v>1.5526682161121932</v>
      </c>
      <c r="S222" s="79">
        <v>44.7100017757258</v>
      </c>
      <c r="T222" s="184">
        <f t="shared" si="22"/>
        <v>1.6504046871166989</v>
      </c>
      <c r="U222">
        <v>0.18469143081759881</v>
      </c>
      <c r="V222" s="77">
        <v>27</v>
      </c>
      <c r="W222" s="137">
        <f t="shared" si="23"/>
        <v>1.4313637641589874</v>
      </c>
    </row>
    <row r="223" spans="1:23" x14ac:dyDescent="0.35">
      <c r="A223" s="74" t="s">
        <v>767</v>
      </c>
      <c r="B223" s="74" t="s">
        <v>45</v>
      </c>
      <c r="C223">
        <v>5</v>
      </c>
      <c r="D223" s="161">
        <v>8.9760334294622268</v>
      </c>
      <c r="E223" s="161">
        <v>5.6301369863013697</v>
      </c>
      <c r="F223" s="161">
        <f t="shared" si="18"/>
        <v>0.75051896175561328</v>
      </c>
      <c r="G223">
        <v>3.7707754512906644</v>
      </c>
      <c r="H223">
        <v>1.4313637641589874</v>
      </c>
      <c r="I223" s="73">
        <v>2.3199999999999998</v>
      </c>
      <c r="J223" s="183">
        <f t="shared" si="19"/>
        <v>0.36548798489089962</v>
      </c>
      <c r="K223">
        <v>1.6901758266215719E-3</v>
      </c>
      <c r="L223">
        <v>3.25553976325445</v>
      </c>
      <c r="M223" s="137">
        <v>3.9251377454872847</v>
      </c>
      <c r="N223">
        <v>2.1238516409670858</v>
      </c>
      <c r="O223" s="74">
        <v>85</v>
      </c>
      <c r="P223" s="77">
        <f t="shared" si="20"/>
        <v>1.9294189257142926</v>
      </c>
      <c r="Q223" s="75">
        <v>25.9</v>
      </c>
      <c r="R223" s="78">
        <f t="shared" si="21"/>
        <v>1.4132997640812519</v>
      </c>
      <c r="S223" s="76">
        <v>36.959146749272797</v>
      </c>
      <c r="T223" s="184">
        <f t="shared" si="22"/>
        <v>1.5677219364019672</v>
      </c>
      <c r="U223">
        <v>2.5305865264770262E-2</v>
      </c>
      <c r="V223" s="74">
        <v>21</v>
      </c>
      <c r="W223" s="137">
        <f t="shared" si="23"/>
        <v>1.3222192947339193</v>
      </c>
    </row>
    <row r="224" spans="1:23" x14ac:dyDescent="0.35">
      <c r="A224" s="77" t="s">
        <v>772</v>
      </c>
      <c r="B224" s="77" t="s">
        <v>419</v>
      </c>
      <c r="C224">
        <v>8</v>
      </c>
      <c r="D224" s="161">
        <v>8.8450980400142569</v>
      </c>
      <c r="E224" s="161">
        <v>2.9808219178082194</v>
      </c>
      <c r="F224" s="161">
        <f t="shared" si="18"/>
        <v>0.47433603090568643</v>
      </c>
      <c r="G224">
        <v>3.2606294079543621</v>
      </c>
      <c r="H224">
        <v>1.8920946026904804</v>
      </c>
      <c r="I224" s="72">
        <v>3.18</v>
      </c>
      <c r="J224" s="183">
        <f t="shared" si="19"/>
        <v>0.50242711998443268</v>
      </c>
      <c r="K224">
        <v>0.10914446942506807</v>
      </c>
      <c r="L224">
        <v>3.22246453795844</v>
      </c>
      <c r="M224" s="137">
        <v>3.7071267407396937</v>
      </c>
      <c r="N224">
        <v>2.7235924792443509</v>
      </c>
      <c r="O224" s="77">
        <v>92.6</v>
      </c>
      <c r="P224" s="77">
        <f t="shared" si="20"/>
        <v>1.9666109866819343</v>
      </c>
      <c r="Q224" s="78">
        <v>43.9</v>
      </c>
      <c r="R224" s="78">
        <f t="shared" si="21"/>
        <v>1.6424645202421213</v>
      </c>
      <c r="S224" s="79">
        <v>57.041609510745303</v>
      </c>
      <c r="T224" s="184">
        <f t="shared" si="22"/>
        <v>1.7561917712577904</v>
      </c>
      <c r="U224">
        <v>0.10037054511756291</v>
      </c>
      <c r="V224" s="77">
        <v>34</v>
      </c>
      <c r="W224" s="137">
        <f t="shared" si="23"/>
        <v>1.5314789170422551</v>
      </c>
    </row>
    <row r="225" spans="1:23" x14ac:dyDescent="0.35">
      <c r="A225" s="74" t="s">
        <v>774</v>
      </c>
      <c r="B225" s="74" t="s">
        <v>497</v>
      </c>
      <c r="C225">
        <v>9</v>
      </c>
      <c r="D225" s="161">
        <v>7.2900346113625183</v>
      </c>
      <c r="E225" s="161">
        <v>2.6328767123287671</v>
      </c>
      <c r="F225" s="161">
        <f t="shared" si="18"/>
        <v>0.42043052321207064</v>
      </c>
      <c r="G225">
        <v>3.7358167906061537</v>
      </c>
      <c r="H225">
        <v>0.84509804001425681</v>
      </c>
      <c r="I225" s="73">
        <v>2.91</v>
      </c>
      <c r="J225" s="183">
        <f t="shared" si="19"/>
        <v>0.46389298898590731</v>
      </c>
      <c r="K225">
        <v>0.55506342865173885</v>
      </c>
      <c r="L225">
        <v>3.2887955392469697</v>
      </c>
      <c r="M225" s="137">
        <v>3.9279973385794986</v>
      </c>
      <c r="N225">
        <v>2.103233406386928</v>
      </c>
      <c r="O225" s="74">
        <v>92.8</v>
      </c>
      <c r="P225" s="77">
        <f t="shared" si="20"/>
        <v>1.9675479762188621</v>
      </c>
      <c r="Q225" s="75">
        <v>27.6</v>
      </c>
      <c r="R225" s="78">
        <f t="shared" si="21"/>
        <v>1.4409090820652177</v>
      </c>
      <c r="S225" s="76">
        <v>42.012447889189502</v>
      </c>
      <c r="T225" s="184">
        <f t="shared" si="22"/>
        <v>1.6233779867937734</v>
      </c>
      <c r="U225">
        <v>0.17318626841227402</v>
      </c>
      <c r="V225" s="74">
        <v>10</v>
      </c>
      <c r="W225" s="137">
        <f t="shared" si="23"/>
        <v>1</v>
      </c>
    </row>
    <row r="226" spans="1:23" x14ac:dyDescent="0.35">
      <c r="A226" s="77" t="s">
        <v>777</v>
      </c>
      <c r="B226" s="77" t="s">
        <v>59</v>
      </c>
      <c r="C226">
        <v>7</v>
      </c>
      <c r="D226" s="161">
        <v>8.0791812460476251</v>
      </c>
      <c r="E226" s="161">
        <v>7.0739726027397261</v>
      </c>
      <c r="F226" s="161">
        <f t="shared" si="18"/>
        <v>0.84966337347392684</v>
      </c>
      <c r="G226">
        <v>3.7707754512906644</v>
      </c>
      <c r="H226">
        <v>0.77815125038364363</v>
      </c>
      <c r="I226" s="72">
        <v>2.3199999999999998</v>
      </c>
      <c r="J226" s="183">
        <f t="shared" si="19"/>
        <v>0.36548798489089962</v>
      </c>
      <c r="K226">
        <v>-7.9181246047624804E-2</v>
      </c>
      <c r="L226">
        <v>3.3647319780710983</v>
      </c>
      <c r="M226" s="137">
        <v>3.5686596122879011</v>
      </c>
      <c r="N226">
        <v>2.1238516409670858</v>
      </c>
      <c r="O226" s="77">
        <v>94.6</v>
      </c>
      <c r="P226" s="77">
        <f t="shared" si="20"/>
        <v>1.9758911364017928</v>
      </c>
      <c r="Q226" s="78">
        <v>33.200000000000003</v>
      </c>
      <c r="R226" s="78">
        <f t="shared" si="21"/>
        <v>1.5211380837040362</v>
      </c>
      <c r="S226" s="79">
        <v>45.921427555082097</v>
      </c>
      <c r="T226" s="184">
        <f t="shared" si="22"/>
        <v>1.6620153804713207</v>
      </c>
      <c r="U226">
        <v>0.34635297445063856</v>
      </c>
      <c r="V226" s="77">
        <v>26</v>
      </c>
      <c r="W226" s="137">
        <f t="shared" si="23"/>
        <v>1.414973347970818</v>
      </c>
    </row>
    <row r="227" spans="1:23" x14ac:dyDescent="0.35">
      <c r="A227" s="96" t="s">
        <v>789</v>
      </c>
      <c r="B227" s="74" t="s">
        <v>59</v>
      </c>
      <c r="C227">
        <v>4</v>
      </c>
      <c r="D227" s="161">
        <v>9.0413926851582254</v>
      </c>
      <c r="E227" s="161">
        <v>2.7150684931506848</v>
      </c>
      <c r="F227" s="161">
        <f t="shared" si="18"/>
        <v>0.4337807900288006</v>
      </c>
      <c r="G227">
        <v>3.7707754512906644</v>
      </c>
      <c r="H227">
        <v>1.6020599913279623</v>
      </c>
      <c r="I227" s="73">
        <v>2.3199999999999998</v>
      </c>
      <c r="J227" s="183">
        <f t="shared" si="19"/>
        <v>0.36548798489089962</v>
      </c>
      <c r="K227">
        <v>0.22577904324478879</v>
      </c>
      <c r="L227">
        <v>3.3240201037352737</v>
      </c>
      <c r="M227" s="137">
        <v>3.7683162170970865</v>
      </c>
      <c r="N227">
        <v>2.1238516409670858</v>
      </c>
      <c r="O227" s="74">
        <v>94.7</v>
      </c>
      <c r="P227" s="77">
        <f t="shared" si="20"/>
        <v>1.9763499790032735</v>
      </c>
      <c r="Q227" s="75">
        <v>32.4</v>
      </c>
      <c r="R227" s="78">
        <f t="shared" si="21"/>
        <v>1.510545010206612</v>
      </c>
      <c r="S227" s="76">
        <v>45.737088331856903</v>
      </c>
      <c r="T227" s="184">
        <f t="shared" si="22"/>
        <v>1.6602685135357675</v>
      </c>
      <c r="U227">
        <v>0.17897694729316943</v>
      </c>
      <c r="V227" s="74">
        <v>28</v>
      </c>
      <c r="W227" s="137">
        <f t="shared" si="23"/>
        <v>1.4471580313422192</v>
      </c>
    </row>
    <row r="228" spans="1:23" x14ac:dyDescent="0.35">
      <c r="A228" s="96" t="s">
        <v>791</v>
      </c>
      <c r="B228" s="77" t="s">
        <v>59</v>
      </c>
      <c r="C228">
        <v>9</v>
      </c>
      <c r="D228" s="161">
        <v>7.3010299956639813</v>
      </c>
      <c r="E228" s="161">
        <v>4.7123287671232879</v>
      </c>
      <c r="F228" s="161">
        <f t="shared" si="18"/>
        <v>0.67323558245107418</v>
      </c>
      <c r="G228">
        <v>2.8904489647796185</v>
      </c>
      <c r="H228">
        <v>1.1760912590556813</v>
      </c>
      <c r="I228" s="72">
        <v>3.18</v>
      </c>
      <c r="J228" s="183">
        <f t="shared" si="19"/>
        <v>0.50242711998443268</v>
      </c>
      <c r="K228">
        <v>0.93682629938750739</v>
      </c>
      <c r="L228">
        <v>3.5043430043452655</v>
      </c>
      <c r="M228" s="137">
        <v>3.6731863116447854</v>
      </c>
      <c r="N228">
        <v>2.4068239403146179</v>
      </c>
      <c r="O228" s="77">
        <v>94.1</v>
      </c>
      <c r="P228" s="77">
        <f t="shared" si="20"/>
        <v>1.973589623427257</v>
      </c>
      <c r="Q228" s="78">
        <v>32.200000000000003</v>
      </c>
      <c r="R228" s="78">
        <f t="shared" si="21"/>
        <v>1.507855871695831</v>
      </c>
      <c r="S228" s="79">
        <v>43.9397801796012</v>
      </c>
      <c r="T228" s="184">
        <f t="shared" si="22"/>
        <v>1.6428578799166489</v>
      </c>
      <c r="U228">
        <v>0.19312459835446161</v>
      </c>
      <c r="V228" s="77">
        <v>17</v>
      </c>
      <c r="W228" s="137">
        <f t="shared" si="23"/>
        <v>1.2304489213782739</v>
      </c>
    </row>
    <row r="229" spans="1:23" x14ac:dyDescent="0.35">
      <c r="A229" s="74" t="s">
        <v>821</v>
      </c>
      <c r="B229" s="74" t="s">
        <v>489</v>
      </c>
      <c r="C229">
        <v>1</v>
      </c>
      <c r="D229" s="161">
        <v>9.0594963204683658</v>
      </c>
      <c r="E229" s="161">
        <v>8.4493150684931511</v>
      </c>
      <c r="F229" s="161">
        <f t="shared" si="18"/>
        <v>0.92682150492244464</v>
      </c>
      <c r="G229">
        <v>2.8270718863448598</v>
      </c>
      <c r="H229">
        <v>1.7075701760979363</v>
      </c>
      <c r="I229" s="73">
        <v>3.25</v>
      </c>
      <c r="J229" s="183">
        <f t="shared" si="19"/>
        <v>0.51188336097887432</v>
      </c>
      <c r="K229">
        <v>-0.21439828045410877</v>
      </c>
      <c r="L229">
        <v>3.9690067974360175</v>
      </c>
      <c r="M229" s="137">
        <v>3.6622275530882837</v>
      </c>
      <c r="N229">
        <v>2.7172543127625497</v>
      </c>
      <c r="O229" s="74">
        <v>84.1</v>
      </c>
      <c r="P229" s="77">
        <f t="shared" si="20"/>
        <v>1.9247959957979122</v>
      </c>
      <c r="Q229" s="75">
        <v>26.2</v>
      </c>
      <c r="R229" s="78">
        <f t="shared" si="21"/>
        <v>1.4183012913197455</v>
      </c>
      <c r="S229" s="76">
        <v>49.329709120205997</v>
      </c>
      <c r="T229" s="184">
        <f t="shared" si="22"/>
        <v>1.6931085545892062</v>
      </c>
      <c r="U229">
        <v>0.12057393120584989</v>
      </c>
      <c r="V229" s="74">
        <v>9</v>
      </c>
      <c r="W229" s="137">
        <f t="shared" si="23"/>
        <v>0.95424250943932487</v>
      </c>
    </row>
    <row r="230" spans="1:23" x14ac:dyDescent="0.35">
      <c r="A230" s="77" t="s">
        <v>823</v>
      </c>
      <c r="B230" s="77" t="s">
        <v>45</v>
      </c>
      <c r="C230">
        <v>3</v>
      </c>
      <c r="D230" s="161">
        <v>8</v>
      </c>
      <c r="E230" s="161">
        <v>1.9205479452054794</v>
      </c>
      <c r="F230" s="161">
        <f t="shared" si="18"/>
        <v>0.28342515351018394</v>
      </c>
      <c r="G230">
        <v>3.8229763963637051</v>
      </c>
      <c r="H230">
        <v>0.84509804001425681</v>
      </c>
      <c r="I230" s="72">
        <v>3.03</v>
      </c>
      <c r="J230" s="183">
        <f t="shared" si="19"/>
        <v>0.48144262850230496</v>
      </c>
      <c r="K230">
        <v>0.33645973384852951</v>
      </c>
      <c r="L230">
        <v>3.1532162502154288</v>
      </c>
      <c r="M230" s="137">
        <v>3.5175748361336181</v>
      </c>
      <c r="N230">
        <v>2.7113853790984517</v>
      </c>
      <c r="O230" s="77">
        <v>84.7</v>
      </c>
      <c r="P230" s="77">
        <f t="shared" si="20"/>
        <v>1.927883410330707</v>
      </c>
      <c r="Q230" s="78">
        <v>25.9</v>
      </c>
      <c r="R230" s="78">
        <f t="shared" si="21"/>
        <v>1.4132997640812519</v>
      </c>
      <c r="S230" s="79">
        <v>38.207924771594499</v>
      </c>
      <c r="T230" s="184">
        <f t="shared" si="22"/>
        <v>1.5821534500223446</v>
      </c>
      <c r="U230">
        <v>0.10037054511756291</v>
      </c>
      <c r="V230" s="77">
        <v>20</v>
      </c>
      <c r="W230" s="137">
        <f t="shared" si="23"/>
        <v>1.3010299956639813</v>
      </c>
    </row>
    <row r="231" spans="1:23" x14ac:dyDescent="0.35">
      <c r="A231" s="74" t="s">
        <v>826</v>
      </c>
      <c r="B231" s="74" t="s">
        <v>45</v>
      </c>
      <c r="C231">
        <v>5</v>
      </c>
      <c r="D231" s="161">
        <v>9.1760912590556813</v>
      </c>
      <c r="E231" s="161">
        <v>3.5123287671232877</v>
      </c>
      <c r="F231" s="161">
        <f t="shared" si="18"/>
        <v>0.54559516072632386</v>
      </c>
      <c r="G231">
        <v>3.8229763963637051</v>
      </c>
      <c r="H231">
        <v>1.6127838567197355</v>
      </c>
      <c r="I231" s="73">
        <v>3.03</v>
      </c>
      <c r="J231" s="183">
        <f t="shared" si="19"/>
        <v>0.48144262850230496</v>
      </c>
      <c r="K231">
        <v>0.15829010364906099</v>
      </c>
      <c r="L231">
        <v>3.1532162502154288</v>
      </c>
      <c r="M231" s="137">
        <v>3.5175748361336181</v>
      </c>
      <c r="N231">
        <v>2.7113853790984517</v>
      </c>
      <c r="O231" s="74">
        <v>89.2</v>
      </c>
      <c r="P231" s="77">
        <f t="shared" si="20"/>
        <v>1.9503648543761232</v>
      </c>
      <c r="Q231" s="75">
        <v>26</v>
      </c>
      <c r="R231" s="78">
        <f t="shared" si="21"/>
        <v>1.414973347970818</v>
      </c>
      <c r="S231" s="76">
        <v>38.344872802923099</v>
      </c>
      <c r="T231" s="184">
        <f t="shared" si="22"/>
        <v>1.5837073014724459</v>
      </c>
      <c r="U231">
        <v>0.14301480025409513</v>
      </c>
      <c r="V231" s="74">
        <v>18</v>
      </c>
      <c r="W231" s="137">
        <f t="shared" si="23"/>
        <v>1.255272505103306</v>
      </c>
    </row>
    <row r="232" spans="1:23" x14ac:dyDescent="0.35">
      <c r="A232" s="77" t="s">
        <v>194</v>
      </c>
      <c r="B232" s="77" t="s">
        <v>45</v>
      </c>
      <c r="C232">
        <v>2</v>
      </c>
      <c r="D232" s="161">
        <v>9.5039513722356226</v>
      </c>
      <c r="E232" s="161">
        <v>2.0986301369863014</v>
      </c>
      <c r="F232" s="161">
        <f t="shared" si="18"/>
        <v>0.32193590517612924</v>
      </c>
      <c r="G232">
        <v>3.8229763963637051</v>
      </c>
      <c r="H232">
        <v>1.5440680443502757</v>
      </c>
      <c r="I232" s="72">
        <v>3.03</v>
      </c>
      <c r="J232" s="183">
        <f t="shared" si="19"/>
        <v>0.48144262850230496</v>
      </c>
      <c r="K232">
        <v>0.32900742703280411</v>
      </c>
      <c r="L232">
        <v>3.1532162502154288</v>
      </c>
      <c r="M232" s="137">
        <v>3.5175748361336181</v>
      </c>
      <c r="N232">
        <v>2.7113853790984517</v>
      </c>
      <c r="O232" s="77">
        <v>89.2</v>
      </c>
      <c r="P232" s="77">
        <f t="shared" si="20"/>
        <v>1.9503648543761232</v>
      </c>
      <c r="Q232" s="78">
        <v>26</v>
      </c>
      <c r="R232" s="78">
        <f t="shared" si="21"/>
        <v>1.414973347970818</v>
      </c>
      <c r="S232" s="79">
        <v>38.344872802923099</v>
      </c>
      <c r="T232" s="184">
        <f t="shared" si="22"/>
        <v>1.5837073014724459</v>
      </c>
      <c r="U232">
        <v>4.1392685158225077E-2</v>
      </c>
      <c r="V232" s="77">
        <v>18</v>
      </c>
      <c r="W232" s="137">
        <f t="shared" si="23"/>
        <v>1.255272505103306</v>
      </c>
    </row>
    <row r="233" spans="1:23" x14ac:dyDescent="0.35">
      <c r="A233" s="74" t="s">
        <v>830</v>
      </c>
      <c r="B233" s="74" t="s">
        <v>59</v>
      </c>
      <c r="C233">
        <v>6</v>
      </c>
      <c r="D233" s="161">
        <v>7.9542425094393252</v>
      </c>
      <c r="E233" s="161">
        <v>2.1095890410958904</v>
      </c>
      <c r="F233" s="161">
        <f t="shared" si="18"/>
        <v>0.32419786071600715</v>
      </c>
      <c r="G233">
        <v>2.8904489647796185</v>
      </c>
      <c r="H233">
        <v>1.146128035678238</v>
      </c>
      <c r="I233" s="73">
        <v>3.18</v>
      </c>
      <c r="J233" s="183">
        <f t="shared" si="19"/>
        <v>0.50242711998443268</v>
      </c>
      <c r="K233">
        <v>0.94884747755261878</v>
      </c>
      <c r="L233">
        <v>3.1532162502154288</v>
      </c>
      <c r="M233" s="137">
        <v>3.5175748361336181</v>
      </c>
      <c r="N233">
        <v>2.4068239403146179</v>
      </c>
      <c r="O233" s="74">
        <v>94.6</v>
      </c>
      <c r="P233" s="77">
        <f t="shared" si="20"/>
        <v>1.9758911364017928</v>
      </c>
      <c r="Q233" s="75">
        <v>33.200000000000003</v>
      </c>
      <c r="R233" s="78">
        <f t="shared" si="21"/>
        <v>1.5211380837040362</v>
      </c>
      <c r="S233" s="76">
        <v>45.921427555082097</v>
      </c>
      <c r="T233" s="184">
        <f t="shared" si="22"/>
        <v>1.6620153804713207</v>
      </c>
      <c r="U233">
        <v>9.3421685162235063E-2</v>
      </c>
      <c r="V233" s="74">
        <v>15</v>
      </c>
      <c r="W233" s="137">
        <f t="shared" si="23"/>
        <v>1.1760912590556813</v>
      </c>
    </row>
    <row r="234" spans="1:23" x14ac:dyDescent="0.35">
      <c r="A234" s="77" t="s">
        <v>832</v>
      </c>
      <c r="B234" s="77" t="s">
        <v>163</v>
      </c>
      <c r="C234">
        <v>9</v>
      </c>
      <c r="D234" s="161">
        <v>6.8579352647194289</v>
      </c>
      <c r="E234" s="161">
        <v>1.6575342465753424</v>
      </c>
      <c r="F234" s="161">
        <f t="shared" si="18"/>
        <v>0.21946251019599416</v>
      </c>
      <c r="G234">
        <v>2.6893532632422525</v>
      </c>
      <c r="H234">
        <v>0.84509804001425681</v>
      </c>
      <c r="I234" s="72">
        <v>3.03</v>
      </c>
      <c r="J234" s="183">
        <f t="shared" si="19"/>
        <v>0.48144262850230496</v>
      </c>
      <c r="K234">
        <v>0.90884925077842993</v>
      </c>
      <c r="L234">
        <v>3.1532162502154288</v>
      </c>
      <c r="M234" s="137">
        <v>3.5175748361336181</v>
      </c>
      <c r="N234">
        <v>2.9982593384236988</v>
      </c>
      <c r="O234" s="77">
        <v>87.2</v>
      </c>
      <c r="P234" s="77">
        <f t="shared" si="20"/>
        <v>1.9405164849325673</v>
      </c>
      <c r="Q234" s="78">
        <v>42.5</v>
      </c>
      <c r="R234" s="78">
        <f t="shared" si="21"/>
        <v>1.6283889300503116</v>
      </c>
      <c r="S234" s="79">
        <v>52.565521078007201</v>
      </c>
      <c r="T234" s="184">
        <f t="shared" si="22"/>
        <v>1.7207009738992591</v>
      </c>
      <c r="U234">
        <v>-0.25181197299379954</v>
      </c>
      <c r="V234" s="77">
        <v>11</v>
      </c>
      <c r="W234" s="137">
        <f t="shared" si="23"/>
        <v>1.0413926851582251</v>
      </c>
    </row>
    <row r="235" spans="1:23" x14ac:dyDescent="0.35">
      <c r="A235" s="74" t="s">
        <v>835</v>
      </c>
      <c r="B235" s="74" t="s">
        <v>45</v>
      </c>
      <c r="C235">
        <v>5</v>
      </c>
      <c r="D235" s="161">
        <v>7.6020599913279625</v>
      </c>
      <c r="E235" s="161">
        <v>1.0082191780821919</v>
      </c>
      <c r="F235" s="161">
        <f t="shared" si="18"/>
        <v>3.5549542170429872E-3</v>
      </c>
      <c r="G235">
        <v>3.8229763963637051</v>
      </c>
      <c r="H235">
        <v>0.47712125471966244</v>
      </c>
      <c r="I235" s="73">
        <v>3.03</v>
      </c>
      <c r="J235" s="183">
        <f t="shared" si="19"/>
        <v>0.48144262850230496</v>
      </c>
      <c r="K235">
        <v>-1</v>
      </c>
      <c r="L235">
        <v>3.1532162502154288</v>
      </c>
      <c r="M235" s="137">
        <v>3.5175748361336181</v>
      </c>
      <c r="N235">
        <v>2.7113853790984517</v>
      </c>
      <c r="O235" s="74">
        <v>85</v>
      </c>
      <c r="P235" s="77">
        <f t="shared" si="20"/>
        <v>1.9294189257142926</v>
      </c>
      <c r="Q235" s="75">
        <v>27.2</v>
      </c>
      <c r="R235" s="78">
        <f t="shared" si="21"/>
        <v>1.4345689040341987</v>
      </c>
      <c r="S235" s="76">
        <v>35.608384832026097</v>
      </c>
      <c r="T235" s="184">
        <f t="shared" si="22"/>
        <v>1.5515522748692276</v>
      </c>
      <c r="U235">
        <v>-7.5720713938118356E-2</v>
      </c>
      <c r="V235" s="74">
        <v>5</v>
      </c>
      <c r="W235" s="137">
        <f t="shared" si="23"/>
        <v>0.69897000433601886</v>
      </c>
    </row>
    <row r="236" spans="1:23" x14ac:dyDescent="0.35">
      <c r="A236" s="77" t="s">
        <v>838</v>
      </c>
      <c r="B236" s="77" t="s">
        <v>5</v>
      </c>
      <c r="C236">
        <v>2</v>
      </c>
      <c r="D236" s="161">
        <v>7.3771901018415083</v>
      </c>
      <c r="E236" s="161">
        <v>2.0986301369863014</v>
      </c>
      <c r="F236" s="161">
        <f t="shared" si="18"/>
        <v>0.32193590517612924</v>
      </c>
      <c r="G236">
        <v>2.2426159575692655</v>
      </c>
      <c r="H236">
        <v>0.95424250943932487</v>
      </c>
      <c r="I236" s="72">
        <v>2.9</v>
      </c>
      <c r="J236" s="183">
        <f t="shared" si="19"/>
        <v>0.46239799789895608</v>
      </c>
      <c r="K236">
        <v>0.52589988515043506</v>
      </c>
      <c r="L236">
        <v>3.2103561131344809</v>
      </c>
      <c r="M236" s="137">
        <v>3.6619768667491281</v>
      </c>
      <c r="N236">
        <v>2.4705574852172743</v>
      </c>
      <c r="O236" s="77">
        <v>70</v>
      </c>
      <c r="P236" s="77">
        <f t="shared" si="20"/>
        <v>1.8450980400142569</v>
      </c>
      <c r="Q236" s="78">
        <v>36.299999999999997</v>
      </c>
      <c r="R236" s="78">
        <f t="shared" si="21"/>
        <v>1.5599066250361124</v>
      </c>
      <c r="S236" s="79">
        <v>44.332035658580502</v>
      </c>
      <c r="T236" s="184">
        <f t="shared" si="22"/>
        <v>1.6467176738887899</v>
      </c>
      <c r="U236">
        <v>0.15228834438305647</v>
      </c>
      <c r="V236" s="77">
        <v>18</v>
      </c>
      <c r="W236" s="137">
        <f t="shared" si="23"/>
        <v>1.255272505103306</v>
      </c>
    </row>
    <row r="237" spans="1:23" x14ac:dyDescent="0.35">
      <c r="A237" s="74" t="s">
        <v>842</v>
      </c>
      <c r="B237" s="74" t="s">
        <v>5</v>
      </c>
      <c r="C237">
        <v>5</v>
      </c>
      <c r="D237" s="161">
        <v>7.9165592193011136</v>
      </c>
      <c r="E237" s="161">
        <v>5.1726027397260275</v>
      </c>
      <c r="F237" s="161">
        <f t="shared" si="18"/>
        <v>0.71370912550557541</v>
      </c>
      <c r="G237">
        <v>2.5542346870234227</v>
      </c>
      <c r="H237">
        <v>1.8633228601204559</v>
      </c>
      <c r="I237" s="73">
        <v>3.16</v>
      </c>
      <c r="J237" s="183">
        <f t="shared" si="19"/>
        <v>0.49968708261840383</v>
      </c>
      <c r="K237">
        <v>0.33871328580219212</v>
      </c>
      <c r="L237">
        <v>3.3438084825075891</v>
      </c>
      <c r="M237" s="137">
        <v>3.8895205457872843</v>
      </c>
      <c r="N237">
        <v>2.9876662649262746</v>
      </c>
      <c r="O237" s="74">
        <v>88.4</v>
      </c>
      <c r="P237" s="77">
        <f t="shared" si="20"/>
        <v>1.9464522650130731</v>
      </c>
      <c r="Q237" s="75">
        <v>35.700000000000003</v>
      </c>
      <c r="R237" s="78">
        <f t="shared" si="21"/>
        <v>1.5526682161121932</v>
      </c>
      <c r="S237" s="76">
        <v>42.337645557762798</v>
      </c>
      <c r="T237" s="184">
        <f t="shared" si="22"/>
        <v>1.6267267027692975</v>
      </c>
      <c r="U237">
        <v>-3.1517051446064911E-2</v>
      </c>
      <c r="V237" s="74">
        <v>5</v>
      </c>
      <c r="W237" s="137">
        <f t="shared" si="23"/>
        <v>0.69897000433601886</v>
      </c>
    </row>
    <row r="238" spans="1:23" x14ac:dyDescent="0.35">
      <c r="A238" s="77" t="s">
        <v>849</v>
      </c>
      <c r="B238" s="77" t="s">
        <v>5</v>
      </c>
      <c r="C238">
        <v>6</v>
      </c>
      <c r="D238" s="161">
        <v>7.4814426285023048</v>
      </c>
      <c r="E238" s="161">
        <v>1.9150684931506849</v>
      </c>
      <c r="F238" s="161">
        <f t="shared" si="18"/>
        <v>0.28218431128920668</v>
      </c>
      <c r="G238">
        <v>2.5542346870234227</v>
      </c>
      <c r="H238">
        <v>0.90308998699194354</v>
      </c>
      <c r="I238" s="72">
        <v>3.16</v>
      </c>
      <c r="J238" s="183">
        <f t="shared" si="19"/>
        <v>0.49968708261840383</v>
      </c>
      <c r="K238">
        <v>0.50218365862222958</v>
      </c>
      <c r="L238">
        <v>3.3438084825075891</v>
      </c>
      <c r="M238" s="137">
        <v>3.8895205457872843</v>
      </c>
      <c r="N238">
        <v>2.9876662649262746</v>
      </c>
      <c r="O238" s="77">
        <v>70</v>
      </c>
      <c r="P238" s="77">
        <f t="shared" si="20"/>
        <v>1.8450980400142569</v>
      </c>
      <c r="Q238" s="78">
        <v>35</v>
      </c>
      <c r="R238" s="78">
        <f t="shared" si="21"/>
        <v>1.5440680443502757</v>
      </c>
      <c r="S238" s="79">
        <v>42.243452783984999</v>
      </c>
      <c r="T238" s="184">
        <f t="shared" si="22"/>
        <v>1.625759408194035</v>
      </c>
      <c r="U238">
        <v>7.9181246047624818E-2</v>
      </c>
      <c r="V238" s="77">
        <v>3</v>
      </c>
      <c r="W238" s="137">
        <f t="shared" si="23"/>
        <v>0.47712125471966244</v>
      </c>
    </row>
    <row r="239" spans="1:23" x14ac:dyDescent="0.35">
      <c r="A239" s="74" t="s">
        <v>851</v>
      </c>
      <c r="B239" s="74" t="s">
        <v>45</v>
      </c>
      <c r="C239">
        <v>7</v>
      </c>
      <c r="D239" s="161">
        <v>8.7143792229021759</v>
      </c>
      <c r="E239" s="161">
        <v>4.0849315068493155</v>
      </c>
      <c r="F239" s="161">
        <f t="shared" si="18"/>
        <v>0.61118477899651991</v>
      </c>
      <c r="G239">
        <v>3.7358167906061537</v>
      </c>
      <c r="H239">
        <v>1.7160033436347992</v>
      </c>
      <c r="I239" s="73">
        <v>2.81</v>
      </c>
      <c r="J239" s="183">
        <f t="shared" si="19"/>
        <v>0.44870631990507992</v>
      </c>
      <c r="K239">
        <v>0.22834296728139425</v>
      </c>
      <c r="L239">
        <v>3.3884049978579722</v>
      </c>
      <c r="M239" s="137">
        <v>3.8579486949156889</v>
      </c>
      <c r="N239">
        <v>2.103233406386928</v>
      </c>
      <c r="O239" s="74">
        <v>90.5</v>
      </c>
      <c r="P239" s="77">
        <f t="shared" si="20"/>
        <v>1.9566485792052033</v>
      </c>
      <c r="Q239" s="75">
        <v>25.7</v>
      </c>
      <c r="R239" s="78">
        <f t="shared" si="21"/>
        <v>1.4099331233312946</v>
      </c>
      <c r="S239" s="76">
        <v>39.010023979360902</v>
      </c>
      <c r="T239" s="184">
        <f t="shared" si="22"/>
        <v>1.5911762172715689</v>
      </c>
      <c r="U239">
        <v>0.17609125905568124</v>
      </c>
      <c r="V239" s="74">
        <v>10</v>
      </c>
      <c r="W239" s="137">
        <f t="shared" si="23"/>
        <v>1</v>
      </c>
    </row>
    <row r="240" spans="1:23" x14ac:dyDescent="0.35">
      <c r="A240" s="96" t="s">
        <v>854</v>
      </c>
      <c r="B240" s="77" t="s">
        <v>45</v>
      </c>
      <c r="C240">
        <v>6</v>
      </c>
      <c r="D240" s="161">
        <v>7.7861833455676335</v>
      </c>
      <c r="E240" s="161">
        <v>7.8876712328767127</v>
      </c>
      <c r="F240" s="161">
        <f t="shared" si="18"/>
        <v>0.8969488004216073</v>
      </c>
      <c r="G240">
        <v>3.7358167906061537</v>
      </c>
      <c r="H240">
        <v>0</v>
      </c>
      <c r="I240" s="72">
        <v>2.81</v>
      </c>
      <c r="J240" s="183">
        <f t="shared" si="19"/>
        <v>0.44870631990507992</v>
      </c>
      <c r="K240">
        <v>0.93175331002877337</v>
      </c>
      <c r="L240">
        <v>3.3884049978579722</v>
      </c>
      <c r="M240" s="137">
        <v>3.8579486949156889</v>
      </c>
      <c r="N240">
        <v>2.103233406386928</v>
      </c>
      <c r="O240" s="77">
        <v>91.3</v>
      </c>
      <c r="P240" s="77">
        <f t="shared" si="20"/>
        <v>1.9604707775342989</v>
      </c>
      <c r="Q240" s="78">
        <v>23.5</v>
      </c>
      <c r="R240" s="78">
        <f t="shared" si="21"/>
        <v>1.3710678622717363</v>
      </c>
      <c r="S240" s="79">
        <v>43.1672842383418</v>
      </c>
      <c r="T240" s="184">
        <f t="shared" si="22"/>
        <v>1.6351547269652249</v>
      </c>
      <c r="U240">
        <v>0.42813479402878879</v>
      </c>
      <c r="V240" s="77">
        <v>7</v>
      </c>
      <c r="W240" s="137">
        <f t="shared" si="23"/>
        <v>0.84509804001425681</v>
      </c>
    </row>
    <row r="241" spans="1:23" x14ac:dyDescent="0.35">
      <c r="A241" s="74" t="s">
        <v>855</v>
      </c>
      <c r="B241" s="74" t="s">
        <v>45</v>
      </c>
      <c r="C241">
        <v>5</v>
      </c>
      <c r="D241" s="161">
        <v>8.653212513775344</v>
      </c>
      <c r="E241" s="161">
        <v>4.1753424657534248</v>
      </c>
      <c r="F241" s="161">
        <f t="shared" si="18"/>
        <v>0.62069210254710705</v>
      </c>
      <c r="G241">
        <v>3.7358167906061537</v>
      </c>
      <c r="H241">
        <v>1.7160033436347992</v>
      </c>
      <c r="I241" s="73">
        <v>2.81</v>
      </c>
      <c r="J241" s="183">
        <f t="shared" si="19"/>
        <v>0.44870631990507992</v>
      </c>
      <c r="K241">
        <v>-1</v>
      </c>
      <c r="L241">
        <v>3.3884049978579722</v>
      </c>
      <c r="M241" s="137">
        <v>3.8579486949156889</v>
      </c>
      <c r="N241">
        <v>2.103233406386928</v>
      </c>
      <c r="O241" s="74">
        <v>91.4</v>
      </c>
      <c r="P241" s="77">
        <f t="shared" si="20"/>
        <v>1.9609461957338314</v>
      </c>
      <c r="Q241" s="75">
        <v>26.7</v>
      </c>
      <c r="R241" s="78">
        <f t="shared" si="21"/>
        <v>1.4265112613645752</v>
      </c>
      <c r="S241" s="76">
        <v>37.425715444240403</v>
      </c>
      <c r="T241" s="184">
        <f t="shared" si="22"/>
        <v>1.5731701112332821</v>
      </c>
      <c r="U241">
        <v>-3.1517051446064911E-2</v>
      </c>
      <c r="V241" s="74">
        <v>4</v>
      </c>
      <c r="W241" s="137">
        <f t="shared" si="23"/>
        <v>0.6020599913279624</v>
      </c>
    </row>
    <row r="242" spans="1:23" x14ac:dyDescent="0.35">
      <c r="A242" s="77" t="s">
        <v>857</v>
      </c>
      <c r="B242" s="77" t="s">
        <v>45</v>
      </c>
      <c r="C242">
        <v>4</v>
      </c>
      <c r="D242" s="161">
        <v>8.7160033436347994</v>
      </c>
      <c r="E242" s="161">
        <v>7.0301369863013701</v>
      </c>
      <c r="F242" s="161">
        <f t="shared" si="18"/>
        <v>0.84696378758243496</v>
      </c>
      <c r="G242">
        <v>3.7358167906061537</v>
      </c>
      <c r="H242">
        <v>0</v>
      </c>
      <c r="I242" s="72">
        <v>2.81</v>
      </c>
      <c r="J242" s="183">
        <f t="shared" si="19"/>
        <v>0.44870631990507992</v>
      </c>
      <c r="K242">
        <v>5.1338078733862841E-2</v>
      </c>
      <c r="L242">
        <v>3.3884049978579722</v>
      </c>
      <c r="M242" s="137">
        <v>3.8579486949156889</v>
      </c>
      <c r="N242">
        <v>2.103233406386928</v>
      </c>
      <c r="O242" s="77">
        <v>85</v>
      </c>
      <c r="P242" s="77">
        <f t="shared" si="20"/>
        <v>1.9294189257142926</v>
      </c>
      <c r="Q242" s="78">
        <v>25.9</v>
      </c>
      <c r="R242" s="78">
        <f t="shared" si="21"/>
        <v>1.4132997640812519</v>
      </c>
      <c r="S242" s="79">
        <v>36.959146749272797</v>
      </c>
      <c r="T242" s="184">
        <f t="shared" si="22"/>
        <v>1.5677219364019672</v>
      </c>
      <c r="U242">
        <v>5.6904851336472641E-2</v>
      </c>
      <c r="V242" s="77">
        <v>2</v>
      </c>
      <c r="W242" s="137">
        <f t="shared" si="23"/>
        <v>0.3010299956639812</v>
      </c>
    </row>
    <row r="243" spans="1:23" x14ac:dyDescent="0.35">
      <c r="A243" s="74" t="s">
        <v>858</v>
      </c>
      <c r="B243" s="74" t="s">
        <v>45</v>
      </c>
      <c r="C243">
        <v>5</v>
      </c>
      <c r="D243" s="161">
        <v>7.7809650296083168</v>
      </c>
      <c r="E243" s="161">
        <v>4.0465753424657533</v>
      </c>
      <c r="F243" s="161">
        <f t="shared" si="18"/>
        <v>0.60708763085547479</v>
      </c>
      <c r="G243">
        <v>3.7358167906061537</v>
      </c>
      <c r="H243">
        <v>1.3010299956639813</v>
      </c>
      <c r="I243" s="73">
        <v>2.81</v>
      </c>
      <c r="J243" s="183">
        <f t="shared" si="19"/>
        <v>0.44870631990507992</v>
      </c>
      <c r="K243">
        <v>0.9971862207753267</v>
      </c>
      <c r="L243">
        <v>3.3884049978579722</v>
      </c>
      <c r="M243" s="137">
        <v>3.8579486949156889</v>
      </c>
      <c r="N243">
        <v>2.103233406386928</v>
      </c>
      <c r="O243" s="74">
        <v>85</v>
      </c>
      <c r="P243" s="77">
        <f t="shared" si="20"/>
        <v>1.9294189257142926</v>
      </c>
      <c r="Q243" s="75">
        <v>24.9</v>
      </c>
      <c r="R243" s="78">
        <f t="shared" si="21"/>
        <v>1.3961993470957363</v>
      </c>
      <c r="S243" s="76">
        <v>36.710134890601303</v>
      </c>
      <c r="T243" s="184">
        <f t="shared" si="22"/>
        <v>1.564785980312654</v>
      </c>
      <c r="U243">
        <v>6.445798922691845E-2</v>
      </c>
      <c r="V243" s="74">
        <v>0</v>
      </c>
      <c r="W243" s="137">
        <f t="shared" si="23"/>
        <v>0</v>
      </c>
    </row>
    <row r="244" spans="1:23" x14ac:dyDescent="0.35">
      <c r="A244" s="77" t="s">
        <v>860</v>
      </c>
      <c r="B244" s="77" t="s">
        <v>59</v>
      </c>
      <c r="C244">
        <v>5</v>
      </c>
      <c r="D244" s="161">
        <v>7.8325089127062366</v>
      </c>
      <c r="E244" s="161">
        <v>2.6794520547945204</v>
      </c>
      <c r="F244" s="161">
        <f t="shared" si="18"/>
        <v>0.42804599033112672</v>
      </c>
      <c r="G244">
        <v>2.6674249329872439</v>
      </c>
      <c r="H244">
        <v>1.1760912590556813</v>
      </c>
      <c r="I244" s="72">
        <v>2.81</v>
      </c>
      <c r="J244" s="183">
        <f t="shared" si="19"/>
        <v>0.44870631990507992</v>
      </c>
      <c r="K244">
        <v>0.77671186392993052</v>
      </c>
      <c r="L244">
        <v>3.3884049978579722</v>
      </c>
      <c r="M244" s="137">
        <v>3.8579486949156889</v>
      </c>
      <c r="N244">
        <v>2.2881746749783951</v>
      </c>
      <c r="O244" s="77">
        <v>85</v>
      </c>
      <c r="P244" s="77">
        <f t="shared" si="20"/>
        <v>1.9294189257142926</v>
      </c>
      <c r="Q244" s="78">
        <v>32.6</v>
      </c>
      <c r="R244" s="78">
        <f t="shared" si="21"/>
        <v>1.5132176000679389</v>
      </c>
      <c r="S244" s="79">
        <v>36.544739309553499</v>
      </c>
      <c r="T244" s="184">
        <f t="shared" si="22"/>
        <v>1.5628248682086028</v>
      </c>
      <c r="U244">
        <v>-3.6212172654444715E-2</v>
      </c>
      <c r="V244" s="77">
        <v>0</v>
      </c>
      <c r="W244" s="137">
        <f t="shared" si="23"/>
        <v>0</v>
      </c>
    </row>
    <row r="245" spans="1:23" x14ac:dyDescent="0.35">
      <c r="A245" s="74" t="s">
        <v>862</v>
      </c>
      <c r="B245" s="74" t="s">
        <v>45</v>
      </c>
      <c r="C245">
        <v>8</v>
      </c>
      <c r="D245" s="161">
        <v>9.1373541113707333</v>
      </c>
      <c r="E245" s="161">
        <v>3.2630136986301368</v>
      </c>
      <c r="F245" s="161">
        <f t="shared" si="18"/>
        <v>0.51361889702630281</v>
      </c>
      <c r="G245">
        <v>3.7358167906061537</v>
      </c>
      <c r="H245">
        <v>0.3010299956639812</v>
      </c>
      <c r="I245" s="73">
        <v>2.81</v>
      </c>
      <c r="J245" s="183">
        <f t="shared" si="19"/>
        <v>0.44870631990507992</v>
      </c>
      <c r="K245">
        <v>0.12746371163880357</v>
      </c>
      <c r="L245">
        <v>3.3884049978579722</v>
      </c>
      <c r="M245" s="137">
        <v>3.8579486949156889</v>
      </c>
      <c r="N245">
        <v>2.103233406386928</v>
      </c>
      <c r="O245" s="74">
        <v>85</v>
      </c>
      <c r="P245" s="77">
        <f t="shared" si="20"/>
        <v>1.9294189257142926</v>
      </c>
      <c r="Q245" s="75">
        <v>27.2</v>
      </c>
      <c r="R245" s="78">
        <f t="shared" si="21"/>
        <v>1.4345689040341987</v>
      </c>
      <c r="S245" s="76">
        <v>35.608384832026097</v>
      </c>
      <c r="T245" s="184">
        <f t="shared" si="22"/>
        <v>1.5515522748692276</v>
      </c>
      <c r="U245">
        <v>-4.5757490560675115E-2</v>
      </c>
      <c r="V245" s="74">
        <v>0</v>
      </c>
      <c r="W245" s="137">
        <f t="shared" si="23"/>
        <v>0</v>
      </c>
    </row>
    <row r="246" spans="1:23" x14ac:dyDescent="0.35">
      <c r="A246" s="77" t="s">
        <v>863</v>
      </c>
      <c r="B246" s="77" t="s">
        <v>45</v>
      </c>
      <c r="C246" t="s">
        <v>1323</v>
      </c>
      <c r="D246" s="161">
        <v>8.1760912590556813</v>
      </c>
      <c r="E246" s="161">
        <v>3.2630136986301368</v>
      </c>
      <c r="F246" s="161">
        <f t="shared" si="18"/>
        <v>0.51361889702630281</v>
      </c>
      <c r="G246">
        <v>3.7358167906061537</v>
      </c>
      <c r="H246">
        <v>2.0374264979406238</v>
      </c>
      <c r="I246" s="72">
        <v>2.81</v>
      </c>
      <c r="J246" s="183">
        <f t="shared" si="19"/>
        <v>0.44870631990507992</v>
      </c>
      <c r="K246">
        <v>0.38394695043285532</v>
      </c>
      <c r="L246">
        <v>3.3884049978579722</v>
      </c>
      <c r="M246" s="137">
        <v>3.8579486949156889</v>
      </c>
      <c r="N246">
        <v>2.103233406386928</v>
      </c>
      <c r="O246" s="77">
        <v>85</v>
      </c>
      <c r="P246" s="77">
        <f t="shared" si="20"/>
        <v>1.9294189257142926</v>
      </c>
      <c r="Q246" s="78">
        <v>28.2</v>
      </c>
      <c r="R246" s="78">
        <f t="shared" si="21"/>
        <v>1.4502491083193612</v>
      </c>
      <c r="S246" s="79">
        <v>34.298950279384798</v>
      </c>
      <c r="T246" s="184">
        <f t="shared" si="22"/>
        <v>1.5352808286478177</v>
      </c>
      <c r="U246">
        <v>-6.5501548756432285E-2</v>
      </c>
      <c r="V246" s="77">
        <v>0</v>
      </c>
      <c r="W246" s="137">
        <f t="shared" si="23"/>
        <v>0</v>
      </c>
    </row>
    <row r="247" spans="1:23" x14ac:dyDescent="0.35">
      <c r="A247" s="74" t="s">
        <v>230</v>
      </c>
      <c r="B247" s="74" t="s">
        <v>59</v>
      </c>
      <c r="C247">
        <v>7</v>
      </c>
      <c r="D247" s="161">
        <v>9.3531446202918289</v>
      </c>
      <c r="E247" s="161">
        <v>6.4958904109589044</v>
      </c>
      <c r="F247" s="161">
        <f t="shared" si="18"/>
        <v>0.81263868952171348</v>
      </c>
      <c r="G247">
        <v>2.6674249329872439</v>
      </c>
      <c r="H247">
        <v>1.7242758696007889</v>
      </c>
      <c r="I247" s="73">
        <v>2.81</v>
      </c>
      <c r="J247" s="183">
        <f t="shared" si="19"/>
        <v>0.44870631990507992</v>
      </c>
      <c r="K247">
        <v>0.19092342405844648</v>
      </c>
      <c r="L247">
        <v>3.3884049978579722</v>
      </c>
      <c r="M247" s="137">
        <v>3.8579486949156889</v>
      </c>
      <c r="N247">
        <v>2.2881746749783951</v>
      </c>
      <c r="O247" s="74">
        <v>85</v>
      </c>
      <c r="P247" s="77">
        <f t="shared" si="20"/>
        <v>1.9294189257142926</v>
      </c>
      <c r="Q247" s="75">
        <v>32.9</v>
      </c>
      <c r="R247" s="78">
        <f t="shared" si="21"/>
        <v>1.5171958979499742</v>
      </c>
      <c r="S247" s="76">
        <v>35.433808146393098</v>
      </c>
      <c r="T247" s="184">
        <f t="shared" si="22"/>
        <v>1.5494178293890581</v>
      </c>
      <c r="U247">
        <v>-1.322826573375516E-2</v>
      </c>
      <c r="V247" s="74">
        <v>0</v>
      </c>
      <c r="W247" s="137">
        <f t="shared" si="23"/>
        <v>0</v>
      </c>
    </row>
    <row r="248" spans="1:23" x14ac:dyDescent="0.35">
      <c r="A248" s="77" t="s">
        <v>865</v>
      </c>
      <c r="B248" s="77" t="s">
        <v>434</v>
      </c>
      <c r="C248">
        <v>9</v>
      </c>
      <c r="D248" s="161">
        <v>8.0777311796523925</v>
      </c>
      <c r="E248" s="161">
        <v>2.8547945205479452</v>
      </c>
      <c r="F248" s="161">
        <f t="shared" si="18"/>
        <v>0.45557485450703095</v>
      </c>
      <c r="G248">
        <v>3.8584156743566731</v>
      </c>
      <c r="H248">
        <v>1.5314789170422551</v>
      </c>
      <c r="I248" s="72">
        <v>2.66</v>
      </c>
      <c r="J248" s="183">
        <f t="shared" si="19"/>
        <v>0.42488163663106698</v>
      </c>
      <c r="K248">
        <v>0.3035644433514339</v>
      </c>
      <c r="L248">
        <v>3.1867416979308154</v>
      </c>
      <c r="M248" s="137">
        <v>3.6572619512401316</v>
      </c>
      <c r="N248">
        <v>2.8134697878296753</v>
      </c>
      <c r="O248" s="77">
        <v>76.900000000000006</v>
      </c>
      <c r="P248" s="77">
        <f t="shared" si="20"/>
        <v>1.885926339801431</v>
      </c>
      <c r="Q248" s="78">
        <v>44.05</v>
      </c>
      <c r="R248" s="78">
        <f t="shared" si="21"/>
        <v>1.6439459127480667</v>
      </c>
      <c r="S248" s="79">
        <v>51.064530698041601</v>
      </c>
      <c r="T248" s="184">
        <f t="shared" si="22"/>
        <v>1.7081193449348573</v>
      </c>
      <c r="U248">
        <v>8.6359830674748214E-2</v>
      </c>
      <c r="V248" s="77">
        <v>12</v>
      </c>
      <c r="W248" s="137">
        <f t="shared" si="23"/>
        <v>1.0791812460476249</v>
      </c>
    </row>
    <row r="249" spans="1:23" x14ac:dyDescent="0.35">
      <c r="A249" s="74" t="s">
        <v>868</v>
      </c>
      <c r="B249" s="74" t="s">
        <v>434</v>
      </c>
      <c r="C249">
        <v>5</v>
      </c>
      <c r="D249" s="161">
        <v>8.8692317197309762</v>
      </c>
      <c r="E249" s="161">
        <v>1.1972602739726028</v>
      </c>
      <c r="F249" s="161">
        <f t="shared" si="18"/>
        <v>7.818857251394716E-2</v>
      </c>
      <c r="G249">
        <v>3.8584156743566731</v>
      </c>
      <c r="H249">
        <v>2.0681858617461617</v>
      </c>
      <c r="I249" s="73">
        <v>2.66</v>
      </c>
      <c r="J249" s="183">
        <f t="shared" si="19"/>
        <v>0.42488163663106698</v>
      </c>
      <c r="K249">
        <v>5.2714734498433974E-2</v>
      </c>
      <c r="L249">
        <v>3.1867416979308154</v>
      </c>
      <c r="M249" s="137">
        <v>3.6572619512401316</v>
      </c>
      <c r="N249">
        <v>2.8134697878296753</v>
      </c>
      <c r="O249" s="74">
        <v>78.400000000000006</v>
      </c>
      <c r="P249" s="77">
        <f t="shared" si="20"/>
        <v>1.8943160626844384</v>
      </c>
      <c r="Q249" s="75">
        <v>40.57</v>
      </c>
      <c r="R249" s="78">
        <f t="shared" si="21"/>
        <v>1.6082050077043262</v>
      </c>
      <c r="S249" s="76">
        <v>47.629620244041597</v>
      </c>
      <c r="T249" s="184">
        <f t="shared" si="22"/>
        <v>1.6778771188499342</v>
      </c>
      <c r="U249">
        <v>-3.6212172654444715E-2</v>
      </c>
      <c r="V249" s="74">
        <v>5</v>
      </c>
      <c r="W249" s="137">
        <f t="shared" si="23"/>
        <v>0.69897000433601886</v>
      </c>
    </row>
    <row r="250" spans="1:23" x14ac:dyDescent="0.35">
      <c r="A250" s="77" t="s">
        <v>870</v>
      </c>
      <c r="B250" s="77" t="s">
        <v>163</v>
      </c>
      <c r="C250">
        <v>8</v>
      </c>
      <c r="D250" s="161">
        <v>8.385606273598313</v>
      </c>
      <c r="E250" s="161">
        <v>3.0657534246575344</v>
      </c>
      <c r="F250" s="161">
        <f t="shared" si="18"/>
        <v>0.48653722207187539</v>
      </c>
      <c r="G250">
        <v>3.7899753459779522</v>
      </c>
      <c r="H250">
        <v>1.7781512503836436</v>
      </c>
      <c r="I250" s="72">
        <v>3.18</v>
      </c>
      <c r="J250" s="183">
        <f t="shared" si="19"/>
        <v>0.50242711998443268</v>
      </c>
      <c r="K250">
        <v>0.36644217422112635</v>
      </c>
      <c r="L250">
        <v>3.7516212028445941</v>
      </c>
      <c r="M250" s="137">
        <v>3.677201259573847</v>
      </c>
      <c r="N250">
        <v>2.7670321178317625</v>
      </c>
      <c r="O250" s="77">
        <v>70</v>
      </c>
      <c r="P250" s="77">
        <f t="shared" si="20"/>
        <v>1.8450980400142569</v>
      </c>
      <c r="Q250" s="78">
        <v>42.4</v>
      </c>
      <c r="R250" s="78">
        <f t="shared" si="21"/>
        <v>1.6273658565927327</v>
      </c>
      <c r="S250" s="79">
        <v>52.984855215816303</v>
      </c>
      <c r="T250" s="184">
        <f t="shared" si="22"/>
        <v>1.7241517519382803</v>
      </c>
      <c r="U250">
        <v>0.14612803567823801</v>
      </c>
      <c r="V250" s="77">
        <v>6</v>
      </c>
      <c r="W250" s="137">
        <f t="shared" si="23"/>
        <v>0.77815125038364363</v>
      </c>
    </row>
    <row r="251" spans="1:23" x14ac:dyDescent="0.35">
      <c r="A251" s="96" t="s">
        <v>872</v>
      </c>
      <c r="B251" s="74" t="s">
        <v>4</v>
      </c>
      <c r="C251">
        <v>9</v>
      </c>
      <c r="D251" s="161">
        <v>6.8573324964312681</v>
      </c>
      <c r="E251" s="161">
        <v>1.8356164383561644</v>
      </c>
      <c r="F251" s="161">
        <f t="shared" si="18"/>
        <v>0.26378193824435175</v>
      </c>
      <c r="G251">
        <v>3.8219626565950726</v>
      </c>
      <c r="H251">
        <v>0</v>
      </c>
      <c r="I251" s="73">
        <v>3.03</v>
      </c>
      <c r="J251" s="183">
        <f t="shared" si="19"/>
        <v>0.48144262850230496</v>
      </c>
      <c r="K251">
        <v>0.88303019306297537</v>
      </c>
      <c r="L251">
        <v>3.3779512479807074</v>
      </c>
      <c r="M251" s="137">
        <v>3.7669888618571257</v>
      </c>
      <c r="N251">
        <v>2.9079485216122722</v>
      </c>
      <c r="O251" s="74">
        <v>70</v>
      </c>
      <c r="P251" s="77">
        <f t="shared" si="20"/>
        <v>1.8450980400142569</v>
      </c>
      <c r="Q251" s="75">
        <v>48.8</v>
      </c>
      <c r="R251" s="78">
        <f t="shared" si="21"/>
        <v>1.6884198220027107</v>
      </c>
      <c r="S251" s="76">
        <v>40.994444916013499</v>
      </c>
      <c r="T251" s="184">
        <f t="shared" si="22"/>
        <v>1.61272501023744</v>
      </c>
      <c r="U251">
        <v>0.13672056715640679</v>
      </c>
      <c r="V251" s="74">
        <v>57</v>
      </c>
      <c r="W251" s="137">
        <f t="shared" si="23"/>
        <v>1.7558748556724915</v>
      </c>
    </row>
    <row r="252" spans="1:23" x14ac:dyDescent="0.35">
      <c r="A252" s="77" t="s">
        <v>504</v>
      </c>
      <c r="B252" s="77" t="s">
        <v>59</v>
      </c>
      <c r="C252">
        <v>6</v>
      </c>
      <c r="D252" s="161">
        <v>9.3222192947339195</v>
      </c>
      <c r="E252" s="161">
        <v>4.3698630136986303</v>
      </c>
      <c r="F252" s="161">
        <f t="shared" si="18"/>
        <v>0.64046782293672522</v>
      </c>
      <c r="G252">
        <v>3.7707754512906644</v>
      </c>
      <c r="H252">
        <v>1.2304489213782739</v>
      </c>
      <c r="I252" s="72">
        <v>2.3199999999999998</v>
      </c>
      <c r="J252" s="183">
        <f t="shared" si="19"/>
        <v>0.36548798489089962</v>
      </c>
      <c r="K252">
        <v>7.5720713938118342E-2</v>
      </c>
      <c r="L252">
        <v>3.3779512479807074</v>
      </c>
      <c r="M252" s="137">
        <v>3.7669888618571257</v>
      </c>
      <c r="N252">
        <v>2.1238516409670858</v>
      </c>
      <c r="O252" s="77">
        <v>94.9</v>
      </c>
      <c r="P252" s="77">
        <f t="shared" si="20"/>
        <v>1.9772662124272926</v>
      </c>
      <c r="Q252" s="78">
        <v>32.299999999999997</v>
      </c>
      <c r="R252" s="78">
        <f t="shared" si="21"/>
        <v>1.5092025223311027</v>
      </c>
      <c r="S252" s="79">
        <v>47.560703662314701</v>
      </c>
      <c r="T252" s="184">
        <f t="shared" si="22"/>
        <v>1.6772482713966061</v>
      </c>
      <c r="U252">
        <v>0.2355284469075489</v>
      </c>
      <c r="V252" s="77">
        <v>79</v>
      </c>
      <c r="W252" s="137">
        <f t="shared" si="23"/>
        <v>1.8976270912904414</v>
      </c>
    </row>
    <row r="253" spans="1:23" x14ac:dyDescent="0.35">
      <c r="A253" s="74" t="s">
        <v>879</v>
      </c>
      <c r="B253" s="74" t="s">
        <v>59</v>
      </c>
      <c r="C253">
        <v>4</v>
      </c>
      <c r="D253" s="161">
        <v>8.1726029312098607</v>
      </c>
      <c r="E253" s="161">
        <v>5.043835616438356</v>
      </c>
      <c r="F253" s="161">
        <f t="shared" si="18"/>
        <v>0.70276092404753998</v>
      </c>
      <c r="G253">
        <v>3.7707754512906644</v>
      </c>
      <c r="H253">
        <v>1.3222192947339193</v>
      </c>
      <c r="I253" s="73">
        <v>2.3199999999999998</v>
      </c>
      <c r="J253" s="183">
        <f t="shared" si="19"/>
        <v>0.36548798489089962</v>
      </c>
      <c r="K253">
        <v>0.48060958256548381</v>
      </c>
      <c r="L253">
        <v>3.17328398991646</v>
      </c>
      <c r="M253" s="137">
        <v>3.8227937352435273</v>
      </c>
      <c r="N253">
        <v>2.1238516409670858</v>
      </c>
      <c r="O253" s="74">
        <v>94.1</v>
      </c>
      <c r="P253" s="77">
        <f t="shared" si="20"/>
        <v>1.973589623427257</v>
      </c>
      <c r="Q253" s="75">
        <v>32.200000000000003</v>
      </c>
      <c r="R253" s="78">
        <f t="shared" si="21"/>
        <v>1.507855871695831</v>
      </c>
      <c r="S253" s="76">
        <v>43.9397801796012</v>
      </c>
      <c r="T253" s="184">
        <f t="shared" si="22"/>
        <v>1.6428578799166489</v>
      </c>
      <c r="U253">
        <v>0.22010808804005513</v>
      </c>
      <c r="V253" s="74">
        <v>18</v>
      </c>
      <c r="W253" s="137">
        <f t="shared" si="23"/>
        <v>1.255272505103306</v>
      </c>
    </row>
    <row r="254" spans="1:23" x14ac:dyDescent="0.35">
      <c r="A254" s="77" t="s">
        <v>881</v>
      </c>
      <c r="B254" s="77" t="s">
        <v>59</v>
      </c>
      <c r="C254">
        <v>8</v>
      </c>
      <c r="D254" s="161">
        <v>7.8129133566428557</v>
      </c>
      <c r="E254" s="161">
        <v>2.1698630136986301</v>
      </c>
      <c r="F254" s="161">
        <f t="shared" si="18"/>
        <v>0.3364323171330188</v>
      </c>
      <c r="G254">
        <v>3.7707754512906644</v>
      </c>
      <c r="H254">
        <v>1.1139433523068367</v>
      </c>
      <c r="I254" s="72">
        <v>2.3199999999999998</v>
      </c>
      <c r="J254" s="183">
        <f t="shared" si="19"/>
        <v>0.36548798489089962</v>
      </c>
      <c r="K254">
        <v>0.39120662601306921</v>
      </c>
      <c r="L254">
        <v>3.17328398991646</v>
      </c>
      <c r="M254" s="137">
        <v>3.8227937352435273</v>
      </c>
      <c r="N254">
        <v>2.1238516409670858</v>
      </c>
      <c r="O254" s="77">
        <v>94.6</v>
      </c>
      <c r="P254" s="77">
        <f t="shared" si="20"/>
        <v>1.9758911364017928</v>
      </c>
      <c r="Q254" s="78">
        <v>33.200000000000003</v>
      </c>
      <c r="R254" s="78">
        <f t="shared" si="21"/>
        <v>1.5211380837040362</v>
      </c>
      <c r="S254" s="79">
        <v>45.921427555082097</v>
      </c>
      <c r="T254" s="184">
        <f t="shared" si="22"/>
        <v>1.6620153804713207</v>
      </c>
      <c r="U254">
        <v>8.2785370316450071E-2</v>
      </c>
      <c r="V254" s="77">
        <v>16</v>
      </c>
      <c r="W254" s="137">
        <f t="shared" si="23"/>
        <v>1.2041199826559248</v>
      </c>
    </row>
    <row r="255" spans="1:23" x14ac:dyDescent="0.35">
      <c r="A255" s="74" t="s">
        <v>883</v>
      </c>
      <c r="B255" s="74" t="s">
        <v>6</v>
      </c>
      <c r="C255">
        <v>1</v>
      </c>
      <c r="D255" s="161">
        <v>8.1903316981702918</v>
      </c>
      <c r="E255" s="161">
        <v>3.7561643835616438</v>
      </c>
      <c r="F255" s="161">
        <f t="shared" si="18"/>
        <v>0.57474459033303793</v>
      </c>
      <c r="G255">
        <v>3.7936074118204202</v>
      </c>
      <c r="H255">
        <v>0</v>
      </c>
      <c r="I255" s="73">
        <v>2.92</v>
      </c>
      <c r="J255" s="183">
        <f t="shared" si="19"/>
        <v>0.46538285144841829</v>
      </c>
      <c r="K255">
        <v>0.24900099565997116</v>
      </c>
      <c r="L255">
        <v>3.17328398991646</v>
      </c>
      <c r="M255" s="137">
        <v>3.8227937352435273</v>
      </c>
      <c r="N255">
        <v>2.7370600539441581</v>
      </c>
      <c r="O255" s="74">
        <v>93.7</v>
      </c>
      <c r="P255" s="77">
        <f t="shared" si="20"/>
        <v>1.9717395908877782</v>
      </c>
      <c r="Q255" s="75">
        <v>43.3</v>
      </c>
      <c r="R255" s="78">
        <f t="shared" si="21"/>
        <v>1.6364878963533653</v>
      </c>
      <c r="S255" s="76">
        <v>50.280752820308301</v>
      </c>
      <c r="T255" s="184">
        <f t="shared" si="22"/>
        <v>1.7014017714653555</v>
      </c>
      <c r="U255">
        <v>-2.6872146400301365E-2</v>
      </c>
      <c r="V255" s="74">
        <v>13</v>
      </c>
      <c r="W255" s="137">
        <f t="shared" si="23"/>
        <v>1.1139433523068367</v>
      </c>
    </row>
    <row r="256" spans="1:23" x14ac:dyDescent="0.35">
      <c r="A256" s="77" t="s">
        <v>884</v>
      </c>
      <c r="B256" s="77" t="s">
        <v>2</v>
      </c>
      <c r="C256">
        <v>1</v>
      </c>
      <c r="D256" s="161">
        <v>8.243286146083447</v>
      </c>
      <c r="E256" s="161">
        <v>1.9178082191780821</v>
      </c>
      <c r="F256" s="161">
        <f t="shared" si="18"/>
        <v>0.28280517555778212</v>
      </c>
      <c r="G256">
        <v>3.8335760926148099</v>
      </c>
      <c r="H256">
        <v>2.0606978403536118</v>
      </c>
      <c r="I256" s="72">
        <v>2.85</v>
      </c>
      <c r="J256" s="183">
        <f t="shared" si="19"/>
        <v>0.45484486000851021</v>
      </c>
      <c r="K256">
        <v>0.52917492333003802</v>
      </c>
      <c r="L256">
        <v>3.17328398991646</v>
      </c>
      <c r="M256" s="137">
        <v>3.8227937352435273</v>
      </c>
      <c r="N256">
        <v>2.9138138523837167</v>
      </c>
      <c r="O256" s="77">
        <v>70</v>
      </c>
      <c r="P256" s="77">
        <f t="shared" si="20"/>
        <v>1.8450980400142569</v>
      </c>
      <c r="Q256" s="78">
        <v>33.9</v>
      </c>
      <c r="R256" s="78">
        <f t="shared" si="21"/>
        <v>1.5301996982030821</v>
      </c>
      <c r="S256" s="79">
        <v>46.312020505412598</v>
      </c>
      <c r="T256" s="184">
        <f t="shared" si="22"/>
        <v>1.6656937288498501</v>
      </c>
      <c r="U256">
        <v>5.3078443483419682E-2</v>
      </c>
      <c r="V256" s="77">
        <v>9</v>
      </c>
      <c r="W256" s="137">
        <f t="shared" si="23"/>
        <v>0.95424250943932487</v>
      </c>
    </row>
    <row r="257" spans="1:23" x14ac:dyDescent="0.35">
      <c r="A257" s="74" t="s">
        <v>886</v>
      </c>
      <c r="B257" s="74" t="s">
        <v>447</v>
      </c>
      <c r="C257">
        <v>7</v>
      </c>
      <c r="D257" s="161">
        <v>7.7815040572087328</v>
      </c>
      <c r="E257" s="161">
        <v>2.8904109589041096</v>
      </c>
      <c r="F257" s="161">
        <f t="shared" si="18"/>
        <v>0.46095959517723678</v>
      </c>
      <c r="G257">
        <v>3.7845345619950592</v>
      </c>
      <c r="H257">
        <v>1.6532125137753437</v>
      </c>
      <c r="I257" s="73">
        <v>2.81</v>
      </c>
      <c r="J257" s="183">
        <f t="shared" si="19"/>
        <v>0.44870631990507992</v>
      </c>
      <c r="K257">
        <v>0.65402975999973634</v>
      </c>
      <c r="L257">
        <v>3.2302554789881364</v>
      </c>
      <c r="M257" s="137">
        <v>3.7665752718932795</v>
      </c>
      <c r="N257">
        <v>2.9168924084376502</v>
      </c>
      <c r="O257" s="74">
        <v>77.5</v>
      </c>
      <c r="P257" s="77">
        <f t="shared" si="20"/>
        <v>1.8893017025063104</v>
      </c>
      <c r="Q257" s="75">
        <v>33.590000000000003</v>
      </c>
      <c r="R257" s="78">
        <f t="shared" si="21"/>
        <v>1.5262100038416644</v>
      </c>
      <c r="S257" s="76">
        <v>43.725055842540201</v>
      </c>
      <c r="T257" s="184">
        <f t="shared" si="22"/>
        <v>1.6407303728011791</v>
      </c>
      <c r="U257">
        <v>0.11394335230683679</v>
      </c>
      <c r="V257" s="74">
        <v>27</v>
      </c>
      <c r="W257" s="137">
        <f t="shared" si="23"/>
        <v>1.4313637641589874</v>
      </c>
    </row>
    <row r="258" spans="1:23" x14ac:dyDescent="0.35">
      <c r="A258" s="77" t="s">
        <v>889</v>
      </c>
      <c r="B258" s="77" t="s">
        <v>3</v>
      </c>
      <c r="C258">
        <v>1</v>
      </c>
      <c r="D258" s="161">
        <v>8.2554895980755365</v>
      </c>
      <c r="E258" s="161">
        <v>3.6520547945205482</v>
      </c>
      <c r="F258" s="161">
        <f t="shared" si="18"/>
        <v>0.56253728495738453</v>
      </c>
      <c r="G258">
        <v>2.9808892467722719</v>
      </c>
      <c r="H258">
        <v>1.8260748027008264</v>
      </c>
      <c r="I258" s="72">
        <v>3.13</v>
      </c>
      <c r="J258" s="183">
        <f t="shared" si="19"/>
        <v>0.49554433754644844</v>
      </c>
      <c r="K258">
        <v>0.27598931896671886</v>
      </c>
      <c r="L258">
        <v>3.3833706119727633</v>
      </c>
      <c r="M258" s="137">
        <v>3.9798077985646683</v>
      </c>
      <c r="N258">
        <v>2.7343997425205671</v>
      </c>
      <c r="O258" s="77">
        <v>98.4</v>
      </c>
      <c r="P258" s="77">
        <f t="shared" si="20"/>
        <v>1.9929950984313416</v>
      </c>
      <c r="Q258" s="78">
        <v>45.9</v>
      </c>
      <c r="R258" s="78">
        <f t="shared" si="21"/>
        <v>1.6618126855372612</v>
      </c>
      <c r="S258" s="79">
        <v>55.820378229102602</v>
      </c>
      <c r="T258" s="184">
        <f t="shared" si="22"/>
        <v>1.7467927748658987</v>
      </c>
      <c r="U258">
        <v>0.17026171539495738</v>
      </c>
      <c r="V258" s="77">
        <v>28</v>
      </c>
      <c r="W258" s="137">
        <f t="shared" si="23"/>
        <v>1.4471580313422192</v>
      </c>
    </row>
    <row r="259" spans="1:23" x14ac:dyDescent="0.35">
      <c r="A259" s="74" t="s">
        <v>892</v>
      </c>
      <c r="B259" s="74" t="s">
        <v>2</v>
      </c>
      <c r="C259">
        <v>1</v>
      </c>
      <c r="D259" s="161">
        <v>8.2858137595502335</v>
      </c>
      <c r="E259" s="161">
        <v>6.8657534246575347</v>
      </c>
      <c r="F259" s="161">
        <f t="shared" ref="F259:F322" si="24">LOG(E259)</f>
        <v>0.83668820220165652</v>
      </c>
      <c r="G259">
        <v>2.9629325585580042</v>
      </c>
      <c r="H259">
        <v>2.167317334748176</v>
      </c>
      <c r="I259" s="73">
        <v>2.62</v>
      </c>
      <c r="J259" s="183">
        <f t="shared" ref="J259:J322" si="25">LOG(I259)</f>
        <v>0.41830129131974547</v>
      </c>
      <c r="K259">
        <v>0.32860990173839816</v>
      </c>
      <c r="L259">
        <v>3.3833706119727633</v>
      </c>
      <c r="M259" s="137">
        <v>3.9798077985646683</v>
      </c>
      <c r="N259">
        <v>2.9323046139517812</v>
      </c>
      <c r="O259" s="74">
        <v>90.3</v>
      </c>
      <c r="P259" s="77">
        <f t="shared" ref="P259:P322" si="26">LOG(O259)</f>
        <v>1.9556877503135057</v>
      </c>
      <c r="Q259" s="75">
        <v>36.1</v>
      </c>
      <c r="R259" s="78">
        <f t="shared" ref="R259:R322" si="27">LOG(Q259)</f>
        <v>1.5575072019056579</v>
      </c>
      <c r="S259" s="76">
        <v>47.576210837790804</v>
      </c>
      <c r="T259" s="184">
        <f t="shared" ref="T259:T322" si="28">LOG(S259)</f>
        <v>1.6773898501062838</v>
      </c>
      <c r="U259">
        <v>0.31806333496276157</v>
      </c>
      <c r="V259" s="74">
        <v>24</v>
      </c>
      <c r="W259" s="137">
        <f t="shared" ref="W259:W322" si="29">IF(V259=0,0,LOG(V259))</f>
        <v>1.3802112417116059</v>
      </c>
    </row>
    <row r="260" spans="1:23" x14ac:dyDescent="0.35">
      <c r="A260" s="77" t="s">
        <v>893</v>
      </c>
      <c r="B260" s="77" t="s">
        <v>2</v>
      </c>
      <c r="C260">
        <v>2</v>
      </c>
      <c r="D260" s="161">
        <v>8.0413926851582254</v>
      </c>
      <c r="E260" s="161">
        <v>6.5890410958904111</v>
      </c>
      <c r="F260" s="161">
        <f t="shared" si="24"/>
        <v>0.81882221625337592</v>
      </c>
      <c r="G260">
        <v>2.9629325585580042</v>
      </c>
      <c r="H260">
        <v>0</v>
      </c>
      <c r="I260" s="72">
        <v>2.62</v>
      </c>
      <c r="J260" s="183">
        <f t="shared" si="25"/>
        <v>0.41830129131974547</v>
      </c>
      <c r="K260">
        <v>0.18905623622004888</v>
      </c>
      <c r="L260">
        <v>3.3833706119727633</v>
      </c>
      <c r="M260" s="137">
        <v>3.9798077985646683</v>
      </c>
      <c r="N260">
        <v>2.9323046139517812</v>
      </c>
      <c r="O260" s="77">
        <v>70</v>
      </c>
      <c r="P260" s="77">
        <f t="shared" si="26"/>
        <v>1.8450980400142569</v>
      </c>
      <c r="Q260" s="78">
        <v>33.9</v>
      </c>
      <c r="R260" s="78">
        <f t="shared" si="27"/>
        <v>1.5301996982030821</v>
      </c>
      <c r="S260" s="79">
        <v>46.312020505412598</v>
      </c>
      <c r="T260" s="184">
        <f t="shared" si="28"/>
        <v>1.6656937288498501</v>
      </c>
      <c r="U260">
        <v>8.2785370316450071E-2</v>
      </c>
      <c r="V260" s="77">
        <v>19</v>
      </c>
      <c r="W260" s="137">
        <f t="shared" si="29"/>
        <v>1.2787536009528289</v>
      </c>
    </row>
    <row r="261" spans="1:23" x14ac:dyDescent="0.35">
      <c r="A261" s="74" t="s">
        <v>898</v>
      </c>
      <c r="B261" s="74" t="s">
        <v>163</v>
      </c>
      <c r="C261">
        <v>5</v>
      </c>
      <c r="D261" s="161">
        <v>7.8864907251724823</v>
      </c>
      <c r="E261" s="161">
        <v>2.6876712328767125</v>
      </c>
      <c r="F261" s="161">
        <f t="shared" si="24"/>
        <v>0.42937614292347381</v>
      </c>
      <c r="G261">
        <v>2.5362300726332561</v>
      </c>
      <c r="H261">
        <v>0</v>
      </c>
      <c r="I261" s="73">
        <v>2.3199999999999998</v>
      </c>
      <c r="J261" s="183">
        <f t="shared" si="25"/>
        <v>0.36548798489089962</v>
      </c>
      <c r="K261">
        <v>0.71556926615548055</v>
      </c>
      <c r="L261">
        <v>3.3833706119727633</v>
      </c>
      <c r="M261" s="137">
        <v>3.9798077985646683</v>
      </c>
      <c r="N261">
        <v>2.756001823801419</v>
      </c>
      <c r="O261" s="74">
        <v>85</v>
      </c>
      <c r="P261" s="77">
        <f t="shared" si="26"/>
        <v>1.9294189257142926</v>
      </c>
      <c r="Q261" s="75">
        <v>44.2</v>
      </c>
      <c r="R261" s="78">
        <f t="shared" si="27"/>
        <v>1.6454222693490919</v>
      </c>
      <c r="S261" s="76">
        <v>52.629944775121203</v>
      </c>
      <c r="T261" s="184">
        <f t="shared" si="28"/>
        <v>1.7212329143100249</v>
      </c>
      <c r="U261">
        <v>-7.5720713938118356E-2</v>
      </c>
      <c r="V261" s="74">
        <v>14</v>
      </c>
      <c r="W261" s="137">
        <f t="shared" si="29"/>
        <v>1.146128035678238</v>
      </c>
    </row>
    <row r="262" spans="1:23" x14ac:dyDescent="0.35">
      <c r="A262" s="77" t="s">
        <v>900</v>
      </c>
      <c r="B262" s="77" t="s">
        <v>163</v>
      </c>
      <c r="C262">
        <v>1</v>
      </c>
      <c r="D262" s="161">
        <v>7.8920946026904808</v>
      </c>
      <c r="E262" s="161">
        <v>7.375342465753425</v>
      </c>
      <c r="F262" s="161">
        <f t="shared" si="24"/>
        <v>0.86778219109546451</v>
      </c>
      <c r="G262">
        <v>2.5362300726332561</v>
      </c>
      <c r="H262">
        <v>1.255272505103306</v>
      </c>
      <c r="I262" s="72">
        <v>2.3199999999999998</v>
      </c>
      <c r="J262" s="183">
        <f t="shared" si="25"/>
        <v>0.36548798489089962</v>
      </c>
      <c r="K262">
        <v>0.17720340942504884</v>
      </c>
      <c r="L262">
        <v>3.3833706119727633</v>
      </c>
      <c r="M262" s="137">
        <v>3.9798077985646683</v>
      </c>
      <c r="N262">
        <v>2.756001823801419</v>
      </c>
      <c r="O262" s="77">
        <v>85</v>
      </c>
      <c r="P262" s="77">
        <f t="shared" si="26"/>
        <v>1.9294189257142926</v>
      </c>
      <c r="Q262" s="78">
        <v>43.5</v>
      </c>
      <c r="R262" s="78">
        <f t="shared" si="27"/>
        <v>1.6384892569546374</v>
      </c>
      <c r="S262" s="79">
        <v>52.924485315438503</v>
      </c>
      <c r="T262" s="184">
        <f t="shared" si="28"/>
        <v>1.7236566432478624</v>
      </c>
      <c r="U262">
        <v>2.1189299069938092E-2</v>
      </c>
      <c r="V262" s="77">
        <v>13</v>
      </c>
      <c r="W262" s="137">
        <f t="shared" si="29"/>
        <v>1.1139433523068367</v>
      </c>
    </row>
    <row r="263" spans="1:23" x14ac:dyDescent="0.35">
      <c r="A263" s="74" t="s">
        <v>763</v>
      </c>
      <c r="B263" s="74" t="s">
        <v>163</v>
      </c>
      <c r="C263">
        <v>5</v>
      </c>
      <c r="D263" s="161">
        <v>7.8387546686297185</v>
      </c>
      <c r="E263" s="161">
        <v>8.1863013698630134</v>
      </c>
      <c r="F263" s="161">
        <f t="shared" si="24"/>
        <v>0.91308772868688648</v>
      </c>
      <c r="G263">
        <v>2.5362300726332561</v>
      </c>
      <c r="H263">
        <v>1</v>
      </c>
      <c r="I263" s="73">
        <v>2.3199999999999998</v>
      </c>
      <c r="J263" s="183">
        <f t="shared" si="25"/>
        <v>0.36548798489089962</v>
      </c>
      <c r="K263">
        <v>1.0004480078390166</v>
      </c>
      <c r="L263">
        <v>3.5347454529897258</v>
      </c>
      <c r="M263" s="137">
        <v>3.9695495619878729</v>
      </c>
      <c r="N263">
        <v>2.756001823801419</v>
      </c>
      <c r="O263" s="74">
        <v>70</v>
      </c>
      <c r="P263" s="77">
        <f t="shared" si="26"/>
        <v>1.8450980400142569</v>
      </c>
      <c r="Q263" s="75">
        <v>42.4</v>
      </c>
      <c r="R263" s="78">
        <f t="shared" si="27"/>
        <v>1.6273658565927327</v>
      </c>
      <c r="S263" s="76">
        <v>52.984855215816303</v>
      </c>
      <c r="T263" s="184">
        <f t="shared" si="28"/>
        <v>1.7241517519382803</v>
      </c>
      <c r="U263">
        <v>0.11727129565576427</v>
      </c>
      <c r="V263" s="74">
        <v>16</v>
      </c>
      <c r="W263" s="137">
        <f t="shared" si="29"/>
        <v>1.2041199826559248</v>
      </c>
    </row>
    <row r="264" spans="1:23" x14ac:dyDescent="0.35">
      <c r="A264" s="77" t="s">
        <v>208</v>
      </c>
      <c r="B264" s="77" t="s">
        <v>163</v>
      </c>
      <c r="C264">
        <v>5</v>
      </c>
      <c r="D264" s="161">
        <v>8.1416127992102378</v>
      </c>
      <c r="E264" s="161">
        <v>1.9534246575342467</v>
      </c>
      <c r="F264" s="161">
        <f t="shared" si="24"/>
        <v>0.2907966653953909</v>
      </c>
      <c r="G264">
        <v>2.5362300726332561</v>
      </c>
      <c r="H264">
        <v>1.146128035678238</v>
      </c>
      <c r="I264" s="72">
        <v>2.3199999999999998</v>
      </c>
      <c r="J264" s="183">
        <f t="shared" si="25"/>
        <v>0.36548798489089962</v>
      </c>
      <c r="K264">
        <v>0.27946274375238006</v>
      </c>
      <c r="L264">
        <v>3.5347454529897258</v>
      </c>
      <c r="M264" s="137">
        <v>3.9695495619878729</v>
      </c>
      <c r="N264">
        <v>2.756001823801419</v>
      </c>
      <c r="O264" s="77">
        <v>70</v>
      </c>
      <c r="P264" s="77">
        <f t="shared" si="26"/>
        <v>1.8450980400142569</v>
      </c>
      <c r="Q264" s="78">
        <v>42.2</v>
      </c>
      <c r="R264" s="78">
        <f t="shared" si="27"/>
        <v>1.6253124509616739</v>
      </c>
      <c r="S264" s="79">
        <v>53.270504198897903</v>
      </c>
      <c r="T264" s="184">
        <f t="shared" si="28"/>
        <v>1.7264868073491786</v>
      </c>
      <c r="U264">
        <v>9.3421685162235063E-2</v>
      </c>
      <c r="V264" s="77">
        <v>15</v>
      </c>
      <c r="W264" s="137">
        <f t="shared" si="29"/>
        <v>1.1760912590556813</v>
      </c>
    </row>
    <row r="265" spans="1:23" x14ac:dyDescent="0.35">
      <c r="A265" s="74" t="s">
        <v>921</v>
      </c>
      <c r="B265" s="74" t="s">
        <v>163</v>
      </c>
      <c r="C265">
        <v>7</v>
      </c>
      <c r="D265" s="161">
        <v>8.0824622211686297</v>
      </c>
      <c r="E265" s="161">
        <v>6.021917808219178</v>
      </c>
      <c r="F265" s="161">
        <f t="shared" si="24"/>
        <v>0.779734823630997</v>
      </c>
      <c r="G265">
        <v>2.5362300726332561</v>
      </c>
      <c r="H265">
        <v>2.3909351071033793</v>
      </c>
      <c r="I265" s="73">
        <v>2.3199999999999998</v>
      </c>
      <c r="J265" s="183">
        <f t="shared" si="25"/>
        <v>0.36548798489089962</v>
      </c>
      <c r="K265">
        <v>0.26766945270390896</v>
      </c>
      <c r="L265">
        <v>3.5347454529897258</v>
      </c>
      <c r="M265" s="137">
        <v>3.9695495619878729</v>
      </c>
      <c r="N265">
        <v>2.756001823801419</v>
      </c>
      <c r="O265" s="74">
        <v>70</v>
      </c>
      <c r="P265" s="77">
        <f t="shared" si="26"/>
        <v>1.8450980400142569</v>
      </c>
      <c r="Q265" s="75">
        <v>43.4</v>
      </c>
      <c r="R265" s="78">
        <f t="shared" si="27"/>
        <v>1.6374897295125106</v>
      </c>
      <c r="S265" s="76">
        <v>51.652289181886701</v>
      </c>
      <c r="T265" s="184">
        <f t="shared" si="28"/>
        <v>1.7130895738136374</v>
      </c>
      <c r="U265">
        <v>-7.0581074285707285E-2</v>
      </c>
      <c r="V265" s="74">
        <v>12</v>
      </c>
      <c r="W265" s="137">
        <f t="shared" si="29"/>
        <v>1.0791812460476249</v>
      </c>
    </row>
    <row r="266" spans="1:23" x14ac:dyDescent="0.35">
      <c r="A266" s="77" t="s">
        <v>925</v>
      </c>
      <c r="B266" s="77" t="s">
        <v>163</v>
      </c>
      <c r="C266">
        <v>8</v>
      </c>
      <c r="D266" s="161">
        <v>7.1139433523068369</v>
      </c>
      <c r="E266" s="161">
        <v>3.5616438356164384</v>
      </c>
      <c r="F266" s="161">
        <f t="shared" si="24"/>
        <v>0.55165048785036208</v>
      </c>
      <c r="G266">
        <v>2.5362300726332561</v>
      </c>
      <c r="H266">
        <v>0.90308998699194354</v>
      </c>
      <c r="I266" s="72">
        <v>2.3199999999999998</v>
      </c>
      <c r="J266" s="183">
        <f t="shared" si="25"/>
        <v>0.36548798489089962</v>
      </c>
      <c r="K266">
        <v>0.8903780214758058</v>
      </c>
      <c r="L266">
        <v>3.5347454529897258</v>
      </c>
      <c r="M266" s="137">
        <v>3.9695495619878729</v>
      </c>
      <c r="N266">
        <v>2.756001823801419</v>
      </c>
      <c r="O266" s="77">
        <v>85</v>
      </c>
      <c r="P266" s="77">
        <f t="shared" si="26"/>
        <v>1.9294189257142926</v>
      </c>
      <c r="Q266" s="78">
        <v>43.7</v>
      </c>
      <c r="R266" s="78">
        <f t="shared" si="27"/>
        <v>1.6404814369704219</v>
      </c>
      <c r="S266" s="79">
        <v>54.530673116863902</v>
      </c>
      <c r="T266" s="184">
        <f t="shared" si="28"/>
        <v>1.7366408585732218</v>
      </c>
      <c r="U266">
        <v>0.10720996964786837</v>
      </c>
      <c r="V266" s="77">
        <v>9</v>
      </c>
      <c r="W266" s="137">
        <f t="shared" si="29"/>
        <v>0.95424250943932487</v>
      </c>
    </row>
    <row r="267" spans="1:23" x14ac:dyDescent="0.35">
      <c r="A267" s="74" t="s">
        <v>928</v>
      </c>
      <c r="B267" s="74" t="s">
        <v>1</v>
      </c>
      <c r="C267">
        <v>5</v>
      </c>
      <c r="D267" s="161">
        <v>7.0413926851582254</v>
      </c>
      <c r="E267" s="161">
        <v>2.1643835616438358</v>
      </c>
      <c r="F267" s="161">
        <f t="shared" si="24"/>
        <v>0.33533422683396674</v>
      </c>
      <c r="G267">
        <v>3.0625406208792199</v>
      </c>
      <c r="H267">
        <v>1.4471580313422192</v>
      </c>
      <c r="I267" s="73">
        <v>3.06</v>
      </c>
      <c r="J267" s="183">
        <f t="shared" si="25"/>
        <v>0.48572142648158001</v>
      </c>
      <c r="K267">
        <v>0.23674696107305315</v>
      </c>
      <c r="L267">
        <v>3.5347454529897258</v>
      </c>
      <c r="M267" s="137">
        <v>3.9695495619878729</v>
      </c>
      <c r="N267">
        <v>2.8714756364568856</v>
      </c>
      <c r="O267" s="74">
        <v>70</v>
      </c>
      <c r="P267" s="77">
        <f t="shared" si="26"/>
        <v>1.8450980400142569</v>
      </c>
      <c r="Q267" s="75">
        <v>40</v>
      </c>
      <c r="R267" s="78">
        <f t="shared" si="27"/>
        <v>1.6020599913279623</v>
      </c>
      <c r="S267" s="76">
        <v>47.867790191502998</v>
      </c>
      <c r="T267" s="184">
        <f t="shared" si="28"/>
        <v>1.6800433788128795</v>
      </c>
      <c r="U267">
        <v>0.22788670461367352</v>
      </c>
      <c r="V267" s="74">
        <v>8</v>
      </c>
      <c r="W267" s="137">
        <f t="shared" si="29"/>
        <v>0.90308998699194354</v>
      </c>
    </row>
    <row r="268" spans="1:23" x14ac:dyDescent="0.35">
      <c r="A268" s="77" t="s">
        <v>931</v>
      </c>
      <c r="B268" s="77" t="s">
        <v>447</v>
      </c>
      <c r="C268">
        <v>1</v>
      </c>
      <c r="D268" s="161">
        <v>7.9294189257142929</v>
      </c>
      <c r="E268" s="161">
        <v>2.6876712328767125</v>
      </c>
      <c r="F268" s="161">
        <f t="shared" si="24"/>
        <v>0.42937614292347381</v>
      </c>
      <c r="G268">
        <v>3.1016130541812235</v>
      </c>
      <c r="H268">
        <v>0</v>
      </c>
      <c r="I268" s="72">
        <v>2.4700000000000002</v>
      </c>
      <c r="J268" s="183">
        <f t="shared" si="25"/>
        <v>0.39269695325966575</v>
      </c>
      <c r="K268">
        <v>5.2852307325275676E-2</v>
      </c>
      <c r="L268">
        <v>3.5347454529897258</v>
      </c>
      <c r="M268" s="137">
        <v>3.9695495619878729</v>
      </c>
      <c r="N268">
        <v>2.9811387826406603</v>
      </c>
      <c r="O268" s="77">
        <v>70</v>
      </c>
      <c r="P268" s="77">
        <f t="shared" si="26"/>
        <v>1.8450980400142569</v>
      </c>
      <c r="Q268" s="78">
        <v>31.23</v>
      </c>
      <c r="R268" s="78">
        <f t="shared" si="27"/>
        <v>1.4945719842301985</v>
      </c>
      <c r="S268" s="79">
        <v>44.330850769696298</v>
      </c>
      <c r="T268" s="184">
        <f t="shared" si="28"/>
        <v>1.6467060660847843</v>
      </c>
      <c r="U268">
        <v>0.19865708695442263</v>
      </c>
      <c r="V268" s="77">
        <v>7</v>
      </c>
      <c r="W268" s="137">
        <f t="shared" si="29"/>
        <v>0.84509804001425681</v>
      </c>
    </row>
    <row r="269" spans="1:23" x14ac:dyDescent="0.35">
      <c r="A269" s="74" t="s">
        <v>934</v>
      </c>
      <c r="B269" s="74" t="s">
        <v>45</v>
      </c>
      <c r="C269">
        <v>9</v>
      </c>
      <c r="D269" s="161">
        <v>8.3979400086720375</v>
      </c>
      <c r="E269" s="161">
        <v>5.8493150684931505</v>
      </c>
      <c r="F269" s="161">
        <f t="shared" si="24"/>
        <v>0.76710501490456795</v>
      </c>
      <c r="G269">
        <v>3.7707754512906644</v>
      </c>
      <c r="H269">
        <v>1.0791812460476249</v>
      </c>
      <c r="I269" s="73">
        <v>2.3199999999999998</v>
      </c>
      <c r="J269" s="183">
        <f t="shared" si="25"/>
        <v>0.36548798489089962</v>
      </c>
      <c r="K269">
        <v>4.1392685158225077E-2</v>
      </c>
      <c r="L269">
        <v>3.1185638922971846</v>
      </c>
      <c r="M269" s="137">
        <v>3.4832528165335011</v>
      </c>
      <c r="N269">
        <v>2.1238516409670858</v>
      </c>
      <c r="O269" s="74">
        <v>91.3</v>
      </c>
      <c r="P269" s="77">
        <f t="shared" si="26"/>
        <v>1.9604707775342989</v>
      </c>
      <c r="Q269" s="75">
        <v>23.5</v>
      </c>
      <c r="R269" s="78">
        <f t="shared" si="27"/>
        <v>1.3710678622717363</v>
      </c>
      <c r="S269" s="76">
        <v>43.1672842383418</v>
      </c>
      <c r="T269" s="184">
        <f t="shared" si="28"/>
        <v>1.6351547269652249</v>
      </c>
      <c r="U269">
        <v>0.24797326636180664</v>
      </c>
      <c r="V269" s="74">
        <v>6</v>
      </c>
      <c r="W269" s="137">
        <f t="shared" si="29"/>
        <v>0.77815125038364363</v>
      </c>
    </row>
    <row r="270" spans="1:23" x14ac:dyDescent="0.35">
      <c r="A270" s="77" t="s">
        <v>936</v>
      </c>
      <c r="B270" s="77" t="s">
        <v>2</v>
      </c>
      <c r="C270">
        <v>1</v>
      </c>
      <c r="D270" s="161">
        <v>8.8919275342206756</v>
      </c>
      <c r="E270" s="161">
        <v>3.8465753424657536</v>
      </c>
      <c r="F270" s="161">
        <f t="shared" si="24"/>
        <v>0.58507424333731184</v>
      </c>
      <c r="G270">
        <v>3.8335760926148099</v>
      </c>
      <c r="H270">
        <v>2.287801729930226</v>
      </c>
      <c r="I270" s="72">
        <v>2.85</v>
      </c>
      <c r="J270" s="183">
        <f t="shared" si="25"/>
        <v>0.45484486000851021</v>
      </c>
      <c r="K270">
        <v>0.61995582675819938</v>
      </c>
      <c r="L270">
        <v>3.3418755036276071</v>
      </c>
      <c r="M270" s="137">
        <v>3.8872244231830928</v>
      </c>
      <c r="N270">
        <v>2.9138138523837167</v>
      </c>
      <c r="O270" s="77">
        <v>90.5</v>
      </c>
      <c r="P270" s="77">
        <f t="shared" si="26"/>
        <v>1.9566485792052033</v>
      </c>
      <c r="Q270" s="78">
        <v>36.4</v>
      </c>
      <c r="R270" s="78">
        <f t="shared" si="27"/>
        <v>1.5611013836490559</v>
      </c>
      <c r="S270" s="79">
        <v>44.295389122127702</v>
      </c>
      <c r="T270" s="184">
        <f t="shared" si="28"/>
        <v>1.6463585211883986</v>
      </c>
      <c r="U270">
        <v>0.17897694729316943</v>
      </c>
      <c r="V270" s="77">
        <v>44</v>
      </c>
      <c r="W270" s="137">
        <f t="shared" si="29"/>
        <v>1.6434526764861874</v>
      </c>
    </row>
    <row r="271" spans="1:23" x14ac:dyDescent="0.35">
      <c r="A271" s="96" t="s">
        <v>942</v>
      </c>
      <c r="B271" s="74" t="s">
        <v>45</v>
      </c>
      <c r="C271">
        <v>2</v>
      </c>
      <c r="D271" s="161">
        <v>7.5705429398818973</v>
      </c>
      <c r="E271" s="161">
        <v>3.3150684931506849</v>
      </c>
      <c r="F271" s="161">
        <f t="shared" si="24"/>
        <v>0.52049250585997542</v>
      </c>
      <c r="G271">
        <v>3.7916829312790057</v>
      </c>
      <c r="H271">
        <v>0.95424250943932487</v>
      </c>
      <c r="I271" s="73">
        <v>2.72</v>
      </c>
      <c r="J271" s="183">
        <f t="shared" si="25"/>
        <v>0.43456890403419873</v>
      </c>
      <c r="K271">
        <v>0.52636707312615894</v>
      </c>
      <c r="L271">
        <v>3.8659974508347341</v>
      </c>
      <c r="M271" s="137">
        <v>3.8302925433451809</v>
      </c>
      <c r="N271">
        <v>3.0355618076671913</v>
      </c>
      <c r="O271" s="74">
        <v>89.2</v>
      </c>
      <c r="P271" s="77">
        <f t="shared" si="26"/>
        <v>1.9503648543761232</v>
      </c>
      <c r="Q271" s="75">
        <v>26</v>
      </c>
      <c r="R271" s="78">
        <f t="shared" si="27"/>
        <v>1.414973347970818</v>
      </c>
      <c r="S271" s="76">
        <v>38.344872802923099</v>
      </c>
      <c r="T271" s="184">
        <f t="shared" si="28"/>
        <v>1.5837073014724459</v>
      </c>
      <c r="U271">
        <v>0.11394335230683679</v>
      </c>
      <c r="V271" s="74">
        <v>9</v>
      </c>
      <c r="W271" s="137">
        <f t="shared" si="29"/>
        <v>0.95424250943932487</v>
      </c>
    </row>
    <row r="272" spans="1:23" x14ac:dyDescent="0.35">
      <c r="A272" s="96" t="s">
        <v>944</v>
      </c>
      <c r="B272" s="77" t="s">
        <v>2</v>
      </c>
      <c r="C272">
        <v>2</v>
      </c>
      <c r="D272" s="161">
        <v>7.1139433523068369</v>
      </c>
      <c r="E272" s="161">
        <v>3.2383561643835614</v>
      </c>
      <c r="F272" s="161">
        <f t="shared" si="24"/>
        <v>0.51032461208876179</v>
      </c>
      <c r="G272">
        <v>2.8258673289207414</v>
      </c>
      <c r="H272">
        <v>0</v>
      </c>
      <c r="I272" s="72">
        <v>2.84</v>
      </c>
      <c r="J272" s="183">
        <f t="shared" si="25"/>
        <v>0.45331834004703764</v>
      </c>
      <c r="K272">
        <v>1.1870866433571445</v>
      </c>
      <c r="L272">
        <v>3.8659974508347341</v>
      </c>
      <c r="M272" s="137">
        <v>3.8302925433451809</v>
      </c>
      <c r="N272">
        <v>2.0400878434698808</v>
      </c>
      <c r="O272" s="77">
        <v>89.6</v>
      </c>
      <c r="P272" s="77">
        <f t="shared" si="26"/>
        <v>1.9523080096621253</v>
      </c>
      <c r="Q272" s="78">
        <v>35.700000000000003</v>
      </c>
      <c r="R272" s="78">
        <f t="shared" si="27"/>
        <v>1.5526682161121932</v>
      </c>
      <c r="S272" s="79">
        <v>44.7100017757258</v>
      </c>
      <c r="T272" s="184">
        <f t="shared" si="28"/>
        <v>1.6504046871166989</v>
      </c>
      <c r="U272">
        <v>0.18184358794477254</v>
      </c>
      <c r="V272" s="77">
        <v>6</v>
      </c>
      <c r="W272" s="137">
        <f t="shared" si="29"/>
        <v>0.77815125038364363</v>
      </c>
    </row>
    <row r="273" spans="1:23" x14ac:dyDescent="0.35">
      <c r="A273" s="96" t="s">
        <v>945</v>
      </c>
      <c r="B273" s="74" t="s">
        <v>2</v>
      </c>
      <c r="C273">
        <v>2</v>
      </c>
      <c r="D273" s="161">
        <v>7.4313637641589869</v>
      </c>
      <c r="E273" s="161">
        <v>2.0575342465753423</v>
      </c>
      <c r="F273" s="161">
        <f t="shared" si="24"/>
        <v>0.31334707254769367</v>
      </c>
      <c r="G273">
        <v>2.2426159575692655</v>
      </c>
      <c r="H273">
        <v>0.77815125038364363</v>
      </c>
      <c r="I273" s="73">
        <v>2.84</v>
      </c>
      <c r="J273" s="183">
        <f t="shared" si="25"/>
        <v>0.45331834004703764</v>
      </c>
      <c r="K273">
        <v>0.74472749489669388</v>
      </c>
      <c r="L273">
        <v>3.8659974508347341</v>
      </c>
      <c r="M273" s="137">
        <v>3.8302925433451809</v>
      </c>
      <c r="N273">
        <v>2.0400878434698808</v>
      </c>
      <c r="O273" s="74">
        <v>89.1</v>
      </c>
      <c r="P273" s="77">
        <f t="shared" si="26"/>
        <v>1.9498777040368747</v>
      </c>
      <c r="Q273" s="75">
        <v>34.5</v>
      </c>
      <c r="R273" s="78">
        <f t="shared" si="27"/>
        <v>1.5378190950732742</v>
      </c>
      <c r="S273" s="76">
        <v>44.696333437793797</v>
      </c>
      <c r="T273" s="184">
        <f t="shared" si="28"/>
        <v>1.6502718982315996</v>
      </c>
      <c r="U273">
        <v>2.9383777685209667E-2</v>
      </c>
      <c r="V273" s="74">
        <v>1</v>
      </c>
      <c r="W273" s="137">
        <f t="shared" si="29"/>
        <v>0</v>
      </c>
    </row>
    <row r="274" spans="1:23" x14ac:dyDescent="0.35">
      <c r="A274" s="77" t="s">
        <v>948</v>
      </c>
      <c r="B274" s="77" t="s">
        <v>45</v>
      </c>
      <c r="C274">
        <v>9</v>
      </c>
      <c r="D274" s="161">
        <v>7.1417632302757879</v>
      </c>
      <c r="E274" s="161">
        <v>2.8986301369863012</v>
      </c>
      <c r="F274" s="161">
        <f t="shared" si="24"/>
        <v>0.46219280324269224</v>
      </c>
      <c r="G274">
        <v>3.7707754512906644</v>
      </c>
      <c r="H274">
        <v>0.95424250943932487</v>
      </c>
      <c r="I274" s="72">
        <v>2.3199999999999998</v>
      </c>
      <c r="J274" s="183">
        <f t="shared" si="25"/>
        <v>0.36548798489089962</v>
      </c>
      <c r="K274">
        <v>1.2652875845284624</v>
      </c>
      <c r="L274">
        <v>3.6410631547392063</v>
      </c>
      <c r="M274" s="137">
        <v>3.7013464506591722</v>
      </c>
      <c r="N274">
        <v>2.1238516409670858</v>
      </c>
      <c r="O274" s="77">
        <v>91</v>
      </c>
      <c r="P274" s="77">
        <f t="shared" si="26"/>
        <v>1.9590413923210936</v>
      </c>
      <c r="Q274" s="78">
        <v>23.9</v>
      </c>
      <c r="R274" s="78">
        <f t="shared" si="27"/>
        <v>1.3783979009481377</v>
      </c>
      <c r="S274" s="79">
        <v>42.048698215007001</v>
      </c>
      <c r="T274" s="184">
        <f t="shared" si="28"/>
        <v>1.6237525550259535</v>
      </c>
      <c r="U274">
        <v>0.14612803567823801</v>
      </c>
      <c r="V274" s="77">
        <v>14</v>
      </c>
      <c r="W274" s="137">
        <f t="shared" si="29"/>
        <v>1.146128035678238</v>
      </c>
    </row>
    <row r="275" spans="1:23" x14ac:dyDescent="0.35">
      <c r="A275" s="96" t="s">
        <v>952</v>
      </c>
      <c r="B275" s="74" t="s">
        <v>45</v>
      </c>
      <c r="C275">
        <v>9</v>
      </c>
      <c r="D275" s="161">
        <v>6.7418603940652639</v>
      </c>
      <c r="E275" s="161">
        <v>7.7890410958904113</v>
      </c>
      <c r="F275" s="161">
        <f t="shared" si="24"/>
        <v>0.89148399523396749</v>
      </c>
      <c r="G275">
        <v>3.7707754512906644</v>
      </c>
      <c r="H275">
        <v>0.95424250943932487</v>
      </c>
      <c r="I275" s="73">
        <v>2.3199999999999998</v>
      </c>
      <c r="J275" s="183">
        <f t="shared" si="25"/>
        <v>0.36548798489089962</v>
      </c>
      <c r="K275">
        <v>1.3135294062027159</v>
      </c>
      <c r="L275">
        <v>3.6410631547392063</v>
      </c>
      <c r="M275" s="137">
        <v>3.7013464506591722</v>
      </c>
      <c r="N275">
        <v>2.1238516409670858</v>
      </c>
      <c r="O275" s="74">
        <v>92.6</v>
      </c>
      <c r="P275" s="77">
        <f t="shared" si="26"/>
        <v>1.9666109866819343</v>
      </c>
      <c r="Q275" s="75">
        <v>25.7</v>
      </c>
      <c r="R275" s="78">
        <f t="shared" si="27"/>
        <v>1.4099331233312946</v>
      </c>
      <c r="S275" s="76">
        <v>39.823361151429197</v>
      </c>
      <c r="T275" s="184">
        <f t="shared" si="28"/>
        <v>1.6001379123442065</v>
      </c>
      <c r="U275">
        <v>0.33845649360460478</v>
      </c>
      <c r="V275" s="74">
        <v>11</v>
      </c>
      <c r="W275" s="137">
        <f t="shared" si="29"/>
        <v>1.0413926851582251</v>
      </c>
    </row>
    <row r="276" spans="1:23" x14ac:dyDescent="0.35">
      <c r="A276" s="96" t="s">
        <v>953</v>
      </c>
      <c r="B276" s="77" t="s">
        <v>954</v>
      </c>
      <c r="C276">
        <v>9</v>
      </c>
      <c r="D276" s="161">
        <v>7.0791812460476251</v>
      </c>
      <c r="E276" s="161">
        <v>2.2821917808219179</v>
      </c>
      <c r="F276" s="161">
        <f t="shared" si="24"/>
        <v>0.35835213695031287</v>
      </c>
      <c r="G276">
        <v>3.2005167179274112</v>
      </c>
      <c r="H276">
        <v>0.95424250943932487</v>
      </c>
      <c r="I276" s="72">
        <v>2.4700000000000002</v>
      </c>
      <c r="J276" s="183">
        <f t="shared" si="25"/>
        <v>0.39269695325966575</v>
      </c>
      <c r="K276">
        <v>1.0881360887005513</v>
      </c>
      <c r="L276">
        <v>3.6410631547392063</v>
      </c>
      <c r="M276" s="137">
        <v>3.7013464506591722</v>
      </c>
      <c r="N276">
        <v>3.2929933027247387</v>
      </c>
      <c r="O276" s="77">
        <v>70</v>
      </c>
      <c r="P276" s="77">
        <f t="shared" si="26"/>
        <v>1.8450980400142569</v>
      </c>
      <c r="Q276" s="78">
        <v>30.8</v>
      </c>
      <c r="R276" s="78">
        <f t="shared" si="27"/>
        <v>1.4885507165004443</v>
      </c>
      <c r="S276" s="79">
        <v>46.676832990761902</v>
      </c>
      <c r="T276" s="184">
        <f t="shared" si="28"/>
        <v>1.6691013816214919</v>
      </c>
      <c r="U276">
        <v>0.10037054511756291</v>
      </c>
      <c r="V276" s="77">
        <v>8</v>
      </c>
      <c r="W276" s="137">
        <f t="shared" si="29"/>
        <v>0.90308998699194354</v>
      </c>
    </row>
    <row r="277" spans="1:23" x14ac:dyDescent="0.35">
      <c r="A277" s="74" t="s">
        <v>959</v>
      </c>
      <c r="B277" s="74" t="s">
        <v>6</v>
      </c>
      <c r="C277">
        <v>9</v>
      </c>
      <c r="D277" s="161">
        <v>7.1132746924643504</v>
      </c>
      <c r="E277" s="161">
        <v>0.33424657534246577</v>
      </c>
      <c r="F277" s="161">
        <f t="shared" si="24"/>
        <v>-0.47593303378172647</v>
      </c>
      <c r="G277">
        <v>2.5075455505094206</v>
      </c>
      <c r="H277">
        <v>1</v>
      </c>
      <c r="I277" s="73">
        <v>2.91</v>
      </c>
      <c r="J277" s="183">
        <f t="shared" si="25"/>
        <v>0.46389298898590731</v>
      </c>
      <c r="K277">
        <v>0.37471163866504298</v>
      </c>
      <c r="L277">
        <v>3.6410631547392063</v>
      </c>
      <c r="M277" s="137">
        <v>3.7013464506591722</v>
      </c>
      <c r="N277">
        <v>2.6517624473801109</v>
      </c>
      <c r="O277" s="74">
        <v>70</v>
      </c>
      <c r="P277" s="77">
        <f t="shared" si="26"/>
        <v>1.8450980400142569</v>
      </c>
      <c r="Q277" s="75">
        <v>43.2</v>
      </c>
      <c r="R277" s="78">
        <f t="shared" si="27"/>
        <v>1.6354837468149122</v>
      </c>
      <c r="S277" s="76">
        <v>48.933014808972402</v>
      </c>
      <c r="T277" s="184">
        <f t="shared" si="28"/>
        <v>1.6896019738749151</v>
      </c>
      <c r="U277">
        <v>-1.7728766960431602E-2</v>
      </c>
      <c r="V277" s="74">
        <v>7</v>
      </c>
      <c r="W277" s="137">
        <f t="shared" si="29"/>
        <v>0.84509804001425681</v>
      </c>
    </row>
    <row r="278" spans="1:23" x14ac:dyDescent="0.35">
      <c r="A278" s="96" t="s">
        <v>960</v>
      </c>
      <c r="B278" s="77" t="s">
        <v>45</v>
      </c>
      <c r="C278">
        <v>9</v>
      </c>
      <c r="D278" s="161">
        <v>7.1303337684950066</v>
      </c>
      <c r="E278" s="161">
        <v>2.3808219178082193</v>
      </c>
      <c r="F278" s="161">
        <f t="shared" si="24"/>
        <v>0.37672691199219177</v>
      </c>
      <c r="G278">
        <v>3.7707754512906644</v>
      </c>
      <c r="H278">
        <v>0.47712125471966244</v>
      </c>
      <c r="I278" s="72">
        <v>2.3199999999999998</v>
      </c>
      <c r="J278" s="183">
        <f t="shared" si="25"/>
        <v>0.36548798489089962</v>
      </c>
      <c r="K278">
        <v>0.4607308385314931</v>
      </c>
      <c r="L278">
        <v>3.6410631547392063</v>
      </c>
      <c r="M278" s="137">
        <v>3.7013464506591722</v>
      </c>
      <c r="N278">
        <v>2.1238516409670858</v>
      </c>
      <c r="O278" s="77">
        <v>85</v>
      </c>
      <c r="P278" s="77">
        <f t="shared" si="26"/>
        <v>1.9294189257142926</v>
      </c>
      <c r="Q278" s="78">
        <v>24.4</v>
      </c>
      <c r="R278" s="78">
        <f t="shared" si="27"/>
        <v>1.3873898263387294</v>
      </c>
      <c r="S278" s="79">
        <v>37.256914365427299</v>
      </c>
      <c r="T278" s="184">
        <f t="shared" si="28"/>
        <v>1.5712068835833228</v>
      </c>
      <c r="U278">
        <v>8.9905111439397931E-2</v>
      </c>
      <c r="V278" s="77">
        <v>6</v>
      </c>
      <c r="W278" s="137">
        <f t="shared" si="29"/>
        <v>0.77815125038364363</v>
      </c>
    </row>
    <row r="279" spans="1:23" x14ac:dyDescent="0.35">
      <c r="A279" s="74" t="s">
        <v>565</v>
      </c>
      <c r="B279" s="74" t="s">
        <v>2</v>
      </c>
      <c r="C279">
        <v>5</v>
      </c>
      <c r="D279" s="161">
        <v>8.6020599913279625</v>
      </c>
      <c r="E279" s="161">
        <v>4.2547945205479456</v>
      </c>
      <c r="F279" s="161">
        <f t="shared" si="24"/>
        <v>0.6288785912720839</v>
      </c>
      <c r="G279">
        <v>3.8335760926148099</v>
      </c>
      <c r="H279">
        <v>1.8512583487190752</v>
      </c>
      <c r="I279" s="73">
        <v>2.85</v>
      </c>
      <c r="J279" s="183">
        <f t="shared" si="25"/>
        <v>0.45484486000851021</v>
      </c>
      <c r="K279">
        <v>0.31138296353143335</v>
      </c>
      <c r="L279">
        <v>3.20911860699078</v>
      </c>
      <c r="M279" s="137">
        <v>3.5849986651910224</v>
      </c>
      <c r="N279">
        <v>2.9138138523837167</v>
      </c>
      <c r="O279" s="74">
        <v>92.1</v>
      </c>
      <c r="P279" s="77">
        <f t="shared" si="26"/>
        <v>1.9642596301968489</v>
      </c>
      <c r="Q279" s="75">
        <v>36.799999999999997</v>
      </c>
      <c r="R279" s="78">
        <f t="shared" si="27"/>
        <v>1.5658478186735176</v>
      </c>
      <c r="S279" s="76">
        <v>44.688349184782602</v>
      </c>
      <c r="T279" s="184">
        <f t="shared" si="28"/>
        <v>1.6501943118503011</v>
      </c>
      <c r="U279">
        <v>0.18469143081759881</v>
      </c>
      <c r="V279" s="74">
        <v>29</v>
      </c>
      <c r="W279" s="137">
        <f t="shared" si="29"/>
        <v>1.4623979978989561</v>
      </c>
    </row>
    <row r="280" spans="1:23" x14ac:dyDescent="0.35">
      <c r="A280" s="77" t="s">
        <v>962</v>
      </c>
      <c r="B280" s="77" t="s">
        <v>2</v>
      </c>
      <c r="C280">
        <v>1</v>
      </c>
      <c r="D280" s="161">
        <v>9</v>
      </c>
      <c r="E280" s="161">
        <v>2.6547945205479451</v>
      </c>
      <c r="F280" s="161">
        <f t="shared" si="24"/>
        <v>0.4240309125942906</v>
      </c>
      <c r="G280">
        <v>3.8335760926148099</v>
      </c>
      <c r="H280">
        <v>1.4771212547196624</v>
      </c>
      <c r="I280" s="72">
        <v>2.85</v>
      </c>
      <c r="J280" s="183">
        <f t="shared" si="25"/>
        <v>0.45484486000851021</v>
      </c>
      <c r="K280">
        <v>-3.6684488613888719E-2</v>
      </c>
      <c r="L280">
        <v>3.20911860699078</v>
      </c>
      <c r="M280" s="137">
        <v>3.5849986651910224</v>
      </c>
      <c r="N280">
        <v>2.9138138523837167</v>
      </c>
      <c r="O280" s="77">
        <v>88.9</v>
      </c>
      <c r="P280" s="77">
        <f t="shared" si="26"/>
        <v>1.9489017609702137</v>
      </c>
      <c r="Q280" s="78">
        <v>34.9</v>
      </c>
      <c r="R280" s="78">
        <f t="shared" si="27"/>
        <v>1.5428254269591799</v>
      </c>
      <c r="S280" s="79">
        <v>42.817370475444001</v>
      </c>
      <c r="T280" s="184">
        <f t="shared" si="28"/>
        <v>1.6316199926391717</v>
      </c>
      <c r="U280">
        <v>-9.6910013008056392E-2</v>
      </c>
      <c r="V280" s="77">
        <v>23</v>
      </c>
      <c r="W280" s="137">
        <f t="shared" si="29"/>
        <v>1.3617278360175928</v>
      </c>
    </row>
    <row r="281" spans="1:23" x14ac:dyDescent="0.35">
      <c r="A281" s="74" t="s">
        <v>656</v>
      </c>
      <c r="B281" s="74" t="s">
        <v>2</v>
      </c>
      <c r="C281">
        <v>5</v>
      </c>
      <c r="D281" s="161">
        <v>7.7986506454452691</v>
      </c>
      <c r="E281" s="161">
        <v>2.7260273972602738</v>
      </c>
      <c r="F281" s="161">
        <f t="shared" si="24"/>
        <v>0.4355302162892507</v>
      </c>
      <c r="G281">
        <v>3.8335760926148099</v>
      </c>
      <c r="H281">
        <v>1.3424226808222062</v>
      </c>
      <c r="I281" s="73">
        <v>2.85</v>
      </c>
      <c r="J281" s="183">
        <f t="shared" si="25"/>
        <v>0.45484486000851021</v>
      </c>
      <c r="K281">
        <v>0.29196006238313771</v>
      </c>
      <c r="L281">
        <v>3.20911860699078</v>
      </c>
      <c r="M281" s="137">
        <v>3.5849986651910224</v>
      </c>
      <c r="N281">
        <v>2.9138138523837167</v>
      </c>
      <c r="O281" s="74">
        <v>70</v>
      </c>
      <c r="P281" s="77">
        <f t="shared" si="26"/>
        <v>1.8450980400142569</v>
      </c>
      <c r="Q281" s="75">
        <v>34.4</v>
      </c>
      <c r="R281" s="78">
        <f t="shared" si="27"/>
        <v>1.5365584425715302</v>
      </c>
      <c r="S281" s="76">
        <v>47.264053157349203</v>
      </c>
      <c r="T281" s="184">
        <f t="shared" si="28"/>
        <v>1.6745309620782511</v>
      </c>
      <c r="U281">
        <v>0.12057393120584989</v>
      </c>
      <c r="V281" s="74">
        <v>18</v>
      </c>
      <c r="W281" s="137">
        <f t="shared" si="29"/>
        <v>1.255272505103306</v>
      </c>
    </row>
    <row r="282" spans="1:23" x14ac:dyDescent="0.35">
      <c r="A282" s="77" t="s">
        <v>965</v>
      </c>
      <c r="B282" s="77" t="s">
        <v>1</v>
      </c>
      <c r="C282">
        <v>7</v>
      </c>
      <c r="D282" s="161">
        <v>8.9291889442233998</v>
      </c>
      <c r="E282" s="161">
        <v>1.9369863013698629</v>
      </c>
      <c r="F282" s="161">
        <f t="shared" si="24"/>
        <v>0.2871265493404247</v>
      </c>
      <c r="G282">
        <v>3.7947040944998616</v>
      </c>
      <c r="H282">
        <v>2.173186268412274</v>
      </c>
      <c r="I282" s="72">
        <v>2.93</v>
      </c>
      <c r="J282" s="183">
        <f t="shared" si="25"/>
        <v>0.4668676203541095</v>
      </c>
      <c r="K282">
        <v>0.20114482427160621</v>
      </c>
      <c r="L282">
        <v>3.20911860699078</v>
      </c>
      <c r="M282" s="137">
        <v>3.5849986651910224</v>
      </c>
      <c r="N282">
        <v>2.7962273140294389</v>
      </c>
      <c r="O282" s="77">
        <v>92.6</v>
      </c>
      <c r="P282" s="77">
        <f t="shared" si="26"/>
        <v>1.9666109866819343</v>
      </c>
      <c r="Q282" s="78">
        <v>39.9</v>
      </c>
      <c r="R282" s="78">
        <f t="shared" si="27"/>
        <v>1.6009728956867482</v>
      </c>
      <c r="S282" s="79">
        <v>43.966315241865303</v>
      </c>
      <c r="T282" s="184">
        <f t="shared" si="28"/>
        <v>1.6431200695045953</v>
      </c>
      <c r="U282">
        <v>6.069784035361165E-2</v>
      </c>
      <c r="V282" s="77">
        <v>29</v>
      </c>
      <c r="W282" s="137">
        <f t="shared" si="29"/>
        <v>1.4623979978989561</v>
      </c>
    </row>
    <row r="283" spans="1:23" x14ac:dyDescent="0.35">
      <c r="A283" s="74" t="s">
        <v>966</v>
      </c>
      <c r="B283" s="74" t="s">
        <v>5</v>
      </c>
      <c r="C283">
        <v>8</v>
      </c>
      <c r="D283" s="161">
        <v>8.8129133566428557</v>
      </c>
      <c r="E283" s="161">
        <v>5.2712328767123289</v>
      </c>
      <c r="F283" s="161">
        <f t="shared" si="24"/>
        <v>0.72191220324531946</v>
      </c>
      <c r="G283">
        <v>3.7916829312790057</v>
      </c>
      <c r="H283">
        <v>1.2041199826559248</v>
      </c>
      <c r="I283" s="73">
        <v>2.72</v>
      </c>
      <c r="J283" s="183">
        <f t="shared" si="25"/>
        <v>0.43456890403419873</v>
      </c>
      <c r="K283">
        <v>0.11778629856151522</v>
      </c>
      <c r="L283">
        <v>3.20911860699078</v>
      </c>
      <c r="M283" s="137">
        <v>3.5849986651910224</v>
      </c>
      <c r="N283">
        <v>3.0355631414974997</v>
      </c>
      <c r="O283" s="74">
        <v>82.6</v>
      </c>
      <c r="P283" s="77">
        <f t="shared" si="26"/>
        <v>1.9169800473203822</v>
      </c>
      <c r="Q283" s="75">
        <v>35.700000000000003</v>
      </c>
      <c r="R283" s="78">
        <f t="shared" si="27"/>
        <v>1.5526682161121932</v>
      </c>
      <c r="S283" s="76">
        <v>47.863614247473699</v>
      </c>
      <c r="T283" s="184">
        <f t="shared" si="28"/>
        <v>1.6800054896904866</v>
      </c>
      <c r="U283">
        <v>0.21748394421390627</v>
      </c>
      <c r="V283" s="74">
        <v>26</v>
      </c>
      <c r="W283" s="137">
        <f t="shared" si="29"/>
        <v>1.414973347970818</v>
      </c>
    </row>
    <row r="284" spans="1:23" x14ac:dyDescent="0.35">
      <c r="A284" s="77" t="s">
        <v>967</v>
      </c>
      <c r="B284" s="77" t="s">
        <v>5</v>
      </c>
      <c r="C284">
        <v>8</v>
      </c>
      <c r="D284" s="161">
        <v>9</v>
      </c>
      <c r="E284" s="161">
        <v>4.8301369863013699</v>
      </c>
      <c r="F284" s="161">
        <f t="shared" si="24"/>
        <v>0.68395944784284735</v>
      </c>
      <c r="G284">
        <v>3.7916829312790057</v>
      </c>
      <c r="H284">
        <v>1.919078092376074</v>
      </c>
      <c r="I284" s="72">
        <v>2.72</v>
      </c>
      <c r="J284" s="183">
        <f t="shared" si="25"/>
        <v>0.43456890403419873</v>
      </c>
      <c r="K284">
        <v>0.34242268082220628</v>
      </c>
      <c r="L284">
        <v>3.20911860699078</v>
      </c>
      <c r="M284" s="137">
        <v>3.5849986651910224</v>
      </c>
      <c r="N284">
        <v>3.0355631414974997</v>
      </c>
      <c r="O284" s="77">
        <v>70</v>
      </c>
      <c r="P284" s="77">
        <f t="shared" si="26"/>
        <v>1.8450980400142569</v>
      </c>
      <c r="Q284" s="78">
        <v>34.799999999999997</v>
      </c>
      <c r="R284" s="78">
        <f t="shared" si="27"/>
        <v>1.541579243946581</v>
      </c>
      <c r="S284" s="79">
        <v>44.539498059710198</v>
      </c>
      <c r="T284" s="184">
        <f t="shared" si="28"/>
        <v>1.6487453184203718</v>
      </c>
      <c r="U284">
        <v>0.24551266781414982</v>
      </c>
      <c r="V284" s="77">
        <v>19</v>
      </c>
      <c r="W284" s="137">
        <f t="shared" si="29"/>
        <v>1.2787536009528289</v>
      </c>
    </row>
    <row r="285" spans="1:23" x14ac:dyDescent="0.35">
      <c r="A285" s="96" t="s">
        <v>968</v>
      </c>
      <c r="B285" s="74" t="s">
        <v>497</v>
      </c>
      <c r="C285">
        <v>2</v>
      </c>
      <c r="D285" s="161">
        <v>9.4664078846510513</v>
      </c>
      <c r="E285" s="161">
        <v>6.1698630136986301</v>
      </c>
      <c r="F285" s="161">
        <f t="shared" si="24"/>
        <v>0.79027552172283388</v>
      </c>
      <c r="G285">
        <v>3.7358167906061537</v>
      </c>
      <c r="H285">
        <v>1.4623979978989561</v>
      </c>
      <c r="I285" s="73">
        <v>2.91</v>
      </c>
      <c r="J285" s="183">
        <f t="shared" si="25"/>
        <v>0.46389298898590731</v>
      </c>
      <c r="K285">
        <v>-0.45526052387525323</v>
      </c>
      <c r="L285">
        <v>3.20911860699078</v>
      </c>
      <c r="M285" s="137">
        <v>3.5849986651910224</v>
      </c>
      <c r="N285">
        <v>2.103233406386928</v>
      </c>
      <c r="O285" s="74">
        <v>85</v>
      </c>
      <c r="P285" s="77">
        <f t="shared" si="26"/>
        <v>1.9294189257142926</v>
      </c>
      <c r="Q285" s="75">
        <v>29.4</v>
      </c>
      <c r="R285" s="78">
        <f t="shared" si="27"/>
        <v>1.4683473304121573</v>
      </c>
      <c r="S285" s="76">
        <v>33.3433362985758</v>
      </c>
      <c r="T285" s="184">
        <f t="shared" si="28"/>
        <v>1.5230090527076294</v>
      </c>
      <c r="U285">
        <v>4.5322978786657475E-2</v>
      </c>
      <c r="V285" s="74">
        <v>21</v>
      </c>
      <c r="W285" s="137">
        <f t="shared" si="29"/>
        <v>1.3222192947339193</v>
      </c>
    </row>
    <row r="286" spans="1:23" x14ac:dyDescent="0.35">
      <c r="A286" s="77" t="s">
        <v>970</v>
      </c>
      <c r="B286" s="77" t="s">
        <v>59</v>
      </c>
      <c r="C286">
        <v>2</v>
      </c>
      <c r="D286" s="161">
        <v>8.3617278360175931</v>
      </c>
      <c r="E286" s="161">
        <v>2.8356164383561642</v>
      </c>
      <c r="F286" s="161">
        <f t="shared" si="24"/>
        <v>0.45264748533646182</v>
      </c>
      <c r="G286">
        <v>3.7707754512906644</v>
      </c>
      <c r="H286">
        <v>1.7781512503836436</v>
      </c>
      <c r="I286" s="72">
        <v>2.3199999999999998</v>
      </c>
      <c r="J286" s="183">
        <f t="shared" si="25"/>
        <v>0.36548798489089962</v>
      </c>
      <c r="K286">
        <v>0.55208601636612376</v>
      </c>
      <c r="L286">
        <v>3.20911860699078</v>
      </c>
      <c r="M286" s="137">
        <v>3.5849986651910224</v>
      </c>
      <c r="N286">
        <v>2.1238516409670858</v>
      </c>
      <c r="O286" s="77">
        <v>94.1</v>
      </c>
      <c r="P286" s="77">
        <f t="shared" si="26"/>
        <v>1.973589623427257</v>
      </c>
      <c r="Q286" s="78">
        <v>32.200000000000003</v>
      </c>
      <c r="R286" s="78">
        <f t="shared" si="27"/>
        <v>1.507855871695831</v>
      </c>
      <c r="S286" s="79">
        <v>43.9397801796012</v>
      </c>
      <c r="T286" s="184">
        <f t="shared" si="28"/>
        <v>1.6428578799166489</v>
      </c>
      <c r="U286">
        <v>8.2785370316450071E-2</v>
      </c>
      <c r="V286" s="77">
        <v>29</v>
      </c>
      <c r="W286" s="137">
        <f t="shared" si="29"/>
        <v>1.4623979978989561</v>
      </c>
    </row>
    <row r="287" spans="1:23" x14ac:dyDescent="0.35">
      <c r="A287" s="74" t="s">
        <v>972</v>
      </c>
      <c r="B287" s="74" t="s">
        <v>59</v>
      </c>
      <c r="C287">
        <v>5</v>
      </c>
      <c r="D287" s="161">
        <v>9.1139433523068369</v>
      </c>
      <c r="E287" s="161">
        <v>8.8520547945205479</v>
      </c>
      <c r="F287" s="161">
        <f t="shared" si="24"/>
        <v>0.94704409356116936</v>
      </c>
      <c r="G287">
        <v>3.7707754512906644</v>
      </c>
      <c r="H287">
        <v>1.6989700043360187</v>
      </c>
      <c r="I287" s="73">
        <v>2.3199999999999998</v>
      </c>
      <c r="J287" s="183">
        <f t="shared" si="25"/>
        <v>0.36548798489089962</v>
      </c>
      <c r="K287">
        <v>0.22622304257923964</v>
      </c>
      <c r="L287">
        <v>3.20911860699078</v>
      </c>
      <c r="M287" s="137">
        <v>3.5849986651910224</v>
      </c>
      <c r="N287">
        <v>2.1238516409670858</v>
      </c>
      <c r="O287" s="74">
        <v>91.2</v>
      </c>
      <c r="P287" s="77">
        <f t="shared" si="26"/>
        <v>1.9599948383284163</v>
      </c>
      <c r="Q287" s="75">
        <v>33</v>
      </c>
      <c r="R287" s="78">
        <f t="shared" si="27"/>
        <v>1.5185139398778875</v>
      </c>
      <c r="S287" s="76">
        <v>40.902544500539101</v>
      </c>
      <c r="T287" s="184">
        <f t="shared" si="28"/>
        <v>1.6117503258110162</v>
      </c>
      <c r="U287">
        <v>0.15228834438305647</v>
      </c>
      <c r="V287" s="74">
        <v>23</v>
      </c>
      <c r="W287" s="137">
        <f t="shared" si="29"/>
        <v>1.3617278360175928</v>
      </c>
    </row>
    <row r="288" spans="1:23" x14ac:dyDescent="0.35">
      <c r="A288" s="77" t="s">
        <v>974</v>
      </c>
      <c r="B288" s="77" t="s">
        <v>163</v>
      </c>
      <c r="C288">
        <v>8</v>
      </c>
      <c r="D288" s="161">
        <v>8.3010299956639813</v>
      </c>
      <c r="E288" s="161">
        <v>8.0493150684931507</v>
      </c>
      <c r="F288" s="161">
        <f t="shared" si="24"/>
        <v>0.90575892699776295</v>
      </c>
      <c r="G288">
        <v>3.7899753459779522</v>
      </c>
      <c r="H288">
        <v>0</v>
      </c>
      <c r="I288" s="72">
        <v>3.18</v>
      </c>
      <c r="J288" s="183">
        <f t="shared" si="25"/>
        <v>0.50242711998443268</v>
      </c>
      <c r="K288">
        <v>7.9181246047624818E-2</v>
      </c>
      <c r="L288">
        <v>3.20911860699078</v>
      </c>
      <c r="M288" s="137">
        <v>3.5849986651910224</v>
      </c>
      <c r="N288">
        <v>2.7670321178317625</v>
      </c>
      <c r="O288" s="77">
        <v>70</v>
      </c>
      <c r="P288" s="77">
        <f t="shared" si="26"/>
        <v>1.8450980400142569</v>
      </c>
      <c r="Q288" s="78">
        <v>42.2</v>
      </c>
      <c r="R288" s="78">
        <f t="shared" si="27"/>
        <v>1.6253124509616739</v>
      </c>
      <c r="S288" s="79">
        <v>53.270504198897903</v>
      </c>
      <c r="T288" s="184">
        <f t="shared" si="28"/>
        <v>1.7264868073491786</v>
      </c>
      <c r="U288">
        <v>0.14921911265537988</v>
      </c>
      <c r="V288" s="77">
        <v>19</v>
      </c>
      <c r="W288" s="137">
        <f t="shared" si="29"/>
        <v>1.2787536009528289</v>
      </c>
    </row>
    <row r="289" spans="1:23" x14ac:dyDescent="0.35">
      <c r="A289" s="74" t="s">
        <v>976</v>
      </c>
      <c r="B289" s="74" t="s">
        <v>434</v>
      </c>
      <c r="C289">
        <v>4</v>
      </c>
      <c r="D289" s="161">
        <v>8.7283537820212285</v>
      </c>
      <c r="E289" s="161">
        <v>4.183561643835616</v>
      </c>
      <c r="F289" s="161">
        <f t="shared" si="24"/>
        <v>0.62154617259994649</v>
      </c>
      <c r="G289">
        <v>3.8584156743566731</v>
      </c>
      <c r="H289">
        <v>1.5440680443502757</v>
      </c>
      <c r="I289" s="73">
        <v>2.66</v>
      </c>
      <c r="J289" s="183">
        <f t="shared" si="25"/>
        <v>0.42488163663106698</v>
      </c>
      <c r="K289">
        <v>0.28851248880774655</v>
      </c>
      <c r="L289">
        <v>3.20911860699078</v>
      </c>
      <c r="M289" s="137">
        <v>3.5849986651910224</v>
      </c>
      <c r="N289">
        <v>2.8134697878296753</v>
      </c>
      <c r="O289" s="74">
        <v>77</v>
      </c>
      <c r="P289" s="77">
        <f t="shared" si="26"/>
        <v>1.8864907251724818</v>
      </c>
      <c r="Q289" s="75">
        <v>41.72</v>
      </c>
      <c r="R289" s="78">
        <f t="shared" si="27"/>
        <v>1.6203442997544932</v>
      </c>
      <c r="S289" s="76">
        <v>47.830384300274197</v>
      </c>
      <c r="T289" s="184">
        <f t="shared" si="28"/>
        <v>1.6797038702890243</v>
      </c>
      <c r="U289">
        <v>0.24054924828259971</v>
      </c>
      <c r="V289" s="74">
        <v>24</v>
      </c>
      <c r="W289" s="137">
        <f t="shared" si="29"/>
        <v>1.3802112417116059</v>
      </c>
    </row>
    <row r="290" spans="1:23" x14ac:dyDescent="0.35">
      <c r="A290" s="77" t="s">
        <v>978</v>
      </c>
      <c r="B290" s="77" t="s">
        <v>434</v>
      </c>
      <c r="C290">
        <v>9</v>
      </c>
      <c r="D290" s="161">
        <v>8.3010299956639813</v>
      </c>
      <c r="E290" s="161">
        <v>5.7726027397260271</v>
      </c>
      <c r="F290" s="161">
        <f t="shared" si="24"/>
        <v>0.76137167115162541</v>
      </c>
      <c r="G290">
        <v>3.8584156743566731</v>
      </c>
      <c r="H290">
        <v>1.414973347970818</v>
      </c>
      <c r="I290" s="72">
        <v>2.66</v>
      </c>
      <c r="J290" s="183">
        <f t="shared" si="25"/>
        <v>0.42488163663106698</v>
      </c>
      <c r="K290">
        <v>0.37120259555558283</v>
      </c>
      <c r="L290">
        <v>3.20911860699078</v>
      </c>
      <c r="M290" s="137">
        <v>3.5849986651910224</v>
      </c>
      <c r="N290">
        <v>2.8134697878296753</v>
      </c>
      <c r="O290" s="77">
        <v>70</v>
      </c>
      <c r="P290" s="77">
        <f t="shared" si="26"/>
        <v>1.8450980400142569</v>
      </c>
      <c r="Q290" s="78">
        <v>39.33</v>
      </c>
      <c r="R290" s="78">
        <f t="shared" si="27"/>
        <v>1.5947239464097467</v>
      </c>
      <c r="S290" s="79">
        <v>46.838198746764199</v>
      </c>
      <c r="T290" s="184">
        <f t="shared" si="28"/>
        <v>1.6706001850898524</v>
      </c>
      <c r="U290">
        <v>-2.2276394711152253E-2</v>
      </c>
      <c r="V290" s="77">
        <v>20</v>
      </c>
      <c r="W290" s="137">
        <f t="shared" si="29"/>
        <v>1.3010299956639813</v>
      </c>
    </row>
    <row r="291" spans="1:23" x14ac:dyDescent="0.35">
      <c r="A291" s="74" t="s">
        <v>980</v>
      </c>
      <c r="B291" s="74" t="s">
        <v>59</v>
      </c>
      <c r="C291">
        <v>1</v>
      </c>
      <c r="D291" s="161">
        <v>7.6434526764861879</v>
      </c>
      <c r="E291" s="161">
        <v>8.3835616438356162</v>
      </c>
      <c r="F291" s="161">
        <f t="shared" si="24"/>
        <v>0.92342856202510526</v>
      </c>
      <c r="G291">
        <v>3.7707754512906644</v>
      </c>
      <c r="H291">
        <v>1.4471580313422192</v>
      </c>
      <c r="I291" s="73">
        <v>2.3199999999999998</v>
      </c>
      <c r="J291" s="183">
        <f t="shared" si="25"/>
        <v>0.36548798489089962</v>
      </c>
      <c r="K291">
        <v>0.28118837093097543</v>
      </c>
      <c r="L291">
        <v>3.3211431557469533</v>
      </c>
      <c r="M291" s="137">
        <v>3.9264410940169014</v>
      </c>
      <c r="N291">
        <v>2.1238516409670858</v>
      </c>
      <c r="O291" s="74">
        <v>85</v>
      </c>
      <c r="P291" s="77">
        <f t="shared" si="26"/>
        <v>1.9294189257142926</v>
      </c>
      <c r="Q291" s="75">
        <v>31.5</v>
      </c>
      <c r="R291" s="78">
        <f t="shared" si="27"/>
        <v>1.4983105537896004</v>
      </c>
      <c r="S291" s="76">
        <v>35.516899069648296</v>
      </c>
      <c r="T291" s="184">
        <f t="shared" si="28"/>
        <v>1.5504350411232082</v>
      </c>
      <c r="U291">
        <v>7.1882007306125359E-2</v>
      </c>
      <c r="V291" s="74">
        <v>33</v>
      </c>
      <c r="W291" s="137">
        <f t="shared" si="29"/>
        <v>1.5185139398778875</v>
      </c>
    </row>
    <row r="292" spans="1:23" x14ac:dyDescent="0.35">
      <c r="A292" s="77" t="s">
        <v>982</v>
      </c>
      <c r="B292" s="77" t="s">
        <v>59</v>
      </c>
      <c r="C292">
        <v>5</v>
      </c>
      <c r="D292" s="161">
        <v>8.46686762035411</v>
      </c>
      <c r="E292" s="161">
        <v>1.9561643835616438</v>
      </c>
      <c r="F292" s="161">
        <f t="shared" si="24"/>
        <v>0.29140534731969969</v>
      </c>
      <c r="G292">
        <v>3.7707754512906644</v>
      </c>
      <c r="H292">
        <v>1.414973347970818</v>
      </c>
      <c r="I292" s="72">
        <v>2.3199999999999998</v>
      </c>
      <c r="J292" s="183">
        <f t="shared" si="25"/>
        <v>0.36548798489089962</v>
      </c>
      <c r="K292">
        <v>0.17274634950008499</v>
      </c>
      <c r="L292">
        <v>3.3151244779693188</v>
      </c>
      <c r="M292" s="137">
        <v>3.8475683751239629</v>
      </c>
      <c r="N292">
        <v>2.1238516409670858</v>
      </c>
      <c r="O292" s="77">
        <v>85</v>
      </c>
      <c r="P292" s="77">
        <f t="shared" si="26"/>
        <v>1.9294189257142926</v>
      </c>
      <c r="Q292" s="78">
        <v>32.700000000000003</v>
      </c>
      <c r="R292" s="78">
        <f t="shared" si="27"/>
        <v>1.5145477526602862</v>
      </c>
      <c r="S292" s="79">
        <v>41.286751495766303</v>
      </c>
      <c r="T292" s="184">
        <f t="shared" si="28"/>
        <v>1.6158107132703448</v>
      </c>
      <c r="U292">
        <v>7.554696139253074E-2</v>
      </c>
      <c r="V292" s="77">
        <v>18</v>
      </c>
      <c r="W292" s="137">
        <f t="shared" si="29"/>
        <v>1.255272505103306</v>
      </c>
    </row>
    <row r="293" spans="1:23" x14ac:dyDescent="0.35">
      <c r="A293" s="74" t="s">
        <v>984</v>
      </c>
      <c r="B293" s="74" t="s">
        <v>5</v>
      </c>
      <c r="C293">
        <v>1</v>
      </c>
      <c r="D293" s="161">
        <v>8.3222192947339195</v>
      </c>
      <c r="E293" s="161">
        <v>5.2438356164383562</v>
      </c>
      <c r="F293" s="161">
        <f t="shared" si="24"/>
        <v>0.7196490689843501</v>
      </c>
      <c r="G293">
        <v>3.7916829312790057</v>
      </c>
      <c r="H293">
        <v>0</v>
      </c>
      <c r="I293" s="73">
        <v>2.72</v>
      </c>
      <c r="J293" s="183">
        <f t="shared" si="25"/>
        <v>0.43456890403419873</v>
      </c>
      <c r="K293">
        <v>0.15490195998574319</v>
      </c>
      <c r="L293">
        <v>3.3151244779693188</v>
      </c>
      <c r="M293" s="137">
        <v>3.8475683751239629</v>
      </c>
      <c r="N293">
        <v>3.0355631414974997</v>
      </c>
      <c r="O293" s="74">
        <v>85</v>
      </c>
      <c r="P293" s="77">
        <f t="shared" si="26"/>
        <v>1.9294189257142926</v>
      </c>
      <c r="Q293" s="75">
        <v>37.299999999999997</v>
      </c>
      <c r="R293" s="78">
        <f t="shared" si="27"/>
        <v>1.5717088318086876</v>
      </c>
      <c r="S293" s="76">
        <v>46.9693144722524</v>
      </c>
      <c r="T293" s="184">
        <f t="shared" si="28"/>
        <v>1.6718142216035041</v>
      </c>
      <c r="U293">
        <v>0.16435285578443709</v>
      </c>
      <c r="V293" s="74">
        <v>9</v>
      </c>
      <c r="W293" s="137">
        <f t="shared" si="29"/>
        <v>0.95424250943932487</v>
      </c>
    </row>
    <row r="294" spans="1:23" x14ac:dyDescent="0.35">
      <c r="A294" s="77" t="s">
        <v>987</v>
      </c>
      <c r="B294" s="77" t="s">
        <v>59</v>
      </c>
      <c r="C294">
        <v>5</v>
      </c>
      <c r="D294" s="161">
        <v>8.0718820073061259</v>
      </c>
      <c r="E294" s="161">
        <v>4.5041095890410956</v>
      </c>
      <c r="F294" s="161">
        <f t="shared" si="24"/>
        <v>0.65360894874755682</v>
      </c>
      <c r="G294">
        <v>3.7707754512906644</v>
      </c>
      <c r="H294">
        <v>0.69897000433601886</v>
      </c>
      <c r="I294" s="72">
        <v>2.3199999999999998</v>
      </c>
      <c r="J294" s="183">
        <f t="shared" si="25"/>
        <v>0.36548798489089962</v>
      </c>
      <c r="K294">
        <v>0.70626924307751826</v>
      </c>
      <c r="L294">
        <v>3.1134603742158462</v>
      </c>
      <c r="M294" s="137">
        <v>3.7799945853255905</v>
      </c>
      <c r="N294">
        <v>2.1238516409670858</v>
      </c>
      <c r="O294" s="77">
        <v>94.1</v>
      </c>
      <c r="P294" s="77">
        <f t="shared" si="26"/>
        <v>1.973589623427257</v>
      </c>
      <c r="Q294" s="78">
        <v>32.200000000000003</v>
      </c>
      <c r="R294" s="78">
        <f t="shared" si="27"/>
        <v>1.507855871695831</v>
      </c>
      <c r="S294" s="79">
        <v>43.9397801796012</v>
      </c>
      <c r="T294" s="184">
        <f t="shared" si="28"/>
        <v>1.6428578799166489</v>
      </c>
      <c r="U294">
        <v>0.20139712432045145</v>
      </c>
      <c r="V294" s="77">
        <v>29</v>
      </c>
      <c r="W294" s="137">
        <f t="shared" si="29"/>
        <v>1.4623979978989561</v>
      </c>
    </row>
    <row r="295" spans="1:23" x14ac:dyDescent="0.35">
      <c r="A295" s="74" t="s">
        <v>989</v>
      </c>
      <c r="B295" s="74" t="s">
        <v>59</v>
      </c>
      <c r="C295">
        <v>1</v>
      </c>
      <c r="D295" s="161">
        <v>8.8356905714924263</v>
      </c>
      <c r="E295" s="161">
        <v>6.4438356164383563</v>
      </c>
      <c r="F295" s="161">
        <f t="shared" si="24"/>
        <v>0.80914445294762616</v>
      </c>
      <c r="G295">
        <v>3.7707754512906644</v>
      </c>
      <c r="H295">
        <v>1.1139433523068367</v>
      </c>
      <c r="I295" s="73">
        <v>2.3199999999999998</v>
      </c>
      <c r="J295" s="183">
        <f t="shared" si="25"/>
        <v>0.36548798489089962</v>
      </c>
      <c r="K295">
        <v>0.15065113272112132</v>
      </c>
      <c r="L295">
        <v>3.1134603742158462</v>
      </c>
      <c r="M295" s="137">
        <v>3.7799945853255905</v>
      </c>
      <c r="N295">
        <v>2.1238516409670858</v>
      </c>
      <c r="O295" s="74">
        <v>91.2</v>
      </c>
      <c r="P295" s="77">
        <f t="shared" si="26"/>
        <v>1.9599948383284163</v>
      </c>
      <c r="Q295" s="75">
        <v>33</v>
      </c>
      <c r="R295" s="78">
        <f t="shared" si="27"/>
        <v>1.5185139398778875</v>
      </c>
      <c r="S295" s="76">
        <v>40.902544500539101</v>
      </c>
      <c r="T295" s="184">
        <f t="shared" si="28"/>
        <v>1.6117503258110162</v>
      </c>
      <c r="U295">
        <v>6.8185861746161619E-2</v>
      </c>
      <c r="V295" s="74">
        <v>23</v>
      </c>
      <c r="W295" s="137">
        <f t="shared" si="29"/>
        <v>1.3617278360175928</v>
      </c>
    </row>
    <row r="296" spans="1:23" x14ac:dyDescent="0.35">
      <c r="A296" s="77" t="s">
        <v>991</v>
      </c>
      <c r="B296" s="77" t="s">
        <v>59</v>
      </c>
      <c r="C296">
        <v>7</v>
      </c>
      <c r="D296" s="161">
        <v>8.7503926704250539</v>
      </c>
      <c r="E296" s="161">
        <v>4.9397260273972599</v>
      </c>
      <c r="F296" s="161">
        <f t="shared" si="24"/>
        <v>0.69370286226592726</v>
      </c>
      <c r="G296">
        <v>3.7707754512906644</v>
      </c>
      <c r="H296">
        <v>1.6532125137753437</v>
      </c>
      <c r="I296" s="72">
        <v>2.3199999999999998</v>
      </c>
      <c r="J296" s="183">
        <f t="shared" si="25"/>
        <v>0.36548798489089962</v>
      </c>
      <c r="K296">
        <v>0.36355068188178347</v>
      </c>
      <c r="L296">
        <v>3.348721986001856</v>
      </c>
      <c r="M296" s="137">
        <v>3.7520876635386311</v>
      </c>
      <c r="N296">
        <v>2.1238516409670858</v>
      </c>
      <c r="O296" s="77">
        <v>85</v>
      </c>
      <c r="P296" s="77">
        <f t="shared" si="26"/>
        <v>1.9294189257142926</v>
      </c>
      <c r="Q296" s="78">
        <v>31.5</v>
      </c>
      <c r="R296" s="78">
        <f t="shared" si="27"/>
        <v>1.4983105537896004</v>
      </c>
      <c r="S296" s="79">
        <v>37.589394702761602</v>
      </c>
      <c r="T296" s="184">
        <f t="shared" si="28"/>
        <v>1.575065332381355</v>
      </c>
      <c r="U296">
        <v>0.24797326636180664</v>
      </c>
      <c r="V296" s="77">
        <v>2</v>
      </c>
      <c r="W296" s="137">
        <f t="shared" si="29"/>
        <v>0.3010299956639812</v>
      </c>
    </row>
    <row r="297" spans="1:23" x14ac:dyDescent="0.35">
      <c r="A297" s="74" t="s">
        <v>227</v>
      </c>
      <c r="B297" s="74" t="s">
        <v>2</v>
      </c>
      <c r="C297">
        <v>8</v>
      </c>
      <c r="D297" s="161">
        <v>8.9661417327390325</v>
      </c>
      <c r="E297" s="161">
        <v>5.6849315068493151</v>
      </c>
      <c r="F297" s="161">
        <f t="shared" si="24"/>
        <v>0.75472523659163682</v>
      </c>
      <c r="G297">
        <v>3.8335760926148099</v>
      </c>
      <c r="H297">
        <v>1.568201724066995</v>
      </c>
      <c r="I297" s="73">
        <v>2.85</v>
      </c>
      <c r="J297" s="183">
        <f t="shared" si="25"/>
        <v>0.45484486000851021</v>
      </c>
      <c r="K297">
        <v>0.14780161956780419</v>
      </c>
      <c r="L297">
        <v>3.348721986001856</v>
      </c>
      <c r="M297" s="137">
        <v>3.7520876635386311</v>
      </c>
      <c r="N297">
        <v>2.9138138523837167</v>
      </c>
      <c r="O297" s="74">
        <v>70</v>
      </c>
      <c r="P297" s="77">
        <f t="shared" si="26"/>
        <v>1.8450980400142569</v>
      </c>
      <c r="Q297" s="75">
        <v>35</v>
      </c>
      <c r="R297" s="78">
        <f t="shared" si="27"/>
        <v>1.5440680443502757</v>
      </c>
      <c r="S297" s="76">
        <v>46.908044131476899</v>
      </c>
      <c r="T297" s="184">
        <f t="shared" si="28"/>
        <v>1.6712473250679141</v>
      </c>
      <c r="U297">
        <v>0.13987908640123647</v>
      </c>
      <c r="V297" s="74">
        <v>1</v>
      </c>
      <c r="W297" s="137">
        <f t="shared" si="29"/>
        <v>0</v>
      </c>
    </row>
    <row r="298" spans="1:23" x14ac:dyDescent="0.35">
      <c r="A298" s="77" t="s">
        <v>992</v>
      </c>
      <c r="B298" s="77" t="s">
        <v>59</v>
      </c>
      <c r="C298">
        <v>5</v>
      </c>
      <c r="D298" s="161">
        <v>8.5440680443502757</v>
      </c>
      <c r="E298" s="161">
        <v>3.106849315068493</v>
      </c>
      <c r="F298" s="161">
        <f t="shared" si="24"/>
        <v>0.49232019010041306</v>
      </c>
      <c r="G298">
        <v>3.7707754512906644</v>
      </c>
      <c r="H298">
        <v>0.69897000433601886</v>
      </c>
      <c r="I298" s="72">
        <v>2.3199999999999998</v>
      </c>
      <c r="J298" s="183">
        <f t="shared" si="25"/>
        <v>0.36548798489089962</v>
      </c>
      <c r="K298">
        <v>0</v>
      </c>
      <c r="L298">
        <v>3.4436974992327127</v>
      </c>
      <c r="M298" s="137">
        <v>3.848103550153982</v>
      </c>
      <c r="N298">
        <v>2.1238516409670858</v>
      </c>
      <c r="O298" s="77">
        <v>85</v>
      </c>
      <c r="P298" s="77">
        <f t="shared" si="26"/>
        <v>1.9294189257142926</v>
      </c>
      <c r="Q298" s="78">
        <v>31.3</v>
      </c>
      <c r="R298" s="78">
        <f t="shared" si="27"/>
        <v>1.4955443375464486</v>
      </c>
      <c r="S298" s="79">
        <v>38.7850112673514</v>
      </c>
      <c r="T298" s="184">
        <f t="shared" si="28"/>
        <v>1.5886639219461918</v>
      </c>
      <c r="U298">
        <v>0.12057393120584989</v>
      </c>
      <c r="V298" s="77">
        <v>3</v>
      </c>
      <c r="W298" s="137">
        <f t="shared" si="29"/>
        <v>0.47712125471966244</v>
      </c>
    </row>
    <row r="299" spans="1:23" x14ac:dyDescent="0.35">
      <c r="A299" s="74" t="s">
        <v>994</v>
      </c>
      <c r="B299" s="74" t="s">
        <v>59</v>
      </c>
      <c r="C299">
        <v>5</v>
      </c>
      <c r="D299" s="161">
        <v>8.3010299956639813</v>
      </c>
      <c r="E299" s="161">
        <v>4.6684931506849319</v>
      </c>
      <c r="F299" s="161">
        <f t="shared" si="24"/>
        <v>0.66917672597420663</v>
      </c>
      <c r="G299">
        <v>3.7707754512906644</v>
      </c>
      <c r="H299">
        <v>1.0413926851582251</v>
      </c>
      <c r="I299" s="73">
        <v>2.3199999999999998</v>
      </c>
      <c r="J299" s="183">
        <f t="shared" si="25"/>
        <v>0.36548798489089962</v>
      </c>
      <c r="K299">
        <v>4.1392685158225077E-2</v>
      </c>
      <c r="L299">
        <v>3.3265688034989269</v>
      </c>
      <c r="M299" s="137">
        <v>3.64990043303693</v>
      </c>
      <c r="N299">
        <v>2.1238516409670858</v>
      </c>
      <c r="O299" s="74">
        <v>94.1</v>
      </c>
      <c r="P299" s="77">
        <f t="shared" si="26"/>
        <v>1.973589623427257</v>
      </c>
      <c r="Q299" s="75">
        <v>32.200000000000003</v>
      </c>
      <c r="R299" s="78">
        <f t="shared" si="27"/>
        <v>1.507855871695831</v>
      </c>
      <c r="S299" s="76">
        <v>43.9397801796012</v>
      </c>
      <c r="T299" s="184">
        <f t="shared" si="28"/>
        <v>1.6428578799166489</v>
      </c>
      <c r="U299">
        <v>0.22788670461367352</v>
      </c>
      <c r="V299" s="74">
        <v>21</v>
      </c>
      <c r="W299" s="137">
        <f t="shared" si="29"/>
        <v>1.3222192947339193</v>
      </c>
    </row>
    <row r="300" spans="1:23" x14ac:dyDescent="0.35">
      <c r="A300" s="77" t="s">
        <v>996</v>
      </c>
      <c r="B300" s="77" t="s">
        <v>59</v>
      </c>
      <c r="C300">
        <v>5</v>
      </c>
      <c r="D300" s="161">
        <v>8.4574276929464851</v>
      </c>
      <c r="E300" s="161">
        <v>3.7095890410958905</v>
      </c>
      <c r="F300" s="161">
        <f t="shared" si="24"/>
        <v>0.56932579989265086</v>
      </c>
      <c r="G300">
        <v>3.7707754512906644</v>
      </c>
      <c r="H300">
        <v>0.6020599913279624</v>
      </c>
      <c r="I300" s="72">
        <v>2.3199999999999998</v>
      </c>
      <c r="J300" s="183">
        <f t="shared" si="25"/>
        <v>0.36548798489089962</v>
      </c>
      <c r="K300">
        <v>-1</v>
      </c>
      <c r="L300">
        <v>3.3265688034989269</v>
      </c>
      <c r="M300" s="137">
        <v>3.64990043303693</v>
      </c>
      <c r="N300">
        <v>2.1238516409670858</v>
      </c>
      <c r="O300" s="77">
        <v>91.2</v>
      </c>
      <c r="P300" s="77">
        <f t="shared" si="26"/>
        <v>1.9599948383284163</v>
      </c>
      <c r="Q300" s="78">
        <v>33</v>
      </c>
      <c r="R300" s="78">
        <f t="shared" si="27"/>
        <v>1.5185139398778875</v>
      </c>
      <c r="S300" s="79">
        <v>40.902544500539101</v>
      </c>
      <c r="T300" s="184">
        <f t="shared" si="28"/>
        <v>1.6117503258110162</v>
      </c>
      <c r="U300">
        <v>-1.322826573375516E-2</v>
      </c>
      <c r="V300" s="77">
        <v>15</v>
      </c>
      <c r="W300" s="137">
        <f t="shared" si="29"/>
        <v>1.1760912590556813</v>
      </c>
    </row>
    <row r="301" spans="1:23" x14ac:dyDescent="0.35">
      <c r="A301" s="74" t="s">
        <v>998</v>
      </c>
      <c r="B301" s="74" t="s">
        <v>2</v>
      </c>
      <c r="C301">
        <v>6</v>
      </c>
      <c r="D301" s="161">
        <v>9</v>
      </c>
      <c r="E301" s="161">
        <v>1.7205479452054795</v>
      </c>
      <c r="F301" s="161">
        <f t="shared" si="24"/>
        <v>0.23566677928072144</v>
      </c>
      <c r="G301">
        <v>3.8335760926148099</v>
      </c>
      <c r="H301">
        <v>0.90308998699194354</v>
      </c>
      <c r="I301" s="73">
        <v>2.85</v>
      </c>
      <c r="J301" s="183">
        <f t="shared" si="25"/>
        <v>0.45484486000851021</v>
      </c>
      <c r="K301">
        <v>0.22788670461367352</v>
      </c>
      <c r="L301">
        <v>3.3265688034989269</v>
      </c>
      <c r="M301" s="137">
        <v>3.64990043303693</v>
      </c>
      <c r="N301">
        <v>2.9138138523837167</v>
      </c>
      <c r="O301" s="74">
        <v>70</v>
      </c>
      <c r="P301" s="77">
        <f t="shared" si="26"/>
        <v>1.8450980400142569</v>
      </c>
      <c r="Q301" s="75">
        <v>33.9</v>
      </c>
      <c r="R301" s="78">
        <f t="shared" si="27"/>
        <v>1.5301996982030821</v>
      </c>
      <c r="S301" s="76">
        <v>46.200073016176603</v>
      </c>
      <c r="T301" s="184">
        <f t="shared" si="28"/>
        <v>1.664642661930531</v>
      </c>
      <c r="U301">
        <v>7.1882007306125359E-2</v>
      </c>
      <c r="V301" s="74">
        <v>13</v>
      </c>
      <c r="W301" s="137">
        <f t="shared" si="29"/>
        <v>1.1139433523068367</v>
      </c>
    </row>
    <row r="302" spans="1:23" x14ac:dyDescent="0.35">
      <c r="A302" s="77" t="s">
        <v>1000</v>
      </c>
      <c r="B302" s="77" t="s">
        <v>2</v>
      </c>
      <c r="C302">
        <v>6</v>
      </c>
      <c r="D302" s="161">
        <v>9.2944662261615925</v>
      </c>
      <c r="E302" s="161">
        <v>7.6410958904109592</v>
      </c>
      <c r="F302" s="161">
        <f t="shared" si="24"/>
        <v>0.88315564980957517</v>
      </c>
      <c r="G302">
        <v>3.8335760926148099</v>
      </c>
      <c r="H302">
        <v>1.9084850188786497</v>
      </c>
      <c r="I302" s="72">
        <v>2.85</v>
      </c>
      <c r="J302" s="183">
        <f t="shared" si="25"/>
        <v>0.45484486000851021</v>
      </c>
      <c r="K302">
        <v>-0.44973627637745167</v>
      </c>
      <c r="L302">
        <v>3.3265688034989269</v>
      </c>
      <c r="M302" s="137">
        <v>3.64990043303693</v>
      </c>
      <c r="N302">
        <v>2.9138138523837167</v>
      </c>
      <c r="O302" s="77">
        <v>70</v>
      </c>
      <c r="P302" s="77">
        <f t="shared" si="26"/>
        <v>1.8450980400142569</v>
      </c>
      <c r="Q302" s="78">
        <v>33.9</v>
      </c>
      <c r="R302" s="78">
        <f t="shared" si="27"/>
        <v>1.5301996982030821</v>
      </c>
      <c r="S302" s="79">
        <v>46.312020505412598</v>
      </c>
      <c r="T302" s="184">
        <f t="shared" si="28"/>
        <v>1.6656937288498501</v>
      </c>
      <c r="U302">
        <v>7.1882007306125359E-2</v>
      </c>
      <c r="V302" s="77">
        <v>12</v>
      </c>
      <c r="W302" s="137">
        <f t="shared" si="29"/>
        <v>1.0791812460476249</v>
      </c>
    </row>
    <row r="303" spans="1:23" x14ac:dyDescent="0.35">
      <c r="A303" s="74" t="s">
        <v>1002</v>
      </c>
      <c r="B303" s="74" t="s">
        <v>59</v>
      </c>
      <c r="C303">
        <v>7</v>
      </c>
      <c r="D303" s="161">
        <v>8.653212513775344</v>
      </c>
      <c r="E303" s="161">
        <v>1.8958904109589041</v>
      </c>
      <c r="F303" s="161">
        <f t="shared" si="24"/>
        <v>0.27781323000028307</v>
      </c>
      <c r="G303">
        <v>3.7707754512906644</v>
      </c>
      <c r="H303">
        <v>1.5563025007672873</v>
      </c>
      <c r="I303" s="73">
        <v>2.3199999999999998</v>
      </c>
      <c r="J303" s="183">
        <f t="shared" si="25"/>
        <v>0.36548798489089962</v>
      </c>
      <c r="K303">
        <v>0.51766733770540363</v>
      </c>
      <c r="L303">
        <v>3.3075667315086759</v>
      </c>
      <c r="M303" s="137">
        <v>3.8308810053047755</v>
      </c>
      <c r="N303">
        <v>2.1238516409670858</v>
      </c>
      <c r="O303" s="74">
        <v>94.1</v>
      </c>
      <c r="P303" s="77">
        <f t="shared" si="26"/>
        <v>1.973589623427257</v>
      </c>
      <c r="Q303" s="75">
        <v>32.200000000000003</v>
      </c>
      <c r="R303" s="78">
        <f t="shared" si="27"/>
        <v>1.507855871695831</v>
      </c>
      <c r="S303" s="76">
        <v>43.9397801796012</v>
      </c>
      <c r="T303" s="184">
        <f t="shared" si="28"/>
        <v>1.6428578799166489</v>
      </c>
      <c r="U303">
        <v>0.12057393120584989</v>
      </c>
      <c r="V303" s="74">
        <v>35</v>
      </c>
      <c r="W303" s="137">
        <f t="shared" si="29"/>
        <v>1.5440680443502757</v>
      </c>
    </row>
    <row r="304" spans="1:23" x14ac:dyDescent="0.35">
      <c r="A304" s="77" t="s">
        <v>1004</v>
      </c>
      <c r="B304" s="77" t="s">
        <v>59</v>
      </c>
      <c r="C304">
        <v>5</v>
      </c>
      <c r="D304" s="161">
        <v>8.6201360549737576</v>
      </c>
      <c r="E304" s="161">
        <v>8.706849315068494</v>
      </c>
      <c r="F304" s="161">
        <f t="shared" si="24"/>
        <v>0.93986102841488606</v>
      </c>
      <c r="G304">
        <v>3.7707754512906644</v>
      </c>
      <c r="H304">
        <v>0</v>
      </c>
      <c r="I304" s="72">
        <v>2.3199999999999998</v>
      </c>
      <c r="J304" s="183">
        <f t="shared" si="25"/>
        <v>0.36548798489089962</v>
      </c>
      <c r="K304">
        <v>0.25440374209725269</v>
      </c>
      <c r="L304">
        <v>3.3075667315086759</v>
      </c>
      <c r="M304" s="137">
        <v>3.8308810053047755</v>
      </c>
      <c r="N304">
        <v>2.1238516409670858</v>
      </c>
      <c r="O304" s="77">
        <v>90.8</v>
      </c>
      <c r="P304" s="77">
        <f t="shared" si="26"/>
        <v>1.958085848521085</v>
      </c>
      <c r="Q304" s="78">
        <v>32.299999999999997</v>
      </c>
      <c r="R304" s="78">
        <f t="shared" si="27"/>
        <v>1.5092025223311027</v>
      </c>
      <c r="S304" s="79">
        <v>44.4007960521485</v>
      </c>
      <c r="T304" s="184">
        <f t="shared" si="28"/>
        <v>1.6473907565550749</v>
      </c>
      <c r="U304">
        <v>0.41161970596323016</v>
      </c>
      <c r="V304" s="77">
        <v>30</v>
      </c>
      <c r="W304" s="137">
        <f t="shared" si="29"/>
        <v>1.4771212547196624</v>
      </c>
    </row>
    <row r="305" spans="1:23" x14ac:dyDescent="0.35">
      <c r="A305" s="74" t="s">
        <v>991</v>
      </c>
      <c r="B305" s="74" t="s">
        <v>59</v>
      </c>
      <c r="C305">
        <v>7</v>
      </c>
      <c r="D305" s="161">
        <v>8.7503926704250539</v>
      </c>
      <c r="E305" s="161">
        <v>4.9397260273972599</v>
      </c>
      <c r="F305" s="161">
        <f t="shared" si="24"/>
        <v>0.69370286226592726</v>
      </c>
      <c r="G305">
        <v>3.7707754512906644</v>
      </c>
      <c r="H305">
        <v>1.6532125137753437</v>
      </c>
      <c r="I305" s="73">
        <v>2.3199999999999998</v>
      </c>
      <c r="J305" s="183">
        <f t="shared" si="25"/>
        <v>0.36548798489089962</v>
      </c>
      <c r="K305">
        <v>0.36355068188178347</v>
      </c>
      <c r="L305">
        <v>3.3075667315086759</v>
      </c>
      <c r="M305" s="137">
        <v>3.8308810053047755</v>
      </c>
      <c r="N305">
        <v>2.1238516409670858</v>
      </c>
      <c r="O305" s="74">
        <v>85</v>
      </c>
      <c r="P305" s="77">
        <f t="shared" si="26"/>
        <v>1.9294189257142926</v>
      </c>
      <c r="Q305" s="75">
        <v>31.5</v>
      </c>
      <c r="R305" s="78">
        <f t="shared" si="27"/>
        <v>1.4983105537896004</v>
      </c>
      <c r="S305" s="76">
        <v>37.589394702761602</v>
      </c>
      <c r="T305" s="184">
        <f t="shared" si="28"/>
        <v>1.575065332381355</v>
      </c>
      <c r="U305">
        <v>0.24797326636180664</v>
      </c>
      <c r="V305" s="74">
        <v>24</v>
      </c>
      <c r="W305" s="137">
        <f t="shared" si="29"/>
        <v>1.3802112417116059</v>
      </c>
    </row>
    <row r="306" spans="1:23" x14ac:dyDescent="0.35">
      <c r="A306" s="77" t="s">
        <v>1007</v>
      </c>
      <c r="B306" s="77" t="s">
        <v>5</v>
      </c>
      <c r="C306">
        <v>8</v>
      </c>
      <c r="D306" s="161">
        <v>9.2304489213782741</v>
      </c>
      <c r="E306" s="161">
        <v>2.6657534246575341</v>
      </c>
      <c r="F306" s="161">
        <f t="shared" si="24"/>
        <v>0.42581997581187719</v>
      </c>
      <c r="G306">
        <v>3.7916829312790057</v>
      </c>
      <c r="H306">
        <v>0</v>
      </c>
      <c r="I306" s="72">
        <v>2.72</v>
      </c>
      <c r="J306" s="183">
        <f t="shared" si="25"/>
        <v>0.43456890403419873</v>
      </c>
      <c r="K306">
        <v>0.13127891463931898</v>
      </c>
      <c r="L306">
        <v>3.3075667315086759</v>
      </c>
      <c r="M306" s="137">
        <v>3.8308810053047755</v>
      </c>
      <c r="N306">
        <v>3.0355631414974997</v>
      </c>
      <c r="O306" s="77">
        <v>89.7</v>
      </c>
      <c r="P306" s="77">
        <f t="shared" si="26"/>
        <v>1.9527924430440922</v>
      </c>
      <c r="Q306" s="78">
        <v>37</v>
      </c>
      <c r="R306" s="78">
        <f t="shared" si="27"/>
        <v>1.568201724066995</v>
      </c>
      <c r="S306" s="79">
        <v>45.741556971826803</v>
      </c>
      <c r="T306" s="184">
        <f t="shared" si="28"/>
        <v>1.660310943234538</v>
      </c>
      <c r="U306">
        <v>8.6359830674748214E-2</v>
      </c>
      <c r="V306" s="77">
        <v>36</v>
      </c>
      <c r="W306" s="137">
        <f t="shared" si="29"/>
        <v>1.5563025007672873</v>
      </c>
    </row>
    <row r="307" spans="1:23" x14ac:dyDescent="0.35">
      <c r="A307" s="74" t="s">
        <v>1009</v>
      </c>
      <c r="B307" s="74" t="s">
        <v>2</v>
      </c>
      <c r="C307">
        <v>1</v>
      </c>
      <c r="D307" s="161">
        <v>9.0791812460476251</v>
      </c>
      <c r="E307" s="161">
        <v>2.3232876712328765</v>
      </c>
      <c r="F307" s="161">
        <f t="shared" si="24"/>
        <v>0.36610298780023909</v>
      </c>
      <c r="G307">
        <v>3.8335760926148099</v>
      </c>
      <c r="H307">
        <v>1.8260748027008264</v>
      </c>
      <c r="I307" s="73">
        <v>2.85</v>
      </c>
      <c r="J307" s="183">
        <f t="shared" si="25"/>
        <v>0.45484486000851021</v>
      </c>
      <c r="K307">
        <v>-1</v>
      </c>
      <c r="L307">
        <v>3.3075667315086759</v>
      </c>
      <c r="M307" s="137">
        <v>3.8308810053047755</v>
      </c>
      <c r="N307">
        <v>2.9138138523837167</v>
      </c>
      <c r="O307" s="74">
        <v>70</v>
      </c>
      <c r="P307" s="77">
        <f t="shared" si="26"/>
        <v>1.8450980400142569</v>
      </c>
      <c r="Q307" s="75">
        <v>36.200000000000003</v>
      </c>
      <c r="R307" s="78">
        <f t="shared" si="27"/>
        <v>1.5587085705331658</v>
      </c>
      <c r="S307" s="76">
        <v>44.748733746598099</v>
      </c>
      <c r="T307" s="184">
        <f t="shared" si="28"/>
        <v>1.6507807506095689</v>
      </c>
      <c r="U307">
        <v>-0.13076828026902382</v>
      </c>
      <c r="V307" s="74">
        <v>22</v>
      </c>
      <c r="W307" s="137">
        <f t="shared" si="29"/>
        <v>1.3424226808222062</v>
      </c>
    </row>
    <row r="308" spans="1:23" x14ac:dyDescent="0.35">
      <c r="A308" s="77" t="s">
        <v>1010</v>
      </c>
      <c r="B308" s="77" t="s">
        <v>434</v>
      </c>
      <c r="C308">
        <v>9</v>
      </c>
      <c r="D308" s="161">
        <v>9</v>
      </c>
      <c r="E308" s="161">
        <v>17.032876712328768</v>
      </c>
      <c r="F308" s="161">
        <f t="shared" si="24"/>
        <v>1.2312880029116811</v>
      </c>
      <c r="G308">
        <v>3.8584156743566731</v>
      </c>
      <c r="H308">
        <v>1.9030899869919435</v>
      </c>
      <c r="I308" s="72">
        <v>2.66</v>
      </c>
      <c r="J308" s="183">
        <f t="shared" si="25"/>
        <v>0.42488163663106698</v>
      </c>
      <c r="K308">
        <v>-1.6020599913279621</v>
      </c>
      <c r="L308">
        <v>3.3075667315086759</v>
      </c>
      <c r="M308" s="137">
        <v>3.8308810053047755</v>
      </c>
      <c r="N308">
        <v>2.8134697878296753</v>
      </c>
      <c r="O308" s="77">
        <v>70</v>
      </c>
      <c r="P308" s="77">
        <f t="shared" si="26"/>
        <v>1.8450980400142569</v>
      </c>
      <c r="Q308" s="78">
        <v>40.57</v>
      </c>
      <c r="R308" s="78">
        <f t="shared" si="27"/>
        <v>1.6082050077043262</v>
      </c>
      <c r="S308" s="79">
        <v>46.612741748887998</v>
      </c>
      <c r="T308" s="184">
        <f t="shared" si="28"/>
        <v>1.6685046487680937</v>
      </c>
      <c r="U308">
        <v>0.29885307640970665</v>
      </c>
      <c r="V308" s="77">
        <v>22</v>
      </c>
      <c r="W308" s="137">
        <f t="shared" si="29"/>
        <v>1.3424226808222062</v>
      </c>
    </row>
    <row r="309" spans="1:23" x14ac:dyDescent="0.35">
      <c r="A309" s="74" t="s">
        <v>1013</v>
      </c>
      <c r="B309" s="74" t="s">
        <v>489</v>
      </c>
      <c r="C309">
        <v>2</v>
      </c>
      <c r="D309" s="161">
        <v>9.052066473798158</v>
      </c>
      <c r="E309" s="161">
        <v>8.8328767123287673</v>
      </c>
      <c r="F309" s="161">
        <f t="shared" si="24"/>
        <v>0.94610216867657837</v>
      </c>
      <c r="G309">
        <v>3.8229763963637051</v>
      </c>
      <c r="H309">
        <v>2.1105897102992488</v>
      </c>
      <c r="I309" s="73">
        <v>3.03</v>
      </c>
      <c r="J309" s="183">
        <f t="shared" si="25"/>
        <v>0.48144262850230496</v>
      </c>
      <c r="K309">
        <v>1.085692621382691</v>
      </c>
      <c r="L309">
        <v>3.4636820971642801</v>
      </c>
      <c r="M309" s="137">
        <v>3.6703795027080157</v>
      </c>
      <c r="N309">
        <v>2.7113853790984517</v>
      </c>
      <c r="O309" s="74">
        <v>70</v>
      </c>
      <c r="P309" s="77">
        <f t="shared" si="26"/>
        <v>1.8450980400142569</v>
      </c>
      <c r="Q309" s="75">
        <v>27.63</v>
      </c>
      <c r="R309" s="78">
        <f t="shared" si="27"/>
        <v>1.4413808849165113</v>
      </c>
      <c r="S309" s="76">
        <v>49.329709120205997</v>
      </c>
      <c r="T309" s="184">
        <f t="shared" si="28"/>
        <v>1.6931085545892062</v>
      </c>
      <c r="U309">
        <v>8.2785370316450071E-2</v>
      </c>
      <c r="V309" s="74">
        <v>17</v>
      </c>
      <c r="W309" s="137">
        <f t="shared" si="29"/>
        <v>1.2304489213782739</v>
      </c>
    </row>
    <row r="310" spans="1:23" x14ac:dyDescent="0.35">
      <c r="A310" s="77" t="s">
        <v>1014</v>
      </c>
      <c r="B310" s="77" t="s">
        <v>5</v>
      </c>
      <c r="C310">
        <v>1</v>
      </c>
      <c r="D310" s="161">
        <v>7.8704463376399296</v>
      </c>
      <c r="E310" s="161">
        <v>3.0657534246575344</v>
      </c>
      <c r="F310" s="161">
        <f t="shared" si="24"/>
        <v>0.48653722207187539</v>
      </c>
      <c r="G310">
        <v>3.7916829312790057</v>
      </c>
      <c r="H310">
        <v>2.0492180226701815</v>
      </c>
      <c r="I310" s="72">
        <v>2.72</v>
      </c>
      <c r="J310" s="183">
        <f t="shared" si="25"/>
        <v>0.43456890403419873</v>
      </c>
      <c r="K310">
        <v>0.29559965097806595</v>
      </c>
      <c r="L310">
        <v>3.6224784109972026</v>
      </c>
      <c r="M310" s="137">
        <v>3.7852505485064163</v>
      </c>
      <c r="N310">
        <v>3.0355631414974997</v>
      </c>
      <c r="O310" s="77">
        <v>70</v>
      </c>
      <c r="P310" s="77">
        <f t="shared" si="26"/>
        <v>1.8450980400142569</v>
      </c>
      <c r="Q310" s="78">
        <v>36.9</v>
      </c>
      <c r="R310" s="78">
        <f t="shared" si="27"/>
        <v>1.5670263661590604</v>
      </c>
      <c r="S310" s="79">
        <v>42.177001683602199</v>
      </c>
      <c r="T310" s="184">
        <f t="shared" si="28"/>
        <v>1.6250757029864513</v>
      </c>
      <c r="U310">
        <v>-6.0480747381381476E-2</v>
      </c>
      <c r="V310" s="77">
        <v>16</v>
      </c>
      <c r="W310" s="137">
        <f t="shared" si="29"/>
        <v>1.2041199826559248</v>
      </c>
    </row>
    <row r="311" spans="1:23" x14ac:dyDescent="0.35">
      <c r="A311" s="74" t="s">
        <v>1017</v>
      </c>
      <c r="B311" s="74" t="s">
        <v>434</v>
      </c>
      <c r="C311">
        <v>3</v>
      </c>
      <c r="D311" s="161">
        <v>8.7618151176130699</v>
      </c>
      <c r="E311" s="161">
        <v>2.5671232876712327</v>
      </c>
      <c r="F311" s="161">
        <f t="shared" si="24"/>
        <v>0.40944672643130353</v>
      </c>
      <c r="G311">
        <v>3.8584156743566731</v>
      </c>
      <c r="H311">
        <v>2.2013971243204513</v>
      </c>
      <c r="I311" s="73">
        <v>2.66</v>
      </c>
      <c r="J311" s="183">
        <f t="shared" si="25"/>
        <v>0.42488163663106698</v>
      </c>
      <c r="K311">
        <v>0.12860590118784496</v>
      </c>
      <c r="L311">
        <v>3.6224784109972026</v>
      </c>
      <c r="M311" s="137">
        <v>3.7852505485064163</v>
      </c>
      <c r="N311">
        <v>2.8134697878296753</v>
      </c>
      <c r="O311" s="74">
        <v>77.3</v>
      </c>
      <c r="P311" s="77">
        <f t="shared" si="26"/>
        <v>1.888179493918325</v>
      </c>
      <c r="Q311" s="75">
        <v>41.91</v>
      </c>
      <c r="R311" s="78">
        <f t="shared" si="27"/>
        <v>1.6223176608338443</v>
      </c>
      <c r="S311" s="76">
        <v>49.378950814702399</v>
      </c>
      <c r="T311" s="184">
        <f t="shared" si="28"/>
        <v>1.6935418579688173</v>
      </c>
      <c r="U311">
        <v>0.13353890837021748</v>
      </c>
      <c r="V311" s="74">
        <v>27</v>
      </c>
      <c r="W311" s="137">
        <f t="shared" si="29"/>
        <v>1.4313637641589874</v>
      </c>
    </row>
    <row r="312" spans="1:23" x14ac:dyDescent="0.35">
      <c r="A312" s="77" t="s">
        <v>1021</v>
      </c>
      <c r="B312" s="77" t="s">
        <v>163</v>
      </c>
      <c r="C312">
        <v>9</v>
      </c>
      <c r="D312" s="161">
        <v>7.4998244958395794</v>
      </c>
      <c r="E312" s="161">
        <v>3.3506849315068492</v>
      </c>
      <c r="F312" s="161">
        <f t="shared" si="24"/>
        <v>0.52513359257981074</v>
      </c>
      <c r="G312">
        <v>3.7899753459779522</v>
      </c>
      <c r="H312">
        <v>0</v>
      </c>
      <c r="I312" s="72">
        <v>3.18</v>
      </c>
      <c r="J312" s="183">
        <f t="shared" si="25"/>
        <v>0.50242711998443268</v>
      </c>
      <c r="K312">
        <v>0.84764212996104238</v>
      </c>
      <c r="L312">
        <v>3.754643753838935</v>
      </c>
      <c r="M312" s="137">
        <v>3.8024607474309908</v>
      </c>
      <c r="N312">
        <v>2.7670321178317625</v>
      </c>
      <c r="O312" s="77">
        <v>85.6</v>
      </c>
      <c r="P312" s="77">
        <f t="shared" si="26"/>
        <v>1.9324737646771533</v>
      </c>
      <c r="Q312" s="78">
        <v>43.3</v>
      </c>
      <c r="R312" s="78">
        <f t="shared" si="27"/>
        <v>1.6364878963533653</v>
      </c>
      <c r="S312" s="79">
        <v>56.2907330998475</v>
      </c>
      <c r="T312" s="184">
        <f t="shared" si="28"/>
        <v>1.750436904711814</v>
      </c>
      <c r="U312">
        <v>0.24551266781414982</v>
      </c>
      <c r="V312" s="77">
        <v>12</v>
      </c>
      <c r="W312" s="137">
        <f t="shared" si="29"/>
        <v>1.0791812460476249</v>
      </c>
    </row>
    <row r="313" spans="1:23" x14ac:dyDescent="0.35">
      <c r="A313" s="74" t="s">
        <v>1023</v>
      </c>
      <c r="B313" s="74" t="s">
        <v>59</v>
      </c>
      <c r="C313">
        <v>9</v>
      </c>
      <c r="D313" s="161">
        <v>7.7923916894982534</v>
      </c>
      <c r="E313" s="161">
        <v>2.0301369863013701</v>
      </c>
      <c r="F313" s="161">
        <f t="shared" si="24"/>
        <v>0.30752534352285349</v>
      </c>
      <c r="G313">
        <v>3.7707754512906644</v>
      </c>
      <c r="H313">
        <v>1.3222192947339193</v>
      </c>
      <c r="I313" s="73">
        <v>2.3199999999999998</v>
      </c>
      <c r="J313" s="183">
        <f t="shared" si="25"/>
        <v>0.36548798489089962</v>
      </c>
      <c r="K313">
        <v>0.43805723188001999</v>
      </c>
      <c r="L313">
        <v>3.754643753838935</v>
      </c>
      <c r="M313" s="137">
        <v>3.8024607474309908</v>
      </c>
      <c r="N313">
        <v>2.1238516409670858</v>
      </c>
      <c r="O313" s="74">
        <v>91.5</v>
      </c>
      <c r="P313" s="77">
        <f t="shared" si="26"/>
        <v>1.9614210940664483</v>
      </c>
      <c r="Q313" s="75">
        <v>32.9</v>
      </c>
      <c r="R313" s="78">
        <f t="shared" si="27"/>
        <v>1.5171958979499742</v>
      </c>
      <c r="S313" s="76">
        <v>40.767390998852598</v>
      </c>
      <c r="T313" s="184">
        <f t="shared" si="28"/>
        <v>1.6103129186864549</v>
      </c>
      <c r="U313">
        <v>4.3213737826425782E-3</v>
      </c>
      <c r="V313" s="74">
        <v>7</v>
      </c>
      <c r="W313" s="137">
        <f t="shared" si="29"/>
        <v>0.84509804001425681</v>
      </c>
    </row>
    <row r="314" spans="1:23" x14ac:dyDescent="0.35">
      <c r="A314" s="96" t="s">
        <v>1025</v>
      </c>
      <c r="B314" s="77" t="s">
        <v>59</v>
      </c>
      <c r="C314">
        <v>9</v>
      </c>
      <c r="D314" s="161">
        <v>7.5862496388660423</v>
      </c>
      <c r="E314" s="161">
        <v>6.0739726027397261</v>
      </c>
      <c r="F314" s="161">
        <f t="shared" si="24"/>
        <v>0.78347282865801349</v>
      </c>
      <c r="G314">
        <v>3.7707754512906644</v>
      </c>
      <c r="H314">
        <v>0.90308998699194354</v>
      </c>
      <c r="I314" s="72">
        <v>2.3199999999999998</v>
      </c>
      <c r="J314" s="183">
        <f t="shared" si="25"/>
        <v>0.36548798489089962</v>
      </c>
      <c r="K314">
        <v>0.61729995788469927</v>
      </c>
      <c r="L314">
        <v>3.3348710074773962</v>
      </c>
      <c r="M314" s="137">
        <v>3.5008426709709495</v>
      </c>
      <c r="N314">
        <v>2.1238516409670858</v>
      </c>
      <c r="O314" s="77">
        <v>85</v>
      </c>
      <c r="P314" s="77">
        <f t="shared" si="26"/>
        <v>1.9294189257142926</v>
      </c>
      <c r="Q314" s="78">
        <v>32.299999999999997</v>
      </c>
      <c r="R314" s="78">
        <f t="shared" si="27"/>
        <v>1.5092025223311027</v>
      </c>
      <c r="S314" s="79">
        <v>40.040400531970803</v>
      </c>
      <c r="T314" s="184">
        <f t="shared" si="28"/>
        <v>1.6024984131617945</v>
      </c>
      <c r="U314">
        <v>8.6001717619175692E-3</v>
      </c>
      <c r="V314" s="77">
        <v>24</v>
      </c>
      <c r="W314" s="137">
        <f t="shared" si="29"/>
        <v>1.3802112417116059</v>
      </c>
    </row>
    <row r="315" spans="1:23" x14ac:dyDescent="0.35">
      <c r="A315" s="74" t="s">
        <v>1028</v>
      </c>
      <c r="B315" s="74" t="s">
        <v>59</v>
      </c>
      <c r="C315">
        <v>9</v>
      </c>
      <c r="D315" s="161">
        <v>7.8692317197309762</v>
      </c>
      <c r="E315" s="161">
        <v>4.6630136986301371</v>
      </c>
      <c r="F315" s="161">
        <f t="shared" si="24"/>
        <v>0.66866669129209433</v>
      </c>
      <c r="G315">
        <v>3.7707754512906644</v>
      </c>
      <c r="H315">
        <v>1</v>
      </c>
      <c r="I315" s="73">
        <v>2.3199999999999998</v>
      </c>
      <c r="J315" s="183">
        <f t="shared" si="25"/>
        <v>0.36548798489089962</v>
      </c>
      <c r="K315">
        <v>0.56544893688616582</v>
      </c>
      <c r="L315">
        <v>3.3348710074773962</v>
      </c>
      <c r="M315" s="137">
        <v>3.5008426709709495</v>
      </c>
      <c r="N315">
        <v>2.1238516409670858</v>
      </c>
      <c r="O315" s="74">
        <v>85</v>
      </c>
      <c r="P315" s="77">
        <f t="shared" si="26"/>
        <v>1.9294189257142926</v>
      </c>
      <c r="Q315" s="75">
        <v>31.3</v>
      </c>
      <c r="R315" s="78">
        <f t="shared" si="27"/>
        <v>1.4955443375464486</v>
      </c>
      <c r="S315" s="76">
        <v>38.7850112673514</v>
      </c>
      <c r="T315" s="184">
        <f t="shared" si="28"/>
        <v>1.5886639219461918</v>
      </c>
      <c r="U315">
        <v>0.26245108973042947</v>
      </c>
      <c r="V315" s="74">
        <v>23</v>
      </c>
      <c r="W315" s="137">
        <f t="shared" si="29"/>
        <v>1.3617278360175928</v>
      </c>
    </row>
    <row r="316" spans="1:23" x14ac:dyDescent="0.35">
      <c r="A316" s="77" t="s">
        <v>1030</v>
      </c>
      <c r="B316" s="77" t="s">
        <v>2</v>
      </c>
      <c r="C316">
        <v>4</v>
      </c>
      <c r="D316" s="161">
        <v>8.3747483460101044</v>
      </c>
      <c r="E316" s="161">
        <v>3.8219178082191783</v>
      </c>
      <c r="F316" s="161">
        <f t="shared" si="24"/>
        <v>0.58228134315314173</v>
      </c>
      <c r="G316">
        <v>3.8335760926148099</v>
      </c>
      <c r="H316">
        <v>0</v>
      </c>
      <c r="I316" s="72">
        <v>2.85</v>
      </c>
      <c r="J316" s="183">
        <f t="shared" si="25"/>
        <v>0.45484486000851021</v>
      </c>
      <c r="K316">
        <v>0.64341739841377443</v>
      </c>
      <c r="L316">
        <v>3.3348710074773962</v>
      </c>
      <c r="M316" s="137">
        <v>3.5008426709709495</v>
      </c>
      <c r="N316">
        <v>2.9138138523837167</v>
      </c>
      <c r="O316" s="77">
        <v>90.5</v>
      </c>
      <c r="P316" s="77">
        <f t="shared" si="26"/>
        <v>1.9566485792052033</v>
      </c>
      <c r="Q316" s="78">
        <v>36.4</v>
      </c>
      <c r="R316" s="78">
        <f t="shared" si="27"/>
        <v>1.5611013836490559</v>
      </c>
      <c r="S316" s="79">
        <v>44.295389122127702</v>
      </c>
      <c r="T316" s="184">
        <f t="shared" si="28"/>
        <v>1.6463585211883986</v>
      </c>
      <c r="U316">
        <v>0.18184358794477254</v>
      </c>
      <c r="V316" s="77">
        <v>32</v>
      </c>
      <c r="W316" s="137">
        <f t="shared" si="29"/>
        <v>1.505149978319906</v>
      </c>
    </row>
    <row r="317" spans="1:23" x14ac:dyDescent="0.35">
      <c r="A317" s="74" t="s">
        <v>1031</v>
      </c>
      <c r="B317" s="74" t="s">
        <v>2</v>
      </c>
      <c r="C317">
        <v>9</v>
      </c>
      <c r="D317" s="161">
        <v>7.4661258704181996</v>
      </c>
      <c r="E317" s="161">
        <v>1.5342465753424657</v>
      </c>
      <c r="F317" s="161">
        <f t="shared" si="24"/>
        <v>0.18589516254972568</v>
      </c>
      <c r="G317">
        <v>3.8335760926148099</v>
      </c>
      <c r="H317">
        <v>0.95424250943932487</v>
      </c>
      <c r="I317" s="73">
        <v>2.85</v>
      </c>
      <c r="J317" s="183">
        <f t="shared" si="25"/>
        <v>0.45484486000851021</v>
      </c>
      <c r="K317">
        <v>6.8835171269757328E-2</v>
      </c>
      <c r="L317">
        <v>3.3348710074773962</v>
      </c>
      <c r="M317" s="137">
        <v>3.5008426709709495</v>
      </c>
      <c r="N317">
        <v>2.9138138523837167</v>
      </c>
      <c r="O317" s="74">
        <v>70</v>
      </c>
      <c r="P317" s="77">
        <f t="shared" si="26"/>
        <v>1.8450980400142569</v>
      </c>
      <c r="Q317" s="75">
        <v>34.4</v>
      </c>
      <c r="R317" s="78">
        <f t="shared" si="27"/>
        <v>1.5365584425715302</v>
      </c>
      <c r="S317" s="76">
        <v>47.264053157349203</v>
      </c>
      <c r="T317" s="184">
        <f t="shared" si="28"/>
        <v>1.6745309620782511</v>
      </c>
      <c r="U317">
        <v>0.11058971029924898</v>
      </c>
      <c r="V317" s="74">
        <v>22</v>
      </c>
      <c r="W317" s="137">
        <f t="shared" si="29"/>
        <v>1.3424226808222062</v>
      </c>
    </row>
    <row r="318" spans="1:23" x14ac:dyDescent="0.35">
      <c r="A318" s="77" t="s">
        <v>1032</v>
      </c>
      <c r="B318" s="77" t="s">
        <v>59</v>
      </c>
      <c r="C318">
        <v>5</v>
      </c>
      <c r="D318" s="161">
        <v>8.7566361082458481</v>
      </c>
      <c r="E318" s="161">
        <v>8.0273972602739718</v>
      </c>
      <c r="F318" s="161">
        <f t="shared" si="24"/>
        <v>0.9045747558976347</v>
      </c>
      <c r="G318">
        <v>3.7707754512906644</v>
      </c>
      <c r="H318">
        <v>0</v>
      </c>
      <c r="I318" s="72">
        <v>2.3199999999999998</v>
      </c>
      <c r="J318" s="183">
        <f t="shared" si="25"/>
        <v>0.36548798489089962</v>
      </c>
      <c r="K318">
        <v>-0.33175447161478105</v>
      </c>
      <c r="L318">
        <v>3.3130759152940494</v>
      </c>
      <c r="M318" s="137">
        <v>3.7917344972186413</v>
      </c>
      <c r="N318">
        <v>2.1238516409670858</v>
      </c>
      <c r="O318" s="77">
        <v>91.5</v>
      </c>
      <c r="P318" s="77">
        <f t="shared" si="26"/>
        <v>1.9614210940664483</v>
      </c>
      <c r="Q318" s="78">
        <v>32.9</v>
      </c>
      <c r="R318" s="78">
        <f t="shared" si="27"/>
        <v>1.5171958979499742</v>
      </c>
      <c r="S318" s="79">
        <v>40.767390998852598</v>
      </c>
      <c r="T318" s="184">
        <f t="shared" si="28"/>
        <v>1.6103129186864549</v>
      </c>
      <c r="U318">
        <v>0.18752072083646307</v>
      </c>
      <c r="V318" s="77">
        <v>5</v>
      </c>
      <c r="W318" s="137">
        <f t="shared" si="29"/>
        <v>0.69897000433601886</v>
      </c>
    </row>
    <row r="319" spans="1:23" x14ac:dyDescent="0.35">
      <c r="A319" s="74" t="s">
        <v>1034</v>
      </c>
      <c r="B319" s="74" t="s">
        <v>59</v>
      </c>
      <c r="C319">
        <v>5</v>
      </c>
      <c r="D319" s="161">
        <v>7.9684829485539348</v>
      </c>
      <c r="E319" s="161">
        <v>0.9452054794520548</v>
      </c>
      <c r="F319" s="161">
        <f t="shared" si="24"/>
        <v>-2.4473769383200585E-2</v>
      </c>
      <c r="G319">
        <v>3.7707754512906644</v>
      </c>
      <c r="H319">
        <v>2.0827853703164503</v>
      </c>
      <c r="I319" s="73">
        <v>2.3199999999999998</v>
      </c>
      <c r="J319" s="183">
        <f t="shared" si="25"/>
        <v>0.36548798489089962</v>
      </c>
      <c r="K319">
        <v>0.33686842089268865</v>
      </c>
      <c r="L319">
        <v>3.3130759152940494</v>
      </c>
      <c r="M319" s="137">
        <v>3.7917344972186413</v>
      </c>
      <c r="N319">
        <v>2.1238516409670858</v>
      </c>
      <c r="O319" s="74">
        <v>85</v>
      </c>
      <c r="P319" s="77">
        <f t="shared" si="26"/>
        <v>1.9294189257142926</v>
      </c>
      <c r="Q319" s="75">
        <v>32.299999999999997</v>
      </c>
      <c r="R319" s="78">
        <f t="shared" si="27"/>
        <v>1.5092025223311027</v>
      </c>
      <c r="S319" s="76">
        <v>40.040400531970803</v>
      </c>
      <c r="T319" s="184">
        <f t="shared" si="28"/>
        <v>1.6024984131617945</v>
      </c>
      <c r="U319">
        <v>2.1189299069938092E-2</v>
      </c>
      <c r="V319" s="74">
        <v>3</v>
      </c>
      <c r="W319" s="137">
        <f t="shared" si="29"/>
        <v>0.47712125471966244</v>
      </c>
    </row>
    <row r="320" spans="1:23" x14ac:dyDescent="0.35">
      <c r="A320" s="77" t="s">
        <v>1036</v>
      </c>
      <c r="B320" s="77" t="s">
        <v>163</v>
      </c>
      <c r="C320">
        <v>5</v>
      </c>
      <c r="D320" s="161">
        <v>7.9030899869919438</v>
      </c>
      <c r="E320" s="161">
        <v>1.4931506849315068</v>
      </c>
      <c r="F320" s="161">
        <f t="shared" si="24"/>
        <v>0.17410363782016772</v>
      </c>
      <c r="G320">
        <v>3.7899753459779522</v>
      </c>
      <c r="H320">
        <v>0.84509804001425681</v>
      </c>
      <c r="I320" s="72">
        <v>3.18</v>
      </c>
      <c r="J320" s="183">
        <f t="shared" si="25"/>
        <v>0.50242711998443268</v>
      </c>
      <c r="K320">
        <v>-0.68983793479554678</v>
      </c>
      <c r="L320">
        <v>3.4269037046073545</v>
      </c>
      <c r="M320" s="137">
        <v>3.857855755812408</v>
      </c>
      <c r="N320">
        <v>2.7670321178317625</v>
      </c>
      <c r="O320" s="77">
        <v>70</v>
      </c>
      <c r="P320" s="77">
        <f t="shared" si="26"/>
        <v>1.8450980400142569</v>
      </c>
      <c r="Q320" s="78">
        <v>42.4</v>
      </c>
      <c r="R320" s="78">
        <f t="shared" si="27"/>
        <v>1.6273658565927327</v>
      </c>
      <c r="S320" s="79">
        <v>52.984855215816303</v>
      </c>
      <c r="T320" s="184">
        <f t="shared" si="28"/>
        <v>1.7241517519382803</v>
      </c>
      <c r="U320">
        <v>4.1392685158225077E-2</v>
      </c>
      <c r="V320" s="77">
        <v>17</v>
      </c>
      <c r="W320" s="137">
        <f t="shared" si="29"/>
        <v>1.2304489213782739</v>
      </c>
    </row>
    <row r="321" spans="1:23" x14ac:dyDescent="0.35">
      <c r="A321" s="74" t="s">
        <v>1039</v>
      </c>
      <c r="B321" s="74" t="s">
        <v>2</v>
      </c>
      <c r="C321">
        <v>9</v>
      </c>
      <c r="D321" s="161">
        <v>8.5440680443502757</v>
      </c>
      <c r="E321" s="161">
        <v>7.4821917808219176</v>
      </c>
      <c r="F321" s="161">
        <f t="shared" si="24"/>
        <v>0.87402883568325862</v>
      </c>
      <c r="G321">
        <v>3.8335760926148099</v>
      </c>
      <c r="H321">
        <v>0</v>
      </c>
      <c r="I321" s="73">
        <v>2.85</v>
      </c>
      <c r="J321" s="183">
        <f t="shared" si="25"/>
        <v>0.45484486000851021</v>
      </c>
      <c r="K321">
        <v>-0.29039087892735133</v>
      </c>
      <c r="L321">
        <v>3.4269037046073545</v>
      </c>
      <c r="M321" s="137">
        <v>3.857855755812408</v>
      </c>
      <c r="N321">
        <v>2.9138138523837167</v>
      </c>
      <c r="O321" s="74">
        <v>89.9</v>
      </c>
      <c r="P321" s="77">
        <f t="shared" si="26"/>
        <v>1.9537596917332287</v>
      </c>
      <c r="Q321" s="75">
        <v>35.4</v>
      </c>
      <c r="R321" s="78">
        <f t="shared" si="27"/>
        <v>1.5490032620257879</v>
      </c>
      <c r="S321" s="76">
        <v>43.572845019400901</v>
      </c>
      <c r="T321" s="184">
        <f t="shared" si="28"/>
        <v>1.6392159174268797</v>
      </c>
      <c r="U321">
        <v>0.16731733474817609</v>
      </c>
      <c r="V321" s="74">
        <v>21</v>
      </c>
      <c r="W321" s="137">
        <f t="shared" si="29"/>
        <v>1.3222192947339193</v>
      </c>
    </row>
    <row r="322" spans="1:23" x14ac:dyDescent="0.35">
      <c r="A322" s="77" t="s">
        <v>1041</v>
      </c>
      <c r="B322" s="77" t="s">
        <v>489</v>
      </c>
      <c r="C322">
        <v>9</v>
      </c>
      <c r="D322" s="161">
        <v>8.1139433523068369</v>
      </c>
      <c r="E322" s="161">
        <v>8.3890410958904109</v>
      </c>
      <c r="F322" s="161">
        <f t="shared" si="24"/>
        <v>0.92371232190576746</v>
      </c>
      <c r="G322">
        <v>3.8229763963637051</v>
      </c>
      <c r="H322">
        <v>1.6232492903979006</v>
      </c>
      <c r="I322" s="72">
        <v>3.03</v>
      </c>
      <c r="J322" s="183">
        <f t="shared" si="25"/>
        <v>0.48144262850230496</v>
      </c>
      <c r="K322">
        <v>0.39755231136672903</v>
      </c>
      <c r="L322">
        <v>3.1611681223374744</v>
      </c>
      <c r="M322" s="137">
        <v>3.6619163036888955</v>
      </c>
      <c r="N322">
        <v>2.7113853790984517</v>
      </c>
      <c r="O322" s="77">
        <v>70</v>
      </c>
      <c r="P322" s="77">
        <f t="shared" si="26"/>
        <v>1.8450980400142569</v>
      </c>
      <c r="Q322" s="78">
        <v>26.36</v>
      </c>
      <c r="R322" s="78">
        <f t="shared" si="27"/>
        <v>1.4209454059219722</v>
      </c>
      <c r="S322" s="79">
        <v>49.329709120205997</v>
      </c>
      <c r="T322" s="184">
        <f t="shared" si="28"/>
        <v>1.6931085545892062</v>
      </c>
      <c r="U322">
        <v>0.12057393120584989</v>
      </c>
      <c r="V322" s="77">
        <v>14</v>
      </c>
      <c r="W322" s="137">
        <f t="shared" si="29"/>
        <v>1.146128035678238</v>
      </c>
    </row>
    <row r="323" spans="1:23" x14ac:dyDescent="0.35">
      <c r="A323" s="74" t="s">
        <v>1045</v>
      </c>
      <c r="B323" s="74" t="s">
        <v>434</v>
      </c>
      <c r="C323">
        <v>6</v>
      </c>
      <c r="D323" s="161">
        <v>7.6720978579357171</v>
      </c>
      <c r="E323" s="161">
        <v>3.4</v>
      </c>
      <c r="F323" s="161">
        <f t="shared" ref="F323:F351" si="30">LOG(E323)</f>
        <v>0.53147891704225514</v>
      </c>
      <c r="G323">
        <v>3.8584156743566731</v>
      </c>
      <c r="H323">
        <v>1.3979400086720377</v>
      </c>
      <c r="I323" s="73">
        <v>2.66</v>
      </c>
      <c r="J323" s="183">
        <f t="shared" ref="J323:J351" si="31">LOG(I323)</f>
        <v>0.42488163663106698</v>
      </c>
      <c r="K323">
        <v>0.5831746471675886</v>
      </c>
      <c r="L323">
        <v>3.792430514795639</v>
      </c>
      <c r="M323" s="137">
        <v>3.5446460310848829</v>
      </c>
      <c r="N323">
        <v>2.8134697878296753</v>
      </c>
      <c r="O323" s="74">
        <v>76.900000000000006</v>
      </c>
      <c r="P323" s="77">
        <f t="shared" ref="P323:P351" si="32">LOG(O323)</f>
        <v>1.885926339801431</v>
      </c>
      <c r="Q323" s="75">
        <v>44.05</v>
      </c>
      <c r="R323" s="78">
        <f t="shared" ref="R323:R351" si="33">LOG(Q323)</f>
        <v>1.6439459127480667</v>
      </c>
      <c r="S323" s="76">
        <v>51.064530698041601</v>
      </c>
      <c r="T323" s="184">
        <f t="shared" ref="T323:T351" si="34">LOG(S323)</f>
        <v>1.7081193449348573</v>
      </c>
      <c r="U323">
        <v>0.11727129565576427</v>
      </c>
      <c r="V323" s="74">
        <v>12</v>
      </c>
      <c r="W323" s="137">
        <f t="shared" ref="W323:W351" si="35">IF(V323=0,0,LOG(V323))</f>
        <v>1.0791812460476249</v>
      </c>
    </row>
    <row r="324" spans="1:23" x14ac:dyDescent="0.35">
      <c r="A324" s="77" t="s">
        <v>1050</v>
      </c>
      <c r="B324" s="77" t="s">
        <v>4</v>
      </c>
      <c r="C324">
        <v>5</v>
      </c>
      <c r="D324" s="161">
        <v>8.5159051925510969</v>
      </c>
      <c r="E324" s="161">
        <v>14.665753424657535</v>
      </c>
      <c r="F324" s="161">
        <f t="shared" si="30"/>
        <v>1.1663043789269569</v>
      </c>
      <c r="G324">
        <v>3.8219626565950726</v>
      </c>
      <c r="H324">
        <v>1.954242509439325</v>
      </c>
      <c r="I324" s="72">
        <v>3.03</v>
      </c>
      <c r="J324" s="183">
        <f t="shared" si="31"/>
        <v>0.48144262850230496</v>
      </c>
      <c r="K324">
        <v>-2.9999301058829555E-2</v>
      </c>
      <c r="L324">
        <v>3.4646002676582905</v>
      </c>
      <c r="M324" s="137">
        <v>3.9695495619878729</v>
      </c>
      <c r="N324">
        <v>2.9079485216122722</v>
      </c>
      <c r="O324" s="77">
        <v>70</v>
      </c>
      <c r="P324" s="77">
        <f t="shared" si="32"/>
        <v>1.8450980400142569</v>
      </c>
      <c r="Q324" s="78">
        <v>45.2</v>
      </c>
      <c r="R324" s="78">
        <f t="shared" si="33"/>
        <v>1.6551384348113822</v>
      </c>
      <c r="S324" s="79">
        <v>53.8530722517336</v>
      </c>
      <c r="T324" s="184">
        <f t="shared" si="34"/>
        <v>1.7312104843083773</v>
      </c>
      <c r="U324">
        <v>0.34635297445063856</v>
      </c>
      <c r="V324" s="77">
        <v>7</v>
      </c>
      <c r="W324" s="137">
        <f t="shared" si="35"/>
        <v>0.84509804001425681</v>
      </c>
    </row>
    <row r="325" spans="1:23" x14ac:dyDescent="0.35">
      <c r="A325" s="96" t="s">
        <v>1052</v>
      </c>
      <c r="B325" s="74" t="s">
        <v>2</v>
      </c>
      <c r="C325">
        <v>9</v>
      </c>
      <c r="D325" s="161">
        <v>7.8061799739838875</v>
      </c>
      <c r="E325" s="161">
        <v>2.9753424657534246</v>
      </c>
      <c r="F325" s="161">
        <f t="shared" si="30"/>
        <v>0.47353696079635343</v>
      </c>
      <c r="G325">
        <v>3.8335760926148099</v>
      </c>
      <c r="H325">
        <v>0.3010299956639812</v>
      </c>
      <c r="I325" s="73">
        <v>2.85</v>
      </c>
      <c r="J325" s="183">
        <f t="shared" si="31"/>
        <v>0.45484486000851021</v>
      </c>
      <c r="K325">
        <v>0.59470324156447552</v>
      </c>
      <c r="L325">
        <v>3.3900400165248765</v>
      </c>
      <c r="M325" s="137">
        <v>3.8670608679422993</v>
      </c>
      <c r="N325">
        <v>2.9138138523837167</v>
      </c>
      <c r="O325" s="74">
        <v>88.2</v>
      </c>
      <c r="P325" s="77">
        <f t="shared" si="32"/>
        <v>1.9454685851318196</v>
      </c>
      <c r="Q325" s="75">
        <v>37</v>
      </c>
      <c r="R325" s="78">
        <f t="shared" si="33"/>
        <v>1.568201724066995</v>
      </c>
      <c r="S325" s="76">
        <v>43.709255262622698</v>
      </c>
      <c r="T325" s="184">
        <f t="shared" si="34"/>
        <v>1.6405734068536693</v>
      </c>
      <c r="U325">
        <v>0.11058971029924898</v>
      </c>
      <c r="V325" s="74">
        <v>43</v>
      </c>
      <c r="W325" s="137">
        <f t="shared" si="35"/>
        <v>1.6334684555795864</v>
      </c>
    </row>
    <row r="326" spans="1:23" x14ac:dyDescent="0.35">
      <c r="A326" s="77" t="s">
        <v>1055</v>
      </c>
      <c r="B326" s="77" t="s">
        <v>163</v>
      </c>
      <c r="C326">
        <v>5</v>
      </c>
      <c r="D326" s="161">
        <v>7.461948495203762</v>
      </c>
      <c r="E326" s="161">
        <v>5.087671232876712</v>
      </c>
      <c r="F326" s="161">
        <f t="shared" si="30"/>
        <v>0.70651903928330573</v>
      </c>
      <c r="G326">
        <v>3.7899753459779522</v>
      </c>
      <c r="H326">
        <v>2.3961993470957363</v>
      </c>
      <c r="I326" s="72">
        <v>3.18</v>
      </c>
      <c r="J326" s="183">
        <f t="shared" si="31"/>
        <v>0.50242711998443268</v>
      </c>
      <c r="K326">
        <v>0.75379478743384321</v>
      </c>
      <c r="L326">
        <v>3.4625325554497</v>
      </c>
      <c r="M326" s="137">
        <v>3.6240114106526287</v>
      </c>
      <c r="N326">
        <v>2.7670321178317625</v>
      </c>
      <c r="O326" s="77">
        <v>83.7</v>
      </c>
      <c r="P326" s="77">
        <f t="shared" si="32"/>
        <v>1.92272545799326</v>
      </c>
      <c r="Q326" s="78">
        <v>44.4</v>
      </c>
      <c r="R326" s="78">
        <f t="shared" si="33"/>
        <v>1.6473829701146199</v>
      </c>
      <c r="S326" s="79">
        <v>57.107272870025099</v>
      </c>
      <c r="T326" s="184">
        <f t="shared" si="34"/>
        <v>1.7566914211387032</v>
      </c>
      <c r="U326">
        <v>0.24054924828259971</v>
      </c>
      <c r="V326" s="77">
        <v>23</v>
      </c>
      <c r="W326" s="137">
        <f t="shared" si="35"/>
        <v>1.3617278360175928</v>
      </c>
    </row>
    <row r="327" spans="1:23" x14ac:dyDescent="0.35">
      <c r="A327" s="74" t="s">
        <v>1023</v>
      </c>
      <c r="B327" s="74" t="s">
        <v>59</v>
      </c>
      <c r="C327">
        <v>9</v>
      </c>
      <c r="D327" s="161">
        <v>8.2304489213782741</v>
      </c>
      <c r="E327" s="161">
        <v>4.3506849315068497</v>
      </c>
      <c r="F327" s="161">
        <f t="shared" si="30"/>
        <v>0.63855763363460283</v>
      </c>
      <c r="G327">
        <v>3.7707754512906644</v>
      </c>
      <c r="H327">
        <v>1.3617278360175928</v>
      </c>
      <c r="I327" s="73">
        <v>2.3199999999999998</v>
      </c>
      <c r="J327" s="183">
        <f t="shared" si="31"/>
        <v>0.36548798489089962</v>
      </c>
      <c r="K327">
        <v>0.24667233334138849</v>
      </c>
      <c r="L327">
        <v>3.5314789170422549</v>
      </c>
      <c r="M327" s="137">
        <v>3.9474994335880176</v>
      </c>
      <c r="N327">
        <v>2.1238516409670858</v>
      </c>
      <c r="O327" s="74">
        <v>90.8</v>
      </c>
      <c r="P327" s="77">
        <f t="shared" si="32"/>
        <v>1.958085848521085</v>
      </c>
      <c r="Q327" s="75">
        <v>32.299999999999997</v>
      </c>
      <c r="R327" s="78">
        <f t="shared" si="33"/>
        <v>1.5092025223311027</v>
      </c>
      <c r="S327" s="76">
        <v>44.4007960521485</v>
      </c>
      <c r="T327" s="184">
        <f t="shared" si="34"/>
        <v>1.6473907565550749</v>
      </c>
      <c r="U327">
        <v>4.1392685158225077E-2</v>
      </c>
      <c r="V327" s="74">
        <v>15</v>
      </c>
      <c r="W327" s="137">
        <f t="shared" si="35"/>
        <v>1.1760912590556813</v>
      </c>
    </row>
    <row r="328" spans="1:23" x14ac:dyDescent="0.35">
      <c r="A328" s="77" t="s">
        <v>1059</v>
      </c>
      <c r="B328" s="77" t="s">
        <v>5</v>
      </c>
      <c r="C328">
        <v>3</v>
      </c>
      <c r="D328" s="161">
        <v>8.3408405498123308</v>
      </c>
      <c r="E328" s="161">
        <v>5.0383561643835613</v>
      </c>
      <c r="F328" s="161">
        <f t="shared" si="30"/>
        <v>0.70228886478160268</v>
      </c>
      <c r="G328">
        <v>3.7916829312790057</v>
      </c>
      <c r="H328">
        <v>0.77815125038364363</v>
      </c>
      <c r="I328" s="72">
        <v>2.72</v>
      </c>
      <c r="J328" s="183">
        <f t="shared" si="31"/>
        <v>0.43456890403419873</v>
      </c>
      <c r="K328">
        <v>-0.15050885164204009</v>
      </c>
      <c r="L328">
        <v>3.1630287862164392</v>
      </c>
      <c r="M328" s="137">
        <v>3.8199093495153855</v>
      </c>
      <c r="N328">
        <v>3.0355631414974997</v>
      </c>
      <c r="O328" s="77">
        <v>83</v>
      </c>
      <c r="P328" s="77">
        <f t="shared" si="32"/>
        <v>1.919078092376074</v>
      </c>
      <c r="Q328" s="78">
        <v>36.1</v>
      </c>
      <c r="R328" s="78">
        <f t="shared" si="33"/>
        <v>1.5575072019056579</v>
      </c>
      <c r="S328" s="79">
        <v>46.521758221126703</v>
      </c>
      <c r="T328" s="184">
        <f t="shared" si="34"/>
        <v>1.6676561198849535</v>
      </c>
      <c r="U328">
        <v>0.22271647114758325</v>
      </c>
      <c r="V328" s="77">
        <v>12</v>
      </c>
      <c r="W328" s="137">
        <f t="shared" si="35"/>
        <v>1.0791812460476249</v>
      </c>
    </row>
    <row r="329" spans="1:23" x14ac:dyDescent="0.35">
      <c r="A329" s="74" t="s">
        <v>1062</v>
      </c>
      <c r="B329" s="74" t="s">
        <v>2</v>
      </c>
      <c r="C329">
        <v>8</v>
      </c>
      <c r="D329" s="161">
        <v>9.0863598306747484</v>
      </c>
      <c r="E329" s="161">
        <v>2.0767123287671234</v>
      </c>
      <c r="F329" s="161">
        <f t="shared" si="30"/>
        <v>0.31737634117557884</v>
      </c>
      <c r="G329">
        <v>3.8335760926148099</v>
      </c>
      <c r="H329">
        <v>2</v>
      </c>
      <c r="I329" s="73">
        <v>2.85</v>
      </c>
      <c r="J329" s="183">
        <f t="shared" si="31"/>
        <v>0.45484486000851021</v>
      </c>
      <c r="K329">
        <v>-0.36768611887009245</v>
      </c>
      <c r="L329">
        <v>3.1630287862164392</v>
      </c>
      <c r="M329" s="137">
        <v>3.8199093495153855</v>
      </c>
      <c r="N329">
        <v>2.9138138523837167</v>
      </c>
      <c r="O329" s="74">
        <v>70</v>
      </c>
      <c r="P329" s="77">
        <f t="shared" si="32"/>
        <v>1.8450980400142569</v>
      </c>
      <c r="Q329" s="75">
        <v>33.9</v>
      </c>
      <c r="R329" s="78">
        <f t="shared" si="33"/>
        <v>1.5301996982030821</v>
      </c>
      <c r="S329" s="76">
        <v>46.200073016176603</v>
      </c>
      <c r="T329" s="184">
        <f t="shared" si="34"/>
        <v>1.664642661930531</v>
      </c>
      <c r="U329">
        <v>9.3421685162235063E-2</v>
      </c>
      <c r="V329" s="74">
        <v>4</v>
      </c>
      <c r="W329" s="137">
        <f t="shared" si="35"/>
        <v>0.6020599913279624</v>
      </c>
    </row>
    <row r="330" spans="1:23" x14ac:dyDescent="0.35">
      <c r="A330" s="96" t="s">
        <v>1064</v>
      </c>
      <c r="B330" s="77" t="s">
        <v>447</v>
      </c>
      <c r="C330">
        <v>6</v>
      </c>
      <c r="D330" s="161">
        <v>7.9965116721541785</v>
      </c>
      <c r="E330" s="161">
        <v>2.419178082191781</v>
      </c>
      <c r="F330" s="161">
        <f t="shared" si="30"/>
        <v>0.38366783912109392</v>
      </c>
      <c r="G330">
        <v>3.7845345619950592</v>
      </c>
      <c r="H330">
        <v>1.3424226808222062</v>
      </c>
      <c r="I330" s="72">
        <v>2.81</v>
      </c>
      <c r="J330" s="183">
        <f t="shared" si="31"/>
        <v>0.44870631990507992</v>
      </c>
      <c r="K330">
        <v>0.66216735642827007</v>
      </c>
      <c r="L330">
        <v>3.3779512479807074</v>
      </c>
      <c r="M330" s="137">
        <v>3.7669888618571257</v>
      </c>
      <c r="N330">
        <v>2.9168924084376502</v>
      </c>
      <c r="O330" s="77">
        <v>70</v>
      </c>
      <c r="P330" s="77">
        <f t="shared" si="32"/>
        <v>1.8450980400142569</v>
      </c>
      <c r="Q330" s="78">
        <v>32.840000000000003</v>
      </c>
      <c r="R330" s="78">
        <f t="shared" si="33"/>
        <v>1.5164031484474032</v>
      </c>
      <c r="S330" s="79">
        <v>38.458217540970502</v>
      </c>
      <c r="T330" s="184">
        <f t="shared" si="34"/>
        <v>1.5849891517157813</v>
      </c>
      <c r="U330">
        <v>-1.322826573375516E-2</v>
      </c>
      <c r="V330" s="77">
        <v>70</v>
      </c>
      <c r="W330" s="137">
        <f t="shared" si="35"/>
        <v>1.8450980400142569</v>
      </c>
    </row>
    <row r="331" spans="1:23" x14ac:dyDescent="0.35">
      <c r="A331" s="74" t="s">
        <v>1067</v>
      </c>
      <c r="B331" s="74" t="s">
        <v>447</v>
      </c>
      <c r="C331">
        <v>5</v>
      </c>
      <c r="D331" s="161">
        <v>8.6005481897240834</v>
      </c>
      <c r="E331" s="161">
        <v>9.1452054794520556</v>
      </c>
      <c r="F331" s="161">
        <f t="shared" si="30"/>
        <v>0.96119346788675319</v>
      </c>
      <c r="G331">
        <v>3.7845345619950592</v>
      </c>
      <c r="H331">
        <v>1.2041199826559248</v>
      </c>
      <c r="I331" s="73">
        <v>2.81</v>
      </c>
      <c r="J331" s="183">
        <f t="shared" si="31"/>
        <v>0.44870631990507992</v>
      </c>
      <c r="K331">
        <v>0.34733625860207795</v>
      </c>
      <c r="L331">
        <v>3.3779512479807074</v>
      </c>
      <c r="M331" s="137">
        <v>3.7669888618571257</v>
      </c>
      <c r="N331">
        <v>2.9168924084376502</v>
      </c>
      <c r="O331" s="74">
        <v>70</v>
      </c>
      <c r="P331" s="77">
        <f t="shared" si="32"/>
        <v>1.8450980400142569</v>
      </c>
      <c r="Q331" s="75">
        <v>33.08</v>
      </c>
      <c r="R331" s="78">
        <f t="shared" si="33"/>
        <v>1.5195655008805091</v>
      </c>
      <c r="S331" s="76">
        <v>39.934142779262203</v>
      </c>
      <c r="T331" s="184">
        <f t="shared" si="34"/>
        <v>1.6013443663637854</v>
      </c>
      <c r="U331">
        <v>3.7426497940623665E-2</v>
      </c>
      <c r="V331" s="74">
        <v>68</v>
      </c>
      <c r="W331" s="137">
        <f t="shared" si="35"/>
        <v>1.8325089127062364</v>
      </c>
    </row>
    <row r="332" spans="1:23" x14ac:dyDescent="0.35">
      <c r="A332" s="77" t="s">
        <v>1070</v>
      </c>
      <c r="B332" s="77" t="s">
        <v>2</v>
      </c>
      <c r="C332">
        <v>5</v>
      </c>
      <c r="D332" s="161">
        <v>8.7781512503836439</v>
      </c>
      <c r="E332" s="161">
        <v>2.1643835616438358</v>
      </c>
      <c r="F332" s="161">
        <f t="shared" si="30"/>
        <v>0.33533422683396674</v>
      </c>
      <c r="G332">
        <v>3.8335760926148099</v>
      </c>
      <c r="H332">
        <v>0.95424250943932487</v>
      </c>
      <c r="I332" s="72">
        <v>2.85</v>
      </c>
      <c r="J332" s="183">
        <f t="shared" si="31"/>
        <v>0.45484486000851021</v>
      </c>
      <c r="K332">
        <v>-1.6531584835935944E-2</v>
      </c>
      <c r="L332">
        <v>3.3779512479807074</v>
      </c>
      <c r="M332" s="137">
        <v>3.7669888618571257</v>
      </c>
      <c r="N332">
        <v>2.9138138523837167</v>
      </c>
      <c r="O332" s="77">
        <v>89.9</v>
      </c>
      <c r="P332" s="77">
        <f t="shared" si="32"/>
        <v>1.9537596917332287</v>
      </c>
      <c r="Q332" s="78">
        <v>35.4</v>
      </c>
      <c r="R332" s="78">
        <f t="shared" si="33"/>
        <v>1.5490032620257879</v>
      </c>
      <c r="S332" s="79">
        <v>43.572845019400901</v>
      </c>
      <c r="T332" s="184">
        <f t="shared" si="34"/>
        <v>1.6392159174268797</v>
      </c>
      <c r="U332">
        <v>-9.1514981121350217E-2</v>
      </c>
      <c r="V332" s="77">
        <v>77</v>
      </c>
      <c r="W332" s="137">
        <f t="shared" si="35"/>
        <v>1.8864907251724818</v>
      </c>
    </row>
    <row r="333" spans="1:23" x14ac:dyDescent="0.35">
      <c r="A333" s="74" t="s">
        <v>1071</v>
      </c>
      <c r="B333" s="74" t="s">
        <v>163</v>
      </c>
      <c r="C333">
        <v>5</v>
      </c>
      <c r="D333" s="161">
        <v>8.0413926851582254</v>
      </c>
      <c r="E333" s="161">
        <v>4.3698630136986303</v>
      </c>
      <c r="F333" s="161">
        <f t="shared" si="30"/>
        <v>0.64046782293672522</v>
      </c>
      <c r="G333">
        <v>3.7899753459779522</v>
      </c>
      <c r="H333">
        <v>2.1003705451175629</v>
      </c>
      <c r="I333" s="73">
        <v>3.18</v>
      </c>
      <c r="J333" s="183">
        <f t="shared" si="31"/>
        <v>0.50242711998443268</v>
      </c>
      <c r="K333">
        <v>-0.32057210338788111</v>
      </c>
      <c r="L333">
        <v>3.2986404739170001</v>
      </c>
      <c r="M333" s="137">
        <v>3.7777539086524472</v>
      </c>
      <c r="N333">
        <v>2.7670321178317625</v>
      </c>
      <c r="O333" s="74">
        <v>88</v>
      </c>
      <c r="P333" s="77">
        <f t="shared" si="32"/>
        <v>1.9444826721501687</v>
      </c>
      <c r="Q333" s="75">
        <v>43.3</v>
      </c>
      <c r="R333" s="78">
        <f t="shared" si="33"/>
        <v>1.6364878963533653</v>
      </c>
      <c r="S333" s="76">
        <v>52.875711995394298</v>
      </c>
      <c r="T333" s="184">
        <f t="shared" si="34"/>
        <v>1.7232562283942385</v>
      </c>
      <c r="U333">
        <v>-4.3648054024500883E-3</v>
      </c>
      <c r="V333" s="74">
        <v>4</v>
      </c>
      <c r="W333" s="137">
        <f t="shared" si="35"/>
        <v>0.6020599913279624</v>
      </c>
    </row>
    <row r="334" spans="1:23" x14ac:dyDescent="0.35">
      <c r="A334" s="96" t="s">
        <v>1073</v>
      </c>
      <c r="B334" s="77" t="s">
        <v>7</v>
      </c>
      <c r="C334">
        <v>6</v>
      </c>
      <c r="D334" s="161">
        <v>8.7403626894942441</v>
      </c>
      <c r="E334" s="161">
        <v>4.0602739726027401</v>
      </c>
      <c r="F334" s="161">
        <f t="shared" si="30"/>
        <v>0.60855533918683469</v>
      </c>
      <c r="G334">
        <v>3.8052737966880943</v>
      </c>
      <c r="H334">
        <v>0.3010299956639812</v>
      </c>
      <c r="I334" s="72">
        <v>2.99</v>
      </c>
      <c r="J334" s="183">
        <f t="shared" si="31"/>
        <v>0.47567118832442967</v>
      </c>
      <c r="K334">
        <v>6.7848283429978257E-2</v>
      </c>
      <c r="L334">
        <v>3.2986404739170001</v>
      </c>
      <c r="M334" s="137">
        <v>3.7777539086524472</v>
      </c>
      <c r="N334">
        <v>2.8414637553591628</v>
      </c>
      <c r="O334" s="77">
        <v>85</v>
      </c>
      <c r="P334" s="77">
        <f t="shared" si="32"/>
        <v>1.9294189257142926</v>
      </c>
      <c r="Q334" s="78">
        <v>37.4</v>
      </c>
      <c r="R334" s="78">
        <f t="shared" si="33"/>
        <v>1.5728716022004801</v>
      </c>
      <c r="S334" s="79">
        <v>41.359233027230303</v>
      </c>
      <c r="T334" s="184">
        <f t="shared" si="34"/>
        <v>1.6165724765285823</v>
      </c>
      <c r="U334">
        <v>7.1882007306125359E-2</v>
      </c>
      <c r="V334" s="77">
        <v>152</v>
      </c>
      <c r="W334" s="137">
        <f t="shared" si="35"/>
        <v>2.1818435879447726</v>
      </c>
    </row>
    <row r="335" spans="1:23" x14ac:dyDescent="0.35">
      <c r="A335" s="74" t="s">
        <v>1076</v>
      </c>
      <c r="B335" s="74" t="s">
        <v>163</v>
      </c>
      <c r="C335">
        <v>7</v>
      </c>
      <c r="D335" s="161">
        <v>8.6220274124582019</v>
      </c>
      <c r="E335" s="161">
        <v>4.7589041095890412</v>
      </c>
      <c r="F335" s="161">
        <f t="shared" si="30"/>
        <v>0.67750695399062388</v>
      </c>
      <c r="G335">
        <v>3.7899753459779522</v>
      </c>
      <c r="H335">
        <v>0</v>
      </c>
      <c r="I335" s="73">
        <v>3.18</v>
      </c>
      <c r="J335" s="183">
        <f t="shared" si="31"/>
        <v>0.50242711998443268</v>
      </c>
      <c r="K335">
        <v>0.21048150024803425</v>
      </c>
      <c r="L335">
        <v>3.1948131122613166</v>
      </c>
      <c r="M335" s="137">
        <v>3.8305239132290598</v>
      </c>
      <c r="N335">
        <v>2.7670321178317625</v>
      </c>
      <c r="O335" s="74">
        <v>88</v>
      </c>
      <c r="P335" s="77">
        <f t="shared" si="32"/>
        <v>1.9444826721501687</v>
      </c>
      <c r="Q335" s="75">
        <v>43.3</v>
      </c>
      <c r="R335" s="78">
        <f t="shared" si="33"/>
        <v>1.6364878963533653</v>
      </c>
      <c r="S335" s="76">
        <v>52.875711995394298</v>
      </c>
      <c r="T335" s="184">
        <f t="shared" si="34"/>
        <v>1.7232562283942385</v>
      </c>
      <c r="U335">
        <v>-1.7728766960431602E-2</v>
      </c>
      <c r="V335" s="74">
        <v>0</v>
      </c>
      <c r="W335" s="137">
        <f t="shared" si="35"/>
        <v>0</v>
      </c>
    </row>
    <row r="336" spans="1:23" x14ac:dyDescent="0.35">
      <c r="A336" s="77" t="s">
        <v>1097</v>
      </c>
      <c r="B336" s="77" t="s">
        <v>2</v>
      </c>
      <c r="C336">
        <v>1</v>
      </c>
      <c r="D336" s="161">
        <v>8.1613680022349744</v>
      </c>
      <c r="E336" s="161">
        <v>2.3890410958904109</v>
      </c>
      <c r="F336" s="161">
        <f t="shared" si="30"/>
        <v>0.37822362047609248</v>
      </c>
      <c r="G336">
        <v>2.9629325585580042</v>
      </c>
      <c r="H336">
        <v>1.7781512503836436</v>
      </c>
      <c r="I336" s="72">
        <v>3.5</v>
      </c>
      <c r="J336" s="183">
        <f t="shared" si="31"/>
        <v>0.54406804435027567</v>
      </c>
      <c r="K336">
        <v>0.23657200643706269</v>
      </c>
      <c r="L336">
        <v>3.359479897098526</v>
      </c>
      <c r="M336" s="137">
        <v>3.9336135634448146</v>
      </c>
      <c r="N336">
        <v>2.9323046139517808</v>
      </c>
      <c r="O336" s="77">
        <v>90.3</v>
      </c>
      <c r="P336" s="77">
        <f t="shared" si="32"/>
        <v>1.9556877503135057</v>
      </c>
      <c r="Q336" s="78">
        <v>36.1</v>
      </c>
      <c r="R336" s="78">
        <f t="shared" si="33"/>
        <v>1.5575072019056579</v>
      </c>
      <c r="S336" s="79">
        <v>47.576210837790804</v>
      </c>
      <c r="T336" s="184">
        <f t="shared" si="34"/>
        <v>1.6773898501062838</v>
      </c>
      <c r="U336">
        <v>7.1882007306125359E-2</v>
      </c>
      <c r="V336" s="77">
        <v>12</v>
      </c>
      <c r="W336" s="137">
        <f t="shared" si="35"/>
        <v>1.0791812460476249</v>
      </c>
    </row>
    <row r="337" spans="1:23" x14ac:dyDescent="0.35">
      <c r="A337" s="97" t="s">
        <v>1100</v>
      </c>
      <c r="B337" s="74" t="s">
        <v>2</v>
      </c>
      <c r="C337">
        <v>5</v>
      </c>
      <c r="D337" s="161">
        <v>7.4802944600030061</v>
      </c>
      <c r="E337" s="161">
        <v>2.1808219178082191</v>
      </c>
      <c r="F337" s="161">
        <f t="shared" si="30"/>
        <v>0.3386202032811943</v>
      </c>
      <c r="G337">
        <v>2.9629325585580042</v>
      </c>
      <c r="H337">
        <v>1.3617278360175928</v>
      </c>
      <c r="I337" s="73">
        <v>3.5</v>
      </c>
      <c r="J337" s="183">
        <f t="shared" si="31"/>
        <v>0.54406804435027567</v>
      </c>
      <c r="K337">
        <v>-1</v>
      </c>
      <c r="L337">
        <v>3.359479897098526</v>
      </c>
      <c r="M337" s="137">
        <v>3.9336135634448146</v>
      </c>
      <c r="N337">
        <v>2.9323046139517808</v>
      </c>
      <c r="O337" s="74">
        <v>88.9</v>
      </c>
      <c r="P337" s="77">
        <f t="shared" si="32"/>
        <v>1.9489017609702137</v>
      </c>
      <c r="Q337" s="75">
        <v>34.9</v>
      </c>
      <c r="R337" s="78">
        <f t="shared" si="33"/>
        <v>1.5428254269591799</v>
      </c>
      <c r="S337" s="76">
        <v>42.817370475444001</v>
      </c>
      <c r="T337" s="184">
        <f t="shared" si="34"/>
        <v>1.6316199926391717</v>
      </c>
      <c r="U337">
        <v>-0.29242982390206362</v>
      </c>
      <c r="V337" s="74">
        <v>10</v>
      </c>
      <c r="W337" s="137">
        <f t="shared" si="35"/>
        <v>1</v>
      </c>
    </row>
    <row r="338" spans="1:23" x14ac:dyDescent="0.35">
      <c r="A338" s="77" t="s">
        <v>1141</v>
      </c>
      <c r="B338" s="77" t="s">
        <v>5</v>
      </c>
      <c r="C338">
        <v>9</v>
      </c>
      <c r="D338" s="161">
        <v>7.8588378514285857</v>
      </c>
      <c r="E338" s="161">
        <v>4</v>
      </c>
      <c r="F338" s="161">
        <f t="shared" si="30"/>
        <v>0.6020599913279624</v>
      </c>
      <c r="G338">
        <v>2.5542346870234227</v>
      </c>
      <c r="H338">
        <v>1.0791812460476249</v>
      </c>
      <c r="I338" s="72">
        <v>3.16</v>
      </c>
      <c r="J338" s="183">
        <f t="shared" si="31"/>
        <v>0.49968708261840383</v>
      </c>
      <c r="K338">
        <v>0.51850866474122814</v>
      </c>
      <c r="L338">
        <v>3.2555397552391718</v>
      </c>
      <c r="M338" s="137">
        <v>3.9251377713585649</v>
      </c>
      <c r="N338">
        <v>2.9876662649262746</v>
      </c>
      <c r="O338" s="77">
        <v>70</v>
      </c>
      <c r="P338" s="77">
        <f t="shared" si="32"/>
        <v>1.8450980400142569</v>
      </c>
      <c r="Q338" s="78">
        <v>36.9</v>
      </c>
      <c r="R338" s="78">
        <f t="shared" si="33"/>
        <v>1.5670263661590604</v>
      </c>
      <c r="S338" s="79">
        <v>42.177001683602199</v>
      </c>
      <c r="T338" s="184">
        <f t="shared" si="34"/>
        <v>1.6250757029864513</v>
      </c>
      <c r="U338">
        <v>-6.5501548756432285E-2</v>
      </c>
      <c r="V338" s="77">
        <v>16</v>
      </c>
      <c r="W338" s="137">
        <f t="shared" si="35"/>
        <v>1.2041199826559248</v>
      </c>
    </row>
    <row r="339" spans="1:23" x14ac:dyDescent="0.35">
      <c r="A339" s="74" t="s">
        <v>1184</v>
      </c>
      <c r="B339" s="74" t="s">
        <v>59</v>
      </c>
      <c r="C339">
        <v>9</v>
      </c>
      <c r="D339" s="161">
        <v>7.924279286061882</v>
      </c>
      <c r="E339" s="161">
        <v>1.263013698630137</v>
      </c>
      <c r="F339" s="161">
        <f t="shared" si="30"/>
        <v>0.10140806093317345</v>
      </c>
      <c r="G339">
        <v>3.7707754512906644</v>
      </c>
      <c r="H339">
        <v>1.2787536009528289</v>
      </c>
      <c r="I339" s="73">
        <v>2.3199999999999998</v>
      </c>
      <c r="J339" s="183">
        <f t="shared" si="31"/>
        <v>0.36548798489089962</v>
      </c>
      <c r="K339">
        <v>0.37675070960209955</v>
      </c>
      <c r="L339">
        <v>3.3885364494891754</v>
      </c>
      <c r="M339" s="137">
        <v>3.818148300254375</v>
      </c>
      <c r="N339">
        <v>2.1238516409670858</v>
      </c>
      <c r="O339" s="74">
        <v>91.5</v>
      </c>
      <c r="P339" s="77">
        <f t="shared" si="32"/>
        <v>1.9614210940664483</v>
      </c>
      <c r="Q339" s="75">
        <v>32.9</v>
      </c>
      <c r="R339" s="78">
        <f t="shared" si="33"/>
        <v>1.5171958979499742</v>
      </c>
      <c r="S339" s="76">
        <v>40.767390998852598</v>
      </c>
      <c r="T339" s="184">
        <f t="shared" si="34"/>
        <v>1.6103129186864549</v>
      </c>
      <c r="U339">
        <v>5.6904851336472641E-2</v>
      </c>
      <c r="V339" s="74">
        <v>38</v>
      </c>
      <c r="W339" s="137">
        <f t="shared" si="35"/>
        <v>1.5797835966168101</v>
      </c>
    </row>
    <row r="340" spans="1:23" x14ac:dyDescent="0.35">
      <c r="A340" s="77" t="s">
        <v>1186</v>
      </c>
      <c r="B340" s="77" t="s">
        <v>59</v>
      </c>
      <c r="C340">
        <v>5</v>
      </c>
      <c r="D340" s="161">
        <v>7.9637878273455556</v>
      </c>
      <c r="E340" s="161">
        <v>3.0712328767123287</v>
      </c>
      <c r="F340" s="161">
        <f t="shared" si="30"/>
        <v>0.48731274813849845</v>
      </c>
      <c r="G340">
        <v>3.7707754512906644</v>
      </c>
      <c r="H340">
        <v>1.1139433523068367</v>
      </c>
      <c r="I340" s="72">
        <v>2.3199999999999998</v>
      </c>
      <c r="J340" s="183">
        <f t="shared" si="31"/>
        <v>0.36548798489089962</v>
      </c>
      <c r="K340">
        <v>0.43439130751080973</v>
      </c>
      <c r="L340">
        <v>3.3885364494891754</v>
      </c>
      <c r="M340" s="137">
        <v>3.818148300254375</v>
      </c>
      <c r="N340">
        <v>2.1238516409670858</v>
      </c>
      <c r="O340" s="77">
        <v>85</v>
      </c>
      <c r="P340" s="77">
        <f t="shared" si="32"/>
        <v>1.9294189257142926</v>
      </c>
      <c r="Q340" s="78">
        <v>32.299999999999997</v>
      </c>
      <c r="R340" s="78">
        <f t="shared" si="33"/>
        <v>1.5092025223311027</v>
      </c>
      <c r="S340" s="79">
        <v>40.040400531970803</v>
      </c>
      <c r="T340" s="184">
        <f t="shared" si="34"/>
        <v>1.6024984131617945</v>
      </c>
      <c r="U340">
        <v>0.10720996964786837</v>
      </c>
      <c r="V340" s="77">
        <v>36</v>
      </c>
      <c r="W340" s="137">
        <f t="shared" si="35"/>
        <v>1.5563025007672873</v>
      </c>
    </row>
    <row r="341" spans="1:23" x14ac:dyDescent="0.35">
      <c r="A341" s="74" t="s">
        <v>1188</v>
      </c>
      <c r="B341" s="74" t="s">
        <v>59</v>
      </c>
      <c r="C341">
        <v>6</v>
      </c>
      <c r="D341" s="161">
        <v>7.690904554054967</v>
      </c>
      <c r="E341" s="161">
        <v>7.441095890410959</v>
      </c>
      <c r="F341" s="161">
        <f t="shared" si="30"/>
        <v>0.87163690115198933</v>
      </c>
      <c r="G341">
        <v>3.7707754512906644</v>
      </c>
      <c r="H341">
        <v>0.6020599913279624</v>
      </c>
      <c r="I341" s="73">
        <v>2.3199999999999998</v>
      </c>
      <c r="J341" s="183">
        <f t="shared" si="31"/>
        <v>0.36548798489089962</v>
      </c>
      <c r="K341">
        <v>0.41630541559290174</v>
      </c>
      <c r="L341">
        <v>3.3885364494891754</v>
      </c>
      <c r="M341" s="137">
        <v>3.818148300254375</v>
      </c>
      <c r="N341">
        <v>2.1238516409670858</v>
      </c>
      <c r="O341" s="74">
        <v>85</v>
      </c>
      <c r="P341" s="77">
        <f t="shared" si="32"/>
        <v>1.9294189257142926</v>
      </c>
      <c r="Q341" s="75">
        <v>31.3</v>
      </c>
      <c r="R341" s="78">
        <f t="shared" si="33"/>
        <v>1.4955443375464486</v>
      </c>
      <c r="S341" s="76">
        <v>38.7850112673514</v>
      </c>
      <c r="T341" s="184">
        <f t="shared" si="34"/>
        <v>1.5886639219461918</v>
      </c>
      <c r="U341">
        <v>9.691001300805642E-2</v>
      </c>
      <c r="V341" s="74">
        <v>35</v>
      </c>
      <c r="W341" s="137">
        <f t="shared" si="35"/>
        <v>1.5440680443502757</v>
      </c>
    </row>
    <row r="342" spans="1:23" x14ac:dyDescent="0.35">
      <c r="A342" s="77" t="s">
        <v>1190</v>
      </c>
      <c r="B342" s="77" t="s">
        <v>6</v>
      </c>
      <c r="C342">
        <v>2</v>
      </c>
      <c r="D342" s="161">
        <v>7.4381080904060948</v>
      </c>
      <c r="E342" s="161">
        <v>3.2301369863013698</v>
      </c>
      <c r="F342" s="161">
        <f t="shared" si="30"/>
        <v>0.50922094063861445</v>
      </c>
      <c r="G342">
        <v>3.7936074118204202</v>
      </c>
      <c r="H342">
        <v>1.4771212547196624</v>
      </c>
      <c r="I342" s="72">
        <v>2.92</v>
      </c>
      <c r="J342" s="183">
        <f t="shared" si="31"/>
        <v>0.46538285144841829</v>
      </c>
      <c r="K342">
        <v>0.83346575027523784</v>
      </c>
      <c r="L342">
        <v>3.3885364494891754</v>
      </c>
      <c r="M342" s="137">
        <v>3.818148300254375</v>
      </c>
      <c r="N342">
        <v>2.7370600539441581</v>
      </c>
      <c r="O342" s="77">
        <v>90.7</v>
      </c>
      <c r="P342" s="77">
        <f t="shared" si="32"/>
        <v>1.9576072870600953</v>
      </c>
      <c r="Q342" s="78">
        <v>44.8</v>
      </c>
      <c r="R342" s="78">
        <f t="shared" si="33"/>
        <v>1.651278013998144</v>
      </c>
      <c r="S342" s="79">
        <v>53.736888616883299</v>
      </c>
      <c r="T342" s="184">
        <f t="shared" si="34"/>
        <v>1.7302725170350541</v>
      </c>
      <c r="U342">
        <v>0.11727129565576427</v>
      </c>
      <c r="V342" s="77">
        <v>47</v>
      </c>
      <c r="W342" s="137">
        <f t="shared" si="35"/>
        <v>1.6720978579357175</v>
      </c>
    </row>
    <row r="343" spans="1:23" x14ac:dyDescent="0.35">
      <c r="A343" s="74" t="s">
        <v>1193</v>
      </c>
      <c r="B343" s="74" t="s">
        <v>447</v>
      </c>
      <c r="C343">
        <v>5</v>
      </c>
      <c r="D343" s="161">
        <v>8.1846914308175993</v>
      </c>
      <c r="E343" s="161">
        <v>3.7643835616438355</v>
      </c>
      <c r="F343" s="161">
        <f t="shared" si="30"/>
        <v>0.57569386826705693</v>
      </c>
      <c r="G343">
        <v>3.7845345619950592</v>
      </c>
      <c r="H343">
        <v>0.90308998699194354</v>
      </c>
      <c r="I343" s="73">
        <v>2.81</v>
      </c>
      <c r="J343" s="183">
        <f t="shared" si="31"/>
        <v>0.44870631990507992</v>
      </c>
      <c r="K343">
        <v>0.32679085780840267</v>
      </c>
      <c r="L343">
        <v>3.3885364494891754</v>
      </c>
      <c r="M343" s="137">
        <v>3.818148300254375</v>
      </c>
      <c r="N343">
        <v>2.9168924084376502</v>
      </c>
      <c r="O343" s="74">
        <v>78.7</v>
      </c>
      <c r="P343" s="77">
        <f t="shared" si="32"/>
        <v>1.8959747323590646</v>
      </c>
      <c r="Q343" s="75">
        <v>35.93</v>
      </c>
      <c r="R343" s="78">
        <f t="shared" si="33"/>
        <v>1.5554572172046495</v>
      </c>
      <c r="S343" s="76">
        <v>38.284221616827402</v>
      </c>
      <c r="T343" s="184">
        <f t="shared" si="34"/>
        <v>1.5830198215761455</v>
      </c>
      <c r="U343">
        <v>-9.1514981121350217E-2</v>
      </c>
      <c r="V343" s="74">
        <v>38</v>
      </c>
      <c r="W343" s="137">
        <f t="shared" si="35"/>
        <v>1.5797835966168101</v>
      </c>
    </row>
    <row r="344" spans="1:23" x14ac:dyDescent="0.35">
      <c r="A344" s="77" t="s">
        <v>1197</v>
      </c>
      <c r="B344" s="77" t="s">
        <v>434</v>
      </c>
      <c r="C344">
        <v>4</v>
      </c>
      <c r="D344" s="161">
        <v>9.0413926851582254</v>
      </c>
      <c r="E344" s="161">
        <v>2.3698630136986303</v>
      </c>
      <c r="F344" s="161">
        <f t="shared" si="30"/>
        <v>0.37472324300833953</v>
      </c>
      <c r="G344">
        <v>3.8584156743566731</v>
      </c>
      <c r="H344">
        <v>0.6020599913279624</v>
      </c>
      <c r="I344" s="72">
        <v>2.66</v>
      </c>
      <c r="J344" s="183">
        <f t="shared" si="31"/>
        <v>0.42488163663106698</v>
      </c>
      <c r="K344">
        <v>0.16408235158266582</v>
      </c>
      <c r="L344">
        <v>3.3885364494891754</v>
      </c>
      <c r="M344" s="137">
        <v>3.818148300254375</v>
      </c>
      <c r="N344">
        <v>2.8134697878296753</v>
      </c>
      <c r="O344" s="77">
        <v>77</v>
      </c>
      <c r="P344" s="77">
        <f t="shared" si="32"/>
        <v>1.8864907251724818</v>
      </c>
      <c r="Q344" s="78">
        <v>41.72</v>
      </c>
      <c r="R344" s="78">
        <f t="shared" si="33"/>
        <v>1.6203442997544932</v>
      </c>
      <c r="S344" s="79">
        <v>47.830384300274197</v>
      </c>
      <c r="T344" s="184">
        <f t="shared" si="34"/>
        <v>1.6797038702890243</v>
      </c>
      <c r="U344">
        <v>0.20951501454263097</v>
      </c>
      <c r="V344" s="77">
        <v>40</v>
      </c>
      <c r="W344" s="137">
        <f t="shared" si="35"/>
        <v>1.6020599913279623</v>
      </c>
    </row>
    <row r="345" spans="1:23" x14ac:dyDescent="0.35">
      <c r="A345" s="96" t="s">
        <v>1199</v>
      </c>
      <c r="B345" s="74" t="s">
        <v>163</v>
      </c>
      <c r="C345">
        <v>2</v>
      </c>
      <c r="D345" s="161">
        <v>7.2600713879850751</v>
      </c>
      <c r="E345" s="161">
        <v>0.9452054794520548</v>
      </c>
      <c r="F345" s="161">
        <f t="shared" si="30"/>
        <v>-2.4473769383200585E-2</v>
      </c>
      <c r="G345">
        <v>2.8358680570524939</v>
      </c>
      <c r="H345">
        <v>1.1139433523068367</v>
      </c>
      <c r="I345" s="73">
        <v>2.85</v>
      </c>
      <c r="J345" s="183">
        <f t="shared" si="31"/>
        <v>0.45484486000851021</v>
      </c>
      <c r="K345">
        <v>0.27988245367132186</v>
      </c>
      <c r="L345">
        <v>3.4006741243771632</v>
      </c>
      <c r="M345" s="137">
        <v>3.8325618860191688</v>
      </c>
      <c r="N345">
        <v>3.1502958128255383</v>
      </c>
      <c r="O345" s="74">
        <v>84</v>
      </c>
      <c r="P345" s="77">
        <f t="shared" si="32"/>
        <v>1.9242792860618816</v>
      </c>
      <c r="Q345" s="75">
        <v>45.4</v>
      </c>
      <c r="R345" s="78">
        <f t="shared" si="33"/>
        <v>1.657055852857104</v>
      </c>
      <c r="S345" s="76">
        <v>57.2278620378247</v>
      </c>
      <c r="T345" s="184">
        <f t="shared" si="34"/>
        <v>1.7576075215065206</v>
      </c>
      <c r="U345">
        <v>7.1882007306125359E-2</v>
      </c>
      <c r="V345" s="74">
        <v>17</v>
      </c>
      <c r="W345" s="137">
        <f t="shared" si="35"/>
        <v>1.2304489213782739</v>
      </c>
    </row>
    <row r="346" spans="1:23" x14ac:dyDescent="0.35">
      <c r="A346" s="77" t="s">
        <v>1206</v>
      </c>
      <c r="B346" s="77" t="s">
        <v>1</v>
      </c>
      <c r="C346">
        <v>2</v>
      </c>
      <c r="D346" s="161">
        <v>8.5965970956264606</v>
      </c>
      <c r="E346" s="161">
        <v>5.5013698630136982</v>
      </c>
      <c r="F346" s="161">
        <f t="shared" si="30"/>
        <v>0.74047084401650698</v>
      </c>
      <c r="G346">
        <v>3.0625406208792199</v>
      </c>
      <c r="H346">
        <v>1.7993405494535817</v>
      </c>
      <c r="I346" s="72">
        <v>3.06</v>
      </c>
      <c r="J346" s="183">
        <f t="shared" si="31"/>
        <v>0.48572142648158001</v>
      </c>
      <c r="K346">
        <v>0.24850094438779657</v>
      </c>
      <c r="L346">
        <v>3.1990556451691736</v>
      </c>
      <c r="M346" s="137">
        <v>3.7784953823207492</v>
      </c>
      <c r="N346">
        <v>2.8714756364568856</v>
      </c>
      <c r="O346" s="77">
        <v>89.1</v>
      </c>
      <c r="P346" s="77">
        <f t="shared" si="32"/>
        <v>1.9498777040368747</v>
      </c>
      <c r="Q346" s="78">
        <v>41.4</v>
      </c>
      <c r="R346" s="78">
        <f t="shared" si="33"/>
        <v>1.6170003411208989</v>
      </c>
      <c r="S346" s="79">
        <v>40.193544405546298</v>
      </c>
      <c r="T346" s="184">
        <f t="shared" si="34"/>
        <v>1.6041563054679069</v>
      </c>
      <c r="U346">
        <v>8.9905111439397931E-2</v>
      </c>
      <c r="V346" s="77">
        <v>63</v>
      </c>
      <c r="W346" s="137">
        <f t="shared" si="35"/>
        <v>1.7993405494535817</v>
      </c>
    </row>
    <row r="347" spans="1:23" x14ac:dyDescent="0.35">
      <c r="A347" s="74" t="s">
        <v>1209</v>
      </c>
      <c r="B347" s="74" t="s">
        <v>4</v>
      </c>
      <c r="C347">
        <v>1</v>
      </c>
      <c r="D347" s="161">
        <v>8.8633228601204568</v>
      </c>
      <c r="E347" s="161">
        <v>2.2383561643835614</v>
      </c>
      <c r="F347" s="161">
        <f t="shared" si="30"/>
        <v>0.34992919207594075</v>
      </c>
      <c r="G347">
        <v>3.1566248585544785</v>
      </c>
      <c r="H347">
        <v>1.7242758696007889</v>
      </c>
      <c r="I347" s="73">
        <v>3.03</v>
      </c>
      <c r="J347" s="183">
        <f t="shared" si="31"/>
        <v>0.48144262850230496</v>
      </c>
      <c r="K347">
        <v>-0.50046355716177571</v>
      </c>
      <c r="L347">
        <v>3.1990556451691736</v>
      </c>
      <c r="M347" s="137">
        <v>3.7784953823207492</v>
      </c>
      <c r="N347">
        <v>2.8438554226231609</v>
      </c>
      <c r="O347" s="74">
        <v>94.2</v>
      </c>
      <c r="P347" s="77">
        <f t="shared" si="32"/>
        <v>1.9740509027928774</v>
      </c>
      <c r="Q347" s="75">
        <v>45</v>
      </c>
      <c r="R347" s="78">
        <f t="shared" si="33"/>
        <v>1.6532125137753437</v>
      </c>
      <c r="S347" s="76">
        <v>49.278563385512697</v>
      </c>
      <c r="T347" s="184">
        <f t="shared" si="34"/>
        <v>1.6926580383844774</v>
      </c>
      <c r="U347">
        <v>-0.10790539730951958</v>
      </c>
      <c r="V347" s="74">
        <v>62</v>
      </c>
      <c r="W347" s="137">
        <f t="shared" si="35"/>
        <v>1.7923916894982539</v>
      </c>
    </row>
    <row r="348" spans="1:23" x14ac:dyDescent="0.35">
      <c r="A348" s="77" t="s">
        <v>1210</v>
      </c>
      <c r="B348" s="77" t="s">
        <v>2</v>
      </c>
      <c r="C348">
        <v>9</v>
      </c>
      <c r="D348" s="161">
        <v>8.3794868137172731</v>
      </c>
      <c r="E348" s="161">
        <v>4.9095890410958907</v>
      </c>
      <c r="F348" s="161">
        <f t="shared" si="30"/>
        <v>0.69104514086963176</v>
      </c>
      <c r="G348">
        <v>3.8335760926148099</v>
      </c>
      <c r="H348">
        <v>1</v>
      </c>
      <c r="I348" s="72">
        <v>2.85</v>
      </c>
      <c r="J348" s="183">
        <f t="shared" si="31"/>
        <v>0.45484486000851021</v>
      </c>
      <c r="K348">
        <v>-0.47639682672533018</v>
      </c>
      <c r="L348">
        <v>3.3885364494891754</v>
      </c>
      <c r="M348" s="137">
        <v>3.818148300254375</v>
      </c>
      <c r="N348">
        <v>2.9138138523837167</v>
      </c>
      <c r="O348" s="77">
        <v>89.6</v>
      </c>
      <c r="P348" s="77">
        <f t="shared" si="32"/>
        <v>1.9523080096621253</v>
      </c>
      <c r="Q348" s="78">
        <v>35.700000000000003</v>
      </c>
      <c r="R348" s="78">
        <f t="shared" si="33"/>
        <v>1.5526682161121932</v>
      </c>
      <c r="S348" s="79">
        <v>44.7100017757258</v>
      </c>
      <c r="T348" s="184">
        <f t="shared" si="34"/>
        <v>1.6504046871166989</v>
      </c>
      <c r="U348">
        <v>0.18184358794477254</v>
      </c>
      <c r="V348" s="77">
        <v>43</v>
      </c>
      <c r="W348" s="137">
        <f t="shared" si="35"/>
        <v>1.6334684555795864</v>
      </c>
    </row>
    <row r="349" spans="1:23" x14ac:dyDescent="0.35">
      <c r="A349" s="74" t="s">
        <v>1226</v>
      </c>
      <c r="B349" s="74" t="s">
        <v>45</v>
      </c>
      <c r="C349">
        <v>9</v>
      </c>
      <c r="D349" s="161">
        <v>9.3010299956639813</v>
      </c>
      <c r="E349" s="161">
        <v>6.6739726027397257</v>
      </c>
      <c r="F349" s="161">
        <f t="shared" si="30"/>
        <v>0.82438441950436303</v>
      </c>
      <c r="G349">
        <v>3.7707754512906644</v>
      </c>
      <c r="H349">
        <v>1.3424226808222062</v>
      </c>
      <c r="I349" s="73">
        <v>2.95</v>
      </c>
      <c r="J349" s="183">
        <f t="shared" si="31"/>
        <v>0.46982201597816303</v>
      </c>
      <c r="K349">
        <v>0.11904132913278011</v>
      </c>
      <c r="L349">
        <v>3.1628767233771686</v>
      </c>
      <c r="M349" s="137">
        <v>3.6087947637270492</v>
      </c>
      <c r="N349">
        <v>2.1238516409670858</v>
      </c>
      <c r="O349" s="74">
        <v>85</v>
      </c>
      <c r="P349" s="77">
        <f t="shared" si="32"/>
        <v>1.9294189257142926</v>
      </c>
      <c r="Q349" s="75">
        <v>28.2</v>
      </c>
      <c r="R349" s="78">
        <f t="shared" si="33"/>
        <v>1.4502491083193612</v>
      </c>
      <c r="S349" s="76">
        <v>34.298950279384798</v>
      </c>
      <c r="T349" s="184">
        <f t="shared" si="34"/>
        <v>1.5352808286478177</v>
      </c>
      <c r="U349">
        <v>6.069784035361165E-2</v>
      </c>
      <c r="V349" s="74">
        <v>8</v>
      </c>
      <c r="W349" s="137">
        <f t="shared" si="35"/>
        <v>0.90308998699194354</v>
      </c>
    </row>
    <row r="350" spans="1:23" x14ac:dyDescent="0.35">
      <c r="A350" s="96" t="s">
        <v>1201</v>
      </c>
      <c r="B350" s="77" t="s">
        <v>45</v>
      </c>
      <c r="C350">
        <v>9</v>
      </c>
      <c r="D350" s="161">
        <v>6.7781512503836439</v>
      </c>
      <c r="E350" s="161">
        <v>2.2246575342465755</v>
      </c>
      <c r="F350" s="161">
        <f t="shared" si="30"/>
        <v>0.34726316478470065</v>
      </c>
      <c r="G350">
        <v>3.8335760926148099</v>
      </c>
      <c r="H350">
        <v>1</v>
      </c>
      <c r="I350" s="72">
        <v>2.85</v>
      </c>
      <c r="J350" s="183">
        <f t="shared" si="31"/>
        <v>0.45484486000851021</v>
      </c>
      <c r="K350">
        <v>0.82390874094431876</v>
      </c>
      <c r="L350">
        <v>3.4006741243771632</v>
      </c>
      <c r="M350" s="137">
        <v>3.8325618860191688</v>
      </c>
      <c r="N350">
        <v>2.9138138523837167</v>
      </c>
      <c r="O350" s="77">
        <v>91.9</v>
      </c>
      <c r="P350" s="77">
        <f t="shared" si="32"/>
        <v>1.9633155113861114</v>
      </c>
      <c r="Q350" s="78">
        <v>23</v>
      </c>
      <c r="R350" s="78">
        <f t="shared" si="33"/>
        <v>1.3617278360175928</v>
      </c>
      <c r="S350" s="79">
        <v>43.262530407091703</v>
      </c>
      <c r="T350" s="184">
        <f t="shared" si="34"/>
        <v>1.636111917546391</v>
      </c>
      <c r="U350">
        <v>0.250420002308894</v>
      </c>
      <c r="V350" s="77">
        <v>13</v>
      </c>
      <c r="W350" s="137">
        <f t="shared" si="35"/>
        <v>1.1139433523068367</v>
      </c>
    </row>
    <row r="351" spans="1:23" x14ac:dyDescent="0.35">
      <c r="A351" s="93" t="s">
        <v>1204</v>
      </c>
      <c r="B351" s="108" t="s">
        <v>59</v>
      </c>
      <c r="C351">
        <v>2</v>
      </c>
      <c r="D351" s="161">
        <v>7.6020599913279625</v>
      </c>
      <c r="E351" s="161">
        <v>6.0712328767123287</v>
      </c>
      <c r="F351" s="161">
        <f t="shared" si="30"/>
        <v>0.78327689159991742</v>
      </c>
      <c r="G351">
        <v>3.0625406208792199</v>
      </c>
      <c r="H351">
        <v>0.77815125038364363</v>
      </c>
      <c r="I351" s="65">
        <v>2.69</v>
      </c>
      <c r="J351" s="183">
        <f t="shared" si="31"/>
        <v>0.42975228000240795</v>
      </c>
      <c r="K351">
        <v>0.26717172840301384</v>
      </c>
      <c r="L351">
        <v>3.4006741243771632</v>
      </c>
      <c r="M351" s="137">
        <v>3.8325618860191688</v>
      </c>
      <c r="N351">
        <v>2.9323063057851897</v>
      </c>
      <c r="O351" s="108">
        <v>91.2</v>
      </c>
      <c r="P351" s="77">
        <f t="shared" si="32"/>
        <v>1.9599948383284163</v>
      </c>
      <c r="Q351" s="127">
        <v>33</v>
      </c>
      <c r="R351" s="78">
        <f t="shared" si="33"/>
        <v>1.5185139398778875</v>
      </c>
      <c r="S351" s="128">
        <v>40.902544500539101</v>
      </c>
      <c r="T351" s="184">
        <f t="shared" si="34"/>
        <v>1.6117503258110162</v>
      </c>
      <c r="U351">
        <v>6.8185861746161619E-2</v>
      </c>
      <c r="V351" s="108">
        <v>11</v>
      </c>
      <c r="W351" s="137">
        <f t="shared" si="35"/>
        <v>1.0413926851582251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51"/>
  <sheetViews>
    <sheetView tabSelected="1" workbookViewId="0">
      <pane ySplit="1" topLeftCell="A2" activePane="bottomLeft" state="frozen"/>
      <selection pane="bottomLeft" activeCell="U2" sqref="U2"/>
    </sheetView>
  </sheetViews>
  <sheetFormatPr defaultRowHeight="14.5" x14ac:dyDescent="0.35"/>
  <cols>
    <col min="1" max="1" width="16.1796875" customWidth="1"/>
    <col min="6" max="6" width="14" customWidth="1"/>
    <col min="8" max="8" width="15.1796875" customWidth="1"/>
    <col min="9" max="9" width="15.1796875" style="137" customWidth="1"/>
    <col min="11" max="11" width="13.7265625" customWidth="1"/>
    <col min="13" max="13" width="9.1796875" style="137"/>
    <col min="14" max="14" width="10.54296875" customWidth="1"/>
    <col min="21" max="21" width="9.1796875" style="137"/>
    <col min="23" max="23" width="9.1796875" style="137"/>
    <col min="25" max="25" width="9.1796875" style="137"/>
  </cols>
  <sheetData>
    <row r="1" spans="1:29" x14ac:dyDescent="0.35">
      <c r="A1" s="100" t="s">
        <v>9</v>
      </c>
      <c r="B1" s="100" t="s">
        <v>16</v>
      </c>
      <c r="C1" s="100" t="s">
        <v>1322</v>
      </c>
      <c r="D1" s="100" t="s">
        <v>17</v>
      </c>
      <c r="E1" s="100" t="s">
        <v>1334</v>
      </c>
      <c r="F1" s="100" t="s">
        <v>20</v>
      </c>
      <c r="G1" s="100" t="s">
        <v>22</v>
      </c>
      <c r="H1" s="100" t="s">
        <v>23</v>
      </c>
      <c r="I1" s="100" t="s">
        <v>1382</v>
      </c>
      <c r="J1" s="142" t="s">
        <v>26</v>
      </c>
      <c r="K1" s="142" t="s">
        <v>1326</v>
      </c>
      <c r="L1" s="141" t="s">
        <v>27</v>
      </c>
      <c r="M1" s="141" t="s">
        <v>1383</v>
      </c>
      <c r="N1" s="142" t="s">
        <v>29</v>
      </c>
      <c r="O1" s="142" t="s">
        <v>30</v>
      </c>
      <c r="P1" s="142" t="s">
        <v>31</v>
      </c>
      <c r="Q1" s="142" t="s">
        <v>1350</v>
      </c>
      <c r="R1" s="142" t="s">
        <v>33</v>
      </c>
      <c r="S1" s="142" t="s">
        <v>1351</v>
      </c>
      <c r="T1" s="142" t="s">
        <v>35</v>
      </c>
      <c r="U1" s="142" t="s">
        <v>1384</v>
      </c>
      <c r="V1" s="157" t="s">
        <v>36</v>
      </c>
      <c r="W1" s="157" t="s">
        <v>1385</v>
      </c>
      <c r="X1" s="142" t="s">
        <v>37</v>
      </c>
      <c r="Y1" s="142" t="s">
        <v>1387</v>
      </c>
      <c r="Z1" s="142" t="s">
        <v>38</v>
      </c>
      <c r="AA1" s="142" t="s">
        <v>1331</v>
      </c>
      <c r="AB1" s="142" t="s">
        <v>40</v>
      </c>
      <c r="AC1" s="164" t="s">
        <v>1378</v>
      </c>
    </row>
    <row r="2" spans="1:29" x14ac:dyDescent="0.35">
      <c r="A2" s="143">
        <v>34654</v>
      </c>
      <c r="B2" s="83" t="s">
        <v>248</v>
      </c>
      <c r="C2" s="83">
        <f t="shared" ref="C2:C65" si="0">IF(B2="Consumer Discretionary",5,IF(B2="Industrials",1,IF(B2="Energy",3,IF(B2="Health Care",2,IF(B2="Communications",4,IF(B2="Financials",6,IF(B2="Consumer Staples",7,IF(B2="Materials",8,IF(B2="Technology",9,IF(B2="Utilities",10,""))))))))))</f>
        <v>5</v>
      </c>
      <c r="D2" s="83">
        <v>1100000000</v>
      </c>
      <c r="E2" s="83">
        <f t="shared" ref="E2:E65" si="1">LOG(D2)</f>
        <v>9.0413926851582254</v>
      </c>
      <c r="F2" s="144">
        <v>35465</v>
      </c>
      <c r="G2" s="83">
        <v>220000000</v>
      </c>
      <c r="H2" s="145">
        <f t="shared" ref="H2:H65" si="2">YEARFRAC(A2,F2,3)</f>
        <v>2.2219178082191782</v>
      </c>
      <c r="I2" s="145">
        <f>LOG(H2)</f>
        <v>0.34672798975468133</v>
      </c>
      <c r="J2" s="106">
        <v>108</v>
      </c>
      <c r="K2" s="106">
        <f t="shared" ref="K2:K65" si="3">LOG(1+J2)</f>
        <v>2.0374264979406238</v>
      </c>
      <c r="L2" s="59">
        <v>2.95</v>
      </c>
      <c r="M2" s="59">
        <f>LOG(L2)</f>
        <v>0.46982201597816303</v>
      </c>
      <c r="N2" s="154">
        <f t="shared" ref="N2:N65" si="4">(G2/D2)-1</f>
        <v>-0.8</v>
      </c>
      <c r="O2" s="119">
        <f>IF(N2=-1,LOG(0.1),LOG(1+N2))</f>
        <v>-0.69897000433601886</v>
      </c>
      <c r="P2" s="106">
        <v>2315.9650000000001</v>
      </c>
      <c r="Q2" s="106">
        <f t="shared" ref="Q2:Q65" si="5">LOG(P2)</f>
        <v>3.3647319918335836</v>
      </c>
      <c r="R2" s="106">
        <v>3703.9029999999998</v>
      </c>
      <c r="S2" s="106">
        <f t="shared" ref="S2:S65" si="6">LOG(R2)</f>
        <v>3.568659604598353</v>
      </c>
      <c r="T2" s="106">
        <v>85</v>
      </c>
      <c r="U2" s="106">
        <f>LOG(T2)</f>
        <v>1.9294189257142926</v>
      </c>
      <c r="V2" s="119">
        <v>26.2</v>
      </c>
      <c r="W2" s="119">
        <f>LOG(V2)</f>
        <v>1.4183012913197455</v>
      </c>
      <c r="X2" s="120">
        <v>37.8446121410093</v>
      </c>
      <c r="Y2" s="120">
        <f>LOG(X2)</f>
        <v>1.5780040586317157</v>
      </c>
      <c r="Z2" s="152">
        <v>0.7</v>
      </c>
      <c r="AA2" s="119">
        <f t="shared" ref="AA2:AA65" si="7">LOG(1+Z2)</f>
        <v>0.23044892137827391</v>
      </c>
      <c r="AB2" s="106">
        <v>9</v>
      </c>
      <c r="AC2">
        <f>IF(AB2=0,0,LOG(AB2))</f>
        <v>0.95424250943932487</v>
      </c>
    </row>
    <row r="3" spans="1:29" x14ac:dyDescent="0.35">
      <c r="A3" s="146">
        <v>35246</v>
      </c>
      <c r="B3" s="84" t="s">
        <v>326</v>
      </c>
      <c r="C3" s="84">
        <f t="shared" si="0"/>
        <v>8</v>
      </c>
      <c r="D3" s="84">
        <v>55000000</v>
      </c>
      <c r="E3" s="84">
        <f t="shared" si="1"/>
        <v>7.7403626894942441</v>
      </c>
      <c r="F3" s="147">
        <v>37529</v>
      </c>
      <c r="G3" s="84">
        <v>837500000</v>
      </c>
      <c r="H3" s="148">
        <f t="shared" si="2"/>
        <v>6.2547945205479456</v>
      </c>
      <c r="I3" s="145">
        <f t="shared" ref="I3:I66" si="8">LOG(H3)</f>
        <v>0.79621304703376061</v>
      </c>
      <c r="J3" s="108">
        <v>29</v>
      </c>
      <c r="K3" s="108">
        <f t="shared" si="3"/>
        <v>1.4771212547196624</v>
      </c>
      <c r="L3" s="65">
        <v>2.95</v>
      </c>
      <c r="M3" s="59">
        <f t="shared" ref="M3:M66" si="9">LOG(L3)</f>
        <v>0.46982201597816303</v>
      </c>
      <c r="N3" s="155">
        <f t="shared" si="4"/>
        <v>14.227272727272727</v>
      </c>
      <c r="O3" s="127">
        <f t="shared" ref="O3:O65" si="10">IF(N3=-1,LOG(0.1),LOG(1+N3))</f>
        <v>1.182622126214639</v>
      </c>
      <c r="P3" s="108">
        <v>2232.1428599999999</v>
      </c>
      <c r="Q3" s="108">
        <f t="shared" si="5"/>
        <v>3.3487219865577531</v>
      </c>
      <c r="R3" s="57">
        <v>5650.5102040816337</v>
      </c>
      <c r="S3" s="108">
        <f t="shared" si="6"/>
        <v>3.7520876635386311</v>
      </c>
      <c r="T3" s="108">
        <v>85</v>
      </c>
      <c r="U3" s="106">
        <f t="shared" ref="U3:U66" si="11">LOG(T3)</f>
        <v>1.9294189257142926</v>
      </c>
      <c r="V3" s="127">
        <v>27</v>
      </c>
      <c r="W3" s="119">
        <f t="shared" ref="W3:W66" si="12">LOG(V3)</f>
        <v>1.4313637641589874</v>
      </c>
      <c r="X3" s="128">
        <v>37.123527923893597</v>
      </c>
      <c r="Y3" s="120">
        <f t="shared" ref="Y3:Y66" si="13">LOG(X3)</f>
        <v>1.5696492413904459</v>
      </c>
      <c r="Z3" s="153">
        <v>0.22</v>
      </c>
      <c r="AA3" s="127">
        <f t="shared" si="7"/>
        <v>8.6359830674748214E-2</v>
      </c>
      <c r="AB3" s="108">
        <v>0</v>
      </c>
      <c r="AC3" s="137">
        <f t="shared" ref="AC3:AC66" si="14">IF(AB3=0,0,LOG(AB3))</f>
        <v>0</v>
      </c>
    </row>
    <row r="4" spans="1:29" x14ac:dyDescent="0.35">
      <c r="A4" s="143">
        <v>37404</v>
      </c>
      <c r="B4" s="83" t="s">
        <v>326</v>
      </c>
      <c r="C4" s="83">
        <f t="shared" si="0"/>
        <v>8</v>
      </c>
      <c r="D4" s="83">
        <v>837500000</v>
      </c>
      <c r="E4" s="83">
        <f t="shared" si="1"/>
        <v>8.9229848157088831</v>
      </c>
      <c r="F4" s="144">
        <v>37529</v>
      </c>
      <c r="G4" s="83">
        <v>2250000000</v>
      </c>
      <c r="H4" s="145">
        <f t="shared" si="2"/>
        <v>0.34246575342465752</v>
      </c>
      <c r="I4" s="145">
        <f t="shared" si="8"/>
        <v>-0.46538285144841829</v>
      </c>
      <c r="J4" s="106">
        <v>35</v>
      </c>
      <c r="K4" s="106">
        <f t="shared" si="3"/>
        <v>1.5563025007672873</v>
      </c>
      <c r="L4" s="59">
        <v>2.95</v>
      </c>
      <c r="M4" s="59">
        <f t="shared" si="9"/>
        <v>0.46982201597816303</v>
      </c>
      <c r="N4" s="154">
        <f t="shared" si="4"/>
        <v>1.6865671641791047</v>
      </c>
      <c r="O4" s="119">
        <f t="shared" si="10"/>
        <v>0.42919770240247967</v>
      </c>
      <c r="P4" s="106">
        <v>2346.775510204081</v>
      </c>
      <c r="Q4" s="106">
        <f t="shared" si="5"/>
        <v>3.3704715474841587</v>
      </c>
      <c r="R4" s="106">
        <v>4324.8979591836742</v>
      </c>
      <c r="S4" s="106">
        <f t="shared" si="6"/>
        <v>3.6359758652606611</v>
      </c>
      <c r="T4" s="106">
        <v>85</v>
      </c>
      <c r="U4" s="106">
        <f t="shared" si="11"/>
        <v>1.9294189257142926</v>
      </c>
      <c r="V4" s="119">
        <v>24.9</v>
      </c>
      <c r="W4" s="119">
        <f t="shared" si="12"/>
        <v>1.3961993470957363</v>
      </c>
      <c r="X4" s="120">
        <v>36.710134890601303</v>
      </c>
      <c r="Y4" s="120">
        <f t="shared" si="13"/>
        <v>1.564785980312654</v>
      </c>
      <c r="Z4" s="152">
        <v>-0.24</v>
      </c>
      <c r="AA4" s="119">
        <f t="shared" si="7"/>
        <v>-0.11918640771920865</v>
      </c>
      <c r="AB4" s="106">
        <v>16</v>
      </c>
      <c r="AC4" s="137">
        <f t="shared" si="14"/>
        <v>1.2041199826559248</v>
      </c>
    </row>
    <row r="5" spans="1:29" x14ac:dyDescent="0.35">
      <c r="A5" s="146">
        <v>35607</v>
      </c>
      <c r="B5" s="84" t="s">
        <v>269</v>
      </c>
      <c r="C5" s="84">
        <f t="shared" si="0"/>
        <v>7</v>
      </c>
      <c r="D5" s="84">
        <v>52000000</v>
      </c>
      <c r="E5" s="84">
        <f t="shared" si="1"/>
        <v>7.7160033436347994</v>
      </c>
      <c r="F5" s="147">
        <v>38989</v>
      </c>
      <c r="G5" s="84">
        <v>18932000</v>
      </c>
      <c r="H5" s="148">
        <f t="shared" si="2"/>
        <v>9.2657534246575342</v>
      </c>
      <c r="I5" s="145">
        <f t="shared" si="8"/>
        <v>0.96688073880524827</v>
      </c>
      <c r="J5" s="108">
        <v>0</v>
      </c>
      <c r="K5" s="108">
        <f t="shared" si="3"/>
        <v>0</v>
      </c>
      <c r="L5" s="65">
        <v>3.29</v>
      </c>
      <c r="M5" s="59">
        <f t="shared" si="9"/>
        <v>0.51719589794997434</v>
      </c>
      <c r="N5" s="155">
        <f t="shared" si="4"/>
        <v>-0.63592307692307692</v>
      </c>
      <c r="O5" s="127">
        <f t="shared" si="10"/>
        <v>-0.43880684783884277</v>
      </c>
      <c r="P5" s="108">
        <v>1932.09461208012</v>
      </c>
      <c r="Q5" s="108">
        <f t="shared" si="5"/>
        <v>3.2860283894181141</v>
      </c>
      <c r="R5" s="108">
        <v>8126.3909735520938</v>
      </c>
      <c r="S5" s="108">
        <f t="shared" si="6"/>
        <v>3.9098977130890344</v>
      </c>
      <c r="T5" s="108">
        <v>85</v>
      </c>
      <c r="U5" s="106">
        <f t="shared" si="11"/>
        <v>1.9294189257142926</v>
      </c>
      <c r="V5" s="127">
        <v>30</v>
      </c>
      <c r="W5" s="119">
        <f t="shared" si="12"/>
        <v>1.4771212547196624</v>
      </c>
      <c r="X5" s="128">
        <v>35.807885111275297</v>
      </c>
      <c r="Y5" s="120">
        <f t="shared" si="13"/>
        <v>1.5539786714272548</v>
      </c>
      <c r="Z5" s="153">
        <v>0.51</v>
      </c>
      <c r="AA5" s="127">
        <f t="shared" si="7"/>
        <v>0.17897694729316943</v>
      </c>
      <c r="AB5" s="108">
        <v>0</v>
      </c>
      <c r="AC5" s="137">
        <f t="shared" si="14"/>
        <v>0</v>
      </c>
    </row>
    <row r="6" spans="1:29" x14ac:dyDescent="0.35">
      <c r="A6" s="143">
        <v>36213</v>
      </c>
      <c r="B6" s="83" t="s">
        <v>68</v>
      </c>
      <c r="C6" s="83">
        <f t="shared" si="0"/>
        <v>2</v>
      </c>
      <c r="D6" s="83">
        <v>825000000</v>
      </c>
      <c r="E6" s="83">
        <f t="shared" si="1"/>
        <v>8.9164539485499255</v>
      </c>
      <c r="F6" s="144">
        <v>37778</v>
      </c>
      <c r="G6" s="83">
        <v>490397338</v>
      </c>
      <c r="H6" s="145">
        <f t="shared" si="2"/>
        <v>4.2876712328767121</v>
      </c>
      <c r="I6" s="145">
        <f t="shared" si="8"/>
        <v>0.63222147742599255</v>
      </c>
      <c r="J6" s="106">
        <v>65</v>
      </c>
      <c r="K6" s="106">
        <f t="shared" si="3"/>
        <v>1.8195439355418688</v>
      </c>
      <c r="L6" s="59">
        <v>3.29</v>
      </c>
      <c r="M6" s="59">
        <f t="shared" si="9"/>
        <v>0.51719589794997434</v>
      </c>
      <c r="N6" s="154">
        <f t="shared" si="4"/>
        <v>-0.40557898424242422</v>
      </c>
      <c r="O6" s="119">
        <f t="shared" si="10"/>
        <v>-0.22590584449276507</v>
      </c>
      <c r="P6" s="106">
        <v>1519.5854290504496</v>
      </c>
      <c r="Q6" s="106">
        <f t="shared" si="5"/>
        <v>3.1817251205543564</v>
      </c>
      <c r="R6" s="106">
        <v>8383.6305441243712</v>
      </c>
      <c r="S6" s="106">
        <f t="shared" si="6"/>
        <v>3.9234321312589846</v>
      </c>
      <c r="T6" s="106">
        <v>85</v>
      </c>
      <c r="U6" s="106">
        <f t="shared" si="11"/>
        <v>1.9294189257142926</v>
      </c>
      <c r="V6" s="119">
        <v>32.200000000000003</v>
      </c>
      <c r="W6" s="119">
        <f t="shared" si="12"/>
        <v>1.507855871695831</v>
      </c>
      <c r="X6" s="120">
        <v>35.326012114535303</v>
      </c>
      <c r="Y6" s="120">
        <f t="shared" si="13"/>
        <v>1.548094613534351</v>
      </c>
      <c r="Z6" s="152">
        <v>-0.22</v>
      </c>
      <c r="AA6" s="119">
        <f t="shared" si="7"/>
        <v>-0.10790539730951958</v>
      </c>
      <c r="AB6" s="106">
        <v>22</v>
      </c>
      <c r="AC6" s="137">
        <f t="shared" si="14"/>
        <v>1.3424226808222062</v>
      </c>
    </row>
    <row r="7" spans="1:29" x14ac:dyDescent="0.35">
      <c r="A7" s="146">
        <v>36222</v>
      </c>
      <c r="B7" s="84" t="s">
        <v>68</v>
      </c>
      <c r="C7" s="84">
        <f t="shared" si="0"/>
        <v>2</v>
      </c>
      <c r="D7" s="84">
        <v>772000000</v>
      </c>
      <c r="E7" s="84">
        <f t="shared" si="1"/>
        <v>8.8876173003357355</v>
      </c>
      <c r="F7" s="147">
        <v>40504</v>
      </c>
      <c r="G7" s="84">
        <v>790000000</v>
      </c>
      <c r="H7" s="148">
        <f t="shared" si="2"/>
        <v>11.731506849315069</v>
      </c>
      <c r="I7" s="145">
        <f t="shared" si="8"/>
        <v>1.0693537985019448</v>
      </c>
      <c r="J7" s="108">
        <v>20</v>
      </c>
      <c r="K7" s="108">
        <f t="shared" si="3"/>
        <v>1.3222192947339193</v>
      </c>
      <c r="L7" s="65">
        <v>2.95</v>
      </c>
      <c r="M7" s="59">
        <f t="shared" si="9"/>
        <v>0.46982201597816303</v>
      </c>
      <c r="N7" s="155">
        <f t="shared" si="4"/>
        <v>2.3316062176165886E-2</v>
      </c>
      <c r="O7" s="127">
        <f t="shared" si="10"/>
        <v>1.0009790954705312E-2</v>
      </c>
      <c r="P7" s="108">
        <v>2443.0081229801726</v>
      </c>
      <c r="Q7" s="108">
        <f t="shared" si="5"/>
        <v>3.3879249110011078</v>
      </c>
      <c r="R7" s="108">
        <v>8757.9701283954928</v>
      </c>
      <c r="S7" s="108">
        <f t="shared" si="6"/>
        <v>3.9424034595709814</v>
      </c>
      <c r="T7" s="108">
        <v>85</v>
      </c>
      <c r="U7" s="106">
        <f t="shared" si="11"/>
        <v>1.9294189257142926</v>
      </c>
      <c r="V7" s="127">
        <v>27.8</v>
      </c>
      <c r="W7" s="119">
        <f t="shared" si="12"/>
        <v>1.4440447959180762</v>
      </c>
      <c r="X7" s="128">
        <v>34.656907836978597</v>
      </c>
      <c r="Y7" s="120">
        <f t="shared" si="13"/>
        <v>1.5397898114291337</v>
      </c>
      <c r="Z7" s="153">
        <v>-0.02</v>
      </c>
      <c r="AA7" s="127">
        <f t="shared" si="7"/>
        <v>-8.7739243075051505E-3</v>
      </c>
      <c r="AB7" s="108">
        <v>20</v>
      </c>
      <c r="AC7" s="137">
        <f t="shared" si="14"/>
        <v>1.3010299956639813</v>
      </c>
    </row>
    <row r="8" spans="1:29" x14ac:dyDescent="0.35">
      <c r="A8" s="143">
        <v>36860</v>
      </c>
      <c r="B8" s="83" t="s">
        <v>1320</v>
      </c>
      <c r="C8" s="83">
        <f t="shared" si="0"/>
        <v>2</v>
      </c>
      <c r="D8" s="83">
        <v>19000000</v>
      </c>
      <c r="E8" s="83">
        <f t="shared" si="1"/>
        <v>7.2787536009528289</v>
      </c>
      <c r="F8" s="144">
        <v>38180</v>
      </c>
      <c r="G8" s="83">
        <v>13511660</v>
      </c>
      <c r="H8" s="145">
        <f t="shared" si="2"/>
        <v>3.6164383561643834</v>
      </c>
      <c r="I8" s="145">
        <f t="shared" si="8"/>
        <v>0.55828106674937517</v>
      </c>
      <c r="J8" s="106">
        <v>13</v>
      </c>
      <c r="K8" s="106">
        <f t="shared" si="3"/>
        <v>1.146128035678238</v>
      </c>
      <c r="L8" s="59">
        <v>3.29</v>
      </c>
      <c r="M8" s="59">
        <f t="shared" si="9"/>
        <v>0.51719589794997434</v>
      </c>
      <c r="N8" s="154">
        <f t="shared" si="4"/>
        <v>-0.28886000000000001</v>
      </c>
      <c r="O8" s="119">
        <f t="shared" si="10"/>
        <v>-0.14804489260047846</v>
      </c>
      <c r="P8" s="106">
        <v>2160.6648199445985</v>
      </c>
      <c r="Q8" s="106">
        <f t="shared" si="5"/>
        <v>3.3345874007848226</v>
      </c>
      <c r="R8" s="106">
        <v>9487.5346260387796</v>
      </c>
      <c r="S8" s="106">
        <f t="shared" si="6"/>
        <v>3.9771533739227865</v>
      </c>
      <c r="T8" s="106">
        <v>85</v>
      </c>
      <c r="U8" s="106">
        <f t="shared" si="11"/>
        <v>1.9294189257142926</v>
      </c>
      <c r="V8" s="119">
        <v>32.9</v>
      </c>
      <c r="W8" s="119">
        <f t="shared" si="12"/>
        <v>1.5171958979499742</v>
      </c>
      <c r="X8" s="120">
        <v>35.433808146393098</v>
      </c>
      <c r="Y8" s="120">
        <f t="shared" si="13"/>
        <v>1.5494178293890581</v>
      </c>
      <c r="Z8" s="152">
        <v>-0.15</v>
      </c>
      <c r="AA8" s="119">
        <f t="shared" si="7"/>
        <v>-7.0581074285707285E-2</v>
      </c>
      <c r="AB8" s="106">
        <v>17</v>
      </c>
      <c r="AC8" s="137">
        <f t="shared" si="14"/>
        <v>1.2304489213782739</v>
      </c>
    </row>
    <row r="9" spans="1:29" x14ac:dyDescent="0.35">
      <c r="A9" s="146">
        <v>36890</v>
      </c>
      <c r="B9" s="84" t="s">
        <v>248</v>
      </c>
      <c r="C9" s="84">
        <f t="shared" si="0"/>
        <v>5</v>
      </c>
      <c r="D9" s="84">
        <v>10000000</v>
      </c>
      <c r="E9" s="84">
        <f t="shared" si="1"/>
        <v>7</v>
      </c>
      <c r="F9" s="147">
        <v>38167</v>
      </c>
      <c r="G9" s="84">
        <v>43120332</v>
      </c>
      <c r="H9" s="148">
        <f t="shared" si="2"/>
        <v>3.4986301369863013</v>
      </c>
      <c r="I9" s="145">
        <f t="shared" si="8"/>
        <v>0.5438980328069406</v>
      </c>
      <c r="J9" s="108">
        <v>0</v>
      </c>
      <c r="K9" s="108">
        <f t="shared" si="3"/>
        <v>0</v>
      </c>
      <c r="L9" s="65">
        <v>3.29</v>
      </c>
      <c r="M9" s="59">
        <f t="shared" si="9"/>
        <v>0.51719589794997434</v>
      </c>
      <c r="N9" s="155">
        <f t="shared" si="4"/>
        <v>3.3120332000000001</v>
      </c>
      <c r="O9" s="127">
        <f t="shared" si="10"/>
        <v>0.63468209599159786</v>
      </c>
      <c r="P9" s="108">
        <v>2636.4234056541745</v>
      </c>
      <c r="Q9" s="108">
        <f t="shared" si="5"/>
        <v>3.421015158567184</v>
      </c>
      <c r="R9" s="108">
        <v>9500.3287310979595</v>
      </c>
      <c r="S9" s="108">
        <f t="shared" si="6"/>
        <v>3.9777386330395683</v>
      </c>
      <c r="T9" s="108">
        <v>85</v>
      </c>
      <c r="U9" s="106">
        <f t="shared" si="11"/>
        <v>1.9294189257142926</v>
      </c>
      <c r="V9" s="127">
        <v>32.9</v>
      </c>
      <c r="W9" s="119">
        <f t="shared" si="12"/>
        <v>1.5171958979499742</v>
      </c>
      <c r="X9" s="128">
        <v>35.433808146393098</v>
      </c>
      <c r="Y9" s="120">
        <f t="shared" si="13"/>
        <v>1.5494178293890581</v>
      </c>
      <c r="Z9" s="153">
        <v>-0.14000000000000001</v>
      </c>
      <c r="AA9" s="127">
        <f t="shared" si="7"/>
        <v>-6.5501548756432285E-2</v>
      </c>
      <c r="AB9" s="108">
        <v>75</v>
      </c>
      <c r="AC9" s="137">
        <f t="shared" si="14"/>
        <v>1.8750612633917001</v>
      </c>
    </row>
    <row r="10" spans="1:29" x14ac:dyDescent="0.35">
      <c r="A10" s="143">
        <v>37540</v>
      </c>
      <c r="B10" s="83" t="s">
        <v>248</v>
      </c>
      <c r="C10" s="83">
        <f t="shared" si="0"/>
        <v>5</v>
      </c>
      <c r="D10" s="83">
        <v>350000000</v>
      </c>
      <c r="E10" s="83">
        <f t="shared" si="1"/>
        <v>8.5440680443502757</v>
      </c>
      <c r="F10" s="144">
        <v>38308</v>
      </c>
      <c r="G10" s="83">
        <v>448713396</v>
      </c>
      <c r="H10" s="145">
        <f t="shared" si="2"/>
        <v>2.1041095890410957</v>
      </c>
      <c r="I10" s="145">
        <f t="shared" si="8"/>
        <v>0.32306835557503727</v>
      </c>
      <c r="J10" s="106">
        <v>121</v>
      </c>
      <c r="K10" s="106">
        <f t="shared" si="3"/>
        <v>2.0863598306747484</v>
      </c>
      <c r="L10" s="59">
        <v>2.95</v>
      </c>
      <c r="M10" s="59">
        <f t="shared" si="9"/>
        <v>0.46982201597816303</v>
      </c>
      <c r="N10" s="154">
        <f t="shared" si="4"/>
        <v>0.28203827428571437</v>
      </c>
      <c r="O10" s="119">
        <f t="shared" si="10"/>
        <v>0.10790099091053558</v>
      </c>
      <c r="P10" s="106">
        <v>2446.451</v>
      </c>
      <c r="Q10" s="106">
        <f t="shared" si="5"/>
        <v>3.388536521693045</v>
      </c>
      <c r="R10" s="106">
        <v>6578.8239999999996</v>
      </c>
      <c r="S10" s="106">
        <f t="shared" si="6"/>
        <v>3.8181482680887449</v>
      </c>
      <c r="T10" s="106">
        <v>85</v>
      </c>
      <c r="U10" s="106">
        <f t="shared" si="11"/>
        <v>1.9294189257142926</v>
      </c>
      <c r="V10" s="119">
        <v>24.9</v>
      </c>
      <c r="W10" s="119">
        <f t="shared" si="12"/>
        <v>1.3961993470957363</v>
      </c>
      <c r="X10" s="120">
        <v>36.710134890601303</v>
      </c>
      <c r="Y10" s="120">
        <f t="shared" si="13"/>
        <v>1.564785980312654</v>
      </c>
      <c r="Z10" s="152">
        <v>0.41</v>
      </c>
      <c r="AA10" s="119">
        <f t="shared" si="7"/>
        <v>0.14921911265537988</v>
      </c>
      <c r="AB10" s="106">
        <v>34</v>
      </c>
      <c r="AC10" s="137">
        <f t="shared" si="14"/>
        <v>1.5314789170422551</v>
      </c>
    </row>
    <row r="11" spans="1:29" x14ac:dyDescent="0.35">
      <c r="A11" s="146">
        <v>38260</v>
      </c>
      <c r="B11" s="84" t="s">
        <v>248</v>
      </c>
      <c r="C11" s="84">
        <f t="shared" si="0"/>
        <v>5</v>
      </c>
      <c r="D11" s="84">
        <v>49000000</v>
      </c>
      <c r="E11" s="84">
        <f t="shared" si="1"/>
        <v>7.6901960800285138</v>
      </c>
      <c r="F11" s="147">
        <v>38825</v>
      </c>
      <c r="G11" s="84">
        <v>30680586</v>
      </c>
      <c r="H11" s="148">
        <f t="shared" si="2"/>
        <v>1.547945205479452</v>
      </c>
      <c r="I11" s="145">
        <f t="shared" si="8"/>
        <v>0.1897555833629638</v>
      </c>
      <c r="J11" s="108">
        <v>107</v>
      </c>
      <c r="K11" s="108">
        <f t="shared" si="3"/>
        <v>2.0334237554869499</v>
      </c>
      <c r="L11" s="65">
        <v>3.29</v>
      </c>
      <c r="M11" s="59">
        <f t="shared" si="9"/>
        <v>0.51719589794997434</v>
      </c>
      <c r="N11" s="155">
        <f t="shared" si="4"/>
        <v>-0.37386559183673473</v>
      </c>
      <c r="O11" s="127">
        <f t="shared" si="10"/>
        <v>-0.20333242963631826</v>
      </c>
      <c r="P11" s="108">
        <v>2908.1632653061233</v>
      </c>
      <c r="Q11" s="108">
        <f t="shared" si="5"/>
        <v>3.4636187843160156</v>
      </c>
      <c r="R11" s="108">
        <v>9311.2244897959172</v>
      </c>
      <c r="S11" s="108">
        <f t="shared" si="6"/>
        <v>3.9690067974360175</v>
      </c>
      <c r="T11" s="108">
        <v>85</v>
      </c>
      <c r="U11" s="106">
        <f t="shared" si="11"/>
        <v>1.9294189257142926</v>
      </c>
      <c r="V11" s="127">
        <v>32.299999999999997</v>
      </c>
      <c r="W11" s="119">
        <f t="shared" si="12"/>
        <v>1.5092025223311027</v>
      </c>
      <c r="X11" s="128">
        <v>40.040400531970803</v>
      </c>
      <c r="Y11" s="120">
        <f t="shared" si="13"/>
        <v>1.6024984131617945</v>
      </c>
      <c r="Z11" s="153">
        <v>0.17</v>
      </c>
      <c r="AA11" s="127">
        <f t="shared" si="7"/>
        <v>6.8185861746161619E-2</v>
      </c>
      <c r="AB11" s="108">
        <v>18</v>
      </c>
      <c r="AC11" s="137">
        <f t="shared" si="14"/>
        <v>1.255272505103306</v>
      </c>
    </row>
    <row r="12" spans="1:29" x14ac:dyDescent="0.35">
      <c r="A12" s="143">
        <v>38288</v>
      </c>
      <c r="B12" s="83" t="s">
        <v>269</v>
      </c>
      <c r="C12" s="83">
        <f t="shared" si="0"/>
        <v>7</v>
      </c>
      <c r="D12" s="83">
        <v>274920000</v>
      </c>
      <c r="E12" s="83">
        <f t="shared" si="1"/>
        <v>8.4392063352370226</v>
      </c>
      <c r="F12" s="149">
        <v>38770</v>
      </c>
      <c r="G12" s="83">
        <v>207780000</v>
      </c>
      <c r="H12" s="145">
        <f t="shared" si="2"/>
        <v>1.3205479452054794</v>
      </c>
      <c r="I12" s="145">
        <f t="shared" si="8"/>
        <v>0.12075417378237484</v>
      </c>
      <c r="J12" s="106">
        <v>51</v>
      </c>
      <c r="K12" s="106">
        <f t="shared" si="3"/>
        <v>1.7160033436347992</v>
      </c>
      <c r="L12" s="59">
        <v>3.59</v>
      </c>
      <c r="M12" s="59">
        <f t="shared" si="9"/>
        <v>0.55509444857831913</v>
      </c>
      <c r="N12" s="154">
        <f t="shared" si="4"/>
        <v>-0.24421649934526413</v>
      </c>
      <c r="O12" s="119">
        <f t="shared" si="10"/>
        <v>-0.12160259330391791</v>
      </c>
      <c r="P12" s="106">
        <v>1630.2786555587475</v>
      </c>
      <c r="Q12" s="106">
        <f t="shared" si="5"/>
        <v>3.212261842580872</v>
      </c>
      <c r="R12" s="106">
        <v>8569.3766159149673</v>
      </c>
      <c r="S12" s="106">
        <f t="shared" si="6"/>
        <v>3.9329492300777744</v>
      </c>
      <c r="T12" s="106">
        <v>70</v>
      </c>
      <c r="U12" s="106">
        <f t="shared" si="11"/>
        <v>1.8450980400142569</v>
      </c>
      <c r="V12" s="119">
        <v>45.7</v>
      </c>
      <c r="W12" s="119">
        <f t="shared" si="12"/>
        <v>1.6599162000698502</v>
      </c>
      <c r="X12" s="120">
        <v>52.379377176281302</v>
      </c>
      <c r="Y12" s="120">
        <f t="shared" si="13"/>
        <v>1.7191603300855409</v>
      </c>
      <c r="Z12" s="152">
        <v>0.15</v>
      </c>
      <c r="AA12" s="119">
        <f t="shared" si="7"/>
        <v>6.069784035361165E-2</v>
      </c>
      <c r="AB12" s="106">
        <v>15</v>
      </c>
      <c r="AC12" s="137">
        <f t="shared" si="14"/>
        <v>1.1760912590556813</v>
      </c>
    </row>
    <row r="13" spans="1:29" x14ac:dyDescent="0.35">
      <c r="A13" s="146">
        <v>38457</v>
      </c>
      <c r="B13" s="84" t="s">
        <v>248</v>
      </c>
      <c r="C13" s="84">
        <f t="shared" si="0"/>
        <v>5</v>
      </c>
      <c r="D13" s="84">
        <v>43180000</v>
      </c>
      <c r="E13" s="84">
        <f t="shared" si="1"/>
        <v>7.6352826379982117</v>
      </c>
      <c r="F13" s="147">
        <v>41326</v>
      </c>
      <c r="G13" s="84">
        <v>973025000</v>
      </c>
      <c r="H13" s="148">
        <f t="shared" si="2"/>
        <v>7.86027397260274</v>
      </c>
      <c r="I13" s="145">
        <f t="shared" si="8"/>
        <v>0.89543768378952371</v>
      </c>
      <c r="J13" s="108">
        <v>167</v>
      </c>
      <c r="K13" s="108">
        <f t="shared" si="3"/>
        <v>2.2253092817258628</v>
      </c>
      <c r="L13" s="65">
        <v>3.42</v>
      </c>
      <c r="M13" s="59">
        <f t="shared" si="9"/>
        <v>0.53402610605613499</v>
      </c>
      <c r="N13" s="155">
        <f t="shared" si="4"/>
        <v>21.534159333024547</v>
      </c>
      <c r="O13" s="127">
        <f t="shared" si="10"/>
        <v>1.3528413607722642</v>
      </c>
      <c r="P13" s="108">
        <v>2099.9405116002381</v>
      </c>
      <c r="Q13" s="108">
        <f t="shared" si="5"/>
        <v>3.3222069919483515</v>
      </c>
      <c r="R13" s="108">
        <v>9071.9809637120761</v>
      </c>
      <c r="S13" s="108">
        <f t="shared" si="6"/>
        <v>3.9577021302433337</v>
      </c>
      <c r="T13" s="108">
        <v>70</v>
      </c>
      <c r="U13" s="106">
        <f t="shared" si="11"/>
        <v>1.8450980400142569</v>
      </c>
      <c r="V13" s="127">
        <v>42.6</v>
      </c>
      <c r="W13" s="119">
        <f t="shared" si="12"/>
        <v>1.6294095991027189</v>
      </c>
      <c r="X13" s="128">
        <v>42.063871143552703</v>
      </c>
      <c r="Y13" s="120">
        <f t="shared" si="13"/>
        <v>1.6239092383674194</v>
      </c>
      <c r="Z13" s="153">
        <v>0.31</v>
      </c>
      <c r="AA13" s="127">
        <f t="shared" si="7"/>
        <v>0.11727129565576427</v>
      </c>
      <c r="AB13" s="108">
        <v>2</v>
      </c>
      <c r="AC13" s="137">
        <f t="shared" si="14"/>
        <v>0.3010299956639812</v>
      </c>
    </row>
    <row r="14" spans="1:29" x14ac:dyDescent="0.35">
      <c r="A14" s="143">
        <v>38567</v>
      </c>
      <c r="B14" s="83" t="s">
        <v>235</v>
      </c>
      <c r="C14" s="83">
        <f t="shared" si="0"/>
        <v>1</v>
      </c>
      <c r="D14" s="83">
        <v>417060000</v>
      </c>
      <c r="E14" s="83">
        <f t="shared" si="1"/>
        <v>8.6201985388932822</v>
      </c>
      <c r="F14" s="144">
        <v>39239</v>
      </c>
      <c r="G14" s="83">
        <v>308200000</v>
      </c>
      <c r="H14" s="145">
        <f t="shared" si="2"/>
        <v>1.8410958904109589</v>
      </c>
      <c r="I14" s="145">
        <f t="shared" si="8"/>
        <v>0.26507640859735054</v>
      </c>
      <c r="J14" s="106">
        <v>13</v>
      </c>
      <c r="K14" s="106">
        <f t="shared" si="3"/>
        <v>1.146128035678238</v>
      </c>
      <c r="L14" s="59">
        <v>2.95</v>
      </c>
      <c r="M14" s="59">
        <f t="shared" si="9"/>
        <v>0.46982201597816303</v>
      </c>
      <c r="N14" s="154">
        <f t="shared" si="4"/>
        <v>-0.26101759938617941</v>
      </c>
      <c r="O14" s="119">
        <f t="shared" si="10"/>
        <v>-0.13136590451088112</v>
      </c>
      <c r="P14" s="106">
        <v>4192.5515477649324</v>
      </c>
      <c r="Q14" s="106">
        <f t="shared" si="5"/>
        <v>3.6224784109972026</v>
      </c>
      <c r="R14" s="106">
        <v>6098.886461718791</v>
      </c>
      <c r="S14" s="106">
        <f t="shared" si="6"/>
        <v>3.7852505485064163</v>
      </c>
      <c r="T14" s="106">
        <v>85</v>
      </c>
      <c r="U14" s="106">
        <f t="shared" si="11"/>
        <v>1.9294189257142926</v>
      </c>
      <c r="V14" s="119">
        <v>25.9</v>
      </c>
      <c r="W14" s="119">
        <f t="shared" si="12"/>
        <v>1.4132997640812519</v>
      </c>
      <c r="X14" s="120">
        <v>36.959146749272797</v>
      </c>
      <c r="Y14" s="120">
        <f t="shared" si="13"/>
        <v>1.5677219364019672</v>
      </c>
      <c r="Z14" s="152">
        <v>0.22</v>
      </c>
      <c r="AA14" s="119">
        <f t="shared" si="7"/>
        <v>8.6359830674748214E-2</v>
      </c>
      <c r="AB14" s="106">
        <v>21</v>
      </c>
      <c r="AC14" s="137">
        <f t="shared" si="14"/>
        <v>1.3222192947339193</v>
      </c>
    </row>
    <row r="15" spans="1:29" x14ac:dyDescent="0.35">
      <c r="A15" s="146">
        <v>38896</v>
      </c>
      <c r="B15" s="84" t="s">
        <v>326</v>
      </c>
      <c r="C15" s="84">
        <f t="shared" si="0"/>
        <v>8</v>
      </c>
      <c r="D15" s="84">
        <v>2250000000</v>
      </c>
      <c r="E15" s="84">
        <f t="shared" si="1"/>
        <v>9.3521825181113627</v>
      </c>
      <c r="F15" s="147">
        <v>41856</v>
      </c>
      <c r="G15" s="84">
        <v>1501300000</v>
      </c>
      <c r="H15" s="148">
        <f t="shared" si="2"/>
        <v>8.1095890410958908</v>
      </c>
      <c r="I15" s="145">
        <f t="shared" si="8"/>
        <v>0.90899884660246388</v>
      </c>
      <c r="J15" s="108">
        <v>39</v>
      </c>
      <c r="K15" s="108">
        <f t="shared" si="3"/>
        <v>1.6020599913279623</v>
      </c>
      <c r="L15" s="65">
        <v>2.95</v>
      </c>
      <c r="M15" s="59">
        <f t="shared" si="9"/>
        <v>0.46982201597816303</v>
      </c>
      <c r="N15" s="155">
        <f t="shared" si="4"/>
        <v>-0.33275555555555558</v>
      </c>
      <c r="O15" s="127">
        <f t="shared" si="10"/>
        <v>-0.17571503351222853</v>
      </c>
      <c r="P15" s="108">
        <v>1518.5350000000001</v>
      </c>
      <c r="Q15" s="108">
        <f t="shared" si="5"/>
        <v>3.1814248062191788</v>
      </c>
      <c r="R15" s="108">
        <v>5363.16</v>
      </c>
      <c r="S15" s="108">
        <f t="shared" si="6"/>
        <v>3.7294207535322617</v>
      </c>
      <c r="T15" s="108">
        <v>93.2</v>
      </c>
      <c r="U15" s="106">
        <f t="shared" si="11"/>
        <v>1.9694159123539814</v>
      </c>
      <c r="V15" s="127">
        <v>26.7</v>
      </c>
      <c r="W15" s="119">
        <f t="shared" si="12"/>
        <v>1.4265112613645752</v>
      </c>
      <c r="X15" s="128">
        <v>36.669158714517401</v>
      </c>
      <c r="Y15" s="120">
        <f t="shared" si="13"/>
        <v>1.5643009462345601</v>
      </c>
      <c r="Z15" s="153">
        <v>0.54</v>
      </c>
      <c r="AA15" s="127">
        <f t="shared" si="7"/>
        <v>0.18752072083646307</v>
      </c>
      <c r="AB15" s="108">
        <v>16</v>
      </c>
      <c r="AC15" s="137">
        <f t="shared" si="14"/>
        <v>1.2041199826559248</v>
      </c>
    </row>
    <row r="16" spans="1:29" x14ac:dyDescent="0.35">
      <c r="A16" s="143">
        <v>39006</v>
      </c>
      <c r="B16" s="83" t="s">
        <v>178</v>
      </c>
      <c r="C16" s="83">
        <f t="shared" si="0"/>
        <v>9</v>
      </c>
      <c r="D16" s="83">
        <v>1271390000</v>
      </c>
      <c r="E16" s="83">
        <f t="shared" si="1"/>
        <v>9.1042787912049477</v>
      </c>
      <c r="F16" s="144">
        <v>41288</v>
      </c>
      <c r="G16" s="83">
        <v>1015000000</v>
      </c>
      <c r="H16" s="145">
        <f t="shared" si="2"/>
        <v>6.2520547945205482</v>
      </c>
      <c r="I16" s="145">
        <f t="shared" si="8"/>
        <v>0.7960227756257211</v>
      </c>
      <c r="J16" s="106">
        <v>14</v>
      </c>
      <c r="K16" s="106">
        <f t="shared" si="3"/>
        <v>1.1760912590556813</v>
      </c>
      <c r="L16" s="59">
        <v>2.95</v>
      </c>
      <c r="M16" s="59">
        <f t="shared" si="9"/>
        <v>0.46982201597816303</v>
      </c>
      <c r="N16" s="154">
        <f t="shared" si="4"/>
        <v>-0.20166117399067163</v>
      </c>
      <c r="O16" s="119">
        <f t="shared" si="10"/>
        <v>-9.7812748955715761E-2</v>
      </c>
      <c r="P16" s="119">
        <v>1246.953</v>
      </c>
      <c r="Q16" s="106">
        <f t="shared" si="5"/>
        <v>3.0958500844125241</v>
      </c>
      <c r="R16" s="106">
        <v>3219.7179999999998</v>
      </c>
      <c r="S16" s="106">
        <f t="shared" si="6"/>
        <v>3.5078178355445662</v>
      </c>
      <c r="T16" s="106">
        <v>93.2</v>
      </c>
      <c r="U16" s="106">
        <f t="shared" si="11"/>
        <v>1.9694159123539814</v>
      </c>
      <c r="V16" s="119">
        <v>26.7</v>
      </c>
      <c r="W16" s="119">
        <f t="shared" si="12"/>
        <v>1.4265112613645752</v>
      </c>
      <c r="X16" s="120">
        <v>36.669158714517401</v>
      </c>
      <c r="Y16" s="120">
        <f t="shared" si="13"/>
        <v>1.5643009462345601</v>
      </c>
      <c r="Z16" s="152">
        <v>7.0000000000000007E-2</v>
      </c>
      <c r="AA16" s="119">
        <f t="shared" si="7"/>
        <v>2.9383777685209667E-2</v>
      </c>
      <c r="AB16" s="106">
        <v>19</v>
      </c>
      <c r="AC16" s="137">
        <f t="shared" si="14"/>
        <v>1.2787536009528289</v>
      </c>
    </row>
    <row r="17" spans="1:29" x14ac:dyDescent="0.35">
      <c r="A17" s="146">
        <v>39015</v>
      </c>
      <c r="B17" s="84" t="s">
        <v>248</v>
      </c>
      <c r="C17" s="84">
        <f t="shared" si="0"/>
        <v>5</v>
      </c>
      <c r="D17" s="84">
        <v>1640080000</v>
      </c>
      <c r="E17" s="84">
        <f t="shared" si="1"/>
        <v>9.2148650326276833</v>
      </c>
      <c r="F17" s="147">
        <v>41550</v>
      </c>
      <c r="G17" s="84">
        <v>1800000000</v>
      </c>
      <c r="H17" s="148">
        <f t="shared" si="2"/>
        <v>6.9452054794520546</v>
      </c>
      <c r="I17" s="145">
        <f t="shared" si="8"/>
        <v>0.84168509921288004</v>
      </c>
      <c r="J17" s="108">
        <v>37</v>
      </c>
      <c r="K17" s="108">
        <f t="shared" si="3"/>
        <v>1.5797835966168101</v>
      </c>
      <c r="L17" s="65">
        <v>2.95</v>
      </c>
      <c r="M17" s="59">
        <f t="shared" si="9"/>
        <v>0.46982201597816303</v>
      </c>
      <c r="N17" s="155">
        <f t="shared" si="4"/>
        <v>9.7507438661528667E-2</v>
      </c>
      <c r="O17" s="127">
        <f t="shared" si="10"/>
        <v>4.0407472475622833E-2</v>
      </c>
      <c r="P17" s="108">
        <v>1486.1596345068529</v>
      </c>
      <c r="Q17" s="108">
        <f t="shared" si="5"/>
        <v>3.172065461283164</v>
      </c>
      <c r="R17" s="108">
        <v>7950.819672131146</v>
      </c>
      <c r="S17" s="108">
        <f t="shared" si="6"/>
        <v>3.9004119035914964</v>
      </c>
      <c r="T17" s="108">
        <v>93.2</v>
      </c>
      <c r="U17" s="106">
        <f t="shared" si="11"/>
        <v>1.9694159123539814</v>
      </c>
      <c r="V17" s="127">
        <v>26.7</v>
      </c>
      <c r="W17" s="119">
        <f t="shared" si="12"/>
        <v>1.4265112613645752</v>
      </c>
      <c r="X17" s="128">
        <v>36.669158714517401</v>
      </c>
      <c r="Y17" s="120">
        <f t="shared" si="13"/>
        <v>1.5643009462345601</v>
      </c>
      <c r="Z17" s="153">
        <v>0.21</v>
      </c>
      <c r="AA17" s="127">
        <f t="shared" si="7"/>
        <v>8.2785370316450071E-2</v>
      </c>
      <c r="AB17" s="108">
        <v>14</v>
      </c>
      <c r="AC17" s="137">
        <f t="shared" si="14"/>
        <v>1.146128035678238</v>
      </c>
    </row>
    <row r="18" spans="1:29" x14ac:dyDescent="0.35">
      <c r="A18" s="143">
        <v>39113</v>
      </c>
      <c r="B18" s="83" t="s">
        <v>186</v>
      </c>
      <c r="C18" s="83">
        <f t="shared" si="0"/>
        <v>4</v>
      </c>
      <c r="D18" s="83">
        <v>141600000</v>
      </c>
      <c r="E18" s="83">
        <f t="shared" si="1"/>
        <v>8.151063253353751</v>
      </c>
      <c r="F18" s="144">
        <v>41047</v>
      </c>
      <c r="G18" s="83">
        <v>221500000</v>
      </c>
      <c r="H18" s="145">
        <f t="shared" si="2"/>
        <v>5.2986301369863016</v>
      </c>
      <c r="I18" s="145">
        <f t="shared" si="8"/>
        <v>0.72416360529050816</v>
      </c>
      <c r="J18" s="106">
        <v>7</v>
      </c>
      <c r="K18" s="106">
        <f t="shared" si="3"/>
        <v>0.90308998699194354</v>
      </c>
      <c r="L18" s="59">
        <v>2.95</v>
      </c>
      <c r="M18" s="59">
        <f t="shared" si="9"/>
        <v>0.46982201597816303</v>
      </c>
      <c r="N18" s="154">
        <f t="shared" si="4"/>
        <v>0.56426553672316393</v>
      </c>
      <c r="O18" s="119">
        <f t="shared" si="10"/>
        <v>0.19431047720533817</v>
      </c>
      <c r="P18" s="106">
        <v>2652.825836216839</v>
      </c>
      <c r="Q18" s="106">
        <f t="shared" si="5"/>
        <v>3.4237087385413827</v>
      </c>
      <c r="R18" s="106">
        <v>4960.527482912571</v>
      </c>
      <c r="S18" s="106">
        <f t="shared" si="6"/>
        <v>3.6955278601067114</v>
      </c>
      <c r="T18" s="106">
        <v>91.4</v>
      </c>
      <c r="U18" s="106">
        <f t="shared" si="11"/>
        <v>1.9609461957338314</v>
      </c>
      <c r="V18" s="119">
        <v>26.7</v>
      </c>
      <c r="W18" s="119">
        <f t="shared" si="12"/>
        <v>1.4265112613645752</v>
      </c>
      <c r="X18" s="120">
        <v>37.425715444240403</v>
      </c>
      <c r="Y18" s="120">
        <f t="shared" si="13"/>
        <v>1.5731701112332821</v>
      </c>
      <c r="Z18" s="152">
        <v>-0.1</v>
      </c>
      <c r="AA18" s="119">
        <f t="shared" si="7"/>
        <v>-4.5757490560675115E-2</v>
      </c>
      <c r="AB18" s="106">
        <v>18</v>
      </c>
      <c r="AC18" s="137">
        <f t="shared" si="14"/>
        <v>1.255272505103306</v>
      </c>
    </row>
    <row r="19" spans="1:29" x14ac:dyDescent="0.35">
      <c r="A19" s="146">
        <v>39174</v>
      </c>
      <c r="B19" s="84" t="s">
        <v>248</v>
      </c>
      <c r="C19" s="84">
        <f t="shared" si="0"/>
        <v>5</v>
      </c>
      <c r="D19" s="84">
        <v>409000000</v>
      </c>
      <c r="E19" s="84">
        <f t="shared" si="1"/>
        <v>8.6117233080073419</v>
      </c>
      <c r="F19" s="147">
        <v>40314</v>
      </c>
      <c r="G19" s="84">
        <v>0</v>
      </c>
      <c r="H19" s="148">
        <f t="shared" si="2"/>
        <v>3.1232876712328768</v>
      </c>
      <c r="I19" s="145">
        <f t="shared" si="8"/>
        <v>0.49461198687999791</v>
      </c>
      <c r="J19" s="108">
        <v>18</v>
      </c>
      <c r="K19" s="108">
        <f t="shared" si="3"/>
        <v>1.2787536009528289</v>
      </c>
      <c r="L19" s="65">
        <v>2.95</v>
      </c>
      <c r="M19" s="59">
        <f t="shared" si="9"/>
        <v>0.46982201597816303</v>
      </c>
      <c r="N19" s="155">
        <f t="shared" si="4"/>
        <v>-1</v>
      </c>
      <c r="O19" s="127">
        <f t="shared" si="10"/>
        <v>-1</v>
      </c>
      <c r="P19" s="108">
        <v>1663.3600000000004</v>
      </c>
      <c r="Q19" s="108">
        <f t="shared" si="5"/>
        <v>3.2209862534849001</v>
      </c>
      <c r="R19" s="57">
        <v>9531.5199999999986</v>
      </c>
      <c r="S19" s="108">
        <f t="shared" si="6"/>
        <v>3.979162163489756</v>
      </c>
      <c r="T19" s="108">
        <v>91.4</v>
      </c>
      <c r="U19" s="106">
        <f t="shared" si="11"/>
        <v>1.9609461957338314</v>
      </c>
      <c r="V19" s="127">
        <v>26.7</v>
      </c>
      <c r="W19" s="119">
        <f t="shared" si="12"/>
        <v>1.4265112613645752</v>
      </c>
      <c r="X19" s="128">
        <v>37.425715444240403</v>
      </c>
      <c r="Y19" s="120">
        <f t="shared" si="13"/>
        <v>1.5731701112332821</v>
      </c>
      <c r="Z19" s="153">
        <v>-0.2</v>
      </c>
      <c r="AA19" s="127">
        <f t="shared" si="7"/>
        <v>-9.6910013008056392E-2</v>
      </c>
      <c r="AB19" s="108">
        <v>46</v>
      </c>
      <c r="AC19" s="137">
        <f t="shared" si="14"/>
        <v>1.6627578316815741</v>
      </c>
    </row>
    <row r="20" spans="1:29" x14ac:dyDescent="0.35">
      <c r="A20" s="143">
        <v>39263</v>
      </c>
      <c r="B20" s="83" t="s">
        <v>245</v>
      </c>
      <c r="C20" s="83">
        <f t="shared" si="0"/>
        <v>6</v>
      </c>
      <c r="D20" s="83">
        <v>98100000</v>
      </c>
      <c r="E20" s="83">
        <f t="shared" si="1"/>
        <v>7.9916690073799481</v>
      </c>
      <c r="F20" s="144">
        <v>40529</v>
      </c>
      <c r="G20" s="83">
        <v>135160019</v>
      </c>
      <c r="H20" s="145">
        <f t="shared" si="2"/>
        <v>3.4684931506849317</v>
      </c>
      <c r="I20" s="145">
        <f t="shared" si="8"/>
        <v>0.54014084122486161</v>
      </c>
      <c r="J20" s="106">
        <v>26</v>
      </c>
      <c r="K20" s="106">
        <f t="shared" si="3"/>
        <v>1.4313637641589874</v>
      </c>
      <c r="L20" s="59">
        <v>2.95</v>
      </c>
      <c r="M20" s="59">
        <f t="shared" si="9"/>
        <v>0.46982201597816303</v>
      </c>
      <c r="N20" s="154">
        <f t="shared" si="4"/>
        <v>0.37777797145769632</v>
      </c>
      <c r="O20" s="119">
        <f t="shared" si="10"/>
        <v>0.13917923677347679</v>
      </c>
      <c r="P20" s="106">
        <v>2800</v>
      </c>
      <c r="Q20" s="106">
        <f t="shared" si="5"/>
        <v>3.4471580313422194</v>
      </c>
      <c r="R20" s="106">
        <v>6800</v>
      </c>
      <c r="S20" s="106">
        <f t="shared" si="6"/>
        <v>3.8325089127062362</v>
      </c>
      <c r="T20" s="106">
        <v>91.4</v>
      </c>
      <c r="U20" s="106">
        <f t="shared" si="11"/>
        <v>1.9609461957338314</v>
      </c>
      <c r="V20" s="119">
        <v>26.7</v>
      </c>
      <c r="W20" s="119">
        <f t="shared" si="12"/>
        <v>1.4265112613645752</v>
      </c>
      <c r="X20" s="120">
        <v>37.425715444240403</v>
      </c>
      <c r="Y20" s="120">
        <f t="shared" si="13"/>
        <v>1.5731701112332821</v>
      </c>
      <c r="Z20" s="152">
        <v>-0.17</v>
      </c>
      <c r="AA20" s="119">
        <f t="shared" si="7"/>
        <v>-8.092190762392612E-2</v>
      </c>
      <c r="AB20" s="106">
        <v>23</v>
      </c>
      <c r="AC20" s="137">
        <f t="shared" si="14"/>
        <v>1.3617278360175928</v>
      </c>
    </row>
    <row r="21" spans="1:29" x14ac:dyDescent="0.35">
      <c r="A21" s="146">
        <v>39377</v>
      </c>
      <c r="B21" s="84" t="s">
        <v>248</v>
      </c>
      <c r="C21" s="84">
        <f t="shared" si="0"/>
        <v>5</v>
      </c>
      <c r="D21" s="84">
        <v>2607640000</v>
      </c>
      <c r="E21" s="84">
        <f t="shared" si="1"/>
        <v>9.4162476342971413</v>
      </c>
      <c r="F21" s="147">
        <v>41215</v>
      </c>
      <c r="G21" s="84">
        <v>3700000000</v>
      </c>
      <c r="H21" s="148">
        <f t="shared" si="2"/>
        <v>5.0356164383561648</v>
      </c>
      <c r="I21" s="145">
        <f t="shared" si="8"/>
        <v>0.70205264259361777</v>
      </c>
      <c r="J21" s="108">
        <v>32</v>
      </c>
      <c r="K21" s="108">
        <f t="shared" si="3"/>
        <v>1.5185139398778875</v>
      </c>
      <c r="L21" s="65">
        <v>2.95</v>
      </c>
      <c r="M21" s="59">
        <f t="shared" si="9"/>
        <v>0.46982201597816303</v>
      </c>
      <c r="N21" s="155">
        <f t="shared" si="4"/>
        <v>0.4189075179089139</v>
      </c>
      <c r="O21" s="127">
        <f t="shared" si="10"/>
        <v>0.15195408976985428</v>
      </c>
      <c r="P21" s="108">
        <v>2108.7257617728528</v>
      </c>
      <c r="Q21" s="108">
        <f t="shared" si="5"/>
        <v>3.3240201037352737</v>
      </c>
      <c r="R21" s="108">
        <v>5865.6509695290861</v>
      </c>
      <c r="S21" s="108">
        <f t="shared" si="6"/>
        <v>3.7683162170970865</v>
      </c>
      <c r="T21" s="108">
        <v>91.4</v>
      </c>
      <c r="U21" s="106">
        <f t="shared" si="11"/>
        <v>1.9609461957338314</v>
      </c>
      <c r="V21" s="127">
        <v>26.7</v>
      </c>
      <c r="W21" s="119">
        <f t="shared" si="12"/>
        <v>1.4265112613645752</v>
      </c>
      <c r="X21" s="128">
        <v>37.425715444240403</v>
      </c>
      <c r="Y21" s="120">
        <f t="shared" si="13"/>
        <v>1.5731701112332821</v>
      </c>
      <c r="Z21" s="153">
        <v>-0.06</v>
      </c>
      <c r="AA21" s="127">
        <f t="shared" si="7"/>
        <v>-2.6872146400301365E-2</v>
      </c>
      <c r="AB21" s="108">
        <v>23</v>
      </c>
      <c r="AC21" s="137">
        <f t="shared" si="14"/>
        <v>1.3617278360175928</v>
      </c>
    </row>
    <row r="22" spans="1:29" x14ac:dyDescent="0.35">
      <c r="A22" s="143">
        <v>39486</v>
      </c>
      <c r="B22" s="83" t="s">
        <v>235</v>
      </c>
      <c r="C22" s="83">
        <f t="shared" si="0"/>
        <v>1</v>
      </c>
      <c r="D22" s="83">
        <v>1570750000</v>
      </c>
      <c r="E22" s="83">
        <f t="shared" si="1"/>
        <v>9.1961070683879775</v>
      </c>
      <c r="F22" s="144">
        <v>41243</v>
      </c>
      <c r="G22" s="83">
        <v>0</v>
      </c>
      <c r="H22" s="145">
        <f t="shared" si="2"/>
        <v>4.8136986301369866</v>
      </c>
      <c r="I22" s="145">
        <f t="shared" si="8"/>
        <v>0.68247889703882025</v>
      </c>
      <c r="J22" s="106">
        <v>96</v>
      </c>
      <c r="K22" s="106">
        <f t="shared" si="3"/>
        <v>1.9867717342662448</v>
      </c>
      <c r="L22" s="59">
        <v>3.29</v>
      </c>
      <c r="M22" s="59">
        <f t="shared" si="9"/>
        <v>0.51719589794997434</v>
      </c>
      <c r="N22" s="154">
        <f t="shared" si="4"/>
        <v>-1</v>
      </c>
      <c r="O22" s="119">
        <f t="shared" si="10"/>
        <v>-1</v>
      </c>
      <c r="P22" s="106">
        <v>1564.6831074825357</v>
      </c>
      <c r="Q22" s="106">
        <f t="shared" si="5"/>
        <v>3.1944263938906516</v>
      </c>
      <c r="R22" s="106">
        <v>8454.6755323625966</v>
      </c>
      <c r="S22" s="106">
        <f t="shared" si="6"/>
        <v>3.9270969452030209</v>
      </c>
      <c r="T22" s="106">
        <v>90.8</v>
      </c>
      <c r="U22" s="106">
        <f t="shared" si="11"/>
        <v>1.958085848521085</v>
      </c>
      <c r="V22" s="119">
        <v>32.299999999999997</v>
      </c>
      <c r="W22" s="119">
        <f t="shared" si="12"/>
        <v>1.5092025223311027</v>
      </c>
      <c r="X22" s="120">
        <v>44.4007960521485</v>
      </c>
      <c r="Y22" s="120">
        <f t="shared" si="13"/>
        <v>1.6473907565550749</v>
      </c>
      <c r="Z22" s="152">
        <v>0.06</v>
      </c>
      <c r="AA22" s="119">
        <f t="shared" si="7"/>
        <v>2.5305865264770262E-2</v>
      </c>
      <c r="AB22" s="106">
        <v>40</v>
      </c>
      <c r="AC22" s="137">
        <f t="shared" si="14"/>
        <v>1.6020599913279623</v>
      </c>
    </row>
    <row r="23" spans="1:29" x14ac:dyDescent="0.35">
      <c r="A23" s="146">
        <v>40076</v>
      </c>
      <c r="B23" s="84" t="s">
        <v>245</v>
      </c>
      <c r="C23" s="84">
        <f t="shared" si="0"/>
        <v>6</v>
      </c>
      <c r="D23" s="84">
        <v>222300000</v>
      </c>
      <c r="E23" s="84">
        <f t="shared" si="1"/>
        <v>8.346939462698991</v>
      </c>
      <c r="F23" s="147">
        <v>43238</v>
      </c>
      <c r="G23" s="84">
        <v>482708888</v>
      </c>
      <c r="H23" s="148">
        <f t="shared" si="2"/>
        <v>8.6630136986301363</v>
      </c>
      <c r="I23" s="145">
        <f t="shared" si="8"/>
        <v>0.93766900113971552</v>
      </c>
      <c r="J23" s="108">
        <v>5</v>
      </c>
      <c r="K23" s="108">
        <f t="shared" si="3"/>
        <v>0.77815125038364363</v>
      </c>
      <c r="L23" s="65">
        <v>3.29</v>
      </c>
      <c r="M23" s="59">
        <f t="shared" si="9"/>
        <v>0.51719589794997434</v>
      </c>
      <c r="N23" s="155">
        <f t="shared" si="4"/>
        <v>1.1714299955015743</v>
      </c>
      <c r="O23" s="127">
        <f t="shared" si="10"/>
        <v>0.33674583275077291</v>
      </c>
      <c r="P23" s="108">
        <v>1861.76</v>
      </c>
      <c r="Q23" s="108">
        <f t="shared" si="5"/>
        <v>3.2699236952309465</v>
      </c>
      <c r="R23" s="108">
        <v>4993.92</v>
      </c>
      <c r="S23" s="108">
        <f t="shared" si="6"/>
        <v>3.6984415808994222</v>
      </c>
      <c r="T23" s="108">
        <v>89.8</v>
      </c>
      <c r="U23" s="106">
        <f t="shared" si="11"/>
        <v>1.9532763366673043</v>
      </c>
      <c r="V23" s="127">
        <v>31.2</v>
      </c>
      <c r="W23" s="119">
        <f t="shared" si="12"/>
        <v>1.4941545940184429</v>
      </c>
      <c r="X23" s="128">
        <v>47.307367293927399</v>
      </c>
      <c r="Y23" s="120">
        <f t="shared" si="13"/>
        <v>1.6749287797641836</v>
      </c>
      <c r="Z23" s="153">
        <v>1.54</v>
      </c>
      <c r="AA23" s="127">
        <f t="shared" si="7"/>
        <v>0.40483371661993806</v>
      </c>
      <c r="AB23" s="108">
        <v>24</v>
      </c>
      <c r="AC23" s="137">
        <f t="shared" si="14"/>
        <v>1.3802112417116059</v>
      </c>
    </row>
    <row r="24" spans="1:29" x14ac:dyDescent="0.35">
      <c r="A24" s="143">
        <v>40220</v>
      </c>
      <c r="B24" s="83" t="s">
        <v>245</v>
      </c>
      <c r="C24" s="83">
        <f t="shared" si="0"/>
        <v>6</v>
      </c>
      <c r="D24" s="83">
        <v>185000000</v>
      </c>
      <c r="E24" s="83">
        <f t="shared" si="1"/>
        <v>8.2671717284030137</v>
      </c>
      <c r="F24" s="144">
        <v>41355</v>
      </c>
      <c r="G24" s="83">
        <v>446317819</v>
      </c>
      <c r="H24" s="145">
        <f t="shared" si="2"/>
        <v>3.1095890410958904</v>
      </c>
      <c r="I24" s="145">
        <f t="shared" si="8"/>
        <v>0.49270299707266679</v>
      </c>
      <c r="J24" s="106">
        <v>10</v>
      </c>
      <c r="K24" s="106">
        <f t="shared" si="3"/>
        <v>1.0413926851582251</v>
      </c>
      <c r="L24" s="59">
        <v>3.29</v>
      </c>
      <c r="M24" s="59">
        <f t="shared" si="9"/>
        <v>0.51719589794997434</v>
      </c>
      <c r="N24" s="154">
        <f t="shared" si="4"/>
        <v>1.4125287513513514</v>
      </c>
      <c r="O24" s="119">
        <f t="shared" si="10"/>
        <v>0.38247249775835224</v>
      </c>
      <c r="P24" s="106">
        <v>1539.0581717451521</v>
      </c>
      <c r="Q24" s="106">
        <f t="shared" si="5"/>
        <v>3.1872550351599198</v>
      </c>
      <c r="R24" s="64">
        <v>7713.0193905817187</v>
      </c>
      <c r="S24" s="106">
        <f t="shared" si="6"/>
        <v>3.8872244231830928</v>
      </c>
      <c r="T24" s="106">
        <v>94.9</v>
      </c>
      <c r="U24" s="106">
        <f t="shared" si="11"/>
        <v>1.9772662124272926</v>
      </c>
      <c r="V24" s="119">
        <v>32.299999999999997</v>
      </c>
      <c r="W24" s="119">
        <f t="shared" si="12"/>
        <v>1.5092025223311027</v>
      </c>
      <c r="X24" s="120">
        <v>47.560703662314701</v>
      </c>
      <c r="Y24" s="120">
        <f t="shared" si="13"/>
        <v>1.6772482713966061</v>
      </c>
      <c r="Z24" s="152">
        <v>0.44</v>
      </c>
      <c r="AA24" s="119">
        <f t="shared" si="7"/>
        <v>0.15836249209524964</v>
      </c>
      <c r="AB24" s="106">
        <v>11</v>
      </c>
      <c r="AC24" s="137">
        <f t="shared" si="14"/>
        <v>1.0413926851582251</v>
      </c>
    </row>
    <row r="25" spans="1:29" x14ac:dyDescent="0.35">
      <c r="A25" s="146">
        <v>40441</v>
      </c>
      <c r="B25" s="84" t="s">
        <v>178</v>
      </c>
      <c r="C25" s="84">
        <f t="shared" si="0"/>
        <v>9</v>
      </c>
      <c r="D25" s="84">
        <v>537340000</v>
      </c>
      <c r="E25" s="84">
        <f t="shared" si="1"/>
        <v>8.7302491709849903</v>
      </c>
      <c r="F25" s="147">
        <v>41793</v>
      </c>
      <c r="G25" s="84">
        <v>1100000000</v>
      </c>
      <c r="H25" s="148">
        <f t="shared" si="2"/>
        <v>3.7041095890410958</v>
      </c>
      <c r="I25" s="145">
        <f t="shared" si="8"/>
        <v>0.56868382714914245</v>
      </c>
      <c r="J25" s="108">
        <v>12</v>
      </c>
      <c r="K25" s="108">
        <f t="shared" si="3"/>
        <v>1.1139433523068367</v>
      </c>
      <c r="L25" s="65">
        <v>2.95</v>
      </c>
      <c r="M25" s="59">
        <f t="shared" si="9"/>
        <v>0.46982201597816303</v>
      </c>
      <c r="N25" s="155">
        <f t="shared" si="4"/>
        <v>1.0471210034614957</v>
      </c>
      <c r="O25" s="127">
        <f t="shared" si="10"/>
        <v>0.31114351417323516</v>
      </c>
      <c r="P25" s="108">
        <v>2108.7257617728528</v>
      </c>
      <c r="Q25" s="108">
        <f t="shared" si="5"/>
        <v>3.3240201037352737</v>
      </c>
      <c r="R25" s="108">
        <v>5865.6509695290861</v>
      </c>
      <c r="S25" s="108">
        <f t="shared" si="6"/>
        <v>3.7683162170970865</v>
      </c>
      <c r="T25" s="108">
        <v>91.3</v>
      </c>
      <c r="U25" s="106">
        <f t="shared" si="11"/>
        <v>1.9604707775342989</v>
      </c>
      <c r="V25" s="127">
        <v>23.5</v>
      </c>
      <c r="W25" s="119">
        <f t="shared" si="12"/>
        <v>1.3710678622717363</v>
      </c>
      <c r="X25" s="128">
        <v>43.1672842383418</v>
      </c>
      <c r="Y25" s="120">
        <f t="shared" si="13"/>
        <v>1.6351547269652249</v>
      </c>
      <c r="Z25" s="153">
        <v>0.68</v>
      </c>
      <c r="AA25" s="127">
        <f t="shared" si="7"/>
        <v>0.2253092817258629</v>
      </c>
      <c r="AB25" s="108">
        <v>26</v>
      </c>
      <c r="AC25" s="137">
        <f t="shared" si="14"/>
        <v>1.414973347970818</v>
      </c>
    </row>
    <row r="26" spans="1:29" x14ac:dyDescent="0.35">
      <c r="A26" s="143">
        <v>40508</v>
      </c>
      <c r="B26" s="83" t="s">
        <v>186</v>
      </c>
      <c r="C26" s="83">
        <f t="shared" si="0"/>
        <v>4</v>
      </c>
      <c r="D26" s="83">
        <v>517570000</v>
      </c>
      <c r="E26" s="83">
        <f t="shared" si="1"/>
        <v>8.713969095303522</v>
      </c>
      <c r="F26" s="144">
        <v>42921</v>
      </c>
      <c r="G26" s="83">
        <v>800000000</v>
      </c>
      <c r="H26" s="145">
        <f t="shared" si="2"/>
        <v>6.6109589041095891</v>
      </c>
      <c r="I26" s="145">
        <f t="shared" si="8"/>
        <v>0.82026445745231114</v>
      </c>
      <c r="J26" s="106">
        <v>15</v>
      </c>
      <c r="K26" s="106">
        <f t="shared" si="3"/>
        <v>1.2041199826559248</v>
      </c>
      <c r="L26" s="59">
        <v>2.95</v>
      </c>
      <c r="M26" s="59">
        <f t="shared" si="9"/>
        <v>0.46982201597816303</v>
      </c>
      <c r="N26" s="154">
        <f t="shared" si="4"/>
        <v>0.54568464169097908</v>
      </c>
      <c r="O26" s="119">
        <f t="shared" si="10"/>
        <v>0.18912089168842117</v>
      </c>
      <c r="P26" s="106">
        <v>2210.8843537414964</v>
      </c>
      <c r="Q26" s="106">
        <f t="shared" si="5"/>
        <v>3.3445660262306984</v>
      </c>
      <c r="R26" s="64">
        <v>9535.1473922902496</v>
      </c>
      <c r="S26" s="106">
        <f t="shared" si="6"/>
        <v>3.9793274106660923</v>
      </c>
      <c r="T26" s="106">
        <v>91.3</v>
      </c>
      <c r="U26" s="106">
        <f t="shared" si="11"/>
        <v>1.9604707775342989</v>
      </c>
      <c r="V26" s="119">
        <v>23.5</v>
      </c>
      <c r="W26" s="119">
        <f t="shared" si="12"/>
        <v>1.3710678622717363</v>
      </c>
      <c r="X26" s="120">
        <v>43.1672842383418</v>
      </c>
      <c r="Y26" s="120">
        <f t="shared" si="13"/>
        <v>1.6351547269652249</v>
      </c>
      <c r="Z26" s="152">
        <v>1.05</v>
      </c>
      <c r="AA26" s="119">
        <f t="shared" si="7"/>
        <v>0.31175386105575426</v>
      </c>
      <c r="AB26" s="106">
        <v>18</v>
      </c>
      <c r="AC26" s="137">
        <f t="shared" si="14"/>
        <v>1.255272505103306</v>
      </c>
    </row>
    <row r="27" spans="1:29" x14ac:dyDescent="0.35">
      <c r="A27" s="146">
        <v>40886</v>
      </c>
      <c r="B27" s="84" t="s">
        <v>178</v>
      </c>
      <c r="C27" s="84">
        <f t="shared" si="0"/>
        <v>9</v>
      </c>
      <c r="D27" s="84">
        <v>942940000</v>
      </c>
      <c r="E27" s="84">
        <f t="shared" si="1"/>
        <v>8.9744840591234034</v>
      </c>
      <c r="F27" s="147">
        <v>42150</v>
      </c>
      <c r="G27" s="84">
        <v>2400000000</v>
      </c>
      <c r="H27" s="148">
        <f t="shared" si="2"/>
        <v>3.463013698630137</v>
      </c>
      <c r="I27" s="145">
        <f t="shared" si="8"/>
        <v>0.53945420948989153</v>
      </c>
      <c r="J27" s="108">
        <v>15</v>
      </c>
      <c r="K27" s="108">
        <f t="shared" si="3"/>
        <v>1.2041199826559248</v>
      </c>
      <c r="L27" s="65">
        <v>2.95</v>
      </c>
      <c r="M27" s="59">
        <f t="shared" si="9"/>
        <v>0.46982201597816303</v>
      </c>
      <c r="N27" s="155">
        <f t="shared" si="4"/>
        <v>1.5452308736504974</v>
      </c>
      <c r="O27" s="127">
        <f t="shared" si="10"/>
        <v>0.40572718258820278</v>
      </c>
      <c r="P27" s="108">
        <v>1392.6493823613905</v>
      </c>
      <c r="Q27" s="108">
        <f t="shared" si="5"/>
        <v>3.1438417908875378</v>
      </c>
      <c r="R27" s="57">
        <v>3625.2154553289279</v>
      </c>
      <c r="S27" s="108">
        <f t="shared" si="6"/>
        <v>3.5593338228462725</v>
      </c>
      <c r="T27" s="108">
        <v>91</v>
      </c>
      <c r="U27" s="106">
        <f t="shared" si="11"/>
        <v>1.9590413923210936</v>
      </c>
      <c r="V27" s="127">
        <v>23.9</v>
      </c>
      <c r="W27" s="119">
        <f t="shared" si="12"/>
        <v>1.3783979009481377</v>
      </c>
      <c r="X27" s="128">
        <v>42.048698215007001</v>
      </c>
      <c r="Y27" s="120">
        <f t="shared" si="13"/>
        <v>1.6237525550259535</v>
      </c>
      <c r="Z27" s="153">
        <v>0.68</v>
      </c>
      <c r="AA27" s="127">
        <f t="shared" si="7"/>
        <v>0.2253092817258629</v>
      </c>
      <c r="AB27" s="108">
        <v>21</v>
      </c>
      <c r="AC27" s="137">
        <f t="shared" si="14"/>
        <v>1.3222192947339193</v>
      </c>
    </row>
    <row r="28" spans="1:29" x14ac:dyDescent="0.35">
      <c r="A28" s="143">
        <v>41148</v>
      </c>
      <c r="B28" s="83" t="s">
        <v>178</v>
      </c>
      <c r="C28" s="83">
        <f t="shared" si="0"/>
        <v>9</v>
      </c>
      <c r="D28" s="83">
        <v>1028500000</v>
      </c>
      <c r="E28" s="83">
        <f t="shared" si="1"/>
        <v>9.0122042960307436</v>
      </c>
      <c r="F28" s="144">
        <v>42732</v>
      </c>
      <c r="G28" s="83">
        <v>2800000000</v>
      </c>
      <c r="H28" s="145">
        <f t="shared" si="2"/>
        <v>4.3397260273972602</v>
      </c>
      <c r="I28" s="145">
        <f t="shared" si="8"/>
        <v>0.63746231279699994</v>
      </c>
      <c r="J28" s="106">
        <v>29</v>
      </c>
      <c r="K28" s="106">
        <f t="shared" si="3"/>
        <v>1.4771212547196624</v>
      </c>
      <c r="L28" s="59">
        <v>2.95</v>
      </c>
      <c r="M28" s="59">
        <f t="shared" si="9"/>
        <v>0.46982201597816303</v>
      </c>
      <c r="N28" s="154">
        <f t="shared" si="4"/>
        <v>1.7224112785610113</v>
      </c>
      <c r="O28" s="119">
        <f t="shared" si="10"/>
        <v>0.43495373531147641</v>
      </c>
      <c r="P28" s="106">
        <v>4989.5876718034151</v>
      </c>
      <c r="Q28" s="106">
        <f t="shared" si="5"/>
        <v>3.698064657996265</v>
      </c>
      <c r="R28" s="64">
        <v>9014.9937526030826</v>
      </c>
      <c r="S28" s="106">
        <f t="shared" si="6"/>
        <v>3.9549654300921482</v>
      </c>
      <c r="T28" s="106">
        <v>91.1</v>
      </c>
      <c r="U28" s="106">
        <f t="shared" si="11"/>
        <v>1.9595183769729982</v>
      </c>
      <c r="V28" s="119">
        <v>24.1</v>
      </c>
      <c r="W28" s="119">
        <f t="shared" si="12"/>
        <v>1.3820170425748683</v>
      </c>
      <c r="X28" s="120">
        <v>40.229046020662899</v>
      </c>
      <c r="Y28" s="120">
        <f t="shared" si="13"/>
        <v>1.6045397339663818</v>
      </c>
      <c r="Z28" s="152">
        <v>0.6</v>
      </c>
      <c r="AA28" s="119">
        <f t="shared" si="7"/>
        <v>0.20411998265592479</v>
      </c>
      <c r="AB28" s="106">
        <v>4</v>
      </c>
      <c r="AC28" s="137">
        <f t="shared" si="14"/>
        <v>0.6020599913279624</v>
      </c>
    </row>
    <row r="29" spans="1:29" x14ac:dyDescent="0.35">
      <c r="A29" s="146">
        <v>41204</v>
      </c>
      <c r="B29" s="84" t="s">
        <v>178</v>
      </c>
      <c r="C29" s="84">
        <f t="shared" si="0"/>
        <v>9</v>
      </c>
      <c r="D29" s="84">
        <v>1441900000</v>
      </c>
      <c r="E29" s="84">
        <f t="shared" si="1"/>
        <v>9.1589351418299181</v>
      </c>
      <c r="F29" s="147">
        <v>42513</v>
      </c>
      <c r="G29" s="84">
        <v>2600000000</v>
      </c>
      <c r="H29" s="148">
        <f t="shared" si="2"/>
        <v>3.5863013698630137</v>
      </c>
      <c r="I29" s="145">
        <f t="shared" si="8"/>
        <v>0.55464678209428109</v>
      </c>
      <c r="J29" s="108">
        <v>29</v>
      </c>
      <c r="K29" s="108">
        <f t="shared" si="3"/>
        <v>1.4771212547196624</v>
      </c>
      <c r="L29" s="65">
        <v>2.95</v>
      </c>
      <c r="M29" s="59">
        <f t="shared" si="9"/>
        <v>0.46982201597816303</v>
      </c>
      <c r="N29" s="155">
        <f t="shared" si="4"/>
        <v>0.80317636451903729</v>
      </c>
      <c r="O29" s="127">
        <f t="shared" si="10"/>
        <v>0.25603820614089967</v>
      </c>
      <c r="P29" s="108">
        <v>1861.76</v>
      </c>
      <c r="Q29" s="108">
        <f t="shared" si="5"/>
        <v>3.2699236952309465</v>
      </c>
      <c r="R29" s="108">
        <v>4993.92</v>
      </c>
      <c r="S29" s="108">
        <f t="shared" si="6"/>
        <v>3.6984415808994222</v>
      </c>
      <c r="T29" s="108">
        <v>91.1</v>
      </c>
      <c r="U29" s="106">
        <f t="shared" si="11"/>
        <v>1.9595183769729982</v>
      </c>
      <c r="V29" s="127">
        <v>24.1</v>
      </c>
      <c r="W29" s="119">
        <f t="shared" si="12"/>
        <v>1.3820170425748683</v>
      </c>
      <c r="X29" s="128">
        <v>40.229046020662899</v>
      </c>
      <c r="Y29" s="120">
        <f t="shared" si="13"/>
        <v>1.6045397339663818</v>
      </c>
      <c r="Z29" s="153">
        <v>0.43</v>
      </c>
      <c r="AA29" s="127">
        <f t="shared" si="7"/>
        <v>0.1553360374650618</v>
      </c>
      <c r="AB29" s="108">
        <v>27</v>
      </c>
      <c r="AC29" s="137">
        <f t="shared" si="14"/>
        <v>1.4313637641589874</v>
      </c>
    </row>
    <row r="30" spans="1:29" x14ac:dyDescent="0.35">
      <c r="A30" s="143">
        <v>41273</v>
      </c>
      <c r="B30" s="83" t="s">
        <v>245</v>
      </c>
      <c r="C30" s="83">
        <f t="shared" si="0"/>
        <v>6</v>
      </c>
      <c r="D30" s="83">
        <v>628820000</v>
      </c>
      <c r="E30" s="83">
        <f t="shared" si="1"/>
        <v>8.7985263462493961</v>
      </c>
      <c r="F30" s="144">
        <v>43147</v>
      </c>
      <c r="G30" s="83">
        <v>1750000000</v>
      </c>
      <c r="H30" s="145">
        <f t="shared" si="2"/>
        <v>5.1342465753424653</v>
      </c>
      <c r="I30" s="145">
        <f t="shared" si="8"/>
        <v>0.71047672209528467</v>
      </c>
      <c r="J30" s="106">
        <v>80</v>
      </c>
      <c r="K30" s="106">
        <f t="shared" si="3"/>
        <v>1.9084850188786497</v>
      </c>
      <c r="L30" s="59">
        <v>2.95</v>
      </c>
      <c r="M30" s="59">
        <f t="shared" si="9"/>
        <v>0.46982201597816303</v>
      </c>
      <c r="N30" s="154">
        <f t="shared" si="4"/>
        <v>1.7829903629019435</v>
      </c>
      <c r="O30" s="119">
        <f t="shared" si="10"/>
        <v>0.44451170243689808</v>
      </c>
      <c r="P30" s="106">
        <v>10000</v>
      </c>
      <c r="Q30" s="106">
        <f t="shared" si="5"/>
        <v>4</v>
      </c>
      <c r="R30" s="64">
        <v>10000</v>
      </c>
      <c r="S30" s="106">
        <f t="shared" si="6"/>
        <v>4</v>
      </c>
      <c r="T30" s="106">
        <v>91.1</v>
      </c>
      <c r="U30" s="106">
        <f t="shared" si="11"/>
        <v>1.9595183769729982</v>
      </c>
      <c r="V30" s="119">
        <v>24.1</v>
      </c>
      <c r="W30" s="119">
        <f t="shared" si="12"/>
        <v>1.3820170425748683</v>
      </c>
      <c r="X30" s="120">
        <v>40.229046020662899</v>
      </c>
      <c r="Y30" s="120">
        <f t="shared" si="13"/>
        <v>1.6045397339663818</v>
      </c>
      <c r="Z30" s="152">
        <v>0.95</v>
      </c>
      <c r="AA30" s="119">
        <f t="shared" si="7"/>
        <v>0.29003461136251801</v>
      </c>
      <c r="AB30" s="106">
        <v>25</v>
      </c>
      <c r="AC30" s="137">
        <f t="shared" si="14"/>
        <v>1.3979400086720377</v>
      </c>
    </row>
    <row r="31" spans="1:29" x14ac:dyDescent="0.35">
      <c r="A31" s="146">
        <v>42521</v>
      </c>
      <c r="B31" s="84" t="s">
        <v>186</v>
      </c>
      <c r="C31" s="84">
        <f t="shared" si="0"/>
        <v>4</v>
      </c>
      <c r="D31" s="84">
        <v>1553260000</v>
      </c>
      <c r="E31" s="84">
        <f t="shared" si="1"/>
        <v>9.1912441583133759</v>
      </c>
      <c r="F31" s="147">
        <v>43404</v>
      </c>
      <c r="G31" s="84">
        <v>4750000000</v>
      </c>
      <c r="H31" s="148">
        <f t="shared" si="2"/>
        <v>2.419178082191781</v>
      </c>
      <c r="I31" s="145">
        <f t="shared" si="8"/>
        <v>0.38366783912109392</v>
      </c>
      <c r="J31" s="108">
        <v>10</v>
      </c>
      <c r="K31" s="108">
        <f t="shared" si="3"/>
        <v>1.0413926851582251</v>
      </c>
      <c r="L31" s="65">
        <v>2.95</v>
      </c>
      <c r="M31" s="59">
        <f t="shared" si="9"/>
        <v>0.46982201597816303</v>
      </c>
      <c r="N31" s="155">
        <f t="shared" si="4"/>
        <v>2.0580842872410288</v>
      </c>
      <c r="O31" s="127">
        <f t="shared" si="10"/>
        <v>0.48544945131148998</v>
      </c>
      <c r="P31" s="108">
        <v>6514.6683673469379</v>
      </c>
      <c r="Q31" s="108">
        <f t="shared" si="5"/>
        <v>3.8138923126200468</v>
      </c>
      <c r="R31" s="108">
        <v>8828.125</v>
      </c>
      <c r="S31" s="108">
        <f t="shared" si="6"/>
        <v>3.9458684738355512</v>
      </c>
      <c r="T31" s="108">
        <v>84.7</v>
      </c>
      <c r="U31" s="106">
        <f t="shared" si="11"/>
        <v>1.927883410330707</v>
      </c>
      <c r="V31" s="127">
        <v>25.9</v>
      </c>
      <c r="W31" s="119">
        <f t="shared" si="12"/>
        <v>1.4132997640812519</v>
      </c>
      <c r="X31" s="128">
        <v>38.207924771594499</v>
      </c>
      <c r="Y31" s="120">
        <f t="shared" si="13"/>
        <v>1.5821534500223446</v>
      </c>
      <c r="Z31" s="153">
        <v>0.28999999999999998</v>
      </c>
      <c r="AA31" s="127">
        <f t="shared" si="7"/>
        <v>0.11058971029924898</v>
      </c>
      <c r="AB31" s="108">
        <v>16</v>
      </c>
      <c r="AC31" s="137">
        <f t="shared" si="14"/>
        <v>1.2041199826559248</v>
      </c>
    </row>
    <row r="32" spans="1:29" x14ac:dyDescent="0.35">
      <c r="A32" s="143">
        <v>37997</v>
      </c>
      <c r="B32" s="106" t="s">
        <v>245</v>
      </c>
      <c r="C32" s="83">
        <f t="shared" si="0"/>
        <v>6</v>
      </c>
      <c r="D32" s="106">
        <v>72000000</v>
      </c>
      <c r="E32" s="83">
        <f t="shared" si="1"/>
        <v>7.8573324964312681</v>
      </c>
      <c r="F32" s="143">
        <v>42654</v>
      </c>
      <c r="G32" s="106">
        <v>130000000</v>
      </c>
      <c r="H32" s="145">
        <f t="shared" si="2"/>
        <v>12.758904109589041</v>
      </c>
      <c r="I32" s="145">
        <f t="shared" si="8"/>
        <v>1.1058133734762565</v>
      </c>
      <c r="J32" s="106">
        <v>5</v>
      </c>
      <c r="K32" s="106">
        <f t="shared" si="3"/>
        <v>0.77815125038364363</v>
      </c>
      <c r="L32" s="59">
        <v>3.29</v>
      </c>
      <c r="M32" s="59">
        <f t="shared" si="9"/>
        <v>0.51719589794997434</v>
      </c>
      <c r="N32" s="154">
        <f t="shared" si="4"/>
        <v>0.80555555555555558</v>
      </c>
      <c r="O32" s="119">
        <f t="shared" si="10"/>
        <v>0.25661085587556831</v>
      </c>
      <c r="P32" s="106">
        <v>1801.1079999999999</v>
      </c>
      <c r="Q32" s="106">
        <f t="shared" si="5"/>
        <v>3.2555397552391718</v>
      </c>
      <c r="R32" s="106">
        <v>8416.6209999999992</v>
      </c>
      <c r="S32" s="106">
        <f t="shared" si="6"/>
        <v>3.9251377713585649</v>
      </c>
      <c r="T32" s="106">
        <v>85</v>
      </c>
      <c r="U32" s="106">
        <f t="shared" si="11"/>
        <v>1.9294189257142926</v>
      </c>
      <c r="V32" s="119">
        <v>32.299999999999997</v>
      </c>
      <c r="W32" s="119">
        <f t="shared" si="12"/>
        <v>1.5092025223311027</v>
      </c>
      <c r="X32" s="120">
        <v>40.040400531970803</v>
      </c>
      <c r="Y32" s="120">
        <f t="shared" si="13"/>
        <v>1.6024984131617945</v>
      </c>
      <c r="Z32" s="152">
        <v>0.9</v>
      </c>
      <c r="AA32" s="119">
        <f t="shared" si="7"/>
        <v>0.27875360095282892</v>
      </c>
      <c r="AB32" s="106">
        <v>20</v>
      </c>
      <c r="AC32" s="137">
        <f t="shared" si="14"/>
        <v>1.3010299956639813</v>
      </c>
    </row>
    <row r="33" spans="1:29" x14ac:dyDescent="0.35">
      <c r="A33" s="146">
        <v>38188</v>
      </c>
      <c r="B33" s="108" t="s">
        <v>248</v>
      </c>
      <c r="C33" s="84">
        <f t="shared" si="0"/>
        <v>5</v>
      </c>
      <c r="D33" s="108">
        <v>230000000</v>
      </c>
      <c r="E33" s="84">
        <f t="shared" si="1"/>
        <v>8.3617278360175931</v>
      </c>
      <c r="F33" s="146">
        <v>40205</v>
      </c>
      <c r="G33" s="108">
        <v>955000000</v>
      </c>
      <c r="H33" s="148">
        <f t="shared" si="2"/>
        <v>5.5260273972602736</v>
      </c>
      <c r="I33" s="145">
        <f t="shared" si="8"/>
        <v>0.74241303375629075</v>
      </c>
      <c r="J33" s="108">
        <v>13</v>
      </c>
      <c r="K33" s="108">
        <f t="shared" si="3"/>
        <v>1.146128035678238</v>
      </c>
      <c r="L33" s="65">
        <v>3.29</v>
      </c>
      <c r="M33" s="59">
        <f t="shared" si="9"/>
        <v>0.51719589794997434</v>
      </c>
      <c r="N33" s="155">
        <f t="shared" si="4"/>
        <v>3.1521739130434785</v>
      </c>
      <c r="O33" s="127">
        <f t="shared" si="10"/>
        <v>0.61827553556615344</v>
      </c>
      <c r="P33" s="108">
        <v>1801.1079999999999</v>
      </c>
      <c r="Q33" s="108">
        <f t="shared" si="5"/>
        <v>3.2555397552391718</v>
      </c>
      <c r="R33" s="108">
        <v>8416.6209999999992</v>
      </c>
      <c r="S33" s="108">
        <f t="shared" si="6"/>
        <v>3.9251377713585649</v>
      </c>
      <c r="T33" s="108">
        <v>85</v>
      </c>
      <c r="U33" s="106">
        <f t="shared" si="11"/>
        <v>1.9294189257142926</v>
      </c>
      <c r="V33" s="127">
        <v>32.299999999999997</v>
      </c>
      <c r="W33" s="119">
        <f t="shared" si="12"/>
        <v>1.5092025223311027</v>
      </c>
      <c r="X33" s="128">
        <v>40.040400531970803</v>
      </c>
      <c r="Y33" s="120">
        <f t="shared" si="13"/>
        <v>1.6024984131617945</v>
      </c>
      <c r="Z33" s="153">
        <v>-0.01</v>
      </c>
      <c r="AA33" s="127">
        <f t="shared" si="7"/>
        <v>-4.3648054024500883E-3</v>
      </c>
      <c r="AB33" s="108">
        <v>20</v>
      </c>
      <c r="AC33" s="137">
        <f t="shared" si="14"/>
        <v>1.3010299956639813</v>
      </c>
    </row>
    <row r="34" spans="1:29" x14ac:dyDescent="0.35">
      <c r="A34" s="143">
        <v>38517</v>
      </c>
      <c r="B34" s="106" t="s">
        <v>235</v>
      </c>
      <c r="C34" s="83">
        <f t="shared" si="0"/>
        <v>1</v>
      </c>
      <c r="D34" s="106">
        <v>225000000</v>
      </c>
      <c r="E34" s="83">
        <f t="shared" si="1"/>
        <v>8.3521825181113627</v>
      </c>
      <c r="F34" s="143">
        <v>39571</v>
      </c>
      <c r="G34" s="106">
        <v>514000000</v>
      </c>
      <c r="H34" s="145">
        <f t="shared" si="2"/>
        <v>2.8876712328767122</v>
      </c>
      <c r="I34" s="145">
        <f t="shared" si="8"/>
        <v>0.46054774642005308</v>
      </c>
      <c r="J34" s="106">
        <v>48</v>
      </c>
      <c r="K34" s="106">
        <f t="shared" si="3"/>
        <v>1.6901960800285136</v>
      </c>
      <c r="L34" s="59">
        <v>3.29</v>
      </c>
      <c r="M34" s="59">
        <f t="shared" si="9"/>
        <v>0.51719589794997434</v>
      </c>
      <c r="N34" s="154">
        <f t="shared" si="4"/>
        <v>1.2844444444444445</v>
      </c>
      <c r="O34" s="119">
        <f t="shared" si="10"/>
        <v>0.35878060088391328</v>
      </c>
      <c r="P34" s="106">
        <v>1801.1079999999999</v>
      </c>
      <c r="Q34" s="106">
        <f t="shared" si="5"/>
        <v>3.2555397552391718</v>
      </c>
      <c r="R34" s="106">
        <v>8416.6209999999992</v>
      </c>
      <c r="S34" s="106">
        <f t="shared" si="6"/>
        <v>3.9251377713585649</v>
      </c>
      <c r="T34" s="106">
        <v>85</v>
      </c>
      <c r="U34" s="106">
        <f t="shared" si="11"/>
        <v>1.9294189257142926</v>
      </c>
      <c r="V34" s="119">
        <v>32.700000000000003</v>
      </c>
      <c r="W34" s="119">
        <f t="shared" si="12"/>
        <v>1.5145477526602862</v>
      </c>
      <c r="X34" s="120">
        <v>41.286751495766303</v>
      </c>
      <c r="Y34" s="120">
        <f t="shared" si="13"/>
        <v>1.6158107132703448</v>
      </c>
      <c r="Z34" s="152">
        <v>0.17</v>
      </c>
      <c r="AA34" s="119">
        <f t="shared" si="7"/>
        <v>6.8185861746161619E-2</v>
      </c>
      <c r="AB34" s="106">
        <v>21</v>
      </c>
      <c r="AC34" s="137">
        <f t="shared" si="14"/>
        <v>1.3222192947339193</v>
      </c>
    </row>
    <row r="35" spans="1:29" x14ac:dyDescent="0.35">
      <c r="A35" s="146">
        <v>40036</v>
      </c>
      <c r="B35" s="108" t="s">
        <v>235</v>
      </c>
      <c r="C35" s="84">
        <f t="shared" si="0"/>
        <v>1</v>
      </c>
      <c r="D35" s="108">
        <v>1650000000</v>
      </c>
      <c r="E35" s="84">
        <f t="shared" si="1"/>
        <v>9.2174839442139067</v>
      </c>
      <c r="F35" s="146">
        <v>41940</v>
      </c>
      <c r="G35" s="108">
        <v>2907980000</v>
      </c>
      <c r="H35" s="148">
        <f t="shared" si="2"/>
        <v>5.2164383561643834</v>
      </c>
      <c r="I35" s="145">
        <f t="shared" si="8"/>
        <v>0.71737407959198085</v>
      </c>
      <c r="J35" s="108">
        <v>43</v>
      </c>
      <c r="K35" s="108">
        <f t="shared" si="3"/>
        <v>1.6434526764861874</v>
      </c>
      <c r="L35" s="65">
        <v>2.95</v>
      </c>
      <c r="M35" s="59">
        <f t="shared" si="9"/>
        <v>0.46982201597816303</v>
      </c>
      <c r="N35" s="155">
        <f t="shared" si="4"/>
        <v>0.76241212121212132</v>
      </c>
      <c r="O35" s="127">
        <f t="shared" si="10"/>
        <v>0.24610747106817404</v>
      </c>
      <c r="P35" s="108">
        <v>1171.498</v>
      </c>
      <c r="Q35" s="108">
        <f t="shared" si="5"/>
        <v>3.0687415514991745</v>
      </c>
      <c r="R35" s="108">
        <v>3386.1060000000002</v>
      </c>
      <c r="S35" s="108">
        <f t="shared" si="6"/>
        <v>3.5297005493117593</v>
      </c>
      <c r="T35" s="108">
        <v>91.9</v>
      </c>
      <c r="U35" s="106">
        <f t="shared" si="11"/>
        <v>1.9633155113861114</v>
      </c>
      <c r="V35" s="127">
        <v>23</v>
      </c>
      <c r="W35" s="119">
        <f t="shared" si="12"/>
        <v>1.3617278360175928</v>
      </c>
      <c r="X35" s="128">
        <v>43.262530407091703</v>
      </c>
      <c r="Y35" s="120">
        <f t="shared" si="13"/>
        <v>1.636111917546391</v>
      </c>
      <c r="Z35" s="153">
        <v>1</v>
      </c>
      <c r="AA35" s="127">
        <f t="shared" si="7"/>
        <v>0.3010299956639812</v>
      </c>
      <c r="AB35" s="108">
        <v>33</v>
      </c>
      <c r="AC35" s="137">
        <f t="shared" si="14"/>
        <v>1.5185139398778875</v>
      </c>
    </row>
    <row r="36" spans="1:29" x14ac:dyDescent="0.35">
      <c r="A36" s="143">
        <v>38428</v>
      </c>
      <c r="B36" s="106" t="s">
        <v>248</v>
      </c>
      <c r="C36" s="83">
        <f t="shared" si="0"/>
        <v>5</v>
      </c>
      <c r="D36" s="106">
        <v>7544390000</v>
      </c>
      <c r="E36" s="83">
        <f t="shared" si="1"/>
        <v>9.8776241307459784</v>
      </c>
      <c r="F36" s="143">
        <v>42997</v>
      </c>
      <c r="G36" s="106">
        <v>0</v>
      </c>
      <c r="H36" s="145">
        <f t="shared" si="2"/>
        <v>12.517808219178082</v>
      </c>
      <c r="I36" s="145">
        <f t="shared" si="8"/>
        <v>1.0975282935992303</v>
      </c>
      <c r="J36" s="106">
        <v>48</v>
      </c>
      <c r="K36" s="106">
        <f t="shared" si="3"/>
        <v>1.6901960800285136</v>
      </c>
      <c r="L36" s="59">
        <v>2.95</v>
      </c>
      <c r="M36" s="59">
        <f t="shared" si="9"/>
        <v>0.46982201597816303</v>
      </c>
      <c r="N36" s="154">
        <f t="shared" si="4"/>
        <v>-1</v>
      </c>
      <c r="O36" s="119">
        <f t="shared" si="10"/>
        <v>-1</v>
      </c>
      <c r="P36" s="106">
        <v>1171.498</v>
      </c>
      <c r="Q36" s="106">
        <f t="shared" si="5"/>
        <v>3.0687415514991745</v>
      </c>
      <c r="R36" s="106">
        <v>3386.1060000000002</v>
      </c>
      <c r="S36" s="106">
        <f t="shared" si="6"/>
        <v>3.5297005493117593</v>
      </c>
      <c r="T36" s="106">
        <v>85</v>
      </c>
      <c r="U36" s="106">
        <f t="shared" si="11"/>
        <v>1.9294189257142926</v>
      </c>
      <c r="V36" s="119">
        <v>25.9</v>
      </c>
      <c r="W36" s="119">
        <f t="shared" si="12"/>
        <v>1.4132997640812519</v>
      </c>
      <c r="X36" s="120">
        <v>36.959146749272797</v>
      </c>
      <c r="Y36" s="120">
        <f t="shared" si="13"/>
        <v>1.5677219364019672</v>
      </c>
      <c r="Z36" s="152">
        <v>1.1100000000000001</v>
      </c>
      <c r="AA36" s="119">
        <f t="shared" si="7"/>
        <v>0.32428245529769273</v>
      </c>
      <c r="AB36" s="106">
        <v>29</v>
      </c>
      <c r="AC36" s="137">
        <f t="shared" si="14"/>
        <v>1.4623979978989561</v>
      </c>
    </row>
    <row r="37" spans="1:29" x14ac:dyDescent="0.35">
      <c r="A37" s="146">
        <v>38439</v>
      </c>
      <c r="B37" s="108" t="s">
        <v>178</v>
      </c>
      <c r="C37" s="84">
        <f t="shared" si="0"/>
        <v>9</v>
      </c>
      <c r="D37" s="108">
        <v>10591520000</v>
      </c>
      <c r="E37" s="84">
        <f t="shared" si="1"/>
        <v>10.024958290630849</v>
      </c>
      <c r="F37" s="146">
        <v>42346</v>
      </c>
      <c r="G37" s="108">
        <v>9100000000</v>
      </c>
      <c r="H37" s="148">
        <f t="shared" si="2"/>
        <v>10.704109589041096</v>
      </c>
      <c r="I37" s="145">
        <f t="shared" si="8"/>
        <v>1.0295505467683097</v>
      </c>
      <c r="J37" s="108">
        <v>37</v>
      </c>
      <c r="K37" s="108">
        <f t="shared" si="3"/>
        <v>1.5797835966168101</v>
      </c>
      <c r="L37" s="65">
        <v>2.95</v>
      </c>
      <c r="M37" s="59">
        <f t="shared" si="9"/>
        <v>0.46982201597816303</v>
      </c>
      <c r="N37" s="155">
        <f t="shared" si="4"/>
        <v>-0.14082209163557258</v>
      </c>
      <c r="O37" s="127">
        <f t="shared" si="10"/>
        <v>-6.5916898309755723E-2</v>
      </c>
      <c r="P37" s="108">
        <v>1171.498</v>
      </c>
      <c r="Q37" s="108">
        <f t="shared" si="5"/>
        <v>3.0687415514991745</v>
      </c>
      <c r="R37" s="108">
        <v>3386.1060000000002</v>
      </c>
      <c r="S37" s="108">
        <f t="shared" si="6"/>
        <v>3.5297005493117593</v>
      </c>
      <c r="T37" s="108">
        <v>85</v>
      </c>
      <c r="U37" s="106">
        <f t="shared" si="11"/>
        <v>1.9294189257142926</v>
      </c>
      <c r="V37" s="127">
        <v>25.9</v>
      </c>
      <c r="W37" s="119">
        <f t="shared" si="12"/>
        <v>1.4132997640812519</v>
      </c>
      <c r="X37" s="128">
        <v>36.959146749272797</v>
      </c>
      <c r="Y37" s="120">
        <f t="shared" si="13"/>
        <v>1.5677219364019672</v>
      </c>
      <c r="Z37" s="153">
        <v>0.76</v>
      </c>
      <c r="AA37" s="127">
        <f t="shared" si="7"/>
        <v>0.24551266781414982</v>
      </c>
      <c r="AB37" s="108">
        <v>29</v>
      </c>
      <c r="AC37" s="137">
        <f t="shared" si="14"/>
        <v>1.4623979978989561</v>
      </c>
    </row>
    <row r="38" spans="1:29" x14ac:dyDescent="0.35">
      <c r="A38" s="143">
        <v>38635</v>
      </c>
      <c r="B38" s="106" t="s">
        <v>269</v>
      </c>
      <c r="C38" s="83">
        <f t="shared" si="0"/>
        <v>7</v>
      </c>
      <c r="D38" s="106">
        <v>1270000000</v>
      </c>
      <c r="E38" s="83">
        <f t="shared" si="1"/>
        <v>9.1038037209559572</v>
      </c>
      <c r="F38" s="143">
        <v>42243</v>
      </c>
      <c r="G38" s="106">
        <v>1744040000</v>
      </c>
      <c r="H38" s="145">
        <f t="shared" si="2"/>
        <v>9.8849315068493144</v>
      </c>
      <c r="I38" s="145">
        <f t="shared" si="8"/>
        <v>0.99497366441342938</v>
      </c>
      <c r="J38" s="106">
        <v>13</v>
      </c>
      <c r="K38" s="106">
        <f t="shared" si="3"/>
        <v>1.146128035678238</v>
      </c>
      <c r="L38" s="59">
        <v>2.95</v>
      </c>
      <c r="M38" s="59">
        <f t="shared" si="9"/>
        <v>0.46982201597816303</v>
      </c>
      <c r="N38" s="154">
        <f t="shared" si="4"/>
        <v>0.37325984251968514</v>
      </c>
      <c r="O38" s="119">
        <f t="shared" si="10"/>
        <v>0.13775272040897549</v>
      </c>
      <c r="P38" s="106">
        <v>1171.498</v>
      </c>
      <c r="Q38" s="106">
        <f t="shared" si="5"/>
        <v>3.0687415514991745</v>
      </c>
      <c r="R38" s="106">
        <v>3386.1060000000002</v>
      </c>
      <c r="S38" s="106">
        <f t="shared" si="6"/>
        <v>3.5297005493117593</v>
      </c>
      <c r="T38" s="106">
        <v>85</v>
      </c>
      <c r="U38" s="106">
        <f t="shared" si="11"/>
        <v>1.9294189257142926</v>
      </c>
      <c r="V38" s="119">
        <v>25.9</v>
      </c>
      <c r="W38" s="119">
        <f t="shared" si="12"/>
        <v>1.4132997640812519</v>
      </c>
      <c r="X38" s="120">
        <v>36.959146749272797</v>
      </c>
      <c r="Y38" s="120">
        <f t="shared" si="13"/>
        <v>1.5677219364019672</v>
      </c>
      <c r="Z38" s="152">
        <v>0.67</v>
      </c>
      <c r="AA38" s="119">
        <f t="shared" si="7"/>
        <v>0.22271647114758325</v>
      </c>
      <c r="AB38" s="106">
        <v>29</v>
      </c>
      <c r="AC38" s="137">
        <f t="shared" si="14"/>
        <v>1.4623979978989561</v>
      </c>
    </row>
    <row r="39" spans="1:29" x14ac:dyDescent="0.35">
      <c r="A39" s="146">
        <v>37328</v>
      </c>
      <c r="B39" s="108" t="s">
        <v>248</v>
      </c>
      <c r="C39" s="84">
        <f t="shared" si="0"/>
        <v>5</v>
      </c>
      <c r="D39" s="108">
        <v>743830000</v>
      </c>
      <c r="E39" s="84">
        <f t="shared" si="1"/>
        <v>8.8714736902527402</v>
      </c>
      <c r="F39" s="146">
        <v>42087</v>
      </c>
      <c r="G39" s="108">
        <v>1350000000</v>
      </c>
      <c r="H39" s="148">
        <f t="shared" si="2"/>
        <v>13.038356164383561</v>
      </c>
      <c r="I39" s="145">
        <f t="shared" si="8"/>
        <v>1.1152228403422828</v>
      </c>
      <c r="J39" s="108">
        <v>5</v>
      </c>
      <c r="K39" s="108">
        <f t="shared" si="3"/>
        <v>0.77815125038364363</v>
      </c>
      <c r="L39" s="65">
        <v>2.95</v>
      </c>
      <c r="M39" s="59">
        <f t="shared" si="9"/>
        <v>0.46982201597816303</v>
      </c>
      <c r="N39" s="155">
        <f t="shared" si="4"/>
        <v>0.81493083096944186</v>
      </c>
      <c r="O39" s="127">
        <f t="shared" si="10"/>
        <v>0.25886007824226553</v>
      </c>
      <c r="P39" s="108">
        <v>1518.5350000000001</v>
      </c>
      <c r="Q39" s="108">
        <f t="shared" si="5"/>
        <v>3.1814248062191788</v>
      </c>
      <c r="R39" s="108">
        <v>5363.16</v>
      </c>
      <c r="S39" s="108">
        <f t="shared" si="6"/>
        <v>3.7294207535322617</v>
      </c>
      <c r="T39" s="108">
        <v>85</v>
      </c>
      <c r="U39" s="106">
        <f t="shared" si="11"/>
        <v>1.9294189257142926</v>
      </c>
      <c r="V39" s="127">
        <v>24.9</v>
      </c>
      <c r="W39" s="119">
        <f t="shared" si="12"/>
        <v>1.3961993470957363</v>
      </c>
      <c r="X39" s="128">
        <v>36.710134890601303</v>
      </c>
      <c r="Y39" s="120">
        <f t="shared" si="13"/>
        <v>1.564785980312654</v>
      </c>
      <c r="Z39" s="153">
        <v>0.81</v>
      </c>
      <c r="AA39" s="127">
        <f t="shared" si="7"/>
        <v>0.2576785748691845</v>
      </c>
      <c r="AB39" s="108">
        <v>12</v>
      </c>
      <c r="AC39" s="137">
        <f t="shared" si="14"/>
        <v>1.0791812460476249</v>
      </c>
    </row>
    <row r="40" spans="1:29" x14ac:dyDescent="0.35">
      <c r="A40" s="143">
        <v>40071</v>
      </c>
      <c r="B40" s="106" t="s">
        <v>183</v>
      </c>
      <c r="C40" s="83">
        <f t="shared" si="0"/>
        <v>3</v>
      </c>
      <c r="D40" s="106">
        <v>468580000</v>
      </c>
      <c r="E40" s="83">
        <f t="shared" si="1"/>
        <v>8.6707837480360155</v>
      </c>
      <c r="F40" s="143">
        <v>40877</v>
      </c>
      <c r="G40" s="106">
        <v>771500000</v>
      </c>
      <c r="H40" s="145">
        <f t="shared" si="2"/>
        <v>2.2082191780821918</v>
      </c>
      <c r="I40" s="145">
        <f t="shared" si="8"/>
        <v>0.34404217734861592</v>
      </c>
      <c r="J40" s="106">
        <v>30</v>
      </c>
      <c r="K40" s="106">
        <f t="shared" si="3"/>
        <v>1.4913616938342726</v>
      </c>
      <c r="L40" s="59">
        <v>2.95</v>
      </c>
      <c r="M40" s="59">
        <f t="shared" si="9"/>
        <v>0.46982201597816303</v>
      </c>
      <c r="N40" s="154">
        <f t="shared" si="4"/>
        <v>0.64646378419906947</v>
      </c>
      <c r="O40" s="119">
        <f t="shared" si="10"/>
        <v>0.21655218236315188</v>
      </c>
      <c r="P40" s="106">
        <v>1518.5350000000001</v>
      </c>
      <c r="Q40" s="106">
        <f t="shared" si="5"/>
        <v>3.1814248062191788</v>
      </c>
      <c r="R40" s="106">
        <v>5363.16</v>
      </c>
      <c r="S40" s="106">
        <f t="shared" si="6"/>
        <v>3.7294207535322617</v>
      </c>
      <c r="T40" s="106">
        <v>91.9</v>
      </c>
      <c r="U40" s="106">
        <f t="shared" si="11"/>
        <v>1.9633155113861114</v>
      </c>
      <c r="V40" s="119">
        <v>23</v>
      </c>
      <c r="W40" s="119">
        <f t="shared" si="12"/>
        <v>1.3617278360175928</v>
      </c>
      <c r="X40" s="120">
        <v>43.262530407091703</v>
      </c>
      <c r="Y40" s="120">
        <f t="shared" si="13"/>
        <v>1.636111917546391</v>
      </c>
      <c r="Z40" s="152">
        <v>0.18</v>
      </c>
      <c r="AA40" s="119">
        <f t="shared" si="7"/>
        <v>7.1882007306125359E-2</v>
      </c>
      <c r="AB40" s="106">
        <v>19</v>
      </c>
      <c r="AC40" s="137">
        <f t="shared" si="14"/>
        <v>1.2787536009528289</v>
      </c>
    </row>
    <row r="41" spans="1:29" x14ac:dyDescent="0.35">
      <c r="A41" s="146">
        <v>39133</v>
      </c>
      <c r="B41" s="108" t="s">
        <v>248</v>
      </c>
      <c r="C41" s="84">
        <f t="shared" si="0"/>
        <v>5</v>
      </c>
      <c r="D41" s="108">
        <v>815690000</v>
      </c>
      <c r="E41" s="84">
        <f t="shared" si="1"/>
        <v>8.9115251380808047</v>
      </c>
      <c r="F41" s="146">
        <v>41223</v>
      </c>
      <c r="G41" s="108">
        <v>975000000</v>
      </c>
      <c r="H41" s="148">
        <f t="shared" si="2"/>
        <v>5.7260273972602738</v>
      </c>
      <c r="I41" s="145">
        <f t="shared" si="8"/>
        <v>0.75785342165457925</v>
      </c>
      <c r="J41" s="108">
        <v>136</v>
      </c>
      <c r="K41" s="108">
        <f t="shared" si="3"/>
        <v>2.1367205671564067</v>
      </c>
      <c r="L41" s="65">
        <v>2.95</v>
      </c>
      <c r="M41" s="59">
        <f t="shared" si="9"/>
        <v>0.46982201597816303</v>
      </c>
      <c r="N41" s="155">
        <f t="shared" si="4"/>
        <v>0.19530704066495841</v>
      </c>
      <c r="O41" s="127">
        <f t="shared" si="10"/>
        <v>7.7479477617732218E-2</v>
      </c>
      <c r="P41" s="108">
        <v>1518.5350000000001</v>
      </c>
      <c r="Q41" s="108">
        <f t="shared" si="5"/>
        <v>3.1814248062191788</v>
      </c>
      <c r="R41" s="108">
        <v>5363.16</v>
      </c>
      <c r="S41" s="108">
        <f t="shared" si="6"/>
        <v>3.7294207535322617</v>
      </c>
      <c r="T41" s="108">
        <v>91.4</v>
      </c>
      <c r="U41" s="106">
        <f t="shared" si="11"/>
        <v>1.9609461957338314</v>
      </c>
      <c r="V41" s="127">
        <v>26.7</v>
      </c>
      <c r="W41" s="119">
        <f t="shared" si="12"/>
        <v>1.4265112613645752</v>
      </c>
      <c r="X41" s="128">
        <v>37.425715444240403</v>
      </c>
      <c r="Y41" s="120">
        <f t="shared" si="13"/>
        <v>1.5731701112332821</v>
      </c>
      <c r="Z41" s="153">
        <v>-0.05</v>
      </c>
      <c r="AA41" s="127">
        <f t="shared" si="7"/>
        <v>-2.2276394711152253E-2</v>
      </c>
      <c r="AB41" s="108">
        <v>17</v>
      </c>
      <c r="AC41" s="137">
        <f t="shared" si="14"/>
        <v>1.2304489213782739</v>
      </c>
    </row>
    <row r="42" spans="1:29" x14ac:dyDescent="0.35">
      <c r="A42" s="143">
        <v>35758</v>
      </c>
      <c r="B42" s="106" t="s">
        <v>186</v>
      </c>
      <c r="C42" s="83">
        <f t="shared" si="0"/>
        <v>4</v>
      </c>
      <c r="D42" s="106">
        <v>191690000</v>
      </c>
      <c r="E42" s="83">
        <f t="shared" si="1"/>
        <v>8.2825994573845971</v>
      </c>
      <c r="F42" s="143">
        <v>37205</v>
      </c>
      <c r="G42" s="106">
        <v>2680000000</v>
      </c>
      <c r="H42" s="145">
        <f t="shared" si="2"/>
        <v>3.9643835616438357</v>
      </c>
      <c r="I42" s="145">
        <f t="shared" si="8"/>
        <v>0.59817566666256272</v>
      </c>
      <c r="J42" s="106">
        <v>43</v>
      </c>
      <c r="K42" s="106">
        <f t="shared" si="3"/>
        <v>1.6434526764861874</v>
      </c>
      <c r="L42" s="59">
        <v>2.95</v>
      </c>
      <c r="M42" s="59">
        <f t="shared" si="9"/>
        <v>0.46982201597816303</v>
      </c>
      <c r="N42" s="154">
        <f t="shared" si="4"/>
        <v>12.980906672231207</v>
      </c>
      <c r="O42" s="119">
        <f t="shared" si="10"/>
        <v>1.1455353366441925</v>
      </c>
      <c r="P42" s="106">
        <v>1518.5350000000001</v>
      </c>
      <c r="Q42" s="106">
        <f t="shared" si="5"/>
        <v>3.1814248062191788</v>
      </c>
      <c r="R42" s="106">
        <v>5363.16</v>
      </c>
      <c r="S42" s="106">
        <f t="shared" si="6"/>
        <v>3.7294207535322617</v>
      </c>
      <c r="T42" s="106">
        <v>85</v>
      </c>
      <c r="U42" s="106">
        <f t="shared" si="11"/>
        <v>1.9294189257142926</v>
      </c>
      <c r="V42" s="119">
        <v>27.4</v>
      </c>
      <c r="W42" s="119">
        <f t="shared" si="12"/>
        <v>1.4377505628203879</v>
      </c>
      <c r="X42" s="120">
        <v>35.968444143503902</v>
      </c>
      <c r="Y42" s="120">
        <f t="shared" si="13"/>
        <v>1.5559216523165715</v>
      </c>
      <c r="Z42" s="152">
        <v>0.18</v>
      </c>
      <c r="AA42" s="119">
        <f t="shared" si="7"/>
        <v>7.1882007306125359E-2</v>
      </c>
      <c r="AB42" s="106">
        <v>7</v>
      </c>
      <c r="AC42" s="137">
        <f t="shared" si="14"/>
        <v>0.84509804001425681</v>
      </c>
    </row>
    <row r="43" spans="1:29" x14ac:dyDescent="0.35">
      <c r="A43" s="146">
        <v>38014</v>
      </c>
      <c r="B43" s="108" t="s">
        <v>235</v>
      </c>
      <c r="C43" s="84">
        <f t="shared" si="0"/>
        <v>1</v>
      </c>
      <c r="D43" s="108">
        <v>662500000</v>
      </c>
      <c r="E43" s="84">
        <f t="shared" si="1"/>
        <v>8.8211858826088463</v>
      </c>
      <c r="F43" s="146">
        <v>40153</v>
      </c>
      <c r="G43" s="108">
        <v>1700000000</v>
      </c>
      <c r="H43" s="148">
        <f t="shared" si="2"/>
        <v>5.86027397260274</v>
      </c>
      <c r="I43" s="145">
        <f t="shared" si="8"/>
        <v>0.76791792011505333</v>
      </c>
      <c r="J43" s="108">
        <v>138</v>
      </c>
      <c r="K43" s="108">
        <f t="shared" si="3"/>
        <v>2.143014800254095</v>
      </c>
      <c r="L43" s="65">
        <v>3.29</v>
      </c>
      <c r="M43" s="59">
        <f t="shared" si="9"/>
        <v>0.51719589794997434</v>
      </c>
      <c r="N43" s="155">
        <f t="shared" si="4"/>
        <v>1.5660377358490565</v>
      </c>
      <c r="O43" s="127">
        <f t="shared" si="10"/>
        <v>0.40926303876942843</v>
      </c>
      <c r="P43" s="108">
        <v>1655.11</v>
      </c>
      <c r="Q43" s="108">
        <f t="shared" si="5"/>
        <v>3.2188268626467691</v>
      </c>
      <c r="R43" s="108">
        <v>5715.55</v>
      </c>
      <c r="S43" s="108">
        <f t="shared" si="6"/>
        <v>3.7570580283396975</v>
      </c>
      <c r="T43" s="108">
        <v>85</v>
      </c>
      <c r="U43" s="106">
        <f t="shared" si="11"/>
        <v>1.9294189257142926</v>
      </c>
      <c r="V43" s="127">
        <v>32.299999999999997</v>
      </c>
      <c r="W43" s="119">
        <f t="shared" si="12"/>
        <v>1.5092025223311027</v>
      </c>
      <c r="X43" s="128">
        <v>40.040400531970803</v>
      </c>
      <c r="Y43" s="120">
        <f t="shared" si="13"/>
        <v>1.6024984131617945</v>
      </c>
      <c r="Z43" s="153">
        <v>-0.02</v>
      </c>
      <c r="AA43" s="127">
        <f t="shared" si="7"/>
        <v>-8.7739243075051505E-3</v>
      </c>
      <c r="AB43" s="108">
        <v>18</v>
      </c>
      <c r="AC43" s="137">
        <f t="shared" si="14"/>
        <v>1.255272505103306</v>
      </c>
    </row>
    <row r="44" spans="1:29" x14ac:dyDescent="0.35">
      <c r="A44" s="143">
        <v>39209</v>
      </c>
      <c r="B44" s="106" t="s">
        <v>186</v>
      </c>
      <c r="C44" s="83">
        <f t="shared" si="0"/>
        <v>4</v>
      </c>
      <c r="D44" s="106">
        <v>632000000</v>
      </c>
      <c r="E44" s="83">
        <f t="shared" si="1"/>
        <v>8.8007170782823856</v>
      </c>
      <c r="F44" s="143">
        <v>41586</v>
      </c>
      <c r="G44" s="106">
        <v>1400000000</v>
      </c>
      <c r="H44" s="145">
        <f t="shared" si="2"/>
        <v>6.5123287671232877</v>
      </c>
      <c r="I44" s="145">
        <f t="shared" si="8"/>
        <v>0.81373631727170559</v>
      </c>
      <c r="J44" s="106">
        <v>78</v>
      </c>
      <c r="K44" s="106">
        <f t="shared" si="3"/>
        <v>1.8976270912904414</v>
      </c>
      <c r="L44" s="59">
        <v>2.95</v>
      </c>
      <c r="M44" s="59">
        <f t="shared" si="9"/>
        <v>0.46982201597816303</v>
      </c>
      <c r="N44" s="154">
        <f t="shared" si="4"/>
        <v>1.2151898734177213</v>
      </c>
      <c r="O44" s="119">
        <f t="shared" si="10"/>
        <v>0.34541095739585298</v>
      </c>
      <c r="P44" s="106">
        <v>1246.953</v>
      </c>
      <c r="Q44" s="106">
        <f t="shared" si="5"/>
        <v>3.0958500844125241</v>
      </c>
      <c r="R44" s="106">
        <v>3219.7179999999998</v>
      </c>
      <c r="S44" s="106">
        <f t="shared" si="6"/>
        <v>3.5078178355445662</v>
      </c>
      <c r="T44" s="106">
        <v>91.4</v>
      </c>
      <c r="U44" s="106">
        <f t="shared" si="11"/>
        <v>1.9609461957338314</v>
      </c>
      <c r="V44" s="119">
        <v>26.7</v>
      </c>
      <c r="W44" s="119">
        <f t="shared" si="12"/>
        <v>1.4265112613645752</v>
      </c>
      <c r="X44" s="120">
        <v>37.425715444240403</v>
      </c>
      <c r="Y44" s="120">
        <f t="shared" si="13"/>
        <v>1.5731701112332821</v>
      </c>
      <c r="Z44" s="152">
        <v>0.17</v>
      </c>
      <c r="AA44" s="119">
        <f t="shared" si="7"/>
        <v>6.8185861746161619E-2</v>
      </c>
      <c r="AB44" s="106">
        <v>20</v>
      </c>
      <c r="AC44" s="137">
        <f t="shared" si="14"/>
        <v>1.3010299956639813</v>
      </c>
    </row>
    <row r="45" spans="1:29" x14ac:dyDescent="0.35">
      <c r="A45" s="146">
        <v>41151</v>
      </c>
      <c r="B45" s="108" t="s">
        <v>326</v>
      </c>
      <c r="C45" s="84">
        <f t="shared" si="0"/>
        <v>8</v>
      </c>
      <c r="D45" s="108">
        <v>4900000000</v>
      </c>
      <c r="E45" s="84">
        <f t="shared" si="1"/>
        <v>9.6901960800285138</v>
      </c>
      <c r="F45" s="146">
        <v>42189</v>
      </c>
      <c r="G45" s="108">
        <v>560000000</v>
      </c>
      <c r="H45" s="148">
        <f t="shared" si="2"/>
        <v>2.8438356164383563</v>
      </c>
      <c r="I45" s="145">
        <f t="shared" si="8"/>
        <v>0.45390448905596437</v>
      </c>
      <c r="J45" s="108">
        <v>146</v>
      </c>
      <c r="K45" s="108">
        <f t="shared" si="3"/>
        <v>2.167317334748176</v>
      </c>
      <c r="L45" s="65">
        <v>2.95</v>
      </c>
      <c r="M45" s="59">
        <f t="shared" si="9"/>
        <v>0.46982201597816303</v>
      </c>
      <c r="N45" s="155">
        <f t="shared" si="4"/>
        <v>-0.88571428571428568</v>
      </c>
      <c r="O45" s="127">
        <f t="shared" si="10"/>
        <v>-0.94200805302231305</v>
      </c>
      <c r="P45" s="108">
        <v>1246.953</v>
      </c>
      <c r="Q45" s="108">
        <f t="shared" si="5"/>
        <v>3.0958500844125241</v>
      </c>
      <c r="R45" s="108">
        <v>3219.7179999999998</v>
      </c>
      <c r="S45" s="108">
        <f t="shared" si="6"/>
        <v>3.5078178355445662</v>
      </c>
      <c r="T45" s="108">
        <v>91.1</v>
      </c>
      <c r="U45" s="106">
        <f t="shared" si="11"/>
        <v>1.9595183769729982</v>
      </c>
      <c r="V45" s="127">
        <v>24.1</v>
      </c>
      <c r="W45" s="119">
        <f t="shared" si="12"/>
        <v>1.3820170425748683</v>
      </c>
      <c r="X45" s="128">
        <v>40.229046020662899</v>
      </c>
      <c r="Y45" s="120">
        <f t="shared" si="13"/>
        <v>1.6045397339663818</v>
      </c>
      <c r="Z45" s="153">
        <v>0.48</v>
      </c>
      <c r="AA45" s="127">
        <f t="shared" si="7"/>
        <v>0.17026171539495738</v>
      </c>
      <c r="AB45" s="108">
        <v>25</v>
      </c>
      <c r="AC45" s="137">
        <f t="shared" si="14"/>
        <v>1.3979400086720377</v>
      </c>
    </row>
    <row r="46" spans="1:29" x14ac:dyDescent="0.35">
      <c r="A46" s="143">
        <v>41136</v>
      </c>
      <c r="B46" s="106" t="s">
        <v>186</v>
      </c>
      <c r="C46" s="83">
        <f t="shared" si="0"/>
        <v>4</v>
      </c>
      <c r="D46" s="106">
        <v>3300000000</v>
      </c>
      <c r="E46" s="83">
        <f t="shared" si="1"/>
        <v>9.518513939877888</v>
      </c>
      <c r="F46" s="143">
        <v>43199</v>
      </c>
      <c r="G46" s="106">
        <v>3000000000</v>
      </c>
      <c r="H46" s="145">
        <f t="shared" si="2"/>
        <v>5.6520547945205477</v>
      </c>
      <c r="I46" s="145">
        <f t="shared" si="8"/>
        <v>0.7522063635166768</v>
      </c>
      <c r="J46" s="106">
        <v>17</v>
      </c>
      <c r="K46" s="106">
        <f t="shared" si="3"/>
        <v>1.255272505103306</v>
      </c>
      <c r="L46" s="59">
        <v>2.95</v>
      </c>
      <c r="M46" s="59">
        <f t="shared" si="9"/>
        <v>0.46982201597816303</v>
      </c>
      <c r="N46" s="154">
        <f t="shared" si="4"/>
        <v>-9.0909090909090939E-2</v>
      </c>
      <c r="O46" s="119">
        <f t="shared" si="10"/>
        <v>-4.1392685158225057E-2</v>
      </c>
      <c r="P46" s="106">
        <v>1246.953</v>
      </c>
      <c r="Q46" s="106">
        <f t="shared" si="5"/>
        <v>3.0958500844125241</v>
      </c>
      <c r="R46" s="106">
        <v>3219.7179999999998</v>
      </c>
      <c r="S46" s="106">
        <f t="shared" si="6"/>
        <v>3.5078178355445662</v>
      </c>
      <c r="T46" s="106">
        <v>91.1</v>
      </c>
      <c r="U46" s="106">
        <f t="shared" si="11"/>
        <v>1.9595183769729982</v>
      </c>
      <c r="V46" s="119">
        <v>24.1</v>
      </c>
      <c r="W46" s="119">
        <f t="shared" si="12"/>
        <v>1.3820170425748683</v>
      </c>
      <c r="X46" s="120">
        <v>40.229046020662899</v>
      </c>
      <c r="Y46" s="120">
        <f t="shared" si="13"/>
        <v>1.6045397339663818</v>
      </c>
      <c r="Z46" s="152">
        <v>0.86</v>
      </c>
      <c r="AA46" s="119">
        <f t="shared" si="7"/>
        <v>0.26951294421791627</v>
      </c>
      <c r="AB46" s="106">
        <v>25</v>
      </c>
      <c r="AC46" s="137">
        <f t="shared" si="14"/>
        <v>1.3979400086720377</v>
      </c>
    </row>
    <row r="47" spans="1:29" x14ac:dyDescent="0.35">
      <c r="A47" s="146">
        <v>38244</v>
      </c>
      <c r="B47" s="108" t="s">
        <v>235</v>
      </c>
      <c r="C47" s="84">
        <f t="shared" si="0"/>
        <v>1</v>
      </c>
      <c r="D47" s="108">
        <v>700000000</v>
      </c>
      <c r="E47" s="84">
        <f t="shared" si="1"/>
        <v>8.8450980400142569</v>
      </c>
      <c r="F47" s="150">
        <v>42270</v>
      </c>
      <c r="G47" s="108">
        <v>2065000000</v>
      </c>
      <c r="H47" s="148">
        <f t="shared" si="2"/>
        <v>11.03013698630137</v>
      </c>
      <c r="I47" s="145">
        <f t="shared" si="8"/>
        <v>1.0425809060961611</v>
      </c>
      <c r="J47" s="108">
        <v>0</v>
      </c>
      <c r="K47" s="108">
        <f t="shared" si="3"/>
        <v>0</v>
      </c>
      <c r="L47" s="65">
        <v>2.95</v>
      </c>
      <c r="M47" s="59">
        <f t="shared" si="9"/>
        <v>0.46982201597816303</v>
      </c>
      <c r="N47" s="155">
        <f t="shared" si="4"/>
        <v>1.9500000000000002</v>
      </c>
      <c r="O47" s="127">
        <f t="shared" si="10"/>
        <v>0.46982201597816303</v>
      </c>
      <c r="P47" s="108">
        <v>1246.953</v>
      </c>
      <c r="Q47" s="108">
        <f t="shared" si="5"/>
        <v>3.0958500844125241</v>
      </c>
      <c r="R47" s="108">
        <v>3219.7179999999998</v>
      </c>
      <c r="S47" s="108">
        <f t="shared" si="6"/>
        <v>3.5078178355445662</v>
      </c>
      <c r="T47" s="108">
        <v>85</v>
      </c>
      <c r="U47" s="106">
        <f t="shared" si="11"/>
        <v>1.9294189257142926</v>
      </c>
      <c r="V47" s="127">
        <v>24.6</v>
      </c>
      <c r="W47" s="119">
        <f t="shared" si="12"/>
        <v>1.3909351071033791</v>
      </c>
      <c r="X47" s="128">
        <v>36.876470987978301</v>
      </c>
      <c r="Y47" s="120">
        <f t="shared" si="13"/>
        <v>1.5667493531684615</v>
      </c>
      <c r="Z47" s="153">
        <v>0.72</v>
      </c>
      <c r="AA47" s="127">
        <f t="shared" si="7"/>
        <v>0.2355284469075489</v>
      </c>
      <c r="AB47" s="108">
        <v>17</v>
      </c>
      <c r="AC47" s="137">
        <f t="shared" si="14"/>
        <v>1.2304489213782739</v>
      </c>
    </row>
    <row r="48" spans="1:29" x14ac:dyDescent="0.35">
      <c r="A48" s="143">
        <v>38769</v>
      </c>
      <c r="B48" s="106" t="s">
        <v>269</v>
      </c>
      <c r="C48" s="83">
        <f t="shared" si="0"/>
        <v>7</v>
      </c>
      <c r="D48" s="106">
        <v>1000000000</v>
      </c>
      <c r="E48" s="83">
        <f t="shared" si="1"/>
        <v>9</v>
      </c>
      <c r="F48" s="143">
        <v>40428</v>
      </c>
      <c r="G48" s="106">
        <v>3100000000</v>
      </c>
      <c r="H48" s="145">
        <f t="shared" si="2"/>
        <v>4.5452054794520551</v>
      </c>
      <c r="I48" s="145">
        <f t="shared" si="8"/>
        <v>0.65755352156788605</v>
      </c>
      <c r="J48" s="106">
        <v>26</v>
      </c>
      <c r="K48" s="106">
        <f t="shared" si="3"/>
        <v>1.4313637641589874</v>
      </c>
      <c r="L48" s="59">
        <v>2.95</v>
      </c>
      <c r="M48" s="59">
        <f t="shared" si="9"/>
        <v>0.46982201597816303</v>
      </c>
      <c r="N48" s="154">
        <f t="shared" si="4"/>
        <v>2.1</v>
      </c>
      <c r="O48" s="119">
        <f t="shared" si="10"/>
        <v>0.49136169383427269</v>
      </c>
      <c r="P48" s="106">
        <v>1246.953</v>
      </c>
      <c r="Q48" s="106">
        <f t="shared" si="5"/>
        <v>3.0958500844125241</v>
      </c>
      <c r="R48" s="106">
        <v>3219.7179999999998</v>
      </c>
      <c r="S48" s="106">
        <f t="shared" si="6"/>
        <v>3.5078178355445662</v>
      </c>
      <c r="T48" s="106">
        <v>93.2</v>
      </c>
      <c r="U48" s="106">
        <f t="shared" si="11"/>
        <v>1.9694159123539814</v>
      </c>
      <c r="V48" s="119">
        <v>26.7</v>
      </c>
      <c r="W48" s="119">
        <f t="shared" si="12"/>
        <v>1.4265112613645752</v>
      </c>
      <c r="X48" s="120">
        <v>36.669158714517401</v>
      </c>
      <c r="Y48" s="120">
        <f t="shared" si="13"/>
        <v>1.5643009462345601</v>
      </c>
      <c r="Z48" s="152">
        <v>-0.15</v>
      </c>
      <c r="AA48" s="119">
        <f t="shared" si="7"/>
        <v>-7.0581074285707285E-2</v>
      </c>
      <c r="AB48" s="106">
        <v>19</v>
      </c>
      <c r="AC48" s="137">
        <f t="shared" si="14"/>
        <v>1.2787536009528289</v>
      </c>
    </row>
    <row r="49" spans="1:29" x14ac:dyDescent="0.35">
      <c r="A49" s="146">
        <v>39113</v>
      </c>
      <c r="B49" s="108" t="s">
        <v>269</v>
      </c>
      <c r="C49" s="84">
        <f t="shared" si="0"/>
        <v>7</v>
      </c>
      <c r="D49" s="108">
        <v>475000000</v>
      </c>
      <c r="E49" s="84">
        <f t="shared" si="1"/>
        <v>8.6766936096248664</v>
      </c>
      <c r="F49" s="150">
        <v>41237</v>
      </c>
      <c r="G49" s="108">
        <v>100000000</v>
      </c>
      <c r="H49" s="148">
        <f t="shared" si="2"/>
        <v>5.8191780821917805</v>
      </c>
      <c r="I49" s="145">
        <f t="shared" si="8"/>
        <v>0.76486164795295675</v>
      </c>
      <c r="J49" s="108">
        <v>11</v>
      </c>
      <c r="K49" s="108">
        <f t="shared" si="3"/>
        <v>1.0791812460476249</v>
      </c>
      <c r="L49" s="65">
        <v>2.95</v>
      </c>
      <c r="M49" s="59">
        <f t="shared" si="9"/>
        <v>0.46982201597816303</v>
      </c>
      <c r="N49" s="155">
        <f t="shared" si="4"/>
        <v>-0.78947368421052633</v>
      </c>
      <c r="O49" s="127">
        <f t="shared" si="10"/>
        <v>-0.67669360962486658</v>
      </c>
      <c r="P49" s="108">
        <v>1246.953</v>
      </c>
      <c r="Q49" s="108">
        <f t="shared" si="5"/>
        <v>3.0958500844125241</v>
      </c>
      <c r="R49" s="108">
        <v>3219.7179999999998</v>
      </c>
      <c r="S49" s="108">
        <f t="shared" si="6"/>
        <v>3.5078178355445662</v>
      </c>
      <c r="T49" s="108">
        <v>91.4</v>
      </c>
      <c r="U49" s="106">
        <f t="shared" si="11"/>
        <v>1.9609461957338314</v>
      </c>
      <c r="V49" s="127">
        <v>26.7</v>
      </c>
      <c r="W49" s="119">
        <f t="shared" si="12"/>
        <v>1.4265112613645752</v>
      </c>
      <c r="X49" s="128">
        <v>37.425715444240403</v>
      </c>
      <c r="Y49" s="120">
        <f t="shared" si="13"/>
        <v>1.5731701112332821</v>
      </c>
      <c r="Z49" s="153">
        <v>-0.02</v>
      </c>
      <c r="AA49" s="127">
        <f t="shared" si="7"/>
        <v>-8.7739243075051505E-3</v>
      </c>
      <c r="AB49" s="108">
        <v>20</v>
      </c>
      <c r="AC49" s="137">
        <f t="shared" si="14"/>
        <v>1.3010299956639813</v>
      </c>
    </row>
    <row r="50" spans="1:29" x14ac:dyDescent="0.35">
      <c r="A50" s="143">
        <v>39654</v>
      </c>
      <c r="B50" s="106" t="s">
        <v>269</v>
      </c>
      <c r="C50" s="83">
        <f t="shared" si="0"/>
        <v>7</v>
      </c>
      <c r="D50" s="106">
        <v>700000000</v>
      </c>
      <c r="E50" s="83">
        <f t="shared" si="1"/>
        <v>8.8450980400142569</v>
      </c>
      <c r="F50" s="143">
        <v>42185</v>
      </c>
      <c r="G50" s="106">
        <v>1680000000</v>
      </c>
      <c r="H50" s="145">
        <f t="shared" si="2"/>
        <v>6.934246575342466</v>
      </c>
      <c r="I50" s="145">
        <f t="shared" si="8"/>
        <v>0.84099928070177954</v>
      </c>
      <c r="J50" s="106">
        <v>51</v>
      </c>
      <c r="K50" s="106">
        <f t="shared" si="3"/>
        <v>1.7160033436347992</v>
      </c>
      <c r="L50" s="59">
        <v>2.95</v>
      </c>
      <c r="M50" s="59">
        <f t="shared" si="9"/>
        <v>0.46982201597816303</v>
      </c>
      <c r="N50" s="154">
        <f t="shared" si="4"/>
        <v>1.4</v>
      </c>
      <c r="O50" s="119">
        <f t="shared" si="10"/>
        <v>0.38021124171160603</v>
      </c>
      <c r="P50" s="106">
        <v>2315.9650000000001</v>
      </c>
      <c r="Q50" s="106">
        <f t="shared" si="5"/>
        <v>3.3647319918335836</v>
      </c>
      <c r="R50" s="106">
        <v>3703.9029999999998</v>
      </c>
      <c r="S50" s="106">
        <f t="shared" si="6"/>
        <v>3.568659604598353</v>
      </c>
      <c r="T50" s="106">
        <v>92.6</v>
      </c>
      <c r="U50" s="106">
        <f t="shared" si="11"/>
        <v>1.9666109866819343</v>
      </c>
      <c r="V50" s="119">
        <v>25.7</v>
      </c>
      <c r="W50" s="119">
        <f t="shared" si="12"/>
        <v>1.4099331233312946</v>
      </c>
      <c r="X50" s="120">
        <v>39.823361151429197</v>
      </c>
      <c r="Y50" s="120">
        <f t="shared" si="13"/>
        <v>1.6001379123442065</v>
      </c>
      <c r="Z50" s="152">
        <v>0.64</v>
      </c>
      <c r="AA50" s="119">
        <f t="shared" si="7"/>
        <v>0.21484384804769791</v>
      </c>
      <c r="AB50" s="106">
        <v>23</v>
      </c>
      <c r="AC50" s="137">
        <f t="shared" si="14"/>
        <v>1.3617278360175928</v>
      </c>
    </row>
    <row r="51" spans="1:29" x14ac:dyDescent="0.35">
      <c r="A51" s="146">
        <v>38110</v>
      </c>
      <c r="B51" s="108" t="s">
        <v>248</v>
      </c>
      <c r="C51" s="84">
        <f t="shared" si="0"/>
        <v>5</v>
      </c>
      <c r="D51" s="108">
        <v>3113980000</v>
      </c>
      <c r="E51" s="84">
        <f t="shared" si="1"/>
        <v>9.493315818920113</v>
      </c>
      <c r="F51" s="146">
        <v>39189</v>
      </c>
      <c r="G51" s="108">
        <v>8000000000</v>
      </c>
      <c r="H51" s="148">
        <f t="shared" si="2"/>
        <v>2.956164383561644</v>
      </c>
      <c r="I51" s="145">
        <f t="shared" si="8"/>
        <v>0.47072858022643599</v>
      </c>
      <c r="J51" s="108">
        <v>9</v>
      </c>
      <c r="K51" s="108">
        <f t="shared" si="3"/>
        <v>1</v>
      </c>
      <c r="L51" s="65">
        <v>2.95</v>
      </c>
      <c r="M51" s="59">
        <f t="shared" si="9"/>
        <v>0.46982201597816303</v>
      </c>
      <c r="N51" s="155">
        <f t="shared" si="4"/>
        <v>1.5690595315319946</v>
      </c>
      <c r="O51" s="127">
        <f t="shared" si="10"/>
        <v>0.40977416807183031</v>
      </c>
      <c r="P51" s="108">
        <v>2315.9650000000001</v>
      </c>
      <c r="Q51" s="108">
        <f t="shared" si="5"/>
        <v>3.3647319918335836</v>
      </c>
      <c r="R51" s="108">
        <v>3703.9029999999998</v>
      </c>
      <c r="S51" s="108">
        <f t="shared" si="6"/>
        <v>3.568659604598353</v>
      </c>
      <c r="T51" s="108">
        <v>85</v>
      </c>
      <c r="U51" s="106">
        <f t="shared" si="11"/>
        <v>1.9294189257142926</v>
      </c>
      <c r="V51" s="127">
        <v>24.6</v>
      </c>
      <c r="W51" s="119">
        <f t="shared" si="12"/>
        <v>1.3909351071033791</v>
      </c>
      <c r="X51" s="128">
        <v>36.876470987978301</v>
      </c>
      <c r="Y51" s="120">
        <f t="shared" si="13"/>
        <v>1.5667493531684615</v>
      </c>
      <c r="Z51" s="153">
        <v>0.32</v>
      </c>
      <c r="AA51" s="127">
        <f t="shared" si="7"/>
        <v>0.12057393120584989</v>
      </c>
      <c r="AB51" s="108">
        <v>19</v>
      </c>
      <c r="AC51" s="137">
        <f t="shared" si="14"/>
        <v>1.2787536009528289</v>
      </c>
    </row>
    <row r="52" spans="1:29" x14ac:dyDescent="0.35">
      <c r="A52" s="143">
        <v>37448</v>
      </c>
      <c r="B52" s="106" t="s">
        <v>186</v>
      </c>
      <c r="C52" s="83">
        <f t="shared" si="0"/>
        <v>4</v>
      </c>
      <c r="D52" s="106">
        <v>1700000000</v>
      </c>
      <c r="E52" s="83">
        <f t="shared" si="1"/>
        <v>9.2304489213782741</v>
      </c>
      <c r="F52" s="143">
        <v>39050</v>
      </c>
      <c r="G52" s="106">
        <v>3360000000</v>
      </c>
      <c r="H52" s="145">
        <f t="shared" si="2"/>
        <v>4.3890410958904109</v>
      </c>
      <c r="I52" s="145">
        <f t="shared" si="8"/>
        <v>0.64236964729174417</v>
      </c>
      <c r="J52" s="106">
        <v>83</v>
      </c>
      <c r="K52" s="106">
        <f t="shared" si="3"/>
        <v>1.9242792860618816</v>
      </c>
      <c r="L52" s="59">
        <v>2.95</v>
      </c>
      <c r="M52" s="59">
        <f t="shared" si="9"/>
        <v>0.46982201597816303</v>
      </c>
      <c r="N52" s="154">
        <f t="shared" si="4"/>
        <v>0.9764705882352942</v>
      </c>
      <c r="O52" s="119">
        <f t="shared" si="10"/>
        <v>0.29589035601157015</v>
      </c>
      <c r="P52" s="106">
        <v>2315.9650000000001</v>
      </c>
      <c r="Q52" s="106">
        <f t="shared" si="5"/>
        <v>3.3647319918335836</v>
      </c>
      <c r="R52" s="106">
        <v>3703.9029999999998</v>
      </c>
      <c r="S52" s="106">
        <f t="shared" si="6"/>
        <v>3.568659604598353</v>
      </c>
      <c r="T52" s="106">
        <v>85</v>
      </c>
      <c r="U52" s="106">
        <f t="shared" si="11"/>
        <v>1.9294189257142926</v>
      </c>
      <c r="V52" s="119">
        <v>24.9</v>
      </c>
      <c r="W52" s="119">
        <f t="shared" si="12"/>
        <v>1.3961993470957363</v>
      </c>
      <c r="X52" s="120">
        <v>36.710134890601303</v>
      </c>
      <c r="Y52" s="120">
        <f t="shared" si="13"/>
        <v>1.564785980312654</v>
      </c>
      <c r="Z52" s="152">
        <v>0.51</v>
      </c>
      <c r="AA52" s="119">
        <f t="shared" si="7"/>
        <v>0.17897694729316943</v>
      </c>
      <c r="AB52" s="106">
        <v>17</v>
      </c>
      <c r="AC52" s="137">
        <f t="shared" si="14"/>
        <v>1.2304489213782739</v>
      </c>
    </row>
    <row r="53" spans="1:29" x14ac:dyDescent="0.35">
      <c r="A53" s="146">
        <v>37691</v>
      </c>
      <c r="B53" s="108" t="s">
        <v>245</v>
      </c>
      <c r="C53" s="84">
        <f t="shared" si="0"/>
        <v>6</v>
      </c>
      <c r="D53" s="108">
        <v>2510000000</v>
      </c>
      <c r="E53" s="84">
        <f t="shared" si="1"/>
        <v>9.3996737214810384</v>
      </c>
      <c r="F53" s="146">
        <v>38838</v>
      </c>
      <c r="G53" s="108">
        <v>2679000000</v>
      </c>
      <c r="H53" s="148">
        <f t="shared" si="2"/>
        <v>3.1424657534246574</v>
      </c>
      <c r="I53" s="145">
        <f t="shared" si="8"/>
        <v>0.49727055344479293</v>
      </c>
      <c r="J53" s="108">
        <v>4</v>
      </c>
      <c r="K53" s="108">
        <f t="shared" si="3"/>
        <v>0.69897000433601886</v>
      </c>
      <c r="L53" s="65">
        <v>3.29</v>
      </c>
      <c r="M53" s="59">
        <f t="shared" si="9"/>
        <v>0.51719589794997434</v>
      </c>
      <c r="N53" s="155">
        <f t="shared" si="4"/>
        <v>6.7330677290836638E-2</v>
      </c>
      <c r="O53" s="127">
        <f t="shared" si="10"/>
        <v>2.8298992127170717E-2</v>
      </c>
      <c r="P53" s="108">
        <v>1669.0315000000001</v>
      </c>
      <c r="Q53" s="108">
        <f t="shared" si="5"/>
        <v>3.2224645332922388</v>
      </c>
      <c r="R53" s="108">
        <v>5094.7950000000001</v>
      </c>
      <c r="S53" s="108">
        <f t="shared" si="6"/>
        <v>3.707126713924402</v>
      </c>
      <c r="T53" s="108">
        <v>85</v>
      </c>
      <c r="U53" s="106">
        <f t="shared" si="11"/>
        <v>1.9294189257142926</v>
      </c>
      <c r="V53" s="127">
        <v>31.3</v>
      </c>
      <c r="W53" s="119">
        <f t="shared" si="12"/>
        <v>1.4955443375464486</v>
      </c>
      <c r="X53" s="128">
        <v>38.7850112673514</v>
      </c>
      <c r="Y53" s="120">
        <f t="shared" si="13"/>
        <v>1.5886639219461918</v>
      </c>
      <c r="Z53" s="155">
        <v>0.63</v>
      </c>
      <c r="AA53" s="127">
        <f t="shared" si="7"/>
        <v>0.21218760440395779</v>
      </c>
      <c r="AB53" s="108">
        <v>22</v>
      </c>
      <c r="AC53" s="137">
        <f t="shared" si="14"/>
        <v>1.3424226808222062</v>
      </c>
    </row>
    <row r="54" spans="1:29" x14ac:dyDescent="0.35">
      <c r="A54" s="143">
        <v>37590</v>
      </c>
      <c r="B54" s="106" t="s">
        <v>248</v>
      </c>
      <c r="C54" s="83">
        <f t="shared" si="0"/>
        <v>5</v>
      </c>
      <c r="D54" s="106">
        <v>333000000</v>
      </c>
      <c r="E54" s="83">
        <f t="shared" si="1"/>
        <v>8.5224442335063202</v>
      </c>
      <c r="F54" s="143">
        <v>38581</v>
      </c>
      <c r="G54" s="106">
        <v>800000000</v>
      </c>
      <c r="H54" s="145">
        <f t="shared" si="2"/>
        <v>2.7150684931506848</v>
      </c>
      <c r="I54" s="145">
        <f t="shared" si="8"/>
        <v>0.4337807900288006</v>
      </c>
      <c r="J54" s="106">
        <v>31</v>
      </c>
      <c r="K54" s="106">
        <f t="shared" si="3"/>
        <v>1.505149978319906</v>
      </c>
      <c r="L54" s="59">
        <v>3.29</v>
      </c>
      <c r="M54" s="59">
        <f t="shared" si="9"/>
        <v>0.51719589794997434</v>
      </c>
      <c r="N54" s="154">
        <f t="shared" si="4"/>
        <v>1.4024024024024024</v>
      </c>
      <c r="O54" s="119">
        <f t="shared" si="10"/>
        <v>0.38064575348562374</v>
      </c>
      <c r="P54" s="106">
        <v>1669.0315000000001</v>
      </c>
      <c r="Q54" s="106">
        <f t="shared" si="5"/>
        <v>3.2224645332922388</v>
      </c>
      <c r="R54" s="106">
        <v>5094.7950000000001</v>
      </c>
      <c r="S54" s="106">
        <f t="shared" si="6"/>
        <v>3.707126713924402</v>
      </c>
      <c r="T54" s="106">
        <v>85</v>
      </c>
      <c r="U54" s="106">
        <f t="shared" si="11"/>
        <v>1.9294189257142926</v>
      </c>
      <c r="V54" s="119">
        <v>31.5</v>
      </c>
      <c r="W54" s="119">
        <f t="shared" si="12"/>
        <v>1.4983105537896004</v>
      </c>
      <c r="X54" s="120">
        <v>37.589394702761602</v>
      </c>
      <c r="Y54" s="120">
        <f t="shared" si="13"/>
        <v>1.575065332381355</v>
      </c>
      <c r="Z54" s="154">
        <v>0.3</v>
      </c>
      <c r="AA54" s="119">
        <f t="shared" si="7"/>
        <v>0.11394335230683679</v>
      </c>
      <c r="AB54" s="106">
        <v>21</v>
      </c>
      <c r="AC54" s="137">
        <f t="shared" si="14"/>
        <v>1.3222192947339193</v>
      </c>
    </row>
    <row r="55" spans="1:29" x14ac:dyDescent="0.35">
      <c r="A55" s="146">
        <v>35871</v>
      </c>
      <c r="B55" s="108" t="s">
        <v>248</v>
      </c>
      <c r="C55" s="84">
        <f t="shared" si="0"/>
        <v>5</v>
      </c>
      <c r="D55" s="108">
        <v>1060168118</v>
      </c>
      <c r="E55" s="84">
        <f t="shared" si="1"/>
        <v>9.0253747397273578</v>
      </c>
      <c r="F55" s="146">
        <v>38266</v>
      </c>
      <c r="G55" s="108">
        <v>175000000</v>
      </c>
      <c r="H55" s="148">
        <f t="shared" si="2"/>
        <v>6.5616438356164384</v>
      </c>
      <c r="I55" s="145">
        <f t="shared" si="8"/>
        <v>0.81701265329410733</v>
      </c>
      <c r="J55" s="108">
        <v>85</v>
      </c>
      <c r="K55" s="108">
        <f t="shared" si="3"/>
        <v>1.9344984512435677</v>
      </c>
      <c r="L55" s="65">
        <v>2.3199999999999998</v>
      </c>
      <c r="M55" s="59">
        <f t="shared" si="9"/>
        <v>0.36548798489089962</v>
      </c>
      <c r="N55" s="155">
        <f t="shared" si="4"/>
        <v>-0.83493184049890479</v>
      </c>
      <c r="O55" s="127">
        <f t="shared" si="10"/>
        <v>-0.78233669104106385</v>
      </c>
      <c r="P55" s="108">
        <v>1669.0315000000001</v>
      </c>
      <c r="Q55" s="108">
        <f t="shared" si="5"/>
        <v>3.2224645332922388</v>
      </c>
      <c r="R55" s="108">
        <v>5094.7950000000001</v>
      </c>
      <c r="S55" s="108">
        <f t="shared" si="6"/>
        <v>3.707126713924402</v>
      </c>
      <c r="T55" s="108">
        <v>85</v>
      </c>
      <c r="U55" s="106">
        <f t="shared" si="11"/>
        <v>1.9294189257142926</v>
      </c>
      <c r="V55" s="127">
        <v>27.8</v>
      </c>
      <c r="W55" s="119">
        <f t="shared" si="12"/>
        <v>1.4440447959180762</v>
      </c>
      <c r="X55" s="128">
        <v>35.119429201759203</v>
      </c>
      <c r="Y55" s="120">
        <f t="shared" si="13"/>
        <v>1.5455474486765259</v>
      </c>
      <c r="Z55" s="153">
        <v>0.06</v>
      </c>
      <c r="AA55" s="127">
        <f t="shared" si="7"/>
        <v>2.5305865264770262E-2</v>
      </c>
      <c r="AB55" s="108">
        <v>17</v>
      </c>
      <c r="AC55" s="137">
        <f t="shared" si="14"/>
        <v>1.2304489213782739</v>
      </c>
    </row>
    <row r="56" spans="1:29" x14ac:dyDescent="0.35">
      <c r="A56" s="143">
        <v>38918</v>
      </c>
      <c r="B56" s="106" t="s">
        <v>190</v>
      </c>
      <c r="C56" s="83">
        <f t="shared" si="0"/>
        <v>2</v>
      </c>
      <c r="D56" s="106">
        <v>4191360000</v>
      </c>
      <c r="E56" s="83">
        <f t="shared" si="1"/>
        <v>9.622354964412688</v>
      </c>
      <c r="F56" s="150">
        <v>41434</v>
      </c>
      <c r="G56" s="106">
        <v>4019810000</v>
      </c>
      <c r="H56" s="145">
        <f t="shared" si="2"/>
        <v>6.8931506849315065</v>
      </c>
      <c r="I56" s="145">
        <f t="shared" si="8"/>
        <v>0.83841777231675663</v>
      </c>
      <c r="J56" s="106">
        <v>42</v>
      </c>
      <c r="K56" s="106">
        <f t="shared" si="3"/>
        <v>1.6334684555795864</v>
      </c>
      <c r="L56" s="59">
        <v>3.59</v>
      </c>
      <c r="M56" s="59">
        <f t="shared" si="9"/>
        <v>0.55509444857831913</v>
      </c>
      <c r="N56" s="154">
        <f t="shared" si="4"/>
        <v>-4.0929435791723923E-2</v>
      </c>
      <c r="O56" s="119">
        <f t="shared" si="10"/>
        <v>-1.8149438169419448E-2</v>
      </c>
      <c r="P56" s="106">
        <v>1450.8446376578247</v>
      </c>
      <c r="Q56" s="106">
        <f t="shared" si="5"/>
        <v>3.1616209089088487</v>
      </c>
      <c r="R56" s="106">
        <v>6306.1358665754287</v>
      </c>
      <c r="S56" s="106">
        <f t="shared" si="6"/>
        <v>3.7997633234477775</v>
      </c>
      <c r="T56" s="106">
        <v>96.1</v>
      </c>
      <c r="U56" s="106">
        <f t="shared" si="11"/>
        <v>1.9827233876685453</v>
      </c>
      <c r="V56" s="119">
        <v>46</v>
      </c>
      <c r="W56" s="119">
        <f t="shared" si="12"/>
        <v>1.6627578316815741</v>
      </c>
      <c r="X56" s="120">
        <v>50.974560675820896</v>
      </c>
      <c r="Y56" s="120">
        <f t="shared" si="13"/>
        <v>1.7073534914999287</v>
      </c>
      <c r="Z56" s="152">
        <v>0.32</v>
      </c>
      <c r="AA56" s="119">
        <f t="shared" si="7"/>
        <v>0.12057393120584989</v>
      </c>
      <c r="AB56" s="106">
        <v>12</v>
      </c>
      <c r="AC56" s="137">
        <f t="shared" si="14"/>
        <v>1.0791812460476249</v>
      </c>
    </row>
    <row r="57" spans="1:29" x14ac:dyDescent="0.35">
      <c r="A57" s="146">
        <v>37747</v>
      </c>
      <c r="B57" s="108" t="s">
        <v>186</v>
      </c>
      <c r="C57" s="84">
        <f t="shared" si="0"/>
        <v>4</v>
      </c>
      <c r="D57" s="108">
        <v>235637477</v>
      </c>
      <c r="E57" s="84">
        <f t="shared" si="1"/>
        <v>8.3722443640434001</v>
      </c>
      <c r="F57" s="146">
        <v>38744</v>
      </c>
      <c r="G57" s="108">
        <v>1078966000</v>
      </c>
      <c r="H57" s="148">
        <f t="shared" si="2"/>
        <v>2.7315068493150685</v>
      </c>
      <c r="I57" s="145">
        <f t="shared" si="8"/>
        <v>0.43640229385518103</v>
      </c>
      <c r="J57" s="108">
        <v>20</v>
      </c>
      <c r="K57" s="108">
        <f t="shared" si="3"/>
        <v>1.3222192947339193</v>
      </c>
      <c r="L57" s="65">
        <v>3.59</v>
      </c>
      <c r="M57" s="59">
        <f t="shared" si="9"/>
        <v>0.55509444857831913</v>
      </c>
      <c r="N57" s="155">
        <f t="shared" si="4"/>
        <v>3.5789235809887749</v>
      </c>
      <c r="O57" s="127">
        <f t="shared" si="10"/>
        <v>0.66076339551899865</v>
      </c>
      <c r="P57" s="108">
        <v>1450.8446376578247</v>
      </c>
      <c r="Q57" s="108">
        <f t="shared" si="5"/>
        <v>3.1616209089088487</v>
      </c>
      <c r="R57" s="108">
        <v>6306.1358665754287</v>
      </c>
      <c r="S57" s="108">
        <f t="shared" si="6"/>
        <v>3.7997633234477775</v>
      </c>
      <c r="T57" s="108">
        <v>70</v>
      </c>
      <c r="U57" s="106">
        <f t="shared" si="11"/>
        <v>1.8450980400142569</v>
      </c>
      <c r="V57" s="127">
        <v>45.5</v>
      </c>
      <c r="W57" s="119">
        <f t="shared" si="12"/>
        <v>1.6580113966571124</v>
      </c>
      <c r="X57" s="128">
        <v>53.974932698910798</v>
      </c>
      <c r="Y57" s="120">
        <f t="shared" si="13"/>
        <v>1.7321921094868633</v>
      </c>
      <c r="Z57" s="153">
        <v>0.37</v>
      </c>
      <c r="AA57" s="127">
        <f t="shared" si="7"/>
        <v>0.13672056715640679</v>
      </c>
      <c r="AB57" s="108">
        <v>9</v>
      </c>
      <c r="AC57" s="137">
        <f t="shared" si="14"/>
        <v>0.95424250943932487</v>
      </c>
    </row>
    <row r="58" spans="1:29" x14ac:dyDescent="0.35">
      <c r="A58" s="143">
        <v>36899</v>
      </c>
      <c r="B58" s="106" t="s">
        <v>248</v>
      </c>
      <c r="C58" s="83">
        <f t="shared" si="0"/>
        <v>5</v>
      </c>
      <c r="D58" s="106">
        <v>433280000</v>
      </c>
      <c r="E58" s="83">
        <f t="shared" si="1"/>
        <v>8.6367686426690309</v>
      </c>
      <c r="F58" s="143">
        <v>38389</v>
      </c>
      <c r="G58" s="106">
        <v>1105784000</v>
      </c>
      <c r="H58" s="145">
        <f t="shared" si="2"/>
        <v>4.0821917808219181</v>
      </c>
      <c r="I58" s="145">
        <f t="shared" si="8"/>
        <v>0.61089340395579939</v>
      </c>
      <c r="J58" s="106">
        <v>82</v>
      </c>
      <c r="K58" s="106">
        <f t="shared" si="3"/>
        <v>1.919078092376074</v>
      </c>
      <c r="L58" s="59">
        <v>3.59</v>
      </c>
      <c r="M58" s="59">
        <f t="shared" si="9"/>
        <v>0.55509444857831913</v>
      </c>
      <c r="N58" s="154">
        <f t="shared" si="4"/>
        <v>1.5521233382570161</v>
      </c>
      <c r="O58" s="119">
        <f t="shared" si="10"/>
        <v>0.40690165901075054</v>
      </c>
      <c r="P58" s="106">
        <v>1450.8446376578247</v>
      </c>
      <c r="Q58" s="106">
        <f t="shared" si="5"/>
        <v>3.1616209089088487</v>
      </c>
      <c r="R58" s="106">
        <v>6306.1358665754287</v>
      </c>
      <c r="S58" s="106">
        <f t="shared" si="6"/>
        <v>3.7997633234477775</v>
      </c>
      <c r="T58" s="106">
        <v>70</v>
      </c>
      <c r="U58" s="106">
        <f t="shared" si="11"/>
        <v>1.8450980400142569</v>
      </c>
      <c r="V58" s="119">
        <v>46.8</v>
      </c>
      <c r="W58" s="119">
        <f t="shared" si="12"/>
        <v>1.670245853074124</v>
      </c>
      <c r="X58" s="120">
        <v>52.695054949482603</v>
      </c>
      <c r="Y58" s="120">
        <f t="shared" si="13"/>
        <v>1.7217698617226407</v>
      </c>
      <c r="Z58" s="152">
        <v>-7.0000000000000007E-2</v>
      </c>
      <c r="AA58" s="119">
        <f t="shared" si="7"/>
        <v>-3.1517051446064911E-2</v>
      </c>
      <c r="AB58" s="106">
        <v>7</v>
      </c>
      <c r="AC58" s="137">
        <f t="shared" si="14"/>
        <v>0.84509804001425681</v>
      </c>
    </row>
    <row r="59" spans="1:29" x14ac:dyDescent="0.35">
      <c r="A59" s="146">
        <v>36382</v>
      </c>
      <c r="B59" s="108" t="s">
        <v>269</v>
      </c>
      <c r="C59" s="84">
        <f t="shared" si="0"/>
        <v>7</v>
      </c>
      <c r="D59" s="108">
        <v>600000000</v>
      </c>
      <c r="E59" s="84">
        <f t="shared" si="1"/>
        <v>8.7781512503836439</v>
      </c>
      <c r="F59" s="146">
        <v>39082</v>
      </c>
      <c r="G59" s="108">
        <v>550000000</v>
      </c>
      <c r="H59" s="148">
        <f t="shared" si="2"/>
        <v>7.397260273972603</v>
      </c>
      <c r="I59" s="145">
        <f t="shared" si="8"/>
        <v>0.86907089970251261</v>
      </c>
      <c r="J59" s="108">
        <v>96</v>
      </c>
      <c r="K59" s="108">
        <f t="shared" si="3"/>
        <v>1.9867717342662448</v>
      </c>
      <c r="L59" s="65">
        <v>3.59</v>
      </c>
      <c r="M59" s="59">
        <f t="shared" si="9"/>
        <v>0.55509444857831913</v>
      </c>
      <c r="N59" s="155">
        <f t="shared" si="4"/>
        <v>-8.333333333333337E-2</v>
      </c>
      <c r="O59" s="127">
        <f t="shared" si="10"/>
        <v>-3.7788560889399803E-2</v>
      </c>
      <c r="P59" s="108">
        <v>1450.8446376578247</v>
      </c>
      <c r="Q59" s="108">
        <f t="shared" si="5"/>
        <v>3.1616209089088487</v>
      </c>
      <c r="R59" s="108">
        <v>6306.1358665754287</v>
      </c>
      <c r="S59" s="108">
        <f t="shared" si="6"/>
        <v>3.7997633234477775</v>
      </c>
      <c r="T59" s="108">
        <v>70</v>
      </c>
      <c r="U59" s="106">
        <f t="shared" si="11"/>
        <v>1.8450980400142569</v>
      </c>
      <c r="V59" s="127">
        <v>48.8</v>
      </c>
      <c r="W59" s="119">
        <f t="shared" si="12"/>
        <v>1.6884198220027107</v>
      </c>
      <c r="X59" s="128">
        <v>56.244853437044902</v>
      </c>
      <c r="Y59" s="120">
        <f t="shared" si="13"/>
        <v>1.750082789429638</v>
      </c>
      <c r="Z59" s="153">
        <v>0.11</v>
      </c>
      <c r="AA59" s="127">
        <f t="shared" si="7"/>
        <v>4.5322978786657475E-2</v>
      </c>
      <c r="AB59" s="108">
        <v>5</v>
      </c>
      <c r="AC59" s="137">
        <f t="shared" si="14"/>
        <v>0.69897000433601886</v>
      </c>
    </row>
    <row r="60" spans="1:29" x14ac:dyDescent="0.35">
      <c r="A60" s="143">
        <v>36280</v>
      </c>
      <c r="B60" s="106" t="s">
        <v>248</v>
      </c>
      <c r="C60" s="83">
        <f t="shared" si="0"/>
        <v>5</v>
      </c>
      <c r="D60" s="106">
        <v>216809269</v>
      </c>
      <c r="E60" s="83">
        <f t="shared" si="1"/>
        <v>8.3360778451611068</v>
      </c>
      <c r="F60" s="143">
        <v>38337</v>
      </c>
      <c r="G60" s="106">
        <v>465000000</v>
      </c>
      <c r="H60" s="145">
        <f t="shared" si="2"/>
        <v>5.6356164383561644</v>
      </c>
      <c r="I60" s="145">
        <f t="shared" si="8"/>
        <v>0.7509414272382493</v>
      </c>
      <c r="J60" s="106">
        <v>57</v>
      </c>
      <c r="K60" s="106">
        <f t="shared" si="3"/>
        <v>1.7634279935629373</v>
      </c>
      <c r="L60" s="59">
        <v>3.59</v>
      </c>
      <c r="M60" s="59">
        <f t="shared" si="9"/>
        <v>0.55509444857831913</v>
      </c>
      <c r="N60" s="154">
        <f t="shared" si="4"/>
        <v>1.1447422526940025</v>
      </c>
      <c r="O60" s="119">
        <f t="shared" si="10"/>
        <v>0.33137510772884793</v>
      </c>
      <c r="P60" s="106">
        <v>1450.8446376578247</v>
      </c>
      <c r="Q60" s="106">
        <f t="shared" si="5"/>
        <v>3.1616209089088487</v>
      </c>
      <c r="R60" s="106">
        <v>6306.1358665754287</v>
      </c>
      <c r="S60" s="106">
        <f t="shared" si="6"/>
        <v>3.7997633234477775</v>
      </c>
      <c r="T60" s="106">
        <v>70</v>
      </c>
      <c r="U60" s="106">
        <f t="shared" si="11"/>
        <v>1.8450980400142569</v>
      </c>
      <c r="V60" s="119">
        <v>48.8</v>
      </c>
      <c r="W60" s="119">
        <f t="shared" si="12"/>
        <v>1.6884198220027107</v>
      </c>
      <c r="X60" s="120">
        <v>56.244853437044902</v>
      </c>
      <c r="Y60" s="120">
        <f t="shared" si="13"/>
        <v>1.750082789429638</v>
      </c>
      <c r="Z60" s="152">
        <v>-0.1</v>
      </c>
      <c r="AA60" s="119">
        <f t="shared" si="7"/>
        <v>-4.5757490560675115E-2</v>
      </c>
      <c r="AB60" s="106">
        <v>5</v>
      </c>
      <c r="AC60" s="137">
        <f t="shared" si="14"/>
        <v>0.69897000433601886</v>
      </c>
    </row>
    <row r="61" spans="1:29" x14ac:dyDescent="0.35">
      <c r="A61" s="146">
        <v>35885</v>
      </c>
      <c r="B61" s="108" t="s">
        <v>178</v>
      </c>
      <c r="C61" s="84">
        <f t="shared" si="0"/>
        <v>9</v>
      </c>
      <c r="D61" s="108">
        <v>45647180</v>
      </c>
      <c r="E61" s="84">
        <f t="shared" si="1"/>
        <v>7.6594139527735292</v>
      </c>
      <c r="F61" s="146">
        <v>37862</v>
      </c>
      <c r="G61" s="108">
        <v>422000000</v>
      </c>
      <c r="H61" s="148">
        <f t="shared" si="2"/>
        <v>5.4164383561643836</v>
      </c>
      <c r="I61" s="145">
        <f t="shared" si="8"/>
        <v>0.73371380485719762</v>
      </c>
      <c r="J61" s="108">
        <v>73</v>
      </c>
      <c r="K61" s="108">
        <f t="shared" si="3"/>
        <v>1.8692317197309762</v>
      </c>
      <c r="L61" s="65">
        <v>3.59</v>
      </c>
      <c r="M61" s="59">
        <f t="shared" si="9"/>
        <v>0.55509444857831913</v>
      </c>
      <c r="N61" s="155">
        <f t="shared" si="4"/>
        <v>8.2448208191612267</v>
      </c>
      <c r="O61" s="127">
        <f t="shared" si="10"/>
        <v>0.96589849818814433</v>
      </c>
      <c r="P61" s="108">
        <v>1450.8446376578247</v>
      </c>
      <c r="Q61" s="108">
        <f t="shared" si="5"/>
        <v>3.1616209089088487</v>
      </c>
      <c r="R61" s="108">
        <v>6306.1358665754287</v>
      </c>
      <c r="S61" s="108">
        <f t="shared" si="6"/>
        <v>3.7997633234477775</v>
      </c>
      <c r="T61" s="108">
        <v>70</v>
      </c>
      <c r="U61" s="106">
        <f t="shared" si="11"/>
        <v>1.8450980400142569</v>
      </c>
      <c r="V61" s="127">
        <v>48.4</v>
      </c>
      <c r="W61" s="119">
        <f t="shared" si="12"/>
        <v>1.6848453616444126</v>
      </c>
      <c r="X61" s="128">
        <v>56.929890049265502</v>
      </c>
      <c r="Y61" s="120">
        <f t="shared" si="13"/>
        <v>1.7553403450438787</v>
      </c>
      <c r="Z61" s="153">
        <v>-0.09</v>
      </c>
      <c r="AA61" s="127">
        <f t="shared" si="7"/>
        <v>-4.0958607678906384E-2</v>
      </c>
      <c r="AB61" s="108">
        <v>4</v>
      </c>
      <c r="AC61" s="137">
        <f t="shared" si="14"/>
        <v>0.6020599913279624</v>
      </c>
    </row>
    <row r="62" spans="1:29" x14ac:dyDescent="0.35">
      <c r="A62" s="143">
        <v>37165</v>
      </c>
      <c r="B62" s="106" t="s">
        <v>269</v>
      </c>
      <c r="C62" s="83">
        <f t="shared" si="0"/>
        <v>7</v>
      </c>
      <c r="D62" s="106">
        <v>40929600</v>
      </c>
      <c r="E62" s="83">
        <f t="shared" si="1"/>
        <v>7.6120375003588876</v>
      </c>
      <c r="F62" s="143">
        <v>42087</v>
      </c>
      <c r="G62" s="106">
        <v>97000000</v>
      </c>
      <c r="H62" s="145">
        <f t="shared" si="2"/>
        <v>13.484931506849316</v>
      </c>
      <c r="I62" s="145">
        <f t="shared" si="8"/>
        <v>1.129848744910309</v>
      </c>
      <c r="J62" s="106">
        <v>41</v>
      </c>
      <c r="K62" s="106">
        <f t="shared" si="3"/>
        <v>1.6232492903979006</v>
      </c>
      <c r="L62" s="59">
        <v>3.28</v>
      </c>
      <c r="M62" s="59">
        <f t="shared" si="9"/>
        <v>0.5158738437116791</v>
      </c>
      <c r="N62" s="154">
        <f t="shared" si="4"/>
        <v>1.369922989718932</v>
      </c>
      <c r="O62" s="119">
        <f t="shared" si="10"/>
        <v>0.37473423390735744</v>
      </c>
      <c r="P62" s="106">
        <v>2366.2306777645658</v>
      </c>
      <c r="Q62" s="106">
        <f t="shared" si="5"/>
        <v>3.3740570806117947</v>
      </c>
      <c r="R62" s="64">
        <v>9334.126040428062</v>
      </c>
      <c r="S62" s="106">
        <f t="shared" si="6"/>
        <v>3.9700736609473402</v>
      </c>
      <c r="T62" s="106">
        <v>70</v>
      </c>
      <c r="U62" s="106">
        <f t="shared" si="11"/>
        <v>1.8450980400142569</v>
      </c>
      <c r="V62" s="119">
        <v>35.6</v>
      </c>
      <c r="W62" s="119">
        <f t="shared" si="12"/>
        <v>1.5514499979728751</v>
      </c>
      <c r="X62" s="120">
        <v>42.882578893959298</v>
      </c>
      <c r="Y62" s="120">
        <f t="shared" si="13"/>
        <v>1.6322808952886716</v>
      </c>
      <c r="Z62" s="152">
        <v>1.01</v>
      </c>
      <c r="AA62" s="119">
        <f t="shared" si="7"/>
        <v>0.30319605742048883</v>
      </c>
      <c r="AB62" s="106">
        <v>19</v>
      </c>
      <c r="AC62" s="137">
        <f t="shared" si="14"/>
        <v>1.2787536009528289</v>
      </c>
    </row>
    <row r="63" spans="1:29" x14ac:dyDescent="0.35">
      <c r="A63" s="146">
        <v>36705</v>
      </c>
      <c r="B63" s="108" t="s">
        <v>235</v>
      </c>
      <c r="C63" s="84">
        <f t="shared" si="0"/>
        <v>1</v>
      </c>
      <c r="D63" s="108">
        <v>157000000</v>
      </c>
      <c r="E63" s="84">
        <f t="shared" si="1"/>
        <v>8.1958996524092331</v>
      </c>
      <c r="F63" s="146">
        <v>37074</v>
      </c>
      <c r="G63" s="108">
        <v>151000000</v>
      </c>
      <c r="H63" s="148">
        <f t="shared" si="2"/>
        <v>1.010958904109589</v>
      </c>
      <c r="I63" s="145">
        <f t="shared" si="8"/>
        <v>4.7335017025856435E-3</v>
      </c>
      <c r="J63" s="108">
        <v>82</v>
      </c>
      <c r="K63" s="108">
        <f t="shared" si="3"/>
        <v>1.919078092376074</v>
      </c>
      <c r="L63" s="65">
        <v>3.28</v>
      </c>
      <c r="M63" s="59">
        <f t="shared" si="9"/>
        <v>0.5158738437116791</v>
      </c>
      <c r="N63" s="155">
        <f t="shared" si="4"/>
        <v>-3.8216560509554132E-2</v>
      </c>
      <c r="O63" s="127">
        <f t="shared" si="10"/>
        <v>-1.6922705116064297E-2</v>
      </c>
      <c r="P63" s="108">
        <v>2366.2306777645658</v>
      </c>
      <c r="Q63" s="108">
        <f t="shared" si="5"/>
        <v>3.3740570806117947</v>
      </c>
      <c r="R63" s="57">
        <v>9334.126040428062</v>
      </c>
      <c r="S63" s="108">
        <f t="shared" si="6"/>
        <v>3.9700736609473402</v>
      </c>
      <c r="T63" s="108">
        <v>70</v>
      </c>
      <c r="U63" s="106">
        <f t="shared" si="11"/>
        <v>1.8450980400142569</v>
      </c>
      <c r="V63" s="127">
        <v>36.9</v>
      </c>
      <c r="W63" s="119">
        <f t="shared" si="12"/>
        <v>1.5670263661590604</v>
      </c>
      <c r="X63" s="128">
        <v>42.177001683602199</v>
      </c>
      <c r="Y63" s="120">
        <f t="shared" si="13"/>
        <v>1.6250757029864513</v>
      </c>
      <c r="Z63" s="153">
        <v>-0.15</v>
      </c>
      <c r="AA63" s="127">
        <f t="shared" si="7"/>
        <v>-7.0581074285707285E-2</v>
      </c>
      <c r="AB63" s="108">
        <v>18</v>
      </c>
      <c r="AC63" s="137">
        <f t="shared" si="14"/>
        <v>1.255272505103306</v>
      </c>
    </row>
    <row r="64" spans="1:29" x14ac:dyDescent="0.35">
      <c r="A64" s="143">
        <v>38455</v>
      </c>
      <c r="B64" s="106" t="s">
        <v>235</v>
      </c>
      <c r="C64" s="83">
        <f t="shared" si="0"/>
        <v>1</v>
      </c>
      <c r="D64" s="106">
        <v>152000000</v>
      </c>
      <c r="E64" s="83">
        <f t="shared" si="1"/>
        <v>8.1818435879447726</v>
      </c>
      <c r="F64" s="143">
        <v>39263</v>
      </c>
      <c r="G64" s="106">
        <v>650000000</v>
      </c>
      <c r="H64" s="145">
        <f t="shared" si="2"/>
        <v>2.2136986301369861</v>
      </c>
      <c r="I64" s="145">
        <f t="shared" si="8"/>
        <v>0.34511849631811142</v>
      </c>
      <c r="J64" s="106">
        <v>87</v>
      </c>
      <c r="K64" s="106">
        <f t="shared" si="3"/>
        <v>1.9444826721501687</v>
      </c>
      <c r="L64" s="59">
        <v>3.28</v>
      </c>
      <c r="M64" s="59">
        <f t="shared" si="9"/>
        <v>0.5158738437116791</v>
      </c>
      <c r="N64" s="154">
        <f t="shared" si="4"/>
        <v>3.2763157894736841</v>
      </c>
      <c r="O64" s="119">
        <f t="shared" si="10"/>
        <v>0.63106976869808307</v>
      </c>
      <c r="P64" s="106">
        <v>2366.2306777645658</v>
      </c>
      <c r="Q64" s="106">
        <f t="shared" si="5"/>
        <v>3.3740570806117947</v>
      </c>
      <c r="R64" s="64">
        <v>9334.126040428062</v>
      </c>
      <c r="S64" s="106">
        <f t="shared" si="6"/>
        <v>3.9700736609473402</v>
      </c>
      <c r="T64" s="106">
        <v>70</v>
      </c>
      <c r="U64" s="106">
        <f t="shared" si="11"/>
        <v>1.8450980400142569</v>
      </c>
      <c r="V64" s="119">
        <v>35</v>
      </c>
      <c r="W64" s="119">
        <f t="shared" si="12"/>
        <v>1.5440680443502757</v>
      </c>
      <c r="X64" s="120">
        <v>42.243452783984999</v>
      </c>
      <c r="Y64" s="120">
        <f t="shared" si="13"/>
        <v>1.625759408194035</v>
      </c>
      <c r="Z64" s="152">
        <v>0.28000000000000003</v>
      </c>
      <c r="AA64" s="119">
        <f t="shared" si="7"/>
        <v>0.10720996964786837</v>
      </c>
      <c r="AB64" s="106">
        <v>23</v>
      </c>
      <c r="AC64" s="137">
        <f t="shared" si="14"/>
        <v>1.3617278360175928</v>
      </c>
    </row>
    <row r="65" spans="1:29" x14ac:dyDescent="0.35">
      <c r="A65" s="146">
        <v>38352</v>
      </c>
      <c r="B65" s="108" t="s">
        <v>183</v>
      </c>
      <c r="C65" s="84">
        <f t="shared" si="0"/>
        <v>3</v>
      </c>
      <c r="D65" s="108">
        <v>130000000</v>
      </c>
      <c r="E65" s="84">
        <f t="shared" si="1"/>
        <v>8.1139433523068369</v>
      </c>
      <c r="F65" s="146">
        <v>40543</v>
      </c>
      <c r="G65" s="108">
        <v>1925000000</v>
      </c>
      <c r="H65" s="148">
        <f t="shared" si="2"/>
        <v>6.0027397260273974</v>
      </c>
      <c r="I65" s="145">
        <f t="shared" si="8"/>
        <v>0.77834951310423062</v>
      </c>
      <c r="J65" s="108">
        <v>0</v>
      </c>
      <c r="K65" s="108">
        <f t="shared" si="3"/>
        <v>0</v>
      </c>
      <c r="L65" s="65">
        <v>2.95</v>
      </c>
      <c r="M65" s="59">
        <f t="shared" si="9"/>
        <v>0.46982201597816303</v>
      </c>
      <c r="N65" s="155">
        <f t="shared" si="4"/>
        <v>13.807692307692308</v>
      </c>
      <c r="O65" s="127">
        <f t="shared" si="10"/>
        <v>1.1704873815376828</v>
      </c>
      <c r="P65" s="108">
        <v>8291.8367346938758</v>
      </c>
      <c r="Q65" s="108">
        <f t="shared" si="5"/>
        <v>3.9186507422978978</v>
      </c>
      <c r="R65" s="108">
        <v>9858.1632653061242</v>
      </c>
      <c r="S65" s="108">
        <f t="shared" si="6"/>
        <v>3.9937960064170404</v>
      </c>
      <c r="T65" s="108">
        <v>85</v>
      </c>
      <c r="U65" s="106">
        <f t="shared" si="11"/>
        <v>1.9294189257142926</v>
      </c>
      <c r="V65" s="127">
        <v>24.6</v>
      </c>
      <c r="W65" s="119">
        <f t="shared" si="12"/>
        <v>1.3909351071033791</v>
      </c>
      <c r="X65" s="128">
        <v>36.876470987978301</v>
      </c>
      <c r="Y65" s="120">
        <f t="shared" si="13"/>
        <v>1.5667493531684615</v>
      </c>
      <c r="Z65" s="153">
        <v>0.04</v>
      </c>
      <c r="AA65" s="127">
        <f t="shared" si="7"/>
        <v>1.703333929878037E-2</v>
      </c>
      <c r="AB65" s="108">
        <v>16</v>
      </c>
      <c r="AC65" s="137">
        <f t="shared" si="14"/>
        <v>1.2041199826559248</v>
      </c>
    </row>
    <row r="66" spans="1:29" x14ac:dyDescent="0.35">
      <c r="A66" s="143">
        <v>37967</v>
      </c>
      <c r="B66" s="106" t="s">
        <v>183</v>
      </c>
      <c r="C66" s="83">
        <f t="shared" ref="C66:C129" si="15">IF(B66="Consumer Discretionary",5,IF(B66="Industrials",1,IF(B66="Energy",3,IF(B66="Health Care",2,IF(B66="Communications",4,IF(B66="Financials",6,IF(B66="Consumer Staples",7,IF(B66="Materials",8,IF(B66="Technology",9,IF(B66="Utilities",10,""))))))))))</f>
        <v>3</v>
      </c>
      <c r="D66" s="106">
        <v>120000000</v>
      </c>
      <c r="E66" s="83">
        <f t="shared" ref="E66:E129" si="16">LOG(D66)</f>
        <v>8.0791812460476251</v>
      </c>
      <c r="F66" s="143">
        <v>38595</v>
      </c>
      <c r="G66" s="106">
        <v>834000000</v>
      </c>
      <c r="H66" s="145">
        <f t="shared" ref="H66:H129" si="17">YEARFRAC(A66,F66,3)</f>
        <v>1.7205479452054795</v>
      </c>
      <c r="I66" s="145">
        <f t="shared" si="8"/>
        <v>0.23566677928072144</v>
      </c>
      <c r="J66" s="106">
        <v>135</v>
      </c>
      <c r="K66" s="106">
        <f t="shared" ref="K66:K129" si="18">LOG(1+J66)</f>
        <v>2.1335389083702174</v>
      </c>
      <c r="L66" s="59">
        <v>2.95</v>
      </c>
      <c r="M66" s="59">
        <f t="shared" si="9"/>
        <v>0.46982201597816303</v>
      </c>
      <c r="N66" s="154">
        <f t="shared" ref="N66:N129" si="19">(G66/D66)-1</f>
        <v>5.95</v>
      </c>
      <c r="O66" s="119">
        <f t="shared" ref="O66:O129" si="20">IF(N66=-1,LOG(0.1),LOG(1+N66))</f>
        <v>0.84198480459011393</v>
      </c>
      <c r="P66" s="106">
        <v>8291.8367346938758</v>
      </c>
      <c r="Q66" s="106">
        <f t="shared" ref="Q66:Q129" si="21">LOG(P66)</f>
        <v>3.9186507422978978</v>
      </c>
      <c r="R66" s="106">
        <v>9858.1632653061242</v>
      </c>
      <c r="S66" s="106">
        <f t="shared" ref="S66:S129" si="22">LOG(R66)</f>
        <v>3.9937960064170404</v>
      </c>
      <c r="T66" s="106">
        <v>85</v>
      </c>
      <c r="U66" s="106">
        <f t="shared" si="11"/>
        <v>1.9294189257142926</v>
      </c>
      <c r="V66" s="119">
        <v>24.4</v>
      </c>
      <c r="W66" s="119">
        <f t="shared" si="12"/>
        <v>1.3873898263387294</v>
      </c>
      <c r="X66" s="120">
        <v>37.256914365427299</v>
      </c>
      <c r="Y66" s="120">
        <f t="shared" si="13"/>
        <v>1.5712068835833228</v>
      </c>
      <c r="Z66" s="152">
        <v>0.14000000000000001</v>
      </c>
      <c r="AA66" s="119">
        <f t="shared" ref="AA66:AA129" si="23">LOG(1+Z66)</f>
        <v>5.6904851336472641E-2</v>
      </c>
      <c r="AB66" s="106">
        <v>15</v>
      </c>
      <c r="AC66" s="137">
        <f t="shared" si="14"/>
        <v>1.1760912590556813</v>
      </c>
    </row>
    <row r="67" spans="1:29" x14ac:dyDescent="0.35">
      <c r="A67" s="146">
        <v>37201</v>
      </c>
      <c r="B67" s="108" t="s">
        <v>183</v>
      </c>
      <c r="C67" s="84">
        <f t="shared" si="15"/>
        <v>3</v>
      </c>
      <c r="D67" s="108">
        <v>110000000</v>
      </c>
      <c r="E67" s="84">
        <f t="shared" si="16"/>
        <v>8.0413926851582254</v>
      </c>
      <c r="F67" s="146">
        <v>38160</v>
      </c>
      <c r="G67" s="108">
        <v>122100000</v>
      </c>
      <c r="H67" s="148">
        <f t="shared" si="17"/>
        <v>2.6273972602739728</v>
      </c>
      <c r="I67" s="145">
        <f t="shared" ref="I67:I130" si="24">LOG(H67)</f>
        <v>0.41952574271418891</v>
      </c>
      <c r="J67" s="108">
        <v>3</v>
      </c>
      <c r="K67" s="108">
        <f t="shared" si="18"/>
        <v>0.6020599913279624</v>
      </c>
      <c r="L67" s="65">
        <v>2.95</v>
      </c>
      <c r="M67" s="59">
        <f t="shared" ref="M67:M130" si="25">LOG(L67)</f>
        <v>0.46982201597816303</v>
      </c>
      <c r="N67" s="155">
        <f t="shared" si="19"/>
        <v>0.1100000000000001</v>
      </c>
      <c r="O67" s="127">
        <f t="shared" si="20"/>
        <v>4.5322978786657475E-2</v>
      </c>
      <c r="P67" s="108">
        <v>8291.8367346938758</v>
      </c>
      <c r="Q67" s="108">
        <f t="shared" si="21"/>
        <v>3.9186507422978978</v>
      </c>
      <c r="R67" s="108">
        <v>9858.1632653061242</v>
      </c>
      <c r="S67" s="108">
        <f t="shared" si="22"/>
        <v>3.9937960064170404</v>
      </c>
      <c r="T67" s="108">
        <v>85</v>
      </c>
      <c r="U67" s="106">
        <f t="shared" ref="U67:U130" si="26">LOG(T67)</f>
        <v>1.9294189257142926</v>
      </c>
      <c r="V67" s="127">
        <v>27.2</v>
      </c>
      <c r="W67" s="119">
        <f t="shared" ref="W67:W130" si="27">LOG(V67)</f>
        <v>1.4345689040341987</v>
      </c>
      <c r="X67" s="128">
        <v>35.608384832026097</v>
      </c>
      <c r="Y67" s="120">
        <f t="shared" ref="Y67:Y130" si="28">LOG(X67)</f>
        <v>1.5515522748692276</v>
      </c>
      <c r="Z67" s="153">
        <v>0.01</v>
      </c>
      <c r="AA67" s="127">
        <f t="shared" si="23"/>
        <v>4.3213737826425782E-3</v>
      </c>
      <c r="AB67" s="108">
        <v>13</v>
      </c>
      <c r="AC67" s="137">
        <f t="shared" ref="AC67:AC130" si="29">IF(AB67=0,0,LOG(AB67))</f>
        <v>1.1139433523068367</v>
      </c>
    </row>
    <row r="68" spans="1:29" x14ac:dyDescent="0.35">
      <c r="A68" s="143">
        <v>29951</v>
      </c>
      <c r="B68" s="106" t="s">
        <v>269</v>
      </c>
      <c r="C68" s="83">
        <f t="shared" si="15"/>
        <v>7</v>
      </c>
      <c r="D68" s="106">
        <v>530000000</v>
      </c>
      <c r="E68" s="83">
        <f t="shared" si="16"/>
        <v>8.7242758696007883</v>
      </c>
      <c r="F68" s="143">
        <v>36308</v>
      </c>
      <c r="G68" s="106">
        <v>12587600000</v>
      </c>
      <c r="H68" s="145">
        <f t="shared" si="17"/>
        <v>17.416438356164385</v>
      </c>
      <c r="I68" s="145">
        <f t="shared" si="24"/>
        <v>1.2409593469739824</v>
      </c>
      <c r="J68" s="106">
        <v>50</v>
      </c>
      <c r="K68" s="106">
        <f t="shared" si="18"/>
        <v>1.7075701760979363</v>
      </c>
      <c r="L68" s="59">
        <v>2.95</v>
      </c>
      <c r="M68" s="59">
        <f t="shared" si="25"/>
        <v>0.46982201597816303</v>
      </c>
      <c r="N68" s="154">
        <f t="shared" si="19"/>
        <v>22.750188679245284</v>
      </c>
      <c r="O68" s="119">
        <f t="shared" si="20"/>
        <v>1.3756670641516049</v>
      </c>
      <c r="P68" s="106">
        <v>1171.498</v>
      </c>
      <c r="Q68" s="106">
        <f t="shared" si="21"/>
        <v>3.0687415514991745</v>
      </c>
      <c r="R68" s="106">
        <v>3386.1060000000002</v>
      </c>
      <c r="S68" s="106">
        <f t="shared" si="22"/>
        <v>3.5297005493117593</v>
      </c>
      <c r="T68" s="106">
        <v>85</v>
      </c>
      <c r="U68" s="106">
        <f t="shared" si="26"/>
        <v>1.9294189257142926</v>
      </c>
      <c r="V68" s="119">
        <v>25.9</v>
      </c>
      <c r="W68" s="119">
        <f t="shared" si="27"/>
        <v>1.4132997640812519</v>
      </c>
      <c r="X68" s="120">
        <v>40.815825693332798</v>
      </c>
      <c r="Y68" s="120">
        <f t="shared" si="28"/>
        <v>1.6108285865865359</v>
      </c>
      <c r="Z68" s="69" t="s">
        <v>308</v>
      </c>
      <c r="AA68" s="119">
        <f t="shared" si="23"/>
        <v>0.52608069180202999</v>
      </c>
      <c r="AB68" s="106">
        <v>5</v>
      </c>
      <c r="AC68" s="137">
        <f t="shared" si="29"/>
        <v>0.69897000433601886</v>
      </c>
    </row>
    <row r="69" spans="1:29" x14ac:dyDescent="0.35">
      <c r="A69" s="146">
        <v>29951</v>
      </c>
      <c r="B69" s="108" t="s">
        <v>235</v>
      </c>
      <c r="C69" s="84">
        <f t="shared" si="15"/>
        <v>1</v>
      </c>
      <c r="D69" s="108">
        <v>330000000</v>
      </c>
      <c r="E69" s="84">
        <f t="shared" si="16"/>
        <v>8.518513939877888</v>
      </c>
      <c r="F69" s="146">
        <v>34281</v>
      </c>
      <c r="G69" s="108">
        <v>340000000</v>
      </c>
      <c r="H69" s="148">
        <f t="shared" si="17"/>
        <v>11.863013698630137</v>
      </c>
      <c r="I69" s="145">
        <f t="shared" si="24"/>
        <v>1.0741950318968907</v>
      </c>
      <c r="J69" s="108">
        <v>59</v>
      </c>
      <c r="K69" s="108">
        <f t="shared" si="18"/>
        <v>1.7781512503836436</v>
      </c>
      <c r="L69" s="65">
        <v>2.95</v>
      </c>
      <c r="M69" s="59">
        <f t="shared" si="25"/>
        <v>0.46982201597816303</v>
      </c>
      <c r="N69" s="155">
        <f t="shared" si="19"/>
        <v>3.0303030303030276E-2</v>
      </c>
      <c r="O69" s="127">
        <f t="shared" si="20"/>
        <v>1.2964977164367635E-2</v>
      </c>
      <c r="P69" s="108">
        <v>1171.498</v>
      </c>
      <c r="Q69" s="108">
        <f t="shared" si="21"/>
        <v>3.0687415514991745</v>
      </c>
      <c r="R69" s="108">
        <v>3386.1060000000002</v>
      </c>
      <c r="S69" s="108">
        <f t="shared" si="22"/>
        <v>3.5297005493117593</v>
      </c>
      <c r="T69" s="108">
        <v>85</v>
      </c>
      <c r="U69" s="106">
        <f t="shared" si="26"/>
        <v>1.9294189257142926</v>
      </c>
      <c r="V69" s="127">
        <v>25.9</v>
      </c>
      <c r="W69" s="119">
        <f t="shared" si="27"/>
        <v>1.4132997640812519</v>
      </c>
      <c r="X69" s="128">
        <v>40.815825693332798</v>
      </c>
      <c r="Y69" s="120">
        <f t="shared" si="28"/>
        <v>1.6108285865865359</v>
      </c>
      <c r="Z69" s="70" t="s">
        <v>310</v>
      </c>
      <c r="AA69" s="127">
        <f t="shared" si="23"/>
        <v>0.36642295722597273</v>
      </c>
      <c r="AB69" s="108">
        <v>5</v>
      </c>
      <c r="AC69" s="137">
        <f t="shared" si="29"/>
        <v>0.69897000433601886</v>
      </c>
    </row>
    <row r="70" spans="1:29" x14ac:dyDescent="0.35">
      <c r="A70" s="143">
        <v>30252</v>
      </c>
      <c r="B70" s="106" t="s">
        <v>186</v>
      </c>
      <c r="C70" s="83">
        <f t="shared" si="15"/>
        <v>4</v>
      </c>
      <c r="D70" s="106">
        <v>245000000</v>
      </c>
      <c r="E70" s="83">
        <f t="shared" si="16"/>
        <v>8.3891660843645326</v>
      </c>
      <c r="F70" s="143">
        <v>31184</v>
      </c>
      <c r="G70" s="106">
        <v>510000000</v>
      </c>
      <c r="H70" s="145">
        <f t="shared" si="17"/>
        <v>2.5534246575342467</v>
      </c>
      <c r="I70" s="145">
        <f t="shared" si="24"/>
        <v>0.4071230478975067</v>
      </c>
      <c r="J70" s="106">
        <v>63</v>
      </c>
      <c r="K70" s="106">
        <f t="shared" si="18"/>
        <v>1.8061799739838871</v>
      </c>
      <c r="L70" s="59">
        <v>2.95</v>
      </c>
      <c r="M70" s="59">
        <f t="shared" si="25"/>
        <v>0.46982201597816303</v>
      </c>
      <c r="N70" s="154">
        <f t="shared" si="19"/>
        <v>1.0816326530612246</v>
      </c>
      <c r="O70" s="119">
        <f t="shared" si="20"/>
        <v>0.31840409173340389</v>
      </c>
      <c r="P70" s="106">
        <v>1171.498</v>
      </c>
      <c r="Q70" s="106">
        <f t="shared" si="21"/>
        <v>3.0687415514991745</v>
      </c>
      <c r="R70" s="106">
        <v>3386.1060000000002</v>
      </c>
      <c r="S70" s="106">
        <f t="shared" si="22"/>
        <v>3.5297005493117593</v>
      </c>
      <c r="T70" s="106">
        <v>85</v>
      </c>
      <c r="U70" s="106">
        <f t="shared" si="26"/>
        <v>1.9294189257142926</v>
      </c>
      <c r="V70" s="119">
        <v>26</v>
      </c>
      <c r="W70" s="119">
        <f t="shared" si="27"/>
        <v>1.414973347970818</v>
      </c>
      <c r="X70" s="120">
        <v>40.815825693332798</v>
      </c>
      <c r="Y70" s="120">
        <f t="shared" si="28"/>
        <v>1.6108285865865359</v>
      </c>
      <c r="Z70" s="69" t="s">
        <v>314</v>
      </c>
      <c r="AA70" s="119">
        <f t="shared" si="23"/>
        <v>0.20112389720737955</v>
      </c>
      <c r="AB70" s="106">
        <v>6</v>
      </c>
      <c r="AC70" s="137">
        <f t="shared" si="29"/>
        <v>0.77815125038364363</v>
      </c>
    </row>
    <row r="71" spans="1:29" x14ac:dyDescent="0.35">
      <c r="A71" s="146">
        <v>30896</v>
      </c>
      <c r="B71" s="108" t="s">
        <v>248</v>
      </c>
      <c r="C71" s="84">
        <f t="shared" si="15"/>
        <v>5</v>
      </c>
      <c r="D71" s="108">
        <v>465000000</v>
      </c>
      <c r="E71" s="84">
        <f t="shared" si="16"/>
        <v>8.6674529528899544</v>
      </c>
      <c r="F71" s="146">
        <v>31671</v>
      </c>
      <c r="G71" s="108">
        <v>700000000</v>
      </c>
      <c r="H71" s="148">
        <f t="shared" si="17"/>
        <v>2.1232876712328768</v>
      </c>
      <c r="I71" s="145">
        <f t="shared" si="24"/>
        <v>0.3270088380498356</v>
      </c>
      <c r="J71" s="108">
        <v>177</v>
      </c>
      <c r="K71" s="108">
        <f t="shared" si="18"/>
        <v>2.2504200023088941</v>
      </c>
      <c r="L71" s="65">
        <v>2.95</v>
      </c>
      <c r="M71" s="59">
        <f t="shared" si="25"/>
        <v>0.46982201597816303</v>
      </c>
      <c r="N71" s="155">
        <f t="shared" si="19"/>
        <v>0.5053763440860215</v>
      </c>
      <c r="O71" s="127">
        <f t="shared" si="20"/>
        <v>0.17764508712430291</v>
      </c>
      <c r="P71" s="108">
        <v>1171.498</v>
      </c>
      <c r="Q71" s="108">
        <f t="shared" si="21"/>
        <v>3.0687415514991745</v>
      </c>
      <c r="R71" s="108">
        <v>3386.1060000000002</v>
      </c>
      <c r="S71" s="108">
        <f t="shared" si="22"/>
        <v>3.5297005493117593</v>
      </c>
      <c r="T71" s="108">
        <v>85</v>
      </c>
      <c r="U71" s="106">
        <f t="shared" si="26"/>
        <v>1.9294189257142926</v>
      </c>
      <c r="V71" s="127">
        <v>24.1</v>
      </c>
      <c r="W71" s="119">
        <f t="shared" si="27"/>
        <v>1.3820170425748683</v>
      </c>
      <c r="X71" s="128">
        <v>36.728532427451597</v>
      </c>
      <c r="Y71" s="120">
        <f t="shared" si="28"/>
        <v>1.5650035754622837</v>
      </c>
      <c r="Z71" s="70" t="s">
        <v>316</v>
      </c>
      <c r="AA71" s="127">
        <f t="shared" si="23"/>
        <v>0.15075643986030904</v>
      </c>
      <c r="AB71" s="108">
        <v>8</v>
      </c>
      <c r="AC71" s="137">
        <f t="shared" si="29"/>
        <v>0.90308998699194354</v>
      </c>
    </row>
    <row r="72" spans="1:29" x14ac:dyDescent="0.35">
      <c r="A72" s="143">
        <v>31020</v>
      </c>
      <c r="B72" s="106" t="s">
        <v>248</v>
      </c>
      <c r="C72" s="83">
        <f t="shared" si="15"/>
        <v>5</v>
      </c>
      <c r="D72" s="106">
        <v>1012000000</v>
      </c>
      <c r="E72" s="83">
        <f t="shared" si="16"/>
        <v>9.0051805125037809</v>
      </c>
      <c r="F72" s="143">
        <v>31707</v>
      </c>
      <c r="G72" s="106">
        <v>925000000</v>
      </c>
      <c r="H72" s="145">
        <f t="shared" si="17"/>
        <v>1.8821917808219177</v>
      </c>
      <c r="I72" s="145">
        <f t="shared" si="24"/>
        <v>0.27466387260307573</v>
      </c>
      <c r="J72" s="106">
        <v>59</v>
      </c>
      <c r="K72" s="106">
        <f t="shared" si="18"/>
        <v>1.7781512503836436</v>
      </c>
      <c r="L72" s="59">
        <v>2.95</v>
      </c>
      <c r="M72" s="59">
        <f t="shared" si="25"/>
        <v>0.46982201597816303</v>
      </c>
      <c r="N72" s="154">
        <f t="shared" si="19"/>
        <v>-8.5968379446640264E-2</v>
      </c>
      <c r="O72" s="119">
        <f t="shared" si="20"/>
        <v>-3.9038779764747678E-2</v>
      </c>
      <c r="P72" s="106">
        <v>1171.498</v>
      </c>
      <c r="Q72" s="106">
        <f t="shared" si="21"/>
        <v>3.0687415514991745</v>
      </c>
      <c r="R72" s="106">
        <v>3386.1060000000002</v>
      </c>
      <c r="S72" s="106">
        <f t="shared" si="22"/>
        <v>3.5297005493117593</v>
      </c>
      <c r="T72" s="106">
        <v>85</v>
      </c>
      <c r="U72" s="106">
        <f t="shared" si="26"/>
        <v>1.9294189257142926</v>
      </c>
      <c r="V72" s="119">
        <v>24.1</v>
      </c>
      <c r="W72" s="119">
        <f t="shared" si="27"/>
        <v>1.3820170425748683</v>
      </c>
      <c r="X72" s="120">
        <v>36.728532427451597</v>
      </c>
      <c r="Y72" s="120">
        <f t="shared" si="28"/>
        <v>1.5650035754622837</v>
      </c>
      <c r="Z72" s="69" t="s">
        <v>316</v>
      </c>
      <c r="AA72" s="119">
        <f t="shared" si="23"/>
        <v>0.15075643986030904</v>
      </c>
      <c r="AB72" s="106">
        <v>8</v>
      </c>
      <c r="AC72" s="137">
        <f t="shared" si="29"/>
        <v>0.90308998699194354</v>
      </c>
    </row>
    <row r="73" spans="1:29" x14ac:dyDescent="0.35">
      <c r="A73" s="146">
        <v>31022</v>
      </c>
      <c r="B73" s="108" t="s">
        <v>269</v>
      </c>
      <c r="C73" s="84">
        <f t="shared" si="15"/>
        <v>7</v>
      </c>
      <c r="D73" s="108">
        <v>580000000</v>
      </c>
      <c r="E73" s="84">
        <f t="shared" si="16"/>
        <v>8.7634279935629369</v>
      </c>
      <c r="F73" s="146">
        <v>32179</v>
      </c>
      <c r="G73" s="108">
        <v>600000000</v>
      </c>
      <c r="H73" s="148">
        <f t="shared" si="17"/>
        <v>3.1698630136986301</v>
      </c>
      <c r="I73" s="145">
        <f t="shared" si="24"/>
        <v>0.50104049449527488</v>
      </c>
      <c r="J73" s="108">
        <v>77</v>
      </c>
      <c r="K73" s="108">
        <f t="shared" si="18"/>
        <v>1.8920946026904804</v>
      </c>
      <c r="L73" s="65">
        <v>2.95</v>
      </c>
      <c r="M73" s="59">
        <f t="shared" si="25"/>
        <v>0.46982201597816303</v>
      </c>
      <c r="N73" s="155">
        <f t="shared" si="19"/>
        <v>3.4482758620689724E-2</v>
      </c>
      <c r="O73" s="127">
        <f t="shared" si="20"/>
        <v>1.4723256820706378E-2</v>
      </c>
      <c r="P73" s="108">
        <v>1171.498</v>
      </c>
      <c r="Q73" s="108">
        <f t="shared" si="21"/>
        <v>3.0687415514991745</v>
      </c>
      <c r="R73" s="108">
        <v>3386.1060000000002</v>
      </c>
      <c r="S73" s="108">
        <f t="shared" si="22"/>
        <v>3.5297005493117593</v>
      </c>
      <c r="T73" s="108">
        <v>85</v>
      </c>
      <c r="U73" s="106">
        <f t="shared" si="26"/>
        <v>1.9294189257142926</v>
      </c>
      <c r="V73" s="127">
        <v>24.1</v>
      </c>
      <c r="W73" s="119">
        <f t="shared" si="27"/>
        <v>1.3820170425748683</v>
      </c>
      <c r="X73" s="128">
        <v>36.728532427451597</v>
      </c>
      <c r="Y73" s="120">
        <f t="shared" si="28"/>
        <v>1.5650035754622837</v>
      </c>
      <c r="Z73" s="70" t="s">
        <v>320</v>
      </c>
      <c r="AA73" s="127">
        <f t="shared" si="23"/>
        <v>0.18808437371493819</v>
      </c>
      <c r="AB73" s="108">
        <v>8</v>
      </c>
      <c r="AC73" s="137">
        <f t="shared" si="29"/>
        <v>0.90308998699194354</v>
      </c>
    </row>
    <row r="74" spans="1:29" x14ac:dyDescent="0.35">
      <c r="A74" s="143">
        <v>30924</v>
      </c>
      <c r="B74" s="106" t="s">
        <v>248</v>
      </c>
      <c r="C74" s="83">
        <f t="shared" si="15"/>
        <v>5</v>
      </c>
      <c r="D74" s="106">
        <v>596000000</v>
      </c>
      <c r="E74" s="83">
        <f t="shared" si="16"/>
        <v>8.7752462597402356</v>
      </c>
      <c r="F74" s="143">
        <v>33979</v>
      </c>
      <c r="G74" s="106">
        <v>269500000</v>
      </c>
      <c r="H74" s="145">
        <f t="shared" si="17"/>
        <v>8.3698630136986303</v>
      </c>
      <c r="I74" s="145">
        <f t="shared" si="24"/>
        <v>0.92271835012209835</v>
      </c>
      <c r="J74" s="106">
        <v>5</v>
      </c>
      <c r="K74" s="106">
        <f t="shared" si="18"/>
        <v>0.77815125038364363</v>
      </c>
      <c r="L74" s="59">
        <v>2.95</v>
      </c>
      <c r="M74" s="59">
        <f t="shared" si="25"/>
        <v>0.46982201597816303</v>
      </c>
      <c r="N74" s="154">
        <f t="shared" si="19"/>
        <v>-0.54781879194630867</v>
      </c>
      <c r="O74" s="119">
        <f t="shared" si="20"/>
        <v>-0.34468749021747885</v>
      </c>
      <c r="P74" s="106">
        <v>1171.498</v>
      </c>
      <c r="Q74" s="106">
        <f t="shared" si="21"/>
        <v>3.0687415514991745</v>
      </c>
      <c r="R74" s="106">
        <v>3386.1060000000002</v>
      </c>
      <c r="S74" s="106">
        <f t="shared" si="22"/>
        <v>3.5297005493117593</v>
      </c>
      <c r="T74" s="106">
        <v>85</v>
      </c>
      <c r="U74" s="106">
        <f t="shared" si="26"/>
        <v>1.9294189257142926</v>
      </c>
      <c r="V74" s="119">
        <v>24.1</v>
      </c>
      <c r="W74" s="119">
        <f t="shared" si="27"/>
        <v>1.3820170425748683</v>
      </c>
      <c r="X74" s="120">
        <v>36.728532427451597</v>
      </c>
      <c r="Y74" s="120">
        <f t="shared" si="28"/>
        <v>1.5650035754622837</v>
      </c>
      <c r="Z74" s="69" t="s">
        <v>323</v>
      </c>
      <c r="AA74" s="119">
        <f t="shared" si="23"/>
        <v>0.32469391386177465</v>
      </c>
      <c r="AB74" s="106">
        <v>8</v>
      </c>
      <c r="AC74" s="137">
        <f t="shared" si="29"/>
        <v>0.90308998699194354</v>
      </c>
    </row>
    <row r="75" spans="1:29" x14ac:dyDescent="0.35">
      <c r="A75" s="146">
        <v>31728</v>
      </c>
      <c r="B75" s="108" t="s">
        <v>326</v>
      </c>
      <c r="C75" s="84">
        <f t="shared" si="15"/>
        <v>8</v>
      </c>
      <c r="D75" s="108">
        <v>3600000000</v>
      </c>
      <c r="E75" s="84">
        <f t="shared" si="16"/>
        <v>9.5563025007672877</v>
      </c>
      <c r="F75" s="146">
        <v>33554</v>
      </c>
      <c r="G75" s="108">
        <v>528000000</v>
      </c>
      <c r="H75" s="148">
        <f t="shared" si="17"/>
        <v>5.0027397260273974</v>
      </c>
      <c r="I75" s="145">
        <f t="shared" si="24"/>
        <v>0.6992079087418055</v>
      </c>
      <c r="J75" s="108">
        <v>57</v>
      </c>
      <c r="K75" s="108">
        <f t="shared" si="18"/>
        <v>1.7634279935629373</v>
      </c>
      <c r="L75" s="65">
        <v>2.95</v>
      </c>
      <c r="M75" s="59">
        <f t="shared" si="25"/>
        <v>0.46982201597816303</v>
      </c>
      <c r="N75" s="155">
        <f t="shared" si="19"/>
        <v>-0.85333333333333328</v>
      </c>
      <c r="O75" s="127">
        <f t="shared" si="20"/>
        <v>-0.83366857823347484</v>
      </c>
      <c r="P75" s="108">
        <v>1171.498</v>
      </c>
      <c r="Q75" s="108">
        <f t="shared" si="21"/>
        <v>3.0687415514991745</v>
      </c>
      <c r="R75" s="108">
        <v>3386.1060000000002</v>
      </c>
      <c r="S75" s="108">
        <f t="shared" si="22"/>
        <v>3.5297005493117593</v>
      </c>
      <c r="T75" s="108">
        <v>85</v>
      </c>
      <c r="U75" s="106">
        <f t="shared" si="26"/>
        <v>1.9294189257142926</v>
      </c>
      <c r="V75" s="127">
        <v>24.6</v>
      </c>
      <c r="W75" s="119">
        <f t="shared" si="27"/>
        <v>1.3909351071033791</v>
      </c>
      <c r="X75" s="128">
        <v>37.767307016657</v>
      </c>
      <c r="Y75" s="120">
        <f t="shared" si="28"/>
        <v>1.5771160187300453</v>
      </c>
      <c r="Z75" s="70" t="s">
        <v>327</v>
      </c>
      <c r="AA75" s="127">
        <f t="shared" si="23"/>
        <v>0.29797924415936239</v>
      </c>
      <c r="AB75" s="108">
        <v>10</v>
      </c>
      <c r="AC75" s="137">
        <f t="shared" si="29"/>
        <v>1</v>
      </c>
    </row>
    <row r="76" spans="1:29" x14ac:dyDescent="0.35">
      <c r="A76" s="143">
        <v>34026</v>
      </c>
      <c r="B76" s="106" t="s">
        <v>248</v>
      </c>
      <c r="C76" s="83">
        <f t="shared" si="15"/>
        <v>5</v>
      </c>
      <c r="D76" s="106">
        <v>69040000</v>
      </c>
      <c r="E76" s="83">
        <f t="shared" si="16"/>
        <v>7.8391007827071535</v>
      </c>
      <c r="F76" s="143">
        <v>36474</v>
      </c>
      <c r="G76" s="106">
        <v>2703480000</v>
      </c>
      <c r="H76" s="145">
        <f t="shared" si="17"/>
        <v>6.7068493150684931</v>
      </c>
      <c r="I76" s="145">
        <f t="shared" si="24"/>
        <v>0.82651854901704891</v>
      </c>
      <c r="J76" s="106">
        <v>159</v>
      </c>
      <c r="K76" s="106">
        <f t="shared" si="18"/>
        <v>2.2041199826559246</v>
      </c>
      <c r="L76" s="59">
        <v>2.95</v>
      </c>
      <c r="M76" s="59">
        <f t="shared" si="25"/>
        <v>0.46982201597816303</v>
      </c>
      <c r="N76" s="154">
        <f t="shared" si="19"/>
        <v>38.158169177288528</v>
      </c>
      <c r="O76" s="119">
        <f t="shared" si="20"/>
        <v>1.5928223783612254</v>
      </c>
      <c r="P76" s="106">
        <v>1171.498</v>
      </c>
      <c r="Q76" s="106">
        <f t="shared" si="21"/>
        <v>3.0687415514991745</v>
      </c>
      <c r="R76" s="106">
        <v>3386.1060000000002</v>
      </c>
      <c r="S76" s="106">
        <f t="shared" si="22"/>
        <v>3.5297005493117593</v>
      </c>
      <c r="T76" s="106">
        <v>85</v>
      </c>
      <c r="U76" s="106">
        <f t="shared" si="26"/>
        <v>1.9294189257142926</v>
      </c>
      <c r="V76" s="119">
        <v>25.9</v>
      </c>
      <c r="W76" s="119">
        <f t="shared" si="27"/>
        <v>1.4132997640812519</v>
      </c>
      <c r="X76" s="120">
        <v>38.808513566771097</v>
      </c>
      <c r="Y76" s="120">
        <f t="shared" si="28"/>
        <v>1.5889270088283503</v>
      </c>
      <c r="Z76" s="152">
        <v>2.1</v>
      </c>
      <c r="AA76" s="119">
        <f t="shared" si="23"/>
        <v>0.49136169383427269</v>
      </c>
      <c r="AB76" s="106">
        <v>17</v>
      </c>
      <c r="AC76" s="137">
        <f t="shared" si="29"/>
        <v>1.2304489213782739</v>
      </c>
    </row>
    <row r="77" spans="1:29" x14ac:dyDescent="0.35">
      <c r="A77" s="146">
        <v>34952</v>
      </c>
      <c r="B77" s="108" t="s">
        <v>248</v>
      </c>
      <c r="C77" s="84">
        <f t="shared" si="15"/>
        <v>5</v>
      </c>
      <c r="D77" s="108">
        <v>340000000</v>
      </c>
      <c r="E77" s="84">
        <f t="shared" si="16"/>
        <v>8.5314789170422554</v>
      </c>
      <c r="F77" s="146">
        <v>36131</v>
      </c>
      <c r="G77" s="108">
        <v>548900000</v>
      </c>
      <c r="H77" s="148">
        <f t="shared" si="17"/>
        <v>3.2301369863013698</v>
      </c>
      <c r="I77" s="145">
        <f t="shared" si="24"/>
        <v>0.50922094063861445</v>
      </c>
      <c r="J77" s="108">
        <v>10</v>
      </c>
      <c r="K77" s="108">
        <f t="shared" si="18"/>
        <v>1.0413926851582251</v>
      </c>
      <c r="L77" s="65">
        <v>2.95</v>
      </c>
      <c r="M77" s="59">
        <f t="shared" si="25"/>
        <v>0.46982201597816303</v>
      </c>
      <c r="N77" s="155">
        <f t="shared" si="19"/>
        <v>0.61441176470588243</v>
      </c>
      <c r="O77" s="127">
        <f t="shared" si="20"/>
        <v>0.20801431373935986</v>
      </c>
      <c r="P77" s="108">
        <v>1171.498</v>
      </c>
      <c r="Q77" s="108">
        <f t="shared" si="21"/>
        <v>3.0687415514991745</v>
      </c>
      <c r="R77" s="108">
        <v>3386.1060000000002</v>
      </c>
      <c r="S77" s="108">
        <f t="shared" si="22"/>
        <v>3.5297005493117593</v>
      </c>
      <c r="T77" s="108">
        <v>85</v>
      </c>
      <c r="U77" s="106">
        <f t="shared" si="26"/>
        <v>1.9294189257142926</v>
      </c>
      <c r="V77" s="127">
        <v>26.5</v>
      </c>
      <c r="W77" s="119">
        <f t="shared" si="27"/>
        <v>1.4232458739368079</v>
      </c>
      <c r="X77" s="128">
        <v>37.808596853116498</v>
      </c>
      <c r="Y77" s="120">
        <f t="shared" si="28"/>
        <v>1.577590560190987</v>
      </c>
      <c r="Z77" s="153">
        <v>1.05</v>
      </c>
      <c r="AA77" s="127">
        <f t="shared" si="23"/>
        <v>0.31175386105575426</v>
      </c>
      <c r="AB77" s="108">
        <v>19</v>
      </c>
      <c r="AC77" s="137">
        <f t="shared" si="29"/>
        <v>1.2787536009528289</v>
      </c>
    </row>
    <row r="78" spans="1:29" x14ac:dyDescent="0.35">
      <c r="A78" s="143">
        <v>35062</v>
      </c>
      <c r="B78" s="106" t="s">
        <v>178</v>
      </c>
      <c r="C78" s="83">
        <f t="shared" si="15"/>
        <v>9</v>
      </c>
      <c r="D78" s="106">
        <v>500000000</v>
      </c>
      <c r="E78" s="83">
        <f t="shared" si="16"/>
        <v>8.6989700043360187</v>
      </c>
      <c r="F78" s="143">
        <v>36281</v>
      </c>
      <c r="G78" s="106">
        <v>1981132000</v>
      </c>
      <c r="H78" s="145">
        <f t="shared" si="17"/>
        <v>3.3397260273972602</v>
      </c>
      <c r="I78" s="145">
        <f t="shared" si="24"/>
        <v>0.52371084116190725</v>
      </c>
      <c r="J78" s="106">
        <v>8</v>
      </c>
      <c r="K78" s="106">
        <f t="shared" si="18"/>
        <v>0.95424250943932487</v>
      </c>
      <c r="L78" s="59">
        <v>2.95</v>
      </c>
      <c r="M78" s="59">
        <f t="shared" si="25"/>
        <v>0.46982201597816303</v>
      </c>
      <c r="N78" s="154">
        <f t="shared" si="19"/>
        <v>2.9622639999999998</v>
      </c>
      <c r="O78" s="119">
        <f t="shared" si="20"/>
        <v>0.5979434085885782</v>
      </c>
      <c r="P78" s="106">
        <v>1171.498</v>
      </c>
      <c r="Q78" s="106">
        <f t="shared" si="21"/>
        <v>3.0687415514991745</v>
      </c>
      <c r="R78" s="106">
        <v>3386.1060000000002</v>
      </c>
      <c r="S78" s="106">
        <f t="shared" si="22"/>
        <v>3.5297005493117593</v>
      </c>
      <c r="T78" s="106">
        <v>85</v>
      </c>
      <c r="U78" s="106">
        <f t="shared" si="26"/>
        <v>1.9294189257142926</v>
      </c>
      <c r="V78" s="119">
        <v>26.5</v>
      </c>
      <c r="W78" s="119">
        <f t="shared" si="27"/>
        <v>1.4232458739368079</v>
      </c>
      <c r="X78" s="120">
        <v>37.808596853116498</v>
      </c>
      <c r="Y78" s="120">
        <f t="shared" si="28"/>
        <v>1.577590560190987</v>
      </c>
      <c r="Z78" s="152">
        <v>1.17</v>
      </c>
      <c r="AA78" s="119">
        <f t="shared" si="23"/>
        <v>0.33645973384852951</v>
      </c>
      <c r="AB78" s="106">
        <v>19</v>
      </c>
      <c r="AC78" s="137">
        <f t="shared" si="29"/>
        <v>1.2787536009528289</v>
      </c>
    </row>
    <row r="79" spans="1:29" x14ac:dyDescent="0.35">
      <c r="A79" s="146">
        <v>34772</v>
      </c>
      <c r="B79" s="108" t="s">
        <v>269</v>
      </c>
      <c r="C79" s="84">
        <f t="shared" si="15"/>
        <v>7</v>
      </c>
      <c r="D79" s="108">
        <v>2100060000</v>
      </c>
      <c r="E79" s="84">
        <f t="shared" si="16"/>
        <v>9.3222317029704289</v>
      </c>
      <c r="F79" s="146">
        <v>38329</v>
      </c>
      <c r="G79" s="108">
        <v>1200000000</v>
      </c>
      <c r="H79" s="148">
        <f t="shared" si="17"/>
        <v>9.7452054794520553</v>
      </c>
      <c r="I79" s="145">
        <f t="shared" si="24"/>
        <v>0.9887910007293057</v>
      </c>
      <c r="J79" s="108">
        <v>138</v>
      </c>
      <c r="K79" s="108">
        <f t="shared" si="18"/>
        <v>2.143014800254095</v>
      </c>
      <c r="L79" s="65">
        <v>2.95</v>
      </c>
      <c r="M79" s="59">
        <f t="shared" si="25"/>
        <v>0.46982201597816303</v>
      </c>
      <c r="N79" s="155">
        <f t="shared" si="19"/>
        <v>-0.42858775463558185</v>
      </c>
      <c r="O79" s="127">
        <f t="shared" si="20"/>
        <v>-0.24305045692280344</v>
      </c>
      <c r="P79" s="108">
        <v>1171.498</v>
      </c>
      <c r="Q79" s="108">
        <f t="shared" si="21"/>
        <v>3.0687415514991745</v>
      </c>
      <c r="R79" s="108">
        <v>3386.1060000000002</v>
      </c>
      <c r="S79" s="108">
        <f t="shared" si="22"/>
        <v>3.5297005493117593</v>
      </c>
      <c r="T79" s="108">
        <v>85</v>
      </c>
      <c r="U79" s="106">
        <f t="shared" si="26"/>
        <v>1.9294189257142926</v>
      </c>
      <c r="V79" s="127">
        <v>26.5</v>
      </c>
      <c r="W79" s="119">
        <f t="shared" si="27"/>
        <v>1.4232458739368079</v>
      </c>
      <c r="X79" s="128">
        <v>37.808596853116498</v>
      </c>
      <c r="Y79" s="120">
        <f t="shared" si="28"/>
        <v>1.577590560190987</v>
      </c>
      <c r="Z79" s="153">
        <v>1.4</v>
      </c>
      <c r="AA79" s="127">
        <f t="shared" si="23"/>
        <v>0.38021124171160603</v>
      </c>
      <c r="AB79" s="108">
        <v>19</v>
      </c>
      <c r="AC79" s="137">
        <f t="shared" si="29"/>
        <v>1.2787536009528289</v>
      </c>
    </row>
    <row r="80" spans="1:29" x14ac:dyDescent="0.35">
      <c r="A80" s="143">
        <v>34929</v>
      </c>
      <c r="B80" s="106" t="s">
        <v>269</v>
      </c>
      <c r="C80" s="83">
        <f t="shared" si="15"/>
        <v>7</v>
      </c>
      <c r="D80" s="106">
        <v>1150000000</v>
      </c>
      <c r="E80" s="83">
        <f t="shared" si="16"/>
        <v>9.0606978403536118</v>
      </c>
      <c r="F80" s="143">
        <v>35828</v>
      </c>
      <c r="G80" s="106">
        <v>0</v>
      </c>
      <c r="H80" s="145">
        <f t="shared" si="17"/>
        <v>2.463013698630137</v>
      </c>
      <c r="I80" s="145">
        <f t="shared" si="24"/>
        <v>0.39146682727675408</v>
      </c>
      <c r="J80" s="106">
        <v>63</v>
      </c>
      <c r="K80" s="106">
        <f t="shared" si="18"/>
        <v>1.8061799739838871</v>
      </c>
      <c r="L80" s="59">
        <v>2.95</v>
      </c>
      <c r="M80" s="59">
        <f t="shared" si="25"/>
        <v>0.46982201597816303</v>
      </c>
      <c r="N80" s="154">
        <f t="shared" si="19"/>
        <v>-1</v>
      </c>
      <c r="O80" s="119">
        <f t="shared" si="20"/>
        <v>-1</v>
      </c>
      <c r="P80" s="106">
        <v>1171.498</v>
      </c>
      <c r="Q80" s="106">
        <f t="shared" si="21"/>
        <v>3.0687415514991745</v>
      </c>
      <c r="R80" s="106">
        <v>3386.1060000000002</v>
      </c>
      <c r="S80" s="106">
        <f t="shared" si="22"/>
        <v>3.5297005493117593</v>
      </c>
      <c r="T80" s="106">
        <v>85</v>
      </c>
      <c r="U80" s="106">
        <f t="shared" si="26"/>
        <v>1.9294189257142926</v>
      </c>
      <c r="V80" s="119">
        <v>26.5</v>
      </c>
      <c r="W80" s="119">
        <f t="shared" si="27"/>
        <v>1.4232458739368079</v>
      </c>
      <c r="X80" s="120">
        <v>37.808596853116498</v>
      </c>
      <c r="Y80" s="120">
        <f t="shared" si="28"/>
        <v>1.577590560190987</v>
      </c>
      <c r="Z80" s="152">
        <v>0.79</v>
      </c>
      <c r="AA80" s="119">
        <f t="shared" si="23"/>
        <v>0.2528530309798932</v>
      </c>
      <c r="AB80" s="106">
        <v>19</v>
      </c>
      <c r="AC80" s="137">
        <f t="shared" si="29"/>
        <v>1.2787536009528289</v>
      </c>
    </row>
    <row r="81" spans="1:29" x14ac:dyDescent="0.35">
      <c r="A81" s="146">
        <v>35570</v>
      </c>
      <c r="B81" s="108" t="s">
        <v>235</v>
      </c>
      <c r="C81" s="84">
        <f t="shared" si="15"/>
        <v>1</v>
      </c>
      <c r="D81" s="108">
        <v>1201720000</v>
      </c>
      <c r="E81" s="84">
        <f t="shared" si="16"/>
        <v>9.079803289113908</v>
      </c>
      <c r="F81" s="146">
        <v>38239</v>
      </c>
      <c r="G81" s="108">
        <v>1662100000</v>
      </c>
      <c r="H81" s="148">
        <f t="shared" si="17"/>
        <v>7.3123287671232875</v>
      </c>
      <c r="I81" s="145">
        <f t="shared" si="24"/>
        <v>0.86405570933103293</v>
      </c>
      <c r="J81" s="108">
        <v>65</v>
      </c>
      <c r="K81" s="108">
        <f t="shared" si="18"/>
        <v>1.8195439355418688</v>
      </c>
      <c r="L81" s="65">
        <v>2.95</v>
      </c>
      <c r="M81" s="59">
        <f t="shared" si="25"/>
        <v>0.46982201597816303</v>
      </c>
      <c r="N81" s="155">
        <f t="shared" si="19"/>
        <v>0.38310088872615911</v>
      </c>
      <c r="O81" s="127">
        <f t="shared" si="20"/>
        <v>0.14085386038334191</v>
      </c>
      <c r="P81" s="108">
        <v>1171.498</v>
      </c>
      <c r="Q81" s="108">
        <f t="shared" si="21"/>
        <v>3.0687415514991745</v>
      </c>
      <c r="R81" s="108">
        <v>3386.1060000000002</v>
      </c>
      <c r="S81" s="108">
        <f t="shared" si="22"/>
        <v>3.5297005493117593</v>
      </c>
      <c r="T81" s="108">
        <v>85</v>
      </c>
      <c r="U81" s="106">
        <f t="shared" si="26"/>
        <v>1.9294189257142926</v>
      </c>
      <c r="V81" s="127">
        <v>27.4</v>
      </c>
      <c r="W81" s="119">
        <f t="shared" si="27"/>
        <v>1.4377505628203879</v>
      </c>
      <c r="X81" s="128">
        <v>35.968444143503902</v>
      </c>
      <c r="Y81" s="120">
        <f t="shared" si="28"/>
        <v>1.5559216523165715</v>
      </c>
      <c r="Z81" s="153">
        <v>0.33</v>
      </c>
      <c r="AA81" s="127">
        <f t="shared" si="23"/>
        <v>0.12385164096708581</v>
      </c>
      <c r="AB81" s="108">
        <v>21</v>
      </c>
      <c r="AC81" s="137">
        <f t="shared" si="29"/>
        <v>1.3222192947339193</v>
      </c>
    </row>
    <row r="82" spans="1:29" x14ac:dyDescent="0.35">
      <c r="A82" s="143">
        <v>35562</v>
      </c>
      <c r="B82" s="106" t="s">
        <v>248</v>
      </c>
      <c r="C82" s="83">
        <f t="shared" si="15"/>
        <v>5</v>
      </c>
      <c r="D82" s="106">
        <v>660000000</v>
      </c>
      <c r="E82" s="83">
        <f t="shared" si="16"/>
        <v>8.8195439355418692</v>
      </c>
      <c r="F82" s="143">
        <v>38384</v>
      </c>
      <c r="G82" s="106">
        <v>0</v>
      </c>
      <c r="H82" s="145">
        <f t="shared" si="17"/>
        <v>7.7315068493150685</v>
      </c>
      <c r="I82" s="145">
        <f t="shared" si="24"/>
        <v>0.88826414496185435</v>
      </c>
      <c r="J82" s="106">
        <v>11</v>
      </c>
      <c r="K82" s="106">
        <f t="shared" si="18"/>
        <v>1.0791812460476249</v>
      </c>
      <c r="L82" s="59">
        <v>2.95</v>
      </c>
      <c r="M82" s="59">
        <f t="shared" si="25"/>
        <v>0.46982201597816303</v>
      </c>
      <c r="N82" s="154">
        <f t="shared" si="19"/>
        <v>-1</v>
      </c>
      <c r="O82" s="119">
        <f t="shared" si="20"/>
        <v>-1</v>
      </c>
      <c r="P82" s="106">
        <v>1171.498</v>
      </c>
      <c r="Q82" s="106">
        <f t="shared" si="21"/>
        <v>3.0687415514991745</v>
      </c>
      <c r="R82" s="106">
        <v>3386.1060000000002</v>
      </c>
      <c r="S82" s="106">
        <f t="shared" si="22"/>
        <v>3.5297005493117593</v>
      </c>
      <c r="T82" s="106">
        <v>85</v>
      </c>
      <c r="U82" s="106">
        <f t="shared" si="26"/>
        <v>1.9294189257142926</v>
      </c>
      <c r="V82" s="119">
        <v>27.4</v>
      </c>
      <c r="W82" s="119">
        <f t="shared" si="27"/>
        <v>1.4377505628203879</v>
      </c>
      <c r="X82" s="120">
        <v>35.968444143503902</v>
      </c>
      <c r="Y82" s="120">
        <f t="shared" si="28"/>
        <v>1.5559216523165715</v>
      </c>
      <c r="Z82" s="152">
        <v>0.42</v>
      </c>
      <c r="AA82" s="119">
        <f t="shared" si="23"/>
        <v>0.15228834438305647</v>
      </c>
      <c r="AB82" s="106">
        <v>21</v>
      </c>
      <c r="AC82" s="137">
        <f t="shared" si="29"/>
        <v>1.3222192947339193</v>
      </c>
    </row>
    <row r="83" spans="1:29" x14ac:dyDescent="0.35">
      <c r="A83" s="146">
        <v>35799</v>
      </c>
      <c r="B83" s="108" t="s">
        <v>248</v>
      </c>
      <c r="C83" s="84">
        <f t="shared" si="15"/>
        <v>5</v>
      </c>
      <c r="D83" s="108">
        <v>593000000</v>
      </c>
      <c r="E83" s="84">
        <f t="shared" si="16"/>
        <v>8.7730546933642621</v>
      </c>
      <c r="F83" s="146">
        <v>37682</v>
      </c>
      <c r="G83" s="108">
        <v>0</v>
      </c>
      <c r="H83" s="148">
        <f t="shared" si="17"/>
        <v>5.1589041095890407</v>
      </c>
      <c r="I83" s="145">
        <f t="shared" si="24"/>
        <v>0.71255745556019012</v>
      </c>
      <c r="J83" s="108">
        <v>7</v>
      </c>
      <c r="K83" s="108">
        <f t="shared" si="18"/>
        <v>0.90308998699194354</v>
      </c>
      <c r="L83" s="65">
        <v>2.95</v>
      </c>
      <c r="M83" s="59">
        <f t="shared" si="25"/>
        <v>0.46982201597816303</v>
      </c>
      <c r="N83" s="155">
        <f t="shared" si="19"/>
        <v>-1</v>
      </c>
      <c r="O83" s="127">
        <f t="shared" si="20"/>
        <v>-1</v>
      </c>
      <c r="P83" s="108">
        <v>1171.498</v>
      </c>
      <c r="Q83" s="108">
        <f t="shared" si="21"/>
        <v>3.0687415514991745</v>
      </c>
      <c r="R83" s="108">
        <v>3386.1060000000002</v>
      </c>
      <c r="S83" s="108">
        <f t="shared" si="22"/>
        <v>3.5297005493117593</v>
      </c>
      <c r="T83" s="108">
        <v>85</v>
      </c>
      <c r="U83" s="106">
        <f t="shared" si="26"/>
        <v>1.9294189257142926</v>
      </c>
      <c r="V83" s="127">
        <v>27.8</v>
      </c>
      <c r="W83" s="119">
        <f t="shared" si="27"/>
        <v>1.4440447959180762</v>
      </c>
      <c r="X83" s="128">
        <v>35.119429201759203</v>
      </c>
      <c r="Y83" s="120">
        <f t="shared" si="28"/>
        <v>1.5455474486765259</v>
      </c>
      <c r="Z83" s="153">
        <v>-0.14000000000000001</v>
      </c>
      <c r="AA83" s="127">
        <f t="shared" si="23"/>
        <v>-6.5501548756432285E-2</v>
      </c>
      <c r="AB83" s="108">
        <v>22</v>
      </c>
      <c r="AC83" s="137">
        <f t="shared" si="29"/>
        <v>1.3424226808222062</v>
      </c>
    </row>
    <row r="84" spans="1:29" x14ac:dyDescent="0.35">
      <c r="A84" s="143">
        <v>36202</v>
      </c>
      <c r="B84" s="106" t="s">
        <v>190</v>
      </c>
      <c r="C84" s="83">
        <f t="shared" si="15"/>
        <v>2</v>
      </c>
      <c r="D84" s="106">
        <v>842020000</v>
      </c>
      <c r="E84" s="83">
        <f t="shared" si="16"/>
        <v>8.9253224071605537</v>
      </c>
      <c r="F84" s="143">
        <v>39188</v>
      </c>
      <c r="G84" s="106">
        <v>327900000</v>
      </c>
      <c r="H84" s="145">
        <f t="shared" si="17"/>
        <v>8.1808219178082187</v>
      </c>
      <c r="I84" s="145">
        <f t="shared" si="24"/>
        <v>0.91279693893253189</v>
      </c>
      <c r="J84" s="106">
        <v>16</v>
      </c>
      <c r="K84" s="106">
        <f t="shared" si="18"/>
        <v>1.2304489213782739</v>
      </c>
      <c r="L84" s="59">
        <v>2.95</v>
      </c>
      <c r="M84" s="59">
        <f t="shared" si="25"/>
        <v>0.46982201597816303</v>
      </c>
      <c r="N84" s="154">
        <f t="shared" si="19"/>
        <v>-0.61057932115626712</v>
      </c>
      <c r="O84" s="119">
        <f t="shared" si="20"/>
        <v>-0.40958099049118918</v>
      </c>
      <c r="P84" s="106">
        <v>1171.498</v>
      </c>
      <c r="Q84" s="106">
        <f t="shared" si="21"/>
        <v>3.0687415514991745</v>
      </c>
      <c r="R84" s="106">
        <v>3386.1060000000002</v>
      </c>
      <c r="S84" s="106">
        <f t="shared" si="22"/>
        <v>3.5297005493117593</v>
      </c>
      <c r="T84" s="106">
        <v>85</v>
      </c>
      <c r="U84" s="106">
        <f t="shared" si="26"/>
        <v>1.9294189257142926</v>
      </c>
      <c r="V84" s="119">
        <v>27.8</v>
      </c>
      <c r="W84" s="119">
        <f t="shared" si="27"/>
        <v>1.4440447959180762</v>
      </c>
      <c r="X84" s="120">
        <v>34.656907836978597</v>
      </c>
      <c r="Y84" s="120">
        <f t="shared" si="28"/>
        <v>1.5397898114291337</v>
      </c>
      <c r="Z84" s="152">
        <v>0.17</v>
      </c>
      <c r="AA84" s="119">
        <f t="shared" si="23"/>
        <v>6.8185861746161619E-2</v>
      </c>
      <c r="AB84" s="106">
        <v>23</v>
      </c>
      <c r="AC84" s="137">
        <f t="shared" si="29"/>
        <v>1.3617278360175928</v>
      </c>
    </row>
    <row r="85" spans="1:29" x14ac:dyDescent="0.35">
      <c r="A85" s="146">
        <v>36574</v>
      </c>
      <c r="B85" s="108" t="s">
        <v>186</v>
      </c>
      <c r="C85" s="84">
        <f t="shared" si="15"/>
        <v>4</v>
      </c>
      <c r="D85" s="108">
        <v>200000000</v>
      </c>
      <c r="E85" s="84">
        <f t="shared" si="16"/>
        <v>8.3010299956639813</v>
      </c>
      <c r="F85" s="146">
        <v>38352</v>
      </c>
      <c r="G85" s="108">
        <v>0</v>
      </c>
      <c r="H85" s="148">
        <f t="shared" si="17"/>
        <v>4.8712328767123285</v>
      </c>
      <c r="I85" s="145">
        <f t="shared" si="24"/>
        <v>0.68763889217772012</v>
      </c>
      <c r="J85" s="108">
        <v>13</v>
      </c>
      <c r="K85" s="108">
        <f t="shared" si="18"/>
        <v>1.146128035678238</v>
      </c>
      <c r="L85" s="65">
        <v>2.95</v>
      </c>
      <c r="M85" s="59">
        <f t="shared" si="25"/>
        <v>0.46982201597816303</v>
      </c>
      <c r="N85" s="155">
        <f t="shared" si="19"/>
        <v>-1</v>
      </c>
      <c r="O85" s="127">
        <f t="shared" si="20"/>
        <v>-1</v>
      </c>
      <c r="P85" s="108">
        <v>1171.498</v>
      </c>
      <c r="Q85" s="108">
        <f t="shared" si="21"/>
        <v>3.0687415514991745</v>
      </c>
      <c r="R85" s="108">
        <v>3386.1060000000002</v>
      </c>
      <c r="S85" s="108">
        <f t="shared" si="22"/>
        <v>3.5297005493117593</v>
      </c>
      <c r="T85" s="108">
        <v>85</v>
      </c>
      <c r="U85" s="106">
        <f t="shared" si="26"/>
        <v>1.9294189257142926</v>
      </c>
      <c r="V85" s="127">
        <v>28.2</v>
      </c>
      <c r="W85" s="119">
        <f t="shared" si="27"/>
        <v>1.4502491083193612</v>
      </c>
      <c r="X85" s="128">
        <v>34.298950279384798</v>
      </c>
      <c r="Y85" s="120">
        <f t="shared" si="28"/>
        <v>1.5352808286478177</v>
      </c>
      <c r="Z85" s="153">
        <v>-0.1</v>
      </c>
      <c r="AA85" s="127">
        <f t="shared" si="23"/>
        <v>-4.5757490560675115E-2</v>
      </c>
      <c r="AB85" s="108">
        <v>24</v>
      </c>
      <c r="AC85" s="137">
        <f t="shared" si="29"/>
        <v>1.3802112417116059</v>
      </c>
    </row>
    <row r="86" spans="1:29" x14ac:dyDescent="0.35">
      <c r="A86" s="143">
        <v>36709</v>
      </c>
      <c r="B86" s="106" t="s">
        <v>186</v>
      </c>
      <c r="C86" s="83">
        <f t="shared" si="15"/>
        <v>4</v>
      </c>
      <c r="D86" s="106">
        <v>59000000</v>
      </c>
      <c r="E86" s="83">
        <f t="shared" si="16"/>
        <v>7.7708520116421438</v>
      </c>
      <c r="F86" s="143">
        <v>37187</v>
      </c>
      <c r="G86" s="106">
        <v>0</v>
      </c>
      <c r="H86" s="145">
        <f t="shared" si="17"/>
        <v>1.3095890410958904</v>
      </c>
      <c r="I86" s="145">
        <f t="shared" si="24"/>
        <v>0.11713503215564416</v>
      </c>
      <c r="J86" s="106">
        <v>3</v>
      </c>
      <c r="K86" s="106">
        <f t="shared" si="18"/>
        <v>0.6020599913279624</v>
      </c>
      <c r="L86" s="59">
        <v>2.95</v>
      </c>
      <c r="M86" s="59">
        <f t="shared" si="25"/>
        <v>0.46982201597816303</v>
      </c>
      <c r="N86" s="154">
        <f t="shared" si="19"/>
        <v>-1</v>
      </c>
      <c r="O86" s="119">
        <f t="shared" si="20"/>
        <v>-1</v>
      </c>
      <c r="P86" s="106">
        <v>1171.498</v>
      </c>
      <c r="Q86" s="106">
        <f t="shared" si="21"/>
        <v>3.0687415514991745</v>
      </c>
      <c r="R86" s="106">
        <v>3386.1060000000002</v>
      </c>
      <c r="S86" s="106">
        <f t="shared" si="22"/>
        <v>3.5297005493117593</v>
      </c>
      <c r="T86" s="106">
        <v>85</v>
      </c>
      <c r="U86" s="106">
        <f t="shared" si="26"/>
        <v>1.9294189257142926</v>
      </c>
      <c r="V86" s="119">
        <v>28.2</v>
      </c>
      <c r="W86" s="119">
        <f t="shared" si="27"/>
        <v>1.4502491083193612</v>
      </c>
      <c r="X86" s="120">
        <v>34.298950279384798</v>
      </c>
      <c r="Y86" s="120">
        <f t="shared" si="28"/>
        <v>1.5352808286478177</v>
      </c>
      <c r="Z86" s="152">
        <v>-0.25</v>
      </c>
      <c r="AA86" s="119">
        <f t="shared" si="23"/>
        <v>-0.12493873660829995</v>
      </c>
      <c r="AB86" s="106">
        <v>24</v>
      </c>
      <c r="AC86" s="137">
        <f t="shared" si="29"/>
        <v>1.3802112417116059</v>
      </c>
    </row>
    <row r="87" spans="1:29" x14ac:dyDescent="0.35">
      <c r="A87" s="146">
        <v>36598</v>
      </c>
      <c r="B87" s="108" t="s">
        <v>279</v>
      </c>
      <c r="C87" s="84">
        <f t="shared" si="15"/>
        <v>10</v>
      </c>
      <c r="D87" s="108">
        <v>552210000</v>
      </c>
      <c r="E87" s="84">
        <f t="shared" si="16"/>
        <v>8.7421042670361224</v>
      </c>
      <c r="F87" s="146">
        <v>40875</v>
      </c>
      <c r="G87" s="108">
        <v>923276420</v>
      </c>
      <c r="H87" s="148">
        <f t="shared" si="17"/>
        <v>11.717808219178082</v>
      </c>
      <c r="I87" s="145">
        <f t="shared" si="24"/>
        <v>1.0688463858003363</v>
      </c>
      <c r="J87" s="108">
        <v>89</v>
      </c>
      <c r="K87" s="108">
        <f t="shared" si="18"/>
        <v>1.954242509439325</v>
      </c>
      <c r="L87" s="65">
        <v>2.95</v>
      </c>
      <c r="M87" s="59">
        <f t="shared" si="25"/>
        <v>0.46982201597816303</v>
      </c>
      <c r="N87" s="155">
        <f t="shared" si="19"/>
        <v>0.67196613607142219</v>
      </c>
      <c r="O87" s="127">
        <f t="shared" si="20"/>
        <v>0.22322747701074128</v>
      </c>
      <c r="P87" s="108">
        <v>1171.498</v>
      </c>
      <c r="Q87" s="108">
        <f t="shared" si="21"/>
        <v>3.0687415514991745</v>
      </c>
      <c r="R87" s="108">
        <v>3386.1060000000002</v>
      </c>
      <c r="S87" s="108">
        <f t="shared" si="22"/>
        <v>3.5297005493117593</v>
      </c>
      <c r="T87" s="108">
        <v>85</v>
      </c>
      <c r="U87" s="106">
        <f t="shared" si="26"/>
        <v>1.9294189257142926</v>
      </c>
      <c r="V87" s="127">
        <v>28.2</v>
      </c>
      <c r="W87" s="119">
        <f t="shared" si="27"/>
        <v>1.4502491083193612</v>
      </c>
      <c r="X87" s="128">
        <v>34.298950279384798</v>
      </c>
      <c r="Y87" s="120">
        <f t="shared" si="28"/>
        <v>1.5352808286478177</v>
      </c>
      <c r="Z87" s="153">
        <v>-0.14000000000000001</v>
      </c>
      <c r="AA87" s="127">
        <f t="shared" si="23"/>
        <v>-6.5501548756432285E-2</v>
      </c>
      <c r="AB87" s="108">
        <v>24</v>
      </c>
      <c r="AC87" s="137">
        <f t="shared" si="29"/>
        <v>1.3802112417116059</v>
      </c>
    </row>
    <row r="88" spans="1:29" x14ac:dyDescent="0.35">
      <c r="A88" s="143">
        <v>39396</v>
      </c>
      <c r="B88" s="106" t="s">
        <v>279</v>
      </c>
      <c r="C88" s="83">
        <f t="shared" si="15"/>
        <v>10</v>
      </c>
      <c r="D88" s="106">
        <v>48405150000</v>
      </c>
      <c r="E88" s="83">
        <f t="shared" si="16"/>
        <v>10.684891570272443</v>
      </c>
      <c r="F88" s="143">
        <v>42967</v>
      </c>
      <c r="G88" s="106">
        <v>18800000000</v>
      </c>
      <c r="H88" s="145">
        <f t="shared" si="17"/>
        <v>9.7835616438356166</v>
      </c>
      <c r="I88" s="145">
        <f t="shared" si="24"/>
        <v>0.99049698573630729</v>
      </c>
      <c r="J88" s="106">
        <v>25</v>
      </c>
      <c r="K88" s="106">
        <f t="shared" si="18"/>
        <v>1.414973347970818</v>
      </c>
      <c r="L88" s="59">
        <v>2.95</v>
      </c>
      <c r="M88" s="59">
        <f t="shared" si="25"/>
        <v>0.46982201597816303</v>
      </c>
      <c r="N88" s="154">
        <f t="shared" si="19"/>
        <v>-0.61161157438826241</v>
      </c>
      <c r="O88" s="119">
        <f t="shared" si="20"/>
        <v>-0.41073372100876349</v>
      </c>
      <c r="P88" s="106">
        <v>1171.498</v>
      </c>
      <c r="Q88" s="106">
        <f t="shared" si="21"/>
        <v>3.0687415514991745</v>
      </c>
      <c r="R88" s="106">
        <v>3386.1060000000002</v>
      </c>
      <c r="S88" s="106">
        <f t="shared" si="22"/>
        <v>3.5297005493117593</v>
      </c>
      <c r="T88" s="106">
        <v>91.4</v>
      </c>
      <c r="U88" s="106">
        <f t="shared" si="26"/>
        <v>1.9609461957338314</v>
      </c>
      <c r="V88" s="119">
        <v>26.7</v>
      </c>
      <c r="W88" s="119">
        <f t="shared" si="27"/>
        <v>1.4265112613645752</v>
      </c>
      <c r="X88" s="120">
        <v>37.425715444240403</v>
      </c>
      <c r="Y88" s="120">
        <f t="shared" si="28"/>
        <v>1.5731701112332821</v>
      </c>
      <c r="Z88" s="152">
        <v>0.67</v>
      </c>
      <c r="AA88" s="119">
        <f t="shared" si="23"/>
        <v>0.22271647114758325</v>
      </c>
      <c r="AB88" s="106">
        <v>31</v>
      </c>
      <c r="AC88" s="137">
        <f t="shared" si="29"/>
        <v>1.4913616938342726</v>
      </c>
    </row>
    <row r="89" spans="1:29" x14ac:dyDescent="0.35">
      <c r="A89" s="146">
        <v>39332</v>
      </c>
      <c r="B89" s="108" t="s">
        <v>269</v>
      </c>
      <c r="C89" s="84">
        <f t="shared" si="15"/>
        <v>7</v>
      </c>
      <c r="D89" s="108">
        <v>7321030000</v>
      </c>
      <c r="E89" s="84">
        <f t="shared" si="16"/>
        <v>9.8645721865020803</v>
      </c>
      <c r="F89" s="146">
        <v>41035</v>
      </c>
      <c r="G89" s="108">
        <v>7541000000</v>
      </c>
      <c r="H89" s="148">
        <f t="shared" si="17"/>
        <v>4.6657534246575345</v>
      </c>
      <c r="I89" s="145">
        <f t="shared" si="24"/>
        <v>0.6689217835061263</v>
      </c>
      <c r="J89" s="108">
        <v>68</v>
      </c>
      <c r="K89" s="108">
        <f t="shared" si="18"/>
        <v>1.8388490907372552</v>
      </c>
      <c r="L89" s="65">
        <v>2.95</v>
      </c>
      <c r="M89" s="59">
        <f t="shared" si="25"/>
        <v>0.46982201597816303</v>
      </c>
      <c r="N89" s="155">
        <f t="shared" si="19"/>
        <v>3.0046318619101342E-2</v>
      </c>
      <c r="O89" s="127">
        <f t="shared" si="20"/>
        <v>1.285675428614004E-2</v>
      </c>
      <c r="P89" s="108">
        <v>1171.498</v>
      </c>
      <c r="Q89" s="108">
        <f t="shared" si="21"/>
        <v>3.0687415514991745</v>
      </c>
      <c r="R89" s="108">
        <v>3386.1060000000002</v>
      </c>
      <c r="S89" s="108">
        <f t="shared" si="22"/>
        <v>3.5297005493117593</v>
      </c>
      <c r="T89" s="108">
        <v>91.4</v>
      </c>
      <c r="U89" s="106">
        <f t="shared" si="26"/>
        <v>1.9609461957338314</v>
      </c>
      <c r="V89" s="127">
        <v>26.7</v>
      </c>
      <c r="W89" s="119">
        <f t="shared" si="27"/>
        <v>1.4265112613645752</v>
      </c>
      <c r="X89" s="128">
        <v>37.425715444240403</v>
      </c>
      <c r="Y89" s="120">
        <f t="shared" si="28"/>
        <v>1.5731701112332821</v>
      </c>
      <c r="Z89" s="153">
        <v>-0.06</v>
      </c>
      <c r="AA89" s="127">
        <f t="shared" si="23"/>
        <v>-2.6872146400301365E-2</v>
      </c>
      <c r="AB89" s="108">
        <v>31</v>
      </c>
      <c r="AC89" s="137">
        <f t="shared" si="29"/>
        <v>1.4913616938342726</v>
      </c>
    </row>
    <row r="90" spans="1:29" x14ac:dyDescent="0.35">
      <c r="A90" s="143">
        <v>39351</v>
      </c>
      <c r="B90" s="106" t="s">
        <v>190</v>
      </c>
      <c r="C90" s="83">
        <f t="shared" si="15"/>
        <v>2</v>
      </c>
      <c r="D90" s="106">
        <v>11426960000</v>
      </c>
      <c r="E90" s="83">
        <f t="shared" si="16"/>
        <v>10.057930707138228</v>
      </c>
      <c r="F90" s="143">
        <v>42179</v>
      </c>
      <c r="G90" s="106">
        <v>13350000000</v>
      </c>
      <c r="H90" s="145">
        <f t="shared" si="17"/>
        <v>7.7479452054794518</v>
      </c>
      <c r="I90" s="145">
        <f t="shared" si="24"/>
        <v>0.88918654066838709</v>
      </c>
      <c r="J90" s="106">
        <v>30</v>
      </c>
      <c r="K90" s="106">
        <f t="shared" si="18"/>
        <v>1.4913616938342726</v>
      </c>
      <c r="L90" s="59">
        <v>2.95</v>
      </c>
      <c r="M90" s="59">
        <f t="shared" si="25"/>
        <v>0.46982201597816303</v>
      </c>
      <c r="N90" s="154">
        <f t="shared" si="19"/>
        <v>0.16828972885176818</v>
      </c>
      <c r="O90" s="119">
        <f t="shared" si="20"/>
        <v>6.7550558562365803E-2</v>
      </c>
      <c r="P90" s="106">
        <v>1171.498</v>
      </c>
      <c r="Q90" s="106">
        <f t="shared" si="21"/>
        <v>3.0687415514991745</v>
      </c>
      <c r="R90" s="106">
        <v>3386.1060000000002</v>
      </c>
      <c r="S90" s="106">
        <f t="shared" si="22"/>
        <v>3.5297005493117593</v>
      </c>
      <c r="T90" s="106">
        <v>91.4</v>
      </c>
      <c r="U90" s="106">
        <f t="shared" si="26"/>
        <v>1.9609461957338314</v>
      </c>
      <c r="V90" s="119">
        <v>26.7</v>
      </c>
      <c r="W90" s="119">
        <f t="shared" si="27"/>
        <v>1.4265112613645752</v>
      </c>
      <c r="X90" s="120">
        <v>37.425715444240403</v>
      </c>
      <c r="Y90" s="120">
        <f t="shared" si="28"/>
        <v>1.5731701112332821</v>
      </c>
      <c r="Z90" s="152">
        <v>0.38</v>
      </c>
      <c r="AA90" s="119">
        <f t="shared" si="23"/>
        <v>0.13987908640123647</v>
      </c>
      <c r="AB90" s="106">
        <v>31</v>
      </c>
      <c r="AC90" s="137">
        <f t="shared" si="29"/>
        <v>1.4913616938342726</v>
      </c>
    </row>
    <row r="91" spans="1:29" x14ac:dyDescent="0.35">
      <c r="A91" s="146">
        <v>40079</v>
      </c>
      <c r="B91" s="108" t="s">
        <v>235</v>
      </c>
      <c r="C91" s="84">
        <f t="shared" si="15"/>
        <v>1</v>
      </c>
      <c r="D91" s="108">
        <v>400000000</v>
      </c>
      <c r="E91" s="84">
        <f t="shared" si="16"/>
        <v>8.6020599913279625</v>
      </c>
      <c r="F91" s="146">
        <v>40927</v>
      </c>
      <c r="G91" s="108">
        <v>0</v>
      </c>
      <c r="H91" s="148">
        <f t="shared" si="17"/>
        <v>2.3232876712328765</v>
      </c>
      <c r="I91" s="145">
        <f t="shared" si="24"/>
        <v>0.36610298780023909</v>
      </c>
      <c r="J91" s="108">
        <v>121</v>
      </c>
      <c r="K91" s="108">
        <f t="shared" si="18"/>
        <v>2.0863598306747484</v>
      </c>
      <c r="L91" s="65">
        <v>2.95</v>
      </c>
      <c r="M91" s="59">
        <f t="shared" si="25"/>
        <v>0.46982201597816303</v>
      </c>
      <c r="N91" s="155">
        <f t="shared" si="19"/>
        <v>-1</v>
      </c>
      <c r="O91" s="127">
        <f t="shared" si="20"/>
        <v>-1</v>
      </c>
      <c r="P91" s="108">
        <v>1171.498</v>
      </c>
      <c r="Q91" s="108">
        <f t="shared" si="21"/>
        <v>3.0687415514991745</v>
      </c>
      <c r="R91" s="108">
        <v>3386.1060000000002</v>
      </c>
      <c r="S91" s="108">
        <f t="shared" si="22"/>
        <v>3.5297005493117593</v>
      </c>
      <c r="T91" s="108">
        <v>91.9</v>
      </c>
      <c r="U91" s="106">
        <f t="shared" si="26"/>
        <v>1.9633155113861114</v>
      </c>
      <c r="V91" s="127">
        <v>23</v>
      </c>
      <c r="W91" s="119">
        <f t="shared" si="27"/>
        <v>1.3617278360175928</v>
      </c>
      <c r="X91" s="128">
        <v>43.262530407091703</v>
      </c>
      <c r="Y91" s="120">
        <f t="shared" si="28"/>
        <v>1.636111917546391</v>
      </c>
      <c r="Z91" s="153">
        <v>0.24</v>
      </c>
      <c r="AA91" s="127">
        <f t="shared" si="23"/>
        <v>9.3421685162235063E-2</v>
      </c>
      <c r="AB91" s="108">
        <v>33</v>
      </c>
      <c r="AC91" s="137">
        <f t="shared" si="29"/>
        <v>1.5185139398778875</v>
      </c>
    </row>
    <row r="92" spans="1:29" x14ac:dyDescent="0.35">
      <c r="A92" s="143">
        <v>40543</v>
      </c>
      <c r="B92" s="106" t="s">
        <v>235</v>
      </c>
      <c r="C92" s="83">
        <f t="shared" si="15"/>
        <v>1</v>
      </c>
      <c r="D92" s="106">
        <v>125000000</v>
      </c>
      <c r="E92" s="83">
        <f t="shared" si="16"/>
        <v>8.0969100130080562</v>
      </c>
      <c r="F92" s="143">
        <v>41035</v>
      </c>
      <c r="G92" s="106">
        <v>300000000</v>
      </c>
      <c r="H92" s="145">
        <f t="shared" si="17"/>
        <v>1.3479452054794521</v>
      </c>
      <c r="I92" s="145">
        <f t="shared" si="24"/>
        <v>0.12967223831088562</v>
      </c>
      <c r="J92" s="106">
        <v>0</v>
      </c>
      <c r="K92" s="106">
        <f t="shared" si="18"/>
        <v>0</v>
      </c>
      <c r="L92" s="59">
        <v>2.95</v>
      </c>
      <c r="M92" s="59">
        <f t="shared" si="25"/>
        <v>0.46982201597816303</v>
      </c>
      <c r="N92" s="154">
        <f t="shared" si="19"/>
        <v>1.4</v>
      </c>
      <c r="O92" s="119">
        <f t="shared" si="20"/>
        <v>0.38021124171160603</v>
      </c>
      <c r="P92" s="106">
        <v>1171.498</v>
      </c>
      <c r="Q92" s="106">
        <f t="shared" si="21"/>
        <v>3.0687415514991745</v>
      </c>
      <c r="R92" s="106">
        <v>3386.1060000000002</v>
      </c>
      <c r="S92" s="106">
        <f t="shared" si="22"/>
        <v>3.5297005493117593</v>
      </c>
      <c r="T92" s="106">
        <v>91.3</v>
      </c>
      <c r="U92" s="106">
        <f t="shared" si="26"/>
        <v>1.9604707775342989</v>
      </c>
      <c r="V92" s="119">
        <v>23.5</v>
      </c>
      <c r="W92" s="119">
        <f t="shared" si="27"/>
        <v>1.3710678622717363</v>
      </c>
      <c r="X92" s="120">
        <v>43.1672842383418</v>
      </c>
      <c r="Y92" s="120">
        <f t="shared" si="28"/>
        <v>1.6351547269652249</v>
      </c>
      <c r="Z92" s="152">
        <v>0.09</v>
      </c>
      <c r="AA92" s="119">
        <f t="shared" si="23"/>
        <v>3.7426497940623665E-2</v>
      </c>
      <c r="AB92" s="106">
        <v>34</v>
      </c>
      <c r="AC92" s="137">
        <f t="shared" si="29"/>
        <v>1.5314789170422551</v>
      </c>
    </row>
    <row r="93" spans="1:29" x14ac:dyDescent="0.35">
      <c r="A93" s="146">
        <v>40789</v>
      </c>
      <c r="B93" s="108" t="s">
        <v>269</v>
      </c>
      <c r="C93" s="84">
        <f t="shared" si="15"/>
        <v>7</v>
      </c>
      <c r="D93" s="108">
        <v>5098610000</v>
      </c>
      <c r="E93" s="84">
        <f t="shared" si="16"/>
        <v>9.7074517934293993</v>
      </c>
      <c r="F93" s="146">
        <v>42086</v>
      </c>
      <c r="G93" s="108">
        <v>5742380000</v>
      </c>
      <c r="H93" s="148">
        <f t="shared" si="17"/>
        <v>3.5534246575342467</v>
      </c>
      <c r="I93" s="145">
        <f t="shared" si="24"/>
        <v>0.55064711162760538</v>
      </c>
      <c r="J93" s="108">
        <v>114</v>
      </c>
      <c r="K93" s="108">
        <f t="shared" si="18"/>
        <v>2.0606978403536118</v>
      </c>
      <c r="L93" s="65">
        <v>2.95</v>
      </c>
      <c r="M93" s="59">
        <f t="shared" si="25"/>
        <v>0.46982201597816303</v>
      </c>
      <c r="N93" s="155">
        <f t="shared" si="19"/>
        <v>0.12626382484637966</v>
      </c>
      <c r="O93" s="127">
        <f t="shared" si="20"/>
        <v>5.1640134968381025E-2</v>
      </c>
      <c r="P93" s="108">
        <v>1171.498</v>
      </c>
      <c r="Q93" s="108">
        <f t="shared" si="21"/>
        <v>3.0687415514991745</v>
      </c>
      <c r="R93" s="108">
        <v>3386.1060000000002</v>
      </c>
      <c r="S93" s="108">
        <f t="shared" si="22"/>
        <v>3.5297005493117593</v>
      </c>
      <c r="T93" s="108">
        <v>91</v>
      </c>
      <c r="U93" s="106">
        <f t="shared" si="26"/>
        <v>1.9590413923210936</v>
      </c>
      <c r="V93" s="127">
        <v>23.9</v>
      </c>
      <c r="W93" s="119">
        <f t="shared" si="27"/>
        <v>1.3783979009481377</v>
      </c>
      <c r="X93" s="128">
        <v>42.048698215007001</v>
      </c>
      <c r="Y93" s="120">
        <f t="shared" si="28"/>
        <v>1.6237525550259535</v>
      </c>
      <c r="Z93" s="153">
        <v>0.79</v>
      </c>
      <c r="AA93" s="127">
        <f t="shared" si="23"/>
        <v>0.2528530309798932</v>
      </c>
      <c r="AB93" s="108">
        <v>35</v>
      </c>
      <c r="AC93" s="137">
        <f t="shared" si="29"/>
        <v>1.5440680443502757</v>
      </c>
    </row>
    <row r="94" spans="1:29" x14ac:dyDescent="0.35">
      <c r="A94" s="143">
        <v>40928</v>
      </c>
      <c r="B94" s="106" t="s">
        <v>178</v>
      </c>
      <c r="C94" s="83">
        <f t="shared" si="15"/>
        <v>9</v>
      </c>
      <c r="D94" s="106">
        <v>1120000000</v>
      </c>
      <c r="E94" s="83">
        <f t="shared" si="16"/>
        <v>9.0492180226701819</v>
      </c>
      <c r="F94" s="143">
        <v>42071</v>
      </c>
      <c r="G94" s="106">
        <v>2500000000</v>
      </c>
      <c r="H94" s="145">
        <f t="shared" si="17"/>
        <v>3.1315068493150684</v>
      </c>
      <c r="I94" s="145">
        <f t="shared" si="24"/>
        <v>0.49575336593880703</v>
      </c>
      <c r="J94" s="106">
        <v>14</v>
      </c>
      <c r="K94" s="106">
        <f t="shared" si="18"/>
        <v>1.1760912590556813</v>
      </c>
      <c r="L94" s="59">
        <v>2.95</v>
      </c>
      <c r="M94" s="59">
        <f t="shared" si="25"/>
        <v>0.46982201597816303</v>
      </c>
      <c r="N94" s="154">
        <f t="shared" si="19"/>
        <v>1.2321428571428572</v>
      </c>
      <c r="O94" s="119">
        <f t="shared" si="20"/>
        <v>0.348721986001856</v>
      </c>
      <c r="P94" s="106">
        <v>1171.498</v>
      </c>
      <c r="Q94" s="106">
        <f t="shared" si="21"/>
        <v>3.0687415514991745</v>
      </c>
      <c r="R94" s="106">
        <v>3386.1060000000002</v>
      </c>
      <c r="S94" s="106">
        <f t="shared" si="22"/>
        <v>3.5297005493117593</v>
      </c>
      <c r="T94" s="106">
        <v>91.1</v>
      </c>
      <c r="U94" s="106">
        <f t="shared" si="26"/>
        <v>1.9595183769729982</v>
      </c>
      <c r="V94" s="119">
        <v>24.1</v>
      </c>
      <c r="W94" s="119">
        <f t="shared" si="27"/>
        <v>1.3820170425748683</v>
      </c>
      <c r="X94" s="120">
        <v>40.229046020662899</v>
      </c>
      <c r="Y94" s="120">
        <f t="shared" si="28"/>
        <v>1.6045397339663818</v>
      </c>
      <c r="Z94" s="152">
        <v>0.56999999999999995</v>
      </c>
      <c r="AA94" s="119">
        <f t="shared" si="23"/>
        <v>0.19589965240923368</v>
      </c>
      <c r="AB94" s="106">
        <v>36</v>
      </c>
      <c r="AC94" s="137">
        <f t="shared" si="29"/>
        <v>1.5563025007672873</v>
      </c>
    </row>
    <row r="95" spans="1:29" x14ac:dyDescent="0.35">
      <c r="A95" s="146">
        <v>41082</v>
      </c>
      <c r="B95" s="108" t="s">
        <v>186</v>
      </c>
      <c r="C95" s="84">
        <f t="shared" si="15"/>
        <v>4</v>
      </c>
      <c r="D95" s="108">
        <v>150000000</v>
      </c>
      <c r="E95" s="84">
        <f t="shared" si="16"/>
        <v>8.1760912590556813</v>
      </c>
      <c r="F95" s="146">
        <v>42032</v>
      </c>
      <c r="G95" s="108">
        <v>400000000</v>
      </c>
      <c r="H95" s="148">
        <f t="shared" si="17"/>
        <v>2.6027397260273974</v>
      </c>
      <c r="I95" s="145">
        <f t="shared" si="24"/>
        <v>0.41543074083237308</v>
      </c>
      <c r="J95" s="108">
        <v>8</v>
      </c>
      <c r="K95" s="108">
        <f t="shared" si="18"/>
        <v>0.95424250943932487</v>
      </c>
      <c r="L95" s="65">
        <v>2.95</v>
      </c>
      <c r="M95" s="59">
        <f t="shared" si="25"/>
        <v>0.46982201597816303</v>
      </c>
      <c r="N95" s="155">
        <f t="shared" si="19"/>
        <v>1.6666666666666665</v>
      </c>
      <c r="O95" s="127">
        <f t="shared" si="20"/>
        <v>0.4259687322722811</v>
      </c>
      <c r="P95" s="108">
        <v>1171.498</v>
      </c>
      <c r="Q95" s="108">
        <f t="shared" si="21"/>
        <v>3.0687415514991745</v>
      </c>
      <c r="R95" s="108">
        <v>3386.1060000000002</v>
      </c>
      <c r="S95" s="108">
        <f t="shared" si="22"/>
        <v>3.5297005493117593</v>
      </c>
      <c r="T95" s="108">
        <v>91.1</v>
      </c>
      <c r="U95" s="106">
        <f t="shared" si="26"/>
        <v>1.9595183769729982</v>
      </c>
      <c r="V95" s="127">
        <v>24.1</v>
      </c>
      <c r="W95" s="119">
        <f t="shared" si="27"/>
        <v>1.3820170425748683</v>
      </c>
      <c r="X95" s="128">
        <v>40.229046020662899</v>
      </c>
      <c r="Y95" s="120">
        <f t="shared" si="28"/>
        <v>1.6045397339663818</v>
      </c>
      <c r="Z95" s="153">
        <v>0.5</v>
      </c>
      <c r="AA95" s="127">
        <f t="shared" si="23"/>
        <v>0.17609125905568124</v>
      </c>
      <c r="AB95" s="108">
        <v>36</v>
      </c>
      <c r="AC95" s="137">
        <f t="shared" si="29"/>
        <v>1.5563025007672873</v>
      </c>
    </row>
    <row r="96" spans="1:29" x14ac:dyDescent="0.35">
      <c r="A96" s="143">
        <v>38087</v>
      </c>
      <c r="B96" s="106" t="s">
        <v>248</v>
      </c>
      <c r="C96" s="83">
        <f t="shared" si="15"/>
        <v>5</v>
      </c>
      <c r="D96" s="106">
        <v>2200000000</v>
      </c>
      <c r="E96" s="83">
        <f t="shared" si="16"/>
        <v>9.3424226808222066</v>
      </c>
      <c r="F96" s="143">
        <v>42046</v>
      </c>
      <c r="G96" s="106">
        <v>1500000000</v>
      </c>
      <c r="H96" s="145">
        <f t="shared" si="17"/>
        <v>10.846575342465753</v>
      </c>
      <c r="I96" s="145">
        <f t="shared" si="24"/>
        <v>1.0352926372957298</v>
      </c>
      <c r="J96" s="106">
        <v>107</v>
      </c>
      <c r="K96" s="106">
        <f t="shared" si="18"/>
        <v>2.0334237554869499</v>
      </c>
      <c r="L96" s="59">
        <v>2.95</v>
      </c>
      <c r="M96" s="59">
        <f t="shared" si="25"/>
        <v>0.46982201597816303</v>
      </c>
      <c r="N96" s="154">
        <f t="shared" si="19"/>
        <v>-0.31818181818181823</v>
      </c>
      <c r="O96" s="119">
        <f t="shared" si="20"/>
        <v>-0.16633142176652502</v>
      </c>
      <c r="P96" s="106">
        <v>1171.498</v>
      </c>
      <c r="Q96" s="106">
        <f t="shared" si="21"/>
        <v>3.0687415514991745</v>
      </c>
      <c r="R96" s="106">
        <v>3386.1060000000002</v>
      </c>
      <c r="S96" s="106">
        <f t="shared" si="22"/>
        <v>3.5297005493117593</v>
      </c>
      <c r="T96" s="106">
        <v>85</v>
      </c>
      <c r="U96" s="106">
        <f t="shared" si="26"/>
        <v>1.9294189257142926</v>
      </c>
      <c r="V96" s="119">
        <v>24.6</v>
      </c>
      <c r="W96" s="119">
        <f t="shared" si="27"/>
        <v>1.3909351071033791</v>
      </c>
      <c r="X96" s="120">
        <v>36.876470987978301</v>
      </c>
      <c r="Y96" s="120">
        <f t="shared" si="28"/>
        <v>1.5667493531684615</v>
      </c>
      <c r="Z96" s="152">
        <v>0.82</v>
      </c>
      <c r="AA96" s="119">
        <f t="shared" si="23"/>
        <v>0.26007138798507473</v>
      </c>
      <c r="AB96" s="106">
        <v>28</v>
      </c>
      <c r="AC96" s="137">
        <f t="shared" si="29"/>
        <v>1.4471580313422192</v>
      </c>
    </row>
    <row r="97" spans="1:29" x14ac:dyDescent="0.35">
      <c r="A97" s="146">
        <v>38799</v>
      </c>
      <c r="B97" s="108" t="s">
        <v>248</v>
      </c>
      <c r="C97" s="84">
        <f t="shared" si="15"/>
        <v>5</v>
      </c>
      <c r="D97" s="108">
        <v>8800000000</v>
      </c>
      <c r="E97" s="84">
        <f t="shared" si="16"/>
        <v>9.9444826721501691</v>
      </c>
      <c r="F97" s="146">
        <v>40111</v>
      </c>
      <c r="G97" s="108">
        <v>0</v>
      </c>
      <c r="H97" s="148">
        <f t="shared" si="17"/>
        <v>3.5945205479452054</v>
      </c>
      <c r="I97" s="145">
        <f t="shared" si="24"/>
        <v>0.55564097058316675</v>
      </c>
      <c r="J97" s="108">
        <v>8</v>
      </c>
      <c r="K97" s="108">
        <f t="shared" si="18"/>
        <v>0.95424250943932487</v>
      </c>
      <c r="L97" s="65">
        <v>2.95</v>
      </c>
      <c r="M97" s="59">
        <f t="shared" si="25"/>
        <v>0.46982201597816303</v>
      </c>
      <c r="N97" s="155">
        <f t="shared" si="19"/>
        <v>-1</v>
      </c>
      <c r="O97" s="127">
        <f t="shared" si="20"/>
        <v>-1</v>
      </c>
      <c r="P97" s="108">
        <v>1171.498</v>
      </c>
      <c r="Q97" s="108">
        <f t="shared" si="21"/>
        <v>3.0687415514991745</v>
      </c>
      <c r="R97" s="108">
        <v>3386.1060000000002</v>
      </c>
      <c r="S97" s="108">
        <f t="shared" si="22"/>
        <v>3.5297005493117593</v>
      </c>
      <c r="T97" s="108">
        <v>93.2</v>
      </c>
      <c r="U97" s="106">
        <f t="shared" si="26"/>
        <v>1.9694159123539814</v>
      </c>
      <c r="V97" s="127">
        <v>26.7</v>
      </c>
      <c r="W97" s="119">
        <f t="shared" si="27"/>
        <v>1.4265112613645752</v>
      </c>
      <c r="X97" s="128">
        <v>36.669158714517401</v>
      </c>
      <c r="Y97" s="120">
        <f t="shared" si="28"/>
        <v>1.5643009462345601</v>
      </c>
      <c r="Z97" s="153">
        <v>-0.17</v>
      </c>
      <c r="AA97" s="127">
        <f t="shared" si="23"/>
        <v>-8.092190762392612E-2</v>
      </c>
      <c r="AB97" s="108">
        <v>30</v>
      </c>
      <c r="AC97" s="137">
        <f t="shared" si="29"/>
        <v>1.4771212547196624</v>
      </c>
    </row>
    <row r="98" spans="1:29" x14ac:dyDescent="0.35">
      <c r="A98" s="143">
        <v>40311</v>
      </c>
      <c r="B98" s="106" t="s">
        <v>326</v>
      </c>
      <c r="C98" s="83">
        <f t="shared" si="15"/>
        <v>8</v>
      </c>
      <c r="D98" s="106">
        <v>458198000</v>
      </c>
      <c r="E98" s="83">
        <f t="shared" si="16"/>
        <v>8.6610531891945843</v>
      </c>
      <c r="F98" s="143">
        <v>43308</v>
      </c>
      <c r="G98" s="106">
        <v>2216401000</v>
      </c>
      <c r="H98" s="145">
        <f t="shared" si="17"/>
        <v>8.2109589041095887</v>
      </c>
      <c r="I98" s="145">
        <f t="shared" si="24"/>
        <v>0.91439387848916998</v>
      </c>
      <c r="J98" s="106">
        <v>6</v>
      </c>
      <c r="K98" s="106">
        <f t="shared" si="18"/>
        <v>0.84509804001425681</v>
      </c>
      <c r="L98" s="59">
        <v>2.95</v>
      </c>
      <c r="M98" s="59">
        <f t="shared" si="25"/>
        <v>0.46982201597816303</v>
      </c>
      <c r="N98" s="154">
        <f t="shared" si="19"/>
        <v>3.8372122968672935</v>
      </c>
      <c r="O98" s="119">
        <f t="shared" si="20"/>
        <v>0.68459514823913259</v>
      </c>
      <c r="P98" s="106">
        <v>1518.5350000000001</v>
      </c>
      <c r="Q98" s="106">
        <f t="shared" si="21"/>
        <v>3.1814248062191788</v>
      </c>
      <c r="R98" s="106">
        <v>5363.16</v>
      </c>
      <c r="S98" s="106">
        <f t="shared" si="22"/>
        <v>3.7294207535322617</v>
      </c>
      <c r="T98" s="106">
        <v>91.3</v>
      </c>
      <c r="U98" s="106">
        <f t="shared" si="26"/>
        <v>1.9604707775342989</v>
      </c>
      <c r="V98" s="119">
        <v>23.5</v>
      </c>
      <c r="W98" s="119">
        <f t="shared" si="27"/>
        <v>1.3710678622717363</v>
      </c>
      <c r="X98" s="120">
        <v>43.1672842383418</v>
      </c>
      <c r="Y98" s="120">
        <f t="shared" si="28"/>
        <v>1.6351547269652249</v>
      </c>
      <c r="Z98" s="152">
        <v>1.44</v>
      </c>
      <c r="AA98" s="119">
        <f t="shared" si="23"/>
        <v>0.38738982633872943</v>
      </c>
      <c r="AB98" s="106">
        <v>20</v>
      </c>
      <c r="AC98" s="137">
        <f t="shared" si="29"/>
        <v>1.3010299956639813</v>
      </c>
    </row>
    <row r="99" spans="1:29" x14ac:dyDescent="0.35">
      <c r="A99" s="146">
        <v>39199</v>
      </c>
      <c r="B99" s="108" t="s">
        <v>248</v>
      </c>
      <c r="C99" s="84">
        <f t="shared" si="15"/>
        <v>5</v>
      </c>
      <c r="D99" s="108">
        <v>850000000</v>
      </c>
      <c r="E99" s="84">
        <f t="shared" si="16"/>
        <v>8.9294189257142929</v>
      </c>
      <c r="F99" s="146">
        <v>41962</v>
      </c>
      <c r="G99" s="108">
        <v>3075000000</v>
      </c>
      <c r="H99" s="148">
        <f t="shared" si="17"/>
        <v>7.5698630136986305</v>
      </c>
      <c r="I99" s="145">
        <f t="shared" si="24"/>
        <v>0.87908802046003665</v>
      </c>
      <c r="J99" s="108">
        <v>0</v>
      </c>
      <c r="K99" s="108">
        <f t="shared" si="18"/>
        <v>0</v>
      </c>
      <c r="L99" s="65">
        <v>2.95</v>
      </c>
      <c r="M99" s="59">
        <f t="shared" si="25"/>
        <v>0.46982201597816303</v>
      </c>
      <c r="N99" s="155">
        <f t="shared" si="19"/>
        <v>2.6176470588235294</v>
      </c>
      <c r="O99" s="127">
        <f t="shared" si="20"/>
        <v>0.55842619439714281</v>
      </c>
      <c r="P99" s="108">
        <v>1518.5350000000001</v>
      </c>
      <c r="Q99" s="108">
        <f t="shared" si="21"/>
        <v>3.1814248062191788</v>
      </c>
      <c r="R99" s="108">
        <v>5363.16</v>
      </c>
      <c r="S99" s="108">
        <f t="shared" si="22"/>
        <v>3.7294207535322617</v>
      </c>
      <c r="T99" s="108">
        <v>91.4</v>
      </c>
      <c r="U99" s="106">
        <f t="shared" si="26"/>
        <v>1.9609461957338314</v>
      </c>
      <c r="V99" s="127">
        <v>26.7</v>
      </c>
      <c r="W99" s="119">
        <f t="shared" si="27"/>
        <v>1.4265112613645752</v>
      </c>
      <c r="X99" s="128">
        <v>37.425715444240403</v>
      </c>
      <c r="Y99" s="120">
        <f t="shared" si="28"/>
        <v>1.5731701112332821</v>
      </c>
      <c r="Z99" s="153">
        <v>0.37</v>
      </c>
      <c r="AA99" s="127">
        <f t="shared" si="23"/>
        <v>0.13672056715640679</v>
      </c>
      <c r="AB99" s="108">
        <v>17</v>
      </c>
      <c r="AC99" s="137">
        <f t="shared" si="29"/>
        <v>1.2304489213782739</v>
      </c>
    </row>
    <row r="100" spans="1:29" x14ac:dyDescent="0.35">
      <c r="A100" s="143">
        <v>38348</v>
      </c>
      <c r="B100" s="106" t="s">
        <v>248</v>
      </c>
      <c r="C100" s="83">
        <f t="shared" si="15"/>
        <v>5</v>
      </c>
      <c r="D100" s="106">
        <v>1140330000</v>
      </c>
      <c r="E100" s="83">
        <f t="shared" si="16"/>
        <v>9.0570305499678359</v>
      </c>
      <c r="F100" s="143">
        <v>41151</v>
      </c>
      <c r="G100" s="106">
        <v>2745880000</v>
      </c>
      <c r="H100" s="145">
        <f t="shared" si="17"/>
        <v>7.6794520547945204</v>
      </c>
      <c r="I100" s="145">
        <f t="shared" si="24"/>
        <v>0.88533023330381144</v>
      </c>
      <c r="J100" s="106">
        <v>84</v>
      </c>
      <c r="K100" s="106">
        <f t="shared" si="18"/>
        <v>1.9294189257142926</v>
      </c>
      <c r="L100" s="59">
        <v>2.95</v>
      </c>
      <c r="M100" s="59">
        <f t="shared" si="25"/>
        <v>0.46982201597816303</v>
      </c>
      <c r="N100" s="154">
        <f t="shared" si="19"/>
        <v>1.4079696228284795</v>
      </c>
      <c r="O100" s="119">
        <f t="shared" si="20"/>
        <v>0.3816510038809775</v>
      </c>
      <c r="P100" s="106">
        <v>1518.5350000000001</v>
      </c>
      <c r="Q100" s="106">
        <f t="shared" si="21"/>
        <v>3.1814248062191788</v>
      </c>
      <c r="R100" s="106">
        <v>5363.16</v>
      </c>
      <c r="S100" s="106">
        <f t="shared" si="22"/>
        <v>3.7294207535322617</v>
      </c>
      <c r="T100" s="106">
        <v>85</v>
      </c>
      <c r="U100" s="106">
        <f t="shared" si="26"/>
        <v>1.9294189257142926</v>
      </c>
      <c r="V100" s="119">
        <v>24.6</v>
      </c>
      <c r="W100" s="119">
        <f t="shared" si="27"/>
        <v>1.3909351071033791</v>
      </c>
      <c r="X100" s="120">
        <v>36.876470987978301</v>
      </c>
      <c r="Y100" s="120">
        <f t="shared" si="28"/>
        <v>1.5667493531684615</v>
      </c>
      <c r="Z100" s="152">
        <v>0.16</v>
      </c>
      <c r="AA100" s="119">
        <f t="shared" si="23"/>
        <v>6.445798922691845E-2</v>
      </c>
      <c r="AB100" s="106">
        <v>14</v>
      </c>
      <c r="AC100" s="137">
        <f t="shared" si="29"/>
        <v>1.146128035678238</v>
      </c>
    </row>
    <row r="101" spans="1:29" x14ac:dyDescent="0.35">
      <c r="A101" s="146">
        <v>37753</v>
      </c>
      <c r="B101" s="108" t="s">
        <v>248</v>
      </c>
      <c r="C101" s="84">
        <f t="shared" si="15"/>
        <v>5</v>
      </c>
      <c r="D101" s="108">
        <v>645000000</v>
      </c>
      <c r="E101" s="84">
        <f t="shared" si="16"/>
        <v>8.8095597146352684</v>
      </c>
      <c r="F101" s="146">
        <v>39157</v>
      </c>
      <c r="G101" s="108">
        <v>165000000</v>
      </c>
      <c r="H101" s="148">
        <f t="shared" si="17"/>
        <v>3.8465753424657536</v>
      </c>
      <c r="I101" s="145">
        <f t="shared" si="24"/>
        <v>0.58507424333731184</v>
      </c>
      <c r="J101" s="108">
        <v>68</v>
      </c>
      <c r="K101" s="108">
        <f t="shared" si="18"/>
        <v>1.8388490907372552</v>
      </c>
      <c r="L101" s="65">
        <v>2.95</v>
      </c>
      <c r="M101" s="59">
        <f t="shared" si="25"/>
        <v>0.46982201597816303</v>
      </c>
      <c r="N101" s="155">
        <f t="shared" si="19"/>
        <v>-0.7441860465116279</v>
      </c>
      <c r="O101" s="127">
        <f t="shared" si="20"/>
        <v>-0.5920757704213615</v>
      </c>
      <c r="P101" s="108">
        <v>1518.5350000000001</v>
      </c>
      <c r="Q101" s="108">
        <f t="shared" si="21"/>
        <v>3.1814248062191788</v>
      </c>
      <c r="R101" s="108">
        <v>5363.16</v>
      </c>
      <c r="S101" s="108">
        <f t="shared" si="22"/>
        <v>3.7294207535322617</v>
      </c>
      <c r="T101" s="108">
        <v>85</v>
      </c>
      <c r="U101" s="106">
        <f t="shared" si="26"/>
        <v>1.9294189257142926</v>
      </c>
      <c r="V101" s="127">
        <v>24.4</v>
      </c>
      <c r="W101" s="119">
        <f t="shared" si="27"/>
        <v>1.3873898263387294</v>
      </c>
      <c r="X101" s="128">
        <v>37.256914365427299</v>
      </c>
      <c r="Y101" s="120">
        <f t="shared" si="28"/>
        <v>1.5712068835833228</v>
      </c>
      <c r="Z101" s="153">
        <v>0.47</v>
      </c>
      <c r="AA101" s="127">
        <f t="shared" si="23"/>
        <v>0.16731733474817609</v>
      </c>
      <c r="AB101" s="108">
        <v>13</v>
      </c>
      <c r="AC101" s="137">
        <f t="shared" si="29"/>
        <v>1.1139433523068367</v>
      </c>
    </row>
    <row r="102" spans="1:29" x14ac:dyDescent="0.35">
      <c r="A102" s="143">
        <v>36342</v>
      </c>
      <c r="B102" s="106" t="s">
        <v>235</v>
      </c>
      <c r="C102" s="83">
        <f t="shared" si="15"/>
        <v>1</v>
      </c>
      <c r="D102" s="106">
        <v>450000000</v>
      </c>
      <c r="E102" s="83">
        <f t="shared" si="16"/>
        <v>8.653212513775344</v>
      </c>
      <c r="F102" s="143">
        <v>39727</v>
      </c>
      <c r="G102" s="106">
        <v>679000000</v>
      </c>
      <c r="H102" s="145">
        <f t="shared" si="17"/>
        <v>9.2739726027397253</v>
      </c>
      <c r="I102" s="145">
        <f t="shared" si="24"/>
        <v>0.96726580856468836</v>
      </c>
      <c r="J102" s="106">
        <v>2</v>
      </c>
      <c r="K102" s="106">
        <f t="shared" si="18"/>
        <v>0.47712125471966244</v>
      </c>
      <c r="L102" s="59">
        <v>2.95</v>
      </c>
      <c r="M102" s="59">
        <f t="shared" si="25"/>
        <v>0.46982201597816303</v>
      </c>
      <c r="N102" s="154">
        <f t="shared" si="19"/>
        <v>0.50888888888888895</v>
      </c>
      <c r="O102" s="119">
        <f t="shared" si="20"/>
        <v>0.17865726050515801</v>
      </c>
      <c r="P102" s="106">
        <v>1518.5350000000001</v>
      </c>
      <c r="Q102" s="106">
        <f t="shared" si="21"/>
        <v>3.1814248062191788</v>
      </c>
      <c r="R102" s="106">
        <v>5363.16</v>
      </c>
      <c r="S102" s="106">
        <f t="shared" si="22"/>
        <v>3.7294207535322617</v>
      </c>
      <c r="T102" s="106">
        <v>85</v>
      </c>
      <c r="U102" s="106">
        <f t="shared" si="26"/>
        <v>1.9294189257142926</v>
      </c>
      <c r="V102" s="119">
        <v>27.8</v>
      </c>
      <c r="W102" s="119">
        <f t="shared" si="27"/>
        <v>1.4440447959180762</v>
      </c>
      <c r="X102" s="120">
        <v>34.656907836978597</v>
      </c>
      <c r="Y102" s="120">
        <f t="shared" si="28"/>
        <v>1.5397898114291337</v>
      </c>
      <c r="Z102" s="152">
        <v>-0.23</v>
      </c>
      <c r="AA102" s="119">
        <f t="shared" si="23"/>
        <v>-0.11350927482751812</v>
      </c>
      <c r="AB102" s="106">
        <v>9</v>
      </c>
      <c r="AC102" s="137">
        <f t="shared" si="29"/>
        <v>0.95424250943932487</v>
      </c>
    </row>
    <row r="103" spans="1:29" x14ac:dyDescent="0.35">
      <c r="A103" s="151">
        <v>35788</v>
      </c>
      <c r="B103" s="108" t="s">
        <v>190</v>
      </c>
      <c r="C103" s="84">
        <f t="shared" si="15"/>
        <v>2</v>
      </c>
      <c r="D103" s="108">
        <v>258000000</v>
      </c>
      <c r="E103" s="84">
        <f t="shared" si="16"/>
        <v>8.4116197059632309</v>
      </c>
      <c r="F103" s="146">
        <v>36202</v>
      </c>
      <c r="G103" s="108">
        <v>842000000</v>
      </c>
      <c r="H103" s="148">
        <f t="shared" si="17"/>
        <v>1.1342465753424658</v>
      </c>
      <c r="I103" s="145">
        <f t="shared" si="24"/>
        <v>5.4707476664424243E-2</v>
      </c>
      <c r="J103" s="108">
        <v>14</v>
      </c>
      <c r="K103" s="108">
        <f t="shared" si="18"/>
        <v>1.1760912590556813</v>
      </c>
      <c r="L103" s="65">
        <v>2.95</v>
      </c>
      <c r="M103" s="59">
        <f t="shared" si="25"/>
        <v>0.46982201597816303</v>
      </c>
      <c r="N103" s="155">
        <f t="shared" si="19"/>
        <v>2.2635658914728682</v>
      </c>
      <c r="O103" s="127">
        <f t="shared" si="20"/>
        <v>0.51369238553641938</v>
      </c>
      <c r="P103" s="108">
        <v>1518.5350000000001</v>
      </c>
      <c r="Q103" s="108">
        <f t="shared" si="21"/>
        <v>3.1814248062191788</v>
      </c>
      <c r="R103" s="108">
        <v>5363.16</v>
      </c>
      <c r="S103" s="108">
        <f t="shared" si="22"/>
        <v>3.7294207535322617</v>
      </c>
      <c r="T103" s="108">
        <v>85</v>
      </c>
      <c r="U103" s="106">
        <f t="shared" si="26"/>
        <v>1.9294189257142926</v>
      </c>
      <c r="V103" s="127">
        <v>27.4</v>
      </c>
      <c r="W103" s="119">
        <f t="shared" si="27"/>
        <v>1.4377505628203879</v>
      </c>
      <c r="X103" s="128">
        <v>35.968444143503902</v>
      </c>
      <c r="Y103" s="120">
        <f t="shared" si="28"/>
        <v>1.5559216523165715</v>
      </c>
      <c r="Z103" s="153">
        <v>0.34</v>
      </c>
      <c r="AA103" s="127">
        <f t="shared" si="23"/>
        <v>0.12710479836480765</v>
      </c>
      <c r="AB103" s="108">
        <v>7</v>
      </c>
      <c r="AC103" s="137">
        <f t="shared" si="29"/>
        <v>0.84509804001425681</v>
      </c>
    </row>
    <row r="104" spans="1:29" x14ac:dyDescent="0.35">
      <c r="A104" s="143">
        <v>35772</v>
      </c>
      <c r="B104" s="106" t="s">
        <v>245</v>
      </c>
      <c r="C104" s="83">
        <f t="shared" si="15"/>
        <v>6</v>
      </c>
      <c r="D104" s="106">
        <v>75000000</v>
      </c>
      <c r="E104" s="83">
        <f t="shared" si="16"/>
        <v>7.8750612633917001</v>
      </c>
      <c r="F104" s="143">
        <v>37363</v>
      </c>
      <c r="G104" s="106">
        <v>527100000</v>
      </c>
      <c r="H104" s="145">
        <f t="shared" si="17"/>
        <v>4.3589041095890408</v>
      </c>
      <c r="I104" s="145">
        <f t="shared" si="24"/>
        <v>0.63937731519010677</v>
      </c>
      <c r="J104" s="106">
        <v>0</v>
      </c>
      <c r="K104" s="106">
        <f t="shared" si="18"/>
        <v>0</v>
      </c>
      <c r="L104" s="59">
        <v>2.95</v>
      </c>
      <c r="M104" s="59">
        <f t="shared" si="25"/>
        <v>0.46982201597816303</v>
      </c>
      <c r="N104" s="154">
        <f t="shared" si="19"/>
        <v>6.0279999999999996</v>
      </c>
      <c r="O104" s="119">
        <f t="shared" si="20"/>
        <v>0.84683175282325729</v>
      </c>
      <c r="P104" s="106">
        <v>1518.5350000000001</v>
      </c>
      <c r="Q104" s="106">
        <f t="shared" si="21"/>
        <v>3.1814248062191788</v>
      </c>
      <c r="R104" s="106">
        <v>5363.16</v>
      </c>
      <c r="S104" s="106">
        <f t="shared" si="22"/>
        <v>3.7294207535322617</v>
      </c>
      <c r="T104" s="106">
        <v>85</v>
      </c>
      <c r="U104" s="106">
        <f t="shared" si="26"/>
        <v>1.9294189257142926</v>
      </c>
      <c r="V104" s="119">
        <v>27.4</v>
      </c>
      <c r="W104" s="119">
        <f t="shared" si="27"/>
        <v>1.4377505628203879</v>
      </c>
      <c r="X104" s="120">
        <v>35.968444143503902</v>
      </c>
      <c r="Y104" s="120">
        <f t="shared" si="28"/>
        <v>1.5559216523165715</v>
      </c>
      <c r="Z104" s="152">
        <v>0.15</v>
      </c>
      <c r="AA104" s="119">
        <f t="shared" si="23"/>
        <v>6.069784035361165E-2</v>
      </c>
      <c r="AB104" s="106">
        <v>7</v>
      </c>
      <c r="AC104" s="137">
        <f t="shared" si="29"/>
        <v>0.84509804001425681</v>
      </c>
    </row>
    <row r="105" spans="1:29" x14ac:dyDescent="0.35">
      <c r="A105" s="146">
        <v>39952</v>
      </c>
      <c r="B105" s="108" t="s">
        <v>245</v>
      </c>
      <c r="C105" s="84">
        <f t="shared" si="15"/>
        <v>6</v>
      </c>
      <c r="D105" s="108">
        <v>46270000</v>
      </c>
      <c r="E105" s="84">
        <f t="shared" si="16"/>
        <v>7.6652994994998966</v>
      </c>
      <c r="F105" s="146">
        <v>41786</v>
      </c>
      <c r="G105" s="108">
        <v>150550000</v>
      </c>
      <c r="H105" s="148">
        <f t="shared" si="17"/>
        <v>5.0246575342465754</v>
      </c>
      <c r="I105" s="145">
        <f t="shared" si="24"/>
        <v>0.70110646687752753</v>
      </c>
      <c r="J105" s="108">
        <v>120</v>
      </c>
      <c r="K105" s="108">
        <f t="shared" si="18"/>
        <v>2.0827853703164503</v>
      </c>
      <c r="L105" s="65">
        <v>3.59</v>
      </c>
      <c r="M105" s="59">
        <f t="shared" si="25"/>
        <v>0.55509444857831913</v>
      </c>
      <c r="N105" s="155">
        <f t="shared" si="19"/>
        <v>2.2537281175707804</v>
      </c>
      <c r="O105" s="127">
        <f t="shared" si="20"/>
        <v>0.5123812603488811</v>
      </c>
      <c r="P105" s="108">
        <v>1543.2098765432097</v>
      </c>
      <c r="Q105" s="108">
        <f t="shared" si="21"/>
        <v>3.1884249941294067</v>
      </c>
      <c r="R105" s="108">
        <v>8692.1296296296296</v>
      </c>
      <c r="S105" s="108">
        <f t="shared" si="22"/>
        <v>3.9391261945252749</v>
      </c>
      <c r="T105" s="108">
        <v>95.9</v>
      </c>
      <c r="U105" s="106">
        <f t="shared" si="26"/>
        <v>1.9818186071706636</v>
      </c>
      <c r="V105" s="127">
        <v>44.1</v>
      </c>
      <c r="W105" s="119">
        <f t="shared" si="27"/>
        <v>1.6444385894678386</v>
      </c>
      <c r="X105" s="128">
        <v>52.700584961948799</v>
      </c>
      <c r="Y105" s="120">
        <f t="shared" si="28"/>
        <v>1.721815435788193</v>
      </c>
      <c r="Z105" s="153">
        <v>1.1100000000000001</v>
      </c>
      <c r="AA105" s="127">
        <f t="shared" si="23"/>
        <v>0.32428245529769273</v>
      </c>
      <c r="AB105" s="108">
        <v>6</v>
      </c>
      <c r="AC105" s="137">
        <f t="shared" si="29"/>
        <v>0.77815125038364363</v>
      </c>
    </row>
    <row r="106" spans="1:29" x14ac:dyDescent="0.35">
      <c r="A106" s="143">
        <v>38169</v>
      </c>
      <c r="B106" s="106" t="s">
        <v>235</v>
      </c>
      <c r="C106" s="83">
        <f t="shared" si="15"/>
        <v>1</v>
      </c>
      <c r="D106" s="106">
        <v>275000000</v>
      </c>
      <c r="E106" s="83">
        <f t="shared" si="16"/>
        <v>8.4393326938302629</v>
      </c>
      <c r="F106" s="143">
        <v>39233</v>
      </c>
      <c r="G106" s="106">
        <v>690350000</v>
      </c>
      <c r="H106" s="145">
        <f t="shared" si="17"/>
        <v>2.9150684931506849</v>
      </c>
      <c r="I106" s="145">
        <f t="shared" si="24"/>
        <v>0.46464876350255468</v>
      </c>
      <c r="J106" s="106">
        <v>106</v>
      </c>
      <c r="K106" s="106">
        <f t="shared" si="18"/>
        <v>2.0293837776852097</v>
      </c>
      <c r="L106" s="59">
        <v>3.59</v>
      </c>
      <c r="M106" s="59">
        <f t="shared" si="25"/>
        <v>0.55509444857831913</v>
      </c>
      <c r="N106" s="154">
        <f t="shared" si="19"/>
        <v>1.5103636363636364</v>
      </c>
      <c r="O106" s="119">
        <f t="shared" si="20"/>
        <v>0.39973663535655063</v>
      </c>
      <c r="P106" s="106">
        <v>1543.2098765432097</v>
      </c>
      <c r="Q106" s="106">
        <f t="shared" si="21"/>
        <v>3.1884249941294067</v>
      </c>
      <c r="R106" s="106">
        <v>8692.1296296296296</v>
      </c>
      <c r="S106" s="106">
        <f t="shared" si="22"/>
        <v>3.9391261945252749</v>
      </c>
      <c r="T106" s="106">
        <v>70</v>
      </c>
      <c r="U106" s="106">
        <f t="shared" si="26"/>
        <v>1.8450980400142569</v>
      </c>
      <c r="V106" s="119">
        <v>45.7</v>
      </c>
      <c r="W106" s="119">
        <f t="shared" si="27"/>
        <v>1.6599162000698502</v>
      </c>
      <c r="X106" s="120">
        <v>52.379377176281302</v>
      </c>
      <c r="Y106" s="120">
        <f t="shared" si="28"/>
        <v>1.7191603300855409</v>
      </c>
      <c r="Z106" s="152">
        <v>0.36</v>
      </c>
      <c r="AA106" s="119">
        <f t="shared" si="23"/>
        <v>0.13353890837021748</v>
      </c>
      <c r="AB106" s="106">
        <v>1</v>
      </c>
      <c r="AC106" s="137">
        <f t="shared" si="29"/>
        <v>0</v>
      </c>
    </row>
    <row r="107" spans="1:29" x14ac:dyDescent="0.35">
      <c r="A107" s="146">
        <v>36857</v>
      </c>
      <c r="B107" s="108" t="s">
        <v>178</v>
      </c>
      <c r="C107" s="84">
        <f t="shared" si="15"/>
        <v>9</v>
      </c>
      <c r="D107" s="108">
        <v>10000000</v>
      </c>
      <c r="E107" s="84">
        <f t="shared" si="16"/>
        <v>7</v>
      </c>
      <c r="F107" s="146">
        <v>37986</v>
      </c>
      <c r="G107" s="108">
        <v>1720000</v>
      </c>
      <c r="H107" s="148">
        <f t="shared" si="17"/>
        <v>3.0931506849315067</v>
      </c>
      <c r="I107" s="145">
        <f t="shared" si="24"/>
        <v>0.49040107746849315</v>
      </c>
      <c r="J107" s="108">
        <v>6</v>
      </c>
      <c r="K107" s="108">
        <f t="shared" si="18"/>
        <v>0.84509804001425681</v>
      </c>
      <c r="L107" s="65">
        <v>3.29</v>
      </c>
      <c r="M107" s="59">
        <f t="shared" si="25"/>
        <v>0.51719589794997434</v>
      </c>
      <c r="N107" s="155">
        <f t="shared" si="19"/>
        <v>-0.82800000000000007</v>
      </c>
      <c r="O107" s="127">
        <f t="shared" si="20"/>
        <v>-0.76447155309245129</v>
      </c>
      <c r="P107" s="108">
        <v>1581.451</v>
      </c>
      <c r="Q107" s="108">
        <f t="shared" si="21"/>
        <v>3.1990557401914899</v>
      </c>
      <c r="R107" s="108">
        <v>6004.7560000000003</v>
      </c>
      <c r="S107" s="108">
        <f t="shared" si="22"/>
        <v>3.7784953647769717</v>
      </c>
      <c r="T107" s="108">
        <v>85</v>
      </c>
      <c r="U107" s="106">
        <f t="shared" si="26"/>
        <v>1.9294189257142926</v>
      </c>
      <c r="V107" s="127">
        <v>32.9</v>
      </c>
      <c r="W107" s="119">
        <f t="shared" si="27"/>
        <v>1.5171958979499742</v>
      </c>
      <c r="X107" s="128">
        <v>35.433808146393098</v>
      </c>
      <c r="Y107" s="120">
        <f t="shared" si="28"/>
        <v>1.5494178293890581</v>
      </c>
      <c r="Z107" s="153">
        <v>-0.18</v>
      </c>
      <c r="AA107" s="127">
        <f t="shared" si="23"/>
        <v>-8.6186147616283279E-2</v>
      </c>
      <c r="AB107" s="108">
        <v>55</v>
      </c>
      <c r="AC107" s="137">
        <f t="shared" si="29"/>
        <v>1.7403626894942439</v>
      </c>
    </row>
    <row r="108" spans="1:29" x14ac:dyDescent="0.35">
      <c r="A108" s="143">
        <v>38187</v>
      </c>
      <c r="B108" s="106" t="s">
        <v>326</v>
      </c>
      <c r="C108" s="83">
        <f t="shared" si="15"/>
        <v>8</v>
      </c>
      <c r="D108" s="106">
        <v>320000000</v>
      </c>
      <c r="E108" s="83">
        <f t="shared" si="16"/>
        <v>8.5051499783199063</v>
      </c>
      <c r="F108" s="143">
        <v>42794</v>
      </c>
      <c r="G108" s="106">
        <v>1091550000</v>
      </c>
      <c r="H108" s="145">
        <f t="shared" si="17"/>
        <v>12.621917808219179</v>
      </c>
      <c r="I108" s="145">
        <f t="shared" si="24"/>
        <v>1.1011253477962051</v>
      </c>
      <c r="J108" s="106">
        <v>71</v>
      </c>
      <c r="K108" s="106">
        <f t="shared" si="18"/>
        <v>1.8573324964312685</v>
      </c>
      <c r="L108" s="59">
        <v>3.29</v>
      </c>
      <c r="M108" s="59">
        <f t="shared" si="25"/>
        <v>0.51719589794997434</v>
      </c>
      <c r="N108" s="154">
        <f t="shared" si="19"/>
        <v>2.41109375</v>
      </c>
      <c r="O108" s="119">
        <f t="shared" si="20"/>
        <v>0.53289365565722702</v>
      </c>
      <c r="P108" s="106">
        <v>1709.090909090909</v>
      </c>
      <c r="Q108" s="106">
        <f t="shared" si="21"/>
        <v>3.2327651641054547</v>
      </c>
      <c r="R108" s="106">
        <v>8968.5950413223145</v>
      </c>
      <c r="S108" s="106">
        <f t="shared" si="22"/>
        <v>3.9527244147731087</v>
      </c>
      <c r="T108" s="106">
        <v>85</v>
      </c>
      <c r="U108" s="106">
        <f t="shared" si="26"/>
        <v>1.9294189257142926</v>
      </c>
      <c r="V108" s="119">
        <v>32.299999999999997</v>
      </c>
      <c r="W108" s="119">
        <f t="shared" si="27"/>
        <v>1.5092025223311027</v>
      </c>
      <c r="X108" s="120">
        <v>40.040400531970803</v>
      </c>
      <c r="Y108" s="120">
        <f t="shared" si="28"/>
        <v>1.6024984131617945</v>
      </c>
      <c r="Z108" s="152">
        <v>1.1499999999999999</v>
      </c>
      <c r="AA108" s="119">
        <f t="shared" si="23"/>
        <v>0.33243845991560533</v>
      </c>
      <c r="AB108" s="106">
        <v>24</v>
      </c>
      <c r="AC108" s="137">
        <f t="shared" si="29"/>
        <v>1.3802112417116059</v>
      </c>
    </row>
    <row r="109" spans="1:29" x14ac:dyDescent="0.35">
      <c r="A109" s="146">
        <v>37691</v>
      </c>
      <c r="B109" s="108" t="s">
        <v>235</v>
      </c>
      <c r="C109" s="84">
        <f t="shared" si="15"/>
        <v>1</v>
      </c>
      <c r="D109" s="108">
        <v>84660000</v>
      </c>
      <c r="E109" s="84">
        <f t="shared" si="16"/>
        <v>7.9276782641379917</v>
      </c>
      <c r="F109" s="146">
        <v>39198</v>
      </c>
      <c r="G109" s="108">
        <v>153380500</v>
      </c>
      <c r="H109" s="148">
        <f t="shared" si="17"/>
        <v>4.1287671232876715</v>
      </c>
      <c r="I109" s="145">
        <f t="shared" si="24"/>
        <v>0.61582038785815718</v>
      </c>
      <c r="J109" s="108">
        <v>1</v>
      </c>
      <c r="K109" s="108">
        <f t="shared" si="18"/>
        <v>0.3010299956639812</v>
      </c>
      <c r="L109" s="65">
        <v>3.29</v>
      </c>
      <c r="M109" s="59">
        <f t="shared" si="25"/>
        <v>0.51719589794997434</v>
      </c>
      <c r="N109" s="155">
        <f t="shared" si="19"/>
        <v>0.81172336404441303</v>
      </c>
      <c r="O109" s="127">
        <f t="shared" si="20"/>
        <v>0.25809188504009289</v>
      </c>
      <c r="P109" s="108">
        <v>1709.090909090909</v>
      </c>
      <c r="Q109" s="108">
        <f t="shared" si="21"/>
        <v>3.2327651641054547</v>
      </c>
      <c r="R109" s="108">
        <v>8968.5950413223145</v>
      </c>
      <c r="S109" s="108">
        <f t="shared" si="22"/>
        <v>3.9527244147731087</v>
      </c>
      <c r="T109" s="108">
        <v>85</v>
      </c>
      <c r="U109" s="106">
        <f t="shared" si="26"/>
        <v>1.9294189257142926</v>
      </c>
      <c r="V109" s="127">
        <v>31.3</v>
      </c>
      <c r="W109" s="119">
        <f t="shared" si="27"/>
        <v>1.4955443375464486</v>
      </c>
      <c r="X109" s="128">
        <v>38.7850112673514</v>
      </c>
      <c r="Y109" s="120">
        <f t="shared" si="28"/>
        <v>1.5886639219461918</v>
      </c>
      <c r="Z109" s="153">
        <v>0.87</v>
      </c>
      <c r="AA109" s="127">
        <f t="shared" si="23"/>
        <v>0.27184160653649897</v>
      </c>
      <c r="AB109" s="108">
        <v>23</v>
      </c>
      <c r="AC109" s="137">
        <f t="shared" si="29"/>
        <v>1.3617278360175928</v>
      </c>
    </row>
    <row r="110" spans="1:29" x14ac:dyDescent="0.35">
      <c r="A110" s="143">
        <v>36557</v>
      </c>
      <c r="B110" s="106" t="s">
        <v>248</v>
      </c>
      <c r="C110" s="83">
        <f t="shared" si="15"/>
        <v>5</v>
      </c>
      <c r="D110" s="106">
        <v>210500000</v>
      </c>
      <c r="E110" s="83">
        <f t="shared" si="16"/>
        <v>8.3232521001716879</v>
      </c>
      <c r="F110" s="143">
        <v>36703</v>
      </c>
      <c r="G110" s="106">
        <v>67000000</v>
      </c>
      <c r="H110" s="145">
        <f t="shared" si="17"/>
        <v>0.4</v>
      </c>
      <c r="I110" s="145">
        <f t="shared" si="24"/>
        <v>-0.3979400086720376</v>
      </c>
      <c r="J110" s="106">
        <v>18</v>
      </c>
      <c r="K110" s="106">
        <f t="shared" si="18"/>
        <v>1.2787536009528289</v>
      </c>
      <c r="L110" s="59">
        <v>3.29</v>
      </c>
      <c r="M110" s="59">
        <f t="shared" si="25"/>
        <v>0.51719589794997434</v>
      </c>
      <c r="N110" s="154">
        <f t="shared" si="19"/>
        <v>-0.68171021377672214</v>
      </c>
      <c r="O110" s="119">
        <f t="shared" si="20"/>
        <v>-0.49717729747086076</v>
      </c>
      <c r="P110" s="106">
        <v>1709.090909090909</v>
      </c>
      <c r="Q110" s="106">
        <f t="shared" si="21"/>
        <v>3.2327651641054547</v>
      </c>
      <c r="R110" s="106">
        <v>8968.5950413223145</v>
      </c>
      <c r="S110" s="106">
        <f t="shared" si="22"/>
        <v>3.9527244147731087</v>
      </c>
      <c r="T110" s="106">
        <v>85</v>
      </c>
      <c r="U110" s="106">
        <f t="shared" si="26"/>
        <v>1.9294189257142926</v>
      </c>
      <c r="V110" s="119">
        <v>32.9</v>
      </c>
      <c r="W110" s="119">
        <f t="shared" si="27"/>
        <v>1.5171958979499742</v>
      </c>
      <c r="X110" s="120">
        <v>35.433808146393098</v>
      </c>
      <c r="Y110" s="120">
        <f t="shared" si="28"/>
        <v>1.5494178293890581</v>
      </c>
      <c r="Z110" s="152">
        <v>0.03</v>
      </c>
      <c r="AA110" s="119">
        <f t="shared" si="23"/>
        <v>1.2837224705172217E-2</v>
      </c>
      <c r="AB110" s="106">
        <v>20</v>
      </c>
      <c r="AC110" s="137">
        <f t="shared" si="29"/>
        <v>1.3010299956639813</v>
      </c>
    </row>
    <row r="111" spans="1:29" x14ac:dyDescent="0.35">
      <c r="A111" s="146">
        <v>36500</v>
      </c>
      <c r="B111" s="108" t="s">
        <v>235</v>
      </c>
      <c r="C111" s="84">
        <f t="shared" si="15"/>
        <v>1</v>
      </c>
      <c r="D111" s="108">
        <v>194000000</v>
      </c>
      <c r="E111" s="84">
        <f t="shared" si="16"/>
        <v>8.2878017299302265</v>
      </c>
      <c r="F111" s="146">
        <v>37929</v>
      </c>
      <c r="G111" s="108">
        <v>165000000</v>
      </c>
      <c r="H111" s="148">
        <f t="shared" si="17"/>
        <v>3.9150684931506849</v>
      </c>
      <c r="I111" s="145">
        <f t="shared" si="24"/>
        <v>0.59273936433449548</v>
      </c>
      <c r="J111" s="108">
        <v>62</v>
      </c>
      <c r="K111" s="108">
        <f t="shared" si="18"/>
        <v>1.7993405494535817</v>
      </c>
      <c r="L111" s="65">
        <v>3.29</v>
      </c>
      <c r="M111" s="59">
        <f t="shared" si="25"/>
        <v>0.51719589794997434</v>
      </c>
      <c r="N111" s="155">
        <f t="shared" si="19"/>
        <v>-0.14948453608247425</v>
      </c>
      <c r="O111" s="127">
        <f t="shared" si="20"/>
        <v>-7.0317785716319775E-2</v>
      </c>
      <c r="P111" s="108">
        <v>1709.090909090909</v>
      </c>
      <c r="Q111" s="108">
        <f t="shared" si="21"/>
        <v>3.2327651641054547</v>
      </c>
      <c r="R111" s="108">
        <v>8968.5950413223145</v>
      </c>
      <c r="S111" s="108">
        <f t="shared" si="22"/>
        <v>3.9527244147731087</v>
      </c>
      <c r="T111" s="108">
        <v>85</v>
      </c>
      <c r="U111" s="106">
        <f t="shared" si="26"/>
        <v>1.9294189257142926</v>
      </c>
      <c r="V111" s="127">
        <v>32.200000000000003</v>
      </c>
      <c r="W111" s="119">
        <f t="shared" si="27"/>
        <v>1.507855871695831</v>
      </c>
      <c r="X111" s="128">
        <v>35.326012114535303</v>
      </c>
      <c r="Y111" s="120">
        <f t="shared" si="28"/>
        <v>1.548094613534351</v>
      </c>
      <c r="Z111" s="153">
        <v>-0.26</v>
      </c>
      <c r="AA111" s="127">
        <f t="shared" si="23"/>
        <v>-0.13076828026902382</v>
      </c>
      <c r="AB111" s="108">
        <v>19</v>
      </c>
      <c r="AC111" s="137">
        <f t="shared" si="29"/>
        <v>1.2787536009528289</v>
      </c>
    </row>
    <row r="112" spans="1:29" x14ac:dyDescent="0.35">
      <c r="A112" s="143">
        <v>36500</v>
      </c>
      <c r="B112" s="106" t="s">
        <v>235</v>
      </c>
      <c r="C112" s="83">
        <f t="shared" si="15"/>
        <v>1</v>
      </c>
      <c r="D112" s="106">
        <v>194000000</v>
      </c>
      <c r="E112" s="83">
        <f t="shared" si="16"/>
        <v>8.2878017299302265</v>
      </c>
      <c r="F112" s="143">
        <v>37634</v>
      </c>
      <c r="G112" s="106">
        <v>50000000</v>
      </c>
      <c r="H112" s="145">
        <f t="shared" si="17"/>
        <v>3.106849315068493</v>
      </c>
      <c r="I112" s="145">
        <f t="shared" si="24"/>
        <v>0.49232019010041306</v>
      </c>
      <c r="J112" s="106">
        <v>7</v>
      </c>
      <c r="K112" s="106">
        <f t="shared" si="18"/>
        <v>0.90308998699194354</v>
      </c>
      <c r="L112" s="59">
        <v>3.29</v>
      </c>
      <c r="M112" s="59">
        <f t="shared" si="25"/>
        <v>0.51719589794997434</v>
      </c>
      <c r="N112" s="154">
        <f t="shared" si="19"/>
        <v>-0.74226804123711343</v>
      </c>
      <c r="O112" s="119">
        <f t="shared" si="20"/>
        <v>-0.58883172559420727</v>
      </c>
      <c r="P112" s="106">
        <v>1709.090909090909</v>
      </c>
      <c r="Q112" s="106">
        <f t="shared" si="21"/>
        <v>3.2327651641054547</v>
      </c>
      <c r="R112" s="106">
        <v>8968.5950413223145</v>
      </c>
      <c r="S112" s="106">
        <f t="shared" si="22"/>
        <v>3.9527244147731087</v>
      </c>
      <c r="T112" s="106">
        <v>85</v>
      </c>
      <c r="U112" s="106">
        <f t="shared" si="26"/>
        <v>1.9294189257142926</v>
      </c>
      <c r="V112" s="119">
        <v>32.200000000000003</v>
      </c>
      <c r="W112" s="119">
        <f t="shared" si="27"/>
        <v>1.507855871695831</v>
      </c>
      <c r="X112" s="120">
        <v>35.326012114535303</v>
      </c>
      <c r="Y112" s="120">
        <f t="shared" si="28"/>
        <v>1.548094613534351</v>
      </c>
      <c r="Z112" s="152">
        <v>-0.35</v>
      </c>
      <c r="AA112" s="119">
        <f t="shared" si="23"/>
        <v>-0.18708664335714442</v>
      </c>
      <c r="AB112" s="106">
        <v>19</v>
      </c>
      <c r="AC112" s="137">
        <f t="shared" si="29"/>
        <v>1.2787536009528289</v>
      </c>
    </row>
    <row r="113" spans="1:29" x14ac:dyDescent="0.35">
      <c r="A113" s="146">
        <v>36434</v>
      </c>
      <c r="B113" s="108" t="s">
        <v>248</v>
      </c>
      <c r="C113" s="84">
        <f t="shared" si="15"/>
        <v>5</v>
      </c>
      <c r="D113" s="108">
        <v>183000000</v>
      </c>
      <c r="E113" s="84">
        <f t="shared" si="16"/>
        <v>8.2624510897304297</v>
      </c>
      <c r="F113" s="146">
        <v>38114</v>
      </c>
      <c r="G113" s="108">
        <v>245000000</v>
      </c>
      <c r="H113" s="148">
        <f t="shared" si="17"/>
        <v>4.602739726027397</v>
      </c>
      <c r="I113" s="145">
        <f t="shared" si="24"/>
        <v>0.66301641726938809</v>
      </c>
      <c r="J113" s="108">
        <v>113</v>
      </c>
      <c r="K113" s="108">
        <f t="shared" si="18"/>
        <v>2.0569048513364727</v>
      </c>
      <c r="L113" s="65">
        <v>3.29</v>
      </c>
      <c r="M113" s="59">
        <f t="shared" si="25"/>
        <v>0.51719589794997434</v>
      </c>
      <c r="N113" s="155">
        <f t="shared" si="19"/>
        <v>0.33879781420765021</v>
      </c>
      <c r="O113" s="127">
        <f t="shared" si="20"/>
        <v>0.12671499463410296</v>
      </c>
      <c r="P113" s="108">
        <v>1709.090909090909</v>
      </c>
      <c r="Q113" s="108">
        <f t="shared" si="21"/>
        <v>3.2327651641054547</v>
      </c>
      <c r="R113" s="108">
        <v>8968.5950413223145</v>
      </c>
      <c r="S113" s="108">
        <f t="shared" si="22"/>
        <v>3.9527244147731087</v>
      </c>
      <c r="T113" s="108">
        <v>85</v>
      </c>
      <c r="U113" s="106">
        <f t="shared" si="26"/>
        <v>1.9294189257142926</v>
      </c>
      <c r="V113" s="127">
        <v>32.200000000000003</v>
      </c>
      <c r="W113" s="119">
        <f t="shared" si="27"/>
        <v>1.507855871695831</v>
      </c>
      <c r="X113" s="128">
        <v>35.326012114535303</v>
      </c>
      <c r="Y113" s="120">
        <f t="shared" si="28"/>
        <v>1.548094613534351</v>
      </c>
      <c r="Z113" s="153">
        <v>-0.14000000000000001</v>
      </c>
      <c r="AA113" s="127">
        <f t="shared" si="23"/>
        <v>-6.5501548756432285E-2</v>
      </c>
      <c r="AB113" s="108">
        <v>19</v>
      </c>
      <c r="AC113" s="137">
        <f t="shared" si="29"/>
        <v>1.2787536009528289</v>
      </c>
    </row>
    <row r="114" spans="1:29" x14ac:dyDescent="0.35">
      <c r="A114" s="143">
        <v>35853</v>
      </c>
      <c r="B114" s="106" t="s">
        <v>186</v>
      </c>
      <c r="C114" s="83">
        <f t="shared" si="15"/>
        <v>4</v>
      </c>
      <c r="D114" s="106">
        <v>360000000</v>
      </c>
      <c r="E114" s="83">
        <f t="shared" si="16"/>
        <v>8.5563025007672877</v>
      </c>
      <c r="F114" s="143">
        <v>37358</v>
      </c>
      <c r="G114" s="106">
        <v>560000000</v>
      </c>
      <c r="H114" s="145">
        <f t="shared" si="17"/>
        <v>4.1232876712328768</v>
      </c>
      <c r="I114" s="145">
        <f t="shared" si="24"/>
        <v>0.61524363547338745</v>
      </c>
      <c r="J114" s="106">
        <v>0</v>
      </c>
      <c r="K114" s="106">
        <f t="shared" si="18"/>
        <v>0</v>
      </c>
      <c r="L114" s="59">
        <v>3.29</v>
      </c>
      <c r="M114" s="59">
        <f t="shared" si="25"/>
        <v>0.51719589794997434</v>
      </c>
      <c r="N114" s="154">
        <f t="shared" si="19"/>
        <v>0.55555555555555558</v>
      </c>
      <c r="O114" s="119">
        <f t="shared" si="20"/>
        <v>0.19188552623891317</v>
      </c>
      <c r="P114" s="106">
        <v>1709.090909090909</v>
      </c>
      <c r="Q114" s="106">
        <f t="shared" si="21"/>
        <v>3.2327651641054547</v>
      </c>
      <c r="R114" s="106">
        <v>8968.5950413223145</v>
      </c>
      <c r="S114" s="106">
        <f t="shared" si="22"/>
        <v>3.9527244147731087</v>
      </c>
      <c r="T114" s="106">
        <v>85</v>
      </c>
      <c r="U114" s="106">
        <f t="shared" si="26"/>
        <v>1.9294189257142926</v>
      </c>
      <c r="V114" s="119">
        <v>31.5</v>
      </c>
      <c r="W114" s="119">
        <f t="shared" si="27"/>
        <v>1.4983105537896004</v>
      </c>
      <c r="X114" s="120">
        <v>35.516899069648296</v>
      </c>
      <c r="Y114" s="120">
        <f t="shared" si="28"/>
        <v>1.5504350411232082</v>
      </c>
      <c r="Z114" s="152">
        <v>0.06</v>
      </c>
      <c r="AA114" s="119">
        <f t="shared" si="23"/>
        <v>2.5305865264770262E-2</v>
      </c>
      <c r="AB114" s="106">
        <v>18</v>
      </c>
      <c r="AC114" s="137">
        <f t="shared" si="29"/>
        <v>1.255272505103306</v>
      </c>
    </row>
    <row r="115" spans="1:29" x14ac:dyDescent="0.35">
      <c r="A115" s="146">
        <v>35012</v>
      </c>
      <c r="B115" s="108" t="s">
        <v>245</v>
      </c>
      <c r="C115" s="84">
        <f t="shared" si="15"/>
        <v>6</v>
      </c>
      <c r="D115" s="108">
        <v>580000000</v>
      </c>
      <c r="E115" s="84">
        <f t="shared" si="16"/>
        <v>8.7634279935629369</v>
      </c>
      <c r="F115" s="146">
        <v>35480</v>
      </c>
      <c r="G115" s="108">
        <v>490250000</v>
      </c>
      <c r="H115" s="148">
        <f t="shared" si="17"/>
        <v>1.2821917808219179</v>
      </c>
      <c r="I115" s="145">
        <f t="shared" si="24"/>
        <v>0.10795298861764935</v>
      </c>
      <c r="J115" s="108">
        <v>1</v>
      </c>
      <c r="K115" s="108">
        <f t="shared" si="18"/>
        <v>0.3010299956639812</v>
      </c>
      <c r="L115" s="65">
        <v>3.29</v>
      </c>
      <c r="M115" s="59">
        <f t="shared" si="25"/>
        <v>0.51719589794997434</v>
      </c>
      <c r="N115" s="155">
        <f t="shared" si="19"/>
        <v>-0.15474137931034482</v>
      </c>
      <c r="O115" s="127">
        <f t="shared" si="20"/>
        <v>-7.3010391223115631E-2</v>
      </c>
      <c r="P115" s="108">
        <v>1709.090909090909</v>
      </c>
      <c r="Q115" s="108">
        <f t="shared" si="21"/>
        <v>3.2327651641054547</v>
      </c>
      <c r="R115" s="108">
        <v>8968.5950413223145</v>
      </c>
      <c r="S115" s="108">
        <f t="shared" si="22"/>
        <v>3.9527244147731087</v>
      </c>
      <c r="T115" s="108">
        <v>100</v>
      </c>
      <c r="U115" s="106">
        <f t="shared" si="26"/>
        <v>2</v>
      </c>
      <c r="V115" s="127">
        <v>29.5</v>
      </c>
      <c r="W115" s="119">
        <f t="shared" si="27"/>
        <v>1.469822015978163</v>
      </c>
      <c r="X115" s="128">
        <v>38.538703610951003</v>
      </c>
      <c r="Y115" s="120">
        <f t="shared" si="28"/>
        <v>1.5858971014953607</v>
      </c>
      <c r="Z115" s="153">
        <v>0.37</v>
      </c>
      <c r="AA115" s="127">
        <f t="shared" si="23"/>
        <v>0.13672056715640679</v>
      </c>
      <c r="AB115" s="108">
        <v>15</v>
      </c>
      <c r="AC115" s="137">
        <f t="shared" si="29"/>
        <v>1.1760912590556813</v>
      </c>
    </row>
    <row r="116" spans="1:29" x14ac:dyDescent="0.35">
      <c r="A116" s="143">
        <v>33238</v>
      </c>
      <c r="B116" s="106" t="s">
        <v>326</v>
      </c>
      <c r="C116" s="83">
        <f t="shared" si="15"/>
        <v>8</v>
      </c>
      <c r="D116" s="106">
        <v>84500000</v>
      </c>
      <c r="E116" s="83">
        <f t="shared" si="16"/>
        <v>7.9268567089496926</v>
      </c>
      <c r="F116" s="143">
        <v>37049</v>
      </c>
      <c r="G116" s="106">
        <v>148060000</v>
      </c>
      <c r="H116" s="145">
        <f t="shared" si="17"/>
        <v>10.441095890410958</v>
      </c>
      <c r="I116" s="145">
        <f t="shared" si="24"/>
        <v>1.0187460843156924</v>
      </c>
      <c r="J116" s="106">
        <v>24</v>
      </c>
      <c r="K116" s="106">
        <f t="shared" si="18"/>
        <v>1.3979400086720377</v>
      </c>
      <c r="L116" s="59">
        <v>3.29</v>
      </c>
      <c r="M116" s="59">
        <f t="shared" si="25"/>
        <v>0.51719589794997434</v>
      </c>
      <c r="N116" s="154">
        <f t="shared" si="19"/>
        <v>0.75218934911242608</v>
      </c>
      <c r="O116" s="119">
        <f t="shared" si="20"/>
        <v>0.24358103609649076</v>
      </c>
      <c r="P116" s="106">
        <v>1709.090909090909</v>
      </c>
      <c r="Q116" s="106">
        <f t="shared" si="21"/>
        <v>3.2327651641054547</v>
      </c>
      <c r="R116" s="106">
        <v>8968.5950413223145</v>
      </c>
      <c r="S116" s="106">
        <f t="shared" si="22"/>
        <v>3.9527244147731087</v>
      </c>
      <c r="T116" s="106">
        <v>100</v>
      </c>
      <c r="U116" s="106">
        <f t="shared" si="26"/>
        <v>2</v>
      </c>
      <c r="V116" s="119">
        <v>32.9</v>
      </c>
      <c r="W116" s="119">
        <f t="shared" si="27"/>
        <v>1.5171958979499742</v>
      </c>
      <c r="X116" s="120">
        <v>49.329709120205997</v>
      </c>
      <c r="Y116" s="120">
        <f t="shared" si="28"/>
        <v>1.6931085545892062</v>
      </c>
      <c r="Z116" s="152">
        <v>2.87</v>
      </c>
      <c r="AA116" s="119">
        <f t="shared" si="23"/>
        <v>0.5877109650189114</v>
      </c>
      <c r="AB116" s="106">
        <v>10</v>
      </c>
      <c r="AC116" s="137">
        <f t="shared" si="29"/>
        <v>1</v>
      </c>
    </row>
    <row r="117" spans="1:29" x14ac:dyDescent="0.35">
      <c r="A117" s="146">
        <v>40749</v>
      </c>
      <c r="B117" s="108" t="s">
        <v>235</v>
      </c>
      <c r="C117" s="84">
        <f t="shared" si="15"/>
        <v>1</v>
      </c>
      <c r="D117" s="108">
        <v>585000000</v>
      </c>
      <c r="E117" s="84">
        <f t="shared" si="16"/>
        <v>8.7671558660821809</v>
      </c>
      <c r="F117" s="146">
        <v>42216</v>
      </c>
      <c r="G117" s="108">
        <v>1091060000</v>
      </c>
      <c r="H117" s="148">
        <f t="shared" si="17"/>
        <v>4.0191780821917806</v>
      </c>
      <c r="I117" s="145">
        <f t="shared" si="24"/>
        <v>0.60413724938680791</v>
      </c>
      <c r="J117" s="108">
        <v>40</v>
      </c>
      <c r="K117" s="108">
        <f t="shared" si="18"/>
        <v>1.6127838567197355</v>
      </c>
      <c r="L117" s="65">
        <v>3.29</v>
      </c>
      <c r="M117" s="59">
        <f t="shared" si="25"/>
        <v>0.51719589794997434</v>
      </c>
      <c r="N117" s="155">
        <f t="shared" si="19"/>
        <v>0.86505982905982903</v>
      </c>
      <c r="O117" s="127">
        <f t="shared" si="20"/>
        <v>0.27069276805557874</v>
      </c>
      <c r="P117" s="108">
        <v>2144.9704142011828</v>
      </c>
      <c r="Q117" s="108">
        <f t="shared" si="21"/>
        <v>3.3314213062933389</v>
      </c>
      <c r="R117" s="108">
        <v>7670.1183431952677</v>
      </c>
      <c r="S117" s="108">
        <f t="shared" si="22"/>
        <v>3.884802064783424</v>
      </c>
      <c r="T117" s="108">
        <v>94.6</v>
      </c>
      <c r="U117" s="106">
        <f t="shared" si="26"/>
        <v>1.9758911364017928</v>
      </c>
      <c r="V117" s="127">
        <v>33.200000000000003</v>
      </c>
      <c r="W117" s="119">
        <f t="shared" si="27"/>
        <v>1.5211380837040362</v>
      </c>
      <c r="X117" s="128">
        <v>45.921427555082097</v>
      </c>
      <c r="Y117" s="120">
        <f t="shared" si="28"/>
        <v>1.6620153804713207</v>
      </c>
      <c r="Z117" s="153">
        <v>0.56999999999999995</v>
      </c>
      <c r="AA117" s="127">
        <f t="shared" si="23"/>
        <v>0.19589965240923368</v>
      </c>
      <c r="AB117" s="108">
        <v>77</v>
      </c>
      <c r="AC117" s="137">
        <f t="shared" si="29"/>
        <v>1.8864907251724818</v>
      </c>
    </row>
    <row r="118" spans="1:29" x14ac:dyDescent="0.35">
      <c r="A118" s="143">
        <v>38170</v>
      </c>
      <c r="B118" s="106" t="s">
        <v>269</v>
      </c>
      <c r="C118" s="83">
        <f t="shared" si="15"/>
        <v>7</v>
      </c>
      <c r="D118" s="106">
        <v>543660000</v>
      </c>
      <c r="E118" s="83">
        <f t="shared" si="16"/>
        <v>8.7353273807884904</v>
      </c>
      <c r="F118" s="143">
        <v>38964</v>
      </c>
      <c r="G118" s="106">
        <v>460000000</v>
      </c>
      <c r="H118" s="145">
        <f t="shared" si="17"/>
        <v>2.1753424657534248</v>
      </c>
      <c r="I118" s="145">
        <f t="shared" si="24"/>
        <v>0.33752763797062157</v>
      </c>
      <c r="J118" s="106">
        <v>20</v>
      </c>
      <c r="K118" s="106">
        <f t="shared" si="18"/>
        <v>1.3222192947339193</v>
      </c>
      <c r="L118" s="59">
        <v>3.29</v>
      </c>
      <c r="M118" s="59">
        <f t="shared" si="25"/>
        <v>0.51719589794997434</v>
      </c>
      <c r="N118" s="154">
        <f t="shared" si="19"/>
        <v>-0.15388294154434756</v>
      </c>
      <c r="O118" s="119">
        <f t="shared" si="20"/>
        <v>-7.2569549106915751E-2</v>
      </c>
      <c r="P118" s="106">
        <v>2144.9704142011828</v>
      </c>
      <c r="Q118" s="106">
        <f t="shared" si="21"/>
        <v>3.3314213062933389</v>
      </c>
      <c r="R118" s="106">
        <v>7670.1183431952677</v>
      </c>
      <c r="S118" s="106">
        <f t="shared" si="22"/>
        <v>3.884802064783424</v>
      </c>
      <c r="T118" s="106">
        <v>85</v>
      </c>
      <c r="U118" s="106">
        <f t="shared" si="26"/>
        <v>1.9294189257142926</v>
      </c>
      <c r="V118" s="119">
        <v>32.299999999999997</v>
      </c>
      <c r="W118" s="119">
        <f t="shared" si="27"/>
        <v>1.5092025223311027</v>
      </c>
      <c r="X118" s="120">
        <v>40.040400531970803</v>
      </c>
      <c r="Y118" s="120">
        <f t="shared" si="28"/>
        <v>1.6024984131617945</v>
      </c>
      <c r="Z118" s="152">
        <v>0.16</v>
      </c>
      <c r="AA118" s="119">
        <f t="shared" si="23"/>
        <v>6.445798922691845E-2</v>
      </c>
      <c r="AB118" s="106">
        <v>70</v>
      </c>
      <c r="AC118" s="137">
        <f t="shared" si="29"/>
        <v>1.8450980400142569</v>
      </c>
    </row>
    <row r="119" spans="1:29" x14ac:dyDescent="0.35">
      <c r="A119" s="146">
        <v>37516</v>
      </c>
      <c r="B119" s="108" t="s">
        <v>248</v>
      </c>
      <c r="C119" s="84">
        <f t="shared" si="15"/>
        <v>5</v>
      </c>
      <c r="D119" s="108">
        <v>856450000</v>
      </c>
      <c r="E119" s="84">
        <f t="shared" si="16"/>
        <v>8.9327020137020643</v>
      </c>
      <c r="F119" s="146">
        <v>38632</v>
      </c>
      <c r="G119" s="108">
        <v>2180000000</v>
      </c>
      <c r="H119" s="148">
        <f t="shared" si="17"/>
        <v>3.0575342465753423</v>
      </c>
      <c r="I119" s="145">
        <f t="shared" si="24"/>
        <v>0.48537133014508521</v>
      </c>
      <c r="J119" s="108">
        <v>0</v>
      </c>
      <c r="K119" s="108">
        <f t="shared" si="18"/>
        <v>0</v>
      </c>
      <c r="L119" s="65">
        <v>3.29</v>
      </c>
      <c r="M119" s="59">
        <f t="shared" si="25"/>
        <v>0.51719589794997434</v>
      </c>
      <c r="N119" s="155">
        <f t="shared" si="19"/>
        <v>1.5453908576099011</v>
      </c>
      <c r="O119" s="127">
        <f t="shared" si="20"/>
        <v>0.40575447990253999</v>
      </c>
      <c r="P119" s="108">
        <v>2144.9704142011828</v>
      </c>
      <c r="Q119" s="108">
        <f t="shared" si="21"/>
        <v>3.3314213062933389</v>
      </c>
      <c r="R119" s="108">
        <v>7670.1183431952677</v>
      </c>
      <c r="S119" s="108">
        <f t="shared" si="22"/>
        <v>3.884802064783424</v>
      </c>
      <c r="T119" s="108">
        <v>85</v>
      </c>
      <c r="U119" s="106">
        <f t="shared" si="26"/>
        <v>1.9294189257142926</v>
      </c>
      <c r="V119" s="127">
        <v>31.5</v>
      </c>
      <c r="W119" s="119">
        <f t="shared" si="27"/>
        <v>1.4983105537896004</v>
      </c>
      <c r="X119" s="128">
        <v>37.589394702761602</v>
      </c>
      <c r="Y119" s="120">
        <f t="shared" si="28"/>
        <v>1.575065332381355</v>
      </c>
      <c r="Z119" s="153">
        <v>0.37</v>
      </c>
      <c r="AA119" s="127">
        <f t="shared" si="23"/>
        <v>0.13672056715640679</v>
      </c>
      <c r="AB119" s="108">
        <v>68</v>
      </c>
      <c r="AC119" s="137">
        <f t="shared" si="29"/>
        <v>1.8325089127062364</v>
      </c>
    </row>
    <row r="120" spans="1:29" x14ac:dyDescent="0.35">
      <c r="A120" s="143">
        <v>36465</v>
      </c>
      <c r="B120" s="106" t="s">
        <v>326</v>
      </c>
      <c r="C120" s="83">
        <f t="shared" si="15"/>
        <v>8</v>
      </c>
      <c r="D120" s="106">
        <v>505000000</v>
      </c>
      <c r="E120" s="83">
        <f t="shared" si="16"/>
        <v>8.7032913781186618</v>
      </c>
      <c r="F120" s="143">
        <v>39962</v>
      </c>
      <c r="G120" s="106">
        <v>1037920000</v>
      </c>
      <c r="H120" s="145">
        <f t="shared" si="17"/>
        <v>9.580821917808219</v>
      </c>
      <c r="I120" s="145">
        <f t="shared" si="24"/>
        <v>0.98140276785277003</v>
      </c>
      <c r="J120" s="106">
        <v>52</v>
      </c>
      <c r="K120" s="106">
        <f t="shared" si="18"/>
        <v>1.7242758696007889</v>
      </c>
      <c r="L120" s="59">
        <v>3.29</v>
      </c>
      <c r="M120" s="59">
        <f t="shared" si="25"/>
        <v>0.51719589794997434</v>
      </c>
      <c r="N120" s="154">
        <f t="shared" si="19"/>
        <v>1.0552871287128713</v>
      </c>
      <c r="O120" s="119">
        <f t="shared" si="20"/>
        <v>0.3128725024674901</v>
      </c>
      <c r="P120" s="106">
        <v>2144.9704142011828</v>
      </c>
      <c r="Q120" s="106">
        <f t="shared" si="21"/>
        <v>3.3314213062933389</v>
      </c>
      <c r="R120" s="106">
        <v>7670.1183431952677</v>
      </c>
      <c r="S120" s="106">
        <f t="shared" si="22"/>
        <v>3.884802064783424</v>
      </c>
      <c r="T120" s="106">
        <v>85</v>
      </c>
      <c r="U120" s="106">
        <f t="shared" si="26"/>
        <v>1.9294189257142926</v>
      </c>
      <c r="V120" s="119">
        <v>32.200000000000003</v>
      </c>
      <c r="W120" s="119">
        <f t="shared" si="27"/>
        <v>1.507855871695831</v>
      </c>
      <c r="X120" s="120">
        <v>35.326012114535303</v>
      </c>
      <c r="Y120" s="120">
        <f t="shared" si="28"/>
        <v>1.548094613534351</v>
      </c>
      <c r="Z120" s="152">
        <v>-0.32</v>
      </c>
      <c r="AA120" s="119">
        <f t="shared" si="23"/>
        <v>-0.16749108729376372</v>
      </c>
      <c r="AB120" s="106">
        <v>65</v>
      </c>
      <c r="AC120" s="137">
        <f t="shared" si="29"/>
        <v>1.8129133566428555</v>
      </c>
    </row>
    <row r="121" spans="1:29" x14ac:dyDescent="0.35">
      <c r="A121" s="146">
        <v>36087</v>
      </c>
      <c r="B121" s="108" t="s">
        <v>248</v>
      </c>
      <c r="C121" s="84">
        <f t="shared" si="15"/>
        <v>5</v>
      </c>
      <c r="D121" s="108">
        <v>352000000</v>
      </c>
      <c r="E121" s="84">
        <f t="shared" si="16"/>
        <v>8.5465426634781316</v>
      </c>
      <c r="F121" s="146">
        <v>38439</v>
      </c>
      <c r="G121" s="108">
        <v>800000000</v>
      </c>
      <c r="H121" s="148">
        <f t="shared" si="17"/>
        <v>6.4438356164383563</v>
      </c>
      <c r="I121" s="145">
        <f t="shared" si="24"/>
        <v>0.80914445294762616</v>
      </c>
      <c r="J121" s="108">
        <v>72</v>
      </c>
      <c r="K121" s="108">
        <f t="shared" si="18"/>
        <v>1.8633228601204559</v>
      </c>
      <c r="L121" s="65">
        <v>3.29</v>
      </c>
      <c r="M121" s="59">
        <f t="shared" si="25"/>
        <v>0.51719589794997434</v>
      </c>
      <c r="N121" s="155">
        <f t="shared" si="19"/>
        <v>1.2727272727272729</v>
      </c>
      <c r="O121" s="127">
        <f t="shared" si="20"/>
        <v>0.35654732351381263</v>
      </c>
      <c r="P121" s="108">
        <v>2144.9704142011828</v>
      </c>
      <c r="Q121" s="108">
        <f t="shared" si="21"/>
        <v>3.3314213062933389</v>
      </c>
      <c r="R121" s="108">
        <v>7670.1183431952677</v>
      </c>
      <c r="S121" s="108">
        <f t="shared" si="22"/>
        <v>3.884802064783424</v>
      </c>
      <c r="T121" s="108">
        <v>85</v>
      </c>
      <c r="U121" s="106">
        <f t="shared" si="26"/>
        <v>1.9294189257142926</v>
      </c>
      <c r="V121" s="127">
        <v>31.5</v>
      </c>
      <c r="W121" s="119">
        <f t="shared" si="27"/>
        <v>1.4983105537896004</v>
      </c>
      <c r="X121" s="128">
        <v>35.516899069648296</v>
      </c>
      <c r="Y121" s="120">
        <f t="shared" si="28"/>
        <v>1.5504350411232082</v>
      </c>
      <c r="Z121" s="153">
        <v>0.11</v>
      </c>
      <c r="AA121" s="127">
        <f t="shared" si="23"/>
        <v>4.5322978786657475E-2</v>
      </c>
      <c r="AB121" s="108">
        <v>64</v>
      </c>
      <c r="AC121" s="137">
        <f t="shared" si="29"/>
        <v>1.8061799739838871</v>
      </c>
    </row>
    <row r="122" spans="1:29" x14ac:dyDescent="0.35">
      <c r="A122" s="143">
        <v>35381</v>
      </c>
      <c r="B122" s="106" t="s">
        <v>248</v>
      </c>
      <c r="C122" s="83">
        <f t="shared" si="15"/>
        <v>5</v>
      </c>
      <c r="D122" s="106">
        <v>380000000</v>
      </c>
      <c r="E122" s="83">
        <f t="shared" si="16"/>
        <v>8.5797835966168101</v>
      </c>
      <c r="F122" s="143">
        <v>37400</v>
      </c>
      <c r="G122" s="106">
        <v>157647270</v>
      </c>
      <c r="H122" s="145">
        <f t="shared" si="17"/>
        <v>5.5315068493150683</v>
      </c>
      <c r="I122" s="145">
        <f t="shared" si="24"/>
        <v>0.7428434544871646</v>
      </c>
      <c r="J122" s="106">
        <v>0</v>
      </c>
      <c r="K122" s="106">
        <f t="shared" si="18"/>
        <v>0</v>
      </c>
      <c r="L122" s="59">
        <v>3.29</v>
      </c>
      <c r="M122" s="59">
        <f t="shared" si="25"/>
        <v>0.51719589794997434</v>
      </c>
      <c r="N122" s="154">
        <f t="shared" si="19"/>
        <v>-0.58513876315789481</v>
      </c>
      <c r="O122" s="119">
        <f t="shared" si="20"/>
        <v>-0.38209714220653945</v>
      </c>
      <c r="P122" s="106">
        <v>2144.9704142011828</v>
      </c>
      <c r="Q122" s="106">
        <f t="shared" si="21"/>
        <v>3.3314213062933389</v>
      </c>
      <c r="R122" s="106">
        <v>7670.1183431952677</v>
      </c>
      <c r="S122" s="106">
        <f t="shared" si="22"/>
        <v>3.884802064783424</v>
      </c>
      <c r="T122" s="106">
        <v>85</v>
      </c>
      <c r="U122" s="106">
        <f t="shared" si="26"/>
        <v>1.9294189257142926</v>
      </c>
      <c r="V122" s="119">
        <v>29.3</v>
      </c>
      <c r="W122" s="119">
        <f t="shared" si="27"/>
        <v>1.4668676203541096</v>
      </c>
      <c r="X122" s="120">
        <v>36.913126831903199</v>
      </c>
      <c r="Y122" s="120">
        <f t="shared" si="28"/>
        <v>1.5671808349091383</v>
      </c>
      <c r="Z122" s="152">
        <v>0.49</v>
      </c>
      <c r="AA122" s="119">
        <f t="shared" si="23"/>
        <v>0.17318626841227402</v>
      </c>
      <c r="AB122" s="106">
        <v>62</v>
      </c>
      <c r="AC122" s="137">
        <f t="shared" si="29"/>
        <v>1.7923916894982539</v>
      </c>
    </row>
    <row r="123" spans="1:29" x14ac:dyDescent="0.35">
      <c r="A123" s="146">
        <v>39430</v>
      </c>
      <c r="B123" s="108" t="s">
        <v>248</v>
      </c>
      <c r="C123" s="84">
        <f t="shared" si="15"/>
        <v>5</v>
      </c>
      <c r="D123" s="108">
        <v>100000000</v>
      </c>
      <c r="E123" s="84">
        <f t="shared" si="16"/>
        <v>8</v>
      </c>
      <c r="F123" s="146">
        <v>42387</v>
      </c>
      <c r="G123" s="108">
        <v>100000000</v>
      </c>
      <c r="H123" s="148">
        <f t="shared" si="17"/>
        <v>8.1013698630136979</v>
      </c>
      <c r="I123" s="145">
        <f t="shared" si="24"/>
        <v>0.90855846006964291</v>
      </c>
      <c r="J123" s="108">
        <v>1</v>
      </c>
      <c r="K123" s="108">
        <f t="shared" si="18"/>
        <v>0.3010299956639812</v>
      </c>
      <c r="L123" s="65">
        <v>3.29</v>
      </c>
      <c r="M123" s="59">
        <f t="shared" si="25"/>
        <v>0.51719589794997434</v>
      </c>
      <c r="N123" s="155">
        <f t="shared" si="19"/>
        <v>0</v>
      </c>
      <c r="O123" s="127">
        <f t="shared" si="20"/>
        <v>0</v>
      </c>
      <c r="P123" s="108">
        <v>1760.9882217753518</v>
      </c>
      <c r="Q123" s="108">
        <f t="shared" si="21"/>
        <v>3.2457564512341266</v>
      </c>
      <c r="R123" s="108">
        <v>7282.3901177822454</v>
      </c>
      <c r="S123" s="108">
        <f t="shared" si="22"/>
        <v>3.8622739403850663</v>
      </c>
      <c r="T123" s="108">
        <v>91.2</v>
      </c>
      <c r="U123" s="106">
        <f t="shared" si="26"/>
        <v>1.9599948383284163</v>
      </c>
      <c r="V123" s="127">
        <v>33</v>
      </c>
      <c r="W123" s="119">
        <f t="shared" si="27"/>
        <v>1.5185139398778875</v>
      </c>
      <c r="X123" s="128">
        <v>40.902544500539101</v>
      </c>
      <c r="Y123" s="120">
        <f t="shared" si="28"/>
        <v>1.6117503258110162</v>
      </c>
      <c r="Z123" s="153">
        <v>0.28000000000000003</v>
      </c>
      <c r="AA123" s="127">
        <f t="shared" si="23"/>
        <v>0.10720996964786837</v>
      </c>
      <c r="AB123" s="108">
        <v>18</v>
      </c>
      <c r="AC123" s="137">
        <f t="shared" si="29"/>
        <v>1.255272505103306</v>
      </c>
    </row>
    <row r="124" spans="1:29" x14ac:dyDescent="0.35">
      <c r="A124" s="143">
        <v>40260</v>
      </c>
      <c r="B124" s="106" t="s">
        <v>183</v>
      </c>
      <c r="C124" s="83">
        <f t="shared" si="15"/>
        <v>3</v>
      </c>
      <c r="D124" s="106">
        <v>24300000</v>
      </c>
      <c r="E124" s="83">
        <f t="shared" si="16"/>
        <v>7.3856062735983121</v>
      </c>
      <c r="F124" s="143">
        <v>42045</v>
      </c>
      <c r="G124" s="106">
        <v>0</v>
      </c>
      <c r="H124" s="145">
        <f t="shared" si="17"/>
        <v>4.8904109589041092</v>
      </c>
      <c r="I124" s="145">
        <f t="shared" si="24"/>
        <v>0.6893453559917373</v>
      </c>
      <c r="J124" s="106">
        <v>1</v>
      </c>
      <c r="K124" s="106">
        <f t="shared" si="18"/>
        <v>0.3010299956639812</v>
      </c>
      <c r="L124" s="59">
        <v>3.42</v>
      </c>
      <c r="M124" s="59">
        <f t="shared" si="25"/>
        <v>0.53402610605613499</v>
      </c>
      <c r="N124" s="154">
        <f t="shared" si="19"/>
        <v>-1</v>
      </c>
      <c r="O124" s="119">
        <f t="shared" si="20"/>
        <v>-1</v>
      </c>
      <c r="P124" s="106">
        <v>3472</v>
      </c>
      <c r="Q124" s="106">
        <f t="shared" si="21"/>
        <v>3.5405797165044541</v>
      </c>
      <c r="R124" s="106">
        <v>7848</v>
      </c>
      <c r="S124" s="106">
        <f t="shared" si="22"/>
        <v>3.8947589943718919</v>
      </c>
      <c r="T124" s="106">
        <v>88.8</v>
      </c>
      <c r="U124" s="106">
        <f t="shared" si="26"/>
        <v>1.9484129657786009</v>
      </c>
      <c r="V124" s="119">
        <v>41.9</v>
      </c>
      <c r="W124" s="119">
        <f t="shared" si="27"/>
        <v>1.6222140229662954</v>
      </c>
      <c r="X124" s="120">
        <v>44.943689399743</v>
      </c>
      <c r="Y124" s="120">
        <f t="shared" si="28"/>
        <v>1.6526687205126336</v>
      </c>
      <c r="Z124" s="152">
        <v>0.76</v>
      </c>
      <c r="AA124" s="119">
        <f t="shared" si="23"/>
        <v>0.24551266781414982</v>
      </c>
      <c r="AB124" s="106">
        <v>25</v>
      </c>
      <c r="AC124" s="137">
        <f t="shared" si="29"/>
        <v>1.3979400086720377</v>
      </c>
    </row>
    <row r="125" spans="1:29" x14ac:dyDescent="0.35">
      <c r="A125" s="146">
        <v>37788</v>
      </c>
      <c r="B125" s="108" t="s">
        <v>183</v>
      </c>
      <c r="C125" s="84">
        <f t="shared" si="15"/>
        <v>3</v>
      </c>
      <c r="D125" s="108">
        <v>25000000</v>
      </c>
      <c r="E125" s="84">
        <f t="shared" si="16"/>
        <v>7.3979400086720375</v>
      </c>
      <c r="F125" s="146">
        <v>38530</v>
      </c>
      <c r="G125" s="108">
        <v>86054952</v>
      </c>
      <c r="H125" s="148">
        <f t="shared" si="17"/>
        <v>2.032876712328767</v>
      </c>
      <c r="I125" s="145">
        <f t="shared" si="24"/>
        <v>0.30811104082255236</v>
      </c>
      <c r="J125" s="108">
        <v>1</v>
      </c>
      <c r="K125" s="108">
        <f t="shared" si="18"/>
        <v>0.3010299956639812</v>
      </c>
      <c r="L125" s="65">
        <v>3.42</v>
      </c>
      <c r="M125" s="59">
        <f t="shared" si="25"/>
        <v>0.53402610605613499</v>
      </c>
      <c r="N125" s="155">
        <f t="shared" si="19"/>
        <v>2.4421980799999998</v>
      </c>
      <c r="O125" s="127">
        <f t="shared" si="20"/>
        <v>0.53683585802401912</v>
      </c>
      <c r="P125" s="108">
        <v>3472</v>
      </c>
      <c r="Q125" s="108">
        <f t="shared" si="21"/>
        <v>3.5405797165044541</v>
      </c>
      <c r="R125" s="108">
        <v>7848</v>
      </c>
      <c r="S125" s="108">
        <f t="shared" si="22"/>
        <v>3.8947589943718919</v>
      </c>
      <c r="T125" s="108">
        <v>70</v>
      </c>
      <c r="U125" s="106">
        <f t="shared" si="26"/>
        <v>1.8450980400142569</v>
      </c>
      <c r="V125" s="127">
        <v>41.7</v>
      </c>
      <c r="W125" s="119">
        <f t="shared" si="27"/>
        <v>1.6201360549737576</v>
      </c>
      <c r="X125" s="128">
        <v>47.869460173510603</v>
      </c>
      <c r="Y125" s="120">
        <f t="shared" si="28"/>
        <v>1.6800585299472204</v>
      </c>
      <c r="Z125" s="153">
        <v>0.18</v>
      </c>
      <c r="AA125" s="127">
        <f t="shared" si="23"/>
        <v>7.1882007306125359E-2</v>
      </c>
      <c r="AB125" s="108">
        <v>18</v>
      </c>
      <c r="AC125" s="137">
        <f t="shared" si="29"/>
        <v>1.255272505103306</v>
      </c>
    </row>
    <row r="126" spans="1:29" x14ac:dyDescent="0.35">
      <c r="A126" s="143">
        <v>41974</v>
      </c>
      <c r="B126" s="106" t="s">
        <v>245</v>
      </c>
      <c r="C126" s="83">
        <f t="shared" si="15"/>
        <v>6</v>
      </c>
      <c r="D126" s="106">
        <v>243540000</v>
      </c>
      <c r="E126" s="83">
        <f t="shared" si="16"/>
        <v>8.3865703017009299</v>
      </c>
      <c r="F126" s="143">
        <v>43053</v>
      </c>
      <c r="G126" s="106">
        <v>1500000000</v>
      </c>
      <c r="H126" s="145">
        <f t="shared" si="17"/>
        <v>2.956164383561644</v>
      </c>
      <c r="I126" s="145">
        <f t="shared" si="24"/>
        <v>0.47072858022643599</v>
      </c>
      <c r="J126" s="106">
        <v>31</v>
      </c>
      <c r="K126" s="106">
        <f t="shared" si="18"/>
        <v>1.505149978319906</v>
      </c>
      <c r="L126" s="59">
        <v>3.59</v>
      </c>
      <c r="M126" s="59">
        <f t="shared" si="25"/>
        <v>0.55509444857831913</v>
      </c>
      <c r="N126" s="154">
        <f t="shared" si="19"/>
        <v>5.1591525006159156</v>
      </c>
      <c r="O126" s="119">
        <f t="shared" si="20"/>
        <v>0.78952095735475225</v>
      </c>
      <c r="P126" s="106">
        <v>1630.2786555587475</v>
      </c>
      <c r="Q126" s="106">
        <f t="shared" si="21"/>
        <v>3.212261842580872</v>
      </c>
      <c r="R126" s="106">
        <v>8569.3766159149673</v>
      </c>
      <c r="S126" s="106">
        <f t="shared" si="22"/>
        <v>3.9329492300777744</v>
      </c>
      <c r="T126" s="106">
        <v>91.1</v>
      </c>
      <c r="U126" s="106">
        <f t="shared" si="26"/>
        <v>1.9595183769729982</v>
      </c>
      <c r="V126" s="119">
        <v>42.6</v>
      </c>
      <c r="W126" s="119">
        <f t="shared" si="27"/>
        <v>1.6294095991027189</v>
      </c>
      <c r="X126" s="120">
        <v>51.076866471704001</v>
      </c>
      <c r="Y126" s="120">
        <f t="shared" si="28"/>
        <v>1.7082242457606944</v>
      </c>
      <c r="Z126" s="152">
        <v>0.26</v>
      </c>
      <c r="AA126" s="119">
        <f t="shared" si="23"/>
        <v>0.10037054511756291</v>
      </c>
      <c r="AB126" s="106">
        <v>25</v>
      </c>
      <c r="AC126" s="137">
        <f t="shared" si="29"/>
        <v>1.3979400086720377</v>
      </c>
    </row>
    <row r="127" spans="1:29" x14ac:dyDescent="0.35">
      <c r="A127" s="146">
        <v>42317</v>
      </c>
      <c r="B127" s="108" t="s">
        <v>186</v>
      </c>
      <c r="C127" s="84">
        <f t="shared" si="15"/>
        <v>4</v>
      </c>
      <c r="D127" s="108">
        <v>81330000</v>
      </c>
      <c r="E127" s="84">
        <f t="shared" si="16"/>
        <v>7.9102507723001478</v>
      </c>
      <c r="F127" s="146">
        <v>42825</v>
      </c>
      <c r="G127" s="108">
        <v>144210000</v>
      </c>
      <c r="H127" s="148">
        <f t="shared" si="17"/>
        <v>1.3917808219178083</v>
      </c>
      <c r="I127" s="145">
        <f t="shared" si="24"/>
        <v>0.14357084782744456</v>
      </c>
      <c r="J127" s="108">
        <v>7</v>
      </c>
      <c r="K127" s="108">
        <f t="shared" si="18"/>
        <v>0.90308998699194354</v>
      </c>
      <c r="L127" s="65">
        <v>3.42</v>
      </c>
      <c r="M127" s="59">
        <f t="shared" si="25"/>
        <v>0.53402610605613499</v>
      </c>
      <c r="N127" s="155">
        <f t="shared" si="19"/>
        <v>0.77314644042788649</v>
      </c>
      <c r="O127" s="127">
        <f t="shared" si="20"/>
        <v>0.24874460454816136</v>
      </c>
      <c r="P127" s="108">
        <v>1818.3524113342091</v>
      </c>
      <c r="Q127" s="108">
        <f t="shared" si="21"/>
        <v>3.2596780568098533</v>
      </c>
      <c r="R127" s="108">
        <v>10000</v>
      </c>
      <c r="S127" s="108">
        <f t="shared" si="22"/>
        <v>4</v>
      </c>
      <c r="T127" s="108">
        <v>92.1</v>
      </c>
      <c r="U127" s="106">
        <f t="shared" si="26"/>
        <v>1.9642596301968489</v>
      </c>
      <c r="V127" s="127">
        <v>38.4</v>
      </c>
      <c r="W127" s="119">
        <f t="shared" si="27"/>
        <v>1.5843312243675307</v>
      </c>
      <c r="X127" s="128">
        <v>48.799820147807203</v>
      </c>
      <c r="Y127" s="120">
        <f t="shared" si="28"/>
        <v>1.688418221409292</v>
      </c>
      <c r="Z127" s="153">
        <v>0.14000000000000001</v>
      </c>
      <c r="AA127" s="127">
        <f t="shared" si="23"/>
        <v>5.6904851336472641E-2</v>
      </c>
      <c r="AB127" s="108">
        <v>24</v>
      </c>
      <c r="AC127" s="137">
        <f t="shared" si="29"/>
        <v>1.3802112417116059</v>
      </c>
    </row>
    <row r="128" spans="1:29" x14ac:dyDescent="0.35">
      <c r="A128" s="143">
        <v>41781</v>
      </c>
      <c r="B128" s="106" t="s">
        <v>245</v>
      </c>
      <c r="C128" s="83">
        <f t="shared" si="15"/>
        <v>6</v>
      </c>
      <c r="D128" s="106">
        <v>143000000</v>
      </c>
      <c r="E128" s="83">
        <f t="shared" si="16"/>
        <v>8.1553360374650623</v>
      </c>
      <c r="F128" s="143">
        <v>42765</v>
      </c>
      <c r="G128" s="106">
        <v>340000000</v>
      </c>
      <c r="H128" s="145">
        <f t="shared" si="17"/>
        <v>2.6958904109589041</v>
      </c>
      <c r="I128" s="145">
        <f t="shared" si="24"/>
        <v>0.43070223397486684</v>
      </c>
      <c r="J128" s="106">
        <v>39</v>
      </c>
      <c r="K128" s="106">
        <f t="shared" si="18"/>
        <v>1.6020599913279623</v>
      </c>
      <c r="L128" s="59">
        <v>3.29</v>
      </c>
      <c r="M128" s="59">
        <f t="shared" si="25"/>
        <v>0.51719589794997434</v>
      </c>
      <c r="N128" s="154">
        <f t="shared" si="19"/>
        <v>1.3776223776223775</v>
      </c>
      <c r="O128" s="119">
        <f t="shared" si="20"/>
        <v>0.37614287957719328</v>
      </c>
      <c r="P128" s="106">
        <v>2058.8235294117644</v>
      </c>
      <c r="Q128" s="106">
        <f t="shared" si="21"/>
        <v>3.3136191229720016</v>
      </c>
      <c r="R128" s="106">
        <v>10000</v>
      </c>
      <c r="S128" s="106">
        <f t="shared" si="22"/>
        <v>4</v>
      </c>
      <c r="T128" s="106">
        <v>92</v>
      </c>
      <c r="U128" s="106">
        <f t="shared" si="26"/>
        <v>1.9637878273455553</v>
      </c>
      <c r="V128" s="119">
        <v>31.8</v>
      </c>
      <c r="W128" s="119">
        <f t="shared" si="27"/>
        <v>1.5024271199844328</v>
      </c>
      <c r="X128" s="120">
        <v>43.012424801889097</v>
      </c>
      <c r="Y128" s="120">
        <f t="shared" si="28"/>
        <v>1.6335939263577708</v>
      </c>
      <c r="Z128" s="152">
        <v>0.21</v>
      </c>
      <c r="AA128" s="119">
        <f t="shared" si="23"/>
        <v>8.2785370316450071E-2</v>
      </c>
      <c r="AB128" s="106">
        <v>17</v>
      </c>
      <c r="AC128" s="137">
        <f t="shared" si="29"/>
        <v>1.2304489213782739</v>
      </c>
    </row>
    <row r="129" spans="1:29" x14ac:dyDescent="0.35">
      <c r="A129" s="146">
        <v>41939</v>
      </c>
      <c r="B129" s="108" t="s">
        <v>248</v>
      </c>
      <c r="C129" s="84">
        <f t="shared" si="15"/>
        <v>5</v>
      </c>
      <c r="D129" s="108">
        <v>100000000</v>
      </c>
      <c r="E129" s="84">
        <f t="shared" si="16"/>
        <v>8</v>
      </c>
      <c r="F129" s="146">
        <v>43255</v>
      </c>
      <c r="G129" s="108">
        <v>200000000</v>
      </c>
      <c r="H129" s="148">
        <f t="shared" si="17"/>
        <v>3.6054794520547944</v>
      </c>
      <c r="I129" s="145">
        <f t="shared" si="24"/>
        <v>0.55696302482146198</v>
      </c>
      <c r="J129" s="108">
        <v>20</v>
      </c>
      <c r="K129" s="108">
        <f t="shared" si="18"/>
        <v>1.3222192947339193</v>
      </c>
      <c r="L129" s="65">
        <v>3.29</v>
      </c>
      <c r="M129" s="59">
        <f t="shared" si="25"/>
        <v>0.51719589794997434</v>
      </c>
      <c r="N129" s="155">
        <f t="shared" si="19"/>
        <v>1</v>
      </c>
      <c r="O129" s="127">
        <f t="shared" si="20"/>
        <v>0.3010299956639812</v>
      </c>
      <c r="P129" s="108">
        <v>2094.0408163265306</v>
      </c>
      <c r="Q129" s="108">
        <f t="shared" si="21"/>
        <v>3.3209851425446502</v>
      </c>
      <c r="R129" s="108">
        <v>9886.3673469387759</v>
      </c>
      <c r="S129" s="108">
        <f t="shared" si="22"/>
        <v>3.9950367434689285</v>
      </c>
      <c r="T129" s="108">
        <v>92</v>
      </c>
      <c r="U129" s="106">
        <f t="shared" si="26"/>
        <v>1.9637878273455553</v>
      </c>
      <c r="V129" s="127">
        <v>31.8</v>
      </c>
      <c r="W129" s="119">
        <f t="shared" si="27"/>
        <v>1.5024271199844328</v>
      </c>
      <c r="X129" s="128">
        <v>43.012424801889097</v>
      </c>
      <c r="Y129" s="120">
        <f t="shared" si="28"/>
        <v>1.6335939263577708</v>
      </c>
      <c r="Z129" s="153">
        <v>0.4</v>
      </c>
      <c r="AA129" s="127">
        <f t="shared" si="23"/>
        <v>0.14612803567823801</v>
      </c>
      <c r="AB129" s="108">
        <v>3</v>
      </c>
      <c r="AC129" s="137">
        <f t="shared" si="29"/>
        <v>0.47712125471966244</v>
      </c>
    </row>
    <row r="130" spans="1:29" x14ac:dyDescent="0.35">
      <c r="A130" s="143">
        <v>41530</v>
      </c>
      <c r="B130" s="106" t="s">
        <v>269</v>
      </c>
      <c r="C130" s="83">
        <f t="shared" ref="C130:C193" si="30">IF(B130="Consumer Discretionary",5,IF(B130="Industrials",1,IF(B130="Energy",3,IF(B130="Health Care",2,IF(B130="Communications",4,IF(B130="Financials",6,IF(B130="Consumer Staples",7,IF(B130="Materials",8,IF(B130="Technology",9,IF(B130="Utilities",10,""))))))))))</f>
        <v>7</v>
      </c>
      <c r="D130" s="106">
        <v>75720000</v>
      </c>
      <c r="E130" s="83">
        <f t="shared" ref="E130:E193" si="31">LOG(D130)</f>
        <v>7.8792106052917594</v>
      </c>
      <c r="F130" s="143">
        <v>42872</v>
      </c>
      <c r="G130" s="106">
        <v>20000000</v>
      </c>
      <c r="H130" s="145">
        <f t="shared" ref="H130:H193" si="32">YEARFRAC(A130,F130,3)</f>
        <v>3.6767123287671235</v>
      </c>
      <c r="I130" s="145">
        <f t="shared" si="24"/>
        <v>0.56545965137649856</v>
      </c>
      <c r="J130" s="106">
        <v>127</v>
      </c>
      <c r="K130" s="106">
        <f t="shared" ref="K130:K193" si="33">LOG(1+J130)</f>
        <v>2.1072099696478683</v>
      </c>
      <c r="L130" s="59">
        <v>3.29</v>
      </c>
      <c r="M130" s="59">
        <f t="shared" si="25"/>
        <v>0.51719589794997434</v>
      </c>
      <c r="N130" s="154">
        <f t="shared" ref="N130:N193" si="34">(G130/D130)-1</f>
        <v>-0.73586899101954573</v>
      </c>
      <c r="O130" s="119">
        <f t="shared" ref="O130:O193" si="35">IF(N130=-1,LOG(0.1),LOG(1+N130))</f>
        <v>-0.57818060962777795</v>
      </c>
      <c r="P130" s="106">
        <v>2094.0408163265306</v>
      </c>
      <c r="Q130" s="106">
        <f t="shared" ref="Q130:Q193" si="36">LOG(P130)</f>
        <v>3.3209851425446502</v>
      </c>
      <c r="R130" s="106">
        <v>9886.3673469387759</v>
      </c>
      <c r="S130" s="106">
        <f t="shared" ref="S130:S193" si="37">LOG(R130)</f>
        <v>3.9950367434689285</v>
      </c>
      <c r="T130" s="106">
        <v>94.1</v>
      </c>
      <c r="U130" s="106">
        <f t="shared" si="26"/>
        <v>1.973589623427257</v>
      </c>
      <c r="V130" s="119">
        <v>32.200000000000003</v>
      </c>
      <c r="W130" s="119">
        <f t="shared" si="27"/>
        <v>1.507855871695831</v>
      </c>
      <c r="X130" s="120">
        <v>43.9397801796012</v>
      </c>
      <c r="Y130" s="120">
        <f t="shared" si="28"/>
        <v>1.6428578799166489</v>
      </c>
      <c r="Z130" s="152">
        <v>0.4</v>
      </c>
      <c r="AA130" s="119">
        <f t="shared" ref="AA130:AA193" si="38">LOG(1+Z130)</f>
        <v>0.14612803567823801</v>
      </c>
      <c r="AB130" s="106">
        <v>2</v>
      </c>
      <c r="AC130" s="137">
        <f t="shared" si="29"/>
        <v>0.3010299956639812</v>
      </c>
    </row>
    <row r="131" spans="1:29" x14ac:dyDescent="0.35">
      <c r="A131" s="146">
        <v>40652</v>
      </c>
      <c r="B131" s="108" t="s">
        <v>186</v>
      </c>
      <c r="C131" s="84">
        <f t="shared" si="30"/>
        <v>4</v>
      </c>
      <c r="D131" s="108">
        <v>119000000</v>
      </c>
      <c r="E131" s="84">
        <f t="shared" si="31"/>
        <v>8.075546961392531</v>
      </c>
      <c r="F131" s="146">
        <v>42262</v>
      </c>
      <c r="G131" s="108">
        <v>259000000</v>
      </c>
      <c r="H131" s="148">
        <f t="shared" si="32"/>
        <v>4.4109589041095889</v>
      </c>
      <c r="I131" s="145">
        <f t="shared" ref="I131:I194" si="39">LOG(H131)</f>
        <v>0.64453301157537501</v>
      </c>
      <c r="J131" s="108">
        <v>21</v>
      </c>
      <c r="K131" s="108">
        <f t="shared" si="33"/>
        <v>1.3424226808222062</v>
      </c>
      <c r="L131" s="65">
        <v>3.29</v>
      </c>
      <c r="M131" s="59">
        <f t="shared" ref="M131:M194" si="40">LOG(L131)</f>
        <v>0.51719589794997434</v>
      </c>
      <c r="N131" s="155">
        <f t="shared" si="34"/>
        <v>1.1764705882352939</v>
      </c>
      <c r="O131" s="127">
        <f t="shared" si="35"/>
        <v>0.33775280268872104</v>
      </c>
      <c r="P131" s="108">
        <v>2094.0408163265306</v>
      </c>
      <c r="Q131" s="108">
        <f t="shared" si="36"/>
        <v>3.3209851425446502</v>
      </c>
      <c r="R131" s="108">
        <v>9886.3673469387759</v>
      </c>
      <c r="S131" s="108">
        <f t="shared" si="37"/>
        <v>3.9950367434689285</v>
      </c>
      <c r="T131" s="108">
        <v>94.6</v>
      </c>
      <c r="U131" s="106">
        <f t="shared" ref="U131:U194" si="41">LOG(T131)</f>
        <v>1.9758911364017928</v>
      </c>
      <c r="V131" s="127">
        <v>33.200000000000003</v>
      </c>
      <c r="W131" s="119">
        <f t="shared" ref="W131:W194" si="42">LOG(V131)</f>
        <v>1.5211380837040362</v>
      </c>
      <c r="X131" s="128">
        <v>45.921427555082097</v>
      </c>
      <c r="Y131" s="120">
        <f t="shared" ref="Y131:Y194" si="43">LOG(X131)</f>
        <v>1.6620153804713207</v>
      </c>
      <c r="Z131" s="153">
        <v>0.51</v>
      </c>
      <c r="AA131" s="127">
        <f t="shared" si="38"/>
        <v>0.17897694729316943</v>
      </c>
      <c r="AB131" s="108">
        <v>0</v>
      </c>
      <c r="AC131" s="137">
        <f t="shared" ref="AC131:AC194" si="44">IF(AB131=0,0,LOG(AB131))</f>
        <v>0</v>
      </c>
    </row>
    <row r="132" spans="1:29" x14ac:dyDescent="0.35">
      <c r="A132" s="143">
        <v>41474</v>
      </c>
      <c r="B132" s="106" t="s">
        <v>186</v>
      </c>
      <c r="C132" s="83">
        <f t="shared" si="30"/>
        <v>4</v>
      </c>
      <c r="D132" s="106">
        <v>438000000</v>
      </c>
      <c r="E132" s="83">
        <f t="shared" si="31"/>
        <v>8.6414741105040989</v>
      </c>
      <c r="F132" s="143">
        <v>42828</v>
      </c>
      <c r="G132" s="106">
        <v>1437033602</v>
      </c>
      <c r="H132" s="145">
        <f t="shared" si="32"/>
        <v>3.7095890410958905</v>
      </c>
      <c r="I132" s="145">
        <f t="shared" si="39"/>
        <v>0.56932579989265086</v>
      </c>
      <c r="J132" s="106">
        <v>16</v>
      </c>
      <c r="K132" s="106">
        <f t="shared" si="33"/>
        <v>1.2304489213782739</v>
      </c>
      <c r="L132" s="59">
        <v>3.29</v>
      </c>
      <c r="M132" s="59">
        <f t="shared" si="40"/>
        <v>0.51719589794997434</v>
      </c>
      <c r="N132" s="154">
        <f t="shared" si="34"/>
        <v>2.2808986347031963</v>
      </c>
      <c r="O132" s="119">
        <f t="shared" si="35"/>
        <v>0.51599281280936371</v>
      </c>
      <c r="P132" s="106">
        <v>1519.5854290504496</v>
      </c>
      <c r="Q132" s="106">
        <f t="shared" si="36"/>
        <v>3.1817251205543564</v>
      </c>
      <c r="R132" s="106">
        <v>8383.6305441243712</v>
      </c>
      <c r="S132" s="106">
        <f t="shared" si="37"/>
        <v>3.9234321312589846</v>
      </c>
      <c r="T132" s="106">
        <v>94.1</v>
      </c>
      <c r="U132" s="106">
        <f t="shared" si="41"/>
        <v>1.973589623427257</v>
      </c>
      <c r="V132" s="119">
        <v>32.200000000000003</v>
      </c>
      <c r="W132" s="119">
        <f t="shared" si="42"/>
        <v>1.507855871695831</v>
      </c>
      <c r="X132" s="120">
        <v>43.9397801796012</v>
      </c>
      <c r="Y132" s="120">
        <f t="shared" si="43"/>
        <v>1.6428578799166489</v>
      </c>
      <c r="Z132" s="152">
        <v>0.39</v>
      </c>
      <c r="AA132" s="119">
        <f t="shared" si="38"/>
        <v>0.14301480025409513</v>
      </c>
      <c r="AB132" s="106">
        <v>36</v>
      </c>
      <c r="AC132" s="137">
        <f t="shared" si="44"/>
        <v>1.5563025007672873</v>
      </c>
    </row>
    <row r="133" spans="1:29" x14ac:dyDescent="0.35">
      <c r="A133" s="146">
        <v>41686</v>
      </c>
      <c r="B133" s="108" t="s">
        <v>178</v>
      </c>
      <c r="C133" s="84">
        <f t="shared" si="30"/>
        <v>9</v>
      </c>
      <c r="D133" s="108">
        <v>400000000</v>
      </c>
      <c r="E133" s="84">
        <f t="shared" si="31"/>
        <v>8.6020599913279625</v>
      </c>
      <c r="F133" s="146">
        <v>43270</v>
      </c>
      <c r="G133" s="108">
        <v>1000000000</v>
      </c>
      <c r="H133" s="148">
        <f t="shared" si="32"/>
        <v>4.3397260273972602</v>
      </c>
      <c r="I133" s="145">
        <f t="shared" si="39"/>
        <v>0.63746231279699994</v>
      </c>
      <c r="J133" s="108">
        <v>14</v>
      </c>
      <c r="K133" s="108">
        <f t="shared" si="33"/>
        <v>1.1760912590556813</v>
      </c>
      <c r="L133" s="65">
        <v>3.29</v>
      </c>
      <c r="M133" s="59">
        <f t="shared" si="40"/>
        <v>0.51719589794997434</v>
      </c>
      <c r="N133" s="155">
        <f t="shared" si="34"/>
        <v>1.5</v>
      </c>
      <c r="O133" s="127">
        <f t="shared" si="35"/>
        <v>0.3979400086720376</v>
      </c>
      <c r="P133" s="108">
        <v>1447.5557664926437</v>
      </c>
      <c r="Q133" s="108">
        <f t="shared" si="36"/>
        <v>3.1606353037386858</v>
      </c>
      <c r="R133" s="108">
        <v>9478.5929515126791</v>
      </c>
      <c r="S133" s="108">
        <f t="shared" si="37"/>
        <v>3.9767438733352263</v>
      </c>
      <c r="T133" s="108">
        <v>92</v>
      </c>
      <c r="U133" s="106">
        <f t="shared" si="41"/>
        <v>1.9637878273455553</v>
      </c>
      <c r="V133" s="127">
        <v>31.8</v>
      </c>
      <c r="W133" s="119">
        <f t="shared" si="42"/>
        <v>1.5024271199844328</v>
      </c>
      <c r="X133" s="128">
        <v>43.012424801889097</v>
      </c>
      <c r="Y133" s="120">
        <f t="shared" si="43"/>
        <v>1.6335939263577708</v>
      </c>
      <c r="Z133" s="153">
        <v>0.5</v>
      </c>
      <c r="AA133" s="127">
        <f t="shared" si="38"/>
        <v>0.17609125905568124</v>
      </c>
      <c r="AB133" s="108">
        <v>34</v>
      </c>
      <c r="AC133" s="137">
        <f t="shared" si="44"/>
        <v>1.5314789170422551</v>
      </c>
    </row>
    <row r="134" spans="1:29" x14ac:dyDescent="0.35">
      <c r="A134" s="143">
        <v>41214</v>
      </c>
      <c r="B134" s="106" t="s">
        <v>245</v>
      </c>
      <c r="C134" s="83">
        <f t="shared" si="30"/>
        <v>6</v>
      </c>
      <c r="D134" s="106">
        <v>867807686</v>
      </c>
      <c r="E134" s="83">
        <f t="shared" si="31"/>
        <v>8.9384234922700383</v>
      </c>
      <c r="F134" s="143">
        <v>42017</v>
      </c>
      <c r="G134" s="106">
        <v>462000000</v>
      </c>
      <c r="H134" s="145">
        <f t="shared" si="32"/>
        <v>2.2000000000000002</v>
      </c>
      <c r="I134" s="145">
        <f t="shared" si="39"/>
        <v>0.34242268082220628</v>
      </c>
      <c r="J134" s="106">
        <v>26</v>
      </c>
      <c r="K134" s="106">
        <f t="shared" si="33"/>
        <v>1.4313637641589874</v>
      </c>
      <c r="L134" s="59">
        <v>3.29</v>
      </c>
      <c r="M134" s="59">
        <f t="shared" si="40"/>
        <v>0.51719589794997434</v>
      </c>
      <c r="N134" s="154">
        <f t="shared" si="34"/>
        <v>-0.46762398230245683</v>
      </c>
      <c r="O134" s="119">
        <f t="shared" si="35"/>
        <v>-0.27378151671391243</v>
      </c>
      <c r="P134" s="106">
        <v>1447.5557664926437</v>
      </c>
      <c r="Q134" s="106">
        <f t="shared" si="36"/>
        <v>3.1606353037386858</v>
      </c>
      <c r="R134" s="106">
        <v>9478.5929515126791</v>
      </c>
      <c r="S134" s="106">
        <f t="shared" si="37"/>
        <v>3.9767438733352263</v>
      </c>
      <c r="T134" s="106">
        <v>94.7</v>
      </c>
      <c r="U134" s="106">
        <f t="shared" si="41"/>
        <v>1.9763499790032735</v>
      </c>
      <c r="V134" s="119">
        <v>32.4</v>
      </c>
      <c r="W134" s="119">
        <f t="shared" si="42"/>
        <v>1.510545010206612</v>
      </c>
      <c r="X134" s="120">
        <v>45.737088331856903</v>
      </c>
      <c r="Y134" s="120">
        <f t="shared" si="43"/>
        <v>1.6602685135357675</v>
      </c>
      <c r="Z134" s="152">
        <v>0.42</v>
      </c>
      <c r="AA134" s="119">
        <f t="shared" si="38"/>
        <v>0.15228834438305647</v>
      </c>
      <c r="AB134" s="106">
        <v>32</v>
      </c>
      <c r="AC134" s="137">
        <f t="shared" si="44"/>
        <v>1.505149978319906</v>
      </c>
    </row>
    <row r="135" spans="1:29" x14ac:dyDescent="0.35">
      <c r="A135" s="146">
        <v>41996</v>
      </c>
      <c r="B135" s="108" t="s">
        <v>248</v>
      </c>
      <c r="C135" s="84">
        <f t="shared" si="30"/>
        <v>5</v>
      </c>
      <c r="D135" s="108">
        <v>130000000</v>
      </c>
      <c r="E135" s="84">
        <f t="shared" si="31"/>
        <v>8.1139433523068369</v>
      </c>
      <c r="F135" s="146">
        <v>43083</v>
      </c>
      <c r="G135" s="108">
        <v>250000000</v>
      </c>
      <c r="H135" s="148">
        <f t="shared" si="32"/>
        <v>2.978082191780822</v>
      </c>
      <c r="I135" s="145">
        <f t="shared" si="39"/>
        <v>0.47393667962981983</v>
      </c>
      <c r="J135" s="108">
        <v>30</v>
      </c>
      <c r="K135" s="108">
        <f t="shared" si="33"/>
        <v>1.4913616938342726</v>
      </c>
      <c r="L135" s="65">
        <v>3.29</v>
      </c>
      <c r="M135" s="59">
        <f t="shared" si="40"/>
        <v>0.51719589794997434</v>
      </c>
      <c r="N135" s="155">
        <f t="shared" si="34"/>
        <v>0.92307692307692313</v>
      </c>
      <c r="O135" s="127">
        <f t="shared" si="35"/>
        <v>0.28399665636520083</v>
      </c>
      <c r="P135" s="108">
        <v>3072.916666666667</v>
      </c>
      <c r="Q135" s="108">
        <f t="shared" si="36"/>
        <v>3.4875507829385946</v>
      </c>
      <c r="R135" s="108">
        <v>10000</v>
      </c>
      <c r="S135" s="108">
        <f t="shared" si="37"/>
        <v>4</v>
      </c>
      <c r="T135" s="108">
        <v>92</v>
      </c>
      <c r="U135" s="106">
        <f t="shared" si="41"/>
        <v>1.9637878273455553</v>
      </c>
      <c r="V135" s="127">
        <v>31.8</v>
      </c>
      <c r="W135" s="119">
        <f t="shared" si="42"/>
        <v>1.5024271199844328</v>
      </c>
      <c r="X135" s="128">
        <v>43.012424801889097</v>
      </c>
      <c r="Y135" s="120">
        <f t="shared" si="43"/>
        <v>1.6335939263577708</v>
      </c>
      <c r="Z135" s="153">
        <v>0.27</v>
      </c>
      <c r="AA135" s="127">
        <f t="shared" si="38"/>
        <v>0.10380372095595687</v>
      </c>
      <c r="AB135" s="108">
        <v>13</v>
      </c>
      <c r="AC135" s="137">
        <f t="shared" si="44"/>
        <v>1.1139433523068367</v>
      </c>
    </row>
    <row r="136" spans="1:29" x14ac:dyDescent="0.35">
      <c r="A136" s="143">
        <v>41516</v>
      </c>
      <c r="B136" s="106" t="s">
        <v>245</v>
      </c>
      <c r="C136" s="83">
        <f t="shared" si="30"/>
        <v>6</v>
      </c>
      <c r="D136" s="106">
        <v>33000000</v>
      </c>
      <c r="E136" s="83">
        <f t="shared" si="31"/>
        <v>7.5185139398778871</v>
      </c>
      <c r="F136" s="143">
        <v>42954</v>
      </c>
      <c r="G136" s="106">
        <v>208000000</v>
      </c>
      <c r="H136" s="145">
        <f t="shared" si="32"/>
        <v>3.9397260273972603</v>
      </c>
      <c r="I136" s="145">
        <f t="shared" si="39"/>
        <v>0.59546602159038908</v>
      </c>
      <c r="J136" s="106">
        <v>23</v>
      </c>
      <c r="K136" s="106">
        <f t="shared" si="33"/>
        <v>1.3802112417116059</v>
      </c>
      <c r="L136" s="59">
        <v>3.29</v>
      </c>
      <c r="M136" s="59">
        <f t="shared" si="40"/>
        <v>0.51719589794997434</v>
      </c>
      <c r="N136" s="154">
        <f t="shared" si="34"/>
        <v>5.3030303030303028</v>
      </c>
      <c r="O136" s="119">
        <f t="shared" si="35"/>
        <v>0.7995493950848741</v>
      </c>
      <c r="P136" s="106">
        <v>3072.916666666667</v>
      </c>
      <c r="Q136" s="106">
        <f t="shared" si="36"/>
        <v>3.4875507829385946</v>
      </c>
      <c r="R136" s="106">
        <v>10000</v>
      </c>
      <c r="S136" s="106">
        <f t="shared" si="37"/>
        <v>4</v>
      </c>
      <c r="T136" s="106">
        <v>94.1</v>
      </c>
      <c r="U136" s="106">
        <f t="shared" si="41"/>
        <v>1.973589623427257</v>
      </c>
      <c r="V136" s="119">
        <v>32.200000000000003</v>
      </c>
      <c r="W136" s="119">
        <f t="shared" si="42"/>
        <v>1.507855871695831</v>
      </c>
      <c r="X136" s="120">
        <v>43.9397801796012</v>
      </c>
      <c r="Y136" s="120">
        <f t="shared" si="43"/>
        <v>1.6428578799166489</v>
      </c>
      <c r="Z136" s="152">
        <v>0.52</v>
      </c>
      <c r="AA136" s="119">
        <f t="shared" si="38"/>
        <v>0.18184358794477254</v>
      </c>
      <c r="AB136" s="106">
        <v>12</v>
      </c>
      <c r="AC136" s="137">
        <f t="shared" si="44"/>
        <v>1.0791812460476249</v>
      </c>
    </row>
    <row r="137" spans="1:29" x14ac:dyDescent="0.35">
      <c r="A137" s="146">
        <v>41815</v>
      </c>
      <c r="B137" s="108" t="s">
        <v>248</v>
      </c>
      <c r="C137" s="84">
        <f t="shared" si="30"/>
        <v>5</v>
      </c>
      <c r="D137" s="108">
        <v>80000000</v>
      </c>
      <c r="E137" s="84">
        <f t="shared" si="31"/>
        <v>7.9030899869919438</v>
      </c>
      <c r="F137" s="146">
        <v>42949</v>
      </c>
      <c r="G137" s="108">
        <v>205770000</v>
      </c>
      <c r="H137" s="148">
        <f t="shared" si="32"/>
        <v>3.106849315068493</v>
      </c>
      <c r="I137" s="145">
        <f t="shared" si="39"/>
        <v>0.49232019010041306</v>
      </c>
      <c r="J137" s="108">
        <v>39</v>
      </c>
      <c r="K137" s="108">
        <f t="shared" si="33"/>
        <v>1.6020599913279623</v>
      </c>
      <c r="L137" s="65">
        <v>3.29</v>
      </c>
      <c r="M137" s="59">
        <f t="shared" si="40"/>
        <v>0.51719589794997434</v>
      </c>
      <c r="N137" s="155">
        <f t="shared" si="34"/>
        <v>1.5721250000000002</v>
      </c>
      <c r="O137" s="127">
        <f t="shared" si="35"/>
        <v>0.41029207058620576</v>
      </c>
      <c r="P137" s="108">
        <v>2482.4229313142241</v>
      </c>
      <c r="Q137" s="108">
        <f t="shared" si="36"/>
        <v>3.3948757743780882</v>
      </c>
      <c r="R137" s="108">
        <v>9113.0340724716079</v>
      </c>
      <c r="S137" s="108">
        <f t="shared" si="37"/>
        <v>3.9596629940481844</v>
      </c>
      <c r="T137" s="108">
        <v>92</v>
      </c>
      <c r="U137" s="106">
        <f t="shared" si="41"/>
        <v>1.9637878273455553</v>
      </c>
      <c r="V137" s="127">
        <v>31.8</v>
      </c>
      <c r="W137" s="119">
        <f t="shared" si="42"/>
        <v>1.5024271199844328</v>
      </c>
      <c r="X137" s="128">
        <v>43.012424801889097</v>
      </c>
      <c r="Y137" s="120">
        <f t="shared" si="43"/>
        <v>1.6335939263577708</v>
      </c>
      <c r="Z137" s="153">
        <v>0.26</v>
      </c>
      <c r="AA137" s="127">
        <f t="shared" si="38"/>
        <v>0.10037054511756291</v>
      </c>
      <c r="AB137" s="108">
        <v>8</v>
      </c>
      <c r="AC137" s="137">
        <f t="shared" si="44"/>
        <v>0.90308998699194354</v>
      </c>
    </row>
    <row r="138" spans="1:29" x14ac:dyDescent="0.35">
      <c r="A138" s="143">
        <v>41183</v>
      </c>
      <c r="B138" s="106" t="s">
        <v>190</v>
      </c>
      <c r="C138" s="83">
        <f t="shared" si="30"/>
        <v>2</v>
      </c>
      <c r="D138" s="106">
        <v>1394200000</v>
      </c>
      <c r="E138" s="83">
        <f t="shared" si="31"/>
        <v>9.1443250784004881</v>
      </c>
      <c r="F138" s="143">
        <v>42275</v>
      </c>
      <c r="G138" s="106">
        <v>8090000000</v>
      </c>
      <c r="H138" s="145">
        <f t="shared" si="32"/>
        <v>2.9917808219178084</v>
      </c>
      <c r="I138" s="145">
        <f t="shared" si="39"/>
        <v>0.47592977391224373</v>
      </c>
      <c r="J138" s="106">
        <v>34</v>
      </c>
      <c r="K138" s="106">
        <f t="shared" si="33"/>
        <v>1.5440680443502757</v>
      </c>
      <c r="L138" s="59">
        <v>2.95</v>
      </c>
      <c r="M138" s="59">
        <f t="shared" si="40"/>
        <v>0.46982201597816303</v>
      </c>
      <c r="N138" s="154">
        <f t="shared" si="34"/>
        <v>4.8026108162387029</v>
      </c>
      <c r="O138" s="119">
        <f t="shared" si="35"/>
        <v>0.76362344321178399</v>
      </c>
      <c r="P138" s="106">
        <v>1455.046</v>
      </c>
      <c r="Q138" s="106">
        <f t="shared" si="36"/>
        <v>3.1628767233771686</v>
      </c>
      <c r="R138" s="106">
        <v>4062.5129999999999</v>
      </c>
      <c r="S138" s="106">
        <f t="shared" si="37"/>
        <v>3.6087947637270492</v>
      </c>
      <c r="T138" s="106">
        <v>91.1</v>
      </c>
      <c r="U138" s="106">
        <f t="shared" si="41"/>
        <v>1.9595183769729982</v>
      </c>
      <c r="V138" s="119">
        <v>24.1</v>
      </c>
      <c r="W138" s="119">
        <f t="shared" si="42"/>
        <v>1.3820170425748683</v>
      </c>
      <c r="X138" s="120">
        <v>40.229046020662899</v>
      </c>
      <c r="Y138" s="120">
        <f t="shared" si="43"/>
        <v>1.6045397339663818</v>
      </c>
      <c r="Z138" s="152">
        <v>0.3</v>
      </c>
      <c r="AA138" s="119">
        <f t="shared" si="38"/>
        <v>0.11394335230683679</v>
      </c>
      <c r="AB138" s="106">
        <v>20</v>
      </c>
      <c r="AC138" s="137">
        <f t="shared" si="44"/>
        <v>1.3010299956639813</v>
      </c>
    </row>
    <row r="139" spans="1:29" x14ac:dyDescent="0.35">
      <c r="A139" s="146">
        <v>42147</v>
      </c>
      <c r="B139" s="108" t="s">
        <v>248</v>
      </c>
      <c r="C139" s="84">
        <f t="shared" si="30"/>
        <v>5</v>
      </c>
      <c r="D139" s="108">
        <v>400000000</v>
      </c>
      <c r="E139" s="84">
        <f t="shared" si="31"/>
        <v>8.6020599913279625</v>
      </c>
      <c r="F139" s="146">
        <v>42802</v>
      </c>
      <c r="G139" s="108">
        <v>162900000</v>
      </c>
      <c r="H139" s="148">
        <f t="shared" si="32"/>
        <v>1.7945205479452055</v>
      </c>
      <c r="I139" s="145">
        <f t="shared" si="39"/>
        <v>0.25394843553530838</v>
      </c>
      <c r="J139" s="108">
        <v>56</v>
      </c>
      <c r="K139" s="108">
        <f t="shared" si="33"/>
        <v>1.7558748556724915</v>
      </c>
      <c r="L139" s="65">
        <v>2.95</v>
      </c>
      <c r="M139" s="59">
        <f t="shared" si="40"/>
        <v>0.46982201597816303</v>
      </c>
      <c r="N139" s="155">
        <f t="shared" si="34"/>
        <v>-0.59275</v>
      </c>
      <c r="O139" s="127">
        <f t="shared" si="35"/>
        <v>-0.39013890701945303</v>
      </c>
      <c r="P139" s="108">
        <v>1636.7346938775511</v>
      </c>
      <c r="Q139" s="108">
        <f t="shared" si="36"/>
        <v>3.21397828825565</v>
      </c>
      <c r="R139" s="108">
        <v>5016.3265306122448</v>
      </c>
      <c r="S139" s="108">
        <f t="shared" si="37"/>
        <v>3.7003857985219217</v>
      </c>
      <c r="T139" s="108">
        <v>88.8</v>
      </c>
      <c r="U139" s="106">
        <f t="shared" si="41"/>
        <v>1.9484129657786009</v>
      </c>
      <c r="V139" s="127">
        <v>26.2</v>
      </c>
      <c r="W139" s="119">
        <f t="shared" si="42"/>
        <v>1.4183012913197455</v>
      </c>
      <c r="X139" s="128">
        <v>37.927180176051799</v>
      </c>
      <c r="Y139" s="120">
        <f t="shared" si="43"/>
        <v>1.578950554817099</v>
      </c>
      <c r="Z139" s="153">
        <v>0.11</v>
      </c>
      <c r="AA139" s="127">
        <f t="shared" si="38"/>
        <v>4.5322978786657475E-2</v>
      </c>
      <c r="AB139" s="108">
        <v>10</v>
      </c>
      <c r="AC139" s="137">
        <f t="shared" si="44"/>
        <v>1</v>
      </c>
    </row>
    <row r="140" spans="1:29" x14ac:dyDescent="0.35">
      <c r="A140" s="143">
        <v>41834</v>
      </c>
      <c r="B140" s="106" t="s">
        <v>178</v>
      </c>
      <c r="C140" s="83">
        <f t="shared" si="30"/>
        <v>9</v>
      </c>
      <c r="D140" s="106">
        <v>310000000</v>
      </c>
      <c r="E140" s="83">
        <f t="shared" si="31"/>
        <v>8.4913616938342731</v>
      </c>
      <c r="F140" s="143">
        <v>43367</v>
      </c>
      <c r="G140" s="106">
        <v>740000000</v>
      </c>
      <c r="H140" s="145">
        <f t="shared" si="32"/>
        <v>4.2</v>
      </c>
      <c r="I140" s="145">
        <f t="shared" si="39"/>
        <v>0.62324929039790045</v>
      </c>
      <c r="J140" s="106">
        <v>16</v>
      </c>
      <c r="K140" s="106">
        <f t="shared" si="33"/>
        <v>1.2304489213782739</v>
      </c>
      <c r="L140" s="59">
        <v>2.95</v>
      </c>
      <c r="M140" s="59">
        <f t="shared" si="40"/>
        <v>0.46982201597816303</v>
      </c>
      <c r="N140" s="154">
        <f t="shared" si="34"/>
        <v>1.3870967741935485</v>
      </c>
      <c r="O140" s="119">
        <f t="shared" si="35"/>
        <v>0.37787002589670354</v>
      </c>
      <c r="P140" s="106">
        <v>3287.5739644970417</v>
      </c>
      <c r="Q140" s="106">
        <f t="shared" si="36"/>
        <v>3.5168755324519045</v>
      </c>
      <c r="R140" s="106">
        <v>6440.2366863905318</v>
      </c>
      <c r="S140" s="106">
        <f t="shared" si="37"/>
        <v>3.8089018284940463</v>
      </c>
      <c r="T140" s="106">
        <v>89.2</v>
      </c>
      <c r="U140" s="106">
        <f t="shared" si="41"/>
        <v>1.9503648543761232</v>
      </c>
      <c r="V140" s="119">
        <v>26</v>
      </c>
      <c r="W140" s="119">
        <f t="shared" si="42"/>
        <v>1.414973347970818</v>
      </c>
      <c r="X140" s="120">
        <v>38.344872802923099</v>
      </c>
      <c r="Y140" s="120">
        <f t="shared" si="43"/>
        <v>1.5837073014724459</v>
      </c>
      <c r="Z140" s="152">
        <v>0.48</v>
      </c>
      <c r="AA140" s="119">
        <f t="shared" si="38"/>
        <v>0.17026171539495738</v>
      </c>
      <c r="AB140" s="106">
        <v>15</v>
      </c>
      <c r="AC140" s="137">
        <f t="shared" si="44"/>
        <v>1.1760912590556813</v>
      </c>
    </row>
    <row r="141" spans="1:29" x14ac:dyDescent="0.35">
      <c r="A141" s="146">
        <v>41708</v>
      </c>
      <c r="B141" s="108" t="s">
        <v>178</v>
      </c>
      <c r="C141" s="84">
        <f t="shared" si="30"/>
        <v>9</v>
      </c>
      <c r="D141" s="108">
        <v>90000000</v>
      </c>
      <c r="E141" s="84">
        <f t="shared" si="31"/>
        <v>7.9542425094393252</v>
      </c>
      <c r="F141" s="146">
        <v>42492</v>
      </c>
      <c r="G141" s="108">
        <v>540000000</v>
      </c>
      <c r="H141" s="148">
        <f t="shared" si="32"/>
        <v>2.1479452054794521</v>
      </c>
      <c r="I141" s="145">
        <f t="shared" si="39"/>
        <v>0.33202319822796372</v>
      </c>
      <c r="J141" s="108">
        <v>34</v>
      </c>
      <c r="K141" s="108">
        <f t="shared" si="33"/>
        <v>1.5440680443502757</v>
      </c>
      <c r="L141" s="65">
        <v>2.95</v>
      </c>
      <c r="M141" s="59">
        <f t="shared" si="40"/>
        <v>0.46982201597816303</v>
      </c>
      <c r="N141" s="155">
        <f t="shared" si="34"/>
        <v>5</v>
      </c>
      <c r="O141" s="127">
        <f t="shared" si="35"/>
        <v>0.77815125038364363</v>
      </c>
      <c r="P141" s="108">
        <v>2799.9999999999995</v>
      </c>
      <c r="Q141" s="108">
        <f t="shared" si="36"/>
        <v>3.447158031342219</v>
      </c>
      <c r="R141" s="108">
        <v>8432.6530612244896</v>
      </c>
      <c r="S141" s="108">
        <f t="shared" si="37"/>
        <v>3.9259642328190694</v>
      </c>
      <c r="T141" s="108">
        <v>89.2</v>
      </c>
      <c r="U141" s="106">
        <f t="shared" si="41"/>
        <v>1.9503648543761232</v>
      </c>
      <c r="V141" s="127">
        <v>26</v>
      </c>
      <c r="W141" s="119">
        <f t="shared" si="42"/>
        <v>1.414973347970818</v>
      </c>
      <c r="X141" s="128">
        <v>38.344872802923099</v>
      </c>
      <c r="Y141" s="120">
        <f t="shared" si="43"/>
        <v>1.5837073014724459</v>
      </c>
      <c r="Z141" s="153">
        <v>0.11</v>
      </c>
      <c r="AA141" s="127">
        <f t="shared" si="38"/>
        <v>4.5322978786657475E-2</v>
      </c>
      <c r="AB141" s="108">
        <v>7</v>
      </c>
      <c r="AC141" s="137">
        <f t="shared" si="44"/>
        <v>0.84509804001425681</v>
      </c>
    </row>
    <row r="142" spans="1:29" x14ac:dyDescent="0.35">
      <c r="A142" s="143">
        <v>41060</v>
      </c>
      <c r="B142" s="106" t="s">
        <v>178</v>
      </c>
      <c r="C142" s="83">
        <f t="shared" si="30"/>
        <v>9</v>
      </c>
      <c r="D142" s="106">
        <v>675000000</v>
      </c>
      <c r="E142" s="83">
        <f t="shared" si="31"/>
        <v>8.8293037728310253</v>
      </c>
      <c r="F142" s="143">
        <v>42711</v>
      </c>
      <c r="G142" s="106">
        <v>2000000000</v>
      </c>
      <c r="H142" s="145">
        <f t="shared" si="32"/>
        <v>4.5232876712328771</v>
      </c>
      <c r="I142" s="145">
        <f t="shared" si="39"/>
        <v>0.65545420880631899</v>
      </c>
      <c r="J142" s="106">
        <v>45</v>
      </c>
      <c r="K142" s="106">
        <f t="shared" si="33"/>
        <v>1.6627578316815741</v>
      </c>
      <c r="L142" s="59">
        <v>2.95</v>
      </c>
      <c r="M142" s="59">
        <f t="shared" si="40"/>
        <v>0.46982201597816303</v>
      </c>
      <c r="N142" s="154">
        <f t="shared" si="34"/>
        <v>1.9629629629629628</v>
      </c>
      <c r="O142" s="119">
        <f t="shared" si="35"/>
        <v>0.47172622283295623</v>
      </c>
      <c r="P142" s="106">
        <v>1447.5557664926437</v>
      </c>
      <c r="Q142" s="106">
        <f t="shared" si="36"/>
        <v>3.1606353037386858</v>
      </c>
      <c r="R142" s="106">
        <v>9478.5929515126791</v>
      </c>
      <c r="S142" s="106">
        <f t="shared" si="37"/>
        <v>3.9767438733352263</v>
      </c>
      <c r="T142" s="106">
        <v>91.1</v>
      </c>
      <c r="U142" s="106">
        <f t="shared" si="41"/>
        <v>1.9595183769729982</v>
      </c>
      <c r="V142" s="119">
        <v>24.1</v>
      </c>
      <c r="W142" s="119">
        <f t="shared" si="42"/>
        <v>1.3820170425748683</v>
      </c>
      <c r="X142" s="120">
        <v>40.229046020662899</v>
      </c>
      <c r="Y142" s="120">
        <f t="shared" si="43"/>
        <v>1.6045397339663818</v>
      </c>
      <c r="Z142" s="152">
        <v>0.71</v>
      </c>
      <c r="AA142" s="119">
        <f t="shared" si="38"/>
        <v>0.23299611039215382</v>
      </c>
      <c r="AB142" s="106">
        <v>32</v>
      </c>
      <c r="AC142" s="137">
        <f t="shared" si="44"/>
        <v>1.505149978319906</v>
      </c>
    </row>
    <row r="143" spans="1:29" x14ac:dyDescent="0.35">
      <c r="A143" s="146">
        <v>41492</v>
      </c>
      <c r="B143" s="108" t="s">
        <v>190</v>
      </c>
      <c r="C143" s="84">
        <f t="shared" si="30"/>
        <v>2</v>
      </c>
      <c r="D143" s="108">
        <v>200000000</v>
      </c>
      <c r="E143" s="84">
        <f t="shared" si="31"/>
        <v>8.3010299956639813</v>
      </c>
      <c r="F143" s="146">
        <v>42383</v>
      </c>
      <c r="G143" s="108">
        <v>539700000</v>
      </c>
      <c r="H143" s="148">
        <f t="shared" si="32"/>
        <v>2.441095890410959</v>
      </c>
      <c r="I143" s="145">
        <f t="shared" si="39"/>
        <v>0.38758483958040008</v>
      </c>
      <c r="J143" s="108">
        <v>0</v>
      </c>
      <c r="K143" s="108">
        <f t="shared" si="33"/>
        <v>0</v>
      </c>
      <c r="L143" s="65">
        <v>2.95</v>
      </c>
      <c r="M143" s="59">
        <f t="shared" si="40"/>
        <v>0.46982201597816303</v>
      </c>
      <c r="N143" s="155">
        <f t="shared" si="34"/>
        <v>1.6985000000000001</v>
      </c>
      <c r="O143" s="127">
        <f t="shared" si="35"/>
        <v>0.43112242240123261</v>
      </c>
      <c r="P143" s="108">
        <v>1447.5557664926437</v>
      </c>
      <c r="Q143" s="108">
        <f t="shared" si="36"/>
        <v>3.1606353037386858</v>
      </c>
      <c r="R143" s="108">
        <v>9478.5929515126791</v>
      </c>
      <c r="S143" s="108">
        <f t="shared" si="37"/>
        <v>3.9767438733352263</v>
      </c>
      <c r="T143" s="108">
        <v>90.5</v>
      </c>
      <c r="U143" s="106">
        <f t="shared" si="41"/>
        <v>1.9566485792052033</v>
      </c>
      <c r="V143" s="127">
        <v>25.7</v>
      </c>
      <c r="W143" s="119">
        <f t="shared" si="42"/>
        <v>1.4099331233312946</v>
      </c>
      <c r="X143" s="128">
        <v>39.010023979360902</v>
      </c>
      <c r="Y143" s="120">
        <f t="shared" si="43"/>
        <v>1.5911762172715689</v>
      </c>
      <c r="Z143" s="153">
        <v>0.13</v>
      </c>
      <c r="AA143" s="127">
        <f t="shared" si="38"/>
        <v>5.3078443483419682E-2</v>
      </c>
      <c r="AB143" s="108">
        <v>33</v>
      </c>
      <c r="AC143" s="137">
        <f t="shared" si="44"/>
        <v>1.5185139398778875</v>
      </c>
    </row>
    <row r="144" spans="1:29" x14ac:dyDescent="0.35">
      <c r="A144" s="143">
        <v>41095</v>
      </c>
      <c r="B144" s="106" t="s">
        <v>178</v>
      </c>
      <c r="C144" s="83">
        <f t="shared" si="30"/>
        <v>9</v>
      </c>
      <c r="D144" s="106">
        <v>375550000</v>
      </c>
      <c r="E144" s="83">
        <f t="shared" si="31"/>
        <v>8.5746677663162263</v>
      </c>
      <c r="F144" s="143">
        <v>42493</v>
      </c>
      <c r="G144" s="106">
        <v>1800000000</v>
      </c>
      <c r="H144" s="145">
        <f t="shared" si="32"/>
        <v>3.8301369863013699</v>
      </c>
      <c r="I144" s="145">
        <f t="shared" si="39"/>
        <v>0.58321430695318788</v>
      </c>
      <c r="J144" s="106">
        <v>40</v>
      </c>
      <c r="K144" s="106">
        <f t="shared" si="33"/>
        <v>1.6127838567197355</v>
      </c>
      <c r="L144" s="59">
        <v>2.95</v>
      </c>
      <c r="M144" s="59">
        <f t="shared" si="40"/>
        <v>0.46982201597816303</v>
      </c>
      <c r="N144" s="154">
        <f t="shared" si="34"/>
        <v>3.7929703102116896</v>
      </c>
      <c r="O144" s="119">
        <f t="shared" si="35"/>
        <v>0.68060473878707939</v>
      </c>
      <c r="P144" s="106">
        <v>1423.0371900826444</v>
      </c>
      <c r="Q144" s="106">
        <f t="shared" si="36"/>
        <v>3.1532162502154288</v>
      </c>
      <c r="R144" s="106">
        <v>3292.8719008264461</v>
      </c>
      <c r="S144" s="106">
        <f t="shared" si="37"/>
        <v>3.5175748361336181</v>
      </c>
      <c r="T144" s="106">
        <v>91.1</v>
      </c>
      <c r="U144" s="106">
        <f t="shared" si="41"/>
        <v>1.9595183769729982</v>
      </c>
      <c r="V144" s="119">
        <v>24.1</v>
      </c>
      <c r="W144" s="119">
        <f t="shared" si="42"/>
        <v>1.3820170425748683</v>
      </c>
      <c r="X144" s="120">
        <v>40.229046020662899</v>
      </c>
      <c r="Y144" s="120">
        <f t="shared" si="43"/>
        <v>1.6045397339663818</v>
      </c>
      <c r="Z144" s="152">
        <v>0.51</v>
      </c>
      <c r="AA144" s="119">
        <f t="shared" si="38"/>
        <v>0.17897694729316943</v>
      </c>
      <c r="AB144" s="106">
        <v>24</v>
      </c>
      <c r="AC144" s="137">
        <f t="shared" si="44"/>
        <v>1.3802112417116059</v>
      </c>
    </row>
    <row r="145" spans="1:29" x14ac:dyDescent="0.35">
      <c r="A145" s="146">
        <v>41520</v>
      </c>
      <c r="B145" s="108" t="s">
        <v>245</v>
      </c>
      <c r="C145" s="84">
        <f t="shared" si="30"/>
        <v>6</v>
      </c>
      <c r="D145" s="108">
        <v>412500000</v>
      </c>
      <c r="E145" s="84">
        <f t="shared" si="31"/>
        <v>8.6154239528859442</v>
      </c>
      <c r="F145" s="146">
        <v>42674</v>
      </c>
      <c r="G145" s="108">
        <v>780000000</v>
      </c>
      <c r="H145" s="148">
        <f t="shared" si="32"/>
        <v>3.1616438356164385</v>
      </c>
      <c r="I145" s="145">
        <f t="shared" si="39"/>
        <v>0.49991294436323791</v>
      </c>
      <c r="J145" s="108">
        <v>5</v>
      </c>
      <c r="K145" s="108">
        <f t="shared" si="33"/>
        <v>0.77815125038364363</v>
      </c>
      <c r="L145" s="65">
        <v>2.95</v>
      </c>
      <c r="M145" s="59">
        <f t="shared" si="40"/>
        <v>0.46982201597816303</v>
      </c>
      <c r="N145" s="155">
        <f t="shared" si="34"/>
        <v>0.89090909090909087</v>
      </c>
      <c r="O145" s="127">
        <f t="shared" si="35"/>
        <v>0.27667064980453648</v>
      </c>
      <c r="P145" s="108">
        <v>1423.0371900826444</v>
      </c>
      <c r="Q145" s="108">
        <f t="shared" si="36"/>
        <v>3.1532162502154288</v>
      </c>
      <c r="R145" s="108">
        <v>3292.8719008264461</v>
      </c>
      <c r="S145" s="108">
        <f t="shared" si="37"/>
        <v>3.5175748361336181</v>
      </c>
      <c r="T145" s="108">
        <v>90.5</v>
      </c>
      <c r="U145" s="106">
        <f t="shared" si="41"/>
        <v>1.9566485792052033</v>
      </c>
      <c r="V145" s="127">
        <v>25.7</v>
      </c>
      <c r="W145" s="119">
        <f t="shared" si="42"/>
        <v>1.4099331233312946</v>
      </c>
      <c r="X145" s="128">
        <v>39.010023979360902</v>
      </c>
      <c r="Y145" s="120">
        <f t="shared" si="43"/>
        <v>1.5911762172715689</v>
      </c>
      <c r="Z145" s="153">
        <v>0.3</v>
      </c>
      <c r="AA145" s="127">
        <f t="shared" si="38"/>
        <v>0.11394335230683679</v>
      </c>
      <c r="AB145" s="108">
        <v>25</v>
      </c>
      <c r="AC145" s="137">
        <f t="shared" si="44"/>
        <v>1.3979400086720377</v>
      </c>
    </row>
    <row r="146" spans="1:29" x14ac:dyDescent="0.35">
      <c r="A146" s="143">
        <v>41816</v>
      </c>
      <c r="B146" s="106" t="s">
        <v>813</v>
      </c>
      <c r="C146" s="83" t="str">
        <f t="shared" si="30"/>
        <v/>
      </c>
      <c r="D146" s="106">
        <v>90000000</v>
      </c>
      <c r="E146" s="83">
        <f t="shared" si="31"/>
        <v>7.9542425094393252</v>
      </c>
      <c r="F146" s="143">
        <v>43224</v>
      </c>
      <c r="G146" s="106">
        <v>0</v>
      </c>
      <c r="H146" s="145">
        <f t="shared" si="32"/>
        <v>3.8575342465753426</v>
      </c>
      <c r="I146" s="145">
        <f t="shared" si="39"/>
        <v>0.58630979034961872</v>
      </c>
      <c r="J146" s="106">
        <v>38</v>
      </c>
      <c r="K146" s="106">
        <f t="shared" si="33"/>
        <v>1.5910646070264991</v>
      </c>
      <c r="L146" s="59">
        <v>3.29</v>
      </c>
      <c r="M146" s="59">
        <f t="shared" si="40"/>
        <v>0.51719589794997434</v>
      </c>
      <c r="N146" s="154">
        <f t="shared" si="34"/>
        <v>-1</v>
      </c>
      <c r="O146" s="119">
        <f t="shared" si="35"/>
        <v>-1</v>
      </c>
      <c r="P146" s="106">
        <v>1851.8518518518517</v>
      </c>
      <c r="Q146" s="106">
        <f t="shared" si="36"/>
        <v>3.2676062401770314</v>
      </c>
      <c r="R146" s="106">
        <v>9216.4064891337621</v>
      </c>
      <c r="S146" s="106">
        <f t="shared" si="37"/>
        <v>3.9645616210373218</v>
      </c>
      <c r="T146" s="106">
        <v>92</v>
      </c>
      <c r="U146" s="106">
        <f t="shared" si="41"/>
        <v>1.9637878273455553</v>
      </c>
      <c r="V146" s="119">
        <v>31.8</v>
      </c>
      <c r="W146" s="119">
        <f t="shared" si="42"/>
        <v>1.5024271199844328</v>
      </c>
      <c r="X146" s="120">
        <v>43.012424801889097</v>
      </c>
      <c r="Y146" s="120">
        <f t="shared" si="43"/>
        <v>1.6335939263577708</v>
      </c>
      <c r="Z146" s="152">
        <v>0.36</v>
      </c>
      <c r="AA146" s="119">
        <f t="shared" si="38"/>
        <v>0.13353890837021748</v>
      </c>
      <c r="AB146" s="106">
        <v>28</v>
      </c>
      <c r="AC146" s="137">
        <f t="shared" si="44"/>
        <v>1.4471580313422192</v>
      </c>
    </row>
    <row r="147" spans="1:29" x14ac:dyDescent="0.35">
      <c r="A147" s="146">
        <v>41786</v>
      </c>
      <c r="B147" s="108" t="s">
        <v>235</v>
      </c>
      <c r="C147" s="84">
        <f t="shared" si="30"/>
        <v>1</v>
      </c>
      <c r="D147" s="108">
        <v>170000000</v>
      </c>
      <c r="E147" s="84">
        <f t="shared" si="31"/>
        <v>8.2304489213782741</v>
      </c>
      <c r="F147" s="146">
        <v>43265</v>
      </c>
      <c r="G147" s="108">
        <v>402000000</v>
      </c>
      <c r="H147" s="148">
        <f t="shared" si="32"/>
        <v>4.0520547945205481</v>
      </c>
      <c r="I147" s="145">
        <f t="shared" si="39"/>
        <v>0.60767530954041771</v>
      </c>
      <c r="J147" s="108">
        <v>85</v>
      </c>
      <c r="K147" s="108">
        <f t="shared" si="33"/>
        <v>1.9344984512435677</v>
      </c>
      <c r="L147" s="65">
        <v>3.28</v>
      </c>
      <c r="M147" s="59">
        <f t="shared" si="40"/>
        <v>0.5158738437116791</v>
      </c>
      <c r="N147" s="155">
        <f t="shared" si="34"/>
        <v>1.3647058823529412</v>
      </c>
      <c r="O147" s="127">
        <f t="shared" si="35"/>
        <v>0.37377713170619614</v>
      </c>
      <c r="P147" s="108">
        <v>2908.1632653061233</v>
      </c>
      <c r="Q147" s="108">
        <f t="shared" si="36"/>
        <v>3.4636187843160156</v>
      </c>
      <c r="R147" s="108">
        <v>9311.2244897959172</v>
      </c>
      <c r="S147" s="108">
        <f t="shared" si="37"/>
        <v>3.9690067974360175</v>
      </c>
      <c r="T147" s="108">
        <v>89.7</v>
      </c>
      <c r="U147" s="106">
        <f t="shared" si="41"/>
        <v>1.9527924430440922</v>
      </c>
      <c r="V147" s="127">
        <v>37</v>
      </c>
      <c r="W147" s="119">
        <f t="shared" si="42"/>
        <v>1.568201724066995</v>
      </c>
      <c r="X147" s="128">
        <v>45.741556971826803</v>
      </c>
      <c r="Y147" s="120">
        <f t="shared" si="43"/>
        <v>1.660310943234538</v>
      </c>
      <c r="Z147" s="153">
        <v>0.46</v>
      </c>
      <c r="AA147" s="127">
        <f t="shared" si="38"/>
        <v>0.16435285578443709</v>
      </c>
      <c r="AB147" s="108">
        <v>15</v>
      </c>
      <c r="AC147" s="137">
        <f t="shared" si="44"/>
        <v>1.1760912590556813</v>
      </c>
    </row>
    <row r="148" spans="1:29" x14ac:dyDescent="0.35">
      <c r="A148" s="143">
        <v>39882</v>
      </c>
      <c r="B148" s="106" t="s">
        <v>183</v>
      </c>
      <c r="C148" s="83">
        <f t="shared" si="30"/>
        <v>3</v>
      </c>
      <c r="D148" s="106">
        <v>36000000</v>
      </c>
      <c r="E148" s="83">
        <f t="shared" si="31"/>
        <v>7.5563025007672868</v>
      </c>
      <c r="F148" s="143">
        <v>42171</v>
      </c>
      <c r="G148" s="106">
        <v>15000000</v>
      </c>
      <c r="H148" s="145">
        <f t="shared" si="32"/>
        <v>6.2712328767123289</v>
      </c>
      <c r="I148" s="145">
        <f t="shared" si="39"/>
        <v>0.79735292821806825</v>
      </c>
      <c r="J148" s="106">
        <v>3</v>
      </c>
      <c r="K148" s="106">
        <f t="shared" si="33"/>
        <v>0.6020599913279624</v>
      </c>
      <c r="L148" s="59">
        <v>3.28</v>
      </c>
      <c r="M148" s="59">
        <f t="shared" si="40"/>
        <v>0.5158738437116791</v>
      </c>
      <c r="N148" s="154">
        <f t="shared" si="34"/>
        <v>-0.58333333333333326</v>
      </c>
      <c r="O148" s="119">
        <f t="shared" si="35"/>
        <v>-0.38021124171160592</v>
      </c>
      <c r="P148" s="106">
        <v>1851.8518518518517</v>
      </c>
      <c r="Q148" s="106">
        <f t="shared" si="36"/>
        <v>3.2676062401770314</v>
      </c>
      <c r="R148" s="106">
        <v>9216.4064891337621</v>
      </c>
      <c r="S148" s="106">
        <f t="shared" si="37"/>
        <v>3.9645616210373218</v>
      </c>
      <c r="T148" s="106">
        <v>86.5</v>
      </c>
      <c r="U148" s="106">
        <f t="shared" si="41"/>
        <v>1.9370161074648142</v>
      </c>
      <c r="V148" s="119">
        <v>34.9</v>
      </c>
      <c r="W148" s="119">
        <f t="shared" si="42"/>
        <v>1.5428254269591799</v>
      </c>
      <c r="X148" s="120">
        <v>47.583389080759602</v>
      </c>
      <c r="Y148" s="120">
        <f t="shared" si="43"/>
        <v>1.6774553710063234</v>
      </c>
      <c r="Z148" s="152">
        <v>1.91</v>
      </c>
      <c r="AA148" s="119">
        <f t="shared" si="38"/>
        <v>0.46389298898590731</v>
      </c>
      <c r="AB148" s="106">
        <v>10</v>
      </c>
      <c r="AC148" s="137">
        <f t="shared" si="44"/>
        <v>1</v>
      </c>
    </row>
    <row r="149" spans="1:29" x14ac:dyDescent="0.35">
      <c r="A149" s="146">
        <v>39329</v>
      </c>
      <c r="B149" s="108" t="s">
        <v>235</v>
      </c>
      <c r="C149" s="84">
        <f t="shared" si="30"/>
        <v>1</v>
      </c>
      <c r="D149" s="108">
        <v>1560000000</v>
      </c>
      <c r="E149" s="84">
        <f t="shared" si="31"/>
        <v>9.1931245983544621</v>
      </c>
      <c r="F149" s="146">
        <v>41583</v>
      </c>
      <c r="G149" s="108">
        <v>650000000</v>
      </c>
      <c r="H149" s="148">
        <f t="shared" si="32"/>
        <v>6.1753424657534248</v>
      </c>
      <c r="I149" s="145">
        <f t="shared" si="39"/>
        <v>0.79066104725361308</v>
      </c>
      <c r="J149" s="108">
        <v>9</v>
      </c>
      <c r="K149" s="108">
        <f t="shared" si="33"/>
        <v>1</v>
      </c>
      <c r="L149" s="65">
        <v>3.5</v>
      </c>
      <c r="M149" s="59">
        <f t="shared" si="40"/>
        <v>0.54406804435027567</v>
      </c>
      <c r="N149" s="155">
        <f t="shared" si="34"/>
        <v>-0.58333333333333326</v>
      </c>
      <c r="O149" s="127">
        <f t="shared" si="35"/>
        <v>-0.38021124171160592</v>
      </c>
      <c r="P149" s="108">
        <v>9311.2244897959172</v>
      </c>
      <c r="Q149" s="108">
        <f t="shared" si="36"/>
        <v>3.9690067974360175</v>
      </c>
      <c r="R149" s="108">
        <v>4594.3867743175706</v>
      </c>
      <c r="S149" s="108">
        <f t="shared" si="37"/>
        <v>3.6622275530882837</v>
      </c>
      <c r="T149" s="108">
        <v>88.9</v>
      </c>
      <c r="U149" s="106">
        <f t="shared" si="41"/>
        <v>1.9489017609702137</v>
      </c>
      <c r="V149" s="127">
        <v>34.9</v>
      </c>
      <c r="W149" s="119">
        <f t="shared" si="42"/>
        <v>1.5428254269591799</v>
      </c>
      <c r="X149" s="128">
        <v>42.817370475444001</v>
      </c>
      <c r="Y149" s="120">
        <f t="shared" si="43"/>
        <v>1.6316199926391717</v>
      </c>
      <c r="Z149" s="153">
        <v>0.18</v>
      </c>
      <c r="AA149" s="127">
        <f t="shared" si="38"/>
        <v>7.1882007306125359E-2</v>
      </c>
      <c r="AB149" s="108">
        <v>9</v>
      </c>
      <c r="AC149" s="137">
        <f t="shared" si="44"/>
        <v>0.95424250943932487</v>
      </c>
    </row>
    <row r="150" spans="1:29" x14ac:dyDescent="0.35">
      <c r="A150" s="143">
        <v>41681</v>
      </c>
      <c r="B150" s="106" t="s">
        <v>235</v>
      </c>
      <c r="C150" s="83">
        <f t="shared" si="30"/>
        <v>1</v>
      </c>
      <c r="D150" s="106">
        <v>654633497</v>
      </c>
      <c r="E150" s="83">
        <f t="shared" si="31"/>
        <v>8.8159982239937715</v>
      </c>
      <c r="F150" s="143">
        <v>43006</v>
      </c>
      <c r="G150" s="106">
        <v>1659618537</v>
      </c>
      <c r="H150" s="145">
        <f t="shared" si="32"/>
        <v>3.6301369863013697</v>
      </c>
      <c r="I150" s="145">
        <f t="shared" si="39"/>
        <v>0.5599230138163519</v>
      </c>
      <c r="J150" s="106">
        <v>49</v>
      </c>
      <c r="K150" s="106">
        <f t="shared" si="33"/>
        <v>1.6989700043360187</v>
      </c>
      <c r="L150" s="64">
        <v>0</v>
      </c>
      <c r="M150" s="59" t="e">
        <f t="shared" si="40"/>
        <v>#NUM!</v>
      </c>
      <c r="N150" s="154">
        <f t="shared" si="34"/>
        <v>1.5351873141315897</v>
      </c>
      <c r="O150" s="119">
        <f t="shared" si="35"/>
        <v>0.40401005301388143</v>
      </c>
      <c r="P150" s="106">
        <v>1423.0371900826444</v>
      </c>
      <c r="Q150" s="106">
        <f t="shared" si="36"/>
        <v>3.1532162502154288</v>
      </c>
      <c r="R150" s="106">
        <v>3292.8719008264461</v>
      </c>
      <c r="S150" s="106">
        <f t="shared" si="37"/>
        <v>3.5175748361336181</v>
      </c>
      <c r="T150" s="106">
        <v>75.400000000000006</v>
      </c>
      <c r="U150" s="106">
        <f t="shared" si="41"/>
        <v>1.8773713458697741</v>
      </c>
      <c r="V150" s="119">
        <v>26.88</v>
      </c>
      <c r="W150" s="119">
        <f t="shared" si="42"/>
        <v>1.4294292643817876</v>
      </c>
      <c r="X150" s="120">
        <v>49.329709120205997</v>
      </c>
      <c r="Y150" s="120">
        <f t="shared" si="43"/>
        <v>1.6931085545892062</v>
      </c>
      <c r="Z150" s="152">
        <v>0.38</v>
      </c>
      <c r="AA150" s="119">
        <f t="shared" si="38"/>
        <v>0.13987908640123647</v>
      </c>
      <c r="AB150" s="106">
        <v>18</v>
      </c>
      <c r="AC150" s="137">
        <f t="shared" si="44"/>
        <v>1.255272505103306</v>
      </c>
    </row>
    <row r="151" spans="1:29" x14ac:dyDescent="0.35">
      <c r="A151" s="146">
        <v>37355</v>
      </c>
      <c r="B151" s="108" t="s">
        <v>178</v>
      </c>
      <c r="C151" s="84">
        <f t="shared" si="30"/>
        <v>9</v>
      </c>
      <c r="D151" s="108">
        <v>10000000</v>
      </c>
      <c r="E151" s="84">
        <f t="shared" si="31"/>
        <v>7</v>
      </c>
      <c r="F151" s="146">
        <v>38623</v>
      </c>
      <c r="G151" s="108">
        <v>81020000</v>
      </c>
      <c r="H151" s="148">
        <f t="shared" si="32"/>
        <v>3.473972602739726</v>
      </c>
      <c r="I151" s="145">
        <f t="shared" si="39"/>
        <v>0.54082638908923919</v>
      </c>
      <c r="J151" s="108">
        <v>3</v>
      </c>
      <c r="K151" s="108">
        <f t="shared" si="33"/>
        <v>0.6020599913279624</v>
      </c>
      <c r="L151" s="57">
        <v>0</v>
      </c>
      <c r="M151" s="59" t="e">
        <f t="shared" si="40"/>
        <v>#NUM!</v>
      </c>
      <c r="N151" s="155">
        <f t="shared" si="34"/>
        <v>7.1020000000000003</v>
      </c>
      <c r="O151" s="127">
        <f t="shared" si="35"/>
        <v>0.90859223884756946</v>
      </c>
      <c r="P151" s="108">
        <v>1423.0371900826444</v>
      </c>
      <c r="Q151" s="108">
        <f t="shared" si="36"/>
        <v>3.1532162502154288</v>
      </c>
      <c r="R151" s="108">
        <v>3292.8719008264461</v>
      </c>
      <c r="S151" s="108">
        <f t="shared" si="37"/>
        <v>3.5175748361336181</v>
      </c>
      <c r="T151" s="108">
        <v>70</v>
      </c>
      <c r="U151" s="106">
        <f t="shared" si="41"/>
        <v>1.8450980400142569</v>
      </c>
      <c r="V151" s="127">
        <v>27.63</v>
      </c>
      <c r="W151" s="119">
        <f t="shared" si="42"/>
        <v>1.4413808849165113</v>
      </c>
      <c r="X151" s="128">
        <v>49.329709120205997</v>
      </c>
      <c r="Y151" s="120">
        <f t="shared" si="43"/>
        <v>1.6931085545892062</v>
      </c>
      <c r="Z151" s="153">
        <v>0.09</v>
      </c>
      <c r="AA151" s="127">
        <f t="shared" si="38"/>
        <v>3.7426497940623665E-2</v>
      </c>
      <c r="AB151" s="108">
        <v>6</v>
      </c>
      <c r="AC151" s="137">
        <f t="shared" si="44"/>
        <v>0.77815125038364363</v>
      </c>
    </row>
    <row r="152" spans="1:29" x14ac:dyDescent="0.35">
      <c r="A152" s="143">
        <v>36822</v>
      </c>
      <c r="B152" s="106" t="s">
        <v>190</v>
      </c>
      <c r="C152" s="83">
        <f t="shared" si="30"/>
        <v>2</v>
      </c>
      <c r="D152" s="106">
        <v>23000000</v>
      </c>
      <c r="E152" s="83">
        <f t="shared" si="31"/>
        <v>7.3617278360175931</v>
      </c>
      <c r="F152" s="143">
        <v>38475</v>
      </c>
      <c r="G152" s="106">
        <v>81640000</v>
      </c>
      <c r="H152" s="145">
        <f t="shared" si="32"/>
        <v>4.5287671232876709</v>
      </c>
      <c r="I152" s="145">
        <f t="shared" si="39"/>
        <v>0.65597998911497279</v>
      </c>
      <c r="J152" s="106">
        <v>0</v>
      </c>
      <c r="K152" s="106">
        <f t="shared" si="33"/>
        <v>0</v>
      </c>
      <c r="L152" s="64">
        <v>0</v>
      </c>
      <c r="M152" s="59" t="e">
        <f t="shared" si="40"/>
        <v>#NUM!</v>
      </c>
      <c r="N152" s="154">
        <f t="shared" si="34"/>
        <v>2.5495652173913044</v>
      </c>
      <c r="O152" s="119">
        <f t="shared" si="35"/>
        <v>0.55017516002644007</v>
      </c>
      <c r="P152" s="106">
        <v>1423.0371900826444</v>
      </c>
      <c r="Q152" s="106">
        <f t="shared" si="36"/>
        <v>3.1532162502154288</v>
      </c>
      <c r="R152" s="106">
        <v>3292.8719008264461</v>
      </c>
      <c r="S152" s="106">
        <f t="shared" si="37"/>
        <v>3.5175748361336181</v>
      </c>
      <c r="T152" s="106">
        <v>70</v>
      </c>
      <c r="U152" s="106">
        <f t="shared" si="41"/>
        <v>1.8450980400142569</v>
      </c>
      <c r="V152" s="119">
        <v>27.61</v>
      </c>
      <c r="W152" s="119">
        <f t="shared" si="42"/>
        <v>1.4410664066392631</v>
      </c>
      <c r="X152" s="120">
        <v>49.329709120205997</v>
      </c>
      <c r="Y152" s="120">
        <f t="shared" si="43"/>
        <v>1.6931085545892062</v>
      </c>
      <c r="Z152" s="152">
        <v>-0.17</v>
      </c>
      <c r="AA152" s="119">
        <f t="shared" si="38"/>
        <v>-8.092190762392612E-2</v>
      </c>
      <c r="AB152" s="106">
        <v>4</v>
      </c>
      <c r="AC152" s="137">
        <f t="shared" si="44"/>
        <v>0.6020599913279624</v>
      </c>
    </row>
    <row r="153" spans="1:29" x14ac:dyDescent="0.35">
      <c r="A153" s="146">
        <v>39975</v>
      </c>
      <c r="B153" s="108" t="s">
        <v>178</v>
      </c>
      <c r="C153" s="84">
        <f t="shared" si="30"/>
        <v>9</v>
      </c>
      <c r="D153" s="108">
        <v>17300000</v>
      </c>
      <c r="E153" s="84">
        <f t="shared" si="31"/>
        <v>7.238046103128795</v>
      </c>
      <c r="F153" s="146">
        <v>42094</v>
      </c>
      <c r="G153" s="108">
        <v>44000000</v>
      </c>
      <c r="H153" s="148">
        <f t="shared" si="32"/>
        <v>5.8054794520547945</v>
      </c>
      <c r="I153" s="145">
        <f t="shared" si="39"/>
        <v>0.76383809225431987</v>
      </c>
      <c r="J153" s="108">
        <v>3</v>
      </c>
      <c r="K153" s="108">
        <f t="shared" si="33"/>
        <v>0.6020599913279624</v>
      </c>
      <c r="L153" s="65">
        <v>3.29</v>
      </c>
      <c r="M153" s="59">
        <f t="shared" si="40"/>
        <v>0.51719589794997434</v>
      </c>
      <c r="N153" s="155">
        <f t="shared" si="34"/>
        <v>1.5433526011560694</v>
      </c>
      <c r="O153" s="127">
        <f t="shared" si="35"/>
        <v>0.40540657335739205</v>
      </c>
      <c r="P153" s="108">
        <v>2207.03125</v>
      </c>
      <c r="Q153" s="108">
        <f t="shared" si="36"/>
        <v>3.3438084825075891</v>
      </c>
      <c r="R153" s="108">
        <v>7753.90625</v>
      </c>
      <c r="S153" s="108">
        <f t="shared" si="37"/>
        <v>3.8895205457872843</v>
      </c>
      <c r="T153" s="108">
        <v>89.8</v>
      </c>
      <c r="U153" s="106">
        <f t="shared" si="41"/>
        <v>1.9532763366673043</v>
      </c>
      <c r="V153" s="127">
        <v>31.2</v>
      </c>
      <c r="W153" s="119">
        <f t="shared" si="42"/>
        <v>1.4941545940184429</v>
      </c>
      <c r="X153" s="128">
        <v>47.307367293927399</v>
      </c>
      <c r="Y153" s="120">
        <f t="shared" si="43"/>
        <v>1.6749287797641836</v>
      </c>
      <c r="Z153" s="153">
        <v>1.19</v>
      </c>
      <c r="AA153" s="127">
        <f t="shared" si="38"/>
        <v>0.34044411484011833</v>
      </c>
      <c r="AB153" s="108">
        <v>7</v>
      </c>
      <c r="AC153" s="137">
        <f t="shared" si="44"/>
        <v>0.84509804001425681</v>
      </c>
    </row>
    <row r="154" spans="1:29" x14ac:dyDescent="0.35">
      <c r="A154" s="143">
        <v>39240</v>
      </c>
      <c r="B154" s="106" t="s">
        <v>248</v>
      </c>
      <c r="C154" s="83">
        <f t="shared" si="30"/>
        <v>5</v>
      </c>
      <c r="D154" s="106">
        <v>88399000</v>
      </c>
      <c r="E154" s="83">
        <f t="shared" si="31"/>
        <v>7.9464473521517798</v>
      </c>
      <c r="F154" s="143">
        <v>43100</v>
      </c>
      <c r="G154" s="106">
        <v>796088000</v>
      </c>
      <c r="H154" s="145">
        <f t="shared" si="32"/>
        <v>10.575342465753424</v>
      </c>
      <c r="I154" s="145">
        <f t="shared" si="39"/>
        <v>1.0242944402152803</v>
      </c>
      <c r="J154" s="106">
        <v>24</v>
      </c>
      <c r="K154" s="106">
        <f t="shared" si="33"/>
        <v>1.3979400086720377</v>
      </c>
      <c r="L154" s="59">
        <v>3.29</v>
      </c>
      <c r="M154" s="59">
        <f t="shared" si="40"/>
        <v>0.51719589794997434</v>
      </c>
      <c r="N154" s="154">
        <f t="shared" si="34"/>
        <v>8.0056222355456512</v>
      </c>
      <c r="O154" s="119">
        <f t="shared" si="35"/>
        <v>0.95451372538741597</v>
      </c>
      <c r="P154" s="106">
        <v>2207.03125</v>
      </c>
      <c r="Q154" s="106">
        <f t="shared" si="36"/>
        <v>3.3438084825075891</v>
      </c>
      <c r="R154" s="106">
        <v>7753.90625</v>
      </c>
      <c r="S154" s="106">
        <f t="shared" si="37"/>
        <v>3.8895205457872843</v>
      </c>
      <c r="T154" s="106">
        <v>91.2</v>
      </c>
      <c r="U154" s="106">
        <f t="shared" si="41"/>
        <v>1.9599948383284163</v>
      </c>
      <c r="V154" s="119">
        <v>33</v>
      </c>
      <c r="W154" s="119">
        <f t="shared" si="42"/>
        <v>1.5185139398778875</v>
      </c>
      <c r="X154" s="120">
        <v>40.902544500539101</v>
      </c>
      <c r="Y154" s="120">
        <f t="shared" si="43"/>
        <v>1.6117503258110162</v>
      </c>
      <c r="Z154" s="152">
        <v>0.79</v>
      </c>
      <c r="AA154" s="119">
        <f t="shared" si="38"/>
        <v>0.2528530309798932</v>
      </c>
      <c r="AB154" s="106">
        <v>5</v>
      </c>
      <c r="AC154" s="137">
        <f t="shared" si="44"/>
        <v>0.69897000433601886</v>
      </c>
    </row>
    <row r="155" spans="1:29" x14ac:dyDescent="0.35">
      <c r="A155" s="146">
        <v>38579</v>
      </c>
      <c r="B155" s="108" t="s">
        <v>245</v>
      </c>
      <c r="C155" s="84">
        <f t="shared" si="30"/>
        <v>6</v>
      </c>
      <c r="D155" s="108">
        <v>288650000</v>
      </c>
      <c r="E155" s="84">
        <f t="shared" si="31"/>
        <v>8.4603715618346502</v>
      </c>
      <c r="F155" s="146">
        <v>39090</v>
      </c>
      <c r="G155" s="108">
        <v>570000000</v>
      </c>
      <c r="H155" s="148">
        <f t="shared" si="32"/>
        <v>1.4</v>
      </c>
      <c r="I155" s="145">
        <f t="shared" si="39"/>
        <v>0.14612803567823801</v>
      </c>
      <c r="J155" s="108">
        <v>11</v>
      </c>
      <c r="K155" s="108">
        <f t="shared" si="33"/>
        <v>1.0791812460476249</v>
      </c>
      <c r="L155" s="65">
        <v>3.29</v>
      </c>
      <c r="M155" s="59">
        <f t="shared" si="40"/>
        <v>0.51719589794997434</v>
      </c>
      <c r="N155" s="155">
        <f t="shared" si="34"/>
        <v>0.97470985622726491</v>
      </c>
      <c r="O155" s="127">
        <f t="shared" si="35"/>
        <v>0.29550329383784157</v>
      </c>
      <c r="P155" s="108">
        <v>2207.03125</v>
      </c>
      <c r="Q155" s="108">
        <f t="shared" si="36"/>
        <v>3.3438084825075891</v>
      </c>
      <c r="R155" s="108">
        <v>7753.90625</v>
      </c>
      <c r="S155" s="108">
        <f t="shared" si="37"/>
        <v>3.8895205457872843</v>
      </c>
      <c r="T155" s="108">
        <v>85</v>
      </c>
      <c r="U155" s="106">
        <f t="shared" si="41"/>
        <v>1.9294189257142926</v>
      </c>
      <c r="V155" s="127">
        <v>32.700000000000003</v>
      </c>
      <c r="W155" s="119">
        <f t="shared" si="42"/>
        <v>1.5145477526602862</v>
      </c>
      <c r="X155" s="128">
        <v>41.286751495766303</v>
      </c>
      <c r="Y155" s="120">
        <f t="shared" si="43"/>
        <v>1.6158107132703448</v>
      </c>
      <c r="Z155" s="153">
        <v>0.15</v>
      </c>
      <c r="AA155" s="127">
        <f t="shared" si="38"/>
        <v>6.069784035361165E-2</v>
      </c>
      <c r="AB155" s="108">
        <v>3</v>
      </c>
      <c r="AC155" s="137">
        <f t="shared" si="44"/>
        <v>0.47712125471966244</v>
      </c>
    </row>
    <row r="156" spans="1:29" x14ac:dyDescent="0.35">
      <c r="A156" s="143">
        <v>38180</v>
      </c>
      <c r="B156" s="106" t="s">
        <v>248</v>
      </c>
      <c r="C156" s="83">
        <f t="shared" si="30"/>
        <v>5</v>
      </c>
      <c r="D156" s="106">
        <v>207210000</v>
      </c>
      <c r="E156" s="83">
        <f t="shared" si="31"/>
        <v>8.3164107107258101</v>
      </c>
      <c r="F156" s="143">
        <v>39577</v>
      </c>
      <c r="G156" s="106">
        <v>355000000</v>
      </c>
      <c r="H156" s="145">
        <f t="shared" si="32"/>
        <v>3.8273972602739725</v>
      </c>
      <c r="I156" s="145">
        <f t="shared" si="39"/>
        <v>0.58290354165770719</v>
      </c>
      <c r="J156" s="106">
        <v>8</v>
      </c>
      <c r="K156" s="106">
        <f t="shared" si="33"/>
        <v>0.95424250943932487</v>
      </c>
      <c r="L156" s="59">
        <v>3.29</v>
      </c>
      <c r="M156" s="59">
        <f t="shared" si="40"/>
        <v>0.51719589794997434</v>
      </c>
      <c r="N156" s="154">
        <f t="shared" si="34"/>
        <v>0.7132377780995125</v>
      </c>
      <c r="O156" s="119">
        <f t="shared" si="35"/>
        <v>0.2338176423292847</v>
      </c>
      <c r="P156" s="106">
        <v>2207.03125</v>
      </c>
      <c r="Q156" s="106">
        <f t="shared" si="36"/>
        <v>3.3438084825075891</v>
      </c>
      <c r="R156" s="106">
        <v>7753.90625</v>
      </c>
      <c r="S156" s="106">
        <f t="shared" si="37"/>
        <v>3.8895205457872843</v>
      </c>
      <c r="T156" s="106">
        <v>85</v>
      </c>
      <c r="U156" s="106">
        <f t="shared" si="41"/>
        <v>1.9294189257142926</v>
      </c>
      <c r="V156" s="119">
        <v>32.299999999999997</v>
      </c>
      <c r="W156" s="119">
        <f t="shared" si="42"/>
        <v>1.5092025223311027</v>
      </c>
      <c r="X156" s="120">
        <v>40.040400531970803</v>
      </c>
      <c r="Y156" s="120">
        <f t="shared" si="43"/>
        <v>1.6024984131617945</v>
      </c>
      <c r="Z156" s="152">
        <v>0.25</v>
      </c>
      <c r="AA156" s="119">
        <f t="shared" si="38"/>
        <v>9.691001300805642E-2</v>
      </c>
      <c r="AB156" s="106">
        <v>2</v>
      </c>
      <c r="AC156" s="137">
        <f t="shared" si="44"/>
        <v>0.3010299956639812</v>
      </c>
    </row>
    <row r="157" spans="1:29" x14ac:dyDescent="0.35">
      <c r="A157" s="146">
        <v>41331</v>
      </c>
      <c r="B157" s="108" t="s">
        <v>245</v>
      </c>
      <c r="C157" s="84">
        <f t="shared" si="30"/>
        <v>6</v>
      </c>
      <c r="D157" s="108">
        <v>138000000</v>
      </c>
      <c r="E157" s="84">
        <f t="shared" si="31"/>
        <v>8.1398790864012369</v>
      </c>
      <c r="F157" s="146">
        <v>42744</v>
      </c>
      <c r="G157" s="108">
        <v>365000000</v>
      </c>
      <c r="H157" s="148">
        <f t="shared" si="32"/>
        <v>3.871232876712329</v>
      </c>
      <c r="I157" s="145">
        <f t="shared" si="39"/>
        <v>0.58784929739208391</v>
      </c>
      <c r="J157" s="108">
        <v>31</v>
      </c>
      <c r="K157" s="108">
        <f t="shared" si="33"/>
        <v>1.505149978319906</v>
      </c>
      <c r="L157" s="65">
        <v>2.3199999999999998</v>
      </c>
      <c r="M157" s="59">
        <f t="shared" si="40"/>
        <v>0.36548798489089962</v>
      </c>
      <c r="N157" s="155">
        <f t="shared" si="34"/>
        <v>1.6449275362318843</v>
      </c>
      <c r="O157" s="127">
        <f t="shared" si="35"/>
        <v>0.42241377805523822</v>
      </c>
      <c r="P157" s="108">
        <v>2777.7777777777774</v>
      </c>
      <c r="Q157" s="108">
        <f t="shared" si="36"/>
        <v>3.4436974992327127</v>
      </c>
      <c r="R157" s="108">
        <v>7222.2222222222235</v>
      </c>
      <c r="S157" s="108">
        <f t="shared" si="37"/>
        <v>3.8586708472035309</v>
      </c>
      <c r="T157" s="108">
        <v>90.5</v>
      </c>
      <c r="U157" s="106">
        <f t="shared" si="41"/>
        <v>1.9566485792052033</v>
      </c>
      <c r="V157" s="127">
        <v>25.7</v>
      </c>
      <c r="W157" s="119">
        <f t="shared" si="42"/>
        <v>1.4099331233312946</v>
      </c>
      <c r="X157" s="128">
        <v>39.010023979360902</v>
      </c>
      <c r="Y157" s="120">
        <f t="shared" si="43"/>
        <v>1.5911762172715689</v>
      </c>
      <c r="Z157" s="153">
        <v>0.52</v>
      </c>
      <c r="AA157" s="127">
        <f t="shared" si="38"/>
        <v>0.18184358794477254</v>
      </c>
      <c r="AB157" s="108">
        <v>31</v>
      </c>
      <c r="AC157" s="137">
        <f t="shared" si="44"/>
        <v>1.4913616938342726</v>
      </c>
    </row>
    <row r="158" spans="1:29" x14ac:dyDescent="0.35">
      <c r="A158" s="143">
        <v>38555</v>
      </c>
      <c r="B158" s="106" t="s">
        <v>248</v>
      </c>
      <c r="C158" s="83">
        <f t="shared" si="30"/>
        <v>5</v>
      </c>
      <c r="D158" s="106">
        <v>17800000</v>
      </c>
      <c r="E158" s="83">
        <f t="shared" si="31"/>
        <v>7.2504200023088936</v>
      </c>
      <c r="F158" s="143">
        <v>39720</v>
      </c>
      <c r="G158" s="106">
        <v>63100000</v>
      </c>
      <c r="H158" s="145">
        <f t="shared" si="32"/>
        <v>3.1917808219178081</v>
      </c>
      <c r="I158" s="145">
        <f t="shared" si="39"/>
        <v>0.5040330609055631</v>
      </c>
      <c r="J158" s="106">
        <v>8</v>
      </c>
      <c r="K158" s="106">
        <f t="shared" si="33"/>
        <v>0.95424250943932487</v>
      </c>
      <c r="L158" s="59">
        <v>2.3199999999999998</v>
      </c>
      <c r="M158" s="59">
        <f t="shared" si="40"/>
        <v>0.36548798489089962</v>
      </c>
      <c r="N158" s="154">
        <f t="shared" si="34"/>
        <v>2.5449438202247192</v>
      </c>
      <c r="O158" s="119">
        <f t="shared" si="35"/>
        <v>0.54960935693524038</v>
      </c>
      <c r="P158" s="106">
        <v>2777.7777777777774</v>
      </c>
      <c r="Q158" s="106">
        <f t="shared" si="36"/>
        <v>3.4436974992327127</v>
      </c>
      <c r="R158" s="106">
        <v>7222.2222222222235</v>
      </c>
      <c r="S158" s="106">
        <f t="shared" si="37"/>
        <v>3.8586708472035309</v>
      </c>
      <c r="T158" s="106">
        <v>85</v>
      </c>
      <c r="U158" s="106">
        <f t="shared" si="41"/>
        <v>1.9294189257142926</v>
      </c>
      <c r="V158" s="119">
        <v>25.9</v>
      </c>
      <c r="W158" s="119">
        <f t="shared" si="42"/>
        <v>1.4132997640812519</v>
      </c>
      <c r="X158" s="120">
        <v>36.959146749272797</v>
      </c>
      <c r="Y158" s="120">
        <f t="shared" si="43"/>
        <v>1.5677219364019672</v>
      </c>
      <c r="Z158" s="152">
        <v>-0.1</v>
      </c>
      <c r="AA158" s="119">
        <f t="shared" si="38"/>
        <v>-4.5757490560675115E-2</v>
      </c>
      <c r="AB158" s="106">
        <v>23</v>
      </c>
      <c r="AC158" s="137">
        <f t="shared" si="44"/>
        <v>1.3617278360175928</v>
      </c>
    </row>
    <row r="159" spans="1:29" x14ac:dyDescent="0.35">
      <c r="A159" s="146">
        <v>40527</v>
      </c>
      <c r="B159" s="108" t="s">
        <v>245</v>
      </c>
      <c r="C159" s="84">
        <f t="shared" si="30"/>
        <v>6</v>
      </c>
      <c r="D159" s="108">
        <v>200000000</v>
      </c>
      <c r="E159" s="84">
        <f t="shared" si="31"/>
        <v>8.3010299956639813</v>
      </c>
      <c r="F159" s="146">
        <v>42342</v>
      </c>
      <c r="G159" s="108">
        <v>256000000</v>
      </c>
      <c r="H159" s="148">
        <f t="shared" si="32"/>
        <v>4.9726027397260273</v>
      </c>
      <c r="I159" s="145">
        <f t="shared" si="39"/>
        <v>0.69658376491565666</v>
      </c>
      <c r="J159" s="108">
        <v>29</v>
      </c>
      <c r="K159" s="108">
        <f t="shared" si="33"/>
        <v>1.4771212547196624</v>
      </c>
      <c r="L159" s="65">
        <v>3.29</v>
      </c>
      <c r="M159" s="59">
        <f t="shared" si="40"/>
        <v>0.51719589794997434</v>
      </c>
      <c r="N159" s="155">
        <f t="shared" si="34"/>
        <v>0.28000000000000003</v>
      </c>
      <c r="O159" s="127">
        <f t="shared" si="35"/>
        <v>0.10720996964786837</v>
      </c>
      <c r="P159" s="108">
        <v>2417.5229853975125</v>
      </c>
      <c r="Q159" s="108">
        <f t="shared" si="36"/>
        <v>3.3833706119727633</v>
      </c>
      <c r="R159" s="108">
        <v>9545.7003785830148</v>
      </c>
      <c r="S159" s="108">
        <f t="shared" si="37"/>
        <v>3.9798077985646683</v>
      </c>
      <c r="T159" s="108">
        <v>94.9</v>
      </c>
      <c r="U159" s="106">
        <f t="shared" si="41"/>
        <v>1.9772662124272926</v>
      </c>
      <c r="V159" s="127">
        <v>32.299999999999997</v>
      </c>
      <c r="W159" s="119">
        <f t="shared" si="42"/>
        <v>1.5092025223311027</v>
      </c>
      <c r="X159" s="128">
        <v>47.560703662314701</v>
      </c>
      <c r="Y159" s="120">
        <f t="shared" si="43"/>
        <v>1.6772482713966061</v>
      </c>
      <c r="Z159" s="153">
        <v>0.69</v>
      </c>
      <c r="AA159" s="127">
        <f t="shared" si="38"/>
        <v>0.22788670461367352</v>
      </c>
      <c r="AB159" s="108">
        <v>25</v>
      </c>
      <c r="AC159" s="137">
        <f t="shared" si="44"/>
        <v>1.3979400086720377</v>
      </c>
    </row>
    <row r="160" spans="1:29" x14ac:dyDescent="0.35">
      <c r="A160" s="143">
        <v>37085</v>
      </c>
      <c r="B160" s="106" t="s">
        <v>248</v>
      </c>
      <c r="C160" s="83">
        <f t="shared" si="30"/>
        <v>5</v>
      </c>
      <c r="D160" s="106">
        <v>54000000</v>
      </c>
      <c r="E160" s="83">
        <f t="shared" si="31"/>
        <v>7.7323937598229682</v>
      </c>
      <c r="F160" s="143">
        <v>37941</v>
      </c>
      <c r="G160" s="106">
        <v>152000000</v>
      </c>
      <c r="H160" s="145">
        <f t="shared" si="32"/>
        <v>2.3452054794520549</v>
      </c>
      <c r="I160" s="145">
        <f t="shared" si="39"/>
        <v>0.37018090022067857</v>
      </c>
      <c r="J160" s="106">
        <v>3</v>
      </c>
      <c r="K160" s="106">
        <f t="shared" si="33"/>
        <v>0.6020599913279624</v>
      </c>
      <c r="L160" s="59">
        <v>3.29</v>
      </c>
      <c r="M160" s="59">
        <f t="shared" si="40"/>
        <v>0.51719589794997434</v>
      </c>
      <c r="N160" s="154">
        <f t="shared" si="34"/>
        <v>1.8148148148148149</v>
      </c>
      <c r="O160" s="119">
        <f t="shared" si="35"/>
        <v>0.44944982812180406</v>
      </c>
      <c r="P160" s="106">
        <v>2417.5229853975125</v>
      </c>
      <c r="Q160" s="106">
        <f t="shared" si="36"/>
        <v>3.3833706119727633</v>
      </c>
      <c r="R160" s="106">
        <v>9545.7003785830148</v>
      </c>
      <c r="S160" s="106">
        <f t="shared" si="37"/>
        <v>3.9798077985646683</v>
      </c>
      <c r="T160" s="106">
        <v>85</v>
      </c>
      <c r="U160" s="106">
        <f t="shared" si="41"/>
        <v>1.9294189257142926</v>
      </c>
      <c r="V160" s="119">
        <v>32.6</v>
      </c>
      <c r="W160" s="119">
        <f t="shared" si="42"/>
        <v>1.5132176000679389</v>
      </c>
      <c r="X160" s="120">
        <v>36.544739309553499</v>
      </c>
      <c r="Y160" s="120">
        <f t="shared" si="43"/>
        <v>1.5628248682086028</v>
      </c>
      <c r="Z160" s="152">
        <v>-0.14000000000000001</v>
      </c>
      <c r="AA160" s="119">
        <f t="shared" si="38"/>
        <v>-6.5501548756432285E-2</v>
      </c>
      <c r="AB160" s="106">
        <v>16</v>
      </c>
      <c r="AC160" s="137">
        <f t="shared" si="44"/>
        <v>1.2041199826559248</v>
      </c>
    </row>
    <row r="161" spans="1:29" x14ac:dyDescent="0.35">
      <c r="A161" s="146">
        <v>36891</v>
      </c>
      <c r="B161" s="108" t="s">
        <v>248</v>
      </c>
      <c r="C161" s="84">
        <f t="shared" si="30"/>
        <v>5</v>
      </c>
      <c r="D161" s="108">
        <v>23000000</v>
      </c>
      <c r="E161" s="84">
        <f t="shared" si="31"/>
        <v>7.3617278360175931</v>
      </c>
      <c r="F161" s="146">
        <v>38460</v>
      </c>
      <c r="G161" s="108">
        <v>520000000</v>
      </c>
      <c r="H161" s="148">
        <f t="shared" si="32"/>
        <v>4.2986301369863016</v>
      </c>
      <c r="I161" s="145">
        <f t="shared" si="39"/>
        <v>0.63333007913046202</v>
      </c>
      <c r="J161" s="108">
        <v>136</v>
      </c>
      <c r="K161" s="108">
        <f t="shared" si="33"/>
        <v>2.1367205671564067</v>
      </c>
      <c r="L161" s="65">
        <v>3.29</v>
      </c>
      <c r="M161" s="59">
        <f t="shared" si="40"/>
        <v>0.51719589794997434</v>
      </c>
      <c r="N161" s="155">
        <f t="shared" si="34"/>
        <v>21.608695652173914</v>
      </c>
      <c r="O161" s="127">
        <f t="shared" si="35"/>
        <v>1.3542755076172064</v>
      </c>
      <c r="P161" s="108">
        <v>2417.5229853975125</v>
      </c>
      <c r="Q161" s="108">
        <f t="shared" si="36"/>
        <v>3.3833706119727633</v>
      </c>
      <c r="R161" s="108">
        <v>9545.7003785830148</v>
      </c>
      <c r="S161" s="108">
        <f t="shared" si="37"/>
        <v>3.9798077985646683</v>
      </c>
      <c r="T161" s="108">
        <v>85</v>
      </c>
      <c r="U161" s="106">
        <f t="shared" si="41"/>
        <v>1.9294189257142926</v>
      </c>
      <c r="V161" s="127">
        <v>32.9</v>
      </c>
      <c r="W161" s="119">
        <f t="shared" si="42"/>
        <v>1.5171958979499742</v>
      </c>
      <c r="X161" s="128">
        <v>35.433808146393098</v>
      </c>
      <c r="Y161" s="120">
        <f t="shared" si="43"/>
        <v>1.5494178293890581</v>
      </c>
      <c r="Z161" s="153">
        <v>-0.13</v>
      </c>
      <c r="AA161" s="127">
        <f t="shared" si="38"/>
        <v>-6.0480747381381476E-2</v>
      </c>
      <c r="AB161" s="108">
        <v>15</v>
      </c>
      <c r="AC161" s="137">
        <f t="shared" si="44"/>
        <v>1.1760912590556813</v>
      </c>
    </row>
    <row r="162" spans="1:29" x14ac:dyDescent="0.35">
      <c r="A162" s="143">
        <v>36725</v>
      </c>
      <c r="B162" s="106" t="s">
        <v>248</v>
      </c>
      <c r="C162" s="83">
        <f t="shared" si="30"/>
        <v>5</v>
      </c>
      <c r="D162" s="106">
        <v>50000000</v>
      </c>
      <c r="E162" s="83">
        <f t="shared" si="31"/>
        <v>7.6989700043360187</v>
      </c>
      <c r="F162" s="143">
        <v>38529</v>
      </c>
      <c r="G162" s="106">
        <v>262000000</v>
      </c>
      <c r="H162" s="145">
        <f t="shared" si="32"/>
        <v>4.9424657534246572</v>
      </c>
      <c r="I162" s="145">
        <f t="shared" si="39"/>
        <v>0.69394366874944824</v>
      </c>
      <c r="J162" s="106">
        <v>0</v>
      </c>
      <c r="K162" s="106">
        <f t="shared" si="33"/>
        <v>0</v>
      </c>
      <c r="L162" s="59">
        <v>3.29</v>
      </c>
      <c r="M162" s="59">
        <f t="shared" si="40"/>
        <v>0.51719589794997434</v>
      </c>
      <c r="N162" s="154">
        <f t="shared" si="34"/>
        <v>4.24</v>
      </c>
      <c r="O162" s="119">
        <f t="shared" si="35"/>
        <v>0.71933128698372661</v>
      </c>
      <c r="P162" s="106">
        <v>2417.5229853975125</v>
      </c>
      <c r="Q162" s="106">
        <f t="shared" si="36"/>
        <v>3.3833706119727633</v>
      </c>
      <c r="R162" s="106">
        <v>9545.7003785830148</v>
      </c>
      <c r="S162" s="106">
        <f t="shared" si="37"/>
        <v>3.9798077985646683</v>
      </c>
      <c r="T162" s="106">
        <v>85</v>
      </c>
      <c r="U162" s="106">
        <f t="shared" si="41"/>
        <v>1.9294189257142926</v>
      </c>
      <c r="V162" s="119">
        <v>32.9</v>
      </c>
      <c r="W162" s="119">
        <f t="shared" si="42"/>
        <v>1.5171958979499742</v>
      </c>
      <c r="X162" s="120">
        <v>35.433808146393098</v>
      </c>
      <c r="Y162" s="120">
        <f t="shared" si="43"/>
        <v>1.5494178293890581</v>
      </c>
      <c r="Z162" s="152">
        <v>-0.2</v>
      </c>
      <c r="AA162" s="119">
        <f t="shared" si="38"/>
        <v>-9.6910013008056392E-2</v>
      </c>
      <c r="AB162" s="106">
        <v>15</v>
      </c>
      <c r="AC162" s="137">
        <f t="shared" si="44"/>
        <v>1.1760912590556813</v>
      </c>
    </row>
    <row r="163" spans="1:29" x14ac:dyDescent="0.35">
      <c r="A163" s="146">
        <v>36160</v>
      </c>
      <c r="B163" s="108" t="s">
        <v>248</v>
      </c>
      <c r="C163" s="84">
        <f t="shared" si="30"/>
        <v>5</v>
      </c>
      <c r="D163" s="108">
        <v>20600000</v>
      </c>
      <c r="E163" s="84">
        <f t="shared" si="31"/>
        <v>7.3138672203691533</v>
      </c>
      <c r="F163" s="146">
        <v>37081</v>
      </c>
      <c r="G163" s="108">
        <v>23400000</v>
      </c>
      <c r="H163" s="148">
        <f t="shared" si="32"/>
        <v>2.5232876712328767</v>
      </c>
      <c r="I163" s="145">
        <f t="shared" si="39"/>
        <v>0.40196676574037421</v>
      </c>
      <c r="J163" s="108">
        <v>15</v>
      </c>
      <c r="K163" s="108">
        <f t="shared" si="33"/>
        <v>1.2041199826559248</v>
      </c>
      <c r="L163" s="65">
        <v>3.29</v>
      </c>
      <c r="M163" s="59">
        <f t="shared" si="40"/>
        <v>0.51719589794997434</v>
      </c>
      <c r="N163" s="155">
        <f t="shared" si="34"/>
        <v>0.13592233009708732</v>
      </c>
      <c r="O163" s="127">
        <f t="shared" si="35"/>
        <v>5.5348637040989412E-2</v>
      </c>
      <c r="P163" s="108">
        <v>2417.5229853975125</v>
      </c>
      <c r="Q163" s="108">
        <f t="shared" si="36"/>
        <v>3.3833706119727633</v>
      </c>
      <c r="R163" s="108">
        <v>9545.7003785830148</v>
      </c>
      <c r="S163" s="108">
        <f t="shared" si="37"/>
        <v>3.9798077985646683</v>
      </c>
      <c r="T163" s="108">
        <v>85</v>
      </c>
      <c r="U163" s="106">
        <f t="shared" si="41"/>
        <v>1.9294189257142926</v>
      </c>
      <c r="V163" s="127">
        <v>31.5</v>
      </c>
      <c r="W163" s="119">
        <f t="shared" si="42"/>
        <v>1.4983105537896004</v>
      </c>
      <c r="X163" s="128">
        <v>35.516899069648296</v>
      </c>
      <c r="Y163" s="120">
        <f t="shared" si="43"/>
        <v>1.5504350411232082</v>
      </c>
      <c r="Z163" s="153">
        <v>-0.02</v>
      </c>
      <c r="AA163" s="127">
        <f t="shared" si="38"/>
        <v>-8.7739243075051505E-3</v>
      </c>
      <c r="AB163" s="108">
        <v>13</v>
      </c>
      <c r="AC163" s="137">
        <f t="shared" si="44"/>
        <v>1.1139433523068367</v>
      </c>
    </row>
    <row r="164" spans="1:29" x14ac:dyDescent="0.35">
      <c r="A164" s="143">
        <v>35795</v>
      </c>
      <c r="B164" s="106" t="s">
        <v>248</v>
      </c>
      <c r="C164" s="83">
        <f t="shared" si="30"/>
        <v>5</v>
      </c>
      <c r="D164" s="106">
        <v>279000000</v>
      </c>
      <c r="E164" s="83">
        <f t="shared" si="31"/>
        <v>8.4456042032735983</v>
      </c>
      <c r="F164" s="143">
        <v>37659</v>
      </c>
      <c r="G164" s="106">
        <v>1240000000</v>
      </c>
      <c r="H164" s="145">
        <f t="shared" si="32"/>
        <v>5.1068493150684935</v>
      </c>
      <c r="I164" s="145">
        <f t="shared" si="39"/>
        <v>0.70815304356148789</v>
      </c>
      <c r="J164" s="106">
        <v>0</v>
      </c>
      <c r="K164" s="106">
        <f t="shared" si="33"/>
        <v>0</v>
      </c>
      <c r="L164" s="59">
        <v>3.29</v>
      </c>
      <c r="M164" s="59">
        <f t="shared" si="40"/>
        <v>0.51719589794997434</v>
      </c>
      <c r="N164" s="154">
        <f t="shared" si="34"/>
        <v>3.4444444444444446</v>
      </c>
      <c r="O164" s="119">
        <f t="shared" si="35"/>
        <v>0.64781748188863753</v>
      </c>
      <c r="P164" s="106">
        <v>2417.5229853975125</v>
      </c>
      <c r="Q164" s="106">
        <f t="shared" si="36"/>
        <v>3.3833706119727633</v>
      </c>
      <c r="R164" s="106">
        <v>9545.7003785830148</v>
      </c>
      <c r="S164" s="106">
        <f t="shared" si="37"/>
        <v>3.9798077985646683</v>
      </c>
      <c r="T164" s="106">
        <v>85</v>
      </c>
      <c r="U164" s="106">
        <f t="shared" si="41"/>
        <v>1.9294189257142926</v>
      </c>
      <c r="V164" s="119">
        <v>30</v>
      </c>
      <c r="W164" s="119">
        <f t="shared" si="42"/>
        <v>1.4771212547196624</v>
      </c>
      <c r="X164" s="120">
        <v>35.807885111275297</v>
      </c>
      <c r="Y164" s="120">
        <f t="shared" si="43"/>
        <v>1.5539786714272548</v>
      </c>
      <c r="Z164" s="152">
        <v>-0.15</v>
      </c>
      <c r="AA164" s="119">
        <f t="shared" si="38"/>
        <v>-7.0581074285707285E-2</v>
      </c>
      <c r="AB164" s="106">
        <v>12</v>
      </c>
      <c r="AC164" s="137">
        <f t="shared" si="44"/>
        <v>1.0791812460476249</v>
      </c>
    </row>
    <row r="165" spans="1:29" x14ac:dyDescent="0.35">
      <c r="A165" s="146">
        <v>35430</v>
      </c>
      <c r="B165" s="108" t="s">
        <v>248</v>
      </c>
      <c r="C165" s="84">
        <f t="shared" si="30"/>
        <v>5</v>
      </c>
      <c r="D165" s="108">
        <v>171000000</v>
      </c>
      <c r="E165" s="84">
        <f t="shared" si="31"/>
        <v>8.2329961103921541</v>
      </c>
      <c r="F165" s="146">
        <v>36842</v>
      </c>
      <c r="G165" s="108">
        <v>200000000</v>
      </c>
      <c r="H165" s="148">
        <f t="shared" si="32"/>
        <v>3.8684931506849316</v>
      </c>
      <c r="I165" s="145">
        <f t="shared" si="39"/>
        <v>0.58754183225931023</v>
      </c>
      <c r="J165" s="108">
        <v>0</v>
      </c>
      <c r="K165" s="108">
        <f t="shared" si="33"/>
        <v>0</v>
      </c>
      <c r="L165" s="65">
        <v>3.29</v>
      </c>
      <c r="M165" s="59">
        <f t="shared" si="40"/>
        <v>0.51719589794997434</v>
      </c>
      <c r="N165" s="155">
        <f t="shared" si="34"/>
        <v>0.16959064327485374</v>
      </c>
      <c r="O165" s="127">
        <f t="shared" si="35"/>
        <v>6.8033885271827341E-2</v>
      </c>
      <c r="P165" s="108">
        <v>2417.5229853975125</v>
      </c>
      <c r="Q165" s="108">
        <f t="shared" si="36"/>
        <v>3.3833706119727633</v>
      </c>
      <c r="R165" s="108">
        <v>9545.7003785830148</v>
      </c>
      <c r="S165" s="108">
        <f t="shared" si="37"/>
        <v>3.9798077985646683</v>
      </c>
      <c r="T165" s="108">
        <v>85</v>
      </c>
      <c r="U165" s="106">
        <f t="shared" si="41"/>
        <v>1.9294189257142926</v>
      </c>
      <c r="V165" s="127">
        <v>29.3</v>
      </c>
      <c r="W165" s="119">
        <f t="shared" si="42"/>
        <v>1.4668676203541096</v>
      </c>
      <c r="X165" s="128">
        <v>36.913126831903199</v>
      </c>
      <c r="Y165" s="120">
        <f t="shared" si="43"/>
        <v>1.5671808349091383</v>
      </c>
      <c r="Z165" s="153">
        <v>0.84</v>
      </c>
      <c r="AA165" s="127">
        <f t="shared" si="38"/>
        <v>0.26481782300953643</v>
      </c>
      <c r="AB165" s="108">
        <v>11</v>
      </c>
      <c r="AC165" s="137">
        <f t="shared" si="44"/>
        <v>1.0413926851582251</v>
      </c>
    </row>
    <row r="166" spans="1:29" x14ac:dyDescent="0.35">
      <c r="A166" s="143">
        <v>37575</v>
      </c>
      <c r="B166" s="106" t="s">
        <v>183</v>
      </c>
      <c r="C166" s="83">
        <f t="shared" si="30"/>
        <v>3</v>
      </c>
      <c r="D166" s="106">
        <v>23000000</v>
      </c>
      <c r="E166" s="83">
        <f t="shared" si="31"/>
        <v>7.3617278360175931</v>
      </c>
      <c r="F166" s="143">
        <v>38990</v>
      </c>
      <c r="G166" s="106">
        <v>265000000</v>
      </c>
      <c r="H166" s="145">
        <f t="shared" si="32"/>
        <v>3.8767123287671232</v>
      </c>
      <c r="I166" s="145">
        <f t="shared" si="39"/>
        <v>0.58846357540383432</v>
      </c>
      <c r="J166" s="106">
        <v>10</v>
      </c>
      <c r="K166" s="106">
        <f t="shared" si="33"/>
        <v>1.0413926851582251</v>
      </c>
      <c r="L166" s="59">
        <v>3.29</v>
      </c>
      <c r="M166" s="59">
        <f t="shared" si="40"/>
        <v>0.51719589794997434</v>
      </c>
      <c r="N166" s="154">
        <f t="shared" si="34"/>
        <v>10.521739130434783</v>
      </c>
      <c r="O166" s="119">
        <f t="shared" si="35"/>
        <v>1.0615180379192151</v>
      </c>
      <c r="P166" s="106">
        <v>1954.7325102880657</v>
      </c>
      <c r="Q166" s="106">
        <f t="shared" si="36"/>
        <v>3.2910873360265542</v>
      </c>
      <c r="R166" s="106">
        <v>6872.4279835390944</v>
      </c>
      <c r="S166" s="106">
        <f t="shared" si="37"/>
        <v>3.8371101975492712</v>
      </c>
      <c r="T166" s="106">
        <v>85</v>
      </c>
      <c r="U166" s="106">
        <f t="shared" si="41"/>
        <v>1.9294189257142926</v>
      </c>
      <c r="V166" s="119">
        <v>31.5</v>
      </c>
      <c r="W166" s="119">
        <f t="shared" si="42"/>
        <v>1.4983105537896004</v>
      </c>
      <c r="X166" s="120">
        <v>37.589394702761602</v>
      </c>
      <c r="Y166" s="120">
        <f t="shared" si="43"/>
        <v>1.575065332381355</v>
      </c>
      <c r="Z166" s="152">
        <v>0.47</v>
      </c>
      <c r="AA166" s="119">
        <f t="shared" si="38"/>
        <v>0.16731733474817609</v>
      </c>
      <c r="AB166" s="106">
        <v>14</v>
      </c>
      <c r="AC166" s="137">
        <f t="shared" si="44"/>
        <v>1.146128035678238</v>
      </c>
    </row>
    <row r="167" spans="1:29" x14ac:dyDescent="0.35">
      <c r="A167" s="146">
        <v>41163</v>
      </c>
      <c r="B167" s="108" t="s">
        <v>248</v>
      </c>
      <c r="C167" s="84">
        <f t="shared" si="30"/>
        <v>5</v>
      </c>
      <c r="D167" s="108">
        <v>50000000</v>
      </c>
      <c r="E167" s="84">
        <f t="shared" si="31"/>
        <v>7.6989700043360187</v>
      </c>
      <c r="F167" s="146">
        <v>42331</v>
      </c>
      <c r="G167" s="108">
        <v>0</v>
      </c>
      <c r="H167" s="148">
        <f t="shared" si="32"/>
        <v>3.2</v>
      </c>
      <c r="I167" s="145">
        <f t="shared" si="39"/>
        <v>0.50514997831990605</v>
      </c>
      <c r="J167" s="108">
        <v>10</v>
      </c>
      <c r="K167" s="108">
        <f t="shared" si="33"/>
        <v>1.0413926851582251</v>
      </c>
      <c r="L167" s="65">
        <v>3.29</v>
      </c>
      <c r="M167" s="59">
        <f t="shared" si="40"/>
        <v>0.51719589794997434</v>
      </c>
      <c r="N167" s="155">
        <f t="shared" si="34"/>
        <v>-1</v>
      </c>
      <c r="O167" s="127">
        <f t="shared" si="35"/>
        <v>-1</v>
      </c>
      <c r="P167" s="108">
        <v>3425.6694367497698</v>
      </c>
      <c r="Q167" s="108">
        <f t="shared" si="36"/>
        <v>3.5347454529897258</v>
      </c>
      <c r="R167" s="108">
        <v>9322.8685749461365</v>
      </c>
      <c r="S167" s="108">
        <f t="shared" si="37"/>
        <v>3.9695495619878729</v>
      </c>
      <c r="T167" s="108">
        <v>94.7</v>
      </c>
      <c r="U167" s="106">
        <f t="shared" si="41"/>
        <v>1.9763499790032735</v>
      </c>
      <c r="V167" s="127">
        <v>32.4</v>
      </c>
      <c r="W167" s="119">
        <f t="shared" si="42"/>
        <v>1.510545010206612</v>
      </c>
      <c r="X167" s="128">
        <v>45.737088331856903</v>
      </c>
      <c r="Y167" s="120">
        <f t="shared" si="43"/>
        <v>1.6602685135357675</v>
      </c>
      <c r="Z167" s="153">
        <v>0.46</v>
      </c>
      <c r="AA167" s="127">
        <f t="shared" si="38"/>
        <v>0.16435285578443709</v>
      </c>
      <c r="AB167" s="108">
        <v>24</v>
      </c>
      <c r="AC167" s="137">
        <f t="shared" si="44"/>
        <v>1.3802112417116059</v>
      </c>
    </row>
    <row r="168" spans="1:29" x14ac:dyDescent="0.35">
      <c r="A168" s="143">
        <v>40629</v>
      </c>
      <c r="B168" s="106" t="s">
        <v>248</v>
      </c>
      <c r="C168" s="83">
        <f t="shared" si="30"/>
        <v>5</v>
      </c>
      <c r="D168" s="106">
        <v>215000000</v>
      </c>
      <c r="E168" s="83">
        <f t="shared" si="31"/>
        <v>8.3324384599156058</v>
      </c>
      <c r="F168" s="143">
        <v>43403</v>
      </c>
      <c r="G168" s="106">
        <v>559000000</v>
      </c>
      <c r="H168" s="145">
        <f t="shared" si="32"/>
        <v>7.6</v>
      </c>
      <c r="I168" s="145">
        <f t="shared" si="39"/>
        <v>0.88081359228079137</v>
      </c>
      <c r="J168" s="106">
        <v>15</v>
      </c>
      <c r="K168" s="106">
        <f t="shared" si="33"/>
        <v>1.2041199826559248</v>
      </c>
      <c r="L168" s="59">
        <v>3.29</v>
      </c>
      <c r="M168" s="59">
        <f t="shared" si="40"/>
        <v>0.51719589794997434</v>
      </c>
      <c r="N168" s="154">
        <f t="shared" si="34"/>
        <v>1.6</v>
      </c>
      <c r="O168" s="119">
        <f t="shared" si="35"/>
        <v>0.41497334797081797</v>
      </c>
      <c r="P168" s="106">
        <v>3425.6694367497698</v>
      </c>
      <c r="Q168" s="106">
        <f t="shared" si="36"/>
        <v>3.5347454529897258</v>
      </c>
      <c r="R168" s="106">
        <v>9322.8685749461365</v>
      </c>
      <c r="S168" s="106">
        <f t="shared" si="37"/>
        <v>3.9695495619878729</v>
      </c>
      <c r="T168" s="106">
        <v>94.6</v>
      </c>
      <c r="U168" s="106">
        <f t="shared" si="41"/>
        <v>1.9758911364017928</v>
      </c>
      <c r="V168" s="119">
        <v>33.200000000000003</v>
      </c>
      <c r="W168" s="119">
        <f t="shared" si="42"/>
        <v>1.5211380837040362</v>
      </c>
      <c r="X168" s="120">
        <v>45.921427555082097</v>
      </c>
      <c r="Y168" s="120">
        <f t="shared" si="43"/>
        <v>1.6620153804713207</v>
      </c>
      <c r="Z168" s="152">
        <v>1.04</v>
      </c>
      <c r="AA168" s="119">
        <f t="shared" si="38"/>
        <v>0.30963016742589877</v>
      </c>
      <c r="AB168" s="106">
        <v>23</v>
      </c>
      <c r="AC168" s="137">
        <f t="shared" si="44"/>
        <v>1.3617278360175928</v>
      </c>
    </row>
    <row r="169" spans="1:29" x14ac:dyDescent="0.35">
      <c r="A169" s="146">
        <v>40609</v>
      </c>
      <c r="B169" s="108" t="s">
        <v>248</v>
      </c>
      <c r="C169" s="84">
        <f t="shared" si="30"/>
        <v>5</v>
      </c>
      <c r="D169" s="108">
        <v>10000000</v>
      </c>
      <c r="E169" s="84">
        <f t="shared" si="31"/>
        <v>7</v>
      </c>
      <c r="F169" s="146">
        <v>41736</v>
      </c>
      <c r="G169" s="108">
        <v>14250000</v>
      </c>
      <c r="H169" s="148">
        <f t="shared" si="32"/>
        <v>3.0876712328767124</v>
      </c>
      <c r="I169" s="145">
        <f t="shared" si="39"/>
        <v>0.48963105158963183</v>
      </c>
      <c r="J169" s="108">
        <v>6</v>
      </c>
      <c r="K169" s="108">
        <f t="shared" si="33"/>
        <v>0.84509804001425681</v>
      </c>
      <c r="L169" s="65">
        <v>3.29</v>
      </c>
      <c r="M169" s="59">
        <f t="shared" si="40"/>
        <v>0.51719589794997434</v>
      </c>
      <c r="N169" s="155">
        <f t="shared" si="34"/>
        <v>0.42500000000000004</v>
      </c>
      <c r="O169" s="127">
        <f t="shared" si="35"/>
        <v>0.15381486434452901</v>
      </c>
      <c r="P169" s="108">
        <v>3425.6694367497698</v>
      </c>
      <c r="Q169" s="108">
        <f t="shared" si="36"/>
        <v>3.5347454529897258</v>
      </c>
      <c r="R169" s="108">
        <v>9322.8685749461365</v>
      </c>
      <c r="S169" s="108">
        <f t="shared" si="37"/>
        <v>3.9695495619878729</v>
      </c>
      <c r="T169" s="108">
        <v>94.6</v>
      </c>
      <c r="U169" s="106">
        <f t="shared" si="41"/>
        <v>1.9758911364017928</v>
      </c>
      <c r="V169" s="127">
        <v>33.200000000000003</v>
      </c>
      <c r="W169" s="119">
        <f t="shared" si="42"/>
        <v>1.5211380837040362</v>
      </c>
      <c r="X169" s="128">
        <v>45.921427555082097</v>
      </c>
      <c r="Y169" s="120">
        <f t="shared" si="43"/>
        <v>1.6620153804713207</v>
      </c>
      <c r="Z169" s="153">
        <v>0.41</v>
      </c>
      <c r="AA169" s="127">
        <f t="shared" si="38"/>
        <v>0.14921911265537988</v>
      </c>
      <c r="AB169" s="108">
        <v>23</v>
      </c>
      <c r="AC169" s="137">
        <f t="shared" si="44"/>
        <v>1.3617278360175928</v>
      </c>
    </row>
    <row r="170" spans="1:29" x14ac:dyDescent="0.35">
      <c r="A170" s="143">
        <v>40300</v>
      </c>
      <c r="B170" s="106" t="s">
        <v>248</v>
      </c>
      <c r="C170" s="83">
        <f t="shared" si="30"/>
        <v>5</v>
      </c>
      <c r="D170" s="106">
        <v>95286000</v>
      </c>
      <c r="E170" s="83">
        <f t="shared" si="31"/>
        <v>7.9790290961326695</v>
      </c>
      <c r="F170" s="143">
        <v>42377</v>
      </c>
      <c r="G170" s="106">
        <v>35000000</v>
      </c>
      <c r="H170" s="145">
        <f t="shared" si="32"/>
        <v>5.6904109589041099</v>
      </c>
      <c r="I170" s="145">
        <f t="shared" si="39"/>
        <v>0.75514363207862445</v>
      </c>
      <c r="J170" s="106">
        <v>21</v>
      </c>
      <c r="K170" s="106">
        <f t="shared" si="33"/>
        <v>1.3424226808222062</v>
      </c>
      <c r="L170" s="59">
        <v>3.29</v>
      </c>
      <c r="M170" s="59">
        <f t="shared" si="40"/>
        <v>0.51719589794997434</v>
      </c>
      <c r="N170" s="154">
        <f t="shared" si="34"/>
        <v>-0.63268475956593839</v>
      </c>
      <c r="O170" s="119">
        <f t="shared" si="35"/>
        <v>-0.43496105178239375</v>
      </c>
      <c r="P170" s="106">
        <v>3425.6694367497698</v>
      </c>
      <c r="Q170" s="106">
        <f t="shared" si="36"/>
        <v>3.5347454529897258</v>
      </c>
      <c r="R170" s="106">
        <v>9322.8685749461365</v>
      </c>
      <c r="S170" s="106">
        <f t="shared" si="37"/>
        <v>3.9695495619878729</v>
      </c>
      <c r="T170" s="106">
        <v>94.9</v>
      </c>
      <c r="U170" s="106">
        <f t="shared" si="41"/>
        <v>1.9772662124272926</v>
      </c>
      <c r="V170" s="119">
        <v>32.299999999999997</v>
      </c>
      <c r="W170" s="119">
        <f t="shared" si="42"/>
        <v>1.5092025223311027</v>
      </c>
      <c r="X170" s="120">
        <v>47.560703662314701</v>
      </c>
      <c r="Y170" s="120">
        <f t="shared" si="43"/>
        <v>1.6772482713966061</v>
      </c>
      <c r="Z170" s="152">
        <v>0.62</v>
      </c>
      <c r="AA170" s="119">
        <f t="shared" si="38"/>
        <v>0.20951501454263097</v>
      </c>
      <c r="AB170" s="106">
        <v>22</v>
      </c>
      <c r="AC170" s="137">
        <f t="shared" si="44"/>
        <v>1.3424226808222062</v>
      </c>
    </row>
    <row r="171" spans="1:29" x14ac:dyDescent="0.35">
      <c r="A171" s="146">
        <v>39350</v>
      </c>
      <c r="B171" s="108" t="s">
        <v>190</v>
      </c>
      <c r="C171" s="84">
        <f t="shared" si="30"/>
        <v>2</v>
      </c>
      <c r="D171" s="108">
        <v>122500000</v>
      </c>
      <c r="E171" s="84">
        <f t="shared" si="31"/>
        <v>8.0881360887005513</v>
      </c>
      <c r="F171" s="146">
        <v>41364</v>
      </c>
      <c r="G171" s="108">
        <v>218910000</v>
      </c>
      <c r="H171" s="148">
        <f t="shared" si="32"/>
        <v>5.5178082191780824</v>
      </c>
      <c r="I171" s="145">
        <f t="shared" si="39"/>
        <v>0.74176660176112452</v>
      </c>
      <c r="J171" s="108">
        <v>11</v>
      </c>
      <c r="K171" s="108">
        <f t="shared" si="33"/>
        <v>1.0791812460476249</v>
      </c>
      <c r="L171" s="65">
        <v>3.29</v>
      </c>
      <c r="M171" s="59">
        <f t="shared" si="40"/>
        <v>0.51719589794997434</v>
      </c>
      <c r="N171" s="155">
        <f t="shared" si="34"/>
        <v>0.78702040816326524</v>
      </c>
      <c r="O171" s="127">
        <f t="shared" si="35"/>
        <v>0.2521295122717786</v>
      </c>
      <c r="P171" s="108">
        <v>3425.6694367497698</v>
      </c>
      <c r="Q171" s="108">
        <f t="shared" si="36"/>
        <v>3.5347454529897258</v>
      </c>
      <c r="R171" s="108">
        <v>9322.8685749461365</v>
      </c>
      <c r="S171" s="108">
        <f t="shared" si="37"/>
        <v>3.9695495619878729</v>
      </c>
      <c r="T171" s="108">
        <v>91.2</v>
      </c>
      <c r="U171" s="106">
        <f t="shared" si="41"/>
        <v>1.9599948383284163</v>
      </c>
      <c r="V171" s="127">
        <v>33</v>
      </c>
      <c r="W171" s="119">
        <f t="shared" si="42"/>
        <v>1.5185139398778875</v>
      </c>
      <c r="X171" s="128">
        <v>40.902544500539101</v>
      </c>
      <c r="Y171" s="120">
        <f t="shared" si="43"/>
        <v>1.6117503258110162</v>
      </c>
      <c r="Z171" s="153">
        <v>0.03</v>
      </c>
      <c r="AA171" s="127">
        <f t="shared" si="38"/>
        <v>1.2837224705172217E-2</v>
      </c>
      <c r="AB171" s="108">
        <v>19</v>
      </c>
      <c r="AC171" s="137">
        <f t="shared" si="44"/>
        <v>1.2787536009528289</v>
      </c>
    </row>
    <row r="172" spans="1:29" x14ac:dyDescent="0.35">
      <c r="A172" s="143">
        <v>39159</v>
      </c>
      <c r="B172" s="106" t="s">
        <v>269</v>
      </c>
      <c r="C172" s="83">
        <f t="shared" si="30"/>
        <v>7</v>
      </c>
      <c r="D172" s="106">
        <v>200000000</v>
      </c>
      <c r="E172" s="83">
        <f t="shared" si="31"/>
        <v>8.3010299956639813</v>
      </c>
      <c r="F172" s="143">
        <v>40086</v>
      </c>
      <c r="G172" s="106">
        <v>350000000</v>
      </c>
      <c r="H172" s="145">
        <f t="shared" si="32"/>
        <v>2.5397260273972604</v>
      </c>
      <c r="I172" s="145">
        <f t="shared" si="39"/>
        <v>0.40478686968802241</v>
      </c>
      <c r="J172" s="106">
        <v>72</v>
      </c>
      <c r="K172" s="106">
        <f t="shared" si="33"/>
        <v>1.8633228601204559</v>
      </c>
      <c r="L172" s="59">
        <v>3.29</v>
      </c>
      <c r="M172" s="59">
        <f t="shared" si="40"/>
        <v>0.51719589794997434</v>
      </c>
      <c r="N172" s="154">
        <f t="shared" si="34"/>
        <v>0.75</v>
      </c>
      <c r="O172" s="119">
        <f t="shared" si="35"/>
        <v>0.24303804868629444</v>
      </c>
      <c r="P172" s="106">
        <v>3425.6694367497698</v>
      </c>
      <c r="Q172" s="106">
        <f t="shared" si="36"/>
        <v>3.5347454529897258</v>
      </c>
      <c r="R172" s="106">
        <v>9322.8685749461365</v>
      </c>
      <c r="S172" s="106">
        <f t="shared" si="37"/>
        <v>3.9695495619878729</v>
      </c>
      <c r="T172" s="106">
        <v>91.2</v>
      </c>
      <c r="U172" s="106">
        <f t="shared" si="41"/>
        <v>1.9599948383284163</v>
      </c>
      <c r="V172" s="119">
        <v>33</v>
      </c>
      <c r="W172" s="119">
        <f t="shared" si="42"/>
        <v>1.5185139398778875</v>
      </c>
      <c r="X172" s="120">
        <v>40.902544500539101</v>
      </c>
      <c r="Y172" s="120">
        <f t="shared" si="43"/>
        <v>1.6117503258110162</v>
      </c>
      <c r="Z172" s="152">
        <v>-0.24</v>
      </c>
      <c r="AA172" s="119">
        <f t="shared" si="38"/>
        <v>-0.11918640771920865</v>
      </c>
      <c r="AB172" s="106">
        <v>19</v>
      </c>
      <c r="AC172" s="137">
        <f t="shared" si="44"/>
        <v>1.2787536009528289</v>
      </c>
    </row>
    <row r="173" spans="1:29" x14ac:dyDescent="0.35">
      <c r="A173" s="146">
        <v>38455</v>
      </c>
      <c r="B173" s="108" t="s">
        <v>248</v>
      </c>
      <c r="C173" s="84">
        <f t="shared" si="30"/>
        <v>5</v>
      </c>
      <c r="D173" s="108">
        <v>124000000</v>
      </c>
      <c r="E173" s="84">
        <f t="shared" si="31"/>
        <v>8.0934216851622356</v>
      </c>
      <c r="F173" s="146">
        <v>40209</v>
      </c>
      <c r="G173" s="108">
        <v>190000000</v>
      </c>
      <c r="H173" s="148">
        <f t="shared" si="32"/>
        <v>4.8054794520547945</v>
      </c>
      <c r="I173" s="145">
        <f t="shared" si="39"/>
        <v>0.68173672457354706</v>
      </c>
      <c r="J173" s="108">
        <v>0</v>
      </c>
      <c r="K173" s="108">
        <f t="shared" si="33"/>
        <v>0</v>
      </c>
      <c r="L173" s="65">
        <v>3.29</v>
      </c>
      <c r="M173" s="59">
        <f t="shared" si="40"/>
        <v>0.51719589794997434</v>
      </c>
      <c r="N173" s="155">
        <f t="shared" si="34"/>
        <v>0.532258064516129</v>
      </c>
      <c r="O173" s="127">
        <f t="shared" si="35"/>
        <v>0.18533191579059388</v>
      </c>
      <c r="P173" s="108">
        <v>3425.6694367497698</v>
      </c>
      <c r="Q173" s="108">
        <f t="shared" si="36"/>
        <v>3.5347454529897258</v>
      </c>
      <c r="R173" s="108">
        <v>9322.8685749461365</v>
      </c>
      <c r="S173" s="108">
        <f t="shared" si="37"/>
        <v>3.9695495619878729</v>
      </c>
      <c r="T173" s="108">
        <v>85</v>
      </c>
      <c r="U173" s="106">
        <f t="shared" si="41"/>
        <v>1.9294189257142926</v>
      </c>
      <c r="V173" s="127">
        <v>32.700000000000003</v>
      </c>
      <c r="W173" s="119">
        <f t="shared" si="42"/>
        <v>1.5145477526602862</v>
      </c>
      <c r="X173" s="128">
        <v>41.286751495766303</v>
      </c>
      <c r="Y173" s="120">
        <f t="shared" si="43"/>
        <v>1.6158107132703448</v>
      </c>
      <c r="Z173" s="153">
        <v>-0.09</v>
      </c>
      <c r="AA173" s="127">
        <f t="shared" si="38"/>
        <v>-4.0958607678906384E-2</v>
      </c>
      <c r="AB173" s="108">
        <v>17</v>
      </c>
      <c r="AC173" s="137">
        <f t="shared" si="44"/>
        <v>1.2304489213782739</v>
      </c>
    </row>
    <row r="174" spans="1:29" x14ac:dyDescent="0.35">
      <c r="A174" s="143">
        <v>38347</v>
      </c>
      <c r="B174" s="106" t="s">
        <v>190</v>
      </c>
      <c r="C174" s="83">
        <f t="shared" si="30"/>
        <v>2</v>
      </c>
      <c r="D174" s="106">
        <v>75000000</v>
      </c>
      <c r="E174" s="83">
        <f t="shared" si="31"/>
        <v>7.8750612633917001</v>
      </c>
      <c r="F174" s="143">
        <v>40250</v>
      </c>
      <c r="G174" s="106">
        <v>100000000</v>
      </c>
      <c r="H174" s="145">
        <f t="shared" si="32"/>
        <v>5.2136986301369861</v>
      </c>
      <c r="I174" s="145">
        <f t="shared" si="39"/>
        <v>0.71714592383054576</v>
      </c>
      <c r="J174" s="106">
        <v>1</v>
      </c>
      <c r="K174" s="106">
        <f t="shared" si="33"/>
        <v>0.3010299956639812</v>
      </c>
      <c r="L174" s="59">
        <v>3.29</v>
      </c>
      <c r="M174" s="59">
        <f t="shared" si="40"/>
        <v>0.51719589794997434</v>
      </c>
      <c r="N174" s="154">
        <f t="shared" si="34"/>
        <v>0.33333333333333326</v>
      </c>
      <c r="O174" s="119">
        <f t="shared" si="35"/>
        <v>0.12493873660829993</v>
      </c>
      <c r="P174" s="106">
        <v>3425.6694367497698</v>
      </c>
      <c r="Q174" s="106">
        <f t="shared" si="36"/>
        <v>3.5347454529897258</v>
      </c>
      <c r="R174" s="106">
        <v>9322.8685749461365</v>
      </c>
      <c r="S174" s="106">
        <f t="shared" si="37"/>
        <v>3.9695495619878729</v>
      </c>
      <c r="T174" s="106">
        <v>85</v>
      </c>
      <c r="U174" s="106">
        <f t="shared" si="41"/>
        <v>1.9294189257142926</v>
      </c>
      <c r="V174" s="119">
        <v>32.299999999999997</v>
      </c>
      <c r="W174" s="119">
        <f t="shared" si="42"/>
        <v>1.5092025223311027</v>
      </c>
      <c r="X174" s="120">
        <v>40.040400531970803</v>
      </c>
      <c r="Y174" s="120">
        <f t="shared" si="43"/>
        <v>1.6024984131617945</v>
      </c>
      <c r="Z174" s="152">
        <v>-0.05</v>
      </c>
      <c r="AA174" s="119">
        <f t="shared" si="38"/>
        <v>-2.2276394711152253E-2</v>
      </c>
      <c r="AB174" s="106">
        <v>16</v>
      </c>
      <c r="AC174" s="137">
        <f t="shared" si="44"/>
        <v>1.2041199826559248</v>
      </c>
    </row>
    <row r="175" spans="1:29" x14ac:dyDescent="0.35">
      <c r="A175" s="146">
        <v>37948</v>
      </c>
      <c r="B175" s="108" t="s">
        <v>269</v>
      </c>
      <c r="C175" s="84">
        <f t="shared" si="30"/>
        <v>7</v>
      </c>
      <c r="D175" s="108">
        <v>225000000</v>
      </c>
      <c r="E175" s="84">
        <f t="shared" si="31"/>
        <v>8.3521825181113627</v>
      </c>
      <c r="F175" s="146">
        <v>40165</v>
      </c>
      <c r="G175" s="108">
        <v>809678000</v>
      </c>
      <c r="H175" s="148">
        <f t="shared" si="32"/>
        <v>6.0739726027397261</v>
      </c>
      <c r="I175" s="145">
        <f t="shared" si="39"/>
        <v>0.78347282865801349</v>
      </c>
      <c r="J175" s="108">
        <v>3</v>
      </c>
      <c r="K175" s="108">
        <f t="shared" si="33"/>
        <v>0.6020599913279624</v>
      </c>
      <c r="L175" s="65">
        <v>3.29</v>
      </c>
      <c r="M175" s="59">
        <f t="shared" si="40"/>
        <v>0.51719589794997434</v>
      </c>
      <c r="N175" s="155">
        <f t="shared" si="34"/>
        <v>2.5985688888888889</v>
      </c>
      <c r="O175" s="127">
        <f t="shared" si="35"/>
        <v>0.5561298209815333</v>
      </c>
      <c r="P175" s="108">
        <v>3425.6694367497698</v>
      </c>
      <c r="Q175" s="108">
        <f t="shared" si="36"/>
        <v>3.5347454529897258</v>
      </c>
      <c r="R175" s="108">
        <v>9322.8685749461365</v>
      </c>
      <c r="S175" s="108">
        <f t="shared" si="37"/>
        <v>3.9695495619878729</v>
      </c>
      <c r="T175" s="108">
        <v>85</v>
      </c>
      <c r="U175" s="106">
        <f t="shared" si="41"/>
        <v>1.9294189257142926</v>
      </c>
      <c r="V175" s="127">
        <v>31.3</v>
      </c>
      <c r="W175" s="119">
        <f t="shared" si="42"/>
        <v>1.4955443375464486</v>
      </c>
      <c r="X175" s="128">
        <v>38.7850112673514</v>
      </c>
      <c r="Y175" s="120">
        <f t="shared" si="43"/>
        <v>1.5886639219461918</v>
      </c>
      <c r="Z175" s="153">
        <v>0.06</v>
      </c>
      <c r="AA175" s="127">
        <f t="shared" si="38"/>
        <v>2.5305865264770262E-2</v>
      </c>
      <c r="AB175" s="108">
        <v>15</v>
      </c>
      <c r="AC175" s="137">
        <f t="shared" si="44"/>
        <v>1.1760912590556813</v>
      </c>
    </row>
    <row r="176" spans="1:29" x14ac:dyDescent="0.35">
      <c r="A176" s="143">
        <v>37641</v>
      </c>
      <c r="B176" s="106" t="s">
        <v>248</v>
      </c>
      <c r="C176" s="83">
        <f t="shared" si="30"/>
        <v>5</v>
      </c>
      <c r="D176" s="106">
        <v>31984000</v>
      </c>
      <c r="E176" s="83">
        <f t="shared" si="31"/>
        <v>7.5049327767740417</v>
      </c>
      <c r="F176" s="143">
        <v>38678</v>
      </c>
      <c r="G176" s="106">
        <v>75800000</v>
      </c>
      <c r="H176" s="145">
        <f t="shared" si="32"/>
        <v>2.8410958904109589</v>
      </c>
      <c r="I176" s="145">
        <f t="shared" si="39"/>
        <v>0.45348589193256628</v>
      </c>
      <c r="J176" s="106">
        <v>9</v>
      </c>
      <c r="K176" s="106">
        <f t="shared" si="33"/>
        <v>1</v>
      </c>
      <c r="L176" s="59">
        <v>3.29</v>
      </c>
      <c r="M176" s="59">
        <f t="shared" si="40"/>
        <v>0.51719589794997434</v>
      </c>
      <c r="N176" s="154">
        <f t="shared" si="34"/>
        <v>1.3699349674837418</v>
      </c>
      <c r="O176" s="119">
        <f t="shared" si="35"/>
        <v>0.37473642885801178</v>
      </c>
      <c r="P176" s="106">
        <v>3425.6694367497698</v>
      </c>
      <c r="Q176" s="106">
        <f t="shared" si="36"/>
        <v>3.5347454529897258</v>
      </c>
      <c r="R176" s="106">
        <v>9322.8685749461365</v>
      </c>
      <c r="S176" s="106">
        <f t="shared" si="37"/>
        <v>3.9695495619878729</v>
      </c>
      <c r="T176" s="106">
        <v>85</v>
      </c>
      <c r="U176" s="106">
        <f t="shared" si="41"/>
        <v>1.9294189257142926</v>
      </c>
      <c r="V176" s="119">
        <v>31.3</v>
      </c>
      <c r="W176" s="119">
        <f t="shared" si="42"/>
        <v>1.4955443375464486</v>
      </c>
      <c r="X176" s="120">
        <v>38.7850112673514</v>
      </c>
      <c r="Y176" s="120">
        <f t="shared" si="43"/>
        <v>1.5886639219461918</v>
      </c>
      <c r="Z176" s="152">
        <v>0.4</v>
      </c>
      <c r="AA176" s="119">
        <f t="shared" si="38"/>
        <v>0.14612803567823801</v>
      </c>
      <c r="AB176" s="106">
        <v>15</v>
      </c>
      <c r="AC176" s="137">
        <f t="shared" si="44"/>
        <v>1.1760912590556813</v>
      </c>
    </row>
    <row r="177" spans="1:29" x14ac:dyDescent="0.35">
      <c r="A177" s="146">
        <v>36881</v>
      </c>
      <c r="B177" s="108" t="s">
        <v>248</v>
      </c>
      <c r="C177" s="84">
        <f t="shared" si="30"/>
        <v>5</v>
      </c>
      <c r="D177" s="108">
        <v>175750000</v>
      </c>
      <c r="E177" s="84">
        <f t="shared" si="31"/>
        <v>8.2448953336918613</v>
      </c>
      <c r="F177" s="146">
        <v>38394</v>
      </c>
      <c r="G177" s="108">
        <v>950000000</v>
      </c>
      <c r="H177" s="148">
        <f t="shared" si="32"/>
        <v>4.1452054794520548</v>
      </c>
      <c r="I177" s="145">
        <f t="shared" si="39"/>
        <v>0.61754606356671204</v>
      </c>
      <c r="J177" s="108">
        <v>146</v>
      </c>
      <c r="K177" s="108">
        <f t="shared" si="33"/>
        <v>2.167317334748176</v>
      </c>
      <c r="L177" s="65">
        <v>3.29</v>
      </c>
      <c r="M177" s="59">
        <f t="shared" si="40"/>
        <v>0.51719589794997434</v>
      </c>
      <c r="N177" s="155">
        <f t="shared" si="34"/>
        <v>4.4054054054054053</v>
      </c>
      <c r="O177" s="127">
        <f t="shared" si="35"/>
        <v>0.73282827159698616</v>
      </c>
      <c r="P177" s="108">
        <v>3425.6694367497698</v>
      </c>
      <c r="Q177" s="108">
        <f t="shared" si="36"/>
        <v>3.5347454529897258</v>
      </c>
      <c r="R177" s="108">
        <v>9322.8685749461365</v>
      </c>
      <c r="S177" s="108">
        <f t="shared" si="37"/>
        <v>3.9695495619878729</v>
      </c>
      <c r="T177" s="108">
        <v>85</v>
      </c>
      <c r="U177" s="106">
        <f t="shared" si="41"/>
        <v>1.9294189257142926</v>
      </c>
      <c r="V177" s="127">
        <v>32.9</v>
      </c>
      <c r="W177" s="119">
        <f t="shared" si="42"/>
        <v>1.5171958979499742</v>
      </c>
      <c r="X177" s="128">
        <v>35.433808146393098</v>
      </c>
      <c r="Y177" s="120">
        <f t="shared" si="43"/>
        <v>1.5494178293890581</v>
      </c>
      <c r="Z177" s="153">
        <v>-0.05</v>
      </c>
      <c r="AA177" s="127">
        <f t="shared" si="38"/>
        <v>-2.2276394711152253E-2</v>
      </c>
      <c r="AB177" s="108">
        <v>12</v>
      </c>
      <c r="AC177" s="137">
        <f t="shared" si="44"/>
        <v>1.0791812460476249</v>
      </c>
    </row>
    <row r="178" spans="1:29" x14ac:dyDescent="0.35">
      <c r="A178" s="143">
        <v>36410</v>
      </c>
      <c r="B178" s="106" t="s">
        <v>248</v>
      </c>
      <c r="C178" s="83">
        <f t="shared" si="30"/>
        <v>5</v>
      </c>
      <c r="D178" s="106">
        <v>111500000</v>
      </c>
      <c r="E178" s="83">
        <f t="shared" si="31"/>
        <v>8.0472748673841803</v>
      </c>
      <c r="F178" s="143">
        <v>37928</v>
      </c>
      <c r="G178" s="106">
        <v>23000000</v>
      </c>
      <c r="H178" s="145">
        <f t="shared" si="32"/>
        <v>4.1589041095890407</v>
      </c>
      <c r="I178" s="145">
        <f t="shared" si="39"/>
        <v>0.61897890710298675</v>
      </c>
      <c r="J178" s="106">
        <v>0</v>
      </c>
      <c r="K178" s="106">
        <f t="shared" si="33"/>
        <v>0</v>
      </c>
      <c r="L178" s="59">
        <v>3.29</v>
      </c>
      <c r="M178" s="59">
        <f t="shared" si="40"/>
        <v>0.51719589794997434</v>
      </c>
      <c r="N178" s="154">
        <f t="shared" si="34"/>
        <v>-0.79372197309417036</v>
      </c>
      <c r="O178" s="119">
        <f t="shared" si="35"/>
        <v>-0.68554703136658657</v>
      </c>
      <c r="P178" s="106">
        <v>3425.6694367497698</v>
      </c>
      <c r="Q178" s="106">
        <f t="shared" si="36"/>
        <v>3.5347454529897258</v>
      </c>
      <c r="R178" s="106">
        <v>9322.8685749461365</v>
      </c>
      <c r="S178" s="106">
        <f t="shared" si="37"/>
        <v>3.9695495619878729</v>
      </c>
      <c r="T178" s="106">
        <v>85</v>
      </c>
      <c r="U178" s="106">
        <f t="shared" si="41"/>
        <v>1.9294189257142926</v>
      </c>
      <c r="V178" s="119">
        <v>32.200000000000003</v>
      </c>
      <c r="W178" s="119">
        <f t="shared" si="42"/>
        <v>1.507855871695831</v>
      </c>
      <c r="X178" s="120">
        <v>35.326012114535303</v>
      </c>
      <c r="Y178" s="120">
        <f t="shared" si="43"/>
        <v>1.548094613534351</v>
      </c>
      <c r="Z178" s="152">
        <v>-0.22</v>
      </c>
      <c r="AA178" s="119">
        <f t="shared" si="38"/>
        <v>-0.10790539730951958</v>
      </c>
      <c r="AB178" s="106">
        <v>11</v>
      </c>
      <c r="AC178" s="137">
        <f t="shared" si="44"/>
        <v>1.0413926851582251</v>
      </c>
    </row>
    <row r="179" spans="1:29" x14ac:dyDescent="0.35">
      <c r="A179" s="146">
        <v>36010</v>
      </c>
      <c r="B179" s="108" t="s">
        <v>248</v>
      </c>
      <c r="C179" s="84">
        <f t="shared" si="30"/>
        <v>5</v>
      </c>
      <c r="D179" s="108">
        <v>70000000</v>
      </c>
      <c r="E179" s="84">
        <f t="shared" si="31"/>
        <v>7.8450980400142569</v>
      </c>
      <c r="F179" s="146">
        <v>36799</v>
      </c>
      <c r="G179" s="108">
        <v>230000000</v>
      </c>
      <c r="H179" s="148">
        <f t="shared" si="32"/>
        <v>2.1616438356164385</v>
      </c>
      <c r="I179" s="145">
        <f t="shared" si="39"/>
        <v>0.3347841387529456</v>
      </c>
      <c r="J179" s="108">
        <v>0</v>
      </c>
      <c r="K179" s="108">
        <f t="shared" si="33"/>
        <v>0</v>
      </c>
      <c r="L179" s="65">
        <v>3.29</v>
      </c>
      <c r="M179" s="59">
        <f t="shared" si="40"/>
        <v>0.51719589794997434</v>
      </c>
      <c r="N179" s="155">
        <f t="shared" si="34"/>
        <v>2.2857142857142856</v>
      </c>
      <c r="O179" s="127">
        <f t="shared" si="35"/>
        <v>0.51662979600333603</v>
      </c>
      <c r="P179" s="108">
        <v>3425.6694367497698</v>
      </c>
      <c r="Q179" s="108">
        <f t="shared" si="36"/>
        <v>3.5347454529897258</v>
      </c>
      <c r="R179" s="108">
        <v>9322.8685749461365</v>
      </c>
      <c r="S179" s="108">
        <f t="shared" si="37"/>
        <v>3.9695495619878729</v>
      </c>
      <c r="T179" s="108">
        <v>85</v>
      </c>
      <c r="U179" s="106">
        <f t="shared" si="41"/>
        <v>1.9294189257142926</v>
      </c>
      <c r="V179" s="127">
        <v>31.5</v>
      </c>
      <c r="W179" s="119">
        <f t="shared" si="42"/>
        <v>1.4983105537896004</v>
      </c>
      <c r="X179" s="128">
        <v>35.516899069648296</v>
      </c>
      <c r="Y179" s="120">
        <f t="shared" si="43"/>
        <v>1.5504350411232082</v>
      </c>
      <c r="Z179" s="153">
        <v>0.28999999999999998</v>
      </c>
      <c r="AA179" s="127">
        <f t="shared" si="38"/>
        <v>0.11058971029924898</v>
      </c>
      <c r="AB179" s="108">
        <v>10</v>
      </c>
      <c r="AC179" s="137">
        <f t="shared" si="44"/>
        <v>1</v>
      </c>
    </row>
    <row r="180" spans="1:29" x14ac:dyDescent="0.35">
      <c r="A180" s="143">
        <v>35520</v>
      </c>
      <c r="B180" s="106" t="s">
        <v>248</v>
      </c>
      <c r="C180" s="83">
        <f t="shared" si="30"/>
        <v>5</v>
      </c>
      <c r="D180" s="106">
        <v>91000000</v>
      </c>
      <c r="E180" s="83">
        <f t="shared" si="31"/>
        <v>7.9590413923210939</v>
      </c>
      <c r="F180" s="143">
        <v>36179</v>
      </c>
      <c r="G180" s="106">
        <v>180000000</v>
      </c>
      <c r="H180" s="145">
        <f t="shared" si="32"/>
        <v>1.8054794520547945</v>
      </c>
      <c r="I180" s="145">
        <f t="shared" si="39"/>
        <v>0.25659255013753518</v>
      </c>
      <c r="J180" s="106">
        <v>1</v>
      </c>
      <c r="K180" s="106">
        <f t="shared" si="33"/>
        <v>0.3010299956639812</v>
      </c>
      <c r="L180" s="59">
        <v>3.29</v>
      </c>
      <c r="M180" s="59">
        <f t="shared" si="40"/>
        <v>0.51719589794997434</v>
      </c>
      <c r="N180" s="154">
        <f t="shared" si="34"/>
        <v>0.9780219780219781</v>
      </c>
      <c r="O180" s="119">
        <f t="shared" si="35"/>
        <v>0.29623111278221248</v>
      </c>
      <c r="P180" s="106">
        <v>3425.6694367497698</v>
      </c>
      <c r="Q180" s="106">
        <f t="shared" si="36"/>
        <v>3.5347454529897258</v>
      </c>
      <c r="R180" s="106">
        <v>9322.8685749461365</v>
      </c>
      <c r="S180" s="106">
        <f t="shared" si="37"/>
        <v>3.9695495619878729</v>
      </c>
      <c r="T180" s="106">
        <v>85</v>
      </c>
      <c r="U180" s="106">
        <f t="shared" si="41"/>
        <v>1.9294189257142926</v>
      </c>
      <c r="V180" s="119">
        <v>30</v>
      </c>
      <c r="W180" s="119">
        <f t="shared" si="42"/>
        <v>1.4771212547196624</v>
      </c>
      <c r="X180" s="120">
        <v>35.807885111275297</v>
      </c>
      <c r="Y180" s="120">
        <f t="shared" si="43"/>
        <v>1.5539786714272548</v>
      </c>
      <c r="Z180" s="152">
        <v>0.65</v>
      </c>
      <c r="AA180" s="119">
        <f t="shared" si="38"/>
        <v>0.21748394421390627</v>
      </c>
      <c r="AB180" s="106">
        <v>9</v>
      </c>
      <c r="AC180" s="137">
        <f t="shared" si="44"/>
        <v>0.95424250943932487</v>
      </c>
    </row>
    <row r="181" spans="1:29" x14ac:dyDescent="0.35">
      <c r="A181" s="146">
        <v>34972</v>
      </c>
      <c r="B181" s="108" t="s">
        <v>186</v>
      </c>
      <c r="C181" s="84">
        <f t="shared" si="30"/>
        <v>4</v>
      </c>
      <c r="D181" s="108">
        <v>32500000</v>
      </c>
      <c r="E181" s="84">
        <f t="shared" si="31"/>
        <v>7.5118833609788744</v>
      </c>
      <c r="F181" s="146">
        <v>36038</v>
      </c>
      <c r="G181" s="108">
        <v>165000000</v>
      </c>
      <c r="H181" s="148">
        <f t="shared" si="32"/>
        <v>2.9205479452054797</v>
      </c>
      <c r="I181" s="145">
        <f t="shared" si="39"/>
        <v>0.46546434023407879</v>
      </c>
      <c r="J181" s="108">
        <v>33</v>
      </c>
      <c r="K181" s="108">
        <f t="shared" si="33"/>
        <v>1.5314789170422551</v>
      </c>
      <c r="L181" s="65">
        <v>3.29</v>
      </c>
      <c r="M181" s="59">
        <f t="shared" si="40"/>
        <v>0.51719589794997434</v>
      </c>
      <c r="N181" s="155">
        <f t="shared" si="34"/>
        <v>4.0769230769230766</v>
      </c>
      <c r="O181" s="127">
        <f t="shared" si="35"/>
        <v>0.70560058323503183</v>
      </c>
      <c r="P181" s="108">
        <v>3425.6694367497698</v>
      </c>
      <c r="Q181" s="108">
        <f t="shared" si="36"/>
        <v>3.5347454529897258</v>
      </c>
      <c r="R181" s="108">
        <v>9322.8685749461365</v>
      </c>
      <c r="S181" s="108">
        <f t="shared" si="37"/>
        <v>3.9695495619878729</v>
      </c>
      <c r="T181" s="108">
        <v>100</v>
      </c>
      <c r="U181" s="106">
        <f t="shared" si="41"/>
        <v>2</v>
      </c>
      <c r="V181" s="127">
        <v>29.5</v>
      </c>
      <c r="W181" s="119">
        <f t="shared" si="42"/>
        <v>1.469822015978163</v>
      </c>
      <c r="X181" s="128">
        <v>38.538703610951003</v>
      </c>
      <c r="Y181" s="120">
        <f t="shared" si="43"/>
        <v>1.5858971014953607</v>
      </c>
      <c r="Z181" s="153">
        <v>0.64</v>
      </c>
      <c r="AA181" s="127">
        <f t="shared" si="38"/>
        <v>0.21484384804769791</v>
      </c>
      <c r="AB181" s="108">
        <v>7</v>
      </c>
      <c r="AC181" s="137">
        <f t="shared" si="44"/>
        <v>0.84509804001425681</v>
      </c>
    </row>
    <row r="182" spans="1:29" x14ac:dyDescent="0.35">
      <c r="A182" s="143">
        <v>39492</v>
      </c>
      <c r="B182" s="106" t="s">
        <v>190</v>
      </c>
      <c r="C182" s="83">
        <f t="shared" si="30"/>
        <v>2</v>
      </c>
      <c r="D182" s="106">
        <v>425000000</v>
      </c>
      <c r="E182" s="83">
        <f t="shared" si="31"/>
        <v>8.6283889300503116</v>
      </c>
      <c r="F182" s="143">
        <v>41051</v>
      </c>
      <c r="G182" s="106">
        <v>372000000</v>
      </c>
      <c r="H182" s="145">
        <f t="shared" si="32"/>
        <v>4.2712328767123289</v>
      </c>
      <c r="I182" s="145">
        <f t="shared" si="39"/>
        <v>0.63055325073236701</v>
      </c>
      <c r="J182" s="106">
        <v>0</v>
      </c>
      <c r="K182" s="106">
        <f t="shared" si="33"/>
        <v>0</v>
      </c>
      <c r="L182" s="59">
        <v>2.95</v>
      </c>
      <c r="M182" s="59">
        <f t="shared" si="40"/>
        <v>0.46982201597816303</v>
      </c>
      <c r="N182" s="154">
        <f t="shared" si="34"/>
        <v>-0.12470588235294122</v>
      </c>
      <c r="O182" s="119">
        <f t="shared" si="35"/>
        <v>-5.7845990168414053E-2</v>
      </c>
      <c r="P182" s="106">
        <v>2229.0809327846364</v>
      </c>
      <c r="Q182" s="106">
        <f t="shared" si="36"/>
        <v>3.3481258369969185</v>
      </c>
      <c r="R182" s="106">
        <v>7475.9945130315509</v>
      </c>
      <c r="S182" s="106">
        <f t="shared" si="37"/>
        <v>3.8736689739586678</v>
      </c>
      <c r="T182" s="106">
        <v>92.6</v>
      </c>
      <c r="U182" s="106">
        <f t="shared" si="41"/>
        <v>1.9666109866819343</v>
      </c>
      <c r="V182" s="119">
        <v>25.7</v>
      </c>
      <c r="W182" s="119">
        <f t="shared" si="42"/>
        <v>1.4099331233312946</v>
      </c>
      <c r="X182" s="120">
        <v>39.823361151429197</v>
      </c>
      <c r="Y182" s="120">
        <f t="shared" si="43"/>
        <v>1.6001379123442065</v>
      </c>
      <c r="Z182" s="152">
        <v>-0.02</v>
      </c>
      <c r="AA182" s="119">
        <f t="shared" si="38"/>
        <v>-8.7739243075051505E-3</v>
      </c>
      <c r="AB182" s="106">
        <v>3</v>
      </c>
      <c r="AC182" s="137">
        <f t="shared" si="44"/>
        <v>0.47712125471966244</v>
      </c>
    </row>
    <row r="183" spans="1:29" x14ac:dyDescent="0.35">
      <c r="A183" s="146">
        <v>39184</v>
      </c>
      <c r="B183" s="108" t="s">
        <v>190</v>
      </c>
      <c r="C183" s="84">
        <f t="shared" si="30"/>
        <v>2</v>
      </c>
      <c r="D183" s="108">
        <v>210000000</v>
      </c>
      <c r="E183" s="84">
        <f t="shared" si="31"/>
        <v>8.3222192947339195</v>
      </c>
      <c r="F183" s="146">
        <v>40939</v>
      </c>
      <c r="G183" s="108">
        <v>350000000</v>
      </c>
      <c r="H183" s="148">
        <f t="shared" si="32"/>
        <v>4.8082191780821919</v>
      </c>
      <c r="I183" s="145">
        <f t="shared" si="39"/>
        <v>0.68198425634536819</v>
      </c>
      <c r="J183" s="108">
        <v>60</v>
      </c>
      <c r="K183" s="108">
        <f t="shared" si="33"/>
        <v>1.7853298350107671</v>
      </c>
      <c r="L183" s="65">
        <v>2.95</v>
      </c>
      <c r="M183" s="59">
        <f t="shared" si="40"/>
        <v>0.46982201597816303</v>
      </c>
      <c r="N183" s="155">
        <f t="shared" si="34"/>
        <v>0.66666666666666674</v>
      </c>
      <c r="O183" s="127">
        <f t="shared" si="35"/>
        <v>0.22184874961635639</v>
      </c>
      <c r="P183" s="108">
        <v>2229.0809327846364</v>
      </c>
      <c r="Q183" s="108">
        <f t="shared" si="36"/>
        <v>3.3481258369969185</v>
      </c>
      <c r="R183" s="108">
        <v>7475.9945130315509</v>
      </c>
      <c r="S183" s="108">
        <f t="shared" si="37"/>
        <v>3.8736689739586678</v>
      </c>
      <c r="T183" s="108">
        <v>91.4</v>
      </c>
      <c r="U183" s="106">
        <f t="shared" si="41"/>
        <v>1.9609461957338314</v>
      </c>
      <c r="V183" s="127">
        <v>26.7</v>
      </c>
      <c r="W183" s="119">
        <f t="shared" si="42"/>
        <v>1.4265112613645752</v>
      </c>
      <c r="X183" s="128">
        <v>37.425715444240403</v>
      </c>
      <c r="Y183" s="120">
        <f t="shared" si="43"/>
        <v>1.5731701112332821</v>
      </c>
      <c r="Z183" s="153">
        <v>-0.09</v>
      </c>
      <c r="AA183" s="127">
        <f t="shared" si="38"/>
        <v>-4.0958607678906384E-2</v>
      </c>
      <c r="AB183" s="108">
        <v>2</v>
      </c>
      <c r="AC183" s="137">
        <f t="shared" si="44"/>
        <v>0.3010299956639812</v>
      </c>
    </row>
    <row r="184" spans="1:29" x14ac:dyDescent="0.35">
      <c r="A184" s="143">
        <v>38993</v>
      </c>
      <c r="B184" s="106" t="s">
        <v>235</v>
      </c>
      <c r="C184" s="83">
        <f t="shared" si="30"/>
        <v>1</v>
      </c>
      <c r="D184" s="106">
        <v>50000000</v>
      </c>
      <c r="E184" s="83">
        <f t="shared" si="31"/>
        <v>7.6989700043360187</v>
      </c>
      <c r="F184" s="143">
        <v>39947</v>
      </c>
      <c r="G184" s="106">
        <v>185000000</v>
      </c>
      <c r="H184" s="145">
        <f t="shared" si="32"/>
        <v>2.6136986301369864</v>
      </c>
      <c r="I184" s="145">
        <f t="shared" si="39"/>
        <v>0.41725551024762042</v>
      </c>
      <c r="J184" s="106">
        <v>3</v>
      </c>
      <c r="K184" s="106">
        <f t="shared" si="33"/>
        <v>0.6020599913279624</v>
      </c>
      <c r="L184" s="59">
        <v>2.95</v>
      </c>
      <c r="M184" s="59">
        <f t="shared" si="40"/>
        <v>0.46982201597816303</v>
      </c>
      <c r="N184" s="154">
        <f t="shared" si="34"/>
        <v>2.7</v>
      </c>
      <c r="O184" s="119">
        <f t="shared" si="35"/>
        <v>0.56820172406699498</v>
      </c>
      <c r="P184" s="106">
        <v>2229.0809327846364</v>
      </c>
      <c r="Q184" s="106">
        <f t="shared" si="36"/>
        <v>3.3481258369969185</v>
      </c>
      <c r="R184" s="106">
        <v>7475.9945130315509</v>
      </c>
      <c r="S184" s="106">
        <f t="shared" si="37"/>
        <v>3.8736689739586678</v>
      </c>
      <c r="T184" s="106">
        <v>93.2</v>
      </c>
      <c r="U184" s="106">
        <f t="shared" si="41"/>
        <v>1.9694159123539814</v>
      </c>
      <c r="V184" s="119">
        <v>26.7</v>
      </c>
      <c r="W184" s="119">
        <f t="shared" si="42"/>
        <v>1.4265112613645752</v>
      </c>
      <c r="X184" s="120">
        <v>36.669158714517401</v>
      </c>
      <c r="Y184" s="120">
        <f t="shared" si="43"/>
        <v>1.5643009462345601</v>
      </c>
      <c r="Z184" s="152">
        <v>-0.33</v>
      </c>
      <c r="AA184" s="119">
        <f t="shared" si="38"/>
        <v>-0.17392519729917361</v>
      </c>
      <c r="AB184" s="106">
        <v>1</v>
      </c>
      <c r="AC184" s="137">
        <f t="shared" si="44"/>
        <v>0</v>
      </c>
    </row>
    <row r="185" spans="1:29" x14ac:dyDescent="0.35">
      <c r="A185" s="146">
        <v>39896</v>
      </c>
      <c r="B185" s="108" t="s">
        <v>186</v>
      </c>
      <c r="C185" s="84">
        <f t="shared" si="30"/>
        <v>4</v>
      </c>
      <c r="D185" s="108">
        <v>6500000</v>
      </c>
      <c r="E185" s="84">
        <f t="shared" si="31"/>
        <v>6.8129133566428557</v>
      </c>
      <c r="F185" s="146">
        <v>40574</v>
      </c>
      <c r="G185" s="108">
        <v>96700000</v>
      </c>
      <c r="H185" s="148">
        <f t="shared" si="32"/>
        <v>1.8575342465753424</v>
      </c>
      <c r="I185" s="145">
        <f t="shared" si="39"/>
        <v>0.26893682941058861</v>
      </c>
      <c r="J185" s="108">
        <v>4</v>
      </c>
      <c r="K185" s="108">
        <f t="shared" si="33"/>
        <v>0.69897000433601886</v>
      </c>
      <c r="L185" s="65">
        <v>3.29</v>
      </c>
      <c r="M185" s="59">
        <f t="shared" si="40"/>
        <v>0.51719589794997434</v>
      </c>
      <c r="N185" s="155">
        <f t="shared" si="34"/>
        <v>13.876923076923077</v>
      </c>
      <c r="O185" s="127">
        <f t="shared" si="35"/>
        <v>1.1725131174401462</v>
      </c>
      <c r="P185" s="108">
        <v>4375.8573388203013</v>
      </c>
      <c r="Q185" s="108">
        <f t="shared" si="36"/>
        <v>3.6410631547392063</v>
      </c>
      <c r="R185" s="108">
        <v>5027.4348422496569</v>
      </c>
      <c r="S185" s="108">
        <f t="shared" si="37"/>
        <v>3.7013464506591722</v>
      </c>
      <c r="T185" s="108">
        <v>89.8</v>
      </c>
      <c r="U185" s="106">
        <f t="shared" si="41"/>
        <v>1.9532763366673043</v>
      </c>
      <c r="V185" s="127">
        <v>31.2</v>
      </c>
      <c r="W185" s="119">
        <f t="shared" si="42"/>
        <v>1.4941545940184429</v>
      </c>
      <c r="X185" s="128">
        <v>47.307367293927399</v>
      </c>
      <c r="Y185" s="120">
        <f t="shared" si="43"/>
        <v>1.6749287797641836</v>
      </c>
      <c r="Z185" s="153">
        <v>0.6</v>
      </c>
      <c r="AA185" s="127">
        <f t="shared" si="38"/>
        <v>0.20411998265592479</v>
      </c>
      <c r="AB185" s="108">
        <v>12</v>
      </c>
      <c r="AC185" s="137">
        <f t="shared" si="44"/>
        <v>1.0791812460476249</v>
      </c>
    </row>
    <row r="186" spans="1:29" x14ac:dyDescent="0.35">
      <c r="A186" s="143">
        <v>38408</v>
      </c>
      <c r="B186" s="106" t="s">
        <v>178</v>
      </c>
      <c r="C186" s="83">
        <f t="shared" si="30"/>
        <v>9</v>
      </c>
      <c r="D186" s="106">
        <v>18350000</v>
      </c>
      <c r="E186" s="83">
        <f t="shared" si="31"/>
        <v>7.2636360685881085</v>
      </c>
      <c r="F186" s="143">
        <v>41486</v>
      </c>
      <c r="G186" s="106">
        <v>47500000</v>
      </c>
      <c r="H186" s="145">
        <f t="shared" si="32"/>
        <v>8.4328767123287669</v>
      </c>
      <c r="I186" s="145">
        <f t="shared" si="39"/>
        <v>0.92597575103898522</v>
      </c>
      <c r="J186" s="106">
        <v>7</v>
      </c>
      <c r="K186" s="106">
        <f t="shared" si="33"/>
        <v>0.90308998699194354</v>
      </c>
      <c r="L186" s="59">
        <v>3.29</v>
      </c>
      <c r="M186" s="59">
        <f t="shared" si="40"/>
        <v>0.51719589794997434</v>
      </c>
      <c r="N186" s="154">
        <f t="shared" si="34"/>
        <v>1.5885558583106265</v>
      </c>
      <c r="O186" s="119">
        <f t="shared" si="35"/>
        <v>0.4130575410367584</v>
      </c>
      <c r="P186" s="106">
        <v>4375.8573388203013</v>
      </c>
      <c r="Q186" s="106">
        <f t="shared" si="36"/>
        <v>3.6410631547392063</v>
      </c>
      <c r="R186" s="106">
        <v>5027.4348422496569</v>
      </c>
      <c r="S186" s="106">
        <f t="shared" si="37"/>
        <v>3.7013464506591722</v>
      </c>
      <c r="T186" s="106">
        <v>85</v>
      </c>
      <c r="U186" s="106">
        <f t="shared" si="41"/>
        <v>1.9294189257142926</v>
      </c>
      <c r="V186" s="119">
        <v>32.700000000000003</v>
      </c>
      <c r="W186" s="119">
        <f t="shared" si="42"/>
        <v>1.5145477526602862</v>
      </c>
      <c r="X186" s="120">
        <v>41.286751495766303</v>
      </c>
      <c r="Y186" s="120">
        <f t="shared" si="43"/>
        <v>1.6158107132703448</v>
      </c>
      <c r="Z186" s="152">
        <v>0.39</v>
      </c>
      <c r="AA186" s="119">
        <f t="shared" si="38"/>
        <v>0.14301480025409513</v>
      </c>
      <c r="AB186" s="106">
        <v>8</v>
      </c>
      <c r="AC186" s="137">
        <f t="shared" si="44"/>
        <v>0.90308998699194354</v>
      </c>
    </row>
    <row r="187" spans="1:29" x14ac:dyDescent="0.35">
      <c r="A187" s="146">
        <v>38923</v>
      </c>
      <c r="B187" s="108" t="s">
        <v>186</v>
      </c>
      <c r="C187" s="84">
        <f t="shared" si="30"/>
        <v>4</v>
      </c>
      <c r="D187" s="108">
        <v>130000000</v>
      </c>
      <c r="E187" s="84">
        <f t="shared" si="31"/>
        <v>8.1139433523068369</v>
      </c>
      <c r="F187" s="146">
        <v>40442</v>
      </c>
      <c r="G187" s="108">
        <v>0</v>
      </c>
      <c r="H187" s="148">
        <f t="shared" si="32"/>
        <v>4.161643835616438</v>
      </c>
      <c r="I187" s="145">
        <f t="shared" si="39"/>
        <v>0.61926490940631163</v>
      </c>
      <c r="J187" s="108">
        <v>46</v>
      </c>
      <c r="K187" s="108">
        <f t="shared" si="33"/>
        <v>1.6720978579357175</v>
      </c>
      <c r="L187" s="65">
        <v>2.95</v>
      </c>
      <c r="M187" s="59">
        <f t="shared" si="40"/>
        <v>0.46982201597816303</v>
      </c>
      <c r="N187" s="155">
        <f t="shared" si="34"/>
        <v>-1</v>
      </c>
      <c r="O187" s="127">
        <f t="shared" si="35"/>
        <v>-1</v>
      </c>
      <c r="P187" s="108">
        <v>2229.0809327846364</v>
      </c>
      <c r="Q187" s="108">
        <f t="shared" si="36"/>
        <v>3.3481258369969185</v>
      </c>
      <c r="R187" s="108">
        <v>7475.9945130315509</v>
      </c>
      <c r="S187" s="108">
        <f t="shared" si="37"/>
        <v>3.8736689739586678</v>
      </c>
      <c r="T187" s="108">
        <v>93.2</v>
      </c>
      <c r="U187" s="106">
        <f t="shared" si="41"/>
        <v>1.9694159123539814</v>
      </c>
      <c r="V187" s="127">
        <v>26.7</v>
      </c>
      <c r="W187" s="119">
        <f t="shared" si="42"/>
        <v>1.4265112613645752</v>
      </c>
      <c r="X187" s="128">
        <v>36.669158714517401</v>
      </c>
      <c r="Y187" s="120">
        <f t="shared" si="43"/>
        <v>1.5643009462345601</v>
      </c>
      <c r="Z187" s="153">
        <v>-0.1</v>
      </c>
      <c r="AA187" s="127">
        <f t="shared" si="38"/>
        <v>-4.5757490560675115E-2</v>
      </c>
      <c r="AB187" s="108">
        <v>1</v>
      </c>
      <c r="AC187" s="137">
        <f t="shared" si="44"/>
        <v>0</v>
      </c>
    </row>
    <row r="188" spans="1:29" x14ac:dyDescent="0.35">
      <c r="A188" s="143">
        <v>37592</v>
      </c>
      <c r="B188" s="106" t="s">
        <v>190</v>
      </c>
      <c r="C188" s="83">
        <f t="shared" si="30"/>
        <v>2</v>
      </c>
      <c r="D188" s="106">
        <v>1127370000</v>
      </c>
      <c r="E188" s="83">
        <f t="shared" si="31"/>
        <v>9.052066473798158</v>
      </c>
      <c r="F188" s="143">
        <v>41113</v>
      </c>
      <c r="G188" s="106">
        <v>1525000000</v>
      </c>
      <c r="H188" s="145">
        <f t="shared" si="32"/>
        <v>9.6465753424657539</v>
      </c>
      <c r="I188" s="145">
        <f t="shared" si="39"/>
        <v>0.9843731606137095</v>
      </c>
      <c r="J188" s="106">
        <v>153</v>
      </c>
      <c r="K188" s="106">
        <f t="shared" si="33"/>
        <v>2.1875207208364631</v>
      </c>
      <c r="L188" s="59">
        <v>2.95</v>
      </c>
      <c r="M188" s="59">
        <f t="shared" si="40"/>
        <v>0.46982201597816303</v>
      </c>
      <c r="N188" s="154">
        <f t="shared" si="34"/>
        <v>0.35270585522055753</v>
      </c>
      <c r="O188" s="119">
        <f t="shared" si="35"/>
        <v>0.13120336988464582</v>
      </c>
      <c r="P188" s="106">
        <v>2908.587257617728</v>
      </c>
      <c r="Q188" s="106">
        <f t="shared" si="36"/>
        <v>3.4636820971642801</v>
      </c>
      <c r="R188" s="106">
        <v>4681.440443213296</v>
      </c>
      <c r="S188" s="106">
        <f t="shared" si="37"/>
        <v>3.6703795027080157</v>
      </c>
      <c r="T188" s="106">
        <v>85</v>
      </c>
      <c r="U188" s="106">
        <f t="shared" si="41"/>
        <v>1.9294189257142926</v>
      </c>
      <c r="V188" s="119">
        <v>24.9</v>
      </c>
      <c r="W188" s="119">
        <f t="shared" si="42"/>
        <v>1.3961993470957363</v>
      </c>
      <c r="X188" s="120">
        <v>36.710134890601303</v>
      </c>
      <c r="Y188" s="120">
        <f t="shared" si="43"/>
        <v>1.564785980312654</v>
      </c>
      <c r="Z188" s="152">
        <v>0.45</v>
      </c>
      <c r="AA188" s="119">
        <f t="shared" si="38"/>
        <v>0.16136800223497488</v>
      </c>
      <c r="AB188" s="106">
        <v>17</v>
      </c>
      <c r="AC188" s="137">
        <f t="shared" si="44"/>
        <v>1.2304489213782739</v>
      </c>
    </row>
    <row r="189" spans="1:29" x14ac:dyDescent="0.35">
      <c r="A189" s="146">
        <v>39195</v>
      </c>
      <c r="B189" s="108" t="s">
        <v>245</v>
      </c>
      <c r="C189" s="84">
        <f t="shared" si="30"/>
        <v>6</v>
      </c>
      <c r="D189" s="108">
        <v>55930000</v>
      </c>
      <c r="E189" s="84">
        <f t="shared" si="31"/>
        <v>7.7476448193282481</v>
      </c>
      <c r="F189" s="146">
        <v>40850</v>
      </c>
      <c r="G189" s="108">
        <v>87900000</v>
      </c>
      <c r="H189" s="148">
        <f t="shared" si="32"/>
        <v>4.5342465753424657</v>
      </c>
      <c r="I189" s="145">
        <f t="shared" si="39"/>
        <v>0.65650513365526286</v>
      </c>
      <c r="J189" s="108">
        <v>54</v>
      </c>
      <c r="K189" s="108">
        <f t="shared" si="33"/>
        <v>1.7403626894942439</v>
      </c>
      <c r="L189" s="65">
        <v>2.95</v>
      </c>
      <c r="M189" s="59">
        <f t="shared" si="40"/>
        <v>0.46982201597816303</v>
      </c>
      <c r="N189" s="155">
        <f t="shared" si="34"/>
        <v>0.57160736635079568</v>
      </c>
      <c r="O189" s="127">
        <f t="shared" si="35"/>
        <v>0.19634405574552369</v>
      </c>
      <c r="P189" s="108">
        <v>6200.5542957923917</v>
      </c>
      <c r="Q189" s="108">
        <f t="shared" si="36"/>
        <v>3.792430514795639</v>
      </c>
      <c r="R189" s="108">
        <v>3504.6611237087427</v>
      </c>
      <c r="S189" s="108">
        <f t="shared" si="37"/>
        <v>3.5446460310848829</v>
      </c>
      <c r="T189" s="108">
        <v>91.4</v>
      </c>
      <c r="U189" s="106">
        <f t="shared" si="41"/>
        <v>1.9609461957338314</v>
      </c>
      <c r="V189" s="127">
        <v>26.7</v>
      </c>
      <c r="W189" s="119">
        <f t="shared" si="42"/>
        <v>1.4265112613645752</v>
      </c>
      <c r="X189" s="128">
        <v>37.425715444240403</v>
      </c>
      <c r="Y189" s="120">
        <f t="shared" si="43"/>
        <v>1.5731701112332821</v>
      </c>
      <c r="Z189" s="153">
        <v>-0.15</v>
      </c>
      <c r="AA189" s="127">
        <f t="shared" si="38"/>
        <v>-7.0581074285707285E-2</v>
      </c>
      <c r="AB189" s="108">
        <v>6</v>
      </c>
      <c r="AC189" s="137">
        <f t="shared" si="44"/>
        <v>0.77815125038364363</v>
      </c>
    </row>
    <row r="190" spans="1:29" x14ac:dyDescent="0.35">
      <c r="A190" s="143">
        <v>38463</v>
      </c>
      <c r="B190" s="106" t="s">
        <v>326</v>
      </c>
      <c r="C190" s="83">
        <f t="shared" si="30"/>
        <v>8</v>
      </c>
      <c r="D190" s="106">
        <v>155000000</v>
      </c>
      <c r="E190" s="83">
        <f t="shared" si="31"/>
        <v>8.1903316981702918</v>
      </c>
      <c r="F190" s="143">
        <v>39263</v>
      </c>
      <c r="G190" s="106">
        <v>296600000</v>
      </c>
      <c r="H190" s="145">
        <f t="shared" si="32"/>
        <v>2.1917808219178081</v>
      </c>
      <c r="I190" s="145">
        <f t="shared" si="39"/>
        <v>0.34079712253546884</v>
      </c>
      <c r="J190" s="106">
        <v>59</v>
      </c>
      <c r="K190" s="106">
        <f t="shared" si="33"/>
        <v>1.7781512503836436</v>
      </c>
      <c r="L190" s="59">
        <v>3.18</v>
      </c>
      <c r="M190" s="59">
        <f t="shared" si="40"/>
        <v>0.50242711998443268</v>
      </c>
      <c r="N190" s="154">
        <f t="shared" si="34"/>
        <v>0.91354838709677422</v>
      </c>
      <c r="O190" s="119">
        <f t="shared" si="35"/>
        <v>0.28183944852207177</v>
      </c>
      <c r="P190" s="106">
        <v>1213.5329999999999</v>
      </c>
      <c r="Q190" s="106">
        <f t="shared" si="36"/>
        <v>3.0840515907405019</v>
      </c>
      <c r="R190" s="106">
        <v>8035.9219999999996</v>
      </c>
      <c r="S190" s="106">
        <f t="shared" si="37"/>
        <v>3.9050357126538633</v>
      </c>
      <c r="T190" s="106">
        <v>70</v>
      </c>
      <c r="U190" s="106">
        <f t="shared" si="41"/>
        <v>1.8450980400142569</v>
      </c>
      <c r="V190" s="119">
        <v>42.9</v>
      </c>
      <c r="W190" s="119">
        <f t="shared" si="42"/>
        <v>1.6324572921847242</v>
      </c>
      <c r="X190" s="120">
        <v>53.2941466273667</v>
      </c>
      <c r="Y190" s="120">
        <f t="shared" si="43"/>
        <v>1.7266795124593939</v>
      </c>
      <c r="Z190" s="152">
        <v>0.3</v>
      </c>
      <c r="AA190" s="119">
        <f t="shared" si="38"/>
        <v>0.11394335230683679</v>
      </c>
      <c r="AB190" s="106">
        <v>11</v>
      </c>
      <c r="AC190" s="137">
        <f t="shared" si="44"/>
        <v>1.0413926851582251</v>
      </c>
    </row>
    <row r="191" spans="1:29" x14ac:dyDescent="0.35">
      <c r="A191" s="146">
        <v>41556</v>
      </c>
      <c r="B191" s="108" t="s">
        <v>269</v>
      </c>
      <c r="C191" s="84">
        <f t="shared" si="30"/>
        <v>7</v>
      </c>
      <c r="D191" s="108">
        <v>350000000</v>
      </c>
      <c r="E191" s="84">
        <f t="shared" si="31"/>
        <v>8.5440680443502757</v>
      </c>
      <c r="F191" s="146">
        <v>42767</v>
      </c>
      <c r="G191" s="108">
        <v>495000000</v>
      </c>
      <c r="H191" s="148">
        <f t="shared" si="32"/>
        <v>3.3178082191780822</v>
      </c>
      <c r="I191" s="145">
        <f t="shared" si="39"/>
        <v>0.52085127868657755</v>
      </c>
      <c r="J191" s="108">
        <v>115</v>
      </c>
      <c r="K191" s="108">
        <f t="shared" si="33"/>
        <v>2.0644579892269186</v>
      </c>
      <c r="L191" s="65">
        <v>3.18</v>
      </c>
      <c r="M191" s="59">
        <f t="shared" si="40"/>
        <v>0.50242711998443268</v>
      </c>
      <c r="N191" s="155">
        <f t="shared" si="34"/>
        <v>0.41428571428571437</v>
      </c>
      <c r="O191" s="127">
        <f t="shared" si="35"/>
        <v>0.15053715458329311</v>
      </c>
      <c r="P191" s="108">
        <v>1213.5329999999999</v>
      </c>
      <c r="Q191" s="108">
        <f t="shared" si="36"/>
        <v>3.0840515907405019</v>
      </c>
      <c r="R191" s="108">
        <v>8035.9219999999996</v>
      </c>
      <c r="S191" s="108">
        <f t="shared" si="37"/>
        <v>3.9050357126538633</v>
      </c>
      <c r="T191" s="108">
        <v>84</v>
      </c>
      <c r="U191" s="106">
        <f t="shared" si="41"/>
        <v>1.9242792860618816</v>
      </c>
      <c r="V191" s="127">
        <v>45.4</v>
      </c>
      <c r="W191" s="119">
        <f t="shared" si="42"/>
        <v>1.657055852857104</v>
      </c>
      <c r="X191" s="128">
        <v>57.2278620378247</v>
      </c>
      <c r="Y191" s="120">
        <f t="shared" si="43"/>
        <v>1.7576075215065206</v>
      </c>
      <c r="Z191" s="153">
        <v>0.38</v>
      </c>
      <c r="AA191" s="127">
        <f t="shared" si="38"/>
        <v>0.13987908640123647</v>
      </c>
      <c r="AB191" s="108">
        <v>19</v>
      </c>
      <c r="AC191" s="137">
        <f t="shared" si="44"/>
        <v>1.2787536009528289</v>
      </c>
    </row>
    <row r="192" spans="1:29" x14ac:dyDescent="0.35">
      <c r="A192" s="143">
        <v>37728</v>
      </c>
      <c r="B192" s="106" t="s">
        <v>235</v>
      </c>
      <c r="C192" s="83">
        <f t="shared" si="30"/>
        <v>1</v>
      </c>
      <c r="D192" s="106">
        <v>153890000</v>
      </c>
      <c r="E192" s="83">
        <f t="shared" si="31"/>
        <v>8.187210399650052</v>
      </c>
      <c r="F192" s="143">
        <v>38673</v>
      </c>
      <c r="G192" s="106">
        <v>250000000</v>
      </c>
      <c r="H192" s="145">
        <f t="shared" si="32"/>
        <v>2.5890410958904111</v>
      </c>
      <c r="I192" s="145">
        <f t="shared" si="39"/>
        <v>0.41313894405278828</v>
      </c>
      <c r="J192" s="106">
        <v>102</v>
      </c>
      <c r="K192" s="106">
        <f t="shared" si="33"/>
        <v>2.012837224705172</v>
      </c>
      <c r="L192" s="59">
        <v>3.18</v>
      </c>
      <c r="M192" s="59">
        <f t="shared" si="40"/>
        <v>0.50242711998443268</v>
      </c>
      <c r="N192" s="154">
        <f t="shared" si="34"/>
        <v>0.62453700695301828</v>
      </c>
      <c r="O192" s="119">
        <f t="shared" si="35"/>
        <v>0.2107296090219849</v>
      </c>
      <c r="P192" s="106">
        <v>1213.5329999999999</v>
      </c>
      <c r="Q192" s="106">
        <f t="shared" si="36"/>
        <v>3.0840515907405019</v>
      </c>
      <c r="R192" s="106">
        <v>8035.9219999999996</v>
      </c>
      <c r="S192" s="106">
        <f t="shared" si="37"/>
        <v>3.9050357126538633</v>
      </c>
      <c r="T192" s="106">
        <v>70</v>
      </c>
      <c r="U192" s="106">
        <f t="shared" si="41"/>
        <v>1.8450980400142569</v>
      </c>
      <c r="V192" s="119">
        <v>42.2</v>
      </c>
      <c r="W192" s="119">
        <f t="shared" si="42"/>
        <v>1.6253124509616739</v>
      </c>
      <c r="X192" s="120">
        <v>53.270504198897903</v>
      </c>
      <c r="Y192" s="120">
        <f t="shared" si="43"/>
        <v>1.7264868073491786</v>
      </c>
      <c r="Z192" s="152">
        <v>0.39</v>
      </c>
      <c r="AA192" s="119">
        <f t="shared" si="38"/>
        <v>0.14301480025409513</v>
      </c>
      <c r="AB192" s="106">
        <v>9</v>
      </c>
      <c r="AC192" s="137">
        <f t="shared" si="44"/>
        <v>0.95424250943932487</v>
      </c>
    </row>
    <row r="193" spans="1:29" x14ac:dyDescent="0.35">
      <c r="A193" s="146">
        <v>40908</v>
      </c>
      <c r="B193" s="108" t="s">
        <v>326</v>
      </c>
      <c r="C193" s="84">
        <f t="shared" si="30"/>
        <v>8</v>
      </c>
      <c r="D193" s="108">
        <v>240000000</v>
      </c>
      <c r="E193" s="84">
        <f t="shared" si="31"/>
        <v>8.3802112417116064</v>
      </c>
      <c r="F193" s="146">
        <v>42544</v>
      </c>
      <c r="G193" s="108">
        <v>566280000</v>
      </c>
      <c r="H193" s="148">
        <f t="shared" si="32"/>
        <v>4.4821917808219176</v>
      </c>
      <c r="I193" s="145">
        <f t="shared" si="39"/>
        <v>0.65149043487882952</v>
      </c>
      <c r="J193" s="108">
        <v>8</v>
      </c>
      <c r="K193" s="108">
        <f t="shared" si="33"/>
        <v>0.95424250943932487</v>
      </c>
      <c r="L193" s="65">
        <v>3.18</v>
      </c>
      <c r="M193" s="59">
        <f t="shared" si="40"/>
        <v>0.50242711998443268</v>
      </c>
      <c r="N193" s="155">
        <f t="shared" si="34"/>
        <v>1.3595000000000002</v>
      </c>
      <c r="O193" s="127">
        <f t="shared" si="35"/>
        <v>0.37281998167896813</v>
      </c>
      <c r="P193" s="108">
        <v>1213.5329999999999</v>
      </c>
      <c r="Q193" s="108">
        <f t="shared" si="36"/>
        <v>3.0840515907405019</v>
      </c>
      <c r="R193" s="108">
        <v>8035.9219999999996</v>
      </c>
      <c r="S193" s="108">
        <f t="shared" si="37"/>
        <v>3.9050357126538633</v>
      </c>
      <c r="T193" s="108">
        <v>85.6</v>
      </c>
      <c r="U193" s="106">
        <f t="shared" si="41"/>
        <v>1.9324737646771533</v>
      </c>
      <c r="V193" s="127">
        <v>43.3</v>
      </c>
      <c r="W193" s="119">
        <f t="shared" si="42"/>
        <v>1.6364878963533653</v>
      </c>
      <c r="X193" s="128">
        <v>56.2907330998475</v>
      </c>
      <c r="Y193" s="120">
        <f t="shared" si="43"/>
        <v>1.750436904711814</v>
      </c>
      <c r="Z193" s="153">
        <v>0.68</v>
      </c>
      <c r="AA193" s="127">
        <f t="shared" si="38"/>
        <v>0.2253092817258629</v>
      </c>
      <c r="AB193" s="108">
        <v>17</v>
      </c>
      <c r="AC193" s="137">
        <f t="shared" si="44"/>
        <v>1.2304489213782739</v>
      </c>
    </row>
    <row r="194" spans="1:29" x14ac:dyDescent="0.35">
      <c r="A194" s="143">
        <v>40695</v>
      </c>
      <c r="B194" s="106" t="s">
        <v>235</v>
      </c>
      <c r="C194" s="83">
        <f t="shared" ref="C194:C257" si="45">IF(B194="Consumer Discretionary",5,IF(B194="Industrials",1,IF(B194="Energy",3,IF(B194="Health Care",2,IF(B194="Communications",4,IF(B194="Financials",6,IF(B194="Consumer Staples",7,IF(B194="Materials",8,IF(B194="Technology",9,IF(B194="Utilities",10,""))))))))))</f>
        <v>1</v>
      </c>
      <c r="D194" s="106">
        <v>535000000</v>
      </c>
      <c r="E194" s="83">
        <f t="shared" ref="E194:E257" si="46">LOG(D194)</f>
        <v>8.7283537820212285</v>
      </c>
      <c r="F194" s="143">
        <v>43153</v>
      </c>
      <c r="G194" s="106">
        <v>1500000000</v>
      </c>
      <c r="H194" s="145">
        <f t="shared" ref="H194:H257" si="47">YEARFRAC(A194,F194,3)</f>
        <v>6.7342465753424658</v>
      </c>
      <c r="I194" s="145">
        <f t="shared" si="39"/>
        <v>0.82828901409396061</v>
      </c>
      <c r="J194" s="106">
        <v>31</v>
      </c>
      <c r="K194" s="106">
        <f t="shared" ref="K194:K257" si="48">LOG(1+J194)</f>
        <v>1.505149978319906</v>
      </c>
      <c r="L194" s="59">
        <v>3.18</v>
      </c>
      <c r="M194" s="59">
        <f t="shared" si="40"/>
        <v>0.50242711998443268</v>
      </c>
      <c r="N194" s="154">
        <f t="shared" ref="N194:N257" si="49">(G194/D194)-1</f>
        <v>1.8037383177570092</v>
      </c>
      <c r="O194" s="119">
        <f t="shared" ref="O194:O257" si="50">IF(N194=-1,LOG(0.1),LOG(1+N194))</f>
        <v>0.44773747703445277</v>
      </c>
      <c r="P194" s="106">
        <v>1682.164</v>
      </c>
      <c r="Q194" s="106">
        <f t="shared" ref="Q194:Q257" si="51">LOG(P194)</f>
        <v>3.2258683344006376</v>
      </c>
      <c r="R194" s="106">
        <v>9152.2764999999999</v>
      </c>
      <c r="S194" s="106">
        <f t="shared" ref="S194:S257" si="52">LOG(R194)</f>
        <v>3.9615291321450066</v>
      </c>
      <c r="T194" s="106">
        <v>85.6</v>
      </c>
      <c r="U194" s="106">
        <f t="shared" si="41"/>
        <v>1.9324737646771533</v>
      </c>
      <c r="V194" s="119">
        <v>43.3</v>
      </c>
      <c r="W194" s="119">
        <f t="shared" si="42"/>
        <v>1.6364878963533653</v>
      </c>
      <c r="X194" s="120">
        <v>56.2907330998475</v>
      </c>
      <c r="Y194" s="120">
        <f t="shared" si="43"/>
        <v>1.750436904711814</v>
      </c>
      <c r="Z194" s="152">
        <v>1.06</v>
      </c>
      <c r="AA194" s="119">
        <f t="shared" ref="AA194:AA257" si="53">LOG(1+Z194)</f>
        <v>0.31386722036915343</v>
      </c>
      <c r="AB194" s="106">
        <v>13</v>
      </c>
      <c r="AC194" s="137">
        <f t="shared" si="44"/>
        <v>1.1139433523068367</v>
      </c>
    </row>
    <row r="195" spans="1:29" x14ac:dyDescent="0.35">
      <c r="A195" s="146">
        <v>38925</v>
      </c>
      <c r="B195" s="108" t="s">
        <v>235</v>
      </c>
      <c r="C195" s="84">
        <f t="shared" si="45"/>
        <v>1</v>
      </c>
      <c r="D195" s="108">
        <v>1040000000</v>
      </c>
      <c r="E195" s="84">
        <f t="shared" si="46"/>
        <v>9.0170333392987807</v>
      </c>
      <c r="F195" s="146">
        <v>40785</v>
      </c>
      <c r="G195" s="108">
        <v>2100000000</v>
      </c>
      <c r="H195" s="148">
        <f t="shared" si="47"/>
        <v>5.095890410958904</v>
      </c>
      <c r="I195" s="145">
        <f t="shared" ref="I195:I258" si="54">LOG(H195)</f>
        <v>0.70722007976144163</v>
      </c>
      <c r="J195" s="108">
        <v>106</v>
      </c>
      <c r="K195" s="108">
        <f t="shared" si="48"/>
        <v>2.0293837776852097</v>
      </c>
      <c r="L195" s="65">
        <v>3.18</v>
      </c>
      <c r="M195" s="59">
        <f t="shared" ref="M195:M258" si="55">LOG(L195)</f>
        <v>0.50242711998443268</v>
      </c>
      <c r="N195" s="155">
        <f t="shared" si="49"/>
        <v>1.0192307692307692</v>
      </c>
      <c r="O195" s="127">
        <f t="shared" si="50"/>
        <v>0.30518595543513888</v>
      </c>
      <c r="P195" s="108">
        <v>1682.164</v>
      </c>
      <c r="Q195" s="108">
        <f t="shared" si="51"/>
        <v>3.2258683344006376</v>
      </c>
      <c r="R195" s="108">
        <v>9152.2764999999999</v>
      </c>
      <c r="S195" s="108">
        <f t="shared" si="52"/>
        <v>3.9615291321450066</v>
      </c>
      <c r="T195" s="108">
        <v>88</v>
      </c>
      <c r="U195" s="106">
        <f t="shared" ref="U195:U258" si="56">LOG(T195)</f>
        <v>1.9444826721501687</v>
      </c>
      <c r="V195" s="127">
        <v>43.3</v>
      </c>
      <c r="W195" s="119">
        <f t="shared" ref="W195:W258" si="57">LOG(V195)</f>
        <v>1.6364878963533653</v>
      </c>
      <c r="X195" s="128">
        <v>52.875711995394298</v>
      </c>
      <c r="Y195" s="120">
        <f t="shared" ref="Y195:Y258" si="58">LOG(X195)</f>
        <v>1.7232562283942385</v>
      </c>
      <c r="Z195" s="153">
        <v>-0.04</v>
      </c>
      <c r="AA195" s="127">
        <f t="shared" si="53"/>
        <v>-1.7728766960431602E-2</v>
      </c>
      <c r="AB195" s="108">
        <v>8</v>
      </c>
      <c r="AC195" s="137">
        <f t="shared" ref="AC195:AC258" si="59">IF(AB195=0,0,LOG(AB195))</f>
        <v>0.90308998699194354</v>
      </c>
    </row>
    <row r="196" spans="1:29" x14ac:dyDescent="0.35">
      <c r="A196" s="143">
        <v>38086</v>
      </c>
      <c r="B196" s="106" t="s">
        <v>248</v>
      </c>
      <c r="C196" s="83">
        <f t="shared" si="45"/>
        <v>5</v>
      </c>
      <c r="D196" s="106">
        <f>(48513000+450400000+687000000)</f>
        <v>1185913000</v>
      </c>
      <c r="E196" s="83">
        <f t="shared" si="46"/>
        <v>9.0740528298327821</v>
      </c>
      <c r="F196" s="143">
        <v>39106</v>
      </c>
      <c r="G196" s="106">
        <v>3500000000</v>
      </c>
      <c r="H196" s="145">
        <f t="shared" si="47"/>
        <v>2.7945205479452055</v>
      </c>
      <c r="I196" s="145">
        <f t="shared" si="54"/>
        <v>0.44630730730544288</v>
      </c>
      <c r="J196" s="106">
        <v>3</v>
      </c>
      <c r="K196" s="106">
        <f t="shared" si="48"/>
        <v>0.6020599913279624</v>
      </c>
      <c r="L196" s="59">
        <v>3.18</v>
      </c>
      <c r="M196" s="59">
        <f t="shared" si="55"/>
        <v>0.50242711998443268</v>
      </c>
      <c r="N196" s="154">
        <f t="shared" si="49"/>
        <v>1.9513126173673787</v>
      </c>
      <c r="O196" s="119">
        <f t="shared" si="50"/>
        <v>0.47001521451749351</v>
      </c>
      <c r="P196" s="106">
        <v>1682.164</v>
      </c>
      <c r="Q196" s="106">
        <f t="shared" si="51"/>
        <v>3.2258683344006376</v>
      </c>
      <c r="R196" s="106">
        <v>9152.2764999999999</v>
      </c>
      <c r="S196" s="106">
        <f t="shared" si="52"/>
        <v>3.9615291321450066</v>
      </c>
      <c r="T196" s="106">
        <v>70</v>
      </c>
      <c r="U196" s="106">
        <f t="shared" si="56"/>
        <v>1.8450980400142569</v>
      </c>
      <c r="V196" s="119">
        <v>42.4</v>
      </c>
      <c r="W196" s="119">
        <f t="shared" si="57"/>
        <v>1.6273658565927327</v>
      </c>
      <c r="X196" s="120">
        <v>52.984855215816303</v>
      </c>
      <c r="Y196" s="120">
        <f t="shared" si="58"/>
        <v>1.7241517519382803</v>
      </c>
      <c r="Z196" s="152">
        <v>0.26</v>
      </c>
      <c r="AA196" s="119">
        <f t="shared" si="53"/>
        <v>0.10037054511756291</v>
      </c>
      <c r="AB196" s="106">
        <v>6</v>
      </c>
      <c r="AC196" s="137">
        <f t="shared" si="59"/>
        <v>0.77815125038364363</v>
      </c>
    </row>
    <row r="197" spans="1:29" x14ac:dyDescent="0.35">
      <c r="A197" s="146">
        <v>37589</v>
      </c>
      <c r="B197" s="108" t="s">
        <v>269</v>
      </c>
      <c r="C197" s="84">
        <f t="shared" si="45"/>
        <v>7</v>
      </c>
      <c r="D197" s="108">
        <f>(185500000+70500000)</f>
        <v>256000000</v>
      </c>
      <c r="E197" s="84">
        <f t="shared" si="46"/>
        <v>8.40823996531185</v>
      </c>
      <c r="F197" s="146">
        <v>39190</v>
      </c>
      <c r="G197" s="108">
        <v>579686000</v>
      </c>
      <c r="H197" s="148">
        <f t="shared" si="47"/>
        <v>4.3863013698630136</v>
      </c>
      <c r="I197" s="145">
        <f t="shared" si="54"/>
        <v>0.64209846746282506</v>
      </c>
      <c r="J197" s="108">
        <v>75</v>
      </c>
      <c r="K197" s="108">
        <f t="shared" si="48"/>
        <v>1.8808135922807914</v>
      </c>
      <c r="L197" s="65">
        <v>3.18</v>
      </c>
      <c r="M197" s="59">
        <f t="shared" si="55"/>
        <v>0.50242711998443268</v>
      </c>
      <c r="N197" s="155">
        <f t="shared" si="49"/>
        <v>1.2643984375000001</v>
      </c>
      <c r="O197" s="127">
        <f t="shared" si="50"/>
        <v>0.35495284653698561</v>
      </c>
      <c r="P197" s="108">
        <v>1682.164</v>
      </c>
      <c r="Q197" s="108">
        <f t="shared" si="51"/>
        <v>3.2258683344006376</v>
      </c>
      <c r="R197" s="108">
        <v>9152.2764999999999</v>
      </c>
      <c r="S197" s="108">
        <f t="shared" si="52"/>
        <v>3.9615291321450066</v>
      </c>
      <c r="T197" s="108">
        <v>70</v>
      </c>
      <c r="U197" s="106">
        <f t="shared" si="56"/>
        <v>1.8450980400142569</v>
      </c>
      <c r="V197" s="127">
        <v>42.4</v>
      </c>
      <c r="W197" s="119">
        <f t="shared" si="57"/>
        <v>1.6273658565927327</v>
      </c>
      <c r="X197" s="128">
        <v>52.795294707427601</v>
      </c>
      <c r="Y197" s="120">
        <f t="shared" si="58"/>
        <v>1.7225952184872551</v>
      </c>
      <c r="Z197" s="153">
        <v>0.56999999999999995</v>
      </c>
      <c r="AA197" s="127">
        <f t="shared" si="53"/>
        <v>0.19589965240923368</v>
      </c>
      <c r="AB197" s="108">
        <v>4</v>
      </c>
      <c r="AC197" s="137">
        <f t="shared" si="59"/>
        <v>0.6020599913279624</v>
      </c>
    </row>
    <row r="198" spans="1:29" x14ac:dyDescent="0.35">
      <c r="A198" s="143">
        <v>37512</v>
      </c>
      <c r="B198" s="106" t="s">
        <v>269</v>
      </c>
      <c r="C198" s="83">
        <f t="shared" si="45"/>
        <v>7</v>
      </c>
      <c r="D198" s="106">
        <v>555000000</v>
      </c>
      <c r="E198" s="83">
        <f t="shared" si="46"/>
        <v>8.7442929831226763</v>
      </c>
      <c r="F198" s="143">
        <v>38467</v>
      </c>
      <c r="G198" s="106">
        <v>639000000</v>
      </c>
      <c r="H198" s="145">
        <f t="shared" si="47"/>
        <v>2.6164383561643834</v>
      </c>
      <c r="I198" s="145">
        <f t="shared" si="54"/>
        <v>0.41771050712727159</v>
      </c>
      <c r="J198" s="106">
        <v>52</v>
      </c>
      <c r="K198" s="106">
        <f t="shared" si="48"/>
        <v>1.7242758696007889</v>
      </c>
      <c r="L198" s="59">
        <v>3.18</v>
      </c>
      <c r="M198" s="59">
        <f t="shared" si="55"/>
        <v>0.50242711998443268</v>
      </c>
      <c r="N198" s="154">
        <f t="shared" si="49"/>
        <v>0.15135135135135136</v>
      </c>
      <c r="O198" s="119">
        <f t="shared" si="50"/>
        <v>6.1207875035723926E-2</v>
      </c>
      <c r="P198" s="106">
        <v>1682.164</v>
      </c>
      <c r="Q198" s="106">
        <f t="shared" si="51"/>
        <v>3.2258683344006376</v>
      </c>
      <c r="R198" s="106">
        <v>9152.2764999999999</v>
      </c>
      <c r="S198" s="106">
        <f t="shared" si="52"/>
        <v>3.9615291321450066</v>
      </c>
      <c r="T198" s="106">
        <v>70</v>
      </c>
      <c r="U198" s="106">
        <f t="shared" si="56"/>
        <v>1.8450980400142569</v>
      </c>
      <c r="V198" s="119">
        <v>42.4</v>
      </c>
      <c r="W198" s="119">
        <f t="shared" si="57"/>
        <v>1.6273658565927327</v>
      </c>
      <c r="X198" s="120">
        <v>52.795294707427601</v>
      </c>
      <c r="Y198" s="120">
        <f t="shared" si="58"/>
        <v>1.7225952184872551</v>
      </c>
      <c r="Z198" s="152">
        <v>0.31</v>
      </c>
      <c r="AA198" s="119">
        <f t="shared" si="53"/>
        <v>0.11727129565576427</v>
      </c>
      <c r="AB198" s="106">
        <v>4</v>
      </c>
      <c r="AC198" s="137">
        <f t="shared" si="59"/>
        <v>0.6020599913279624</v>
      </c>
    </row>
    <row r="199" spans="1:29" x14ac:dyDescent="0.35">
      <c r="A199" s="146">
        <v>37453</v>
      </c>
      <c r="B199" s="108" t="s">
        <v>248</v>
      </c>
      <c r="C199" s="84">
        <f t="shared" si="45"/>
        <v>5</v>
      </c>
      <c r="D199" s="108">
        <v>1500000000</v>
      </c>
      <c r="E199" s="84">
        <f t="shared" si="46"/>
        <v>9.1760912590556813</v>
      </c>
      <c r="F199" s="146">
        <v>39359</v>
      </c>
      <c r="G199" s="108">
        <v>2280000000</v>
      </c>
      <c r="H199" s="148">
        <f t="shared" si="47"/>
        <v>5.2219178082191782</v>
      </c>
      <c r="I199" s="145">
        <f t="shared" si="54"/>
        <v>0.71783003184583294</v>
      </c>
      <c r="J199" s="108">
        <v>33</v>
      </c>
      <c r="K199" s="108">
        <f t="shared" si="48"/>
        <v>1.5314789170422551</v>
      </c>
      <c r="L199" s="65">
        <v>3.18</v>
      </c>
      <c r="M199" s="59">
        <f t="shared" si="55"/>
        <v>0.50242711998443268</v>
      </c>
      <c r="N199" s="155">
        <f t="shared" si="49"/>
        <v>0.52</v>
      </c>
      <c r="O199" s="127">
        <f t="shared" si="50"/>
        <v>0.18184358794477254</v>
      </c>
      <c r="P199" s="108">
        <v>1682.164</v>
      </c>
      <c r="Q199" s="108">
        <f t="shared" si="51"/>
        <v>3.2258683344006376</v>
      </c>
      <c r="R199" s="108">
        <v>9152.2764999999999</v>
      </c>
      <c r="S199" s="108">
        <f t="shared" si="52"/>
        <v>3.9615291321450066</v>
      </c>
      <c r="T199" s="108">
        <v>70</v>
      </c>
      <c r="U199" s="106">
        <f t="shared" si="56"/>
        <v>1.8450980400142569</v>
      </c>
      <c r="V199" s="127">
        <v>42.4</v>
      </c>
      <c r="W199" s="119">
        <f t="shared" si="57"/>
        <v>1.6273658565927327</v>
      </c>
      <c r="X199" s="128">
        <v>52.795294707427601</v>
      </c>
      <c r="Y199" s="120">
        <f t="shared" si="58"/>
        <v>1.7225952184872551</v>
      </c>
      <c r="Z199" s="153">
        <v>0.71</v>
      </c>
      <c r="AA199" s="127">
        <f t="shared" si="53"/>
        <v>0.23299611039215382</v>
      </c>
      <c r="AB199" s="108">
        <v>4</v>
      </c>
      <c r="AC199" s="137">
        <f t="shared" si="59"/>
        <v>0.6020599913279624</v>
      </c>
    </row>
    <row r="200" spans="1:29" x14ac:dyDescent="0.35">
      <c r="A200" s="143">
        <v>36978</v>
      </c>
      <c r="B200" s="106" t="s">
        <v>183</v>
      </c>
      <c r="C200" s="83">
        <f t="shared" si="45"/>
        <v>3</v>
      </c>
      <c r="D200" s="106">
        <v>520000000</v>
      </c>
      <c r="E200" s="83">
        <f t="shared" si="46"/>
        <v>8.7160033436347994</v>
      </c>
      <c r="F200" s="143">
        <v>38077</v>
      </c>
      <c r="G200" s="106">
        <v>261800000</v>
      </c>
      <c r="H200" s="145">
        <f t="shared" si="47"/>
        <v>3.010958904109589</v>
      </c>
      <c r="I200" s="145">
        <f t="shared" si="54"/>
        <v>0.47870482796701586</v>
      </c>
      <c r="J200" s="106">
        <v>50</v>
      </c>
      <c r="K200" s="106">
        <f t="shared" si="48"/>
        <v>1.7075701760979363</v>
      </c>
      <c r="L200" s="59">
        <v>3.18</v>
      </c>
      <c r="M200" s="59">
        <f t="shared" si="55"/>
        <v>0.50242711998443268</v>
      </c>
      <c r="N200" s="154">
        <f t="shared" si="49"/>
        <v>-0.49653846153846148</v>
      </c>
      <c r="O200" s="119">
        <f t="shared" si="50"/>
        <v>-0.29803370142006214</v>
      </c>
      <c r="P200" s="106">
        <v>1682.164</v>
      </c>
      <c r="Q200" s="106">
        <f t="shared" si="51"/>
        <v>3.2258683344006376</v>
      </c>
      <c r="R200" s="106">
        <v>9152.2764999999999</v>
      </c>
      <c r="S200" s="106">
        <f t="shared" si="52"/>
        <v>3.9615291321450066</v>
      </c>
      <c r="T200" s="106">
        <v>70</v>
      </c>
      <c r="U200" s="106">
        <f t="shared" si="56"/>
        <v>1.8450980400142569</v>
      </c>
      <c r="V200" s="119">
        <v>43.1</v>
      </c>
      <c r="W200" s="119">
        <f t="shared" si="57"/>
        <v>1.6344772701607315</v>
      </c>
      <c r="X200" s="120">
        <v>51.718307112209096</v>
      </c>
      <c r="Y200" s="120">
        <f t="shared" si="58"/>
        <v>1.7136443007431839</v>
      </c>
      <c r="Z200" s="152">
        <v>-0.02</v>
      </c>
      <c r="AA200" s="119">
        <f t="shared" si="53"/>
        <v>-8.7739243075051505E-3</v>
      </c>
      <c r="AB200" s="106">
        <v>3</v>
      </c>
      <c r="AC200" s="137">
        <f t="shared" si="59"/>
        <v>0.47712125471966244</v>
      </c>
    </row>
    <row r="201" spans="1:29" x14ac:dyDescent="0.35">
      <c r="A201" s="146">
        <v>36068</v>
      </c>
      <c r="B201" s="108" t="s">
        <v>248</v>
      </c>
      <c r="C201" s="84">
        <f t="shared" si="45"/>
        <v>5</v>
      </c>
      <c r="D201" s="108">
        <v>270000000</v>
      </c>
      <c r="E201" s="84">
        <f t="shared" si="46"/>
        <v>8.4313637641589878</v>
      </c>
      <c r="F201" s="146">
        <v>39013</v>
      </c>
      <c r="G201" s="108">
        <v>310000000</v>
      </c>
      <c r="H201" s="148">
        <f t="shared" si="47"/>
        <v>8.0684931506849313</v>
      </c>
      <c r="I201" s="145">
        <f t="shared" si="54"/>
        <v>0.90679243466664572</v>
      </c>
      <c r="J201" s="108">
        <v>61</v>
      </c>
      <c r="K201" s="108">
        <f t="shared" si="48"/>
        <v>1.7923916894982539</v>
      </c>
      <c r="L201" s="65">
        <v>3.18</v>
      </c>
      <c r="M201" s="59">
        <f t="shared" si="55"/>
        <v>0.50242711998443268</v>
      </c>
      <c r="N201" s="155">
        <f t="shared" si="49"/>
        <v>0.14814814814814814</v>
      </c>
      <c r="O201" s="127">
        <f t="shared" si="50"/>
        <v>5.9997929675285368E-2</v>
      </c>
      <c r="P201" s="108">
        <v>1682.164</v>
      </c>
      <c r="Q201" s="108">
        <f t="shared" si="51"/>
        <v>3.2258683344006376</v>
      </c>
      <c r="R201" s="108">
        <v>9152.2764999999999</v>
      </c>
      <c r="S201" s="108">
        <f t="shared" si="52"/>
        <v>3.9615291321450066</v>
      </c>
      <c r="T201" s="108">
        <v>85</v>
      </c>
      <c r="U201" s="106">
        <f t="shared" si="56"/>
        <v>1.9294189257142926</v>
      </c>
      <c r="V201" s="127">
        <v>43.5</v>
      </c>
      <c r="W201" s="119">
        <f t="shared" si="57"/>
        <v>1.6384892569546374</v>
      </c>
      <c r="X201" s="128">
        <v>52.924485315438503</v>
      </c>
      <c r="Y201" s="120">
        <f t="shared" si="58"/>
        <v>1.7236566432478624</v>
      </c>
      <c r="Z201" s="153">
        <v>0.35</v>
      </c>
      <c r="AA201" s="127">
        <f t="shared" si="53"/>
        <v>0.13033376849500614</v>
      </c>
      <c r="AB201" s="108">
        <v>0</v>
      </c>
      <c r="AC201" s="137">
        <f t="shared" si="59"/>
        <v>0</v>
      </c>
    </row>
    <row r="202" spans="1:29" x14ac:dyDescent="0.35">
      <c r="A202" s="143">
        <v>40662</v>
      </c>
      <c r="B202" s="106" t="s">
        <v>326</v>
      </c>
      <c r="C202" s="83">
        <f t="shared" si="45"/>
        <v>8</v>
      </c>
      <c r="D202" s="106">
        <v>65000000</v>
      </c>
      <c r="E202" s="83">
        <f t="shared" si="46"/>
        <v>7.8129133566428557</v>
      </c>
      <c r="F202" s="143">
        <v>42919</v>
      </c>
      <c r="G202" s="106">
        <v>100110000</v>
      </c>
      <c r="H202" s="145">
        <f t="shared" si="47"/>
        <v>6.183561643835616</v>
      </c>
      <c r="I202" s="145">
        <f t="shared" si="54"/>
        <v>0.79123869462128726</v>
      </c>
      <c r="J202" s="106">
        <v>22</v>
      </c>
      <c r="K202" s="106">
        <f t="shared" si="48"/>
        <v>1.3617278360175928</v>
      </c>
      <c r="L202" s="59">
        <v>3.5</v>
      </c>
      <c r="M202" s="59">
        <f t="shared" si="55"/>
        <v>0.54406804435027567</v>
      </c>
      <c r="N202" s="154">
        <f t="shared" si="49"/>
        <v>0.54015384615384621</v>
      </c>
      <c r="O202" s="119">
        <f t="shared" si="50"/>
        <v>0.18756410473159962</v>
      </c>
      <c r="P202" s="106">
        <v>1495.578623606305</v>
      </c>
      <c r="Q202" s="106">
        <f t="shared" si="51"/>
        <v>3.1748092491298348</v>
      </c>
      <c r="R202" s="106">
        <v>3763.9369473279512</v>
      </c>
      <c r="S202" s="106">
        <f t="shared" si="52"/>
        <v>3.5756423396072652</v>
      </c>
      <c r="T202" s="106">
        <v>89.6</v>
      </c>
      <c r="U202" s="106">
        <f t="shared" si="56"/>
        <v>1.9523080096621253</v>
      </c>
      <c r="V202" s="119">
        <v>35.700000000000003</v>
      </c>
      <c r="W202" s="119">
        <f t="shared" si="57"/>
        <v>1.5526682161121932</v>
      </c>
      <c r="X202" s="120">
        <v>44.7100017757258</v>
      </c>
      <c r="Y202" s="120">
        <f t="shared" si="58"/>
        <v>1.6504046871166989</v>
      </c>
      <c r="Z202" s="152">
        <v>0.78</v>
      </c>
      <c r="AA202" s="119">
        <f t="shared" si="53"/>
        <v>0.250420002308894</v>
      </c>
      <c r="AB202" s="106">
        <v>46</v>
      </c>
      <c r="AC202" s="137">
        <f t="shared" si="59"/>
        <v>1.6627578316815741</v>
      </c>
    </row>
    <row r="203" spans="1:29" x14ac:dyDescent="0.35">
      <c r="A203" s="146">
        <v>39193</v>
      </c>
      <c r="B203" s="108" t="s">
        <v>235</v>
      </c>
      <c r="C203" s="84">
        <f t="shared" si="45"/>
        <v>1</v>
      </c>
      <c r="D203" s="108">
        <v>300000000</v>
      </c>
      <c r="E203" s="84">
        <f t="shared" si="46"/>
        <v>8.4771212547196626</v>
      </c>
      <c r="F203" s="146">
        <v>41246</v>
      </c>
      <c r="G203" s="108">
        <v>408000000</v>
      </c>
      <c r="H203" s="148">
        <f t="shared" si="47"/>
        <v>5.624657534246575</v>
      </c>
      <c r="I203" s="145">
        <f t="shared" si="54"/>
        <v>0.75009608491411717</v>
      </c>
      <c r="J203" s="108">
        <v>128</v>
      </c>
      <c r="K203" s="108">
        <f t="shared" si="48"/>
        <v>2.1105897102992488</v>
      </c>
      <c r="L203" s="65">
        <v>3.5</v>
      </c>
      <c r="M203" s="59">
        <f t="shared" si="55"/>
        <v>0.54406804435027567</v>
      </c>
      <c r="N203" s="155">
        <f t="shared" si="49"/>
        <v>0.3600000000000001</v>
      </c>
      <c r="O203" s="127">
        <f t="shared" si="50"/>
        <v>0.13353890837021754</v>
      </c>
      <c r="P203" s="108">
        <v>1495.578623606305</v>
      </c>
      <c r="Q203" s="108">
        <f t="shared" si="51"/>
        <v>3.1748092491298348</v>
      </c>
      <c r="R203" s="108">
        <v>3763.9369473279512</v>
      </c>
      <c r="S203" s="108">
        <f t="shared" si="52"/>
        <v>3.5756423396072652</v>
      </c>
      <c r="T203" s="108">
        <v>88.9</v>
      </c>
      <c r="U203" s="106">
        <f t="shared" si="56"/>
        <v>1.9489017609702137</v>
      </c>
      <c r="V203" s="127">
        <v>34.9</v>
      </c>
      <c r="W203" s="119">
        <f t="shared" si="57"/>
        <v>1.5428254269591799</v>
      </c>
      <c r="X203" s="128">
        <v>42.817370475444001</v>
      </c>
      <c r="Y203" s="120">
        <f t="shared" si="58"/>
        <v>1.6316199926391717</v>
      </c>
      <c r="Z203" s="153">
        <v>-0.05</v>
      </c>
      <c r="AA203" s="127">
        <f t="shared" si="53"/>
        <v>-2.2276394711152253E-2</v>
      </c>
      <c r="AB203" s="108">
        <v>42</v>
      </c>
      <c r="AC203" s="137">
        <f t="shared" si="59"/>
        <v>1.6232492903979006</v>
      </c>
    </row>
    <row r="204" spans="1:29" x14ac:dyDescent="0.35">
      <c r="A204" s="143">
        <v>38502</v>
      </c>
      <c r="B204" s="106" t="s">
        <v>235</v>
      </c>
      <c r="C204" s="83">
        <f t="shared" si="45"/>
        <v>1</v>
      </c>
      <c r="D204" s="106">
        <v>108337600</v>
      </c>
      <c r="E204" s="83">
        <f t="shared" si="46"/>
        <v>8.0347792104435261</v>
      </c>
      <c r="F204" s="143">
        <v>42478</v>
      </c>
      <c r="G204" s="106">
        <v>354228093</v>
      </c>
      <c r="H204" s="145">
        <f t="shared" si="47"/>
        <v>10.893150684931507</v>
      </c>
      <c r="I204" s="145">
        <f t="shared" si="54"/>
        <v>1.0371535112688011</v>
      </c>
      <c r="J204" s="106">
        <v>9</v>
      </c>
      <c r="K204" s="106">
        <f t="shared" si="48"/>
        <v>1</v>
      </c>
      <c r="L204" s="59">
        <v>3.5</v>
      </c>
      <c r="M204" s="59">
        <f t="shared" si="55"/>
        <v>0.54406804435027567</v>
      </c>
      <c r="N204" s="154">
        <f t="shared" si="49"/>
        <v>2.2696690068821903</v>
      </c>
      <c r="O204" s="119">
        <f t="shared" si="50"/>
        <v>0.51450379065407925</v>
      </c>
      <c r="P204" s="106">
        <v>1495.578623606305</v>
      </c>
      <c r="Q204" s="106">
        <f t="shared" si="51"/>
        <v>3.1748092491298348</v>
      </c>
      <c r="R204" s="106">
        <v>3763.9369473279512</v>
      </c>
      <c r="S204" s="106">
        <f t="shared" si="52"/>
        <v>3.5756423396072652</v>
      </c>
      <c r="T204" s="106">
        <v>70</v>
      </c>
      <c r="U204" s="106">
        <f t="shared" si="56"/>
        <v>1.8450980400142569</v>
      </c>
      <c r="V204" s="119">
        <v>33.9</v>
      </c>
      <c r="W204" s="119">
        <f t="shared" si="57"/>
        <v>1.5301996982030821</v>
      </c>
      <c r="X204" s="120">
        <v>46.200073016176603</v>
      </c>
      <c r="Y204" s="120">
        <f t="shared" si="58"/>
        <v>1.664642661930531</v>
      </c>
      <c r="Z204" s="152">
        <v>0.75</v>
      </c>
      <c r="AA204" s="119">
        <f t="shared" si="53"/>
        <v>0.24303804868629444</v>
      </c>
      <c r="AB204" s="106">
        <v>40</v>
      </c>
      <c r="AC204" s="137">
        <f t="shared" si="59"/>
        <v>1.6020599913279623</v>
      </c>
    </row>
    <row r="205" spans="1:29" x14ac:dyDescent="0.35">
      <c r="A205" s="146">
        <v>40847</v>
      </c>
      <c r="B205" s="108" t="s">
        <v>248</v>
      </c>
      <c r="C205" s="84">
        <f t="shared" si="45"/>
        <v>5</v>
      </c>
      <c r="D205" s="108">
        <v>459000000</v>
      </c>
      <c r="E205" s="84">
        <f t="shared" si="46"/>
        <v>8.6618126855372619</v>
      </c>
      <c r="F205" s="146">
        <v>42201</v>
      </c>
      <c r="G205" s="108">
        <v>682000000</v>
      </c>
      <c r="H205" s="148">
        <f t="shared" si="47"/>
        <v>3.7095890410958905</v>
      </c>
      <c r="I205" s="145">
        <f t="shared" si="54"/>
        <v>0.56932579989265086</v>
      </c>
      <c r="J205" s="108">
        <v>13</v>
      </c>
      <c r="K205" s="108">
        <f t="shared" si="48"/>
        <v>1.146128035678238</v>
      </c>
      <c r="L205" s="65">
        <v>3.29</v>
      </c>
      <c r="M205" s="59">
        <f t="shared" si="55"/>
        <v>0.51719589794997434</v>
      </c>
      <c r="N205" s="155">
        <f t="shared" si="49"/>
        <v>0.48583877995642699</v>
      </c>
      <c r="O205" s="127">
        <f t="shared" si="50"/>
        <v>0.17197168911921767</v>
      </c>
      <c r="P205" s="108">
        <v>1669.0315000000001</v>
      </c>
      <c r="Q205" s="108">
        <f t="shared" si="51"/>
        <v>3.2224645332922388</v>
      </c>
      <c r="R205" s="108">
        <v>5094.7950000000001</v>
      </c>
      <c r="S205" s="108">
        <f t="shared" si="52"/>
        <v>3.707126713924402</v>
      </c>
      <c r="T205" s="108">
        <v>94.6</v>
      </c>
      <c r="U205" s="106">
        <f t="shared" si="56"/>
        <v>1.9758911364017928</v>
      </c>
      <c r="V205" s="127">
        <v>33.200000000000003</v>
      </c>
      <c r="W205" s="119">
        <f t="shared" si="57"/>
        <v>1.5211380837040362</v>
      </c>
      <c r="X205" s="128">
        <v>45.921427555082097</v>
      </c>
      <c r="Y205" s="120">
        <f t="shared" si="58"/>
        <v>1.6620153804713207</v>
      </c>
      <c r="Z205" s="153">
        <v>0.69</v>
      </c>
      <c r="AA205" s="127">
        <f t="shared" si="53"/>
        <v>0.22788670461367352</v>
      </c>
      <c r="AB205" s="108">
        <v>30</v>
      </c>
      <c r="AC205" s="137">
        <f t="shared" si="59"/>
        <v>1.4771212547196624</v>
      </c>
    </row>
    <row r="206" spans="1:29" x14ac:dyDescent="0.35">
      <c r="A206" s="143">
        <v>35905</v>
      </c>
      <c r="B206" s="106" t="s">
        <v>235</v>
      </c>
      <c r="C206" s="83">
        <f t="shared" si="45"/>
        <v>1</v>
      </c>
      <c r="D206" s="106">
        <v>135000000</v>
      </c>
      <c r="E206" s="83">
        <f t="shared" si="46"/>
        <v>8.1303337684950066</v>
      </c>
      <c r="F206" s="143">
        <v>38132</v>
      </c>
      <c r="G206" s="106">
        <v>46000000</v>
      </c>
      <c r="H206" s="145">
        <f t="shared" si="47"/>
        <v>6.1013698630136988</v>
      </c>
      <c r="I206" s="145">
        <f t="shared" si="54"/>
        <v>0.78542735257756346</v>
      </c>
      <c r="J206" s="106">
        <v>0</v>
      </c>
      <c r="K206" s="106">
        <f t="shared" si="48"/>
        <v>0</v>
      </c>
      <c r="L206" s="59">
        <v>3.29</v>
      </c>
      <c r="M206" s="59">
        <f t="shared" si="55"/>
        <v>0.51719589794997434</v>
      </c>
      <c r="N206" s="154">
        <f t="shared" si="49"/>
        <v>-0.65925925925925921</v>
      </c>
      <c r="O206" s="119">
        <f t="shared" si="50"/>
        <v>-0.46757593681343196</v>
      </c>
      <c r="P206" s="106">
        <v>1669.0315000000001</v>
      </c>
      <c r="Q206" s="106">
        <f t="shared" si="51"/>
        <v>3.2224645332922388</v>
      </c>
      <c r="R206" s="106">
        <v>5094.7950000000001</v>
      </c>
      <c r="S206" s="106">
        <f t="shared" si="52"/>
        <v>3.707126713924402</v>
      </c>
      <c r="T206" s="106">
        <v>85</v>
      </c>
      <c r="U206" s="106">
        <f t="shared" si="56"/>
        <v>1.9294189257142926</v>
      </c>
      <c r="V206" s="119">
        <v>31.5</v>
      </c>
      <c r="W206" s="119">
        <f t="shared" si="57"/>
        <v>1.4983105537896004</v>
      </c>
      <c r="X206" s="120">
        <v>35.516899069648296</v>
      </c>
      <c r="Y206" s="120">
        <f t="shared" si="58"/>
        <v>1.5504350411232082</v>
      </c>
      <c r="Z206" s="152">
        <v>-0.01</v>
      </c>
      <c r="AA206" s="119">
        <f t="shared" si="53"/>
        <v>-4.3648054024500883E-3</v>
      </c>
      <c r="AB206" s="106">
        <v>17</v>
      </c>
      <c r="AC206" s="137">
        <f t="shared" si="59"/>
        <v>1.2304489213782739</v>
      </c>
    </row>
    <row r="207" spans="1:29" x14ac:dyDescent="0.35">
      <c r="A207" s="146">
        <v>35795</v>
      </c>
      <c r="B207" s="108" t="s">
        <v>245</v>
      </c>
      <c r="C207" s="84">
        <f t="shared" si="45"/>
        <v>6</v>
      </c>
      <c r="D207" s="108">
        <v>121028501</v>
      </c>
      <c r="E207" s="84">
        <f t="shared" si="46"/>
        <v>8.082887654361798</v>
      </c>
      <c r="F207" s="146">
        <v>37606</v>
      </c>
      <c r="G207" s="108">
        <v>48700000</v>
      </c>
      <c r="H207" s="148">
        <f t="shared" si="47"/>
        <v>4.9616438356164387</v>
      </c>
      <c r="I207" s="145">
        <f t="shared" si="54"/>
        <v>0.69562558585758372</v>
      </c>
      <c r="J207" s="108">
        <v>0</v>
      </c>
      <c r="K207" s="108">
        <f t="shared" si="48"/>
        <v>0</v>
      </c>
      <c r="L207" s="65">
        <v>3.29</v>
      </c>
      <c r="M207" s="59">
        <f t="shared" si="55"/>
        <v>0.51719589794997434</v>
      </c>
      <c r="N207" s="155">
        <f t="shared" si="49"/>
        <v>-0.59761544101087394</v>
      </c>
      <c r="O207" s="127">
        <f t="shared" si="50"/>
        <v>-0.3953586931471641</v>
      </c>
      <c r="P207" s="108">
        <v>1669.0315000000001</v>
      </c>
      <c r="Q207" s="108">
        <f t="shared" si="51"/>
        <v>3.2224645332922388</v>
      </c>
      <c r="R207" s="108">
        <v>5094.7950000000001</v>
      </c>
      <c r="S207" s="108">
        <f t="shared" si="52"/>
        <v>3.707126713924402</v>
      </c>
      <c r="T207" s="108">
        <v>85</v>
      </c>
      <c r="U207" s="106">
        <f t="shared" si="56"/>
        <v>1.9294189257142926</v>
      </c>
      <c r="V207" s="127">
        <v>30</v>
      </c>
      <c r="W207" s="119">
        <f t="shared" si="57"/>
        <v>1.4771212547196624</v>
      </c>
      <c r="X207" s="128">
        <v>35.807885111275297</v>
      </c>
      <c r="Y207" s="120">
        <f t="shared" si="58"/>
        <v>1.5539786714272548</v>
      </c>
      <c r="Z207" s="153">
        <v>-0.06</v>
      </c>
      <c r="AA207" s="127">
        <f t="shared" si="53"/>
        <v>-2.6872146400301365E-2</v>
      </c>
      <c r="AB207" s="108">
        <v>16</v>
      </c>
      <c r="AC207" s="137">
        <f t="shared" si="59"/>
        <v>1.2041199826559248</v>
      </c>
    </row>
    <row r="208" spans="1:29" x14ac:dyDescent="0.35">
      <c r="A208" s="143">
        <v>36234</v>
      </c>
      <c r="B208" s="106" t="s">
        <v>248</v>
      </c>
      <c r="C208" s="83">
        <f t="shared" si="45"/>
        <v>5</v>
      </c>
      <c r="D208" s="106">
        <v>126865700</v>
      </c>
      <c r="E208" s="83">
        <f t="shared" si="46"/>
        <v>8.1033442200910457</v>
      </c>
      <c r="F208" s="143">
        <v>41213</v>
      </c>
      <c r="G208" s="106">
        <v>22723512</v>
      </c>
      <c r="H208" s="145">
        <f t="shared" si="47"/>
        <v>13.641095890410959</v>
      </c>
      <c r="I208" s="145">
        <f t="shared" si="54"/>
        <v>1.1348492618189847</v>
      </c>
      <c r="J208" s="106">
        <v>9</v>
      </c>
      <c r="K208" s="106">
        <f t="shared" si="48"/>
        <v>1</v>
      </c>
      <c r="L208" s="59">
        <v>3.29</v>
      </c>
      <c r="M208" s="59">
        <f t="shared" si="55"/>
        <v>0.51719589794997434</v>
      </c>
      <c r="N208" s="154">
        <f t="shared" si="49"/>
        <v>-0.82088529839034508</v>
      </c>
      <c r="O208" s="119">
        <f t="shared" si="50"/>
        <v>-0.74686876610010333</v>
      </c>
      <c r="P208" s="106">
        <v>1669.0315000000001</v>
      </c>
      <c r="Q208" s="106">
        <f t="shared" si="51"/>
        <v>3.2224645332922388</v>
      </c>
      <c r="R208" s="106">
        <v>5094.7950000000001</v>
      </c>
      <c r="S208" s="106">
        <f t="shared" si="52"/>
        <v>3.707126713924402</v>
      </c>
      <c r="T208" s="106">
        <v>85</v>
      </c>
      <c r="U208" s="106">
        <f t="shared" si="56"/>
        <v>1.9294189257142926</v>
      </c>
      <c r="V208" s="119">
        <v>32.200000000000003</v>
      </c>
      <c r="W208" s="119">
        <f t="shared" si="57"/>
        <v>1.507855871695831</v>
      </c>
      <c r="X208" s="120">
        <v>35.326012114535303</v>
      </c>
      <c r="Y208" s="120">
        <f t="shared" si="58"/>
        <v>1.548094613534351</v>
      </c>
      <c r="Z208" s="152">
        <v>0.08</v>
      </c>
      <c r="AA208" s="119">
        <f t="shared" si="53"/>
        <v>3.342375548694973E-2</v>
      </c>
      <c r="AB208" s="106">
        <v>18</v>
      </c>
      <c r="AC208" s="137">
        <f t="shared" si="59"/>
        <v>1.255272505103306</v>
      </c>
    </row>
    <row r="209" spans="1:29" x14ac:dyDescent="0.35">
      <c r="A209" s="146">
        <v>38061</v>
      </c>
      <c r="B209" s="108" t="s">
        <v>235</v>
      </c>
      <c r="C209" s="84">
        <f t="shared" si="45"/>
        <v>1</v>
      </c>
      <c r="D209" s="108">
        <v>662500000</v>
      </c>
      <c r="E209" s="84">
        <f t="shared" si="46"/>
        <v>8.8211858826088463</v>
      </c>
      <c r="F209" s="146">
        <v>40119</v>
      </c>
      <c r="G209" s="108">
        <v>1523292791</v>
      </c>
      <c r="H209" s="148">
        <f t="shared" si="47"/>
        <v>5.6383561643835618</v>
      </c>
      <c r="I209" s="145">
        <f t="shared" si="54"/>
        <v>0.75115250596993943</v>
      </c>
      <c r="J209" s="108">
        <v>138</v>
      </c>
      <c r="K209" s="108">
        <f t="shared" si="48"/>
        <v>2.143014800254095</v>
      </c>
      <c r="L209" s="65">
        <v>3.29</v>
      </c>
      <c r="M209" s="59">
        <f t="shared" si="55"/>
        <v>0.51719589794997434</v>
      </c>
      <c r="N209" s="155">
        <f t="shared" si="49"/>
        <v>1.2993098732075472</v>
      </c>
      <c r="O209" s="127">
        <f t="shared" si="50"/>
        <v>0.36159750417725695</v>
      </c>
      <c r="P209" s="108">
        <v>1655.11</v>
      </c>
      <c r="Q209" s="108">
        <f t="shared" si="51"/>
        <v>3.2188268626467691</v>
      </c>
      <c r="R209" s="108">
        <v>5715.55</v>
      </c>
      <c r="S209" s="108">
        <f t="shared" si="52"/>
        <v>3.7570580283396975</v>
      </c>
      <c r="T209" s="108">
        <v>85</v>
      </c>
      <c r="U209" s="106">
        <f t="shared" si="56"/>
        <v>1.9294189257142926</v>
      </c>
      <c r="V209" s="127">
        <v>32.299999999999997</v>
      </c>
      <c r="W209" s="119">
        <f t="shared" si="57"/>
        <v>1.5092025223311027</v>
      </c>
      <c r="X209" s="128">
        <v>40.040400531970803</v>
      </c>
      <c r="Y209" s="120">
        <f t="shared" si="58"/>
        <v>1.6024984131617945</v>
      </c>
      <c r="Z209" s="153">
        <v>-0.06</v>
      </c>
      <c r="AA209" s="127">
        <f t="shared" si="53"/>
        <v>-2.6872146400301365E-2</v>
      </c>
      <c r="AB209" s="108">
        <v>18</v>
      </c>
      <c r="AC209" s="137">
        <f t="shared" si="59"/>
        <v>1.255272505103306</v>
      </c>
    </row>
    <row r="210" spans="1:29" x14ac:dyDescent="0.35">
      <c r="A210" s="143">
        <v>36770</v>
      </c>
      <c r="B210" s="106" t="s">
        <v>190</v>
      </c>
      <c r="C210" s="83">
        <f t="shared" si="45"/>
        <v>2</v>
      </c>
      <c r="D210" s="106">
        <v>1300000000</v>
      </c>
      <c r="E210" s="83">
        <f t="shared" si="46"/>
        <v>9.1139433523068369</v>
      </c>
      <c r="F210" s="143">
        <v>38849</v>
      </c>
      <c r="G210" s="106">
        <v>2200000000</v>
      </c>
      <c r="H210" s="145">
        <f t="shared" si="47"/>
        <v>5.6958904109589037</v>
      </c>
      <c r="I210" s="145">
        <f t="shared" si="54"/>
        <v>0.75556162487499445</v>
      </c>
      <c r="J210" s="106">
        <v>7</v>
      </c>
      <c r="K210" s="106">
        <f t="shared" si="48"/>
        <v>0.90308998699194354</v>
      </c>
      <c r="L210" s="59">
        <v>3.29</v>
      </c>
      <c r="M210" s="59">
        <f t="shared" si="55"/>
        <v>0.51719589794997434</v>
      </c>
      <c r="N210" s="154">
        <f t="shared" si="49"/>
        <v>0.69230769230769229</v>
      </c>
      <c r="O210" s="119">
        <f t="shared" si="50"/>
        <v>0.22847932851536945</v>
      </c>
      <c r="P210" s="106">
        <v>1655.11</v>
      </c>
      <c r="Q210" s="106">
        <f t="shared" si="51"/>
        <v>3.2188268626467691</v>
      </c>
      <c r="R210" s="106">
        <v>5715.55</v>
      </c>
      <c r="S210" s="106">
        <f t="shared" si="52"/>
        <v>3.7570580283396975</v>
      </c>
      <c r="T210" s="106">
        <v>85</v>
      </c>
      <c r="U210" s="106">
        <f t="shared" si="56"/>
        <v>1.9294189257142926</v>
      </c>
      <c r="V210" s="119">
        <v>32.9</v>
      </c>
      <c r="W210" s="119">
        <f t="shared" si="57"/>
        <v>1.5171958979499742</v>
      </c>
      <c r="X210" s="120">
        <v>35.433808146393098</v>
      </c>
      <c r="Y210" s="120">
        <f t="shared" si="58"/>
        <v>1.5494178293890581</v>
      </c>
      <c r="Z210" s="152">
        <v>-0.15</v>
      </c>
      <c r="AA210" s="119">
        <f t="shared" si="53"/>
        <v>-7.0581074285707285E-2</v>
      </c>
      <c r="AB210" s="106">
        <v>14</v>
      </c>
      <c r="AC210" s="137">
        <f t="shared" si="59"/>
        <v>1.146128035678238</v>
      </c>
    </row>
    <row r="211" spans="1:29" x14ac:dyDescent="0.35">
      <c r="A211" s="146">
        <v>36160</v>
      </c>
      <c r="B211" s="108" t="s">
        <v>186</v>
      </c>
      <c r="C211" s="84">
        <f t="shared" si="45"/>
        <v>4</v>
      </c>
      <c r="D211" s="108">
        <v>442000000</v>
      </c>
      <c r="E211" s="84">
        <f t="shared" si="46"/>
        <v>8.6454222693490923</v>
      </c>
      <c r="F211" s="146">
        <v>37925</v>
      </c>
      <c r="G211" s="108">
        <v>839270000</v>
      </c>
      <c r="H211" s="148">
        <f t="shared" si="47"/>
        <v>4.8356164383561646</v>
      </c>
      <c r="I211" s="145">
        <f t="shared" si="54"/>
        <v>0.68445184526736669</v>
      </c>
      <c r="J211" s="108">
        <v>23</v>
      </c>
      <c r="K211" s="108">
        <f t="shared" si="48"/>
        <v>1.3802112417116059</v>
      </c>
      <c r="L211" s="65">
        <v>3.29</v>
      </c>
      <c r="M211" s="59">
        <f t="shared" si="55"/>
        <v>0.51719589794997434</v>
      </c>
      <c r="N211" s="155">
        <f t="shared" si="49"/>
        <v>0.89880090497737553</v>
      </c>
      <c r="O211" s="127">
        <f t="shared" si="50"/>
        <v>0.27847943003314923</v>
      </c>
      <c r="P211" s="108">
        <v>1655.11</v>
      </c>
      <c r="Q211" s="108">
        <f t="shared" si="51"/>
        <v>3.2188268626467691</v>
      </c>
      <c r="R211" s="108">
        <v>5715.55</v>
      </c>
      <c r="S211" s="108">
        <f t="shared" si="52"/>
        <v>3.7570580283396975</v>
      </c>
      <c r="T211" s="108">
        <v>85</v>
      </c>
      <c r="U211" s="106">
        <f t="shared" si="56"/>
        <v>1.9294189257142926</v>
      </c>
      <c r="V211" s="127">
        <v>31.5</v>
      </c>
      <c r="W211" s="119">
        <f t="shared" si="57"/>
        <v>1.4983105537896004</v>
      </c>
      <c r="X211" s="128">
        <v>35.516899069648296</v>
      </c>
      <c r="Y211" s="120">
        <f t="shared" si="58"/>
        <v>1.5504350411232082</v>
      </c>
      <c r="Z211" s="153">
        <v>-0.15</v>
      </c>
      <c r="AA211" s="127">
        <f t="shared" si="53"/>
        <v>-7.0581074285707285E-2</v>
      </c>
      <c r="AB211" s="108">
        <v>12</v>
      </c>
      <c r="AC211" s="137">
        <f t="shared" si="59"/>
        <v>1.0791812460476249</v>
      </c>
    </row>
    <row r="212" spans="1:29" x14ac:dyDescent="0.35">
      <c r="A212" s="143">
        <v>39849</v>
      </c>
      <c r="B212" s="106" t="s">
        <v>178</v>
      </c>
      <c r="C212" s="83">
        <f t="shared" si="45"/>
        <v>9</v>
      </c>
      <c r="D212" s="106">
        <v>1026120000</v>
      </c>
      <c r="E212" s="83">
        <f t="shared" si="46"/>
        <v>9.0111981524818265</v>
      </c>
      <c r="F212" s="143">
        <v>41121</v>
      </c>
      <c r="G212" s="106">
        <v>5000000000</v>
      </c>
      <c r="H212" s="145">
        <f t="shared" si="47"/>
        <v>3.484931506849315</v>
      </c>
      <c r="I212" s="145">
        <f t="shared" si="54"/>
        <v>0.54219424685592033</v>
      </c>
      <c r="J212" s="106">
        <v>21</v>
      </c>
      <c r="K212" s="106">
        <f t="shared" si="48"/>
        <v>1.3424226808222062</v>
      </c>
      <c r="L212" s="59">
        <v>3.29</v>
      </c>
      <c r="M212" s="59">
        <f t="shared" si="55"/>
        <v>0.51719589794997434</v>
      </c>
      <c r="N212" s="154">
        <f t="shared" si="49"/>
        <v>3.8727244376875998</v>
      </c>
      <c r="O212" s="119">
        <f t="shared" si="50"/>
        <v>0.68777185185419265</v>
      </c>
      <c r="P212" s="106">
        <v>1861.76</v>
      </c>
      <c r="Q212" s="106">
        <f t="shared" si="51"/>
        <v>3.2699236952309465</v>
      </c>
      <c r="R212" s="106">
        <v>4993.92</v>
      </c>
      <c r="S212" s="106">
        <f t="shared" si="52"/>
        <v>3.6984415808994222</v>
      </c>
      <c r="T212" s="106">
        <v>89.8</v>
      </c>
      <c r="U212" s="106">
        <f t="shared" si="56"/>
        <v>1.9532763366673043</v>
      </c>
      <c r="V212" s="119">
        <v>31.2</v>
      </c>
      <c r="W212" s="119">
        <f t="shared" si="57"/>
        <v>1.4941545940184429</v>
      </c>
      <c r="X212" s="120">
        <v>47.307367293927399</v>
      </c>
      <c r="Y212" s="120">
        <f t="shared" si="58"/>
        <v>1.6749287797641836</v>
      </c>
      <c r="Z212" s="152">
        <v>0.63</v>
      </c>
      <c r="AA212" s="119">
        <f t="shared" si="53"/>
        <v>0.21218760440395779</v>
      </c>
      <c r="AB212" s="106">
        <v>24</v>
      </c>
      <c r="AC212" s="137">
        <f t="shared" si="59"/>
        <v>1.3802112417116059</v>
      </c>
    </row>
    <row r="213" spans="1:29" x14ac:dyDescent="0.35">
      <c r="A213" s="146">
        <v>39335</v>
      </c>
      <c r="B213" s="108" t="s">
        <v>245</v>
      </c>
      <c r="C213" s="84">
        <f t="shared" si="45"/>
        <v>6</v>
      </c>
      <c r="D213" s="108">
        <v>6150000000</v>
      </c>
      <c r="E213" s="84">
        <f t="shared" si="46"/>
        <v>9.7888751157754168</v>
      </c>
      <c r="F213" s="146">
        <v>42482</v>
      </c>
      <c r="G213" s="108">
        <v>1479800000</v>
      </c>
      <c r="H213" s="148">
        <f t="shared" si="47"/>
        <v>8.6219178082191785</v>
      </c>
      <c r="I213" s="145">
        <f t="shared" si="54"/>
        <v>0.93560387845674564</v>
      </c>
      <c r="J213" s="108">
        <v>48</v>
      </c>
      <c r="K213" s="108">
        <f t="shared" si="48"/>
        <v>1.6901960800285136</v>
      </c>
      <c r="L213" s="65">
        <v>3.29</v>
      </c>
      <c r="M213" s="59">
        <f t="shared" si="55"/>
        <v>0.51719589794997434</v>
      </c>
      <c r="N213" s="155">
        <f t="shared" si="49"/>
        <v>-0.75938211382113818</v>
      </c>
      <c r="O213" s="127">
        <f t="shared" si="50"/>
        <v>-0.61867209278975244</v>
      </c>
      <c r="P213" s="108">
        <v>1861.76</v>
      </c>
      <c r="Q213" s="108">
        <f t="shared" si="51"/>
        <v>3.2699236952309465</v>
      </c>
      <c r="R213" s="108">
        <v>4993.92</v>
      </c>
      <c r="S213" s="108">
        <f t="shared" si="52"/>
        <v>3.6984415808994222</v>
      </c>
      <c r="T213" s="108">
        <v>91.2</v>
      </c>
      <c r="U213" s="106">
        <f t="shared" si="56"/>
        <v>1.9599948383284163</v>
      </c>
      <c r="V213" s="127">
        <v>33</v>
      </c>
      <c r="W213" s="119">
        <f t="shared" si="57"/>
        <v>1.5185139398778875</v>
      </c>
      <c r="X213" s="128">
        <v>40.902544500539101</v>
      </c>
      <c r="Y213" s="120">
        <f t="shared" si="58"/>
        <v>1.6117503258110162</v>
      </c>
      <c r="Z213" s="153">
        <v>0.44</v>
      </c>
      <c r="AA213" s="127">
        <f t="shared" si="53"/>
        <v>0.15836249209524964</v>
      </c>
      <c r="AB213" s="108">
        <v>22</v>
      </c>
      <c r="AC213" s="137">
        <f t="shared" si="59"/>
        <v>1.3424226808222062</v>
      </c>
    </row>
    <row r="214" spans="1:29" x14ac:dyDescent="0.35">
      <c r="A214" s="143">
        <v>38798</v>
      </c>
      <c r="B214" s="106" t="s">
        <v>186</v>
      </c>
      <c r="C214" s="83">
        <f t="shared" si="45"/>
        <v>4</v>
      </c>
      <c r="D214" s="106">
        <v>320000000</v>
      </c>
      <c r="E214" s="83">
        <f t="shared" si="46"/>
        <v>8.5051499783199063</v>
      </c>
      <c r="F214" s="143">
        <v>41905</v>
      </c>
      <c r="G214" s="106">
        <v>531000000</v>
      </c>
      <c r="H214" s="145">
        <f t="shared" si="47"/>
        <v>8.5123287671232877</v>
      </c>
      <c r="I214" s="145">
        <f t="shared" si="54"/>
        <v>0.93004838879849971</v>
      </c>
      <c r="J214" s="106">
        <v>10</v>
      </c>
      <c r="K214" s="106">
        <f t="shared" si="48"/>
        <v>1.0413926851582251</v>
      </c>
      <c r="L214" s="59">
        <v>3.29</v>
      </c>
      <c r="M214" s="59">
        <f t="shared" si="55"/>
        <v>0.51719589794997434</v>
      </c>
      <c r="N214" s="154">
        <f t="shared" si="49"/>
        <v>0.65937500000000004</v>
      </c>
      <c r="O214" s="119">
        <f t="shared" si="50"/>
        <v>0.21994454276156311</v>
      </c>
      <c r="P214" s="106">
        <v>1861.76</v>
      </c>
      <c r="Q214" s="106">
        <f t="shared" si="51"/>
        <v>3.2699236952309465</v>
      </c>
      <c r="R214" s="106">
        <v>4993.92</v>
      </c>
      <c r="S214" s="106">
        <f t="shared" si="52"/>
        <v>3.6984415808994222</v>
      </c>
      <c r="T214" s="106">
        <v>91.5</v>
      </c>
      <c r="U214" s="106">
        <f t="shared" si="56"/>
        <v>1.9614210940664483</v>
      </c>
      <c r="V214" s="119">
        <v>32.9</v>
      </c>
      <c r="W214" s="119">
        <f t="shared" si="57"/>
        <v>1.5171958979499742</v>
      </c>
      <c r="X214" s="120">
        <v>40.767390998852598</v>
      </c>
      <c r="Y214" s="120">
        <f t="shared" si="58"/>
        <v>1.6103129186864549</v>
      </c>
      <c r="Z214" s="152">
        <v>0.52</v>
      </c>
      <c r="AA214" s="119">
        <f t="shared" si="53"/>
        <v>0.18184358794477254</v>
      </c>
      <c r="AB214" s="106">
        <v>21</v>
      </c>
      <c r="AC214" s="137">
        <f t="shared" si="59"/>
        <v>1.3222192947339193</v>
      </c>
    </row>
    <row r="215" spans="1:29" x14ac:dyDescent="0.35">
      <c r="A215" s="146">
        <v>38261</v>
      </c>
      <c r="B215" s="108" t="s">
        <v>248</v>
      </c>
      <c r="C215" s="84">
        <f t="shared" si="45"/>
        <v>5</v>
      </c>
      <c r="D215" s="108">
        <v>1750000000</v>
      </c>
      <c r="E215" s="84">
        <f t="shared" si="46"/>
        <v>9.2430380486862944</v>
      </c>
      <c r="F215" s="146">
        <v>42564</v>
      </c>
      <c r="G215" s="108">
        <f>(1119089000+180950000)</f>
        <v>1300039000</v>
      </c>
      <c r="H215" s="148">
        <f t="shared" si="47"/>
        <v>11.789041095890411</v>
      </c>
      <c r="I215" s="145">
        <f t="shared" si="54"/>
        <v>1.0714784816260807</v>
      </c>
      <c r="J215" s="108">
        <v>99</v>
      </c>
      <c r="K215" s="108">
        <f t="shared" si="48"/>
        <v>2</v>
      </c>
      <c r="L215" s="65">
        <v>3.29</v>
      </c>
      <c r="M215" s="59">
        <f t="shared" si="55"/>
        <v>0.51719589794997434</v>
      </c>
      <c r="N215" s="155">
        <f t="shared" si="49"/>
        <v>-0.25712057142857148</v>
      </c>
      <c r="O215" s="127">
        <f t="shared" si="50"/>
        <v>-0.1290816677404292</v>
      </c>
      <c r="P215" s="108">
        <v>1861.76</v>
      </c>
      <c r="Q215" s="108">
        <f t="shared" si="51"/>
        <v>3.2699236952309465</v>
      </c>
      <c r="R215" s="108">
        <v>4993.92</v>
      </c>
      <c r="S215" s="108">
        <f t="shared" si="52"/>
        <v>3.6984415808994222</v>
      </c>
      <c r="T215" s="108">
        <v>85</v>
      </c>
      <c r="U215" s="106">
        <f t="shared" si="56"/>
        <v>1.9294189257142926</v>
      </c>
      <c r="V215" s="127">
        <v>32.299999999999997</v>
      </c>
      <c r="W215" s="119">
        <f t="shared" si="57"/>
        <v>1.5092025223311027</v>
      </c>
      <c r="X215" s="128">
        <v>40.040400531970803</v>
      </c>
      <c r="Y215" s="120">
        <f t="shared" si="58"/>
        <v>1.6024984131617945</v>
      </c>
      <c r="Z215" s="153">
        <v>0.9</v>
      </c>
      <c r="AA215" s="127">
        <f t="shared" si="53"/>
        <v>0.27875360095282892</v>
      </c>
      <c r="AB215" s="108">
        <v>19</v>
      </c>
      <c r="AC215" s="137">
        <f t="shared" si="59"/>
        <v>1.2787536009528289</v>
      </c>
    </row>
    <row r="216" spans="1:29" x14ac:dyDescent="0.35">
      <c r="A216" s="143">
        <v>38084</v>
      </c>
      <c r="B216" s="106" t="s">
        <v>248</v>
      </c>
      <c r="C216" s="83">
        <f t="shared" si="45"/>
        <v>5</v>
      </c>
      <c r="D216" s="106">
        <v>660500000</v>
      </c>
      <c r="E216" s="83">
        <f t="shared" si="46"/>
        <v>8.8198728219505469</v>
      </c>
      <c r="F216" s="143">
        <v>42181</v>
      </c>
      <c r="G216" s="106">
        <v>1782800000</v>
      </c>
      <c r="H216" s="145">
        <f t="shared" si="47"/>
        <v>11.224657534246575</v>
      </c>
      <c r="I216" s="145">
        <f t="shared" si="54"/>
        <v>1.0501730994966676</v>
      </c>
      <c r="J216" s="106">
        <v>35</v>
      </c>
      <c r="K216" s="106">
        <f t="shared" si="48"/>
        <v>1.5563025007672873</v>
      </c>
      <c r="L216" s="59">
        <v>3.29</v>
      </c>
      <c r="M216" s="59">
        <f t="shared" si="55"/>
        <v>0.51719589794997434</v>
      </c>
      <c r="N216" s="154">
        <f t="shared" si="49"/>
        <v>1.6991672975018925</v>
      </c>
      <c r="O216" s="119">
        <f t="shared" si="50"/>
        <v>0.43122980346359274</v>
      </c>
      <c r="P216" s="106">
        <v>1861.76</v>
      </c>
      <c r="Q216" s="106">
        <f t="shared" si="51"/>
        <v>3.2699236952309465</v>
      </c>
      <c r="R216" s="106">
        <v>4993.92</v>
      </c>
      <c r="S216" s="106">
        <f t="shared" si="52"/>
        <v>3.6984415808994222</v>
      </c>
      <c r="T216" s="106">
        <v>85</v>
      </c>
      <c r="U216" s="106">
        <f t="shared" si="56"/>
        <v>1.9294189257142926</v>
      </c>
      <c r="V216" s="119">
        <v>32.299999999999997</v>
      </c>
      <c r="W216" s="119">
        <f t="shared" si="57"/>
        <v>1.5092025223311027</v>
      </c>
      <c r="X216" s="120">
        <v>40.040400531970803</v>
      </c>
      <c r="Y216" s="120">
        <f t="shared" si="58"/>
        <v>1.6024984131617945</v>
      </c>
      <c r="Z216" s="152">
        <v>0.84</v>
      </c>
      <c r="AA216" s="119">
        <f t="shared" si="53"/>
        <v>0.26481782300953643</v>
      </c>
      <c r="AB216" s="106">
        <v>19</v>
      </c>
      <c r="AC216" s="137">
        <f t="shared" si="59"/>
        <v>1.2787536009528289</v>
      </c>
    </row>
    <row r="217" spans="1:29" x14ac:dyDescent="0.35">
      <c r="A217" s="146">
        <v>37972</v>
      </c>
      <c r="B217" s="108" t="s">
        <v>186</v>
      </c>
      <c r="C217" s="84">
        <f t="shared" si="45"/>
        <v>4</v>
      </c>
      <c r="D217" s="108">
        <v>976170000</v>
      </c>
      <c r="E217" s="84">
        <f t="shared" si="46"/>
        <v>8.9895254566347216</v>
      </c>
      <c r="F217" s="146">
        <v>38729</v>
      </c>
      <c r="G217" s="108">
        <v>238130000</v>
      </c>
      <c r="H217" s="148">
        <f t="shared" si="47"/>
        <v>2.0739726027397261</v>
      </c>
      <c r="I217" s="145">
        <f t="shared" si="54"/>
        <v>0.31680301504359804</v>
      </c>
      <c r="J217" s="108">
        <v>24</v>
      </c>
      <c r="K217" s="108">
        <f t="shared" si="48"/>
        <v>1.3979400086720377</v>
      </c>
      <c r="L217" s="65">
        <v>3.29</v>
      </c>
      <c r="M217" s="59">
        <f t="shared" si="55"/>
        <v>0.51719589794997434</v>
      </c>
      <c r="N217" s="155">
        <f t="shared" si="49"/>
        <v>-0.75605683436286708</v>
      </c>
      <c r="O217" s="127">
        <f t="shared" si="50"/>
        <v>-0.6127113446665251</v>
      </c>
      <c r="P217" s="108">
        <v>1861.76</v>
      </c>
      <c r="Q217" s="108">
        <f t="shared" si="51"/>
        <v>3.2699236952309465</v>
      </c>
      <c r="R217" s="108">
        <v>4993.92</v>
      </c>
      <c r="S217" s="108">
        <f t="shared" si="52"/>
        <v>3.6984415808994222</v>
      </c>
      <c r="T217" s="108">
        <v>85</v>
      </c>
      <c r="U217" s="106">
        <f t="shared" si="56"/>
        <v>1.9294189257142926</v>
      </c>
      <c r="V217" s="127">
        <v>31.3</v>
      </c>
      <c r="W217" s="119">
        <f t="shared" si="57"/>
        <v>1.4955443375464486</v>
      </c>
      <c r="X217" s="128">
        <v>38.7850112673514</v>
      </c>
      <c r="Y217" s="120">
        <f t="shared" si="58"/>
        <v>1.5886639219461918</v>
      </c>
      <c r="Z217" s="153">
        <v>0.19</v>
      </c>
      <c r="AA217" s="127">
        <f t="shared" si="53"/>
        <v>7.554696139253074E-2</v>
      </c>
      <c r="AB217" s="108">
        <v>18</v>
      </c>
      <c r="AC217" s="137">
        <f t="shared" si="59"/>
        <v>1.255272505103306</v>
      </c>
    </row>
    <row r="218" spans="1:29" x14ac:dyDescent="0.35">
      <c r="A218" s="143">
        <v>37656</v>
      </c>
      <c r="B218" s="106" t="s">
        <v>248</v>
      </c>
      <c r="C218" s="83">
        <f t="shared" si="45"/>
        <v>5</v>
      </c>
      <c r="D218" s="106">
        <v>712000000</v>
      </c>
      <c r="E218" s="83">
        <f t="shared" si="46"/>
        <v>8.852479993636857</v>
      </c>
      <c r="F218" s="143">
        <v>38966</v>
      </c>
      <c r="G218" s="106">
        <v>675000000</v>
      </c>
      <c r="H218" s="145">
        <f t="shared" si="47"/>
        <v>3.5890410958904111</v>
      </c>
      <c r="I218" s="145">
        <f t="shared" si="54"/>
        <v>0.55497843119928958</v>
      </c>
      <c r="J218" s="106">
        <v>45</v>
      </c>
      <c r="K218" s="106">
        <f t="shared" si="48"/>
        <v>1.6627578316815741</v>
      </c>
      <c r="L218" s="59">
        <v>3.29</v>
      </c>
      <c r="M218" s="59">
        <f t="shared" si="55"/>
        <v>0.51719589794997434</v>
      </c>
      <c r="N218" s="154">
        <f t="shared" si="49"/>
        <v>-5.1966292134831504E-2</v>
      </c>
      <c r="O218" s="119">
        <f t="shared" si="50"/>
        <v>-2.3176220805831468E-2</v>
      </c>
      <c r="P218" s="106">
        <v>1861.76</v>
      </c>
      <c r="Q218" s="106">
        <f t="shared" si="51"/>
        <v>3.2699236952309465</v>
      </c>
      <c r="R218" s="106">
        <v>4993.92</v>
      </c>
      <c r="S218" s="106">
        <f t="shared" si="52"/>
        <v>3.6984415808994222</v>
      </c>
      <c r="T218" s="106">
        <v>85</v>
      </c>
      <c r="U218" s="106">
        <f t="shared" si="56"/>
        <v>1.9294189257142926</v>
      </c>
      <c r="V218" s="119">
        <v>31.3</v>
      </c>
      <c r="W218" s="119">
        <f t="shared" si="57"/>
        <v>1.4955443375464486</v>
      </c>
      <c r="X218" s="120">
        <v>38.7850112673514</v>
      </c>
      <c r="Y218" s="120">
        <f t="shared" si="58"/>
        <v>1.5886639219461918</v>
      </c>
      <c r="Z218" s="152">
        <v>0.53</v>
      </c>
      <c r="AA218" s="119">
        <f t="shared" si="53"/>
        <v>0.18469143081759881</v>
      </c>
      <c r="AB218" s="106">
        <v>18</v>
      </c>
      <c r="AC218" s="137">
        <f t="shared" si="59"/>
        <v>1.255272505103306</v>
      </c>
    </row>
    <row r="219" spans="1:29" x14ac:dyDescent="0.35">
      <c r="A219" s="146">
        <v>36882</v>
      </c>
      <c r="B219" s="108" t="s">
        <v>248</v>
      </c>
      <c r="C219" s="84">
        <f t="shared" si="45"/>
        <v>5</v>
      </c>
      <c r="D219" s="108">
        <v>750000000</v>
      </c>
      <c r="E219" s="84">
        <f t="shared" si="46"/>
        <v>8.8750612633917001</v>
      </c>
      <c r="F219" s="146">
        <v>37610</v>
      </c>
      <c r="G219" s="108">
        <v>738000000</v>
      </c>
      <c r="H219" s="148">
        <f t="shared" si="47"/>
        <v>1.9945205479452055</v>
      </c>
      <c r="I219" s="145">
        <f t="shared" si="54"/>
        <v>0.29983851485656249</v>
      </c>
      <c r="J219" s="108">
        <v>21</v>
      </c>
      <c r="K219" s="108">
        <f t="shared" si="48"/>
        <v>1.3424226808222062</v>
      </c>
      <c r="L219" s="65">
        <v>3.29</v>
      </c>
      <c r="M219" s="59">
        <f t="shared" si="55"/>
        <v>0.51719589794997434</v>
      </c>
      <c r="N219" s="155">
        <f t="shared" si="49"/>
        <v>-1.6000000000000014E-2</v>
      </c>
      <c r="O219" s="127">
        <f t="shared" si="50"/>
        <v>-7.0049015686584892E-3</v>
      </c>
      <c r="P219" s="108">
        <v>1861.76</v>
      </c>
      <c r="Q219" s="108">
        <f t="shared" si="51"/>
        <v>3.2699236952309465</v>
      </c>
      <c r="R219" s="108">
        <v>4993.92</v>
      </c>
      <c r="S219" s="108">
        <f t="shared" si="52"/>
        <v>3.6984415808994222</v>
      </c>
      <c r="T219" s="108">
        <v>85</v>
      </c>
      <c r="U219" s="106">
        <f t="shared" si="56"/>
        <v>1.9294189257142926</v>
      </c>
      <c r="V219" s="127">
        <v>32.9</v>
      </c>
      <c r="W219" s="119">
        <f t="shared" si="57"/>
        <v>1.5171958979499742</v>
      </c>
      <c r="X219" s="128">
        <v>35.433808146393098</v>
      </c>
      <c r="Y219" s="120">
        <f t="shared" si="58"/>
        <v>1.5494178293890581</v>
      </c>
      <c r="Z219" s="153">
        <v>-0.31</v>
      </c>
      <c r="AA219" s="127">
        <f t="shared" si="53"/>
        <v>-0.16115090926274472</v>
      </c>
      <c r="AB219" s="108">
        <v>15</v>
      </c>
      <c r="AC219" s="137">
        <f t="shared" si="59"/>
        <v>1.1760912590556813</v>
      </c>
    </row>
    <row r="220" spans="1:29" x14ac:dyDescent="0.35">
      <c r="A220" s="143">
        <v>36816</v>
      </c>
      <c r="B220" s="106" t="s">
        <v>178</v>
      </c>
      <c r="C220" s="83">
        <f t="shared" si="45"/>
        <v>9</v>
      </c>
      <c r="D220" s="106">
        <v>2600000000</v>
      </c>
      <c r="E220" s="83">
        <f t="shared" si="46"/>
        <v>9.4149733479708182</v>
      </c>
      <c r="F220" s="143">
        <v>38538</v>
      </c>
      <c r="G220" s="106">
        <v>665480000</v>
      </c>
      <c r="H220" s="145">
        <f t="shared" si="47"/>
        <v>4.7178082191780826</v>
      </c>
      <c r="I220" s="145">
        <f t="shared" si="54"/>
        <v>0.67374028266116126</v>
      </c>
      <c r="J220" s="106">
        <v>0</v>
      </c>
      <c r="K220" s="106">
        <f t="shared" si="48"/>
        <v>0</v>
      </c>
      <c r="L220" s="59">
        <v>3.29</v>
      </c>
      <c r="M220" s="59">
        <f t="shared" si="55"/>
        <v>0.51719589794997434</v>
      </c>
      <c r="N220" s="154">
        <f t="shared" si="49"/>
        <v>-0.7440461538461538</v>
      </c>
      <c r="O220" s="119">
        <f t="shared" si="50"/>
        <v>-0.59183834003113434</v>
      </c>
      <c r="P220" s="106">
        <v>1861.76</v>
      </c>
      <c r="Q220" s="106">
        <f t="shared" si="51"/>
        <v>3.2699236952309465</v>
      </c>
      <c r="R220" s="106">
        <v>4993.92</v>
      </c>
      <c r="S220" s="106">
        <f t="shared" si="52"/>
        <v>3.6984415808994222</v>
      </c>
      <c r="T220" s="106">
        <v>85</v>
      </c>
      <c r="U220" s="106">
        <f t="shared" si="56"/>
        <v>1.9294189257142926</v>
      </c>
      <c r="V220" s="119">
        <v>32.9</v>
      </c>
      <c r="W220" s="119">
        <f t="shared" si="57"/>
        <v>1.5171958979499742</v>
      </c>
      <c r="X220" s="120">
        <v>35.433808146393098</v>
      </c>
      <c r="Y220" s="120">
        <f t="shared" si="58"/>
        <v>1.5494178293890581</v>
      </c>
      <c r="Z220" s="152">
        <v>-0.11</v>
      </c>
      <c r="AA220" s="119">
        <f t="shared" si="53"/>
        <v>-5.0609993355087209E-2</v>
      </c>
      <c r="AB220" s="106">
        <v>15</v>
      </c>
      <c r="AC220" s="137">
        <f t="shared" si="59"/>
        <v>1.1760912590556813</v>
      </c>
    </row>
    <row r="221" spans="1:29" x14ac:dyDescent="0.35">
      <c r="A221" s="146">
        <v>36126</v>
      </c>
      <c r="B221" s="108" t="s">
        <v>248</v>
      </c>
      <c r="C221" s="84">
        <f t="shared" si="45"/>
        <v>5</v>
      </c>
      <c r="D221" s="108">
        <v>82000000</v>
      </c>
      <c r="E221" s="84">
        <f t="shared" si="46"/>
        <v>7.9138138523837167</v>
      </c>
      <c r="F221" s="146">
        <v>39370</v>
      </c>
      <c r="G221" s="108">
        <v>35000000</v>
      </c>
      <c r="H221" s="148">
        <f t="shared" si="47"/>
        <v>8.8876712328767127</v>
      </c>
      <c r="I221" s="145">
        <f t="shared" si="54"/>
        <v>0.94878798108264373</v>
      </c>
      <c r="J221" s="108">
        <v>0</v>
      </c>
      <c r="K221" s="108">
        <f t="shared" si="48"/>
        <v>0</v>
      </c>
      <c r="L221" s="65">
        <v>3.29</v>
      </c>
      <c r="M221" s="59">
        <f t="shared" si="55"/>
        <v>0.51719589794997434</v>
      </c>
      <c r="N221" s="155">
        <f t="shared" si="49"/>
        <v>-0.57317073170731714</v>
      </c>
      <c r="O221" s="127">
        <f t="shared" si="50"/>
        <v>-0.36974580803344115</v>
      </c>
      <c r="P221" s="108">
        <v>1861.76</v>
      </c>
      <c r="Q221" s="108">
        <f t="shared" si="51"/>
        <v>3.2699236952309465</v>
      </c>
      <c r="R221" s="108">
        <v>4993.92</v>
      </c>
      <c r="S221" s="108">
        <f t="shared" si="52"/>
        <v>3.6984415808994222</v>
      </c>
      <c r="T221" s="108">
        <v>85</v>
      </c>
      <c r="U221" s="106">
        <f t="shared" si="56"/>
        <v>1.9294189257142926</v>
      </c>
      <c r="V221" s="127">
        <v>31.5</v>
      </c>
      <c r="W221" s="119">
        <f t="shared" si="57"/>
        <v>1.4983105537896004</v>
      </c>
      <c r="X221" s="128">
        <v>35.516899069648296</v>
      </c>
      <c r="Y221" s="120">
        <f t="shared" si="58"/>
        <v>1.5504350411232082</v>
      </c>
      <c r="Z221" s="153">
        <v>0.3</v>
      </c>
      <c r="AA221" s="127">
        <f t="shared" si="53"/>
        <v>0.11394335230683679</v>
      </c>
      <c r="AB221" s="108">
        <v>13</v>
      </c>
      <c r="AC221" s="137">
        <f t="shared" si="59"/>
        <v>1.1139433523068367</v>
      </c>
    </row>
    <row r="222" spans="1:29" x14ac:dyDescent="0.35">
      <c r="A222" s="143">
        <v>41364</v>
      </c>
      <c r="B222" s="106" t="s">
        <v>190</v>
      </c>
      <c r="C222" s="83">
        <f t="shared" si="45"/>
        <v>2</v>
      </c>
      <c r="D222" s="106">
        <v>218910000</v>
      </c>
      <c r="E222" s="83">
        <f t="shared" si="46"/>
        <v>8.3402656009723302</v>
      </c>
      <c r="F222" s="143">
        <v>42776</v>
      </c>
      <c r="G222" s="106">
        <v>835000000</v>
      </c>
      <c r="H222" s="145">
        <f t="shared" si="47"/>
        <v>3.8684931506849316</v>
      </c>
      <c r="I222" s="145">
        <f t="shared" si="54"/>
        <v>0.58754183225931023</v>
      </c>
      <c r="J222" s="106">
        <v>63</v>
      </c>
      <c r="K222" s="106">
        <f t="shared" si="48"/>
        <v>1.8061799739838871</v>
      </c>
      <c r="L222" s="59">
        <v>3.29</v>
      </c>
      <c r="M222" s="59">
        <f t="shared" si="55"/>
        <v>0.51719589794997434</v>
      </c>
      <c r="N222" s="154">
        <f t="shared" si="49"/>
        <v>2.8143529304280297</v>
      </c>
      <c r="O222" s="119">
        <f t="shared" si="50"/>
        <v>0.58142087451127222</v>
      </c>
      <c r="P222" s="106">
        <v>1801.1079999999999</v>
      </c>
      <c r="Q222" s="106">
        <f t="shared" si="51"/>
        <v>3.2555397552391718</v>
      </c>
      <c r="R222" s="106">
        <v>8416.6209999999992</v>
      </c>
      <c r="S222" s="106">
        <f t="shared" si="52"/>
        <v>3.9251377713585649</v>
      </c>
      <c r="T222" s="106">
        <v>94.1</v>
      </c>
      <c r="U222" s="106">
        <f t="shared" si="56"/>
        <v>1.973589623427257</v>
      </c>
      <c r="V222" s="119">
        <v>32.200000000000003</v>
      </c>
      <c r="W222" s="119">
        <f t="shared" si="57"/>
        <v>1.507855871695831</v>
      </c>
      <c r="X222" s="120">
        <v>43.9397801796012</v>
      </c>
      <c r="Y222" s="120">
        <f t="shared" si="58"/>
        <v>1.6428578799166489</v>
      </c>
      <c r="Z222" s="152">
        <v>0.48</v>
      </c>
      <c r="AA222" s="119">
        <f t="shared" si="53"/>
        <v>0.17026171539495738</v>
      </c>
      <c r="AB222" s="106">
        <v>29</v>
      </c>
      <c r="AC222" s="137">
        <f t="shared" si="59"/>
        <v>1.4623979978989561</v>
      </c>
    </row>
    <row r="223" spans="1:29" x14ac:dyDescent="0.35">
      <c r="A223" s="146">
        <v>39447</v>
      </c>
      <c r="B223" s="108" t="s">
        <v>248</v>
      </c>
      <c r="C223" s="84">
        <f t="shared" si="45"/>
        <v>5</v>
      </c>
      <c r="D223" s="108">
        <v>18800000</v>
      </c>
      <c r="E223" s="84">
        <f t="shared" si="46"/>
        <v>7.2741578492636796</v>
      </c>
      <c r="F223" s="146">
        <v>41835</v>
      </c>
      <c r="G223" s="108">
        <v>75000000</v>
      </c>
      <c r="H223" s="148">
        <f t="shared" si="47"/>
        <v>6.5424657534246577</v>
      </c>
      <c r="I223" s="145">
        <f t="shared" si="54"/>
        <v>0.81574145800085673</v>
      </c>
      <c r="J223" s="108">
        <v>0</v>
      </c>
      <c r="K223" s="108">
        <f t="shared" si="48"/>
        <v>0</v>
      </c>
      <c r="L223" s="65">
        <v>3.29</v>
      </c>
      <c r="M223" s="59">
        <f t="shared" si="55"/>
        <v>0.51719589794997434</v>
      </c>
      <c r="N223" s="155">
        <f t="shared" si="49"/>
        <v>2.9893617021276597</v>
      </c>
      <c r="O223" s="127">
        <f t="shared" si="50"/>
        <v>0.60090341412802017</v>
      </c>
      <c r="P223" s="108">
        <v>1801.1079999999999</v>
      </c>
      <c r="Q223" s="108">
        <f t="shared" si="51"/>
        <v>3.2555397552391718</v>
      </c>
      <c r="R223" s="108">
        <v>8416.6209999999992</v>
      </c>
      <c r="S223" s="108">
        <f t="shared" si="52"/>
        <v>3.9251377713585649</v>
      </c>
      <c r="T223" s="108">
        <v>91.2</v>
      </c>
      <c r="U223" s="106">
        <f t="shared" si="56"/>
        <v>1.9599948383284163</v>
      </c>
      <c r="V223" s="127">
        <v>33</v>
      </c>
      <c r="W223" s="119">
        <f t="shared" si="57"/>
        <v>1.5185139398778875</v>
      </c>
      <c r="X223" s="128">
        <v>40.902544500539101</v>
      </c>
      <c r="Y223" s="120">
        <f t="shared" si="58"/>
        <v>1.6117503258110162</v>
      </c>
      <c r="Z223" s="153">
        <v>0.34</v>
      </c>
      <c r="AA223" s="127">
        <f t="shared" si="53"/>
        <v>0.12710479836480765</v>
      </c>
      <c r="AB223" s="108">
        <v>0</v>
      </c>
      <c r="AC223" s="137">
        <f t="shared" si="59"/>
        <v>0</v>
      </c>
    </row>
    <row r="224" spans="1:29" x14ac:dyDescent="0.35">
      <c r="A224" s="143">
        <v>39205</v>
      </c>
      <c r="B224" s="106" t="s">
        <v>248</v>
      </c>
      <c r="C224" s="83">
        <f t="shared" si="45"/>
        <v>5</v>
      </c>
      <c r="D224" s="106">
        <v>145500000</v>
      </c>
      <c r="E224" s="83">
        <f t="shared" si="46"/>
        <v>8.1628629933219266</v>
      </c>
      <c r="F224" s="143">
        <v>43026</v>
      </c>
      <c r="G224" s="106">
        <v>220000000</v>
      </c>
      <c r="H224" s="145">
        <f t="shared" si="47"/>
        <v>10.468493150684932</v>
      </c>
      <c r="I224" s="145">
        <f t="shared" si="54"/>
        <v>1.0198841732319341</v>
      </c>
      <c r="J224" s="106">
        <v>76</v>
      </c>
      <c r="K224" s="106">
        <f t="shared" si="48"/>
        <v>1.8864907251724818</v>
      </c>
      <c r="L224" s="59">
        <v>3.29</v>
      </c>
      <c r="M224" s="59">
        <f t="shared" si="55"/>
        <v>0.51719589794997434</v>
      </c>
      <c r="N224" s="154">
        <f t="shared" si="49"/>
        <v>0.51202749140893467</v>
      </c>
      <c r="O224" s="119">
        <f t="shared" si="50"/>
        <v>0.17955968750028012</v>
      </c>
      <c r="P224" s="106">
        <v>1801.1079999999999</v>
      </c>
      <c r="Q224" s="106">
        <f t="shared" si="51"/>
        <v>3.2555397552391718</v>
      </c>
      <c r="R224" s="106">
        <v>8416.6209999999992</v>
      </c>
      <c r="S224" s="106">
        <f t="shared" si="52"/>
        <v>3.9251377713585649</v>
      </c>
      <c r="T224" s="106">
        <v>91.2</v>
      </c>
      <c r="U224" s="106">
        <f t="shared" si="56"/>
        <v>1.9599948383284163</v>
      </c>
      <c r="V224" s="119">
        <v>33</v>
      </c>
      <c r="W224" s="119">
        <f t="shared" si="57"/>
        <v>1.5185139398778875</v>
      </c>
      <c r="X224" s="120">
        <v>40.902544500539101</v>
      </c>
      <c r="Y224" s="120">
        <f t="shared" si="58"/>
        <v>1.6117503258110162</v>
      </c>
      <c r="Z224" s="152">
        <v>0.7</v>
      </c>
      <c r="AA224" s="119">
        <f t="shared" si="53"/>
        <v>0.23044892137827391</v>
      </c>
      <c r="AB224" s="106">
        <v>23</v>
      </c>
      <c r="AC224" s="137">
        <f t="shared" si="59"/>
        <v>1.3617278360175928</v>
      </c>
    </row>
    <row r="225" spans="1:29" x14ac:dyDescent="0.35">
      <c r="A225" s="146">
        <v>38610</v>
      </c>
      <c r="B225" s="108" t="s">
        <v>235</v>
      </c>
      <c r="C225" s="84">
        <f t="shared" si="45"/>
        <v>1</v>
      </c>
      <c r="D225" s="108">
        <v>225000000</v>
      </c>
      <c r="E225" s="84">
        <f t="shared" si="46"/>
        <v>8.3521825181113627</v>
      </c>
      <c r="F225" s="146">
        <v>39512</v>
      </c>
      <c r="G225" s="108">
        <v>514000000</v>
      </c>
      <c r="H225" s="148">
        <f t="shared" si="47"/>
        <v>2.4712328767123286</v>
      </c>
      <c r="I225" s="145">
        <f t="shared" si="54"/>
        <v>0.39291367308546699</v>
      </c>
      <c r="J225" s="108">
        <v>48</v>
      </c>
      <c r="K225" s="108">
        <f t="shared" si="48"/>
        <v>1.6901960800285136</v>
      </c>
      <c r="L225" s="65">
        <v>3.29</v>
      </c>
      <c r="M225" s="59">
        <f t="shared" si="55"/>
        <v>0.51719589794997434</v>
      </c>
      <c r="N225" s="155">
        <f t="shared" si="49"/>
        <v>1.2844444444444445</v>
      </c>
      <c r="O225" s="127">
        <f t="shared" si="50"/>
        <v>0.35878060088391328</v>
      </c>
      <c r="P225" s="108">
        <v>1801.1079999999999</v>
      </c>
      <c r="Q225" s="108">
        <f t="shared" si="51"/>
        <v>3.2555397552391718</v>
      </c>
      <c r="R225" s="108">
        <v>8416.6209999999992</v>
      </c>
      <c r="S225" s="108">
        <f t="shared" si="52"/>
        <v>3.9251377713585649</v>
      </c>
      <c r="T225" s="108">
        <v>85</v>
      </c>
      <c r="U225" s="106">
        <f t="shared" si="56"/>
        <v>1.9294189257142926</v>
      </c>
      <c r="V225" s="127">
        <v>32.700000000000003</v>
      </c>
      <c r="W225" s="119">
        <f t="shared" si="57"/>
        <v>1.5145477526602862</v>
      </c>
      <c r="X225" s="128">
        <v>41.286751495766303</v>
      </c>
      <c r="Y225" s="120">
        <f t="shared" si="58"/>
        <v>1.6158107132703448</v>
      </c>
      <c r="Z225" s="153">
        <v>0.09</v>
      </c>
      <c r="AA225" s="127">
        <f t="shared" si="53"/>
        <v>3.7426497940623665E-2</v>
      </c>
      <c r="AB225" s="108">
        <v>21</v>
      </c>
      <c r="AC225" s="137">
        <f t="shared" si="59"/>
        <v>1.3222192947339193</v>
      </c>
    </row>
    <row r="226" spans="1:29" x14ac:dyDescent="0.35">
      <c r="A226" s="143">
        <v>38292</v>
      </c>
      <c r="B226" s="106" t="s">
        <v>245</v>
      </c>
      <c r="C226" s="83">
        <f t="shared" si="45"/>
        <v>6</v>
      </c>
      <c r="D226" s="106">
        <v>72000000</v>
      </c>
      <c r="E226" s="83">
        <f t="shared" si="46"/>
        <v>7.8573324964312681</v>
      </c>
      <c r="F226" s="143">
        <v>42780</v>
      </c>
      <c r="G226" s="106">
        <v>130000000</v>
      </c>
      <c r="H226" s="145">
        <f t="shared" si="47"/>
        <v>12.295890410958904</v>
      </c>
      <c r="I226" s="145">
        <f t="shared" si="54"/>
        <v>1.0897599837916303</v>
      </c>
      <c r="J226" s="106">
        <v>0</v>
      </c>
      <c r="K226" s="106">
        <f t="shared" si="48"/>
        <v>0</v>
      </c>
      <c r="L226" s="59">
        <v>3.29</v>
      </c>
      <c r="M226" s="59">
        <f t="shared" si="55"/>
        <v>0.51719589794997434</v>
      </c>
      <c r="N226" s="154">
        <f t="shared" si="49"/>
        <v>0.80555555555555558</v>
      </c>
      <c r="O226" s="119">
        <f t="shared" si="50"/>
        <v>0.25661085587556831</v>
      </c>
      <c r="P226" s="106">
        <v>1801.1079999999999</v>
      </c>
      <c r="Q226" s="106">
        <f t="shared" si="51"/>
        <v>3.2555397552391718</v>
      </c>
      <c r="R226" s="106">
        <v>8416.6209999999992</v>
      </c>
      <c r="S226" s="106">
        <f t="shared" si="52"/>
        <v>3.9251377713585649</v>
      </c>
      <c r="T226" s="106">
        <v>85</v>
      </c>
      <c r="U226" s="106">
        <f t="shared" si="56"/>
        <v>1.9294189257142926</v>
      </c>
      <c r="V226" s="119">
        <v>32.299999999999997</v>
      </c>
      <c r="W226" s="119">
        <f t="shared" si="57"/>
        <v>1.5092025223311027</v>
      </c>
      <c r="X226" s="120">
        <v>40.040400531970803</v>
      </c>
      <c r="Y226" s="120">
        <f t="shared" si="58"/>
        <v>1.6024984131617945</v>
      </c>
      <c r="Z226" s="152">
        <v>1.07</v>
      </c>
      <c r="AA226" s="119">
        <f t="shared" si="53"/>
        <v>0.31597034545691782</v>
      </c>
      <c r="AB226" s="106">
        <v>20</v>
      </c>
      <c r="AC226" s="137">
        <f t="shared" si="59"/>
        <v>1.3010299956639813</v>
      </c>
    </row>
    <row r="227" spans="1:29" x14ac:dyDescent="0.35">
      <c r="A227" s="146">
        <v>38188</v>
      </c>
      <c r="B227" s="108" t="s">
        <v>248</v>
      </c>
      <c r="C227" s="84">
        <f t="shared" si="45"/>
        <v>5</v>
      </c>
      <c r="D227" s="108">
        <v>230000000</v>
      </c>
      <c r="E227" s="84">
        <f t="shared" si="46"/>
        <v>8.3617278360175931</v>
      </c>
      <c r="F227" s="146">
        <v>40209</v>
      </c>
      <c r="G227" s="108">
        <v>206730000</v>
      </c>
      <c r="H227" s="148">
        <f t="shared" si="47"/>
        <v>5.536986301369863</v>
      </c>
      <c r="I227" s="145">
        <f t="shared" si="54"/>
        <v>0.74327344905882931</v>
      </c>
      <c r="J227" s="108">
        <v>13</v>
      </c>
      <c r="K227" s="108">
        <f t="shared" si="48"/>
        <v>1.146128035678238</v>
      </c>
      <c r="L227" s="65">
        <v>3.29</v>
      </c>
      <c r="M227" s="59">
        <f t="shared" si="55"/>
        <v>0.51719589794997434</v>
      </c>
      <c r="N227" s="155">
        <f t="shared" si="49"/>
        <v>-0.10117391304347823</v>
      </c>
      <c r="O227" s="127">
        <f t="shared" si="50"/>
        <v>-4.6324331383241914E-2</v>
      </c>
      <c r="P227" s="108">
        <v>1801.1079999999999</v>
      </c>
      <c r="Q227" s="108">
        <f t="shared" si="51"/>
        <v>3.2555397552391718</v>
      </c>
      <c r="R227" s="108">
        <v>8416.6209999999992</v>
      </c>
      <c r="S227" s="108">
        <f t="shared" si="52"/>
        <v>3.9251377713585649</v>
      </c>
      <c r="T227" s="108">
        <v>85</v>
      </c>
      <c r="U227" s="106">
        <f t="shared" si="56"/>
        <v>1.9294189257142926</v>
      </c>
      <c r="V227" s="127">
        <v>32.299999999999997</v>
      </c>
      <c r="W227" s="119">
        <f t="shared" si="57"/>
        <v>1.5092025223311027</v>
      </c>
      <c r="X227" s="128">
        <v>40.040400531970803</v>
      </c>
      <c r="Y227" s="120">
        <f t="shared" si="58"/>
        <v>1.6024984131617945</v>
      </c>
      <c r="Z227" s="153">
        <v>-0.03</v>
      </c>
      <c r="AA227" s="127">
        <f t="shared" si="53"/>
        <v>-1.322826573375516E-2</v>
      </c>
      <c r="AB227" s="108">
        <v>20</v>
      </c>
      <c r="AC227" s="137">
        <f t="shared" si="59"/>
        <v>1.3010299956639813</v>
      </c>
    </row>
    <row r="228" spans="1:29" x14ac:dyDescent="0.35">
      <c r="A228" s="143">
        <v>37873</v>
      </c>
      <c r="B228" s="106" t="s">
        <v>248</v>
      </c>
      <c r="C228" s="83">
        <f t="shared" si="45"/>
        <v>5</v>
      </c>
      <c r="D228" s="106">
        <v>50000000</v>
      </c>
      <c r="E228" s="83">
        <f t="shared" si="46"/>
        <v>7.6989700043360187</v>
      </c>
      <c r="F228" s="143">
        <v>38743</v>
      </c>
      <c r="G228" s="106">
        <v>80000000</v>
      </c>
      <c r="H228" s="145">
        <f t="shared" si="47"/>
        <v>2.3835616438356166</v>
      </c>
      <c r="I228" s="145">
        <f t="shared" si="54"/>
        <v>0.37722638816214388</v>
      </c>
      <c r="J228" s="106">
        <v>0</v>
      </c>
      <c r="K228" s="106">
        <f t="shared" si="48"/>
        <v>0</v>
      </c>
      <c r="L228" s="59">
        <v>3.29</v>
      </c>
      <c r="M228" s="59">
        <f t="shared" si="55"/>
        <v>0.51719589794997434</v>
      </c>
      <c r="N228" s="154">
        <f t="shared" si="49"/>
        <v>0.60000000000000009</v>
      </c>
      <c r="O228" s="119">
        <f t="shared" si="50"/>
        <v>0.20411998265592479</v>
      </c>
      <c r="P228" s="106">
        <v>1801.1079999999999</v>
      </c>
      <c r="Q228" s="106">
        <f t="shared" si="51"/>
        <v>3.2555397552391718</v>
      </c>
      <c r="R228" s="106">
        <v>8416.6209999999992</v>
      </c>
      <c r="S228" s="106">
        <f t="shared" si="52"/>
        <v>3.9251377713585649</v>
      </c>
      <c r="T228" s="106">
        <v>85</v>
      </c>
      <c r="U228" s="106">
        <f t="shared" si="56"/>
        <v>1.9294189257142926</v>
      </c>
      <c r="V228" s="119">
        <v>31.3</v>
      </c>
      <c r="W228" s="119">
        <f t="shared" si="57"/>
        <v>1.4955443375464486</v>
      </c>
      <c r="X228" s="120">
        <v>38.7850112673514</v>
      </c>
      <c r="Y228" s="120">
        <f t="shared" si="58"/>
        <v>1.5886639219461918</v>
      </c>
      <c r="Z228" s="152">
        <v>0.24</v>
      </c>
      <c r="AA228" s="119">
        <f t="shared" si="53"/>
        <v>9.3421685162235063E-2</v>
      </c>
      <c r="AB228" s="106">
        <v>19</v>
      </c>
      <c r="AC228" s="137">
        <f t="shared" si="59"/>
        <v>1.2787536009528289</v>
      </c>
    </row>
    <row r="229" spans="1:29" x14ac:dyDescent="0.35">
      <c r="A229" s="146">
        <v>37861</v>
      </c>
      <c r="B229" s="108" t="s">
        <v>248</v>
      </c>
      <c r="C229" s="84">
        <f t="shared" si="45"/>
        <v>5</v>
      </c>
      <c r="D229" s="108">
        <v>50800000</v>
      </c>
      <c r="E229" s="84">
        <f t="shared" si="46"/>
        <v>7.7058637122839189</v>
      </c>
      <c r="F229" s="146">
        <v>38798</v>
      </c>
      <c r="G229" s="108">
        <v>320000000</v>
      </c>
      <c r="H229" s="148">
        <f t="shared" si="47"/>
        <v>2.5671232876712327</v>
      </c>
      <c r="I229" s="145">
        <f t="shared" si="54"/>
        <v>0.40944672643130353</v>
      </c>
      <c r="J229" s="108">
        <v>15</v>
      </c>
      <c r="K229" s="108">
        <f t="shared" si="48"/>
        <v>1.2041199826559248</v>
      </c>
      <c r="L229" s="65">
        <v>3.29</v>
      </c>
      <c r="M229" s="59">
        <f t="shared" si="55"/>
        <v>0.51719589794997434</v>
      </c>
      <c r="N229" s="155">
        <f t="shared" si="49"/>
        <v>5.2992125984251972</v>
      </c>
      <c r="O229" s="127">
        <f t="shared" si="50"/>
        <v>0.79928626603598674</v>
      </c>
      <c r="P229" s="108">
        <v>1801.1079999999999</v>
      </c>
      <c r="Q229" s="108">
        <f t="shared" si="51"/>
        <v>3.2555397552391718</v>
      </c>
      <c r="R229" s="108">
        <v>8416.6209999999992</v>
      </c>
      <c r="S229" s="108">
        <f t="shared" si="52"/>
        <v>3.9251377713585649</v>
      </c>
      <c r="T229" s="108">
        <v>85</v>
      </c>
      <c r="U229" s="106">
        <f t="shared" si="56"/>
        <v>1.9294189257142926</v>
      </c>
      <c r="V229" s="127">
        <v>31.3</v>
      </c>
      <c r="W229" s="119">
        <f t="shared" si="57"/>
        <v>1.4955443375464486</v>
      </c>
      <c r="X229" s="128">
        <v>38.7850112673514</v>
      </c>
      <c r="Y229" s="120">
        <f t="shared" si="58"/>
        <v>1.5886639219461918</v>
      </c>
      <c r="Z229" s="153">
        <v>0.3</v>
      </c>
      <c r="AA229" s="127">
        <f t="shared" si="53"/>
        <v>0.11394335230683679</v>
      </c>
      <c r="AB229" s="108">
        <v>19</v>
      </c>
      <c r="AC229" s="137">
        <f t="shared" si="59"/>
        <v>1.2787536009528289</v>
      </c>
    </row>
    <row r="230" spans="1:29" x14ac:dyDescent="0.35">
      <c r="A230" s="143">
        <v>37860</v>
      </c>
      <c r="B230" s="106" t="s">
        <v>269</v>
      </c>
      <c r="C230" s="83">
        <f t="shared" si="45"/>
        <v>7</v>
      </c>
      <c r="D230" s="106">
        <v>73000000</v>
      </c>
      <c r="E230" s="83">
        <f t="shared" si="46"/>
        <v>7.8633228601204559</v>
      </c>
      <c r="F230" s="143">
        <v>38548</v>
      </c>
      <c r="G230" s="106">
        <v>170000000</v>
      </c>
      <c r="H230" s="145">
        <f t="shared" si="47"/>
        <v>1.8849315068493151</v>
      </c>
      <c r="I230" s="145">
        <f t="shared" si="54"/>
        <v>0.27529557377903663</v>
      </c>
      <c r="J230" s="106">
        <v>30</v>
      </c>
      <c r="K230" s="106">
        <f t="shared" si="48"/>
        <v>1.4913616938342726</v>
      </c>
      <c r="L230" s="59">
        <v>3.29</v>
      </c>
      <c r="M230" s="59">
        <f t="shared" si="55"/>
        <v>0.51719589794997434</v>
      </c>
      <c r="N230" s="154">
        <f t="shared" si="49"/>
        <v>1.3287671232876712</v>
      </c>
      <c r="O230" s="119">
        <f t="shared" si="50"/>
        <v>0.36712606125781805</v>
      </c>
      <c r="P230" s="106">
        <v>1801.1079999999999</v>
      </c>
      <c r="Q230" s="106">
        <f t="shared" si="51"/>
        <v>3.2555397552391718</v>
      </c>
      <c r="R230" s="106">
        <v>8416.6209999999992</v>
      </c>
      <c r="S230" s="106">
        <f t="shared" si="52"/>
        <v>3.9251377713585649</v>
      </c>
      <c r="T230" s="106">
        <v>85</v>
      </c>
      <c r="U230" s="106">
        <f t="shared" si="56"/>
        <v>1.9294189257142926</v>
      </c>
      <c r="V230" s="119">
        <v>31.3</v>
      </c>
      <c r="W230" s="119">
        <f t="shared" si="57"/>
        <v>1.4955443375464486</v>
      </c>
      <c r="X230" s="120">
        <v>38.7850112673514</v>
      </c>
      <c r="Y230" s="120">
        <f t="shared" si="58"/>
        <v>1.5886639219461918</v>
      </c>
      <c r="Z230" s="152">
        <v>0.23</v>
      </c>
      <c r="AA230" s="119">
        <f t="shared" si="53"/>
        <v>8.9905111439397931E-2</v>
      </c>
      <c r="AB230" s="106">
        <v>19</v>
      </c>
      <c r="AC230" s="137">
        <f t="shared" si="59"/>
        <v>1.2787536009528289</v>
      </c>
    </row>
    <row r="231" spans="1:29" x14ac:dyDescent="0.35">
      <c r="A231" s="146">
        <v>37522</v>
      </c>
      <c r="B231" s="108" t="s">
        <v>269</v>
      </c>
      <c r="C231" s="84">
        <f t="shared" si="45"/>
        <v>7</v>
      </c>
      <c r="D231" s="108">
        <v>53000000</v>
      </c>
      <c r="E231" s="84">
        <f t="shared" si="46"/>
        <v>7.7242758696007892</v>
      </c>
      <c r="F231" s="146">
        <v>38198</v>
      </c>
      <c r="G231" s="108">
        <v>23940000</v>
      </c>
      <c r="H231" s="148">
        <f t="shared" si="47"/>
        <v>1.8520547945205479</v>
      </c>
      <c r="I231" s="145">
        <f t="shared" si="54"/>
        <v>0.2676538314851612</v>
      </c>
      <c r="J231" s="108">
        <v>22</v>
      </c>
      <c r="K231" s="108">
        <f t="shared" si="48"/>
        <v>1.3617278360175928</v>
      </c>
      <c r="L231" s="65">
        <v>3.29</v>
      </c>
      <c r="M231" s="59">
        <f t="shared" si="55"/>
        <v>0.51719589794997434</v>
      </c>
      <c r="N231" s="155">
        <f t="shared" si="49"/>
        <v>-0.54830188679245284</v>
      </c>
      <c r="O231" s="127">
        <f t="shared" si="50"/>
        <v>-0.34515172353039719</v>
      </c>
      <c r="P231" s="108">
        <v>1801.1079999999999</v>
      </c>
      <c r="Q231" s="108">
        <f t="shared" si="51"/>
        <v>3.2555397552391718</v>
      </c>
      <c r="R231" s="108">
        <v>8416.6209999999992</v>
      </c>
      <c r="S231" s="108">
        <f t="shared" si="52"/>
        <v>3.9251377713585649</v>
      </c>
      <c r="T231" s="108">
        <v>85</v>
      </c>
      <c r="U231" s="106">
        <f t="shared" si="56"/>
        <v>1.9294189257142926</v>
      </c>
      <c r="V231" s="127">
        <v>31.5</v>
      </c>
      <c r="W231" s="119">
        <f t="shared" si="57"/>
        <v>1.4983105537896004</v>
      </c>
      <c r="X231" s="128">
        <v>37.589394702761602</v>
      </c>
      <c r="Y231" s="120">
        <f t="shared" si="58"/>
        <v>1.575065332381355</v>
      </c>
      <c r="Z231" s="153">
        <v>0.32</v>
      </c>
      <c r="AA231" s="127">
        <f t="shared" si="53"/>
        <v>0.12057393120584989</v>
      </c>
      <c r="AB231" s="108">
        <v>18</v>
      </c>
      <c r="AC231" s="137">
        <f t="shared" si="59"/>
        <v>1.255272505103306</v>
      </c>
    </row>
    <row r="232" spans="1:29" x14ac:dyDescent="0.35">
      <c r="A232" s="143">
        <v>37346</v>
      </c>
      <c r="B232" s="106" t="s">
        <v>248</v>
      </c>
      <c r="C232" s="83">
        <f t="shared" si="45"/>
        <v>5</v>
      </c>
      <c r="D232" s="106">
        <v>112090000</v>
      </c>
      <c r="E232" s="83">
        <f t="shared" si="46"/>
        <v>8.0495668691646518</v>
      </c>
      <c r="F232" s="143">
        <v>38630</v>
      </c>
      <c r="G232" s="106">
        <v>134500000</v>
      </c>
      <c r="H232" s="145">
        <f t="shared" si="47"/>
        <v>3.5178082191780824</v>
      </c>
      <c r="I232" s="145">
        <f t="shared" si="54"/>
        <v>0.54627215927635975</v>
      </c>
      <c r="J232" s="106">
        <v>4</v>
      </c>
      <c r="K232" s="106">
        <f t="shared" si="48"/>
        <v>0.69897000433601886</v>
      </c>
      <c r="L232" s="59">
        <v>3.29</v>
      </c>
      <c r="M232" s="59">
        <f t="shared" si="55"/>
        <v>0.51719589794997434</v>
      </c>
      <c r="N232" s="154">
        <f t="shared" si="49"/>
        <v>0.19992862878044426</v>
      </c>
      <c r="O232" s="119">
        <f t="shared" si="50"/>
        <v>7.9155415173775334E-2</v>
      </c>
      <c r="P232" s="106">
        <v>1801.1079999999999</v>
      </c>
      <c r="Q232" s="106">
        <f t="shared" si="51"/>
        <v>3.2555397552391718</v>
      </c>
      <c r="R232" s="106">
        <v>8416.6209999999992</v>
      </c>
      <c r="S232" s="106">
        <f t="shared" si="52"/>
        <v>3.9251377713585649</v>
      </c>
      <c r="T232" s="106">
        <v>85</v>
      </c>
      <c r="U232" s="106">
        <f t="shared" si="56"/>
        <v>1.9294189257142926</v>
      </c>
      <c r="V232" s="119">
        <v>31.5</v>
      </c>
      <c r="W232" s="119">
        <f t="shared" si="57"/>
        <v>1.4983105537896004</v>
      </c>
      <c r="X232" s="120">
        <v>37.589394702761602</v>
      </c>
      <c r="Y232" s="120">
        <f t="shared" si="58"/>
        <v>1.575065332381355</v>
      </c>
      <c r="Z232" s="152">
        <v>0.04</v>
      </c>
      <c r="AA232" s="119">
        <f t="shared" si="53"/>
        <v>1.703333929878037E-2</v>
      </c>
      <c r="AB232" s="106">
        <v>18</v>
      </c>
      <c r="AC232" s="137">
        <f t="shared" si="59"/>
        <v>1.255272505103306</v>
      </c>
    </row>
    <row r="233" spans="1:29" x14ac:dyDescent="0.35">
      <c r="A233" s="146">
        <v>37328</v>
      </c>
      <c r="B233" s="108" t="s">
        <v>245</v>
      </c>
      <c r="C233" s="84">
        <f t="shared" si="45"/>
        <v>6</v>
      </c>
      <c r="D233" s="108">
        <v>15000000</v>
      </c>
      <c r="E233" s="84">
        <f t="shared" si="46"/>
        <v>7.1760912590556813</v>
      </c>
      <c r="F233" s="146">
        <v>38798</v>
      </c>
      <c r="G233" s="108">
        <v>106000000</v>
      </c>
      <c r="H233" s="148">
        <f t="shared" si="47"/>
        <v>4.0273972602739727</v>
      </c>
      <c r="I233" s="145">
        <f t="shared" si="54"/>
        <v>0.60502447029170137</v>
      </c>
      <c r="J233" s="108">
        <v>6</v>
      </c>
      <c r="K233" s="108">
        <f t="shared" si="48"/>
        <v>0.84509804001425681</v>
      </c>
      <c r="L233" s="65">
        <v>3.29</v>
      </c>
      <c r="M233" s="59">
        <f t="shared" si="55"/>
        <v>0.51719589794997434</v>
      </c>
      <c r="N233" s="155">
        <f t="shared" si="49"/>
        <v>6.0666666666666664</v>
      </c>
      <c r="O233" s="127">
        <f t="shared" si="50"/>
        <v>0.84921460620908895</v>
      </c>
      <c r="P233" s="108">
        <v>1801.1079999999999</v>
      </c>
      <c r="Q233" s="108">
        <f t="shared" si="51"/>
        <v>3.2555397552391718</v>
      </c>
      <c r="R233" s="108">
        <v>8416.6209999999992</v>
      </c>
      <c r="S233" s="108">
        <f t="shared" si="52"/>
        <v>3.9251377713585649</v>
      </c>
      <c r="T233" s="108">
        <v>85</v>
      </c>
      <c r="U233" s="106">
        <f t="shared" si="56"/>
        <v>1.9294189257142926</v>
      </c>
      <c r="V233" s="127">
        <v>31.5</v>
      </c>
      <c r="W233" s="119">
        <f t="shared" si="57"/>
        <v>1.4983105537896004</v>
      </c>
      <c r="X233" s="128">
        <v>37.589394702761602</v>
      </c>
      <c r="Y233" s="120">
        <f t="shared" si="58"/>
        <v>1.575065332381355</v>
      </c>
      <c r="Z233" s="153">
        <v>0.13</v>
      </c>
      <c r="AA233" s="127">
        <f t="shared" si="53"/>
        <v>5.3078443483419682E-2</v>
      </c>
      <c r="AB233" s="108">
        <v>18</v>
      </c>
      <c r="AC233" s="137">
        <f t="shared" si="59"/>
        <v>1.255272505103306</v>
      </c>
    </row>
    <row r="234" spans="1:29" x14ac:dyDescent="0.35">
      <c r="A234" s="143">
        <v>36913</v>
      </c>
      <c r="B234" s="106" t="s">
        <v>190</v>
      </c>
      <c r="C234" s="83">
        <f t="shared" si="45"/>
        <v>2</v>
      </c>
      <c r="D234" s="106">
        <v>111000000</v>
      </c>
      <c r="E234" s="83">
        <f t="shared" si="46"/>
        <v>8.0453229787866576</v>
      </c>
      <c r="F234" s="143">
        <v>39393</v>
      </c>
      <c r="G234" s="106">
        <v>600000000</v>
      </c>
      <c r="H234" s="145">
        <f t="shared" si="47"/>
        <v>6.7945205479452051</v>
      </c>
      <c r="I234" s="145">
        <f t="shared" si="54"/>
        <v>0.83215881636974154</v>
      </c>
      <c r="J234" s="106">
        <v>12</v>
      </c>
      <c r="K234" s="106">
        <f t="shared" si="48"/>
        <v>1.1139433523068367</v>
      </c>
      <c r="L234" s="59">
        <v>3.29</v>
      </c>
      <c r="M234" s="59">
        <f t="shared" si="55"/>
        <v>0.51719589794997434</v>
      </c>
      <c r="N234" s="154">
        <f t="shared" si="49"/>
        <v>4.4054054054054053</v>
      </c>
      <c r="O234" s="119">
        <f t="shared" si="50"/>
        <v>0.73282827159698616</v>
      </c>
      <c r="P234" s="106">
        <v>1801.1079999999999</v>
      </c>
      <c r="Q234" s="106">
        <f t="shared" si="51"/>
        <v>3.2555397552391718</v>
      </c>
      <c r="R234" s="106">
        <v>8416.6209999999992</v>
      </c>
      <c r="S234" s="106">
        <f t="shared" si="52"/>
        <v>3.9251377713585649</v>
      </c>
      <c r="T234" s="106">
        <v>85</v>
      </c>
      <c r="U234" s="106">
        <f t="shared" si="56"/>
        <v>1.9294189257142926</v>
      </c>
      <c r="V234" s="119">
        <v>32.6</v>
      </c>
      <c r="W234" s="119">
        <f t="shared" si="57"/>
        <v>1.5132176000679389</v>
      </c>
      <c r="X234" s="120">
        <v>36.544739309553499</v>
      </c>
      <c r="Y234" s="120">
        <f t="shared" si="58"/>
        <v>1.5628248682086028</v>
      </c>
      <c r="Z234" s="152">
        <v>0.1</v>
      </c>
      <c r="AA234" s="119">
        <f t="shared" si="53"/>
        <v>4.1392685158225077E-2</v>
      </c>
      <c r="AB234" s="106">
        <v>17</v>
      </c>
      <c r="AC234" s="137">
        <f t="shared" si="59"/>
        <v>1.2304489213782739</v>
      </c>
    </row>
    <row r="235" spans="1:29" x14ac:dyDescent="0.35">
      <c r="A235" s="146">
        <v>38334</v>
      </c>
      <c r="B235" s="108" t="s">
        <v>248</v>
      </c>
      <c r="C235" s="84">
        <f t="shared" si="45"/>
        <v>5</v>
      </c>
      <c r="D235" s="108">
        <v>64000000</v>
      </c>
      <c r="E235" s="84">
        <f t="shared" si="46"/>
        <v>7.8061799739838875</v>
      </c>
      <c r="F235" s="146">
        <v>40290</v>
      </c>
      <c r="G235" s="108">
        <v>0</v>
      </c>
      <c r="H235" s="148">
        <f t="shared" si="47"/>
        <v>5.3589041095890408</v>
      </c>
      <c r="I235" s="145">
        <f t="shared" si="54"/>
        <v>0.72907598599510792</v>
      </c>
      <c r="J235" s="108">
        <v>40</v>
      </c>
      <c r="K235" s="108">
        <f t="shared" si="48"/>
        <v>1.6127838567197355</v>
      </c>
      <c r="L235" s="65">
        <v>3.29</v>
      </c>
      <c r="M235" s="59">
        <f t="shared" si="55"/>
        <v>0.51719589794997434</v>
      </c>
      <c r="N235" s="155">
        <f t="shared" si="49"/>
        <v>-1</v>
      </c>
      <c r="O235" s="127">
        <f t="shared" si="50"/>
        <v>-1</v>
      </c>
      <c r="P235" s="108">
        <v>1801.1079999999999</v>
      </c>
      <c r="Q235" s="108">
        <f t="shared" si="51"/>
        <v>3.2555397552391718</v>
      </c>
      <c r="R235" s="108">
        <v>8416.6209999999992</v>
      </c>
      <c r="S235" s="108">
        <f t="shared" si="52"/>
        <v>3.9251377713585649</v>
      </c>
      <c r="T235" s="108">
        <v>85</v>
      </c>
      <c r="U235" s="106">
        <f t="shared" si="56"/>
        <v>1.9294189257142926</v>
      </c>
      <c r="V235" s="127">
        <v>32.299999999999997</v>
      </c>
      <c r="W235" s="119">
        <f t="shared" si="57"/>
        <v>1.5092025223311027</v>
      </c>
      <c r="X235" s="128">
        <v>40.040400531970803</v>
      </c>
      <c r="Y235" s="120">
        <f t="shared" si="58"/>
        <v>1.6024984131617945</v>
      </c>
      <c r="Z235" s="153">
        <v>0.01</v>
      </c>
      <c r="AA235" s="127">
        <f t="shared" si="53"/>
        <v>4.3213737826425782E-3</v>
      </c>
      <c r="AB235" s="108">
        <v>20</v>
      </c>
      <c r="AC235" s="137">
        <f t="shared" si="59"/>
        <v>1.3010299956639813</v>
      </c>
    </row>
    <row r="236" spans="1:29" x14ac:dyDescent="0.35">
      <c r="A236" s="143">
        <v>42124</v>
      </c>
      <c r="B236" s="106" t="s">
        <v>178</v>
      </c>
      <c r="C236" s="83">
        <f t="shared" si="45"/>
        <v>9</v>
      </c>
      <c r="D236" s="106">
        <v>730000000</v>
      </c>
      <c r="E236" s="83">
        <f t="shared" si="46"/>
        <v>8.8633228601204568</v>
      </c>
      <c r="F236" s="143">
        <v>43522</v>
      </c>
      <c r="G236" s="106">
        <v>1500000000</v>
      </c>
      <c r="H236" s="145">
        <f t="shared" si="47"/>
        <v>3.8301369863013699</v>
      </c>
      <c r="I236" s="145">
        <f t="shared" si="54"/>
        <v>0.58321430695318788</v>
      </c>
      <c r="J236" s="106">
        <v>31</v>
      </c>
      <c r="K236" s="106">
        <f t="shared" si="48"/>
        <v>1.505149978319906</v>
      </c>
      <c r="L236" s="59">
        <v>3.16</v>
      </c>
      <c r="M236" s="59">
        <f t="shared" si="55"/>
        <v>0.49968708261840383</v>
      </c>
      <c r="N236" s="154">
        <f t="shared" si="49"/>
        <v>1.0547945205479454</v>
      </c>
      <c r="O236" s="119">
        <f t="shared" si="50"/>
        <v>0.3127683989352254</v>
      </c>
      <c r="P236" s="106">
        <v>1789.9821258839918</v>
      </c>
      <c r="Q236" s="106">
        <f t="shared" si="51"/>
        <v>3.2528486942934638</v>
      </c>
      <c r="R236" s="106">
        <v>4076.4342633054562</v>
      </c>
      <c r="S236" s="106">
        <f t="shared" si="52"/>
        <v>3.6102804432713853</v>
      </c>
      <c r="T236" s="106">
        <v>84.3</v>
      </c>
      <c r="U236" s="106">
        <f t="shared" si="56"/>
        <v>1.9258275746247424</v>
      </c>
      <c r="V236" s="119">
        <v>37</v>
      </c>
      <c r="W236" s="119">
        <f t="shared" si="57"/>
        <v>1.568201724066995</v>
      </c>
      <c r="X236" s="120">
        <v>44.611946528156203</v>
      </c>
      <c r="Y236" s="120">
        <f t="shared" si="58"/>
        <v>1.6494511729836956</v>
      </c>
      <c r="Z236" s="152">
        <v>0.34</v>
      </c>
      <c r="AA236" s="119">
        <f t="shared" si="53"/>
        <v>0.12710479836480765</v>
      </c>
      <c r="AB236" s="106">
        <v>46</v>
      </c>
      <c r="AC236" s="137">
        <f t="shared" si="59"/>
        <v>1.6627578316815741</v>
      </c>
    </row>
    <row r="237" spans="1:29" x14ac:dyDescent="0.35">
      <c r="A237" s="146">
        <v>39422</v>
      </c>
      <c r="B237" s="108" t="s">
        <v>190</v>
      </c>
      <c r="C237" s="84">
        <f t="shared" si="45"/>
        <v>2</v>
      </c>
      <c r="D237" s="108">
        <v>69000000</v>
      </c>
      <c r="E237" s="84">
        <f t="shared" si="46"/>
        <v>7.8388490907372557</v>
      </c>
      <c r="F237" s="146">
        <v>40814</v>
      </c>
      <c r="G237" s="108">
        <v>0</v>
      </c>
      <c r="H237" s="148">
        <f t="shared" si="47"/>
        <v>3.8136986301369862</v>
      </c>
      <c r="I237" s="145">
        <f t="shared" si="54"/>
        <v>0.58134637081806861</v>
      </c>
      <c r="J237" s="108">
        <v>6</v>
      </c>
      <c r="K237" s="108">
        <f t="shared" si="48"/>
        <v>0.84509804001425681</v>
      </c>
      <c r="L237" s="65">
        <v>2.95</v>
      </c>
      <c r="M237" s="59">
        <f t="shared" si="55"/>
        <v>0.46982201597816303</v>
      </c>
      <c r="N237" s="155">
        <f t="shared" si="49"/>
        <v>-1</v>
      </c>
      <c r="O237" s="127">
        <f t="shared" si="50"/>
        <v>-1</v>
      </c>
      <c r="P237" s="108">
        <v>2315.9649266087058</v>
      </c>
      <c r="Q237" s="108">
        <f t="shared" si="51"/>
        <v>3.3647319780710983</v>
      </c>
      <c r="R237" s="108">
        <v>3703.9030655807082</v>
      </c>
      <c r="S237" s="108">
        <f t="shared" si="52"/>
        <v>3.5686596122879011</v>
      </c>
      <c r="T237" s="108">
        <v>91.4</v>
      </c>
      <c r="U237" s="106">
        <f t="shared" si="56"/>
        <v>1.9609461957338314</v>
      </c>
      <c r="V237" s="127">
        <v>26.7</v>
      </c>
      <c r="W237" s="119">
        <f t="shared" si="57"/>
        <v>1.4265112613645752</v>
      </c>
      <c r="X237" s="128">
        <v>37.425715444240403</v>
      </c>
      <c r="Y237" s="120">
        <f t="shared" si="58"/>
        <v>1.5731701112332821</v>
      </c>
      <c r="Z237" s="153">
        <v>-0.24</v>
      </c>
      <c r="AA237" s="127">
        <f t="shared" si="53"/>
        <v>-0.11918640771920865</v>
      </c>
      <c r="AB237" s="108">
        <v>0</v>
      </c>
      <c r="AC237" s="137">
        <f t="shared" si="59"/>
        <v>0</v>
      </c>
    </row>
    <row r="238" spans="1:29" x14ac:dyDescent="0.35">
      <c r="A238" s="143">
        <v>33883</v>
      </c>
      <c r="B238" s="106" t="s">
        <v>178</v>
      </c>
      <c r="C238" s="83">
        <f t="shared" si="45"/>
        <v>9</v>
      </c>
      <c r="D238" s="106">
        <v>100000000</v>
      </c>
      <c r="E238" s="83">
        <f t="shared" si="46"/>
        <v>8</v>
      </c>
      <c r="F238" s="143">
        <v>34655</v>
      </c>
      <c r="G238" s="106">
        <v>98000000</v>
      </c>
      <c r="H238" s="145">
        <f t="shared" si="47"/>
        <v>2.1150684931506851</v>
      </c>
      <c r="I238" s="145">
        <f t="shared" si="54"/>
        <v>0.32532443587926146</v>
      </c>
      <c r="J238" s="106">
        <v>0</v>
      </c>
      <c r="K238" s="106">
        <f t="shared" si="48"/>
        <v>0</v>
      </c>
      <c r="L238" s="59">
        <v>2.95</v>
      </c>
      <c r="M238" s="59">
        <f t="shared" si="55"/>
        <v>0.46982201597816303</v>
      </c>
      <c r="N238" s="154">
        <f t="shared" si="49"/>
        <v>-2.0000000000000018E-2</v>
      </c>
      <c r="O238" s="119">
        <f t="shared" si="50"/>
        <v>-8.7739243075051505E-3</v>
      </c>
      <c r="P238" s="106">
        <v>1246.953</v>
      </c>
      <c r="Q238" s="106">
        <f t="shared" si="51"/>
        <v>3.0958500844125241</v>
      </c>
      <c r="R238" s="106">
        <v>3219.7179999999998</v>
      </c>
      <c r="S238" s="106">
        <f t="shared" si="52"/>
        <v>3.5078178355445662</v>
      </c>
      <c r="T238" s="106">
        <v>85</v>
      </c>
      <c r="U238" s="106">
        <f t="shared" si="56"/>
        <v>1.9294189257142926</v>
      </c>
      <c r="V238" s="119">
        <v>25.7</v>
      </c>
      <c r="W238" s="119">
        <f t="shared" si="57"/>
        <v>1.4099331233312946</v>
      </c>
      <c r="X238" s="120">
        <v>39.367752568237798</v>
      </c>
      <c r="Y238" s="120">
        <f t="shared" si="58"/>
        <v>1.5951406224338005</v>
      </c>
      <c r="Z238" s="152">
        <v>0.14000000000000001</v>
      </c>
      <c r="AA238" s="119">
        <f t="shared" si="53"/>
        <v>5.6904851336472641E-2</v>
      </c>
      <c r="AB238" s="106">
        <v>5</v>
      </c>
      <c r="AC238" s="137">
        <f t="shared" si="59"/>
        <v>0.69897000433601886</v>
      </c>
    </row>
    <row r="239" spans="1:29" x14ac:dyDescent="0.35">
      <c r="A239" s="146">
        <v>35064</v>
      </c>
      <c r="B239" s="108" t="s">
        <v>235</v>
      </c>
      <c r="C239" s="84">
        <f t="shared" si="45"/>
        <v>1</v>
      </c>
      <c r="D239" s="108">
        <v>750000000</v>
      </c>
      <c r="E239" s="84">
        <f t="shared" si="46"/>
        <v>8.8750612633917001</v>
      </c>
      <c r="F239" s="146">
        <v>36199</v>
      </c>
      <c r="G239" s="108">
        <v>385000000</v>
      </c>
      <c r="H239" s="148">
        <f t="shared" si="47"/>
        <v>3.1095890410958904</v>
      </c>
      <c r="I239" s="145">
        <f t="shared" si="54"/>
        <v>0.49270299707266679</v>
      </c>
      <c r="J239" s="108">
        <v>0</v>
      </c>
      <c r="K239" s="108">
        <f t="shared" si="48"/>
        <v>0</v>
      </c>
      <c r="L239" s="65">
        <v>2.95</v>
      </c>
      <c r="M239" s="59">
        <f t="shared" si="55"/>
        <v>0.46982201597816303</v>
      </c>
      <c r="N239" s="155">
        <f t="shared" si="49"/>
        <v>-0.48666666666666669</v>
      </c>
      <c r="O239" s="127">
        <f t="shared" si="50"/>
        <v>-0.2896005338831994</v>
      </c>
      <c r="P239" s="108">
        <v>1246.953</v>
      </c>
      <c r="Q239" s="108">
        <f t="shared" si="51"/>
        <v>3.0958500844125241</v>
      </c>
      <c r="R239" s="108">
        <v>3219.7179999999998</v>
      </c>
      <c r="S239" s="108">
        <f t="shared" si="52"/>
        <v>3.5078178355445662</v>
      </c>
      <c r="T239" s="108">
        <v>85</v>
      </c>
      <c r="U239" s="106">
        <f t="shared" si="56"/>
        <v>1.9294189257142926</v>
      </c>
      <c r="V239" s="127">
        <v>26.5</v>
      </c>
      <c r="W239" s="119">
        <f t="shared" si="57"/>
        <v>1.4232458739368079</v>
      </c>
      <c r="X239" s="128">
        <v>37.808596853116498</v>
      </c>
      <c r="Y239" s="120">
        <f t="shared" si="58"/>
        <v>1.577590560190987</v>
      </c>
      <c r="Z239" s="153">
        <v>1.02</v>
      </c>
      <c r="AA239" s="127">
        <f t="shared" si="53"/>
        <v>0.30535136944662378</v>
      </c>
      <c r="AB239" s="108">
        <v>8</v>
      </c>
      <c r="AC239" s="137">
        <f t="shared" si="59"/>
        <v>0.90308998699194354</v>
      </c>
    </row>
    <row r="240" spans="1:29" x14ac:dyDescent="0.35">
      <c r="A240" s="143">
        <v>36438</v>
      </c>
      <c r="B240" s="106" t="s">
        <v>235</v>
      </c>
      <c r="C240" s="83">
        <f t="shared" si="45"/>
        <v>1</v>
      </c>
      <c r="D240" s="106">
        <v>120000000</v>
      </c>
      <c r="E240" s="83">
        <f t="shared" si="46"/>
        <v>8.0791812460476251</v>
      </c>
      <c r="F240" s="143">
        <v>39691</v>
      </c>
      <c r="G240" s="106">
        <v>520000000</v>
      </c>
      <c r="H240" s="145">
        <f t="shared" si="47"/>
        <v>8.912328767123288</v>
      </c>
      <c r="I240" s="145">
        <f t="shared" si="54"/>
        <v>0.94999119882537886</v>
      </c>
      <c r="J240" s="106">
        <v>105</v>
      </c>
      <c r="K240" s="106">
        <f t="shared" si="48"/>
        <v>2.0253058652647704</v>
      </c>
      <c r="L240" s="59">
        <v>2.95</v>
      </c>
      <c r="M240" s="59">
        <f t="shared" si="55"/>
        <v>0.46982201597816303</v>
      </c>
      <c r="N240" s="154">
        <f t="shared" si="49"/>
        <v>3.333333333333333</v>
      </c>
      <c r="O240" s="119">
        <f t="shared" si="50"/>
        <v>0.63682209758717434</v>
      </c>
      <c r="P240" s="106">
        <v>1246.953</v>
      </c>
      <c r="Q240" s="106">
        <f t="shared" si="51"/>
        <v>3.0958500844125241</v>
      </c>
      <c r="R240" s="106">
        <v>3219.7179999999998</v>
      </c>
      <c r="S240" s="106">
        <f t="shared" si="52"/>
        <v>3.5078178355445662</v>
      </c>
      <c r="T240" s="106">
        <v>85</v>
      </c>
      <c r="U240" s="106">
        <f t="shared" si="56"/>
        <v>1.9294189257142926</v>
      </c>
      <c r="V240" s="119">
        <v>27.8</v>
      </c>
      <c r="W240" s="119">
        <f t="shared" si="57"/>
        <v>1.4440447959180762</v>
      </c>
      <c r="X240" s="120">
        <v>34.656907836978597</v>
      </c>
      <c r="Y240" s="120">
        <f t="shared" si="58"/>
        <v>1.5397898114291337</v>
      </c>
      <c r="Z240" s="152">
        <v>-0.01</v>
      </c>
      <c r="AA240" s="119">
        <f t="shared" si="53"/>
        <v>-4.3648054024500883E-3</v>
      </c>
      <c r="AB240" s="106">
        <v>12</v>
      </c>
      <c r="AC240" s="137">
        <f t="shared" si="59"/>
        <v>1.0791812460476249</v>
      </c>
    </row>
    <row r="241" spans="1:29" x14ac:dyDescent="0.35">
      <c r="A241" s="146">
        <v>36494</v>
      </c>
      <c r="B241" s="108" t="s">
        <v>186</v>
      </c>
      <c r="C241" s="84">
        <f t="shared" si="45"/>
        <v>4</v>
      </c>
      <c r="D241" s="108">
        <v>281000000</v>
      </c>
      <c r="E241" s="84">
        <f t="shared" si="46"/>
        <v>8.4487063199050798</v>
      </c>
      <c r="F241" s="146">
        <v>37705</v>
      </c>
      <c r="G241" s="108">
        <v>360000000</v>
      </c>
      <c r="H241" s="148">
        <f t="shared" si="47"/>
        <v>3.3178082191780822</v>
      </c>
      <c r="I241" s="145">
        <f t="shared" si="54"/>
        <v>0.52085127868657755</v>
      </c>
      <c r="J241" s="108">
        <v>37</v>
      </c>
      <c r="K241" s="108">
        <f t="shared" si="48"/>
        <v>1.5797835966168101</v>
      </c>
      <c r="L241" s="65">
        <v>2.95</v>
      </c>
      <c r="M241" s="59">
        <f t="shared" si="55"/>
        <v>0.46982201597816303</v>
      </c>
      <c r="N241" s="155">
        <f t="shared" si="49"/>
        <v>0.28113879003558728</v>
      </c>
      <c r="O241" s="127">
        <f t="shared" si="50"/>
        <v>0.1075961808622074</v>
      </c>
      <c r="P241" s="108">
        <v>1246.953</v>
      </c>
      <c r="Q241" s="108">
        <f t="shared" si="51"/>
        <v>3.0958500844125241</v>
      </c>
      <c r="R241" s="108">
        <v>3219.7179999999998</v>
      </c>
      <c r="S241" s="108">
        <f t="shared" si="52"/>
        <v>3.5078178355445662</v>
      </c>
      <c r="T241" s="108">
        <v>85</v>
      </c>
      <c r="U241" s="106">
        <f t="shared" si="56"/>
        <v>1.9294189257142926</v>
      </c>
      <c r="V241" s="127">
        <v>27.8</v>
      </c>
      <c r="W241" s="119">
        <f t="shared" si="57"/>
        <v>1.4440447959180762</v>
      </c>
      <c r="X241" s="128">
        <v>34.656907836978597</v>
      </c>
      <c r="Y241" s="120">
        <f t="shared" si="58"/>
        <v>1.5397898114291337</v>
      </c>
      <c r="Z241" s="153">
        <v>-0.37</v>
      </c>
      <c r="AA241" s="127">
        <f t="shared" si="53"/>
        <v>-0.20065945054641829</v>
      </c>
      <c r="AB241" s="108">
        <v>12</v>
      </c>
      <c r="AC241" s="137">
        <f t="shared" si="59"/>
        <v>1.0791812460476249</v>
      </c>
    </row>
    <row r="242" spans="1:29" x14ac:dyDescent="0.35">
      <c r="A242" s="143">
        <v>36396</v>
      </c>
      <c r="B242" s="106" t="s">
        <v>235</v>
      </c>
      <c r="C242" s="83">
        <f t="shared" si="45"/>
        <v>1</v>
      </c>
      <c r="D242" s="106">
        <v>250000000</v>
      </c>
      <c r="E242" s="83">
        <f t="shared" si="46"/>
        <v>8.3979400086720375</v>
      </c>
      <c r="F242" s="143">
        <v>37490</v>
      </c>
      <c r="G242" s="106">
        <v>500000000</v>
      </c>
      <c r="H242" s="145">
        <f t="shared" si="47"/>
        <v>2.9972602739726026</v>
      </c>
      <c r="I242" s="145">
        <f t="shared" si="54"/>
        <v>0.47672445754093723</v>
      </c>
      <c r="J242" s="106">
        <v>9</v>
      </c>
      <c r="K242" s="106">
        <f t="shared" si="48"/>
        <v>1</v>
      </c>
      <c r="L242" s="59">
        <v>2.95</v>
      </c>
      <c r="M242" s="59">
        <f t="shared" si="55"/>
        <v>0.46982201597816303</v>
      </c>
      <c r="N242" s="154">
        <f t="shared" si="49"/>
        <v>1</v>
      </c>
      <c r="O242" s="119">
        <f t="shared" si="50"/>
        <v>0.3010299956639812</v>
      </c>
      <c r="P242" s="106">
        <v>1246.953</v>
      </c>
      <c r="Q242" s="106">
        <f t="shared" si="51"/>
        <v>3.0958500844125241</v>
      </c>
      <c r="R242" s="106">
        <v>3219.7179999999998</v>
      </c>
      <c r="S242" s="106">
        <f t="shared" si="52"/>
        <v>3.5078178355445662</v>
      </c>
      <c r="T242" s="106">
        <v>85</v>
      </c>
      <c r="U242" s="106">
        <f t="shared" si="56"/>
        <v>1.9294189257142926</v>
      </c>
      <c r="V242" s="119">
        <v>27.8</v>
      </c>
      <c r="W242" s="119">
        <f t="shared" si="57"/>
        <v>1.4440447959180762</v>
      </c>
      <c r="X242" s="120">
        <v>34.656907836978597</v>
      </c>
      <c r="Y242" s="120">
        <f t="shared" si="58"/>
        <v>1.5397898114291337</v>
      </c>
      <c r="Z242" s="152">
        <v>-0.28999999999999998</v>
      </c>
      <c r="AA242" s="119">
        <f t="shared" si="53"/>
        <v>-0.14874165128092473</v>
      </c>
      <c r="AB242" s="106">
        <v>12</v>
      </c>
      <c r="AC242" s="137">
        <f t="shared" si="59"/>
        <v>1.0791812460476249</v>
      </c>
    </row>
    <row r="243" spans="1:29" x14ac:dyDescent="0.35">
      <c r="A243" s="146">
        <v>36404</v>
      </c>
      <c r="B243" s="108" t="s">
        <v>190</v>
      </c>
      <c r="C243" s="84">
        <f t="shared" si="45"/>
        <v>2</v>
      </c>
      <c r="D243" s="108">
        <v>161890000</v>
      </c>
      <c r="E243" s="84">
        <f t="shared" si="46"/>
        <v>8.2092200230649937</v>
      </c>
      <c r="F243" s="146">
        <v>38265</v>
      </c>
      <c r="G243" s="108">
        <v>529350000</v>
      </c>
      <c r="H243" s="148">
        <f t="shared" si="47"/>
        <v>5.0986301369863014</v>
      </c>
      <c r="I243" s="145">
        <f t="shared" si="54"/>
        <v>0.70745350867429235</v>
      </c>
      <c r="J243" s="108">
        <v>52</v>
      </c>
      <c r="K243" s="108">
        <f t="shared" si="48"/>
        <v>1.7242758696007889</v>
      </c>
      <c r="L243" s="65">
        <v>2.95</v>
      </c>
      <c r="M243" s="59">
        <f t="shared" si="55"/>
        <v>0.46982201597816303</v>
      </c>
      <c r="N243" s="155">
        <f t="shared" si="49"/>
        <v>2.2698128358762122</v>
      </c>
      <c r="O243" s="127">
        <f t="shared" si="50"/>
        <v>0.51452289435065757</v>
      </c>
      <c r="P243" s="108">
        <v>1246.953</v>
      </c>
      <c r="Q243" s="108">
        <f t="shared" si="51"/>
        <v>3.0958500844125241</v>
      </c>
      <c r="R243" s="108">
        <v>3219.7179999999998</v>
      </c>
      <c r="S243" s="108">
        <f t="shared" si="52"/>
        <v>3.5078178355445662</v>
      </c>
      <c r="T243" s="108">
        <v>85</v>
      </c>
      <c r="U243" s="106">
        <f t="shared" si="56"/>
        <v>1.9294189257142926</v>
      </c>
      <c r="V243" s="127">
        <v>27.8</v>
      </c>
      <c r="W243" s="119">
        <f t="shared" si="57"/>
        <v>1.4440447959180762</v>
      </c>
      <c r="X243" s="128">
        <v>34.656907836978597</v>
      </c>
      <c r="Y243" s="120">
        <f t="shared" si="58"/>
        <v>1.5397898114291337</v>
      </c>
      <c r="Z243" s="153">
        <v>-0.15</v>
      </c>
      <c r="AA243" s="127">
        <f t="shared" si="53"/>
        <v>-7.0581074285707285E-2</v>
      </c>
      <c r="AB243" s="108">
        <v>12</v>
      </c>
      <c r="AC243" s="137">
        <f t="shared" si="59"/>
        <v>1.0791812460476249</v>
      </c>
    </row>
    <row r="244" spans="1:29" x14ac:dyDescent="0.35">
      <c r="A244" s="143">
        <v>36525</v>
      </c>
      <c r="B244" s="106" t="s">
        <v>248</v>
      </c>
      <c r="C244" s="83">
        <f t="shared" si="45"/>
        <v>5</v>
      </c>
      <c r="D244" s="106">
        <v>402000000</v>
      </c>
      <c r="E244" s="83">
        <f t="shared" si="46"/>
        <v>8.6042260530844707</v>
      </c>
      <c r="F244" s="143">
        <v>38629</v>
      </c>
      <c r="G244" s="106">
        <v>320850000</v>
      </c>
      <c r="H244" s="145">
        <f t="shared" si="47"/>
        <v>5.7643835616438359</v>
      </c>
      <c r="I244" s="145">
        <f t="shared" si="54"/>
        <v>0.76075287102522682</v>
      </c>
      <c r="J244" s="106">
        <v>22</v>
      </c>
      <c r="K244" s="106">
        <f t="shared" si="48"/>
        <v>1.3617278360175928</v>
      </c>
      <c r="L244" s="59">
        <v>2.95</v>
      </c>
      <c r="M244" s="59">
        <f t="shared" si="55"/>
        <v>0.46982201597816303</v>
      </c>
      <c r="N244" s="154">
        <f t="shared" si="49"/>
        <v>-0.20186567164179103</v>
      </c>
      <c r="O244" s="119">
        <f t="shared" si="50"/>
        <v>-9.7924009457260819E-2</v>
      </c>
      <c r="P244" s="106">
        <v>1246.953</v>
      </c>
      <c r="Q244" s="106">
        <f t="shared" si="51"/>
        <v>3.0958500844125241</v>
      </c>
      <c r="R244" s="106">
        <v>3219.7179999999998</v>
      </c>
      <c r="S244" s="106">
        <f t="shared" si="52"/>
        <v>3.5078178355445662</v>
      </c>
      <c r="T244" s="106">
        <v>85</v>
      </c>
      <c r="U244" s="106">
        <f t="shared" si="56"/>
        <v>1.9294189257142926</v>
      </c>
      <c r="V244" s="119">
        <v>27.8</v>
      </c>
      <c r="W244" s="119">
        <f t="shared" si="57"/>
        <v>1.4440447959180762</v>
      </c>
      <c r="X244" s="120">
        <v>34.656907836978597</v>
      </c>
      <c r="Y244" s="120">
        <f t="shared" si="58"/>
        <v>1.5397898114291337</v>
      </c>
      <c r="Z244" s="152">
        <v>-0.17</v>
      </c>
      <c r="AA244" s="119">
        <f t="shared" si="53"/>
        <v>-8.092190762392612E-2</v>
      </c>
      <c r="AB244" s="106">
        <v>12</v>
      </c>
      <c r="AC244" s="137">
        <f t="shared" si="59"/>
        <v>1.0791812460476249</v>
      </c>
    </row>
    <row r="245" spans="1:29" x14ac:dyDescent="0.35">
      <c r="A245" s="146">
        <v>36829</v>
      </c>
      <c r="B245" s="108" t="s">
        <v>248</v>
      </c>
      <c r="C245" s="84">
        <f t="shared" si="45"/>
        <v>5</v>
      </c>
      <c r="D245" s="108">
        <v>67500000</v>
      </c>
      <c r="E245" s="84">
        <f t="shared" si="46"/>
        <v>7.8293037728310253</v>
      </c>
      <c r="F245" s="146">
        <v>39265</v>
      </c>
      <c r="G245" s="108">
        <v>92000000</v>
      </c>
      <c r="H245" s="148">
        <f t="shared" si="47"/>
        <v>6.6739726027397257</v>
      </c>
      <c r="I245" s="145">
        <f t="shared" si="54"/>
        <v>0.82438441950436303</v>
      </c>
      <c r="J245" s="108">
        <v>11</v>
      </c>
      <c r="K245" s="108">
        <f t="shared" si="48"/>
        <v>1.0791812460476249</v>
      </c>
      <c r="L245" s="65">
        <v>2.95</v>
      </c>
      <c r="M245" s="59">
        <f t="shared" si="55"/>
        <v>0.46982201597816303</v>
      </c>
      <c r="N245" s="155">
        <f t="shared" si="49"/>
        <v>0.36296296296296293</v>
      </c>
      <c r="O245" s="127">
        <f t="shared" si="50"/>
        <v>0.13448405451453033</v>
      </c>
      <c r="P245" s="108">
        <v>1246.953</v>
      </c>
      <c r="Q245" s="108">
        <f t="shared" si="51"/>
        <v>3.0958500844125241</v>
      </c>
      <c r="R245" s="108">
        <v>3219.7179999999998</v>
      </c>
      <c r="S245" s="108">
        <f t="shared" si="52"/>
        <v>3.5078178355445662</v>
      </c>
      <c r="T245" s="108">
        <v>85</v>
      </c>
      <c r="U245" s="106">
        <f t="shared" si="56"/>
        <v>1.9294189257142926</v>
      </c>
      <c r="V245" s="127">
        <v>28.2</v>
      </c>
      <c r="W245" s="119">
        <f t="shared" si="57"/>
        <v>1.4502491083193612</v>
      </c>
      <c r="X245" s="128">
        <v>34.298950279384798</v>
      </c>
      <c r="Y245" s="120">
        <f t="shared" si="58"/>
        <v>1.5352808286478177</v>
      </c>
      <c r="Z245" s="153">
        <v>0.09</v>
      </c>
      <c r="AA245" s="127">
        <f t="shared" si="53"/>
        <v>3.7426497940623665E-2</v>
      </c>
      <c r="AB245" s="108">
        <v>13</v>
      </c>
      <c r="AC245" s="137">
        <f t="shared" si="59"/>
        <v>1.1139433523068367</v>
      </c>
    </row>
    <row r="246" spans="1:29" x14ac:dyDescent="0.35">
      <c r="A246" s="143">
        <v>37165</v>
      </c>
      <c r="B246" s="106" t="s">
        <v>190</v>
      </c>
      <c r="C246" s="83">
        <f t="shared" si="45"/>
        <v>2</v>
      </c>
      <c r="D246" s="106">
        <v>408000000</v>
      </c>
      <c r="E246" s="83">
        <f t="shared" si="46"/>
        <v>8.6106601630898805</v>
      </c>
      <c r="F246" s="143">
        <v>39316</v>
      </c>
      <c r="G246" s="106">
        <v>794450000</v>
      </c>
      <c r="H246" s="145">
        <f t="shared" si="47"/>
        <v>5.8931506849315065</v>
      </c>
      <c r="I246" s="145">
        <f t="shared" si="54"/>
        <v>0.77034754593098786</v>
      </c>
      <c r="J246" s="106">
        <v>0</v>
      </c>
      <c r="K246" s="106">
        <f t="shared" si="48"/>
        <v>0</v>
      </c>
      <c r="L246" s="59">
        <v>2.95</v>
      </c>
      <c r="M246" s="59">
        <f t="shared" si="55"/>
        <v>0.46982201597816303</v>
      </c>
      <c r="N246" s="154">
        <f t="shared" si="49"/>
        <v>0.94718137254901968</v>
      </c>
      <c r="O246" s="119">
        <f t="shared" si="50"/>
        <v>0.28940640628560588</v>
      </c>
      <c r="P246" s="106">
        <v>1246.953</v>
      </c>
      <c r="Q246" s="106">
        <f t="shared" si="51"/>
        <v>3.0958500844125241</v>
      </c>
      <c r="R246" s="106">
        <v>3219.7179999999998</v>
      </c>
      <c r="S246" s="106">
        <f t="shared" si="52"/>
        <v>3.5078178355445662</v>
      </c>
      <c r="T246" s="106">
        <v>85</v>
      </c>
      <c r="U246" s="106">
        <f t="shared" si="56"/>
        <v>1.9294189257142926</v>
      </c>
      <c r="V246" s="119">
        <v>27.2</v>
      </c>
      <c r="W246" s="119">
        <f t="shared" si="57"/>
        <v>1.4345689040341987</v>
      </c>
      <c r="X246" s="120">
        <v>35.608384832026097</v>
      </c>
      <c r="Y246" s="120">
        <f t="shared" si="58"/>
        <v>1.5515522748692276</v>
      </c>
      <c r="Z246" s="152">
        <v>0.41</v>
      </c>
      <c r="AA246" s="119">
        <f t="shared" si="53"/>
        <v>0.14921911265537988</v>
      </c>
      <c r="AB246" s="106">
        <v>14</v>
      </c>
      <c r="AC246" s="137">
        <f t="shared" si="59"/>
        <v>1.146128035678238</v>
      </c>
    </row>
    <row r="247" spans="1:29" x14ac:dyDescent="0.35">
      <c r="A247" s="146">
        <v>37015</v>
      </c>
      <c r="B247" s="108" t="s">
        <v>248</v>
      </c>
      <c r="C247" s="84">
        <f t="shared" si="45"/>
        <v>5</v>
      </c>
      <c r="D247" s="108">
        <v>190000000</v>
      </c>
      <c r="E247" s="84">
        <f t="shared" si="46"/>
        <v>8.2787536009528289</v>
      </c>
      <c r="F247" s="146">
        <v>39797</v>
      </c>
      <c r="G247" s="108">
        <v>0</v>
      </c>
      <c r="H247" s="148">
        <f t="shared" si="47"/>
        <v>7.6219178082191785</v>
      </c>
      <c r="I247" s="145">
        <f t="shared" si="54"/>
        <v>0.88206426119955295</v>
      </c>
      <c r="J247" s="108">
        <v>15</v>
      </c>
      <c r="K247" s="108">
        <f t="shared" si="48"/>
        <v>1.2041199826559248</v>
      </c>
      <c r="L247" s="65">
        <v>2.95</v>
      </c>
      <c r="M247" s="59">
        <f t="shared" si="55"/>
        <v>0.46982201597816303</v>
      </c>
      <c r="N247" s="155">
        <f t="shared" si="49"/>
        <v>-1</v>
      </c>
      <c r="O247" s="127">
        <f t="shared" si="50"/>
        <v>-1</v>
      </c>
      <c r="P247" s="108">
        <v>1246.953</v>
      </c>
      <c r="Q247" s="108">
        <f t="shared" si="51"/>
        <v>3.0958500844125241</v>
      </c>
      <c r="R247" s="108">
        <v>3219.7179999999998</v>
      </c>
      <c r="S247" s="108">
        <f t="shared" si="52"/>
        <v>3.5078178355445662</v>
      </c>
      <c r="T247" s="108">
        <v>85</v>
      </c>
      <c r="U247" s="106">
        <f t="shared" si="56"/>
        <v>1.9294189257142926</v>
      </c>
      <c r="V247" s="127">
        <v>27.2</v>
      </c>
      <c r="W247" s="119">
        <f t="shared" si="57"/>
        <v>1.4345689040341987</v>
      </c>
      <c r="X247" s="128">
        <v>35.608384832026097</v>
      </c>
      <c r="Y247" s="120">
        <f t="shared" si="58"/>
        <v>1.5515522748692276</v>
      </c>
      <c r="Z247" s="153">
        <v>-0.31</v>
      </c>
      <c r="AA247" s="127">
        <f t="shared" si="53"/>
        <v>-0.16115090926274472</v>
      </c>
      <c r="AB247" s="108">
        <v>14</v>
      </c>
      <c r="AC247" s="137">
        <f t="shared" si="59"/>
        <v>1.146128035678238</v>
      </c>
    </row>
    <row r="248" spans="1:29" x14ac:dyDescent="0.35">
      <c r="A248" s="143">
        <v>37109</v>
      </c>
      <c r="B248" s="106" t="s">
        <v>178</v>
      </c>
      <c r="C248" s="83">
        <f t="shared" si="45"/>
        <v>9</v>
      </c>
      <c r="D248" s="106">
        <v>20000000</v>
      </c>
      <c r="E248" s="83">
        <f t="shared" si="46"/>
        <v>7.3010299956639813</v>
      </c>
      <c r="F248" s="143">
        <v>38918</v>
      </c>
      <c r="G248" s="106">
        <v>0</v>
      </c>
      <c r="H248" s="145">
        <f t="shared" si="47"/>
        <v>4.956164383561644</v>
      </c>
      <c r="I248" s="145">
        <f t="shared" si="54"/>
        <v>0.69514570240333906</v>
      </c>
      <c r="J248" s="106">
        <v>3</v>
      </c>
      <c r="K248" s="106">
        <f t="shared" si="48"/>
        <v>0.6020599913279624</v>
      </c>
      <c r="L248" s="59">
        <v>2.95</v>
      </c>
      <c r="M248" s="59">
        <f t="shared" si="55"/>
        <v>0.46982201597816303</v>
      </c>
      <c r="N248" s="154">
        <f t="shared" si="49"/>
        <v>-1</v>
      </c>
      <c r="O248" s="119">
        <f t="shared" si="50"/>
        <v>-1</v>
      </c>
      <c r="P248" s="106">
        <v>1246.953</v>
      </c>
      <c r="Q248" s="106">
        <f t="shared" si="51"/>
        <v>3.0958500844125241</v>
      </c>
      <c r="R248" s="106">
        <v>3219.7179999999998</v>
      </c>
      <c r="S248" s="106">
        <f t="shared" si="52"/>
        <v>3.5078178355445662</v>
      </c>
      <c r="T248" s="106">
        <v>85</v>
      </c>
      <c r="U248" s="106">
        <f t="shared" si="56"/>
        <v>1.9294189257142926</v>
      </c>
      <c r="V248" s="119">
        <v>27.2</v>
      </c>
      <c r="W248" s="119">
        <f t="shared" si="57"/>
        <v>1.4345689040341987</v>
      </c>
      <c r="X248" s="120">
        <v>35.608384832026097</v>
      </c>
      <c r="Y248" s="120">
        <f t="shared" si="58"/>
        <v>1.5515522748692276</v>
      </c>
      <c r="Z248" s="152">
        <v>0.04</v>
      </c>
      <c r="AA248" s="119">
        <f t="shared" si="53"/>
        <v>1.703333929878037E-2</v>
      </c>
      <c r="AB248" s="106">
        <v>14</v>
      </c>
      <c r="AC248" s="137">
        <f t="shared" si="59"/>
        <v>1.146128035678238</v>
      </c>
    </row>
    <row r="249" spans="1:29" x14ac:dyDescent="0.35">
      <c r="A249" s="146">
        <v>37585</v>
      </c>
      <c r="B249" s="108" t="s">
        <v>235</v>
      </c>
      <c r="C249" s="84">
        <f t="shared" si="45"/>
        <v>1</v>
      </c>
      <c r="D249" s="108">
        <v>914180000</v>
      </c>
      <c r="E249" s="84">
        <f t="shared" si="46"/>
        <v>8.9610317157668646</v>
      </c>
      <c r="F249" s="146">
        <v>38990</v>
      </c>
      <c r="G249" s="108">
        <v>1825000000</v>
      </c>
      <c r="H249" s="148">
        <f t="shared" si="47"/>
        <v>3.8493150684931505</v>
      </c>
      <c r="I249" s="145">
        <f t="shared" si="54"/>
        <v>0.58538345978462403</v>
      </c>
      <c r="J249" s="108">
        <v>0</v>
      </c>
      <c r="K249" s="108">
        <f t="shared" si="48"/>
        <v>0</v>
      </c>
      <c r="L249" s="65">
        <v>2.95</v>
      </c>
      <c r="M249" s="59">
        <f t="shared" si="55"/>
        <v>0.46982201597816303</v>
      </c>
      <c r="N249" s="155">
        <f t="shared" si="49"/>
        <v>0.99632457502898775</v>
      </c>
      <c r="O249" s="127">
        <f t="shared" si="50"/>
        <v>0.30023115302562903</v>
      </c>
      <c r="P249" s="108">
        <v>1246.953</v>
      </c>
      <c r="Q249" s="108">
        <f t="shared" si="51"/>
        <v>3.0958500844125241</v>
      </c>
      <c r="R249" s="108">
        <v>3219.7179999999998</v>
      </c>
      <c r="S249" s="108">
        <f t="shared" si="52"/>
        <v>3.5078178355445662</v>
      </c>
      <c r="T249" s="108">
        <v>85</v>
      </c>
      <c r="U249" s="106">
        <f t="shared" si="56"/>
        <v>1.9294189257142926</v>
      </c>
      <c r="V249" s="127">
        <v>24.9</v>
      </c>
      <c r="W249" s="119">
        <f t="shared" si="57"/>
        <v>1.3961993470957363</v>
      </c>
      <c r="X249" s="128">
        <v>36.710134890601303</v>
      </c>
      <c r="Y249" s="120">
        <f t="shared" si="58"/>
        <v>1.564785980312654</v>
      </c>
      <c r="Z249" s="153">
        <v>0.43</v>
      </c>
      <c r="AA249" s="127">
        <f t="shared" si="53"/>
        <v>0.1553360374650618</v>
      </c>
      <c r="AB249" s="108">
        <v>15</v>
      </c>
      <c r="AC249" s="137">
        <f t="shared" si="59"/>
        <v>1.1760912590556813</v>
      </c>
    </row>
    <row r="250" spans="1:29" x14ac:dyDescent="0.35">
      <c r="A250" s="143">
        <v>37316</v>
      </c>
      <c r="B250" s="106" t="s">
        <v>178</v>
      </c>
      <c r="C250" s="83">
        <f t="shared" si="45"/>
        <v>9</v>
      </c>
      <c r="D250" s="106">
        <v>52000000</v>
      </c>
      <c r="E250" s="83">
        <f t="shared" si="46"/>
        <v>7.7160033436347994</v>
      </c>
      <c r="F250" s="143">
        <v>39133</v>
      </c>
      <c r="G250" s="106">
        <v>260000000</v>
      </c>
      <c r="H250" s="145">
        <f t="shared" si="47"/>
        <v>4.978082191780822</v>
      </c>
      <c r="I250" s="145">
        <f t="shared" si="54"/>
        <v>0.69706206285155958</v>
      </c>
      <c r="J250" s="106">
        <v>0</v>
      </c>
      <c r="K250" s="106">
        <f t="shared" si="48"/>
        <v>0</v>
      </c>
      <c r="L250" s="59">
        <v>2.95</v>
      </c>
      <c r="M250" s="59">
        <f t="shared" si="55"/>
        <v>0.46982201597816303</v>
      </c>
      <c r="N250" s="154">
        <f t="shared" si="49"/>
        <v>4</v>
      </c>
      <c r="O250" s="119">
        <f t="shared" si="50"/>
        <v>0.69897000433601886</v>
      </c>
      <c r="P250" s="106">
        <v>1246.953</v>
      </c>
      <c r="Q250" s="106">
        <f t="shared" si="51"/>
        <v>3.0958500844125241</v>
      </c>
      <c r="R250" s="106">
        <v>3219.7179999999998</v>
      </c>
      <c r="S250" s="106">
        <f t="shared" si="52"/>
        <v>3.5078178355445662</v>
      </c>
      <c r="T250" s="106">
        <v>85</v>
      </c>
      <c r="U250" s="106">
        <f t="shared" si="56"/>
        <v>1.9294189257142926</v>
      </c>
      <c r="V250" s="119">
        <v>24.9</v>
      </c>
      <c r="W250" s="119">
        <f t="shared" si="57"/>
        <v>1.3961993470957363</v>
      </c>
      <c r="X250" s="120">
        <v>36.710134890601303</v>
      </c>
      <c r="Y250" s="120">
        <f t="shared" si="58"/>
        <v>1.564785980312654</v>
      </c>
      <c r="Z250" s="152">
        <v>0.28999999999999998</v>
      </c>
      <c r="AA250" s="119">
        <f t="shared" si="53"/>
        <v>0.11058971029924898</v>
      </c>
      <c r="AB250" s="106">
        <v>15</v>
      </c>
      <c r="AC250" s="137">
        <f t="shared" si="59"/>
        <v>1.1760912590556813</v>
      </c>
    </row>
    <row r="251" spans="1:29" x14ac:dyDescent="0.35">
      <c r="A251" s="146">
        <v>37679</v>
      </c>
      <c r="B251" s="108" t="s">
        <v>235</v>
      </c>
      <c r="C251" s="84">
        <f t="shared" si="45"/>
        <v>1</v>
      </c>
      <c r="D251" s="108">
        <v>300000000</v>
      </c>
      <c r="E251" s="84">
        <f t="shared" si="46"/>
        <v>8.4771212547196626</v>
      </c>
      <c r="F251" s="146">
        <v>38176</v>
      </c>
      <c r="G251" s="108">
        <v>650000000</v>
      </c>
      <c r="H251" s="148">
        <f t="shared" si="47"/>
        <v>1.3616438356164384</v>
      </c>
      <c r="I251" s="145">
        <f t="shared" si="54"/>
        <v>0.13406352427685744</v>
      </c>
      <c r="J251" s="108">
        <v>47</v>
      </c>
      <c r="K251" s="108">
        <f t="shared" si="48"/>
        <v>1.6812412373755872</v>
      </c>
      <c r="L251" s="65">
        <v>2.95</v>
      </c>
      <c r="M251" s="59">
        <f t="shared" si="55"/>
        <v>0.46982201597816303</v>
      </c>
      <c r="N251" s="155">
        <f t="shared" si="49"/>
        <v>1.1666666666666665</v>
      </c>
      <c r="O251" s="127">
        <f t="shared" si="50"/>
        <v>0.33579210192319309</v>
      </c>
      <c r="P251" s="108">
        <v>1246.953</v>
      </c>
      <c r="Q251" s="108">
        <f t="shared" si="51"/>
        <v>3.0958500844125241</v>
      </c>
      <c r="R251" s="108">
        <v>3219.7179999999998</v>
      </c>
      <c r="S251" s="108">
        <f t="shared" si="52"/>
        <v>3.5078178355445662</v>
      </c>
      <c r="T251" s="108">
        <v>85</v>
      </c>
      <c r="U251" s="106">
        <f t="shared" si="56"/>
        <v>1.9294189257142926</v>
      </c>
      <c r="V251" s="127">
        <v>24.4</v>
      </c>
      <c r="W251" s="119">
        <f t="shared" si="57"/>
        <v>1.3873898263387294</v>
      </c>
      <c r="X251" s="128">
        <v>37.256914365427299</v>
      </c>
      <c r="Y251" s="120">
        <f t="shared" si="58"/>
        <v>1.5712068835833228</v>
      </c>
      <c r="Z251" s="153">
        <v>0.32</v>
      </c>
      <c r="AA251" s="127">
        <f t="shared" si="53"/>
        <v>0.12057393120584989</v>
      </c>
      <c r="AB251" s="108">
        <v>16</v>
      </c>
      <c r="AC251" s="137">
        <f t="shared" si="59"/>
        <v>1.2041199826559248</v>
      </c>
    </row>
    <row r="252" spans="1:29" x14ac:dyDescent="0.35">
      <c r="A252" s="143">
        <v>37792</v>
      </c>
      <c r="B252" s="106" t="s">
        <v>248</v>
      </c>
      <c r="C252" s="83">
        <f t="shared" si="45"/>
        <v>5</v>
      </c>
      <c r="D252" s="106">
        <v>800000000</v>
      </c>
      <c r="E252" s="83">
        <f t="shared" si="46"/>
        <v>8.9030899869919438</v>
      </c>
      <c r="F252" s="143">
        <v>40632</v>
      </c>
      <c r="G252" s="106">
        <v>980000000</v>
      </c>
      <c r="H252" s="145">
        <f t="shared" si="47"/>
        <v>7.7808219178082192</v>
      </c>
      <c r="I252" s="145">
        <f t="shared" si="54"/>
        <v>0.891025475590563</v>
      </c>
      <c r="J252" s="106">
        <v>45</v>
      </c>
      <c r="K252" s="106">
        <f t="shared" si="48"/>
        <v>1.6627578316815741</v>
      </c>
      <c r="L252" s="59">
        <v>2.95</v>
      </c>
      <c r="M252" s="59">
        <f t="shared" si="55"/>
        <v>0.46982201597816303</v>
      </c>
      <c r="N252" s="154">
        <f t="shared" si="49"/>
        <v>0.22500000000000009</v>
      </c>
      <c r="O252" s="119">
        <f t="shared" si="50"/>
        <v>8.8136088700551299E-2</v>
      </c>
      <c r="P252" s="106">
        <v>1246.953</v>
      </c>
      <c r="Q252" s="106">
        <f t="shared" si="51"/>
        <v>3.0958500844125241</v>
      </c>
      <c r="R252" s="106">
        <v>3219.7179999999998</v>
      </c>
      <c r="S252" s="106">
        <f t="shared" si="52"/>
        <v>3.5078178355445662</v>
      </c>
      <c r="T252" s="106">
        <v>85</v>
      </c>
      <c r="U252" s="106">
        <f t="shared" si="56"/>
        <v>1.9294189257142926</v>
      </c>
      <c r="V252" s="119">
        <v>24.4</v>
      </c>
      <c r="W252" s="119">
        <f t="shared" si="57"/>
        <v>1.3873898263387294</v>
      </c>
      <c r="X252" s="120">
        <v>37.256914365427299</v>
      </c>
      <c r="Y252" s="120">
        <f t="shared" si="58"/>
        <v>1.5712068835833228</v>
      </c>
      <c r="Z252" s="152">
        <v>0.33</v>
      </c>
      <c r="AA252" s="119">
        <f t="shared" si="53"/>
        <v>0.12385164096708581</v>
      </c>
      <c r="AB252" s="106">
        <v>16</v>
      </c>
      <c r="AC252" s="137">
        <f t="shared" si="59"/>
        <v>1.2041199826559248</v>
      </c>
    </row>
    <row r="253" spans="1:29" x14ac:dyDescent="0.35">
      <c r="A253" s="146">
        <v>38456</v>
      </c>
      <c r="B253" s="108" t="s">
        <v>186</v>
      </c>
      <c r="C253" s="84">
        <f t="shared" si="45"/>
        <v>4</v>
      </c>
      <c r="D253" s="108">
        <v>1650000000</v>
      </c>
      <c r="E253" s="84">
        <f t="shared" si="46"/>
        <v>9.2174839442139067</v>
      </c>
      <c r="F253" s="146">
        <v>39783</v>
      </c>
      <c r="G253" s="108">
        <v>0</v>
      </c>
      <c r="H253" s="148">
        <f t="shared" si="47"/>
        <v>3.6356164383561644</v>
      </c>
      <c r="I253" s="145">
        <f t="shared" si="54"/>
        <v>0.56057805840796082</v>
      </c>
      <c r="J253" s="108">
        <v>122</v>
      </c>
      <c r="K253" s="108">
        <f t="shared" si="48"/>
        <v>2.0899051114393981</v>
      </c>
      <c r="L253" s="65">
        <v>2.95</v>
      </c>
      <c r="M253" s="59">
        <f t="shared" si="55"/>
        <v>0.46982201597816303</v>
      </c>
      <c r="N253" s="155">
        <f t="shared" si="49"/>
        <v>-1</v>
      </c>
      <c r="O253" s="127">
        <f t="shared" si="50"/>
        <v>-1</v>
      </c>
      <c r="P253" s="108">
        <v>1246.953</v>
      </c>
      <c r="Q253" s="108">
        <f t="shared" si="51"/>
        <v>3.0958500844125241</v>
      </c>
      <c r="R253" s="108">
        <v>3219.7179999999998</v>
      </c>
      <c r="S253" s="108">
        <f t="shared" si="52"/>
        <v>3.5078178355445662</v>
      </c>
      <c r="T253" s="108">
        <v>85</v>
      </c>
      <c r="U253" s="106">
        <f t="shared" si="56"/>
        <v>1.9294189257142926</v>
      </c>
      <c r="V253" s="127">
        <v>25.9</v>
      </c>
      <c r="W253" s="119">
        <f t="shared" si="57"/>
        <v>1.4132997640812519</v>
      </c>
      <c r="X253" s="128">
        <v>36.959146749272797</v>
      </c>
      <c r="Y253" s="120">
        <f t="shared" si="58"/>
        <v>1.5677219364019672</v>
      </c>
      <c r="Z253" s="153">
        <v>-0.3</v>
      </c>
      <c r="AA253" s="127">
        <f t="shared" si="53"/>
        <v>-0.15490195998574319</v>
      </c>
      <c r="AB253" s="108">
        <v>18</v>
      </c>
      <c r="AC253" s="137">
        <f t="shared" si="59"/>
        <v>1.255272505103306</v>
      </c>
    </row>
    <row r="254" spans="1:29" x14ac:dyDescent="0.35">
      <c r="A254" s="143">
        <v>38628</v>
      </c>
      <c r="B254" s="106" t="s">
        <v>190</v>
      </c>
      <c r="C254" s="83">
        <f t="shared" si="45"/>
        <v>2</v>
      </c>
      <c r="D254" s="106">
        <v>360000000</v>
      </c>
      <c r="E254" s="83">
        <f t="shared" si="46"/>
        <v>8.5563025007672877</v>
      </c>
      <c r="F254" s="143">
        <v>40002</v>
      </c>
      <c r="G254" s="106">
        <v>0</v>
      </c>
      <c r="H254" s="145">
        <f t="shared" si="47"/>
        <v>3.7643835616438355</v>
      </c>
      <c r="I254" s="145">
        <f t="shared" si="54"/>
        <v>0.57569386826705693</v>
      </c>
      <c r="J254" s="106">
        <v>0</v>
      </c>
      <c r="K254" s="106">
        <f t="shared" si="48"/>
        <v>0</v>
      </c>
      <c r="L254" s="59">
        <v>2.95</v>
      </c>
      <c r="M254" s="59">
        <f t="shared" si="55"/>
        <v>0.46982201597816303</v>
      </c>
      <c r="N254" s="154">
        <f t="shared" si="49"/>
        <v>-1</v>
      </c>
      <c r="O254" s="119">
        <f t="shared" si="50"/>
        <v>-1</v>
      </c>
      <c r="P254" s="106">
        <v>1421.558</v>
      </c>
      <c r="Q254" s="106">
        <f t="shared" si="51"/>
        <v>3.1527645837352773</v>
      </c>
      <c r="R254" s="106">
        <v>3476.3409999999999</v>
      </c>
      <c r="S254" s="106">
        <f t="shared" si="52"/>
        <v>3.5411223705253856</v>
      </c>
      <c r="T254" s="106">
        <v>85</v>
      </c>
      <c r="U254" s="106">
        <f t="shared" si="56"/>
        <v>1.9294189257142926</v>
      </c>
      <c r="V254" s="119">
        <v>25.9</v>
      </c>
      <c r="W254" s="119">
        <f t="shared" si="57"/>
        <v>1.4132997640812519</v>
      </c>
      <c r="X254" s="120">
        <v>36.959146749272797</v>
      </c>
      <c r="Y254" s="120">
        <f t="shared" si="58"/>
        <v>1.5677219364019672</v>
      </c>
      <c r="Z254" s="152">
        <v>-0.28000000000000003</v>
      </c>
      <c r="AA254" s="119">
        <f t="shared" si="53"/>
        <v>-0.14266750356873156</v>
      </c>
      <c r="AB254" s="106">
        <v>39</v>
      </c>
      <c r="AC254" s="137">
        <f t="shared" si="59"/>
        <v>1.5910646070264991</v>
      </c>
    </row>
    <row r="255" spans="1:29" x14ac:dyDescent="0.35">
      <c r="A255" s="146">
        <v>38628</v>
      </c>
      <c r="B255" s="108" t="s">
        <v>190</v>
      </c>
      <c r="C255" s="84">
        <f t="shared" si="45"/>
        <v>2</v>
      </c>
      <c r="D255" s="108">
        <v>270000000</v>
      </c>
      <c r="E255" s="84">
        <f t="shared" si="46"/>
        <v>8.4313637641589878</v>
      </c>
      <c r="F255" s="146">
        <v>40002</v>
      </c>
      <c r="G255" s="108">
        <v>0</v>
      </c>
      <c r="H255" s="148">
        <f t="shared" si="47"/>
        <v>3.7643835616438355</v>
      </c>
      <c r="I255" s="145">
        <f t="shared" si="54"/>
        <v>0.57569386826705693</v>
      </c>
      <c r="J255" s="108">
        <v>15</v>
      </c>
      <c r="K255" s="108">
        <f t="shared" si="48"/>
        <v>1.2041199826559248</v>
      </c>
      <c r="L255" s="65">
        <v>2.95</v>
      </c>
      <c r="M255" s="59">
        <f t="shared" si="55"/>
        <v>0.46982201597816303</v>
      </c>
      <c r="N255" s="155">
        <f t="shared" si="49"/>
        <v>-1</v>
      </c>
      <c r="O255" s="127">
        <f t="shared" si="50"/>
        <v>-1</v>
      </c>
      <c r="P255" s="108">
        <v>1421.558</v>
      </c>
      <c r="Q255" s="108">
        <f t="shared" si="51"/>
        <v>3.1527645837352773</v>
      </c>
      <c r="R255" s="108">
        <v>3476.3409999999999</v>
      </c>
      <c r="S255" s="108">
        <f t="shared" si="52"/>
        <v>3.5411223705253856</v>
      </c>
      <c r="T255" s="108">
        <v>85</v>
      </c>
      <c r="U255" s="106">
        <f t="shared" si="56"/>
        <v>1.9294189257142926</v>
      </c>
      <c r="V255" s="127">
        <v>25.9</v>
      </c>
      <c r="W255" s="119">
        <f t="shared" si="57"/>
        <v>1.4132997640812519</v>
      </c>
      <c r="X255" s="128">
        <v>36.959146749272797</v>
      </c>
      <c r="Y255" s="120">
        <f t="shared" si="58"/>
        <v>1.5677219364019672</v>
      </c>
      <c r="Z255" s="153">
        <v>-0.28000000000000003</v>
      </c>
      <c r="AA255" s="127">
        <f t="shared" si="53"/>
        <v>-0.14266750356873156</v>
      </c>
      <c r="AB255" s="108">
        <v>39</v>
      </c>
      <c r="AC255" s="137">
        <f t="shared" si="59"/>
        <v>1.5910646070264991</v>
      </c>
    </row>
    <row r="256" spans="1:29" x14ac:dyDescent="0.35">
      <c r="A256" s="143">
        <v>36608</v>
      </c>
      <c r="B256" s="106" t="s">
        <v>190</v>
      </c>
      <c r="C256" s="83">
        <f t="shared" si="45"/>
        <v>2</v>
      </c>
      <c r="D256" s="106">
        <v>25000000</v>
      </c>
      <c r="E256" s="83">
        <f t="shared" si="46"/>
        <v>7.3979400086720375</v>
      </c>
      <c r="F256" s="143">
        <v>37014</v>
      </c>
      <c r="G256" s="106">
        <v>0</v>
      </c>
      <c r="H256" s="145">
        <f t="shared" si="47"/>
        <v>1.1123287671232878</v>
      </c>
      <c r="I256" s="145">
        <f t="shared" si="54"/>
        <v>4.6233169120719446E-2</v>
      </c>
      <c r="J256" s="106">
        <v>0</v>
      </c>
      <c r="K256" s="106">
        <f t="shared" si="48"/>
        <v>0</v>
      </c>
      <c r="L256" s="59">
        <v>2.95</v>
      </c>
      <c r="M256" s="59">
        <f t="shared" si="55"/>
        <v>0.46982201597816303</v>
      </c>
      <c r="N256" s="154">
        <f t="shared" si="49"/>
        <v>-1</v>
      </c>
      <c r="O256" s="119">
        <f t="shared" si="50"/>
        <v>-1</v>
      </c>
      <c r="P256" s="106">
        <v>1421.558</v>
      </c>
      <c r="Q256" s="106">
        <f t="shared" si="51"/>
        <v>3.1527645837352773</v>
      </c>
      <c r="R256" s="106">
        <v>3476.3409999999999</v>
      </c>
      <c r="S256" s="106">
        <f t="shared" si="52"/>
        <v>3.5411223705253856</v>
      </c>
      <c r="T256" s="106">
        <v>85</v>
      </c>
      <c r="U256" s="106">
        <f t="shared" si="56"/>
        <v>1.9294189257142926</v>
      </c>
      <c r="V256" s="119">
        <v>28.2</v>
      </c>
      <c r="W256" s="119">
        <f t="shared" si="57"/>
        <v>1.4502491083193612</v>
      </c>
      <c r="X256" s="120">
        <v>34.298950279384798</v>
      </c>
      <c r="Y256" s="120">
        <f t="shared" si="58"/>
        <v>1.5352808286478177</v>
      </c>
      <c r="Z256" s="152">
        <v>-0.18</v>
      </c>
      <c r="AA256" s="119">
        <f t="shared" si="53"/>
        <v>-8.6186147616283279E-2</v>
      </c>
      <c r="AB256" s="106">
        <v>34</v>
      </c>
      <c r="AC256" s="137">
        <f t="shared" si="59"/>
        <v>1.5314789170422551</v>
      </c>
    </row>
    <row r="257" spans="1:29" x14ac:dyDescent="0.35">
      <c r="A257" s="146">
        <v>38260</v>
      </c>
      <c r="B257" s="108" t="s">
        <v>190</v>
      </c>
      <c r="C257" s="84">
        <f t="shared" si="45"/>
        <v>2</v>
      </c>
      <c r="D257" s="108">
        <v>105000000</v>
      </c>
      <c r="E257" s="84">
        <f t="shared" si="46"/>
        <v>8.0211892990699383</v>
      </c>
      <c r="F257" s="146">
        <v>42464</v>
      </c>
      <c r="G257" s="108">
        <v>604800000</v>
      </c>
      <c r="H257" s="148">
        <f t="shared" si="47"/>
        <v>11.517808219178082</v>
      </c>
      <c r="I257" s="145">
        <f t="shared" si="54"/>
        <v>1.06136984289973</v>
      </c>
      <c r="J257" s="108">
        <v>28</v>
      </c>
      <c r="K257" s="108">
        <f t="shared" si="48"/>
        <v>1.4623979978989561</v>
      </c>
      <c r="L257" s="65">
        <v>2.95</v>
      </c>
      <c r="M257" s="59">
        <f t="shared" si="55"/>
        <v>0.46982201597816303</v>
      </c>
      <c r="N257" s="155">
        <f t="shared" si="49"/>
        <v>4.76</v>
      </c>
      <c r="O257" s="127">
        <f t="shared" si="50"/>
        <v>0.76042248342321206</v>
      </c>
      <c r="P257" s="108">
        <v>1455.045546765431</v>
      </c>
      <c r="Q257" s="108">
        <f t="shared" si="51"/>
        <v>3.1628765880980758</v>
      </c>
      <c r="R257" s="108">
        <v>4062.5127653490554</v>
      </c>
      <c r="S257" s="108">
        <f t="shared" si="52"/>
        <v>3.6087947386421786</v>
      </c>
      <c r="T257" s="108">
        <v>85</v>
      </c>
      <c r="U257" s="106">
        <f t="shared" si="56"/>
        <v>1.9294189257142926</v>
      </c>
      <c r="V257" s="127">
        <v>24.6</v>
      </c>
      <c r="W257" s="119">
        <f t="shared" si="57"/>
        <v>1.3909351071033791</v>
      </c>
      <c r="X257" s="128">
        <v>36.876470987978301</v>
      </c>
      <c r="Y257" s="120">
        <f t="shared" si="58"/>
        <v>1.5667493531684615</v>
      </c>
      <c r="Z257" s="153">
        <v>0.85</v>
      </c>
      <c r="AA257" s="127">
        <f t="shared" si="53"/>
        <v>0.26717172840301384</v>
      </c>
      <c r="AB257" s="108">
        <v>12</v>
      </c>
      <c r="AC257" s="137">
        <f t="shared" si="59"/>
        <v>1.0791812460476249</v>
      </c>
    </row>
    <row r="258" spans="1:29" x14ac:dyDescent="0.35">
      <c r="A258" s="143">
        <v>35578</v>
      </c>
      <c r="B258" s="106" t="s">
        <v>186</v>
      </c>
      <c r="C258" s="83">
        <f t="shared" ref="C258:C321" si="60">IF(B258="Consumer Discretionary",5,IF(B258="Industrials",1,IF(B258="Energy",3,IF(B258="Health Care",2,IF(B258="Communications",4,IF(B258="Financials",6,IF(B258="Consumer Staples",7,IF(B258="Materials",8,IF(B258="Technology",9,IF(B258="Utilities",10,""))))))))))</f>
        <v>4</v>
      </c>
      <c r="D258" s="106">
        <v>716010000</v>
      </c>
      <c r="E258" s="83">
        <f t="shared" ref="E258:E321" si="61">LOG(D258)</f>
        <v>8.8549190878308881</v>
      </c>
      <c r="F258" s="143">
        <v>36360</v>
      </c>
      <c r="G258" s="106">
        <v>1329920000</v>
      </c>
      <c r="H258" s="145">
        <f t="shared" ref="H258:H321" si="62">YEARFRAC(A258,F258,3)</f>
        <v>2.1424657534246574</v>
      </c>
      <c r="I258" s="145">
        <f t="shared" si="54"/>
        <v>0.33091388860337329</v>
      </c>
      <c r="J258" s="106">
        <v>0</v>
      </c>
      <c r="K258" s="106">
        <f t="shared" ref="K258:K321" si="63">LOG(1+J258)</f>
        <v>0</v>
      </c>
      <c r="L258" s="59">
        <v>2.95</v>
      </c>
      <c r="M258" s="59">
        <f t="shared" si="55"/>
        <v>0.46982201597816303</v>
      </c>
      <c r="N258" s="154">
        <f t="shared" ref="N258:N321" si="64">(G258/D258)-1</f>
        <v>0.8574042261979582</v>
      </c>
      <c r="O258" s="119">
        <f t="shared" ref="O258:O321" si="65">IF(N258=-1,LOG(0.1),LOG(1+N258))</f>
        <v>0.26890642937415743</v>
      </c>
      <c r="P258" s="106">
        <v>2315.9650000000001</v>
      </c>
      <c r="Q258" s="106">
        <f t="shared" ref="Q258:Q321" si="66">LOG(P258)</f>
        <v>3.3647319918335836</v>
      </c>
      <c r="R258" s="106">
        <v>3703.9029999999998</v>
      </c>
      <c r="S258" s="106">
        <f t="shared" ref="S258:S321" si="67">LOG(R258)</f>
        <v>3.568659604598353</v>
      </c>
      <c r="T258" s="106">
        <v>85</v>
      </c>
      <c r="U258" s="106">
        <f t="shared" si="56"/>
        <v>1.9294189257142926</v>
      </c>
      <c r="V258" s="119">
        <v>27.4</v>
      </c>
      <c r="W258" s="119">
        <f t="shared" si="57"/>
        <v>1.4377505628203879</v>
      </c>
      <c r="X258" s="120">
        <v>35.968444143503902</v>
      </c>
      <c r="Y258" s="120">
        <f t="shared" si="58"/>
        <v>1.5559216523165715</v>
      </c>
      <c r="Z258" s="152">
        <v>0.66</v>
      </c>
      <c r="AA258" s="119">
        <f t="shared" ref="AA258:AA321" si="68">LOG(1+Z258)</f>
        <v>0.22010808804005513</v>
      </c>
      <c r="AB258" s="106">
        <v>12</v>
      </c>
      <c r="AC258" s="137">
        <f t="shared" si="59"/>
        <v>1.0791812460476249</v>
      </c>
    </row>
    <row r="259" spans="1:29" x14ac:dyDescent="0.35">
      <c r="A259" s="146">
        <v>35702</v>
      </c>
      <c r="B259" s="108" t="s">
        <v>248</v>
      </c>
      <c r="C259" s="84">
        <f t="shared" si="60"/>
        <v>5</v>
      </c>
      <c r="D259" s="108">
        <v>650000000</v>
      </c>
      <c r="E259" s="84">
        <f t="shared" si="61"/>
        <v>8.8129133566428557</v>
      </c>
      <c r="F259" s="146">
        <v>37957</v>
      </c>
      <c r="G259" s="108">
        <v>912400000</v>
      </c>
      <c r="H259" s="148">
        <f t="shared" si="62"/>
        <v>6.1780821917808222</v>
      </c>
      <c r="I259" s="145">
        <f t="shared" ref="I259:I322" si="69">LOG(H259)</f>
        <v>0.7908536817575047</v>
      </c>
      <c r="J259" s="108">
        <v>3</v>
      </c>
      <c r="K259" s="108">
        <f t="shared" si="63"/>
        <v>0.6020599913279624</v>
      </c>
      <c r="L259" s="65">
        <v>2.95</v>
      </c>
      <c r="M259" s="59">
        <f t="shared" ref="M259:M322" si="70">LOG(L259)</f>
        <v>0.46982201597816303</v>
      </c>
      <c r="N259" s="155">
        <f t="shared" si="64"/>
        <v>0.40369230769230779</v>
      </c>
      <c r="O259" s="127">
        <f t="shared" si="65"/>
        <v>0.14727191996175543</v>
      </c>
      <c r="P259" s="108">
        <v>2315.9650000000001</v>
      </c>
      <c r="Q259" s="108">
        <f t="shared" si="66"/>
        <v>3.3647319918335836</v>
      </c>
      <c r="R259" s="108">
        <v>3703.9029999999998</v>
      </c>
      <c r="S259" s="108">
        <f t="shared" si="67"/>
        <v>3.568659604598353</v>
      </c>
      <c r="T259" s="108">
        <v>85</v>
      </c>
      <c r="U259" s="106">
        <f t="shared" ref="U259:U322" si="71">LOG(T259)</f>
        <v>1.9294189257142926</v>
      </c>
      <c r="V259" s="127">
        <v>27.4</v>
      </c>
      <c r="W259" s="119">
        <f t="shared" ref="W259:W322" si="72">LOG(V259)</f>
        <v>1.4377505628203879</v>
      </c>
      <c r="X259" s="128">
        <v>35.968444143503902</v>
      </c>
      <c r="Y259" s="120">
        <f t="shared" ref="Y259:Y322" si="73">LOG(X259)</f>
        <v>1.5559216523165715</v>
      </c>
      <c r="Z259" s="153">
        <v>0.12</v>
      </c>
      <c r="AA259" s="127">
        <f t="shared" si="68"/>
        <v>4.9218022670181653E-2</v>
      </c>
      <c r="AB259" s="108">
        <v>12</v>
      </c>
      <c r="AC259" s="137">
        <f t="shared" ref="AC259:AC322" si="74">IF(AB259=0,0,LOG(AB259))</f>
        <v>1.0791812460476249</v>
      </c>
    </row>
    <row r="260" spans="1:29" x14ac:dyDescent="0.35">
      <c r="A260" s="143">
        <v>37683</v>
      </c>
      <c r="B260" s="106" t="s">
        <v>248</v>
      </c>
      <c r="C260" s="83">
        <f t="shared" si="60"/>
        <v>5</v>
      </c>
      <c r="D260" s="106">
        <v>4725000000</v>
      </c>
      <c r="E260" s="83">
        <f t="shared" si="61"/>
        <v>9.6744018128452822</v>
      </c>
      <c r="F260" s="143">
        <v>41492</v>
      </c>
      <c r="G260" s="106">
        <v>2874200000</v>
      </c>
      <c r="H260" s="145">
        <f t="shared" si="62"/>
        <v>10.435616438356165</v>
      </c>
      <c r="I260" s="145">
        <f t="shared" si="69"/>
        <v>1.0185181082044716</v>
      </c>
      <c r="J260" s="106">
        <v>99</v>
      </c>
      <c r="K260" s="106">
        <f t="shared" si="63"/>
        <v>2</v>
      </c>
      <c r="L260" s="59">
        <v>2.95</v>
      </c>
      <c r="M260" s="59">
        <f t="shared" si="70"/>
        <v>0.46982201597816303</v>
      </c>
      <c r="N260" s="154">
        <f t="shared" si="64"/>
        <v>-0.39170370370370367</v>
      </c>
      <c r="O260" s="119">
        <f t="shared" si="65"/>
        <v>-0.21588482779645182</v>
      </c>
      <c r="P260" s="106">
        <v>2315.9650000000001</v>
      </c>
      <c r="Q260" s="106">
        <f t="shared" si="66"/>
        <v>3.3647319918335836</v>
      </c>
      <c r="R260" s="106">
        <v>3703.9029999999998</v>
      </c>
      <c r="S260" s="106">
        <f t="shared" si="67"/>
        <v>3.568659604598353</v>
      </c>
      <c r="T260" s="106">
        <v>85</v>
      </c>
      <c r="U260" s="106">
        <f t="shared" si="71"/>
        <v>1.9294189257142926</v>
      </c>
      <c r="V260" s="119">
        <v>24.4</v>
      </c>
      <c r="W260" s="119">
        <f t="shared" si="72"/>
        <v>1.3873898263387294</v>
      </c>
      <c r="X260" s="120">
        <v>37.256914365427299</v>
      </c>
      <c r="Y260" s="120">
        <f t="shared" si="73"/>
        <v>1.5712068835833228</v>
      </c>
      <c r="Z260" s="152">
        <v>1.03</v>
      </c>
      <c r="AA260" s="119">
        <f t="shared" si="68"/>
        <v>0.30749603791321295</v>
      </c>
      <c r="AB260" s="106">
        <v>18</v>
      </c>
      <c r="AC260" s="137">
        <f t="shared" si="74"/>
        <v>1.255272505103306</v>
      </c>
    </row>
    <row r="261" spans="1:29" x14ac:dyDescent="0.35">
      <c r="A261" s="146">
        <v>38253</v>
      </c>
      <c r="B261" s="108" t="s">
        <v>190</v>
      </c>
      <c r="C261" s="84">
        <f t="shared" si="60"/>
        <v>2</v>
      </c>
      <c r="D261" s="108">
        <v>1750000000</v>
      </c>
      <c r="E261" s="84">
        <f t="shared" si="61"/>
        <v>9.2430380486862944</v>
      </c>
      <c r="F261" s="146">
        <v>41548</v>
      </c>
      <c r="G261" s="108">
        <v>4095920000</v>
      </c>
      <c r="H261" s="148">
        <f t="shared" si="62"/>
        <v>9.0273972602739718</v>
      </c>
      <c r="I261" s="145">
        <f t="shared" si="69"/>
        <v>0.95556255447355387</v>
      </c>
      <c r="J261" s="108">
        <v>7</v>
      </c>
      <c r="K261" s="108">
        <f t="shared" si="63"/>
        <v>0.90308998699194354</v>
      </c>
      <c r="L261" s="65">
        <v>2.95</v>
      </c>
      <c r="M261" s="59">
        <f t="shared" si="70"/>
        <v>0.46982201597816303</v>
      </c>
      <c r="N261" s="155">
        <f t="shared" si="64"/>
        <v>1.3405257142857141</v>
      </c>
      <c r="O261" s="127">
        <f t="shared" si="65"/>
        <v>0.369313416884544</v>
      </c>
      <c r="P261" s="108">
        <v>2315.9650000000001</v>
      </c>
      <c r="Q261" s="108">
        <f t="shared" si="66"/>
        <v>3.3647319918335836</v>
      </c>
      <c r="R261" s="108">
        <v>3703.9029999999998</v>
      </c>
      <c r="S261" s="108">
        <f t="shared" si="67"/>
        <v>3.568659604598353</v>
      </c>
      <c r="T261" s="108">
        <v>85</v>
      </c>
      <c r="U261" s="106">
        <f t="shared" si="71"/>
        <v>1.9294189257142926</v>
      </c>
      <c r="V261" s="127">
        <v>24.6</v>
      </c>
      <c r="W261" s="119">
        <f t="shared" si="72"/>
        <v>1.3909351071033791</v>
      </c>
      <c r="X261" s="128">
        <v>36.876470987978301</v>
      </c>
      <c r="Y261" s="120">
        <f t="shared" si="73"/>
        <v>1.5667493531684615</v>
      </c>
      <c r="Z261" s="153">
        <v>0.53</v>
      </c>
      <c r="AA261" s="127">
        <f t="shared" si="68"/>
        <v>0.18469143081759881</v>
      </c>
      <c r="AB261" s="108">
        <v>19</v>
      </c>
      <c r="AC261" s="137">
        <f t="shared" si="74"/>
        <v>1.2787536009528289</v>
      </c>
    </row>
    <row r="262" spans="1:29" x14ac:dyDescent="0.35">
      <c r="A262" s="143">
        <v>37908</v>
      </c>
      <c r="B262" s="106" t="s">
        <v>186</v>
      </c>
      <c r="C262" s="83">
        <f t="shared" si="60"/>
        <v>4</v>
      </c>
      <c r="D262" s="106">
        <v>1501910000</v>
      </c>
      <c r="E262" s="83">
        <f t="shared" si="61"/>
        <v>9.1766439089168497</v>
      </c>
      <c r="F262" s="143">
        <v>40057</v>
      </c>
      <c r="G262" s="106">
        <v>0</v>
      </c>
      <c r="H262" s="145">
        <f t="shared" si="62"/>
        <v>5.8876712328767127</v>
      </c>
      <c r="I262" s="145">
        <f t="shared" si="69"/>
        <v>0.76994355103496859</v>
      </c>
      <c r="J262" s="106">
        <v>53</v>
      </c>
      <c r="K262" s="106">
        <f t="shared" si="63"/>
        <v>1.7323937598229686</v>
      </c>
      <c r="L262" s="59">
        <v>2.95</v>
      </c>
      <c r="M262" s="59">
        <f t="shared" si="70"/>
        <v>0.46982201597816303</v>
      </c>
      <c r="N262" s="154">
        <f t="shared" si="64"/>
        <v>-1</v>
      </c>
      <c r="O262" s="119">
        <f t="shared" si="65"/>
        <v>-1</v>
      </c>
      <c r="P262" s="106">
        <v>2315.9650000000001</v>
      </c>
      <c r="Q262" s="106">
        <f t="shared" si="66"/>
        <v>3.3647319918335836</v>
      </c>
      <c r="R262" s="106">
        <v>3703.9029999999998</v>
      </c>
      <c r="S262" s="106">
        <f t="shared" si="67"/>
        <v>3.568659604598353</v>
      </c>
      <c r="T262" s="106">
        <v>85</v>
      </c>
      <c r="U262" s="106">
        <f t="shared" si="71"/>
        <v>1.9294189257142926</v>
      </c>
      <c r="V262" s="119">
        <v>24.4</v>
      </c>
      <c r="W262" s="119">
        <f t="shared" si="72"/>
        <v>1.3873898263387294</v>
      </c>
      <c r="X262" s="120">
        <v>37.256914365427299</v>
      </c>
      <c r="Y262" s="120">
        <f t="shared" si="73"/>
        <v>1.5712068835833228</v>
      </c>
      <c r="Z262" s="152">
        <v>-0.05</v>
      </c>
      <c r="AA262" s="119">
        <f t="shared" si="68"/>
        <v>-2.2276394711152253E-2</v>
      </c>
      <c r="AB262" s="106">
        <v>18</v>
      </c>
      <c r="AC262" s="137">
        <f t="shared" si="74"/>
        <v>1.255272505103306</v>
      </c>
    </row>
    <row r="263" spans="1:29" x14ac:dyDescent="0.35">
      <c r="A263" s="146">
        <v>38453</v>
      </c>
      <c r="B263" s="108" t="s">
        <v>186</v>
      </c>
      <c r="C263" s="84">
        <f t="shared" si="60"/>
        <v>4</v>
      </c>
      <c r="D263" s="108">
        <v>4812070000</v>
      </c>
      <c r="E263" s="84">
        <f t="shared" si="61"/>
        <v>9.6823319362888824</v>
      </c>
      <c r="F263" s="146">
        <v>40485</v>
      </c>
      <c r="G263" s="108">
        <v>0</v>
      </c>
      <c r="H263" s="148">
        <f t="shared" si="62"/>
        <v>5.5671232876712331</v>
      </c>
      <c r="I263" s="145">
        <f t="shared" si="69"/>
        <v>0.74563083915540695</v>
      </c>
      <c r="J263" s="108">
        <v>81</v>
      </c>
      <c r="K263" s="108">
        <f t="shared" si="63"/>
        <v>1.9138138523837167</v>
      </c>
      <c r="L263" s="65">
        <v>2.95</v>
      </c>
      <c r="M263" s="59">
        <f t="shared" si="70"/>
        <v>0.46982201597816303</v>
      </c>
      <c r="N263" s="155">
        <f t="shared" si="64"/>
        <v>-1</v>
      </c>
      <c r="O263" s="127">
        <f t="shared" si="65"/>
        <v>-1</v>
      </c>
      <c r="P263" s="108">
        <v>1455.046</v>
      </c>
      <c r="Q263" s="108">
        <f t="shared" si="66"/>
        <v>3.1628767233771686</v>
      </c>
      <c r="R263" s="108">
        <v>4062.5129999999999</v>
      </c>
      <c r="S263" s="108">
        <f t="shared" si="67"/>
        <v>3.6087947637270492</v>
      </c>
      <c r="T263" s="108">
        <v>85</v>
      </c>
      <c r="U263" s="106">
        <f t="shared" si="71"/>
        <v>1.9294189257142926</v>
      </c>
      <c r="V263" s="127">
        <v>25.9</v>
      </c>
      <c r="W263" s="119">
        <f t="shared" si="72"/>
        <v>1.4132997640812519</v>
      </c>
      <c r="X263" s="128">
        <v>36.959146749272797</v>
      </c>
      <c r="Y263" s="120">
        <f t="shared" si="73"/>
        <v>1.5677219364019672</v>
      </c>
      <c r="Z263" s="153">
        <v>0.01</v>
      </c>
      <c r="AA263" s="127">
        <f t="shared" si="68"/>
        <v>4.3213737826425782E-3</v>
      </c>
      <c r="AB263" s="108">
        <v>13</v>
      </c>
      <c r="AC263" s="137">
        <f t="shared" si="74"/>
        <v>1.1139433523068367</v>
      </c>
    </row>
    <row r="264" spans="1:29" x14ac:dyDescent="0.35">
      <c r="A264" s="143">
        <v>36739</v>
      </c>
      <c r="B264" s="106" t="s">
        <v>178</v>
      </c>
      <c r="C264" s="83">
        <f t="shared" si="60"/>
        <v>9</v>
      </c>
      <c r="D264" s="106">
        <v>36000000</v>
      </c>
      <c r="E264" s="83">
        <f t="shared" si="61"/>
        <v>7.5563025007672868</v>
      </c>
      <c r="F264" s="143">
        <v>37499</v>
      </c>
      <c r="G264" s="106">
        <v>0</v>
      </c>
      <c r="H264" s="145">
        <f t="shared" si="62"/>
        <v>2.0821917808219177</v>
      </c>
      <c r="I264" s="145">
        <f t="shared" si="69"/>
        <v>0.31852072782431662</v>
      </c>
      <c r="J264" s="106">
        <v>0</v>
      </c>
      <c r="K264" s="106">
        <f t="shared" si="63"/>
        <v>0</v>
      </c>
      <c r="L264" s="59">
        <v>2.95</v>
      </c>
      <c r="M264" s="59">
        <f t="shared" si="70"/>
        <v>0.46982201597816303</v>
      </c>
      <c r="N264" s="154">
        <f t="shared" si="64"/>
        <v>-1</v>
      </c>
      <c r="O264" s="119">
        <f t="shared" si="65"/>
        <v>-1</v>
      </c>
      <c r="P264" s="106">
        <v>1455.046</v>
      </c>
      <c r="Q264" s="106">
        <f t="shared" si="66"/>
        <v>3.1628767233771686</v>
      </c>
      <c r="R264" s="106">
        <v>4062.5129999999999</v>
      </c>
      <c r="S264" s="106">
        <f t="shared" si="67"/>
        <v>3.6087947637270492</v>
      </c>
      <c r="T264" s="106">
        <v>85</v>
      </c>
      <c r="U264" s="106">
        <f t="shared" si="71"/>
        <v>1.9294189257142926</v>
      </c>
      <c r="V264" s="119">
        <v>28.2</v>
      </c>
      <c r="W264" s="119">
        <f t="shared" si="72"/>
        <v>1.4502491083193612</v>
      </c>
      <c r="X264" s="120">
        <v>34.298950279384798</v>
      </c>
      <c r="Y264" s="120">
        <f t="shared" si="73"/>
        <v>1.5352808286478177</v>
      </c>
      <c r="Z264" s="152">
        <v>-0.36</v>
      </c>
      <c r="AA264" s="119">
        <f t="shared" si="68"/>
        <v>-0.19382002601611281</v>
      </c>
      <c r="AB264" s="106">
        <v>8</v>
      </c>
      <c r="AC264" s="137">
        <f t="shared" si="74"/>
        <v>0.90308998699194354</v>
      </c>
    </row>
    <row r="265" spans="1:29" x14ac:dyDescent="0.35">
      <c r="A265" s="146">
        <v>35713</v>
      </c>
      <c r="B265" s="108" t="s">
        <v>190</v>
      </c>
      <c r="C265" s="84">
        <f t="shared" si="60"/>
        <v>2</v>
      </c>
      <c r="D265" s="108">
        <v>1335100000</v>
      </c>
      <c r="E265" s="84">
        <f t="shared" si="61"/>
        <v>9.1255137959041157</v>
      </c>
      <c r="F265" s="146">
        <v>37166</v>
      </c>
      <c r="G265" s="108">
        <v>0</v>
      </c>
      <c r="H265" s="148">
        <f t="shared" si="62"/>
        <v>3.9808219178082194</v>
      </c>
      <c r="I265" s="145">
        <f t="shared" si="69"/>
        <v>0.5999727498415468</v>
      </c>
      <c r="J265" s="108">
        <v>13</v>
      </c>
      <c r="K265" s="108">
        <f t="shared" si="63"/>
        <v>1.146128035678238</v>
      </c>
      <c r="L265" s="65">
        <v>2.95</v>
      </c>
      <c r="M265" s="59">
        <f t="shared" si="70"/>
        <v>0.46982201597816303</v>
      </c>
      <c r="N265" s="155">
        <f t="shared" si="64"/>
        <v>-1</v>
      </c>
      <c r="O265" s="127">
        <f t="shared" si="65"/>
        <v>-1</v>
      </c>
      <c r="P265" s="108">
        <v>1455.046</v>
      </c>
      <c r="Q265" s="108">
        <f t="shared" si="66"/>
        <v>3.1628767233771686</v>
      </c>
      <c r="R265" s="108">
        <v>4062.5129999999999</v>
      </c>
      <c r="S265" s="108">
        <f t="shared" si="67"/>
        <v>3.6087947637270492</v>
      </c>
      <c r="T265" s="108">
        <v>85</v>
      </c>
      <c r="U265" s="106">
        <f t="shared" si="71"/>
        <v>1.9294189257142926</v>
      </c>
      <c r="V265" s="127">
        <v>27.4</v>
      </c>
      <c r="W265" s="119">
        <f t="shared" si="72"/>
        <v>1.4377505628203879</v>
      </c>
      <c r="X265" s="128">
        <v>35.968444143503902</v>
      </c>
      <c r="Y265" s="120">
        <f t="shared" si="73"/>
        <v>1.5559216523165715</v>
      </c>
      <c r="Z265" s="153">
        <v>0.09</v>
      </c>
      <c r="AA265" s="127">
        <f t="shared" si="68"/>
        <v>3.7426497940623665E-2</v>
      </c>
      <c r="AB265" s="108">
        <v>5</v>
      </c>
      <c r="AC265" s="137">
        <f t="shared" si="74"/>
        <v>0.69897000433601886</v>
      </c>
    </row>
    <row r="266" spans="1:29" x14ac:dyDescent="0.35">
      <c r="A266" s="143">
        <v>36612</v>
      </c>
      <c r="B266" s="106" t="s">
        <v>186</v>
      </c>
      <c r="C266" s="83">
        <f t="shared" si="60"/>
        <v>4</v>
      </c>
      <c r="D266" s="106">
        <v>175000000</v>
      </c>
      <c r="E266" s="83">
        <f t="shared" si="61"/>
        <v>8.2430380486862944</v>
      </c>
      <c r="F266" s="143">
        <v>37000</v>
      </c>
      <c r="G266" s="106">
        <v>0</v>
      </c>
      <c r="H266" s="145">
        <f t="shared" si="62"/>
        <v>1.0630136986301371</v>
      </c>
      <c r="I266" s="145">
        <f t="shared" si="69"/>
        <v>2.6538861137732565E-2</v>
      </c>
      <c r="J266" s="106">
        <v>3</v>
      </c>
      <c r="K266" s="106">
        <f t="shared" si="63"/>
        <v>0.6020599913279624</v>
      </c>
      <c r="L266" s="59">
        <v>2.95</v>
      </c>
      <c r="M266" s="59">
        <f t="shared" si="70"/>
        <v>0.46982201597816303</v>
      </c>
      <c r="N266" s="154">
        <f t="shared" si="64"/>
        <v>-1</v>
      </c>
      <c r="O266" s="119">
        <f t="shared" si="65"/>
        <v>-1</v>
      </c>
      <c r="P266" s="106">
        <v>1455.046</v>
      </c>
      <c r="Q266" s="106">
        <f t="shared" si="66"/>
        <v>3.1628767233771686</v>
      </c>
      <c r="R266" s="106">
        <v>4062.5129999999999</v>
      </c>
      <c r="S266" s="106">
        <f t="shared" si="67"/>
        <v>3.6087947637270492</v>
      </c>
      <c r="T266" s="106">
        <v>85</v>
      </c>
      <c r="U266" s="106">
        <f t="shared" si="71"/>
        <v>1.9294189257142926</v>
      </c>
      <c r="V266" s="119">
        <v>28.2</v>
      </c>
      <c r="W266" s="119">
        <f t="shared" si="72"/>
        <v>1.4502491083193612</v>
      </c>
      <c r="X266" s="120">
        <v>34.298950279384798</v>
      </c>
      <c r="Y266" s="120">
        <f t="shared" si="73"/>
        <v>1.5352808286478177</v>
      </c>
      <c r="Z266" s="152">
        <v>-0.18</v>
      </c>
      <c r="AA266" s="119">
        <f t="shared" si="68"/>
        <v>-8.6186147616283279E-2</v>
      </c>
      <c r="AB266" s="106">
        <v>8</v>
      </c>
      <c r="AC266" s="137">
        <f t="shared" si="74"/>
        <v>0.90308998699194354</v>
      </c>
    </row>
    <row r="267" spans="1:29" x14ac:dyDescent="0.35">
      <c r="A267" s="146">
        <v>39071</v>
      </c>
      <c r="B267" s="108" t="s">
        <v>326</v>
      </c>
      <c r="C267" s="84">
        <f t="shared" si="60"/>
        <v>8</v>
      </c>
      <c r="D267" s="108">
        <v>2301620000</v>
      </c>
      <c r="E267" s="84">
        <f t="shared" si="61"/>
        <v>9.3620336227143426</v>
      </c>
      <c r="F267" s="146">
        <v>39856</v>
      </c>
      <c r="G267" s="108">
        <v>0</v>
      </c>
      <c r="H267" s="148">
        <f t="shared" si="62"/>
        <v>2.1506849315068495</v>
      </c>
      <c r="I267" s="145">
        <f t="shared" si="69"/>
        <v>0.33257679228877784</v>
      </c>
      <c r="J267" s="108">
        <v>2</v>
      </c>
      <c r="K267" s="108">
        <f t="shared" si="63"/>
        <v>0.47712125471966244</v>
      </c>
      <c r="L267" s="65">
        <v>2.95</v>
      </c>
      <c r="M267" s="59">
        <f t="shared" si="70"/>
        <v>0.46982201597816303</v>
      </c>
      <c r="N267" s="155">
        <f t="shared" si="64"/>
        <v>-1</v>
      </c>
      <c r="O267" s="127">
        <f t="shared" si="65"/>
        <v>-1</v>
      </c>
      <c r="P267" s="108">
        <v>1455.046</v>
      </c>
      <c r="Q267" s="108">
        <f t="shared" si="66"/>
        <v>3.1628767233771686</v>
      </c>
      <c r="R267" s="108">
        <v>4062.5129999999999</v>
      </c>
      <c r="S267" s="108">
        <f t="shared" si="67"/>
        <v>3.6087947637270492</v>
      </c>
      <c r="T267" s="108">
        <v>93.2</v>
      </c>
      <c r="U267" s="106">
        <f t="shared" si="71"/>
        <v>1.9694159123539814</v>
      </c>
      <c r="V267" s="127">
        <v>26.7</v>
      </c>
      <c r="W267" s="119">
        <f t="shared" si="72"/>
        <v>1.4265112613645752</v>
      </c>
      <c r="X267" s="128">
        <v>36.669158714517401</v>
      </c>
      <c r="Y267" s="120">
        <f t="shared" si="73"/>
        <v>1.5643009462345601</v>
      </c>
      <c r="Z267" s="153">
        <v>-0.41</v>
      </c>
      <c r="AA267" s="127">
        <f t="shared" si="68"/>
        <v>-0.22914798835785574</v>
      </c>
      <c r="AB267" s="108">
        <v>14</v>
      </c>
      <c r="AC267" s="137">
        <f t="shared" si="74"/>
        <v>1.146128035678238</v>
      </c>
    </row>
    <row r="268" spans="1:29" x14ac:dyDescent="0.35">
      <c r="A268" s="143">
        <v>39553</v>
      </c>
      <c r="B268" s="106" t="s">
        <v>245</v>
      </c>
      <c r="C268" s="83">
        <f t="shared" si="60"/>
        <v>6</v>
      </c>
      <c r="D268" s="106">
        <v>7040000000</v>
      </c>
      <c r="E268" s="83">
        <f t="shared" si="61"/>
        <v>9.8475726591421129</v>
      </c>
      <c r="F268" s="143">
        <v>39717</v>
      </c>
      <c r="G268" s="106">
        <v>0</v>
      </c>
      <c r="H268" s="145">
        <f t="shared" si="62"/>
        <v>0.44931506849315067</v>
      </c>
      <c r="I268" s="145">
        <f t="shared" si="69"/>
        <v>-0.34744901640877685</v>
      </c>
      <c r="J268" s="106">
        <v>119</v>
      </c>
      <c r="K268" s="106">
        <f t="shared" si="63"/>
        <v>2.0791812460476247</v>
      </c>
      <c r="L268" s="59">
        <v>2.95</v>
      </c>
      <c r="M268" s="59">
        <f t="shared" si="70"/>
        <v>0.46982201597816303</v>
      </c>
      <c r="N268" s="154">
        <f t="shared" si="64"/>
        <v>-1</v>
      </c>
      <c r="O268" s="119">
        <f t="shared" si="65"/>
        <v>-1</v>
      </c>
      <c r="P268" s="106">
        <v>1455.046</v>
      </c>
      <c r="Q268" s="106">
        <f t="shared" si="66"/>
        <v>3.1628767233771686</v>
      </c>
      <c r="R268" s="106">
        <v>4062.5129999999999</v>
      </c>
      <c r="S268" s="106">
        <f t="shared" si="67"/>
        <v>3.6087947637270492</v>
      </c>
      <c r="T268" s="106">
        <v>92.6</v>
      </c>
      <c r="U268" s="106">
        <f t="shared" si="71"/>
        <v>1.9666109866819343</v>
      </c>
      <c r="V268" s="119">
        <v>25.7</v>
      </c>
      <c r="W268" s="119">
        <f t="shared" si="72"/>
        <v>1.4099331233312946</v>
      </c>
      <c r="X268" s="120">
        <v>39.823361151429197</v>
      </c>
      <c r="Y268" s="120">
        <f t="shared" si="73"/>
        <v>1.6001379123442065</v>
      </c>
      <c r="Z268" s="152">
        <v>-0.09</v>
      </c>
      <c r="AA268" s="119">
        <f t="shared" si="68"/>
        <v>-4.0958607678906384E-2</v>
      </c>
      <c r="AB268" s="106">
        <v>16</v>
      </c>
      <c r="AC268" s="137">
        <f t="shared" si="74"/>
        <v>1.2041199826559248</v>
      </c>
    </row>
    <row r="269" spans="1:29" x14ac:dyDescent="0.35">
      <c r="A269" s="146">
        <v>35538</v>
      </c>
      <c r="B269" s="108" t="s">
        <v>269</v>
      </c>
      <c r="C269" s="84">
        <f t="shared" si="60"/>
        <v>7</v>
      </c>
      <c r="D269" s="108">
        <v>800000000</v>
      </c>
      <c r="E269" s="84">
        <f t="shared" si="61"/>
        <v>8.9030899869919438</v>
      </c>
      <c r="F269" s="146">
        <v>38240</v>
      </c>
      <c r="G269" s="108">
        <v>182710000</v>
      </c>
      <c r="H269" s="148">
        <f t="shared" si="62"/>
        <v>7.4027397260273968</v>
      </c>
      <c r="I269" s="145">
        <f t="shared" si="69"/>
        <v>0.86939248022953708</v>
      </c>
      <c r="J269" s="108">
        <v>99</v>
      </c>
      <c r="K269" s="108">
        <f t="shared" si="63"/>
        <v>2</v>
      </c>
      <c r="L269" s="65">
        <v>2.95</v>
      </c>
      <c r="M269" s="59">
        <f t="shared" si="70"/>
        <v>0.46982201597816303</v>
      </c>
      <c r="N269" s="155">
        <f t="shared" si="64"/>
        <v>-0.77161250000000003</v>
      </c>
      <c r="O269" s="127">
        <f t="shared" si="65"/>
        <v>-0.64132766938232411</v>
      </c>
      <c r="P269" s="108">
        <v>1455.046</v>
      </c>
      <c r="Q269" s="108">
        <f t="shared" si="66"/>
        <v>3.1628767233771686</v>
      </c>
      <c r="R269" s="108">
        <v>4062.5129999999999</v>
      </c>
      <c r="S269" s="108">
        <f t="shared" si="67"/>
        <v>3.6087947637270492</v>
      </c>
      <c r="T269" s="108">
        <v>85</v>
      </c>
      <c r="U269" s="106">
        <f t="shared" si="71"/>
        <v>1.9294189257142926</v>
      </c>
      <c r="V269" s="127">
        <v>27.4</v>
      </c>
      <c r="W269" s="119">
        <f t="shared" si="72"/>
        <v>1.4377505628203879</v>
      </c>
      <c r="X269" s="128">
        <v>35.968444143503902</v>
      </c>
      <c r="Y269" s="120">
        <f t="shared" si="73"/>
        <v>1.5559216523165715</v>
      </c>
      <c r="Z269" s="153">
        <v>0.47</v>
      </c>
      <c r="AA269" s="127">
        <f t="shared" si="68"/>
        <v>0.16731733474817609</v>
      </c>
      <c r="AB269" s="108">
        <v>5</v>
      </c>
      <c r="AC269" s="137">
        <f t="shared" si="74"/>
        <v>0.69897000433601886</v>
      </c>
    </row>
    <row r="270" spans="1:29" x14ac:dyDescent="0.35">
      <c r="A270" s="143">
        <v>35928</v>
      </c>
      <c r="B270" s="106" t="s">
        <v>190</v>
      </c>
      <c r="C270" s="83">
        <f t="shared" si="60"/>
        <v>2</v>
      </c>
      <c r="D270" s="106">
        <v>350000000</v>
      </c>
      <c r="E270" s="83">
        <f t="shared" si="61"/>
        <v>8.5440680443502757</v>
      </c>
      <c r="F270" s="143">
        <v>38198</v>
      </c>
      <c r="G270" s="106">
        <v>1058722600</v>
      </c>
      <c r="H270" s="145">
        <f t="shared" si="62"/>
        <v>6.2191780821917808</v>
      </c>
      <c r="I270" s="145">
        <f t="shared" si="69"/>
        <v>0.79373299273664799</v>
      </c>
      <c r="J270" s="106">
        <v>14</v>
      </c>
      <c r="K270" s="106">
        <f t="shared" si="63"/>
        <v>1.1760912590556813</v>
      </c>
      <c r="L270" s="59">
        <v>2.95</v>
      </c>
      <c r="M270" s="59">
        <f t="shared" si="70"/>
        <v>0.46982201597816303</v>
      </c>
      <c r="N270" s="154">
        <f t="shared" si="64"/>
        <v>2.0249217142857141</v>
      </c>
      <c r="O270" s="119">
        <f t="shared" si="65"/>
        <v>0.48071413948644659</v>
      </c>
      <c r="P270" s="106">
        <v>1455.046</v>
      </c>
      <c r="Q270" s="106">
        <f t="shared" si="66"/>
        <v>3.1628767233771686</v>
      </c>
      <c r="R270" s="106">
        <v>4062.5129999999999</v>
      </c>
      <c r="S270" s="106">
        <f t="shared" si="67"/>
        <v>3.6087947637270492</v>
      </c>
      <c r="T270" s="106">
        <v>85</v>
      </c>
      <c r="U270" s="106">
        <f t="shared" si="71"/>
        <v>1.9294189257142926</v>
      </c>
      <c r="V270" s="119">
        <v>27.8</v>
      </c>
      <c r="W270" s="119">
        <f t="shared" si="72"/>
        <v>1.4440447959180762</v>
      </c>
      <c r="X270" s="120">
        <v>35.119429201759203</v>
      </c>
      <c r="Y270" s="120">
        <f t="shared" si="73"/>
        <v>1.5455474486765259</v>
      </c>
      <c r="Z270" s="152">
        <v>-0.02</v>
      </c>
      <c r="AA270" s="119">
        <f t="shared" si="68"/>
        <v>-8.7739243075051505E-3</v>
      </c>
      <c r="AB270" s="106">
        <v>6</v>
      </c>
      <c r="AC270" s="137">
        <f t="shared" si="74"/>
        <v>0.77815125038364363</v>
      </c>
    </row>
    <row r="271" spans="1:29" x14ac:dyDescent="0.35">
      <c r="A271" s="146">
        <v>36271</v>
      </c>
      <c r="B271" s="108" t="s">
        <v>183</v>
      </c>
      <c r="C271" s="84">
        <f t="shared" si="60"/>
        <v>3</v>
      </c>
      <c r="D271" s="108">
        <v>140000000</v>
      </c>
      <c r="E271" s="84">
        <f t="shared" si="61"/>
        <v>8.1461280356782382</v>
      </c>
      <c r="F271" s="146">
        <v>38069</v>
      </c>
      <c r="G271" s="108">
        <v>140700000</v>
      </c>
      <c r="H271" s="148">
        <f t="shared" si="62"/>
        <v>4.9260273972602739</v>
      </c>
      <c r="I271" s="145">
        <f t="shared" si="69"/>
        <v>0.69249682294073522</v>
      </c>
      <c r="J271" s="108">
        <v>48</v>
      </c>
      <c r="K271" s="108">
        <f t="shared" si="63"/>
        <v>1.6901960800285136</v>
      </c>
      <c r="L271" s="65">
        <v>2.95</v>
      </c>
      <c r="M271" s="59">
        <f t="shared" si="70"/>
        <v>0.46982201597816303</v>
      </c>
      <c r="N271" s="155">
        <f t="shared" si="64"/>
        <v>4.9999999999998934E-3</v>
      </c>
      <c r="O271" s="127">
        <f t="shared" si="65"/>
        <v>2.1660617565076304E-3</v>
      </c>
      <c r="P271" s="108">
        <v>1455.046</v>
      </c>
      <c r="Q271" s="108">
        <f t="shared" si="66"/>
        <v>3.1628767233771686</v>
      </c>
      <c r="R271" s="108">
        <v>4062.5129999999999</v>
      </c>
      <c r="S271" s="108">
        <f t="shared" si="67"/>
        <v>3.6087947637270492</v>
      </c>
      <c r="T271" s="108">
        <v>85</v>
      </c>
      <c r="U271" s="106">
        <f t="shared" si="71"/>
        <v>1.9294189257142926</v>
      </c>
      <c r="V271" s="127">
        <v>27.8</v>
      </c>
      <c r="W271" s="119">
        <f t="shared" si="72"/>
        <v>1.4440447959180762</v>
      </c>
      <c r="X271" s="128">
        <v>34.656907836978597</v>
      </c>
      <c r="Y271" s="120">
        <f t="shared" si="73"/>
        <v>1.5397898114291337</v>
      </c>
      <c r="Z271" s="153">
        <v>-0.18</v>
      </c>
      <c r="AA271" s="127">
        <f t="shared" si="68"/>
        <v>-8.6186147616283279E-2</v>
      </c>
      <c r="AB271" s="108">
        <v>7</v>
      </c>
      <c r="AC271" s="137">
        <f t="shared" si="74"/>
        <v>0.84509804001425681</v>
      </c>
    </row>
    <row r="272" spans="1:29" x14ac:dyDescent="0.35">
      <c r="A272" s="143">
        <v>36802</v>
      </c>
      <c r="B272" s="106" t="s">
        <v>248</v>
      </c>
      <c r="C272" s="83">
        <f t="shared" si="60"/>
        <v>5</v>
      </c>
      <c r="D272" s="106">
        <v>534330000</v>
      </c>
      <c r="E272" s="83">
        <f t="shared" si="61"/>
        <v>8.727809558365383</v>
      </c>
      <c r="F272" s="143">
        <v>38282</v>
      </c>
      <c r="G272" s="106">
        <v>247300000</v>
      </c>
      <c r="H272" s="145">
        <f t="shared" si="62"/>
        <v>4.0547945205479454</v>
      </c>
      <c r="I272" s="145">
        <f t="shared" si="69"/>
        <v>0.60796885093848274</v>
      </c>
      <c r="J272" s="106">
        <v>35</v>
      </c>
      <c r="K272" s="106">
        <f t="shared" si="63"/>
        <v>1.5563025007672873</v>
      </c>
      <c r="L272" s="59">
        <v>2.95</v>
      </c>
      <c r="M272" s="59">
        <f t="shared" si="70"/>
        <v>0.46982201597816303</v>
      </c>
      <c r="N272" s="154">
        <f t="shared" si="64"/>
        <v>-0.53717739973424661</v>
      </c>
      <c r="O272" s="119">
        <f t="shared" si="65"/>
        <v>-0.3345854420040863</v>
      </c>
      <c r="P272" s="106">
        <v>1455.046</v>
      </c>
      <c r="Q272" s="106">
        <f t="shared" si="66"/>
        <v>3.1628767233771686</v>
      </c>
      <c r="R272" s="106">
        <v>4062.5129999999999</v>
      </c>
      <c r="S272" s="106">
        <f t="shared" si="67"/>
        <v>3.6087947637270492</v>
      </c>
      <c r="T272" s="106">
        <v>85</v>
      </c>
      <c r="U272" s="106">
        <f t="shared" si="71"/>
        <v>1.9294189257142926</v>
      </c>
      <c r="V272" s="119">
        <v>28.2</v>
      </c>
      <c r="W272" s="119">
        <f t="shared" si="72"/>
        <v>1.4502491083193612</v>
      </c>
      <c r="X272" s="120">
        <v>34.298950279384798</v>
      </c>
      <c r="Y272" s="120">
        <f t="shared" si="73"/>
        <v>1.5352808286478177</v>
      </c>
      <c r="Z272" s="152">
        <v>-0.23</v>
      </c>
      <c r="AA272" s="119">
        <f t="shared" si="68"/>
        <v>-0.11350927482751812</v>
      </c>
      <c r="AB272" s="106">
        <v>8</v>
      </c>
      <c r="AC272" s="137">
        <f t="shared" si="74"/>
        <v>0.90308998699194354</v>
      </c>
    </row>
    <row r="273" spans="1:29" x14ac:dyDescent="0.35">
      <c r="A273" s="146">
        <v>36742</v>
      </c>
      <c r="B273" s="108" t="s">
        <v>178</v>
      </c>
      <c r="C273" s="84">
        <f t="shared" si="60"/>
        <v>9</v>
      </c>
      <c r="D273" s="108">
        <v>375000000</v>
      </c>
      <c r="E273" s="84">
        <f t="shared" si="61"/>
        <v>8.5740312677277188</v>
      </c>
      <c r="F273" s="146">
        <v>39297</v>
      </c>
      <c r="G273" s="108">
        <v>121050000</v>
      </c>
      <c r="H273" s="148">
        <f t="shared" si="62"/>
        <v>7</v>
      </c>
      <c r="I273" s="145">
        <f t="shared" si="69"/>
        <v>0.84509804001425681</v>
      </c>
      <c r="J273" s="108">
        <v>0</v>
      </c>
      <c r="K273" s="108">
        <f t="shared" si="63"/>
        <v>0</v>
      </c>
      <c r="L273" s="65">
        <v>2.95</v>
      </c>
      <c r="M273" s="59">
        <f t="shared" si="70"/>
        <v>0.46982201597816303</v>
      </c>
      <c r="N273" s="155">
        <f t="shared" si="64"/>
        <v>-0.67720000000000002</v>
      </c>
      <c r="O273" s="127">
        <f t="shared" si="65"/>
        <v>-0.49106647394996722</v>
      </c>
      <c r="P273" s="108">
        <v>1455.046</v>
      </c>
      <c r="Q273" s="108">
        <f t="shared" si="66"/>
        <v>3.1628767233771686</v>
      </c>
      <c r="R273" s="108">
        <v>4062.5129999999999</v>
      </c>
      <c r="S273" s="108">
        <f t="shared" si="67"/>
        <v>3.6087947637270492</v>
      </c>
      <c r="T273" s="108">
        <v>85</v>
      </c>
      <c r="U273" s="106">
        <f t="shared" si="71"/>
        <v>1.9294189257142926</v>
      </c>
      <c r="V273" s="127">
        <v>28.2</v>
      </c>
      <c r="W273" s="119">
        <f t="shared" si="72"/>
        <v>1.4502491083193612</v>
      </c>
      <c r="X273" s="128">
        <v>34.298950279384798</v>
      </c>
      <c r="Y273" s="120">
        <f t="shared" si="73"/>
        <v>1.5352808286478177</v>
      </c>
      <c r="Z273" s="153">
        <v>-0.02</v>
      </c>
      <c r="AA273" s="127">
        <f t="shared" si="68"/>
        <v>-8.7739243075051505E-3</v>
      </c>
      <c r="AB273" s="108">
        <v>8</v>
      </c>
      <c r="AC273" s="137">
        <f t="shared" si="74"/>
        <v>0.90308998699194354</v>
      </c>
    </row>
    <row r="274" spans="1:29" x14ac:dyDescent="0.35">
      <c r="A274" s="143">
        <v>38093</v>
      </c>
      <c r="B274" s="106" t="s">
        <v>178</v>
      </c>
      <c r="C274" s="83">
        <f t="shared" si="60"/>
        <v>9</v>
      </c>
      <c r="D274" s="106">
        <v>100000000</v>
      </c>
      <c r="E274" s="83">
        <f t="shared" si="61"/>
        <v>8</v>
      </c>
      <c r="F274" s="143">
        <v>40784</v>
      </c>
      <c r="G274" s="106">
        <v>523740000</v>
      </c>
      <c r="H274" s="145">
        <f t="shared" si="62"/>
        <v>7.3726027397260276</v>
      </c>
      <c r="I274" s="145">
        <f t="shared" si="69"/>
        <v>0.86762083330727979</v>
      </c>
      <c r="J274" s="106">
        <v>16</v>
      </c>
      <c r="K274" s="106">
        <f t="shared" si="63"/>
        <v>1.2304489213782739</v>
      </c>
      <c r="L274" s="59">
        <v>2.95</v>
      </c>
      <c r="M274" s="59">
        <f t="shared" si="70"/>
        <v>0.46982201597816303</v>
      </c>
      <c r="N274" s="154">
        <f t="shared" si="64"/>
        <v>4.2374000000000001</v>
      </c>
      <c r="O274" s="119">
        <f t="shared" si="65"/>
        <v>0.71911574387644306</v>
      </c>
      <c r="P274" s="106">
        <v>1455.046</v>
      </c>
      <c r="Q274" s="106">
        <f t="shared" si="66"/>
        <v>3.1628767233771686</v>
      </c>
      <c r="R274" s="106">
        <v>4062.5129999999999</v>
      </c>
      <c r="S274" s="106">
        <f t="shared" si="67"/>
        <v>3.6087947637270492</v>
      </c>
      <c r="T274" s="106">
        <v>85</v>
      </c>
      <c r="U274" s="106">
        <f t="shared" si="71"/>
        <v>1.9294189257142926</v>
      </c>
      <c r="V274" s="119">
        <v>24.6</v>
      </c>
      <c r="W274" s="119">
        <f t="shared" si="72"/>
        <v>1.3909351071033791</v>
      </c>
      <c r="X274" s="120">
        <v>36.876470987978301</v>
      </c>
      <c r="Y274" s="120">
        <f t="shared" si="73"/>
        <v>1.5667493531684615</v>
      </c>
      <c r="Z274" s="152">
        <v>7.0000000000000007E-2</v>
      </c>
      <c r="AA274" s="119">
        <f t="shared" si="68"/>
        <v>2.9383777685209667E-2</v>
      </c>
      <c r="AB274" s="106">
        <v>12</v>
      </c>
      <c r="AC274" s="137">
        <f t="shared" si="74"/>
        <v>1.0791812460476249</v>
      </c>
    </row>
    <row r="275" spans="1:29" x14ac:dyDescent="0.35">
      <c r="A275" s="146">
        <v>38184</v>
      </c>
      <c r="B275" s="108" t="s">
        <v>178</v>
      </c>
      <c r="C275" s="84">
        <f t="shared" si="60"/>
        <v>9</v>
      </c>
      <c r="D275" s="108">
        <v>235000000</v>
      </c>
      <c r="E275" s="84">
        <f t="shared" si="61"/>
        <v>8.3710678622717367</v>
      </c>
      <c r="F275" s="146">
        <v>39387</v>
      </c>
      <c r="G275" s="108">
        <v>205000000</v>
      </c>
      <c r="H275" s="148">
        <f t="shared" si="62"/>
        <v>3.2958904109589042</v>
      </c>
      <c r="I275" s="145">
        <f t="shared" si="69"/>
        <v>0.51797276288337002</v>
      </c>
      <c r="J275" s="108">
        <v>18</v>
      </c>
      <c r="K275" s="108">
        <f t="shared" si="63"/>
        <v>1.2787536009528289</v>
      </c>
      <c r="L275" s="65">
        <v>2.95</v>
      </c>
      <c r="M275" s="59">
        <f t="shared" si="70"/>
        <v>0.46982201597816303</v>
      </c>
      <c r="N275" s="155">
        <f t="shared" si="64"/>
        <v>-0.12765957446808507</v>
      </c>
      <c r="O275" s="127">
        <f t="shared" si="65"/>
        <v>-5.9314001215981953E-2</v>
      </c>
      <c r="P275" s="108">
        <v>1455.046</v>
      </c>
      <c r="Q275" s="108">
        <f t="shared" si="66"/>
        <v>3.1628767233771686</v>
      </c>
      <c r="R275" s="108">
        <v>4062.5129999999999</v>
      </c>
      <c r="S275" s="108">
        <f t="shared" si="67"/>
        <v>3.6087947637270492</v>
      </c>
      <c r="T275" s="108">
        <v>85</v>
      </c>
      <c r="U275" s="106">
        <f t="shared" si="71"/>
        <v>1.9294189257142926</v>
      </c>
      <c r="V275" s="127">
        <v>24.6</v>
      </c>
      <c r="W275" s="119">
        <f t="shared" si="72"/>
        <v>1.3909351071033791</v>
      </c>
      <c r="X275" s="128">
        <v>36.876470987978301</v>
      </c>
      <c r="Y275" s="120">
        <f t="shared" si="73"/>
        <v>1.5667493531684615</v>
      </c>
      <c r="Z275" s="153">
        <v>0.37</v>
      </c>
      <c r="AA275" s="127">
        <f t="shared" si="68"/>
        <v>0.13672056715640679</v>
      </c>
      <c r="AB275" s="108">
        <v>12</v>
      </c>
      <c r="AC275" s="137">
        <f t="shared" si="74"/>
        <v>1.0791812460476249</v>
      </c>
    </row>
    <row r="276" spans="1:29" x14ac:dyDescent="0.35">
      <c r="A276" s="143">
        <v>38632</v>
      </c>
      <c r="B276" s="106" t="s">
        <v>248</v>
      </c>
      <c r="C276" s="83">
        <f t="shared" si="60"/>
        <v>5</v>
      </c>
      <c r="D276" s="106">
        <v>5044340000</v>
      </c>
      <c r="E276" s="83">
        <f t="shared" si="61"/>
        <v>9.7028043513244029</v>
      </c>
      <c r="F276" s="143">
        <v>41572</v>
      </c>
      <c r="G276" s="106">
        <v>6000000000</v>
      </c>
      <c r="H276" s="145">
        <f t="shared" si="62"/>
        <v>8.0547945205479454</v>
      </c>
      <c r="I276" s="145">
        <f t="shared" si="69"/>
        <v>0.90605446595568262</v>
      </c>
      <c r="J276" s="106">
        <v>98</v>
      </c>
      <c r="K276" s="106">
        <f t="shared" si="63"/>
        <v>1.9956351945975499</v>
      </c>
      <c r="L276" s="59">
        <v>2.95</v>
      </c>
      <c r="M276" s="59">
        <f t="shared" si="70"/>
        <v>0.46982201597816303</v>
      </c>
      <c r="N276" s="154">
        <f t="shared" si="64"/>
        <v>0.18945194019435641</v>
      </c>
      <c r="O276" s="119">
        <f t="shared" si="65"/>
        <v>7.5346899059240954E-2</v>
      </c>
      <c r="P276" s="106">
        <v>1455.046</v>
      </c>
      <c r="Q276" s="106">
        <f t="shared" si="66"/>
        <v>3.1628767233771686</v>
      </c>
      <c r="R276" s="106">
        <v>4062.5129999999999</v>
      </c>
      <c r="S276" s="106">
        <f t="shared" si="67"/>
        <v>3.6087947637270492</v>
      </c>
      <c r="T276" s="106">
        <v>85</v>
      </c>
      <c r="U276" s="106">
        <f t="shared" si="71"/>
        <v>1.9294189257142926</v>
      </c>
      <c r="V276" s="119">
        <v>25.9</v>
      </c>
      <c r="W276" s="119">
        <f t="shared" si="72"/>
        <v>1.4132997640812519</v>
      </c>
      <c r="X276" s="120">
        <v>36.959146749272797</v>
      </c>
      <c r="Y276" s="120">
        <f t="shared" si="73"/>
        <v>1.5677219364019672</v>
      </c>
      <c r="Z276" s="152">
        <v>0.47</v>
      </c>
      <c r="AA276" s="119">
        <f t="shared" si="68"/>
        <v>0.16731733474817609</v>
      </c>
      <c r="AB276" s="106">
        <v>13</v>
      </c>
      <c r="AC276" s="137">
        <f t="shared" si="74"/>
        <v>1.1139433523068367</v>
      </c>
    </row>
    <row r="277" spans="1:29" x14ac:dyDescent="0.35">
      <c r="A277" s="146">
        <v>38335</v>
      </c>
      <c r="B277" s="108" t="s">
        <v>279</v>
      </c>
      <c r="C277" s="84">
        <f t="shared" si="60"/>
        <v>10</v>
      </c>
      <c r="D277" s="108">
        <v>3602100000</v>
      </c>
      <c r="E277" s="84">
        <f t="shared" si="61"/>
        <v>9.5565557653534068</v>
      </c>
      <c r="F277" s="146">
        <v>38750</v>
      </c>
      <c r="G277" s="108">
        <v>5800000000</v>
      </c>
      <c r="H277" s="148">
        <f t="shared" si="62"/>
        <v>1.1369863013698631</v>
      </c>
      <c r="I277" s="145">
        <f t="shared" si="69"/>
        <v>5.5755232255618042E-2</v>
      </c>
      <c r="J277" s="108">
        <v>3</v>
      </c>
      <c r="K277" s="108">
        <f t="shared" si="63"/>
        <v>0.6020599913279624</v>
      </c>
      <c r="L277" s="65">
        <v>2.95</v>
      </c>
      <c r="M277" s="59">
        <f t="shared" si="70"/>
        <v>0.46982201597816303</v>
      </c>
      <c r="N277" s="155">
        <f t="shared" si="64"/>
        <v>0.61017184420199322</v>
      </c>
      <c r="O277" s="127">
        <f t="shared" si="65"/>
        <v>0.20687222820953113</v>
      </c>
      <c r="P277" s="108">
        <v>1455.046</v>
      </c>
      <c r="Q277" s="108">
        <f t="shared" si="66"/>
        <v>3.1628767233771686</v>
      </c>
      <c r="R277" s="108">
        <v>4062.5129999999999</v>
      </c>
      <c r="S277" s="108">
        <f t="shared" si="67"/>
        <v>3.6087947637270492</v>
      </c>
      <c r="T277" s="108">
        <v>85</v>
      </c>
      <c r="U277" s="106">
        <f t="shared" si="71"/>
        <v>1.9294189257142926</v>
      </c>
      <c r="V277" s="127">
        <v>24.6</v>
      </c>
      <c r="W277" s="119">
        <f t="shared" si="72"/>
        <v>1.3909351071033791</v>
      </c>
      <c r="X277" s="128">
        <v>36.876470987978301</v>
      </c>
      <c r="Y277" s="120">
        <f t="shared" si="73"/>
        <v>1.5667493531684615</v>
      </c>
      <c r="Z277" s="153">
        <v>0.06</v>
      </c>
      <c r="AA277" s="127">
        <f t="shared" si="68"/>
        <v>2.5305865264770262E-2</v>
      </c>
      <c r="AB277" s="108">
        <v>12</v>
      </c>
      <c r="AC277" s="137">
        <f t="shared" si="74"/>
        <v>1.0791812460476249</v>
      </c>
    </row>
    <row r="278" spans="1:29" x14ac:dyDescent="0.35">
      <c r="A278" s="143">
        <v>39366</v>
      </c>
      <c r="B278" s="106" t="s">
        <v>279</v>
      </c>
      <c r="C278" s="83">
        <f t="shared" si="60"/>
        <v>10</v>
      </c>
      <c r="D278" s="106">
        <v>48405150000</v>
      </c>
      <c r="E278" s="83">
        <f t="shared" si="61"/>
        <v>10.684891570272443</v>
      </c>
      <c r="F278" s="143">
        <v>42967</v>
      </c>
      <c r="G278" s="106">
        <v>18800000000</v>
      </c>
      <c r="H278" s="145">
        <f t="shared" si="62"/>
        <v>9.8657534246575338</v>
      </c>
      <c r="I278" s="145">
        <f t="shared" si="69"/>
        <v>0.99413025691481061</v>
      </c>
      <c r="J278" s="106">
        <v>95</v>
      </c>
      <c r="K278" s="106">
        <f t="shared" si="63"/>
        <v>1.9822712330395684</v>
      </c>
      <c r="L278" s="59">
        <v>2.95</v>
      </c>
      <c r="M278" s="59">
        <f t="shared" si="70"/>
        <v>0.46982201597816303</v>
      </c>
      <c r="N278" s="154">
        <f t="shared" si="64"/>
        <v>-0.61161157438826241</v>
      </c>
      <c r="O278" s="119">
        <f t="shared" si="65"/>
        <v>-0.41073372100876349</v>
      </c>
      <c r="P278" s="106">
        <v>1455.046</v>
      </c>
      <c r="Q278" s="106">
        <f t="shared" si="66"/>
        <v>3.1628767233771686</v>
      </c>
      <c r="R278" s="106">
        <v>4062.5129999999999</v>
      </c>
      <c r="S278" s="106">
        <f t="shared" si="67"/>
        <v>3.6087947637270492</v>
      </c>
      <c r="T278" s="106">
        <v>91.4</v>
      </c>
      <c r="U278" s="106">
        <f t="shared" si="71"/>
        <v>1.9609461957338314</v>
      </c>
      <c r="V278" s="119">
        <v>26.7</v>
      </c>
      <c r="W278" s="119">
        <f t="shared" si="72"/>
        <v>1.4265112613645752</v>
      </c>
      <c r="X278" s="120">
        <v>37.425715444240403</v>
      </c>
      <c r="Y278" s="120">
        <f t="shared" si="73"/>
        <v>1.5731701112332821</v>
      </c>
      <c r="Z278" s="152">
        <v>0.56000000000000005</v>
      </c>
      <c r="AA278" s="119">
        <f t="shared" si="68"/>
        <v>0.19312459835446161</v>
      </c>
      <c r="AB278" s="106">
        <v>15</v>
      </c>
      <c r="AC278" s="137">
        <f t="shared" si="74"/>
        <v>1.1760912590556813</v>
      </c>
    </row>
    <row r="279" spans="1:29" x14ac:dyDescent="0.35">
      <c r="A279" s="146">
        <v>39017</v>
      </c>
      <c r="B279" s="108" t="s">
        <v>248</v>
      </c>
      <c r="C279" s="84">
        <f t="shared" si="60"/>
        <v>5</v>
      </c>
      <c r="D279" s="108">
        <v>1793700000</v>
      </c>
      <c r="E279" s="84">
        <f t="shared" si="61"/>
        <v>9.253749808139812</v>
      </c>
      <c r="F279" s="146">
        <v>42410</v>
      </c>
      <c r="G279" s="108">
        <v>4600000000</v>
      </c>
      <c r="H279" s="148">
        <f t="shared" si="62"/>
        <v>9.2958904109589042</v>
      </c>
      <c r="I279" s="145">
        <f t="shared" si="69"/>
        <v>0.96829099518864303</v>
      </c>
      <c r="J279" s="108">
        <v>41</v>
      </c>
      <c r="K279" s="108">
        <f t="shared" si="63"/>
        <v>1.6232492903979006</v>
      </c>
      <c r="L279" s="65">
        <v>2.95</v>
      </c>
      <c r="M279" s="59">
        <f t="shared" si="70"/>
        <v>0.46982201597816303</v>
      </c>
      <c r="N279" s="155">
        <f t="shared" si="64"/>
        <v>1.56453141550984</v>
      </c>
      <c r="O279" s="127">
        <f t="shared" si="65"/>
        <v>0.40900802354176158</v>
      </c>
      <c r="P279" s="108">
        <v>1455.046</v>
      </c>
      <c r="Q279" s="108">
        <f t="shared" si="66"/>
        <v>3.1628767233771686</v>
      </c>
      <c r="R279" s="108">
        <v>4062.5129999999999</v>
      </c>
      <c r="S279" s="108">
        <f t="shared" si="67"/>
        <v>3.6087947637270492</v>
      </c>
      <c r="T279" s="108">
        <v>93.2</v>
      </c>
      <c r="U279" s="106">
        <f t="shared" si="71"/>
        <v>1.9694159123539814</v>
      </c>
      <c r="V279" s="127">
        <v>26.7</v>
      </c>
      <c r="W279" s="119">
        <f t="shared" si="72"/>
        <v>1.4265112613645752</v>
      </c>
      <c r="X279" s="128">
        <v>36.669158714517401</v>
      </c>
      <c r="Y279" s="120">
        <f t="shared" si="73"/>
        <v>1.5643009462345601</v>
      </c>
      <c r="Z279" s="153">
        <v>0.34</v>
      </c>
      <c r="AA279" s="127">
        <f t="shared" si="68"/>
        <v>0.12710479836480765</v>
      </c>
      <c r="AB279" s="108">
        <v>14</v>
      </c>
      <c r="AC279" s="137">
        <f t="shared" si="74"/>
        <v>1.146128035678238</v>
      </c>
    </row>
    <row r="280" spans="1:29" x14ac:dyDescent="0.35">
      <c r="A280" s="143">
        <v>39051</v>
      </c>
      <c r="B280" s="106" t="s">
        <v>178</v>
      </c>
      <c r="C280" s="83">
        <f t="shared" si="60"/>
        <v>9</v>
      </c>
      <c r="D280" s="106">
        <v>1072870000</v>
      </c>
      <c r="E280" s="83">
        <f t="shared" si="61"/>
        <v>9.030547101553049</v>
      </c>
      <c r="F280" s="143">
        <v>40479</v>
      </c>
      <c r="G280" s="106">
        <v>2125000000</v>
      </c>
      <c r="H280" s="145">
        <f t="shared" si="62"/>
        <v>3.9123287671232876</v>
      </c>
      <c r="I280" s="145">
        <f t="shared" si="69"/>
        <v>0.59243534298368083</v>
      </c>
      <c r="J280" s="106">
        <v>37</v>
      </c>
      <c r="K280" s="106">
        <f t="shared" si="63"/>
        <v>1.5797835966168101</v>
      </c>
      <c r="L280" s="59">
        <v>2.95</v>
      </c>
      <c r="M280" s="59">
        <f t="shared" si="70"/>
        <v>0.46982201597816303</v>
      </c>
      <c r="N280" s="154">
        <f t="shared" si="64"/>
        <v>0.98066867374425604</v>
      </c>
      <c r="O280" s="119">
        <f t="shared" si="65"/>
        <v>0.29681183283328078</v>
      </c>
      <c r="P280" s="106">
        <v>1455.046</v>
      </c>
      <c r="Q280" s="106">
        <f t="shared" si="66"/>
        <v>3.1628767233771686</v>
      </c>
      <c r="R280" s="106">
        <v>4062.5129999999999</v>
      </c>
      <c r="S280" s="106">
        <f t="shared" si="67"/>
        <v>3.6087947637270492</v>
      </c>
      <c r="T280" s="106">
        <v>93.2</v>
      </c>
      <c r="U280" s="106">
        <f t="shared" si="71"/>
        <v>1.9694159123539814</v>
      </c>
      <c r="V280" s="119">
        <v>26.7</v>
      </c>
      <c r="W280" s="119">
        <f t="shared" si="72"/>
        <v>1.4265112613645752</v>
      </c>
      <c r="X280" s="120">
        <v>36.669158714517401</v>
      </c>
      <c r="Y280" s="120">
        <f t="shared" si="73"/>
        <v>1.5643009462345601</v>
      </c>
      <c r="Z280" s="152">
        <v>-0.15</v>
      </c>
      <c r="AA280" s="119">
        <f t="shared" si="68"/>
        <v>-7.0581074285707285E-2</v>
      </c>
      <c r="AB280" s="106">
        <v>14</v>
      </c>
      <c r="AC280" s="137">
        <f t="shared" si="74"/>
        <v>1.146128035678238</v>
      </c>
    </row>
    <row r="281" spans="1:29" x14ac:dyDescent="0.35">
      <c r="A281" s="146">
        <v>39113</v>
      </c>
      <c r="B281" s="108" t="s">
        <v>248</v>
      </c>
      <c r="C281" s="84">
        <f t="shared" si="60"/>
        <v>5</v>
      </c>
      <c r="D281" s="108">
        <v>750000000</v>
      </c>
      <c r="E281" s="84">
        <f t="shared" si="61"/>
        <v>8.8750612633917001</v>
      </c>
      <c r="F281" s="146">
        <v>41194</v>
      </c>
      <c r="G281" s="108">
        <v>1100000000</v>
      </c>
      <c r="H281" s="148">
        <f t="shared" si="62"/>
        <v>5.7013698630136984</v>
      </c>
      <c r="I281" s="145">
        <f t="shared" si="69"/>
        <v>0.75597921575515226</v>
      </c>
      <c r="J281" s="108">
        <v>57</v>
      </c>
      <c r="K281" s="108">
        <f t="shared" si="63"/>
        <v>1.7634279935629373</v>
      </c>
      <c r="L281" s="65">
        <v>2.95</v>
      </c>
      <c r="M281" s="59">
        <f t="shared" si="70"/>
        <v>0.46982201597816303</v>
      </c>
      <c r="N281" s="155">
        <f t="shared" si="64"/>
        <v>0.46666666666666656</v>
      </c>
      <c r="O281" s="127">
        <f t="shared" si="65"/>
        <v>0.16633142176652496</v>
      </c>
      <c r="P281" s="108">
        <v>1455.046</v>
      </c>
      <c r="Q281" s="108">
        <f t="shared" si="66"/>
        <v>3.1628767233771686</v>
      </c>
      <c r="R281" s="108">
        <v>4062.5129999999999</v>
      </c>
      <c r="S281" s="108">
        <f t="shared" si="67"/>
        <v>3.6087947637270492</v>
      </c>
      <c r="T281" s="108">
        <v>91.4</v>
      </c>
      <c r="U281" s="106">
        <f t="shared" si="71"/>
        <v>1.9609461957338314</v>
      </c>
      <c r="V281" s="127">
        <v>26.7</v>
      </c>
      <c r="W281" s="119">
        <f t="shared" si="72"/>
        <v>1.4265112613645752</v>
      </c>
      <c r="X281" s="128">
        <v>37.425715444240403</v>
      </c>
      <c r="Y281" s="120">
        <f t="shared" si="73"/>
        <v>1.5731701112332821</v>
      </c>
      <c r="Z281" s="153">
        <v>-0.01</v>
      </c>
      <c r="AA281" s="127">
        <f t="shared" si="68"/>
        <v>-4.3648054024500883E-3</v>
      </c>
      <c r="AB281" s="108">
        <v>15</v>
      </c>
      <c r="AC281" s="137">
        <f t="shared" si="74"/>
        <v>1.1760912590556813</v>
      </c>
    </row>
    <row r="282" spans="1:29" x14ac:dyDescent="0.35">
      <c r="A282" s="143">
        <v>39405</v>
      </c>
      <c r="B282" s="106" t="s">
        <v>186</v>
      </c>
      <c r="C282" s="83">
        <f t="shared" si="60"/>
        <v>4</v>
      </c>
      <c r="D282" s="106">
        <v>27149000000</v>
      </c>
      <c r="E282" s="83">
        <f t="shared" si="61"/>
        <v>10.433753837516758</v>
      </c>
      <c r="F282" s="143">
        <v>39822</v>
      </c>
      <c r="G282" s="106">
        <v>28100000000</v>
      </c>
      <c r="H282" s="145">
        <f t="shared" si="62"/>
        <v>1.1424657534246576</v>
      </c>
      <c r="I282" s="145">
        <f t="shared" si="69"/>
        <v>5.7843190517282844E-2</v>
      </c>
      <c r="J282" s="106">
        <v>47</v>
      </c>
      <c r="K282" s="106">
        <f t="shared" si="63"/>
        <v>1.6812412373755872</v>
      </c>
      <c r="L282" s="59">
        <v>2.95</v>
      </c>
      <c r="M282" s="59">
        <f t="shared" si="70"/>
        <v>0.46982201597816303</v>
      </c>
      <c r="N282" s="154">
        <f t="shared" si="64"/>
        <v>3.5028914508821618E-2</v>
      </c>
      <c r="O282" s="119">
        <f t="shared" si="65"/>
        <v>1.4952482388323004E-2</v>
      </c>
      <c r="P282" s="106">
        <v>1455.046</v>
      </c>
      <c r="Q282" s="106">
        <f t="shared" si="66"/>
        <v>3.1628767233771686</v>
      </c>
      <c r="R282" s="106">
        <v>4062.5129999999999</v>
      </c>
      <c r="S282" s="106">
        <f t="shared" si="67"/>
        <v>3.6087947637270492</v>
      </c>
      <c r="T282" s="106">
        <v>91.4</v>
      </c>
      <c r="U282" s="106">
        <f t="shared" si="71"/>
        <v>1.9609461957338314</v>
      </c>
      <c r="V282" s="119">
        <v>26.7</v>
      </c>
      <c r="W282" s="119">
        <f t="shared" si="72"/>
        <v>1.4265112613645752</v>
      </c>
      <c r="X282" s="120">
        <v>37.425715444240403</v>
      </c>
      <c r="Y282" s="120">
        <f t="shared" si="73"/>
        <v>1.5731701112332821</v>
      </c>
      <c r="Z282" s="152">
        <v>-0.38</v>
      </c>
      <c r="AA282" s="119">
        <f t="shared" si="68"/>
        <v>-0.20760831050174613</v>
      </c>
      <c r="AB282" s="106">
        <v>15</v>
      </c>
      <c r="AC282" s="137">
        <f t="shared" si="74"/>
        <v>1.1760912590556813</v>
      </c>
    </row>
    <row r="283" spans="1:29" x14ac:dyDescent="0.35">
      <c r="A283" s="146">
        <v>39351</v>
      </c>
      <c r="B283" s="108" t="s">
        <v>190</v>
      </c>
      <c r="C283" s="84">
        <f t="shared" si="60"/>
        <v>2</v>
      </c>
      <c r="D283" s="108">
        <v>11426960000</v>
      </c>
      <c r="E283" s="84">
        <f t="shared" si="61"/>
        <v>10.057930707138228</v>
      </c>
      <c r="F283" s="146">
        <v>42179</v>
      </c>
      <c r="G283" s="108">
        <v>13350000000</v>
      </c>
      <c r="H283" s="148">
        <f t="shared" si="62"/>
        <v>7.7479452054794518</v>
      </c>
      <c r="I283" s="145">
        <f t="shared" si="69"/>
        <v>0.88918654066838709</v>
      </c>
      <c r="J283" s="108">
        <v>30</v>
      </c>
      <c r="K283" s="108">
        <f t="shared" si="63"/>
        <v>1.4913616938342726</v>
      </c>
      <c r="L283" s="65">
        <v>2.95</v>
      </c>
      <c r="M283" s="59">
        <f t="shared" si="70"/>
        <v>0.46982201597816303</v>
      </c>
      <c r="N283" s="155">
        <f t="shared" si="64"/>
        <v>0.16828972885176818</v>
      </c>
      <c r="O283" s="127">
        <f t="shared" si="65"/>
        <v>6.7550558562365803E-2</v>
      </c>
      <c r="P283" s="108">
        <v>1455.046</v>
      </c>
      <c r="Q283" s="108">
        <f t="shared" si="66"/>
        <v>3.1628767233771686</v>
      </c>
      <c r="R283" s="108">
        <v>4062.5129999999999</v>
      </c>
      <c r="S283" s="108">
        <f t="shared" si="67"/>
        <v>3.6087947637270492</v>
      </c>
      <c r="T283" s="108">
        <v>91.4</v>
      </c>
      <c r="U283" s="106">
        <f t="shared" si="71"/>
        <v>1.9609461957338314</v>
      </c>
      <c r="V283" s="127">
        <v>26.7</v>
      </c>
      <c r="W283" s="119">
        <f t="shared" si="72"/>
        <v>1.4265112613645752</v>
      </c>
      <c r="X283" s="128">
        <v>37.425715444240403</v>
      </c>
      <c r="Y283" s="120">
        <f t="shared" si="73"/>
        <v>1.5731701112332821</v>
      </c>
      <c r="Z283" s="153">
        <v>0.38</v>
      </c>
      <c r="AA283" s="127">
        <f t="shared" si="68"/>
        <v>0.13987908640123647</v>
      </c>
      <c r="AB283" s="108">
        <v>15</v>
      </c>
      <c r="AC283" s="137">
        <f t="shared" si="74"/>
        <v>1.1760912590556813</v>
      </c>
    </row>
    <row r="284" spans="1:29" x14ac:dyDescent="0.35">
      <c r="A284" s="143">
        <v>39479</v>
      </c>
      <c r="B284" s="106" t="s">
        <v>248</v>
      </c>
      <c r="C284" s="83">
        <f t="shared" si="60"/>
        <v>5</v>
      </c>
      <c r="D284" s="106">
        <v>441790000</v>
      </c>
      <c r="E284" s="83">
        <f t="shared" si="61"/>
        <v>8.6452158813091362</v>
      </c>
      <c r="F284" s="143">
        <v>40025</v>
      </c>
      <c r="G284" s="106">
        <v>31000000</v>
      </c>
      <c r="H284" s="145">
        <f t="shared" si="62"/>
        <v>1.4958904109589042</v>
      </c>
      <c r="I284" s="145">
        <f t="shared" si="69"/>
        <v>0.17489977824826256</v>
      </c>
      <c r="J284" s="106">
        <v>12</v>
      </c>
      <c r="K284" s="106">
        <f t="shared" si="63"/>
        <v>1.1139433523068367</v>
      </c>
      <c r="L284" s="59">
        <v>2.95</v>
      </c>
      <c r="M284" s="59">
        <f t="shared" si="70"/>
        <v>0.46982201597816303</v>
      </c>
      <c r="N284" s="154">
        <f t="shared" si="64"/>
        <v>-0.92983091514067773</v>
      </c>
      <c r="O284" s="119">
        <f t="shared" si="65"/>
        <v>-1.153854187474864</v>
      </c>
      <c r="P284" s="106">
        <v>1455.046</v>
      </c>
      <c r="Q284" s="106">
        <f t="shared" si="66"/>
        <v>3.1628767233771686</v>
      </c>
      <c r="R284" s="106">
        <v>4062.5129999999999</v>
      </c>
      <c r="S284" s="106">
        <f t="shared" si="67"/>
        <v>3.6087947637270492</v>
      </c>
      <c r="T284" s="106">
        <v>92.6</v>
      </c>
      <c r="U284" s="106">
        <f t="shared" si="71"/>
        <v>1.9666109866819343</v>
      </c>
      <c r="V284" s="119">
        <v>25.7</v>
      </c>
      <c r="W284" s="119">
        <f t="shared" si="72"/>
        <v>1.4099331233312946</v>
      </c>
      <c r="X284" s="120">
        <v>39.823361151429197</v>
      </c>
      <c r="Y284" s="120">
        <f t="shared" si="73"/>
        <v>1.6001379123442065</v>
      </c>
      <c r="Z284" s="152">
        <v>-0.28999999999999998</v>
      </c>
      <c r="AA284" s="119">
        <f t="shared" si="68"/>
        <v>-0.14874165128092473</v>
      </c>
      <c r="AB284" s="106">
        <v>16</v>
      </c>
      <c r="AC284" s="137">
        <f t="shared" si="74"/>
        <v>1.2041199826559248</v>
      </c>
    </row>
    <row r="285" spans="1:29" x14ac:dyDescent="0.35">
      <c r="A285" s="146">
        <v>39504</v>
      </c>
      <c r="B285" s="108" t="s">
        <v>190</v>
      </c>
      <c r="C285" s="84">
        <f t="shared" si="60"/>
        <v>2</v>
      </c>
      <c r="D285" s="108">
        <v>983670000</v>
      </c>
      <c r="E285" s="84">
        <f t="shared" si="61"/>
        <v>8.9928494264636107</v>
      </c>
      <c r="F285" s="146">
        <v>41673</v>
      </c>
      <c r="G285" s="108">
        <v>2900000000</v>
      </c>
      <c r="H285" s="148">
        <f t="shared" si="62"/>
        <v>5.9424657534246572</v>
      </c>
      <c r="I285" s="145">
        <f t="shared" si="69"/>
        <v>0.77396668755771858</v>
      </c>
      <c r="J285" s="108">
        <v>17</v>
      </c>
      <c r="K285" s="108">
        <f t="shared" si="63"/>
        <v>1.255272505103306</v>
      </c>
      <c r="L285" s="65">
        <v>2.95</v>
      </c>
      <c r="M285" s="59">
        <f t="shared" si="70"/>
        <v>0.46982201597816303</v>
      </c>
      <c r="N285" s="155">
        <f t="shared" si="64"/>
        <v>1.9481431780983458</v>
      </c>
      <c r="O285" s="127">
        <f t="shared" si="65"/>
        <v>0.46954857143534467</v>
      </c>
      <c r="P285" s="108">
        <v>1455.046</v>
      </c>
      <c r="Q285" s="108">
        <f t="shared" si="66"/>
        <v>3.1628767233771686</v>
      </c>
      <c r="R285" s="108">
        <v>4062.5129999999999</v>
      </c>
      <c r="S285" s="108">
        <f t="shared" si="67"/>
        <v>3.6087947637270492</v>
      </c>
      <c r="T285" s="108">
        <v>92.6</v>
      </c>
      <c r="U285" s="106">
        <f t="shared" si="71"/>
        <v>1.9666109866819343</v>
      </c>
      <c r="V285" s="127">
        <v>25.7</v>
      </c>
      <c r="W285" s="119">
        <f t="shared" si="72"/>
        <v>1.4099331233312946</v>
      </c>
      <c r="X285" s="128">
        <v>39.823361151429197</v>
      </c>
      <c r="Y285" s="120">
        <f t="shared" si="73"/>
        <v>1.6001379123442065</v>
      </c>
      <c r="Z285" s="153">
        <v>0.26</v>
      </c>
      <c r="AA285" s="127">
        <f t="shared" si="68"/>
        <v>0.10037054511756291</v>
      </c>
      <c r="AB285" s="108">
        <v>16</v>
      </c>
      <c r="AC285" s="137">
        <f t="shared" si="74"/>
        <v>1.2041199826559248</v>
      </c>
    </row>
    <row r="286" spans="1:29" x14ac:dyDescent="0.35">
      <c r="A286" s="143">
        <v>39706</v>
      </c>
      <c r="B286" s="106" t="s">
        <v>186</v>
      </c>
      <c r="C286" s="83">
        <f t="shared" si="60"/>
        <v>4</v>
      </c>
      <c r="D286" s="106">
        <v>480000000</v>
      </c>
      <c r="E286" s="83">
        <f t="shared" si="61"/>
        <v>8.6812412373755876</v>
      </c>
      <c r="F286" s="143">
        <v>42124</v>
      </c>
      <c r="G286" s="106">
        <v>600000000</v>
      </c>
      <c r="H286" s="145">
        <f t="shared" si="62"/>
        <v>6.624657534246575</v>
      </c>
      <c r="I286" s="145">
        <f t="shared" si="69"/>
        <v>0.82116343206827835</v>
      </c>
      <c r="J286" s="106">
        <v>10</v>
      </c>
      <c r="K286" s="106">
        <f t="shared" si="63"/>
        <v>1.0413926851582251</v>
      </c>
      <c r="L286" s="59">
        <v>2.95</v>
      </c>
      <c r="M286" s="59">
        <f t="shared" si="70"/>
        <v>0.46982201597816303</v>
      </c>
      <c r="N286" s="154">
        <f t="shared" si="64"/>
        <v>0.25</v>
      </c>
      <c r="O286" s="119">
        <f t="shared" si="65"/>
        <v>9.691001300805642E-2</v>
      </c>
      <c r="P286" s="106">
        <v>1455.046</v>
      </c>
      <c r="Q286" s="106">
        <f t="shared" si="66"/>
        <v>3.1628767233771686</v>
      </c>
      <c r="R286" s="106">
        <v>4062.5129999999999</v>
      </c>
      <c r="S286" s="106">
        <f t="shared" si="67"/>
        <v>3.6087947637270492</v>
      </c>
      <c r="T286" s="106">
        <v>92.6</v>
      </c>
      <c r="U286" s="106">
        <f t="shared" si="71"/>
        <v>1.9666109866819343</v>
      </c>
      <c r="V286" s="119">
        <v>25.7</v>
      </c>
      <c r="W286" s="119">
        <f t="shared" si="72"/>
        <v>1.4099331233312946</v>
      </c>
      <c r="X286" s="120">
        <v>39.823361151429197</v>
      </c>
      <c r="Y286" s="120">
        <f t="shared" si="73"/>
        <v>1.6001379123442065</v>
      </c>
      <c r="Z286" s="152">
        <v>0.75</v>
      </c>
      <c r="AA286" s="119">
        <f t="shared" si="68"/>
        <v>0.24303804868629444</v>
      </c>
      <c r="AB286" s="106">
        <v>16</v>
      </c>
      <c r="AC286" s="137">
        <f t="shared" si="74"/>
        <v>1.2041199826559248</v>
      </c>
    </row>
    <row r="287" spans="1:29" x14ac:dyDescent="0.35">
      <c r="A287" s="146">
        <v>39174</v>
      </c>
      <c r="B287" s="108" t="s">
        <v>178</v>
      </c>
      <c r="C287" s="84">
        <f t="shared" si="60"/>
        <v>9</v>
      </c>
      <c r="D287" s="108">
        <v>4997640000</v>
      </c>
      <c r="E287" s="84">
        <f t="shared" si="61"/>
        <v>9.6987649689484012</v>
      </c>
      <c r="F287" s="146">
        <v>43430</v>
      </c>
      <c r="G287" s="108">
        <v>4904600000</v>
      </c>
      <c r="H287" s="148">
        <f t="shared" si="62"/>
        <v>11.66027397260274</v>
      </c>
      <c r="I287" s="145">
        <f t="shared" si="69"/>
        <v>1.066708754830517</v>
      </c>
      <c r="J287" s="108">
        <v>47</v>
      </c>
      <c r="K287" s="108">
        <f t="shared" si="63"/>
        <v>1.6812412373755872</v>
      </c>
      <c r="L287" s="65">
        <v>2.95</v>
      </c>
      <c r="M287" s="59">
        <f t="shared" si="70"/>
        <v>0.46982201597816303</v>
      </c>
      <c r="N287" s="155">
        <f t="shared" si="64"/>
        <v>-1.8616787123522327E-2</v>
      </c>
      <c r="O287" s="127">
        <f t="shared" si="65"/>
        <v>-8.1613751481204207E-3</v>
      </c>
      <c r="P287" s="108">
        <v>1455.046</v>
      </c>
      <c r="Q287" s="108">
        <f t="shared" si="66"/>
        <v>3.1628767233771686</v>
      </c>
      <c r="R287" s="108">
        <v>4062.5129999999999</v>
      </c>
      <c r="S287" s="108">
        <f t="shared" si="67"/>
        <v>3.6087947637270492</v>
      </c>
      <c r="T287" s="108">
        <v>91.4</v>
      </c>
      <c r="U287" s="106">
        <f t="shared" si="71"/>
        <v>1.9609461957338314</v>
      </c>
      <c r="V287" s="127">
        <v>26.7</v>
      </c>
      <c r="W287" s="119">
        <f t="shared" si="72"/>
        <v>1.4265112613645752</v>
      </c>
      <c r="X287" s="128">
        <v>37.425715444240403</v>
      </c>
      <c r="Y287" s="120">
        <f t="shared" si="73"/>
        <v>1.5731701112332821</v>
      </c>
      <c r="Z287" s="153">
        <v>0.88</v>
      </c>
      <c r="AA287" s="127">
        <f t="shared" si="68"/>
        <v>0.27415784926367981</v>
      </c>
      <c r="AB287" s="108">
        <v>15</v>
      </c>
      <c r="AC287" s="137">
        <f t="shared" si="74"/>
        <v>1.1760912590556813</v>
      </c>
    </row>
    <row r="288" spans="1:29" x14ac:dyDescent="0.35">
      <c r="A288" s="143">
        <v>40388</v>
      </c>
      <c r="B288" s="106" t="s">
        <v>178</v>
      </c>
      <c r="C288" s="83">
        <f t="shared" si="60"/>
        <v>9</v>
      </c>
      <c r="D288" s="106">
        <v>1400000000</v>
      </c>
      <c r="E288" s="83">
        <f t="shared" si="61"/>
        <v>9.1461280356782382</v>
      </c>
      <c r="F288" s="143">
        <v>42551</v>
      </c>
      <c r="G288" s="106">
        <v>2700000000</v>
      </c>
      <c r="H288" s="145">
        <f t="shared" si="62"/>
        <v>5.9260273972602739</v>
      </c>
      <c r="I288" s="145">
        <f t="shared" si="69"/>
        <v>0.77276365498261679</v>
      </c>
      <c r="J288" s="106">
        <v>41</v>
      </c>
      <c r="K288" s="106">
        <f t="shared" si="63"/>
        <v>1.6232492903979006</v>
      </c>
      <c r="L288" s="59">
        <v>2.95</v>
      </c>
      <c r="M288" s="59">
        <f t="shared" si="70"/>
        <v>0.46982201597816303</v>
      </c>
      <c r="N288" s="154">
        <f t="shared" si="64"/>
        <v>0.9285714285714286</v>
      </c>
      <c r="O288" s="119">
        <f t="shared" si="65"/>
        <v>0.2852357284807493</v>
      </c>
      <c r="P288" s="106">
        <v>1455.046</v>
      </c>
      <c r="Q288" s="106">
        <f t="shared" si="66"/>
        <v>3.1628767233771686</v>
      </c>
      <c r="R288" s="106">
        <v>4062.5129999999999</v>
      </c>
      <c r="S288" s="106">
        <f t="shared" si="67"/>
        <v>3.6087947637270492</v>
      </c>
      <c r="T288" s="106">
        <v>91.3</v>
      </c>
      <c r="U288" s="106">
        <f t="shared" si="71"/>
        <v>1.9604707775342989</v>
      </c>
      <c r="V288" s="119">
        <v>23.5</v>
      </c>
      <c r="W288" s="119">
        <f t="shared" si="72"/>
        <v>1.3710678622717363</v>
      </c>
      <c r="X288" s="120">
        <v>43.1672842383418</v>
      </c>
      <c r="Y288" s="120">
        <f t="shared" si="73"/>
        <v>1.6351547269652249</v>
      </c>
      <c r="Z288" s="152">
        <v>0.91</v>
      </c>
      <c r="AA288" s="119">
        <f t="shared" si="68"/>
        <v>0.28103336724772759</v>
      </c>
      <c r="AB288" s="106">
        <v>18</v>
      </c>
      <c r="AC288" s="137">
        <f t="shared" si="74"/>
        <v>1.255272505103306</v>
      </c>
    </row>
    <row r="289" spans="1:29" x14ac:dyDescent="0.35">
      <c r="A289" s="146">
        <v>41404</v>
      </c>
      <c r="B289" s="108" t="s">
        <v>178</v>
      </c>
      <c r="C289" s="84">
        <f t="shared" si="60"/>
        <v>9</v>
      </c>
      <c r="D289" s="108">
        <v>190440000</v>
      </c>
      <c r="E289" s="84">
        <f t="shared" si="61"/>
        <v>8.2797581728024738</v>
      </c>
      <c r="F289" s="146">
        <v>41865</v>
      </c>
      <c r="G289" s="108">
        <v>117500000</v>
      </c>
      <c r="H289" s="148">
        <f t="shared" si="62"/>
        <v>1.263013698630137</v>
      </c>
      <c r="I289" s="145">
        <f t="shared" si="69"/>
        <v>0.10140806093317345</v>
      </c>
      <c r="J289" s="108">
        <v>30</v>
      </c>
      <c r="K289" s="108">
        <f t="shared" si="63"/>
        <v>1.4913616938342726</v>
      </c>
      <c r="L289" s="65">
        <v>2.95</v>
      </c>
      <c r="M289" s="59">
        <f t="shared" si="70"/>
        <v>0.46982201597816303</v>
      </c>
      <c r="N289" s="155">
        <f t="shared" si="64"/>
        <v>-0.38300777147658061</v>
      </c>
      <c r="O289" s="127">
        <f t="shared" si="65"/>
        <v>-0.20972030619471799</v>
      </c>
      <c r="P289" s="108">
        <v>1455.046</v>
      </c>
      <c r="Q289" s="108">
        <f t="shared" si="66"/>
        <v>3.1628767233771686</v>
      </c>
      <c r="R289" s="108">
        <v>4062.5129999999999</v>
      </c>
      <c r="S289" s="108">
        <f t="shared" si="67"/>
        <v>3.6087947637270492</v>
      </c>
      <c r="T289" s="108">
        <v>90.5</v>
      </c>
      <c r="U289" s="106">
        <f t="shared" si="71"/>
        <v>1.9566485792052033</v>
      </c>
      <c r="V289" s="127">
        <v>25.7</v>
      </c>
      <c r="W289" s="119">
        <f t="shared" si="72"/>
        <v>1.4099331233312946</v>
      </c>
      <c r="X289" s="128">
        <v>39.010023979360902</v>
      </c>
      <c r="Y289" s="120">
        <f t="shared" si="73"/>
        <v>1.5911762172715689</v>
      </c>
      <c r="Z289" s="153">
        <v>0.2</v>
      </c>
      <c r="AA289" s="127">
        <f t="shared" si="68"/>
        <v>7.9181246047624818E-2</v>
      </c>
      <c r="AB289" s="108">
        <v>21</v>
      </c>
      <c r="AC289" s="137">
        <f t="shared" si="74"/>
        <v>1.3222192947339193</v>
      </c>
    </row>
    <row r="290" spans="1:29" x14ac:dyDescent="0.35">
      <c r="A290" s="143">
        <v>41852</v>
      </c>
      <c r="B290" s="106" t="s">
        <v>245</v>
      </c>
      <c r="C290" s="83">
        <f t="shared" si="60"/>
        <v>6</v>
      </c>
      <c r="D290" s="106">
        <v>1500000000</v>
      </c>
      <c r="E290" s="83">
        <f t="shared" si="61"/>
        <v>9.1760912590556813</v>
      </c>
      <c r="F290" s="143">
        <v>43251</v>
      </c>
      <c r="G290" s="106">
        <v>2499110000</v>
      </c>
      <c r="H290" s="145">
        <f t="shared" si="62"/>
        <v>3.8328767123287673</v>
      </c>
      <c r="I290" s="145">
        <f t="shared" si="69"/>
        <v>0.58352485003535293</v>
      </c>
      <c r="J290" s="106">
        <v>50</v>
      </c>
      <c r="K290" s="106">
        <f t="shared" si="63"/>
        <v>1.7075701760979363</v>
      </c>
      <c r="L290" s="59">
        <v>2.95</v>
      </c>
      <c r="M290" s="59">
        <f t="shared" si="70"/>
        <v>0.46982201597816303</v>
      </c>
      <c r="N290" s="154">
        <f t="shared" si="64"/>
        <v>0.6660733333333333</v>
      </c>
      <c r="O290" s="119">
        <f t="shared" si="65"/>
        <v>0.22169411325389282</v>
      </c>
      <c r="P290" s="106">
        <v>1455.046</v>
      </c>
      <c r="Q290" s="106">
        <f t="shared" si="66"/>
        <v>3.1628767233771686</v>
      </c>
      <c r="R290" s="106">
        <v>4062.5129999999999</v>
      </c>
      <c r="S290" s="106">
        <f t="shared" si="67"/>
        <v>3.6087947637270492</v>
      </c>
      <c r="T290" s="106">
        <v>89.2</v>
      </c>
      <c r="U290" s="106">
        <f t="shared" si="71"/>
        <v>1.9503648543761232</v>
      </c>
      <c r="V290" s="119">
        <v>26</v>
      </c>
      <c r="W290" s="119">
        <f t="shared" si="72"/>
        <v>1.414973347970818</v>
      </c>
      <c r="X290" s="120">
        <v>38.344872802923099</v>
      </c>
      <c r="Y290" s="120">
        <f t="shared" si="73"/>
        <v>1.5837073014724459</v>
      </c>
      <c r="Z290" s="152">
        <v>0.41</v>
      </c>
      <c r="AA290" s="119">
        <f t="shared" si="68"/>
        <v>0.14921911265537988</v>
      </c>
      <c r="AB290" s="106">
        <v>22</v>
      </c>
      <c r="AC290" s="137">
        <f t="shared" si="74"/>
        <v>1.3424226808222062</v>
      </c>
    </row>
    <row r="291" spans="1:29" x14ac:dyDescent="0.35">
      <c r="A291" s="146">
        <v>41183</v>
      </c>
      <c r="B291" s="108" t="s">
        <v>190</v>
      </c>
      <c r="C291" s="84">
        <f t="shared" si="60"/>
        <v>2</v>
      </c>
      <c r="D291" s="108">
        <v>1934200000</v>
      </c>
      <c r="E291" s="84">
        <f t="shared" si="61"/>
        <v>9.2865013789535684</v>
      </c>
      <c r="F291" s="146">
        <v>42245</v>
      </c>
      <c r="G291" s="108">
        <v>8090040000</v>
      </c>
      <c r="H291" s="148">
        <f t="shared" si="62"/>
        <v>2.9095890410958902</v>
      </c>
      <c r="I291" s="145">
        <f t="shared" si="69"/>
        <v>0.46383165228897555</v>
      </c>
      <c r="J291" s="108">
        <v>34</v>
      </c>
      <c r="K291" s="108">
        <f t="shared" si="63"/>
        <v>1.5440680443502757</v>
      </c>
      <c r="L291" s="65">
        <v>2.95</v>
      </c>
      <c r="M291" s="59">
        <f t="shared" si="70"/>
        <v>0.46982201597816303</v>
      </c>
      <c r="N291" s="155">
        <f t="shared" si="64"/>
        <v>3.1826284768896702</v>
      </c>
      <c r="O291" s="127">
        <f t="shared" si="65"/>
        <v>0.62144928996850934</v>
      </c>
      <c r="P291" s="108">
        <v>1455.046</v>
      </c>
      <c r="Q291" s="108">
        <f t="shared" si="66"/>
        <v>3.1628767233771686</v>
      </c>
      <c r="R291" s="108">
        <v>4062.5129999999999</v>
      </c>
      <c r="S291" s="108">
        <f t="shared" si="67"/>
        <v>3.6087947637270492</v>
      </c>
      <c r="T291" s="108">
        <v>91.1</v>
      </c>
      <c r="U291" s="106">
        <f t="shared" si="71"/>
        <v>1.9595183769729982</v>
      </c>
      <c r="V291" s="127">
        <v>24.1</v>
      </c>
      <c r="W291" s="119">
        <f t="shared" si="72"/>
        <v>1.3820170425748683</v>
      </c>
      <c r="X291" s="128">
        <v>40.229046020662899</v>
      </c>
      <c r="Y291" s="120">
        <f t="shared" si="73"/>
        <v>1.6045397339663818</v>
      </c>
      <c r="Z291" s="153">
        <v>0.38</v>
      </c>
      <c r="AA291" s="127">
        <f t="shared" si="68"/>
        <v>0.13987908640123647</v>
      </c>
      <c r="AB291" s="108">
        <v>20</v>
      </c>
      <c r="AC291" s="137">
        <f t="shared" si="74"/>
        <v>1.3010299956639813</v>
      </c>
    </row>
    <row r="292" spans="1:29" x14ac:dyDescent="0.35">
      <c r="A292" s="143">
        <v>43193</v>
      </c>
      <c r="B292" s="106" t="s">
        <v>190</v>
      </c>
      <c r="C292" s="83">
        <f t="shared" si="60"/>
        <v>2</v>
      </c>
      <c r="D292" s="106">
        <v>300000000</v>
      </c>
      <c r="E292" s="83">
        <f t="shared" si="61"/>
        <v>8.4771212547196626</v>
      </c>
      <c r="F292" s="143">
        <v>43383</v>
      </c>
      <c r="G292" s="106">
        <v>372.6</v>
      </c>
      <c r="H292" s="145">
        <f t="shared" si="62"/>
        <v>0.52054794520547942</v>
      </c>
      <c r="I292" s="145">
        <f t="shared" si="69"/>
        <v>-0.28353926350364578</v>
      </c>
      <c r="J292" s="106">
        <v>1</v>
      </c>
      <c r="K292" s="106">
        <f t="shared" si="63"/>
        <v>0.3010299956639812</v>
      </c>
      <c r="L292" s="59">
        <v>2.95</v>
      </c>
      <c r="M292" s="59">
        <f t="shared" si="70"/>
        <v>0.46982201597816303</v>
      </c>
      <c r="N292" s="154">
        <f t="shared" si="64"/>
        <v>-0.99999875800000004</v>
      </c>
      <c r="O292" s="119">
        <f t="shared" si="65"/>
        <v>-5.9058784041745138</v>
      </c>
      <c r="P292" s="106">
        <v>1455.046</v>
      </c>
      <c r="Q292" s="106">
        <f t="shared" si="66"/>
        <v>3.1628767233771686</v>
      </c>
      <c r="R292" s="106">
        <v>4062.5129999999999</v>
      </c>
      <c r="S292" s="106">
        <f t="shared" si="67"/>
        <v>3.6087947637270492</v>
      </c>
      <c r="T292" s="106">
        <v>82.7</v>
      </c>
      <c r="U292" s="106">
        <f t="shared" si="71"/>
        <v>1.9175055095525466</v>
      </c>
      <c r="V292" s="156" t="e">
        <f>#REF!</f>
        <v>#REF!</v>
      </c>
      <c r="W292" s="119" t="e">
        <f t="shared" si="72"/>
        <v>#REF!</v>
      </c>
      <c r="X292" s="120">
        <v>37.950861553017603</v>
      </c>
      <c r="Y292" s="120">
        <f t="shared" si="73"/>
        <v>1.5792216396115846</v>
      </c>
      <c r="Z292" s="152">
        <v>7.0000000000000007E-2</v>
      </c>
      <c r="AA292" s="119">
        <f t="shared" si="68"/>
        <v>2.9383777685209667E-2</v>
      </c>
      <c r="AB292" s="106">
        <v>26</v>
      </c>
      <c r="AC292" s="137">
        <f t="shared" si="74"/>
        <v>1.414973347970818</v>
      </c>
    </row>
    <row r="293" spans="1:29" x14ac:dyDescent="0.35">
      <c r="A293" s="146">
        <v>39071</v>
      </c>
      <c r="B293" s="108" t="s">
        <v>326</v>
      </c>
      <c r="C293" s="84">
        <f t="shared" si="60"/>
        <v>8</v>
      </c>
      <c r="D293" s="108">
        <v>2301620000</v>
      </c>
      <c r="E293" s="84">
        <f t="shared" si="61"/>
        <v>9.3620336227143426</v>
      </c>
      <c r="F293" s="146">
        <v>39856</v>
      </c>
      <c r="G293" s="108">
        <v>0</v>
      </c>
      <c r="H293" s="148">
        <f t="shared" si="62"/>
        <v>2.1506849315068495</v>
      </c>
      <c r="I293" s="145">
        <f t="shared" si="69"/>
        <v>0.33257679228877784</v>
      </c>
      <c r="J293" s="108">
        <v>2</v>
      </c>
      <c r="K293" s="108">
        <f t="shared" si="63"/>
        <v>0.47712125471966244</v>
      </c>
      <c r="L293" s="65">
        <v>2.95</v>
      </c>
      <c r="M293" s="59">
        <f t="shared" si="70"/>
        <v>0.46982201597816303</v>
      </c>
      <c r="N293" s="155">
        <f t="shared" si="64"/>
        <v>-1</v>
      </c>
      <c r="O293" s="127">
        <f t="shared" si="65"/>
        <v>-1</v>
      </c>
      <c r="P293" s="108">
        <v>1455.046</v>
      </c>
      <c r="Q293" s="108">
        <f t="shared" si="66"/>
        <v>3.1628767233771686</v>
      </c>
      <c r="R293" s="108">
        <v>4062.5129999999999</v>
      </c>
      <c r="S293" s="108">
        <f t="shared" si="67"/>
        <v>3.6087947637270492</v>
      </c>
      <c r="T293" s="108">
        <v>93.2</v>
      </c>
      <c r="U293" s="106">
        <f t="shared" si="71"/>
        <v>1.9694159123539814</v>
      </c>
      <c r="V293" s="127">
        <v>26.7</v>
      </c>
      <c r="W293" s="119">
        <f t="shared" si="72"/>
        <v>1.4265112613645752</v>
      </c>
      <c r="X293" s="128">
        <v>36.669158714517401</v>
      </c>
      <c r="Y293" s="120">
        <f t="shared" si="73"/>
        <v>1.5643009462345601</v>
      </c>
      <c r="Z293" s="153">
        <v>-0.41</v>
      </c>
      <c r="AA293" s="127">
        <f t="shared" si="68"/>
        <v>-0.22914798835785574</v>
      </c>
      <c r="AB293" s="108">
        <v>14</v>
      </c>
      <c r="AC293" s="137">
        <f t="shared" si="74"/>
        <v>1.146128035678238</v>
      </c>
    </row>
    <row r="294" spans="1:29" x14ac:dyDescent="0.35">
      <c r="A294" s="143">
        <v>33883</v>
      </c>
      <c r="B294" s="106" t="s">
        <v>178</v>
      </c>
      <c r="C294" s="83">
        <f t="shared" si="60"/>
        <v>9</v>
      </c>
      <c r="D294" s="106">
        <v>100000000</v>
      </c>
      <c r="E294" s="83">
        <f t="shared" si="61"/>
        <v>8</v>
      </c>
      <c r="F294" s="143">
        <v>34655</v>
      </c>
      <c r="G294" s="106">
        <v>97890000</v>
      </c>
      <c r="H294" s="145">
        <f t="shared" si="62"/>
        <v>2.1150684931506851</v>
      </c>
      <c r="I294" s="145">
        <f t="shared" si="69"/>
        <v>0.32532443587926146</v>
      </c>
      <c r="J294" s="106">
        <v>37</v>
      </c>
      <c r="K294" s="106">
        <f t="shared" si="63"/>
        <v>1.5797835966168101</v>
      </c>
      <c r="L294" s="59">
        <v>2.95</v>
      </c>
      <c r="M294" s="59">
        <f t="shared" si="70"/>
        <v>0.46982201597816303</v>
      </c>
      <c r="N294" s="154">
        <f t="shared" si="64"/>
        <v>-2.1100000000000008E-2</v>
      </c>
      <c r="O294" s="119">
        <f t="shared" si="65"/>
        <v>-9.2616714924626583E-3</v>
      </c>
      <c r="P294" s="106">
        <v>1246.953</v>
      </c>
      <c r="Q294" s="106">
        <f t="shared" si="66"/>
        <v>3.0958500844125241</v>
      </c>
      <c r="R294" s="106">
        <v>3219.7179999999998</v>
      </c>
      <c r="S294" s="106">
        <f t="shared" si="67"/>
        <v>3.5078178355445662</v>
      </c>
      <c r="T294" s="106">
        <v>85</v>
      </c>
      <c r="U294" s="106">
        <f t="shared" si="71"/>
        <v>1.9294189257142926</v>
      </c>
      <c r="V294" s="119">
        <v>25.7</v>
      </c>
      <c r="W294" s="119">
        <f t="shared" si="72"/>
        <v>1.4099331233312946</v>
      </c>
      <c r="X294" s="120">
        <v>39.367752568237798</v>
      </c>
      <c r="Y294" s="120">
        <f t="shared" si="73"/>
        <v>1.5951406224338005</v>
      </c>
      <c r="Z294" s="152">
        <v>0.14000000000000001</v>
      </c>
      <c r="AA294" s="119">
        <f t="shared" si="68"/>
        <v>5.6904851336472641E-2</v>
      </c>
      <c r="AB294" s="106">
        <v>5</v>
      </c>
      <c r="AC294" s="137">
        <f t="shared" si="74"/>
        <v>0.69897000433601886</v>
      </c>
    </row>
    <row r="295" spans="1:29" x14ac:dyDescent="0.35">
      <c r="A295" s="146">
        <v>35064</v>
      </c>
      <c r="B295" s="108" t="s">
        <v>235</v>
      </c>
      <c r="C295" s="84">
        <f t="shared" si="60"/>
        <v>1</v>
      </c>
      <c r="D295" s="108">
        <v>750000000</v>
      </c>
      <c r="E295" s="84">
        <f t="shared" si="61"/>
        <v>8.8750612633917001</v>
      </c>
      <c r="F295" s="146">
        <v>36199</v>
      </c>
      <c r="G295" s="108">
        <v>385000000</v>
      </c>
      <c r="H295" s="148">
        <f t="shared" si="62"/>
        <v>3.1095890410958904</v>
      </c>
      <c r="I295" s="145">
        <f t="shared" si="69"/>
        <v>0.49270299707266679</v>
      </c>
      <c r="J295" s="108">
        <v>0</v>
      </c>
      <c r="K295" s="108">
        <f t="shared" si="63"/>
        <v>0</v>
      </c>
      <c r="L295" s="65">
        <v>2.95</v>
      </c>
      <c r="M295" s="59">
        <f t="shared" si="70"/>
        <v>0.46982201597816303</v>
      </c>
      <c r="N295" s="155">
        <f t="shared" si="64"/>
        <v>-0.48666666666666669</v>
      </c>
      <c r="O295" s="127">
        <f t="shared" si="65"/>
        <v>-0.2896005338831994</v>
      </c>
      <c r="P295" s="108">
        <v>1246.953</v>
      </c>
      <c r="Q295" s="108">
        <f t="shared" si="66"/>
        <v>3.0958500844125241</v>
      </c>
      <c r="R295" s="108">
        <v>3219.7179999999998</v>
      </c>
      <c r="S295" s="108">
        <f t="shared" si="67"/>
        <v>3.5078178355445662</v>
      </c>
      <c r="T295" s="108">
        <v>85</v>
      </c>
      <c r="U295" s="106">
        <f t="shared" si="71"/>
        <v>1.9294189257142926</v>
      </c>
      <c r="V295" s="127">
        <v>26.5</v>
      </c>
      <c r="W295" s="119">
        <f t="shared" si="72"/>
        <v>1.4232458739368079</v>
      </c>
      <c r="X295" s="128">
        <v>37.808596853116498</v>
      </c>
      <c r="Y295" s="120">
        <f t="shared" si="73"/>
        <v>1.577590560190987</v>
      </c>
      <c r="Z295" s="153">
        <v>1.02</v>
      </c>
      <c r="AA295" s="127">
        <f t="shared" si="68"/>
        <v>0.30535136944662378</v>
      </c>
      <c r="AB295" s="108">
        <v>8</v>
      </c>
      <c r="AC295" s="137">
        <f t="shared" si="74"/>
        <v>0.90308998699194354</v>
      </c>
    </row>
    <row r="296" spans="1:29" x14ac:dyDescent="0.35">
      <c r="A296" s="143">
        <v>36396</v>
      </c>
      <c r="B296" s="106" t="s">
        <v>235</v>
      </c>
      <c r="C296" s="83">
        <f t="shared" si="60"/>
        <v>1</v>
      </c>
      <c r="D296" s="106">
        <v>250000000</v>
      </c>
      <c r="E296" s="83">
        <f t="shared" si="61"/>
        <v>8.3979400086720375</v>
      </c>
      <c r="F296" s="143">
        <v>37490</v>
      </c>
      <c r="G296" s="106">
        <v>500000000</v>
      </c>
      <c r="H296" s="145">
        <f t="shared" si="62"/>
        <v>2.9972602739726026</v>
      </c>
      <c r="I296" s="145">
        <f t="shared" si="69"/>
        <v>0.47672445754093723</v>
      </c>
      <c r="J296" s="106">
        <v>68</v>
      </c>
      <c r="K296" s="106">
        <f t="shared" si="63"/>
        <v>1.8388490907372552</v>
      </c>
      <c r="L296" s="59">
        <v>2.95</v>
      </c>
      <c r="M296" s="59">
        <f t="shared" si="70"/>
        <v>0.46982201597816303</v>
      </c>
      <c r="N296" s="154">
        <f t="shared" si="64"/>
        <v>1</v>
      </c>
      <c r="O296" s="119">
        <f t="shared" si="65"/>
        <v>0.3010299956639812</v>
      </c>
      <c r="P296" s="106">
        <v>1246.953</v>
      </c>
      <c r="Q296" s="106">
        <f t="shared" si="66"/>
        <v>3.0958500844125241</v>
      </c>
      <c r="R296" s="106">
        <v>3219.7179999999998</v>
      </c>
      <c r="S296" s="106">
        <f t="shared" si="67"/>
        <v>3.5078178355445662</v>
      </c>
      <c r="T296" s="106">
        <v>85</v>
      </c>
      <c r="U296" s="106">
        <f t="shared" si="71"/>
        <v>1.9294189257142926</v>
      </c>
      <c r="V296" s="119">
        <v>27.8</v>
      </c>
      <c r="W296" s="119">
        <f t="shared" si="72"/>
        <v>1.4440447959180762</v>
      </c>
      <c r="X296" s="120">
        <v>34.656907836978597</v>
      </c>
      <c r="Y296" s="120">
        <f t="shared" si="73"/>
        <v>1.5397898114291337</v>
      </c>
      <c r="Z296" s="152">
        <v>-0.28999999999999998</v>
      </c>
      <c r="AA296" s="119">
        <f t="shared" si="68"/>
        <v>-0.14874165128092473</v>
      </c>
      <c r="AB296" s="106">
        <v>12</v>
      </c>
      <c r="AC296" s="137">
        <f t="shared" si="74"/>
        <v>1.0791812460476249</v>
      </c>
    </row>
    <row r="297" spans="1:29" x14ac:dyDescent="0.35">
      <c r="A297" s="146">
        <v>36404</v>
      </c>
      <c r="B297" s="108" t="s">
        <v>190</v>
      </c>
      <c r="C297" s="84">
        <f t="shared" si="60"/>
        <v>2</v>
      </c>
      <c r="D297" s="108">
        <v>161890000</v>
      </c>
      <c r="E297" s="84">
        <f t="shared" si="61"/>
        <v>8.2092200230649937</v>
      </c>
      <c r="F297" s="146">
        <v>38265</v>
      </c>
      <c r="G297" s="108">
        <v>529350000</v>
      </c>
      <c r="H297" s="148">
        <f t="shared" si="62"/>
        <v>5.0986301369863014</v>
      </c>
      <c r="I297" s="145">
        <f t="shared" si="69"/>
        <v>0.70745350867429235</v>
      </c>
      <c r="J297" s="108">
        <v>22</v>
      </c>
      <c r="K297" s="108">
        <f t="shared" si="63"/>
        <v>1.3617278360175928</v>
      </c>
      <c r="L297" s="65">
        <v>2.95</v>
      </c>
      <c r="M297" s="59">
        <f t="shared" si="70"/>
        <v>0.46982201597816303</v>
      </c>
      <c r="N297" s="155">
        <f t="shared" si="64"/>
        <v>2.2698128358762122</v>
      </c>
      <c r="O297" s="127">
        <f t="shared" si="65"/>
        <v>0.51452289435065757</v>
      </c>
      <c r="P297" s="108">
        <v>1246.953</v>
      </c>
      <c r="Q297" s="108">
        <f t="shared" si="66"/>
        <v>3.0958500844125241</v>
      </c>
      <c r="R297" s="108">
        <v>3219.7179999999998</v>
      </c>
      <c r="S297" s="108">
        <f t="shared" si="67"/>
        <v>3.5078178355445662</v>
      </c>
      <c r="T297" s="108">
        <v>85</v>
      </c>
      <c r="U297" s="106">
        <f t="shared" si="71"/>
        <v>1.9294189257142926</v>
      </c>
      <c r="V297" s="127">
        <v>27.8</v>
      </c>
      <c r="W297" s="119">
        <f t="shared" si="72"/>
        <v>1.4440447959180762</v>
      </c>
      <c r="X297" s="128">
        <v>34.656907836978597</v>
      </c>
      <c r="Y297" s="120">
        <f t="shared" si="73"/>
        <v>1.5397898114291337</v>
      </c>
      <c r="Z297" s="153">
        <v>-0.15</v>
      </c>
      <c r="AA297" s="127">
        <f t="shared" si="68"/>
        <v>-7.0581074285707285E-2</v>
      </c>
      <c r="AB297" s="108">
        <v>12</v>
      </c>
      <c r="AC297" s="137">
        <f t="shared" si="74"/>
        <v>1.0791812460476249</v>
      </c>
    </row>
    <row r="298" spans="1:29" x14ac:dyDescent="0.35">
      <c r="A298" s="143">
        <v>36525</v>
      </c>
      <c r="B298" s="106" t="s">
        <v>248</v>
      </c>
      <c r="C298" s="83">
        <f t="shared" si="60"/>
        <v>5</v>
      </c>
      <c r="D298" s="106">
        <v>402000000</v>
      </c>
      <c r="E298" s="83">
        <f t="shared" si="61"/>
        <v>8.6042260530844707</v>
      </c>
      <c r="F298" s="143">
        <v>38629</v>
      </c>
      <c r="G298" s="106">
        <v>345000000</v>
      </c>
      <c r="H298" s="145">
        <f t="shared" si="62"/>
        <v>5.7643835616438359</v>
      </c>
      <c r="I298" s="145">
        <f t="shared" si="69"/>
        <v>0.76075287102522682</v>
      </c>
      <c r="J298" s="106">
        <v>2</v>
      </c>
      <c r="K298" s="106">
        <f t="shared" si="63"/>
        <v>0.47712125471966244</v>
      </c>
      <c r="L298" s="59">
        <v>2.95</v>
      </c>
      <c r="M298" s="59">
        <f t="shared" si="70"/>
        <v>0.46982201597816303</v>
      </c>
      <c r="N298" s="154">
        <f t="shared" si="64"/>
        <v>-0.14179104477611937</v>
      </c>
      <c r="O298" s="119">
        <f t="shared" si="65"/>
        <v>-6.6406958011195921E-2</v>
      </c>
      <c r="P298" s="106">
        <v>1246.953</v>
      </c>
      <c r="Q298" s="106">
        <f t="shared" si="66"/>
        <v>3.0958500844125241</v>
      </c>
      <c r="R298" s="106">
        <v>3219.7179999999998</v>
      </c>
      <c r="S298" s="106">
        <f t="shared" si="67"/>
        <v>3.5078178355445662</v>
      </c>
      <c r="T298" s="106">
        <v>85</v>
      </c>
      <c r="U298" s="106">
        <f t="shared" si="71"/>
        <v>1.9294189257142926</v>
      </c>
      <c r="V298" s="119">
        <v>27.8</v>
      </c>
      <c r="W298" s="119">
        <f t="shared" si="72"/>
        <v>1.4440447959180762</v>
      </c>
      <c r="X298" s="120">
        <v>34.656907836978597</v>
      </c>
      <c r="Y298" s="120">
        <f t="shared" si="73"/>
        <v>1.5397898114291337</v>
      </c>
      <c r="Z298" s="152">
        <v>-0.17</v>
      </c>
      <c r="AA298" s="119">
        <f t="shared" si="68"/>
        <v>-8.092190762392612E-2</v>
      </c>
      <c r="AB298" s="106">
        <v>12</v>
      </c>
      <c r="AC298" s="137">
        <f t="shared" si="74"/>
        <v>1.0791812460476249</v>
      </c>
    </row>
    <row r="299" spans="1:29" x14ac:dyDescent="0.35">
      <c r="A299" s="146">
        <v>36829</v>
      </c>
      <c r="B299" s="108" t="s">
        <v>248</v>
      </c>
      <c r="C299" s="84">
        <f t="shared" si="60"/>
        <v>5</v>
      </c>
      <c r="D299" s="108">
        <v>67500000</v>
      </c>
      <c r="E299" s="84">
        <f t="shared" si="61"/>
        <v>7.8293037728310253</v>
      </c>
      <c r="F299" s="146">
        <v>39265</v>
      </c>
      <c r="G299" s="108">
        <v>92000000</v>
      </c>
      <c r="H299" s="148">
        <f t="shared" si="62"/>
        <v>6.6739726027397257</v>
      </c>
      <c r="I299" s="145">
        <f t="shared" si="69"/>
        <v>0.82438441950436303</v>
      </c>
      <c r="J299" s="108">
        <v>11</v>
      </c>
      <c r="K299" s="108">
        <f t="shared" si="63"/>
        <v>1.0791812460476249</v>
      </c>
      <c r="L299" s="65">
        <v>2.95</v>
      </c>
      <c r="M299" s="59">
        <f t="shared" si="70"/>
        <v>0.46982201597816303</v>
      </c>
      <c r="N299" s="155">
        <f t="shared" si="64"/>
        <v>0.36296296296296293</v>
      </c>
      <c r="O299" s="127">
        <f t="shared" si="65"/>
        <v>0.13448405451453033</v>
      </c>
      <c r="P299" s="108">
        <v>1246.953</v>
      </c>
      <c r="Q299" s="108">
        <f t="shared" si="66"/>
        <v>3.0958500844125241</v>
      </c>
      <c r="R299" s="108">
        <v>3219.7179999999998</v>
      </c>
      <c r="S299" s="108">
        <f t="shared" si="67"/>
        <v>3.5078178355445662</v>
      </c>
      <c r="T299" s="108">
        <v>85</v>
      </c>
      <c r="U299" s="106">
        <f t="shared" si="71"/>
        <v>1.9294189257142926</v>
      </c>
      <c r="V299" s="127">
        <v>28.2</v>
      </c>
      <c r="W299" s="119">
        <f t="shared" si="72"/>
        <v>1.4502491083193612</v>
      </c>
      <c r="X299" s="128">
        <v>34.298950279384798</v>
      </c>
      <c r="Y299" s="120">
        <f t="shared" si="73"/>
        <v>1.5352808286478177</v>
      </c>
      <c r="Z299" s="153">
        <v>0.09</v>
      </c>
      <c r="AA299" s="127">
        <f t="shared" si="68"/>
        <v>3.7426497940623665E-2</v>
      </c>
      <c r="AB299" s="108">
        <v>13</v>
      </c>
      <c r="AC299" s="137">
        <f t="shared" si="74"/>
        <v>1.1139433523068367</v>
      </c>
    </row>
    <row r="300" spans="1:29" x14ac:dyDescent="0.35">
      <c r="A300" s="143">
        <v>37165</v>
      </c>
      <c r="B300" s="106" t="s">
        <v>190</v>
      </c>
      <c r="C300" s="83">
        <f t="shared" si="60"/>
        <v>2</v>
      </c>
      <c r="D300" s="106">
        <v>408000000</v>
      </c>
      <c r="E300" s="83">
        <f t="shared" si="61"/>
        <v>8.6106601630898805</v>
      </c>
      <c r="F300" s="143">
        <v>39316</v>
      </c>
      <c r="G300" s="106">
        <v>794450000</v>
      </c>
      <c r="H300" s="145">
        <f t="shared" si="62"/>
        <v>5.8931506849315065</v>
      </c>
      <c r="I300" s="145">
        <f t="shared" si="69"/>
        <v>0.77034754593098786</v>
      </c>
      <c r="J300" s="106">
        <v>0</v>
      </c>
      <c r="K300" s="106">
        <f t="shared" si="63"/>
        <v>0</v>
      </c>
      <c r="L300" s="59">
        <v>2.95</v>
      </c>
      <c r="M300" s="59">
        <f t="shared" si="70"/>
        <v>0.46982201597816303</v>
      </c>
      <c r="N300" s="154">
        <f t="shared" si="64"/>
        <v>0.94718137254901968</v>
      </c>
      <c r="O300" s="119">
        <f t="shared" si="65"/>
        <v>0.28940640628560588</v>
      </c>
      <c r="P300" s="106">
        <v>1246.953</v>
      </c>
      <c r="Q300" s="106">
        <f t="shared" si="66"/>
        <v>3.0958500844125241</v>
      </c>
      <c r="R300" s="106">
        <v>3219.7179999999998</v>
      </c>
      <c r="S300" s="106">
        <f t="shared" si="67"/>
        <v>3.5078178355445662</v>
      </c>
      <c r="T300" s="106">
        <v>85</v>
      </c>
      <c r="U300" s="106">
        <f t="shared" si="71"/>
        <v>1.9294189257142926</v>
      </c>
      <c r="V300" s="119">
        <v>27.2</v>
      </c>
      <c r="W300" s="119">
        <f t="shared" si="72"/>
        <v>1.4345689040341987</v>
      </c>
      <c r="X300" s="120">
        <v>35.608384832026097</v>
      </c>
      <c r="Y300" s="120">
        <f t="shared" si="73"/>
        <v>1.5515522748692276</v>
      </c>
      <c r="Z300" s="152">
        <v>0.41</v>
      </c>
      <c r="AA300" s="119">
        <f t="shared" si="68"/>
        <v>0.14921911265537988</v>
      </c>
      <c r="AB300" s="106">
        <v>14</v>
      </c>
      <c r="AC300" s="137">
        <f t="shared" si="74"/>
        <v>1.146128035678238</v>
      </c>
    </row>
    <row r="301" spans="1:29" x14ac:dyDescent="0.35">
      <c r="A301" s="146">
        <v>37015</v>
      </c>
      <c r="B301" s="108" t="s">
        <v>248</v>
      </c>
      <c r="C301" s="84">
        <f t="shared" si="60"/>
        <v>5</v>
      </c>
      <c r="D301" s="108">
        <v>190000000</v>
      </c>
      <c r="E301" s="84">
        <f t="shared" si="61"/>
        <v>8.2787536009528289</v>
      </c>
      <c r="F301" s="146">
        <v>39797</v>
      </c>
      <c r="G301" s="108">
        <v>0</v>
      </c>
      <c r="H301" s="148">
        <f t="shared" si="62"/>
        <v>7.6219178082191785</v>
      </c>
      <c r="I301" s="145">
        <f t="shared" si="69"/>
        <v>0.88206426119955295</v>
      </c>
      <c r="J301" s="108">
        <v>15</v>
      </c>
      <c r="K301" s="108">
        <f t="shared" si="63"/>
        <v>1.2041199826559248</v>
      </c>
      <c r="L301" s="65">
        <v>2.95</v>
      </c>
      <c r="M301" s="59">
        <f t="shared" si="70"/>
        <v>0.46982201597816303</v>
      </c>
      <c r="N301" s="155">
        <f t="shared" si="64"/>
        <v>-1</v>
      </c>
      <c r="O301" s="127">
        <f t="shared" si="65"/>
        <v>-1</v>
      </c>
      <c r="P301" s="108">
        <v>1246.953</v>
      </c>
      <c r="Q301" s="108">
        <f t="shared" si="66"/>
        <v>3.0958500844125241</v>
      </c>
      <c r="R301" s="108">
        <v>3219.7179999999998</v>
      </c>
      <c r="S301" s="108">
        <f t="shared" si="67"/>
        <v>3.5078178355445662</v>
      </c>
      <c r="T301" s="108">
        <v>85</v>
      </c>
      <c r="U301" s="106">
        <f t="shared" si="71"/>
        <v>1.9294189257142926</v>
      </c>
      <c r="V301" s="127">
        <v>27.2</v>
      </c>
      <c r="W301" s="119">
        <f t="shared" si="72"/>
        <v>1.4345689040341987</v>
      </c>
      <c r="X301" s="128">
        <v>35.608384832026097</v>
      </c>
      <c r="Y301" s="120">
        <f t="shared" si="73"/>
        <v>1.5515522748692276</v>
      </c>
      <c r="Z301" s="153">
        <v>-0.31</v>
      </c>
      <c r="AA301" s="127">
        <f t="shared" si="68"/>
        <v>-0.16115090926274472</v>
      </c>
      <c r="AB301" s="108">
        <v>14</v>
      </c>
      <c r="AC301" s="137">
        <f t="shared" si="74"/>
        <v>1.146128035678238</v>
      </c>
    </row>
    <row r="302" spans="1:29" x14ac:dyDescent="0.35">
      <c r="A302" s="143">
        <v>37109</v>
      </c>
      <c r="B302" s="106" t="s">
        <v>178</v>
      </c>
      <c r="C302" s="83">
        <f t="shared" si="60"/>
        <v>9</v>
      </c>
      <c r="D302" s="106">
        <v>20000000</v>
      </c>
      <c r="E302" s="83">
        <f t="shared" si="61"/>
        <v>7.3010299956639813</v>
      </c>
      <c r="F302" s="143">
        <v>38918</v>
      </c>
      <c r="G302" s="106">
        <v>0</v>
      </c>
      <c r="H302" s="145">
        <f t="shared" si="62"/>
        <v>4.956164383561644</v>
      </c>
      <c r="I302" s="145">
        <f t="shared" si="69"/>
        <v>0.69514570240333906</v>
      </c>
      <c r="J302" s="106">
        <v>3</v>
      </c>
      <c r="K302" s="106">
        <f t="shared" si="63"/>
        <v>0.6020599913279624</v>
      </c>
      <c r="L302" s="59">
        <v>2.95</v>
      </c>
      <c r="M302" s="59">
        <f t="shared" si="70"/>
        <v>0.46982201597816303</v>
      </c>
      <c r="N302" s="154">
        <f t="shared" si="64"/>
        <v>-1</v>
      </c>
      <c r="O302" s="119">
        <f t="shared" si="65"/>
        <v>-1</v>
      </c>
      <c r="P302" s="106">
        <v>1246.953</v>
      </c>
      <c r="Q302" s="106">
        <f t="shared" si="66"/>
        <v>3.0958500844125241</v>
      </c>
      <c r="R302" s="106">
        <v>3219.7179999999998</v>
      </c>
      <c r="S302" s="106">
        <f t="shared" si="67"/>
        <v>3.5078178355445662</v>
      </c>
      <c r="T302" s="106">
        <v>85</v>
      </c>
      <c r="U302" s="106">
        <f t="shared" si="71"/>
        <v>1.9294189257142926</v>
      </c>
      <c r="V302" s="119">
        <v>27.2</v>
      </c>
      <c r="W302" s="119">
        <f t="shared" si="72"/>
        <v>1.4345689040341987</v>
      </c>
      <c r="X302" s="120">
        <v>35.608384832026097</v>
      </c>
      <c r="Y302" s="120">
        <f t="shared" si="73"/>
        <v>1.5515522748692276</v>
      </c>
      <c r="Z302" s="152">
        <v>0.04</v>
      </c>
      <c r="AA302" s="119">
        <f t="shared" si="68"/>
        <v>1.703333929878037E-2</v>
      </c>
      <c r="AB302" s="106">
        <v>14</v>
      </c>
      <c r="AC302" s="137">
        <f t="shared" si="74"/>
        <v>1.146128035678238</v>
      </c>
    </row>
    <row r="303" spans="1:29" x14ac:dyDescent="0.35">
      <c r="A303" s="146">
        <v>37552</v>
      </c>
      <c r="B303" s="108" t="s">
        <v>235</v>
      </c>
      <c r="C303" s="84">
        <f t="shared" si="60"/>
        <v>1</v>
      </c>
      <c r="D303" s="108">
        <v>15000000</v>
      </c>
      <c r="E303" s="84">
        <f t="shared" si="61"/>
        <v>7.1760912590556813</v>
      </c>
      <c r="F303" s="146">
        <v>38325</v>
      </c>
      <c r="G303" s="108">
        <v>0</v>
      </c>
      <c r="H303" s="148">
        <f t="shared" si="62"/>
        <v>2.117808219178082</v>
      </c>
      <c r="I303" s="145">
        <f t="shared" si="69"/>
        <v>0.32588662946185015</v>
      </c>
      <c r="J303" s="108">
        <v>61</v>
      </c>
      <c r="K303" s="108">
        <f t="shared" si="63"/>
        <v>1.7923916894982539</v>
      </c>
      <c r="L303" s="65">
        <v>2.95</v>
      </c>
      <c r="M303" s="59">
        <f t="shared" si="70"/>
        <v>0.46982201597816303</v>
      </c>
      <c r="N303" s="155">
        <f t="shared" si="64"/>
        <v>-1</v>
      </c>
      <c r="O303" s="127">
        <f t="shared" si="65"/>
        <v>-1</v>
      </c>
      <c r="P303" s="108">
        <v>1246.953</v>
      </c>
      <c r="Q303" s="108">
        <f t="shared" si="66"/>
        <v>3.0958500844125241</v>
      </c>
      <c r="R303" s="108">
        <v>3219.7179999999998</v>
      </c>
      <c r="S303" s="108">
        <f t="shared" si="67"/>
        <v>3.5078178355445662</v>
      </c>
      <c r="T303" s="108">
        <v>85</v>
      </c>
      <c r="U303" s="106">
        <f t="shared" si="71"/>
        <v>1.9294189257142926</v>
      </c>
      <c r="V303" s="127">
        <v>24.9</v>
      </c>
      <c r="W303" s="119">
        <f t="shared" si="72"/>
        <v>1.3961993470957363</v>
      </c>
      <c r="X303" s="128">
        <v>36.710134890601303</v>
      </c>
      <c r="Y303" s="120">
        <f t="shared" si="73"/>
        <v>1.564785980312654</v>
      </c>
      <c r="Z303" s="153">
        <v>0.33</v>
      </c>
      <c r="AA303" s="127">
        <f t="shared" si="68"/>
        <v>0.12385164096708581</v>
      </c>
      <c r="AB303" s="108">
        <v>15</v>
      </c>
      <c r="AC303" s="137">
        <f t="shared" si="74"/>
        <v>1.1760912590556813</v>
      </c>
    </row>
    <row r="304" spans="1:29" x14ac:dyDescent="0.35">
      <c r="A304" s="143">
        <v>37585</v>
      </c>
      <c r="B304" s="106" t="s">
        <v>235</v>
      </c>
      <c r="C304" s="83">
        <f t="shared" si="60"/>
        <v>1</v>
      </c>
      <c r="D304" s="106">
        <v>586800000</v>
      </c>
      <c r="E304" s="83">
        <f t="shared" si="61"/>
        <v>8.7684901051712458</v>
      </c>
      <c r="F304" s="143">
        <v>38990</v>
      </c>
      <c r="G304" s="106">
        <v>1825000000</v>
      </c>
      <c r="H304" s="145">
        <f t="shared" si="62"/>
        <v>3.8493150684931505</v>
      </c>
      <c r="I304" s="145">
        <f t="shared" si="69"/>
        <v>0.58538345978462403</v>
      </c>
      <c r="J304" s="106">
        <v>0</v>
      </c>
      <c r="K304" s="106">
        <f t="shared" si="63"/>
        <v>0</v>
      </c>
      <c r="L304" s="59">
        <v>2.95</v>
      </c>
      <c r="M304" s="59">
        <f t="shared" si="70"/>
        <v>0.46982201597816303</v>
      </c>
      <c r="N304" s="154">
        <f t="shared" si="64"/>
        <v>2.1100886162235857</v>
      </c>
      <c r="O304" s="119">
        <f t="shared" si="65"/>
        <v>0.49277276362124844</v>
      </c>
      <c r="P304" s="106">
        <v>1246.953</v>
      </c>
      <c r="Q304" s="106">
        <f t="shared" si="66"/>
        <v>3.0958500844125241</v>
      </c>
      <c r="R304" s="106">
        <v>3219.7179999999998</v>
      </c>
      <c r="S304" s="106">
        <f t="shared" si="67"/>
        <v>3.5078178355445662</v>
      </c>
      <c r="T304" s="106">
        <v>85</v>
      </c>
      <c r="U304" s="106">
        <f t="shared" si="71"/>
        <v>1.9294189257142926</v>
      </c>
      <c r="V304" s="119">
        <v>24.9</v>
      </c>
      <c r="W304" s="119">
        <f t="shared" si="72"/>
        <v>1.3961993470957363</v>
      </c>
      <c r="X304" s="120">
        <v>36.710134890601303</v>
      </c>
      <c r="Y304" s="120">
        <f t="shared" si="73"/>
        <v>1.564785980312654</v>
      </c>
      <c r="Z304" s="152">
        <v>0.43</v>
      </c>
      <c r="AA304" s="119">
        <f t="shared" si="68"/>
        <v>0.1553360374650618</v>
      </c>
      <c r="AB304" s="106">
        <v>15</v>
      </c>
      <c r="AC304" s="137">
        <f t="shared" si="74"/>
        <v>1.1760912590556813</v>
      </c>
    </row>
    <row r="305" spans="1:29" x14ac:dyDescent="0.35">
      <c r="A305" s="146">
        <v>37679</v>
      </c>
      <c r="B305" s="108" t="s">
        <v>235</v>
      </c>
      <c r="C305" s="84">
        <f t="shared" si="60"/>
        <v>1</v>
      </c>
      <c r="D305" s="108">
        <v>300000000</v>
      </c>
      <c r="E305" s="84">
        <f t="shared" si="61"/>
        <v>8.4771212547196626</v>
      </c>
      <c r="F305" s="146">
        <v>38176</v>
      </c>
      <c r="G305" s="108">
        <v>650000000</v>
      </c>
      <c r="H305" s="148">
        <f t="shared" si="62"/>
        <v>1.3616438356164384</v>
      </c>
      <c r="I305" s="145">
        <f t="shared" si="69"/>
        <v>0.13406352427685744</v>
      </c>
      <c r="J305" s="108">
        <v>47</v>
      </c>
      <c r="K305" s="108">
        <f t="shared" si="63"/>
        <v>1.6812412373755872</v>
      </c>
      <c r="L305" s="65">
        <v>2.95</v>
      </c>
      <c r="M305" s="59">
        <f t="shared" si="70"/>
        <v>0.46982201597816303</v>
      </c>
      <c r="N305" s="155">
        <f t="shared" si="64"/>
        <v>1.1666666666666665</v>
      </c>
      <c r="O305" s="127">
        <f t="shared" si="65"/>
        <v>0.33579210192319309</v>
      </c>
      <c r="P305" s="108">
        <v>1246.953</v>
      </c>
      <c r="Q305" s="108">
        <f t="shared" si="66"/>
        <v>3.0958500844125241</v>
      </c>
      <c r="R305" s="108">
        <v>3219.7179999999998</v>
      </c>
      <c r="S305" s="108">
        <f t="shared" si="67"/>
        <v>3.5078178355445662</v>
      </c>
      <c r="T305" s="108">
        <v>85</v>
      </c>
      <c r="U305" s="106">
        <f t="shared" si="71"/>
        <v>1.9294189257142926</v>
      </c>
      <c r="V305" s="127">
        <v>24.4</v>
      </c>
      <c r="W305" s="119">
        <f t="shared" si="72"/>
        <v>1.3873898263387294</v>
      </c>
      <c r="X305" s="128">
        <v>37.256914365427299</v>
      </c>
      <c r="Y305" s="120">
        <f t="shared" si="73"/>
        <v>1.5712068835833228</v>
      </c>
      <c r="Z305" s="153">
        <v>0.32</v>
      </c>
      <c r="AA305" s="127">
        <f t="shared" si="68"/>
        <v>0.12057393120584989</v>
      </c>
      <c r="AB305" s="108">
        <v>16</v>
      </c>
      <c r="AC305" s="137">
        <f t="shared" si="74"/>
        <v>1.2041199826559248</v>
      </c>
    </row>
    <row r="306" spans="1:29" x14ac:dyDescent="0.35">
      <c r="A306" s="143">
        <v>37792</v>
      </c>
      <c r="B306" s="106" t="s">
        <v>248</v>
      </c>
      <c r="C306" s="83">
        <f t="shared" si="60"/>
        <v>5</v>
      </c>
      <c r="D306" s="106">
        <v>800000000</v>
      </c>
      <c r="E306" s="83">
        <f t="shared" si="61"/>
        <v>8.9030899869919438</v>
      </c>
      <c r="F306" s="143">
        <v>40632</v>
      </c>
      <c r="G306" s="106">
        <v>980000000</v>
      </c>
      <c r="H306" s="145">
        <f t="shared" si="62"/>
        <v>7.7808219178082192</v>
      </c>
      <c r="I306" s="145">
        <f t="shared" si="69"/>
        <v>0.891025475590563</v>
      </c>
      <c r="J306" s="106">
        <v>45</v>
      </c>
      <c r="K306" s="106">
        <f t="shared" si="63"/>
        <v>1.6627578316815741</v>
      </c>
      <c r="L306" s="59">
        <v>2.95</v>
      </c>
      <c r="M306" s="59">
        <f t="shared" si="70"/>
        <v>0.46982201597816303</v>
      </c>
      <c r="N306" s="154">
        <f t="shared" si="64"/>
        <v>0.22500000000000009</v>
      </c>
      <c r="O306" s="119">
        <f t="shared" si="65"/>
        <v>8.8136088700551299E-2</v>
      </c>
      <c r="P306" s="106">
        <v>1246.953</v>
      </c>
      <c r="Q306" s="106">
        <f t="shared" si="66"/>
        <v>3.0958500844125241</v>
      </c>
      <c r="R306" s="106">
        <v>3219.7179999999998</v>
      </c>
      <c r="S306" s="106">
        <f t="shared" si="67"/>
        <v>3.5078178355445662</v>
      </c>
      <c r="T306" s="106">
        <v>85</v>
      </c>
      <c r="U306" s="106">
        <f t="shared" si="71"/>
        <v>1.9294189257142926</v>
      </c>
      <c r="V306" s="119">
        <v>24.4</v>
      </c>
      <c r="W306" s="119">
        <f t="shared" si="72"/>
        <v>1.3873898263387294</v>
      </c>
      <c r="X306" s="120">
        <v>37.256914365427299</v>
      </c>
      <c r="Y306" s="120">
        <f t="shared" si="73"/>
        <v>1.5712068835833228</v>
      </c>
      <c r="Z306" s="152">
        <v>0.33</v>
      </c>
      <c r="AA306" s="119">
        <f t="shared" si="68"/>
        <v>0.12385164096708581</v>
      </c>
      <c r="AB306" s="106">
        <v>16</v>
      </c>
      <c r="AC306" s="137">
        <f t="shared" si="74"/>
        <v>1.2041199826559248</v>
      </c>
    </row>
    <row r="307" spans="1:29" x14ac:dyDescent="0.35">
      <c r="A307" s="146">
        <v>38944</v>
      </c>
      <c r="B307" s="108" t="s">
        <v>248</v>
      </c>
      <c r="C307" s="84">
        <f t="shared" si="60"/>
        <v>5</v>
      </c>
      <c r="D307" s="108">
        <v>400000000</v>
      </c>
      <c r="E307" s="84">
        <f t="shared" si="61"/>
        <v>8.6020599913279625</v>
      </c>
      <c r="F307" s="146">
        <v>40648</v>
      </c>
      <c r="G307" s="108">
        <v>350000000</v>
      </c>
      <c r="H307" s="148">
        <f t="shared" si="62"/>
        <v>4.6684931506849319</v>
      </c>
      <c r="I307" s="145">
        <f t="shared" si="69"/>
        <v>0.66917672597420663</v>
      </c>
      <c r="J307" s="108">
        <v>29</v>
      </c>
      <c r="K307" s="108">
        <f t="shared" si="63"/>
        <v>1.4771212547196624</v>
      </c>
      <c r="L307" s="65">
        <v>2.95</v>
      </c>
      <c r="M307" s="59">
        <f t="shared" si="70"/>
        <v>0.46982201597816303</v>
      </c>
      <c r="N307" s="155">
        <f t="shared" si="64"/>
        <v>-0.125</v>
      </c>
      <c r="O307" s="127">
        <f t="shared" si="65"/>
        <v>-5.7991946977686754E-2</v>
      </c>
      <c r="P307" s="108">
        <v>2315.9650000000001</v>
      </c>
      <c r="Q307" s="108">
        <f t="shared" si="66"/>
        <v>3.3647319918335836</v>
      </c>
      <c r="R307" s="108">
        <v>3703.9029999999998</v>
      </c>
      <c r="S307" s="108">
        <f t="shared" si="67"/>
        <v>3.568659604598353</v>
      </c>
      <c r="T307" s="108">
        <v>93.2</v>
      </c>
      <c r="U307" s="106">
        <f t="shared" si="71"/>
        <v>1.9694159123539814</v>
      </c>
      <c r="V307" s="127">
        <v>26.7</v>
      </c>
      <c r="W307" s="119">
        <f t="shared" si="72"/>
        <v>1.4265112613645752</v>
      </c>
      <c r="X307" s="128">
        <v>36.669158714517401</v>
      </c>
      <c r="Y307" s="120">
        <f t="shared" si="73"/>
        <v>1.5643009462345601</v>
      </c>
      <c r="Z307" s="153">
        <v>0.03</v>
      </c>
      <c r="AA307" s="127">
        <f t="shared" si="68"/>
        <v>1.2837224705172217E-2</v>
      </c>
      <c r="AB307" s="108">
        <v>21</v>
      </c>
      <c r="AC307" s="137">
        <f t="shared" si="74"/>
        <v>1.3222192947339193</v>
      </c>
    </row>
    <row r="308" spans="1:29" x14ac:dyDescent="0.35">
      <c r="A308" s="143">
        <v>39202</v>
      </c>
      <c r="B308" s="106" t="s">
        <v>269</v>
      </c>
      <c r="C308" s="83">
        <f t="shared" si="60"/>
        <v>7</v>
      </c>
      <c r="D308" s="106">
        <v>2160000000</v>
      </c>
      <c r="E308" s="83">
        <f t="shared" si="61"/>
        <v>9.3344537511509316</v>
      </c>
      <c r="F308" s="143">
        <v>42128</v>
      </c>
      <c r="G308" s="106">
        <v>2490400000</v>
      </c>
      <c r="H308" s="145">
        <f t="shared" si="62"/>
        <v>8.0164383561643842</v>
      </c>
      <c r="I308" s="145">
        <f t="shared" si="69"/>
        <v>0.90398145733281732</v>
      </c>
      <c r="J308" s="106">
        <v>9</v>
      </c>
      <c r="K308" s="106">
        <f t="shared" si="63"/>
        <v>1</v>
      </c>
      <c r="L308" s="59">
        <v>2.95</v>
      </c>
      <c r="M308" s="59">
        <f t="shared" si="70"/>
        <v>0.46982201597816303</v>
      </c>
      <c r="N308" s="154">
        <f t="shared" si="64"/>
        <v>0.15296296296296297</v>
      </c>
      <c r="O308" s="119">
        <f t="shared" si="65"/>
        <v>6.1815356523527966E-2</v>
      </c>
      <c r="P308" s="106">
        <v>2315.9650000000001</v>
      </c>
      <c r="Q308" s="106">
        <f t="shared" si="66"/>
        <v>3.3647319918335836</v>
      </c>
      <c r="R308" s="106">
        <v>3703.9029999999998</v>
      </c>
      <c r="S308" s="106">
        <f t="shared" si="67"/>
        <v>3.568659604598353</v>
      </c>
      <c r="T308" s="106">
        <v>91.4</v>
      </c>
      <c r="U308" s="106">
        <f t="shared" si="71"/>
        <v>1.9609461957338314</v>
      </c>
      <c r="V308" s="119">
        <v>26.7</v>
      </c>
      <c r="W308" s="119">
        <f t="shared" si="72"/>
        <v>1.4265112613645752</v>
      </c>
      <c r="X308" s="120">
        <v>37.425715444240403</v>
      </c>
      <c r="Y308" s="120">
        <f t="shared" si="73"/>
        <v>1.5731701112332821</v>
      </c>
      <c r="Z308" s="152">
        <v>0.43</v>
      </c>
      <c r="AA308" s="119">
        <f t="shared" si="68"/>
        <v>0.1553360374650618</v>
      </c>
      <c r="AB308" s="106">
        <v>22</v>
      </c>
      <c r="AC308" s="137">
        <f t="shared" si="74"/>
        <v>1.3424226808222062</v>
      </c>
    </row>
    <row r="309" spans="1:29" x14ac:dyDescent="0.35">
      <c r="A309" s="146">
        <v>39351</v>
      </c>
      <c r="B309" s="108" t="s">
        <v>190</v>
      </c>
      <c r="C309" s="84">
        <f t="shared" si="60"/>
        <v>2</v>
      </c>
      <c r="D309" s="108">
        <v>11400000000</v>
      </c>
      <c r="E309" s="84">
        <f t="shared" si="61"/>
        <v>10.056904851336473</v>
      </c>
      <c r="F309" s="146">
        <v>42179</v>
      </c>
      <c r="G309" s="108">
        <v>13350000000</v>
      </c>
      <c r="H309" s="148">
        <f t="shared" si="62"/>
        <v>7.7479452054794518</v>
      </c>
      <c r="I309" s="145">
        <f t="shared" si="69"/>
        <v>0.88918654066838709</v>
      </c>
      <c r="J309" s="108">
        <v>30</v>
      </c>
      <c r="K309" s="108">
        <f t="shared" si="63"/>
        <v>1.4913616938342726</v>
      </c>
      <c r="L309" s="65">
        <v>2.95</v>
      </c>
      <c r="M309" s="59">
        <f t="shared" si="70"/>
        <v>0.46982201597816303</v>
      </c>
      <c r="N309" s="155">
        <f t="shared" si="64"/>
        <v>0.17105263157894735</v>
      </c>
      <c r="O309" s="127">
        <f t="shared" si="65"/>
        <v>6.857641436412143E-2</v>
      </c>
      <c r="P309" s="108">
        <v>2315.9650000000001</v>
      </c>
      <c r="Q309" s="108">
        <f t="shared" si="66"/>
        <v>3.3647319918335836</v>
      </c>
      <c r="R309" s="108">
        <v>3703.9029999999998</v>
      </c>
      <c r="S309" s="108">
        <f t="shared" si="67"/>
        <v>3.568659604598353</v>
      </c>
      <c r="T309" s="108">
        <v>91.4</v>
      </c>
      <c r="U309" s="106">
        <f t="shared" si="71"/>
        <v>1.9609461957338314</v>
      </c>
      <c r="V309" s="127">
        <v>26.7</v>
      </c>
      <c r="W309" s="119">
        <f t="shared" si="72"/>
        <v>1.4265112613645752</v>
      </c>
      <c r="X309" s="128">
        <v>37.425715444240403</v>
      </c>
      <c r="Y309" s="120">
        <f t="shared" si="73"/>
        <v>1.5731701112332821</v>
      </c>
      <c r="Z309" s="153">
        <v>0.38</v>
      </c>
      <c r="AA309" s="127">
        <f t="shared" si="68"/>
        <v>0.13987908640123647</v>
      </c>
      <c r="AB309" s="108">
        <v>22</v>
      </c>
      <c r="AC309" s="137">
        <f t="shared" si="74"/>
        <v>1.3424226808222062</v>
      </c>
    </row>
    <row r="310" spans="1:29" x14ac:dyDescent="0.35">
      <c r="A310" s="143">
        <v>39654</v>
      </c>
      <c r="B310" s="106" t="s">
        <v>248</v>
      </c>
      <c r="C310" s="83">
        <f t="shared" si="60"/>
        <v>5</v>
      </c>
      <c r="D310" s="106">
        <v>700000000</v>
      </c>
      <c r="E310" s="83">
        <f t="shared" si="61"/>
        <v>8.8450980400142569</v>
      </c>
      <c r="F310" s="143">
        <v>42340</v>
      </c>
      <c r="G310" s="106">
        <v>1680000000</v>
      </c>
      <c r="H310" s="145">
        <f t="shared" si="62"/>
        <v>7.3589041095890408</v>
      </c>
      <c r="I310" s="145">
        <f t="shared" si="69"/>
        <v>0.86681314387622188</v>
      </c>
      <c r="J310" s="106">
        <v>51</v>
      </c>
      <c r="K310" s="106">
        <f t="shared" si="63"/>
        <v>1.7160033436347992</v>
      </c>
      <c r="L310" s="59">
        <v>2.95</v>
      </c>
      <c r="M310" s="59">
        <f t="shared" si="70"/>
        <v>0.46982201597816303</v>
      </c>
      <c r="N310" s="154">
        <f t="shared" si="64"/>
        <v>1.4</v>
      </c>
      <c r="O310" s="119">
        <f t="shared" si="65"/>
        <v>0.38021124171160603</v>
      </c>
      <c r="P310" s="106">
        <v>2315.9650000000001</v>
      </c>
      <c r="Q310" s="106">
        <f t="shared" si="66"/>
        <v>3.3647319918335836</v>
      </c>
      <c r="R310" s="106">
        <v>3703.9029999999998</v>
      </c>
      <c r="S310" s="106">
        <f t="shared" si="67"/>
        <v>3.568659604598353</v>
      </c>
      <c r="T310" s="106">
        <v>92.6</v>
      </c>
      <c r="U310" s="106">
        <f t="shared" si="71"/>
        <v>1.9666109866819343</v>
      </c>
      <c r="V310" s="119">
        <v>25.7</v>
      </c>
      <c r="W310" s="119">
        <f t="shared" si="72"/>
        <v>1.4099331233312946</v>
      </c>
      <c r="X310" s="120">
        <v>39.823361151429197</v>
      </c>
      <c r="Y310" s="120">
        <f t="shared" si="73"/>
        <v>1.6001379123442065</v>
      </c>
      <c r="Z310" s="152">
        <v>0.65</v>
      </c>
      <c r="AA310" s="119">
        <f t="shared" si="68"/>
        <v>0.21748394421390627</v>
      </c>
      <c r="AB310" s="106">
        <v>23</v>
      </c>
      <c r="AC310" s="137">
        <f t="shared" si="74"/>
        <v>1.3617278360175928</v>
      </c>
    </row>
    <row r="311" spans="1:29" x14ac:dyDescent="0.35">
      <c r="A311" s="146">
        <v>39703</v>
      </c>
      <c r="B311" s="108" t="s">
        <v>186</v>
      </c>
      <c r="C311" s="84">
        <f t="shared" si="60"/>
        <v>4</v>
      </c>
      <c r="D311" s="108">
        <v>3500000000</v>
      </c>
      <c r="E311" s="84">
        <f t="shared" si="61"/>
        <v>9.5440680443502757</v>
      </c>
      <c r="F311" s="146">
        <v>43181</v>
      </c>
      <c r="G311" s="108">
        <v>300000000</v>
      </c>
      <c r="H311" s="148">
        <f t="shared" si="62"/>
        <v>9.5287671232876718</v>
      </c>
      <c r="I311" s="145">
        <f t="shared" si="69"/>
        <v>0.97903671321021901</v>
      </c>
      <c r="J311" s="108">
        <v>26</v>
      </c>
      <c r="K311" s="108">
        <f t="shared" si="63"/>
        <v>1.4313637641589874</v>
      </c>
      <c r="L311" s="65">
        <v>2.95</v>
      </c>
      <c r="M311" s="59">
        <f t="shared" si="70"/>
        <v>0.46982201597816303</v>
      </c>
      <c r="N311" s="155">
        <f t="shared" si="64"/>
        <v>-0.91428571428571426</v>
      </c>
      <c r="O311" s="127">
        <f t="shared" si="65"/>
        <v>-1.0669467896306131</v>
      </c>
      <c r="P311" s="108">
        <v>2315.9650000000001</v>
      </c>
      <c r="Q311" s="108">
        <f t="shared" si="66"/>
        <v>3.3647319918335836</v>
      </c>
      <c r="R311" s="108">
        <v>3703.9029999999998</v>
      </c>
      <c r="S311" s="108">
        <f t="shared" si="67"/>
        <v>3.568659604598353</v>
      </c>
      <c r="T311" s="108">
        <v>92.6</v>
      </c>
      <c r="U311" s="106">
        <f t="shared" si="71"/>
        <v>1.9666109866819343</v>
      </c>
      <c r="V311" s="127">
        <v>25.7</v>
      </c>
      <c r="W311" s="119">
        <f t="shared" si="72"/>
        <v>1.4099331233312946</v>
      </c>
      <c r="X311" s="128">
        <v>39.823361151429197</v>
      </c>
      <c r="Y311" s="120">
        <f t="shared" si="73"/>
        <v>1.6001379123442065</v>
      </c>
      <c r="Z311" s="153">
        <v>1.1100000000000001</v>
      </c>
      <c r="AA311" s="127">
        <f t="shared" si="68"/>
        <v>0.32428245529769273</v>
      </c>
      <c r="AB311" s="108">
        <v>23</v>
      </c>
      <c r="AC311" s="137">
        <f t="shared" si="74"/>
        <v>1.3617278360175928</v>
      </c>
    </row>
    <row r="312" spans="1:29" x14ac:dyDescent="0.35">
      <c r="A312" s="143">
        <v>40574</v>
      </c>
      <c r="B312" s="106" t="s">
        <v>326</v>
      </c>
      <c r="C312" s="83">
        <f t="shared" si="60"/>
        <v>8</v>
      </c>
      <c r="D312" s="106">
        <v>603870000</v>
      </c>
      <c r="E312" s="83">
        <f t="shared" si="61"/>
        <v>8.7809434545825091</v>
      </c>
      <c r="F312" s="143">
        <v>42278</v>
      </c>
      <c r="G312" s="106">
        <v>2450000000</v>
      </c>
      <c r="H312" s="145">
        <f t="shared" si="62"/>
        <v>4.6684931506849319</v>
      </c>
      <c r="I312" s="145">
        <f t="shared" si="69"/>
        <v>0.66917672597420663</v>
      </c>
      <c r="J312" s="106">
        <v>19</v>
      </c>
      <c r="K312" s="106">
        <f t="shared" si="63"/>
        <v>1.3010299956639813</v>
      </c>
      <c r="L312" s="59">
        <v>2.95</v>
      </c>
      <c r="M312" s="59">
        <f t="shared" si="70"/>
        <v>0.46982201597816303</v>
      </c>
      <c r="N312" s="154">
        <f t="shared" si="64"/>
        <v>3.0571646215245005</v>
      </c>
      <c r="O312" s="119">
        <f t="shared" si="65"/>
        <v>0.60822262978202302</v>
      </c>
      <c r="P312" s="106">
        <v>2315.9650000000001</v>
      </c>
      <c r="Q312" s="106">
        <f t="shared" si="66"/>
        <v>3.3647319918335836</v>
      </c>
      <c r="R312" s="106">
        <v>3703.9029999999998</v>
      </c>
      <c r="S312" s="106">
        <f t="shared" si="67"/>
        <v>3.568659604598353</v>
      </c>
      <c r="T312" s="106">
        <v>91</v>
      </c>
      <c r="U312" s="106">
        <f t="shared" si="71"/>
        <v>1.9590413923210936</v>
      </c>
      <c r="V312" s="119">
        <v>23.9</v>
      </c>
      <c r="W312" s="119">
        <f t="shared" si="72"/>
        <v>1.3783979009481377</v>
      </c>
      <c r="X312" s="120">
        <v>42.048698215007001</v>
      </c>
      <c r="Y312" s="120">
        <f t="shared" si="73"/>
        <v>1.6237525550259535</v>
      </c>
      <c r="Z312" s="152">
        <v>0.5</v>
      </c>
      <c r="AA312" s="119">
        <f t="shared" si="68"/>
        <v>0.17609125905568124</v>
      </c>
      <c r="AB312" s="106">
        <v>26</v>
      </c>
      <c r="AC312" s="137">
        <f t="shared" si="74"/>
        <v>1.414973347970818</v>
      </c>
    </row>
    <row r="313" spans="1:29" x14ac:dyDescent="0.35">
      <c r="A313" s="146">
        <v>38460</v>
      </c>
      <c r="B313" s="108" t="s">
        <v>235</v>
      </c>
      <c r="C313" s="84">
        <f t="shared" si="60"/>
        <v>1</v>
      </c>
      <c r="D313" s="108">
        <v>225000000</v>
      </c>
      <c r="E313" s="84">
        <f t="shared" si="61"/>
        <v>8.3521825181113627</v>
      </c>
      <c r="F313" s="146">
        <v>39295</v>
      </c>
      <c r="G313" s="108">
        <v>1325250000</v>
      </c>
      <c r="H313" s="148">
        <f t="shared" si="62"/>
        <v>2.2876712328767121</v>
      </c>
      <c r="I313" s="145">
        <f t="shared" si="69"/>
        <v>0.35939361102712736</v>
      </c>
      <c r="J313" s="108">
        <v>3</v>
      </c>
      <c r="K313" s="108">
        <f t="shared" si="63"/>
        <v>0.6020599913279624</v>
      </c>
      <c r="L313" s="65">
        <v>2.95</v>
      </c>
      <c r="M313" s="59">
        <f t="shared" si="70"/>
        <v>0.46982201597816303</v>
      </c>
      <c r="N313" s="155">
        <f t="shared" si="64"/>
        <v>4.8899999999999997</v>
      </c>
      <c r="O313" s="127">
        <f t="shared" si="65"/>
        <v>0.77011529478710161</v>
      </c>
      <c r="P313" s="108">
        <v>2315.9650000000001</v>
      </c>
      <c r="Q313" s="108">
        <f t="shared" si="66"/>
        <v>3.3647319918335836</v>
      </c>
      <c r="R313" s="108">
        <v>3703.9029999999998</v>
      </c>
      <c r="S313" s="108">
        <f t="shared" si="67"/>
        <v>3.568659604598353</v>
      </c>
      <c r="T313" s="108">
        <v>85</v>
      </c>
      <c r="U313" s="106">
        <f t="shared" si="71"/>
        <v>1.9294189257142926</v>
      </c>
      <c r="V313" s="127">
        <v>25.9</v>
      </c>
      <c r="W313" s="119">
        <f t="shared" si="72"/>
        <v>1.4132997640812519</v>
      </c>
      <c r="X313" s="128">
        <v>36.959146749272797</v>
      </c>
      <c r="Y313" s="120">
        <f t="shared" si="73"/>
        <v>1.5677219364019672</v>
      </c>
      <c r="Z313" s="153">
        <v>0.28000000000000003</v>
      </c>
      <c r="AA313" s="127">
        <f t="shared" si="68"/>
        <v>0.10720996964786837</v>
      </c>
      <c r="AB313" s="108">
        <v>20</v>
      </c>
      <c r="AC313" s="137">
        <f t="shared" si="74"/>
        <v>1.3010299956639813</v>
      </c>
    </row>
    <row r="314" spans="1:29" x14ac:dyDescent="0.35">
      <c r="A314" s="143">
        <v>32508</v>
      </c>
      <c r="B314" s="106" t="s">
        <v>248</v>
      </c>
      <c r="C314" s="83">
        <f t="shared" si="60"/>
        <v>5</v>
      </c>
      <c r="D314" s="106">
        <v>2610000000</v>
      </c>
      <c r="E314" s="83">
        <f t="shared" si="61"/>
        <v>9.4166405073382808</v>
      </c>
      <c r="F314" s="143">
        <v>36948</v>
      </c>
      <c r="G314" s="106">
        <v>260000000</v>
      </c>
      <c r="H314" s="145">
        <f t="shared" si="62"/>
        <v>12.164383561643836</v>
      </c>
      <c r="I314" s="145">
        <f t="shared" si="69"/>
        <v>1.0850901056581452</v>
      </c>
      <c r="J314" s="106">
        <v>145</v>
      </c>
      <c r="K314" s="106">
        <f t="shared" si="63"/>
        <v>2.1643528557844371</v>
      </c>
      <c r="L314" s="59">
        <v>2.95</v>
      </c>
      <c r="M314" s="59">
        <f t="shared" si="70"/>
        <v>0.46982201597816303</v>
      </c>
      <c r="N314" s="154">
        <f t="shared" si="64"/>
        <v>-0.90038314176245215</v>
      </c>
      <c r="O314" s="119">
        <f t="shared" si="65"/>
        <v>-1.0016671593674633</v>
      </c>
      <c r="P314" s="106">
        <v>2315.9650000000001</v>
      </c>
      <c r="Q314" s="106">
        <f t="shared" si="66"/>
        <v>3.3647319918335836</v>
      </c>
      <c r="R314" s="106">
        <v>3703.9029999999998</v>
      </c>
      <c r="S314" s="106">
        <f t="shared" si="67"/>
        <v>3.568659604598353</v>
      </c>
      <c r="T314" s="106">
        <v>85</v>
      </c>
      <c r="U314" s="106">
        <f t="shared" si="71"/>
        <v>1.9294189257142926</v>
      </c>
      <c r="V314" s="119">
        <v>25.4</v>
      </c>
      <c r="W314" s="119">
        <f t="shared" si="72"/>
        <v>1.4048337166199381</v>
      </c>
      <c r="X314" s="120">
        <v>36.691491429861301</v>
      </c>
      <c r="Y314" s="120">
        <f t="shared" si="73"/>
        <v>1.5645653652472133</v>
      </c>
      <c r="Z314" s="152">
        <v>3.56</v>
      </c>
      <c r="AA314" s="119">
        <f t="shared" si="68"/>
        <v>0.658964842664435</v>
      </c>
      <c r="AB314" s="106">
        <v>3</v>
      </c>
      <c r="AC314" s="137">
        <f t="shared" si="74"/>
        <v>0.47712125471966244</v>
      </c>
    </row>
    <row r="315" spans="1:29" x14ac:dyDescent="0.35">
      <c r="A315" s="146">
        <v>34603</v>
      </c>
      <c r="B315" s="108" t="s">
        <v>186</v>
      </c>
      <c r="C315" s="84">
        <f t="shared" si="60"/>
        <v>4</v>
      </c>
      <c r="D315" s="108">
        <v>26000000</v>
      </c>
      <c r="E315" s="84">
        <f t="shared" si="61"/>
        <v>7.4149733479708182</v>
      </c>
      <c r="F315" s="146">
        <v>35170</v>
      </c>
      <c r="G315" s="108">
        <v>112000000</v>
      </c>
      <c r="H315" s="148">
        <f t="shared" si="62"/>
        <v>1.5534246575342465</v>
      </c>
      <c r="I315" s="145">
        <f t="shared" si="69"/>
        <v>0.19129019443643186</v>
      </c>
      <c r="J315" s="108">
        <v>5</v>
      </c>
      <c r="K315" s="108">
        <f t="shared" si="63"/>
        <v>0.77815125038364363</v>
      </c>
      <c r="L315" s="65">
        <v>2.95</v>
      </c>
      <c r="M315" s="59">
        <f t="shared" si="70"/>
        <v>0.46982201597816303</v>
      </c>
      <c r="N315" s="155">
        <f t="shared" si="64"/>
        <v>3.3076923076923075</v>
      </c>
      <c r="O315" s="127">
        <f t="shared" si="65"/>
        <v>0.63424467469936363</v>
      </c>
      <c r="P315" s="108">
        <v>2315.9650000000001</v>
      </c>
      <c r="Q315" s="108">
        <f t="shared" si="66"/>
        <v>3.3647319918335836</v>
      </c>
      <c r="R315" s="108">
        <v>3703.9029999999998</v>
      </c>
      <c r="S315" s="108">
        <f t="shared" si="67"/>
        <v>3.568659604598353</v>
      </c>
      <c r="T315" s="108">
        <v>85</v>
      </c>
      <c r="U315" s="106">
        <f t="shared" si="71"/>
        <v>1.9294189257142926</v>
      </c>
      <c r="V315" s="127">
        <v>26.2</v>
      </c>
      <c r="W315" s="119">
        <f t="shared" si="72"/>
        <v>1.4183012913197455</v>
      </c>
      <c r="X315" s="128">
        <v>37.8446121410093</v>
      </c>
      <c r="Y315" s="120">
        <f t="shared" si="73"/>
        <v>1.5780040586317157</v>
      </c>
      <c r="Z315" s="153">
        <v>0.39</v>
      </c>
      <c r="AA315" s="127">
        <f t="shared" si="68"/>
        <v>0.14301480025409513</v>
      </c>
      <c r="AB315" s="108">
        <v>9</v>
      </c>
      <c r="AC315" s="137">
        <f t="shared" si="74"/>
        <v>0.95424250943932487</v>
      </c>
    </row>
    <row r="316" spans="1:29" x14ac:dyDescent="0.35">
      <c r="A316" s="143">
        <v>35144</v>
      </c>
      <c r="B316" s="106" t="s">
        <v>326</v>
      </c>
      <c r="C316" s="83">
        <f t="shared" si="60"/>
        <v>8</v>
      </c>
      <c r="D316" s="106">
        <v>30000000</v>
      </c>
      <c r="E316" s="83">
        <f t="shared" si="61"/>
        <v>7.4771212547196626</v>
      </c>
      <c r="F316" s="143">
        <v>36983</v>
      </c>
      <c r="G316" s="106">
        <v>0</v>
      </c>
      <c r="H316" s="145">
        <f t="shared" si="62"/>
        <v>5.0383561643835613</v>
      </c>
      <c r="I316" s="145">
        <f t="shared" si="69"/>
        <v>0.70228886478160268</v>
      </c>
      <c r="J316" s="106">
        <v>158</v>
      </c>
      <c r="K316" s="106">
        <f t="shared" si="63"/>
        <v>2.2013971243204513</v>
      </c>
      <c r="L316" s="59">
        <v>2.95</v>
      </c>
      <c r="M316" s="59">
        <f t="shared" si="70"/>
        <v>0.46982201597816303</v>
      </c>
      <c r="N316" s="154">
        <f t="shared" si="64"/>
        <v>-1</v>
      </c>
      <c r="O316" s="119">
        <f t="shared" si="65"/>
        <v>-1</v>
      </c>
      <c r="P316" s="106">
        <v>2315.9650000000001</v>
      </c>
      <c r="Q316" s="106">
        <f t="shared" si="66"/>
        <v>3.3647319918335836</v>
      </c>
      <c r="R316" s="106">
        <v>3703.9029999999998</v>
      </c>
      <c r="S316" s="106">
        <f t="shared" si="67"/>
        <v>3.568659604598353</v>
      </c>
      <c r="T316" s="106">
        <v>85</v>
      </c>
      <c r="U316" s="106">
        <f t="shared" si="71"/>
        <v>1.9294189257142926</v>
      </c>
      <c r="V316" s="119">
        <v>27</v>
      </c>
      <c r="W316" s="119">
        <f t="shared" si="72"/>
        <v>1.4313637641589874</v>
      </c>
      <c r="X316" s="120">
        <v>37.123527923893597</v>
      </c>
      <c r="Y316" s="120">
        <f t="shared" si="73"/>
        <v>1.5696492413904459</v>
      </c>
      <c r="Z316" s="152">
        <v>0.76</v>
      </c>
      <c r="AA316" s="119">
        <f t="shared" si="68"/>
        <v>0.24551266781414982</v>
      </c>
      <c r="AB316" s="106">
        <v>11</v>
      </c>
      <c r="AC316" s="137">
        <f t="shared" si="74"/>
        <v>1.0413926851582251</v>
      </c>
    </row>
    <row r="317" spans="1:29" x14ac:dyDescent="0.35">
      <c r="A317" s="146">
        <v>35306</v>
      </c>
      <c r="B317" s="108" t="s">
        <v>248</v>
      </c>
      <c r="C317" s="84">
        <f t="shared" si="60"/>
        <v>5</v>
      </c>
      <c r="D317" s="108">
        <v>320000000</v>
      </c>
      <c r="E317" s="84">
        <f t="shared" si="61"/>
        <v>8.5051499783199063</v>
      </c>
      <c r="F317" s="146">
        <v>36878</v>
      </c>
      <c r="G317" s="108">
        <v>0</v>
      </c>
      <c r="H317" s="148">
        <f t="shared" si="62"/>
        <v>4.3068493150684928</v>
      </c>
      <c r="I317" s="145">
        <f t="shared" si="69"/>
        <v>0.63415967724691436</v>
      </c>
      <c r="J317" s="108">
        <v>5</v>
      </c>
      <c r="K317" s="108">
        <f t="shared" si="63"/>
        <v>0.77815125038364363</v>
      </c>
      <c r="L317" s="65">
        <v>2.95</v>
      </c>
      <c r="M317" s="59">
        <f t="shared" si="70"/>
        <v>0.46982201597816303</v>
      </c>
      <c r="N317" s="155">
        <f t="shared" si="64"/>
        <v>-1</v>
      </c>
      <c r="O317" s="127">
        <f t="shared" si="65"/>
        <v>-1</v>
      </c>
      <c r="P317" s="108">
        <v>2315.9650000000001</v>
      </c>
      <c r="Q317" s="108">
        <f t="shared" si="66"/>
        <v>3.3647319918335836</v>
      </c>
      <c r="R317" s="108">
        <v>3703.9029999999998</v>
      </c>
      <c r="S317" s="108">
        <f t="shared" si="67"/>
        <v>3.568659604598353</v>
      </c>
      <c r="T317" s="108">
        <v>85</v>
      </c>
      <c r="U317" s="106">
        <f t="shared" si="71"/>
        <v>1.9294189257142926</v>
      </c>
      <c r="V317" s="127">
        <v>27</v>
      </c>
      <c r="W317" s="119">
        <f t="shared" si="72"/>
        <v>1.4313637641589874</v>
      </c>
      <c r="X317" s="128">
        <v>37.123527923893597</v>
      </c>
      <c r="Y317" s="120">
        <f t="shared" si="73"/>
        <v>1.5696492413904459</v>
      </c>
      <c r="Z317" s="153">
        <v>1.01</v>
      </c>
      <c r="AA317" s="127">
        <f t="shared" si="68"/>
        <v>0.30319605742048883</v>
      </c>
      <c r="AB317" s="108">
        <v>11</v>
      </c>
      <c r="AC317" s="137">
        <f t="shared" si="74"/>
        <v>1.0413926851582251</v>
      </c>
    </row>
    <row r="318" spans="1:29" x14ac:dyDescent="0.35">
      <c r="A318" s="143">
        <v>40557</v>
      </c>
      <c r="B318" s="106" t="s">
        <v>178</v>
      </c>
      <c r="C318" s="83">
        <f t="shared" si="60"/>
        <v>9</v>
      </c>
      <c r="D318" s="106">
        <v>3787800000</v>
      </c>
      <c r="E318" s="83">
        <f t="shared" si="61"/>
        <v>9.5783870397109983</v>
      </c>
      <c r="F318" s="143">
        <v>42684</v>
      </c>
      <c r="G318" s="106">
        <v>2253500000</v>
      </c>
      <c r="H318" s="145">
        <f t="shared" si="62"/>
        <v>5.8273972602739725</v>
      </c>
      <c r="I318" s="145">
        <f t="shared" si="69"/>
        <v>0.76547462544625422</v>
      </c>
      <c r="J318" s="106">
        <v>35</v>
      </c>
      <c r="K318" s="106">
        <f t="shared" si="63"/>
        <v>1.5563025007672873</v>
      </c>
      <c r="L318" s="59">
        <v>2.95</v>
      </c>
      <c r="M318" s="59">
        <f t="shared" si="70"/>
        <v>0.46982201597816303</v>
      </c>
      <c r="N318" s="154">
        <f t="shared" si="64"/>
        <v>-0.40506362532340667</v>
      </c>
      <c r="O318" s="119">
        <f t="shared" si="65"/>
        <v>-0.22552947730400111</v>
      </c>
      <c r="P318" s="106">
        <v>1246.953</v>
      </c>
      <c r="Q318" s="106">
        <f t="shared" si="66"/>
        <v>3.0958500844125241</v>
      </c>
      <c r="R318" s="106">
        <v>3219.7179999999998</v>
      </c>
      <c r="S318" s="106">
        <f t="shared" si="67"/>
        <v>3.5078178355445662</v>
      </c>
      <c r="T318" s="106">
        <v>91</v>
      </c>
      <c r="U318" s="106">
        <f t="shared" si="71"/>
        <v>1.9590413923210936</v>
      </c>
      <c r="V318" s="119">
        <v>23.9</v>
      </c>
      <c r="W318" s="119">
        <f t="shared" si="72"/>
        <v>1.3783979009481377</v>
      </c>
      <c r="X318" s="120">
        <v>42.048698215007001</v>
      </c>
      <c r="Y318" s="120">
        <f t="shared" si="73"/>
        <v>1.6237525550259535</v>
      </c>
      <c r="Z318" s="152">
        <v>0.68</v>
      </c>
      <c r="AA318" s="119">
        <f t="shared" si="68"/>
        <v>0.2253092817258629</v>
      </c>
      <c r="AB318" s="106">
        <v>24</v>
      </c>
      <c r="AC318" s="137">
        <f t="shared" si="74"/>
        <v>1.3802112417116059</v>
      </c>
    </row>
    <row r="319" spans="1:29" x14ac:dyDescent="0.35">
      <c r="A319" s="146">
        <v>38681</v>
      </c>
      <c r="B319" s="108" t="s">
        <v>178</v>
      </c>
      <c r="C319" s="84">
        <f t="shared" si="60"/>
        <v>9</v>
      </c>
      <c r="D319" s="108">
        <v>800540000</v>
      </c>
      <c r="E319" s="84">
        <f t="shared" si="61"/>
        <v>8.9033830368740166</v>
      </c>
      <c r="F319" s="146">
        <v>40267</v>
      </c>
      <c r="G319" s="108">
        <v>43125831</v>
      </c>
      <c r="H319" s="148">
        <f t="shared" si="62"/>
        <v>4.3452054794520549</v>
      </c>
      <c r="I319" s="145">
        <f t="shared" si="69"/>
        <v>0.63801031852511025</v>
      </c>
      <c r="J319" s="108">
        <v>19</v>
      </c>
      <c r="K319" s="108">
        <f t="shared" si="63"/>
        <v>1.3010299956639813</v>
      </c>
      <c r="L319" s="65">
        <v>2.95</v>
      </c>
      <c r="M319" s="59">
        <f t="shared" si="70"/>
        <v>0.46982201597816303</v>
      </c>
      <c r="N319" s="155">
        <f t="shared" si="64"/>
        <v>-0.94612907412496561</v>
      </c>
      <c r="O319" s="127">
        <f t="shared" si="65"/>
        <v>-1.2686455602074718</v>
      </c>
      <c r="P319" s="108">
        <v>1246.953</v>
      </c>
      <c r="Q319" s="108">
        <f t="shared" si="66"/>
        <v>3.0958500844125241</v>
      </c>
      <c r="R319" s="108">
        <v>3219.7179999999998</v>
      </c>
      <c r="S319" s="108">
        <f t="shared" si="67"/>
        <v>3.5078178355445662</v>
      </c>
      <c r="T319" s="108">
        <v>85</v>
      </c>
      <c r="U319" s="106">
        <f t="shared" si="71"/>
        <v>1.9294189257142926</v>
      </c>
      <c r="V319" s="127">
        <v>25.9</v>
      </c>
      <c r="W319" s="119">
        <f t="shared" si="72"/>
        <v>1.4132997640812519</v>
      </c>
      <c r="X319" s="128">
        <v>36.959146749272797</v>
      </c>
      <c r="Y319" s="120">
        <f t="shared" si="73"/>
        <v>1.5677219364019672</v>
      </c>
      <c r="Z319" s="153">
        <v>-7.0000000000000007E-2</v>
      </c>
      <c r="AA319" s="127">
        <f t="shared" si="68"/>
        <v>-3.1517051446064911E-2</v>
      </c>
      <c r="AB319" s="108">
        <v>18</v>
      </c>
      <c r="AC319" s="137">
        <f t="shared" si="74"/>
        <v>1.255272505103306</v>
      </c>
    </row>
    <row r="320" spans="1:29" x14ac:dyDescent="0.35">
      <c r="A320" s="143">
        <v>38577</v>
      </c>
      <c r="B320" s="106" t="s">
        <v>190</v>
      </c>
      <c r="C320" s="83">
        <f t="shared" si="60"/>
        <v>2</v>
      </c>
      <c r="D320" s="106">
        <v>555000000</v>
      </c>
      <c r="E320" s="83">
        <f t="shared" si="61"/>
        <v>8.7442929831226763</v>
      </c>
      <c r="F320" s="143">
        <v>41428</v>
      </c>
      <c r="G320" s="106">
        <v>320000000</v>
      </c>
      <c r="H320" s="145">
        <f t="shared" si="62"/>
        <v>7.8109589041095893</v>
      </c>
      <c r="I320" s="145">
        <f t="shared" si="69"/>
        <v>0.89270435285298533</v>
      </c>
      <c r="J320" s="106">
        <v>12</v>
      </c>
      <c r="K320" s="106">
        <f t="shared" si="63"/>
        <v>1.1139433523068367</v>
      </c>
      <c r="L320" s="59">
        <v>2.95</v>
      </c>
      <c r="M320" s="59">
        <f t="shared" si="70"/>
        <v>0.46982201597816303</v>
      </c>
      <c r="N320" s="154">
        <f t="shared" si="64"/>
        <v>-0.42342342342342343</v>
      </c>
      <c r="O320" s="119">
        <f t="shared" si="65"/>
        <v>-0.23914300480277026</v>
      </c>
      <c r="P320" s="106">
        <v>1246.953</v>
      </c>
      <c r="Q320" s="106">
        <f t="shared" si="66"/>
        <v>3.0958500844125241</v>
      </c>
      <c r="R320" s="106">
        <v>3219.7179999999998</v>
      </c>
      <c r="S320" s="106">
        <f t="shared" si="67"/>
        <v>3.5078178355445662</v>
      </c>
      <c r="T320" s="106">
        <v>85</v>
      </c>
      <c r="U320" s="106">
        <f t="shared" si="71"/>
        <v>1.9294189257142926</v>
      </c>
      <c r="V320" s="119">
        <v>25.9</v>
      </c>
      <c r="W320" s="119">
        <f t="shared" si="72"/>
        <v>1.4132997640812519</v>
      </c>
      <c r="X320" s="120">
        <v>36.959146749272797</v>
      </c>
      <c r="Y320" s="120">
        <f t="shared" si="73"/>
        <v>1.5677219364019672</v>
      </c>
      <c r="Z320" s="152">
        <v>0.33</v>
      </c>
      <c r="AA320" s="119">
        <f t="shared" si="68"/>
        <v>0.12385164096708581</v>
      </c>
      <c r="AB320" s="106">
        <v>18</v>
      </c>
      <c r="AC320" s="137">
        <f t="shared" si="74"/>
        <v>1.255272505103306</v>
      </c>
    </row>
    <row r="321" spans="1:29" x14ac:dyDescent="0.35">
      <c r="A321" s="146">
        <v>38929</v>
      </c>
      <c r="B321" s="108" t="s">
        <v>248</v>
      </c>
      <c r="C321" s="84">
        <f t="shared" si="60"/>
        <v>5</v>
      </c>
      <c r="D321" s="108">
        <v>1100000000</v>
      </c>
      <c r="E321" s="84">
        <f t="shared" si="61"/>
        <v>9.0413926851582254</v>
      </c>
      <c r="F321" s="146">
        <v>40415</v>
      </c>
      <c r="G321" s="108">
        <v>0</v>
      </c>
      <c r="H321" s="148">
        <f t="shared" si="62"/>
        <v>4.0712328767123287</v>
      </c>
      <c r="I321" s="145">
        <f t="shared" si="69"/>
        <v>0.60972594496808175</v>
      </c>
      <c r="J321" s="108">
        <v>74</v>
      </c>
      <c r="K321" s="108">
        <f t="shared" si="63"/>
        <v>1.8750612633917001</v>
      </c>
      <c r="L321" s="65">
        <v>2.95</v>
      </c>
      <c r="M321" s="59">
        <f t="shared" si="70"/>
        <v>0.46982201597816303</v>
      </c>
      <c r="N321" s="155">
        <f t="shared" si="64"/>
        <v>-1</v>
      </c>
      <c r="O321" s="127">
        <f t="shared" si="65"/>
        <v>-1</v>
      </c>
      <c r="P321" s="108">
        <v>1246.953</v>
      </c>
      <c r="Q321" s="108">
        <f t="shared" si="66"/>
        <v>3.0958500844125241</v>
      </c>
      <c r="R321" s="108">
        <v>3219.7179999999998</v>
      </c>
      <c r="S321" s="108">
        <f t="shared" si="67"/>
        <v>3.5078178355445662</v>
      </c>
      <c r="T321" s="108">
        <v>93.2</v>
      </c>
      <c r="U321" s="106">
        <f t="shared" si="71"/>
        <v>1.9694159123539814</v>
      </c>
      <c r="V321" s="127">
        <v>26.7</v>
      </c>
      <c r="W321" s="119">
        <f t="shared" si="72"/>
        <v>1.4265112613645752</v>
      </c>
      <c r="X321" s="128">
        <v>36.669158714517401</v>
      </c>
      <c r="Y321" s="120">
        <f t="shared" si="73"/>
        <v>1.5643009462345601</v>
      </c>
      <c r="Z321" s="153">
        <v>-0.17</v>
      </c>
      <c r="AA321" s="127">
        <f t="shared" si="68"/>
        <v>-8.092190762392612E-2</v>
      </c>
      <c r="AB321" s="108">
        <v>19</v>
      </c>
      <c r="AC321" s="137">
        <f t="shared" si="74"/>
        <v>1.2787536009528289</v>
      </c>
    </row>
    <row r="322" spans="1:29" x14ac:dyDescent="0.35">
      <c r="A322" s="143">
        <v>39106</v>
      </c>
      <c r="B322" s="106" t="s">
        <v>178</v>
      </c>
      <c r="C322" s="83">
        <f t="shared" ref="C322:C351" si="75">IF(B322="Consumer Discretionary",5,IF(B322="Industrials",1,IF(B322="Energy",3,IF(B322="Health Care",2,IF(B322="Communications",4,IF(B322="Financials",6,IF(B322="Consumer Staples",7,IF(B322="Materials",8,IF(B322="Technology",9,IF(B322="Utilities",10,""))))))))))</f>
        <v>9</v>
      </c>
      <c r="D322" s="106">
        <v>1271390000</v>
      </c>
      <c r="E322" s="83">
        <f t="shared" ref="E322:E351" si="76">LOG(D322)</f>
        <v>9.1042787912049477</v>
      </c>
      <c r="F322" s="143">
        <v>41288</v>
      </c>
      <c r="G322" s="106">
        <v>1015000000</v>
      </c>
      <c r="H322" s="145">
        <f t="shared" ref="H322:H351" si="77">YEARFRAC(A322,F322,3)</f>
        <v>5.978082191780822</v>
      </c>
      <c r="I322" s="145">
        <f t="shared" si="69"/>
        <v>0.7765618817958484</v>
      </c>
      <c r="J322" s="106">
        <v>15</v>
      </c>
      <c r="K322" s="106">
        <f t="shared" ref="K322:K351" si="78">LOG(1+J322)</f>
        <v>1.2041199826559248</v>
      </c>
      <c r="L322" s="59">
        <v>2.95</v>
      </c>
      <c r="M322" s="59">
        <f t="shared" si="70"/>
        <v>0.46982201597816303</v>
      </c>
      <c r="N322" s="154">
        <f t="shared" ref="N322:N351" si="79">(G322/D322)-1</f>
        <v>-0.20166117399067163</v>
      </c>
      <c r="O322" s="119">
        <f t="shared" ref="O322:O351" si="80">IF(N322=-1,LOG(0.1),LOG(1+N322))</f>
        <v>-9.7812748955715761E-2</v>
      </c>
      <c r="P322" s="106">
        <v>1246.953</v>
      </c>
      <c r="Q322" s="106">
        <f t="shared" ref="Q322:Q351" si="81">LOG(P322)</f>
        <v>3.0958500844125241</v>
      </c>
      <c r="R322" s="106">
        <v>3219.7179999999998</v>
      </c>
      <c r="S322" s="106">
        <f t="shared" ref="S322:S351" si="82">LOG(R322)</f>
        <v>3.5078178355445662</v>
      </c>
      <c r="T322" s="106">
        <v>91.4</v>
      </c>
      <c r="U322" s="106">
        <f t="shared" si="71"/>
        <v>1.9609461957338314</v>
      </c>
      <c r="V322" s="119">
        <v>26.7</v>
      </c>
      <c r="W322" s="119">
        <f t="shared" si="72"/>
        <v>1.4265112613645752</v>
      </c>
      <c r="X322" s="120">
        <v>37.425715444240403</v>
      </c>
      <c r="Y322" s="120">
        <f t="shared" si="73"/>
        <v>1.5731701112332821</v>
      </c>
      <c r="Z322" s="152">
        <v>0.02</v>
      </c>
      <c r="AA322" s="119">
        <f t="shared" ref="AA322:AA351" si="83">LOG(1+Z322)</f>
        <v>8.6001717619175692E-3</v>
      </c>
      <c r="AB322" s="106">
        <v>20</v>
      </c>
      <c r="AC322" s="137">
        <f t="shared" si="74"/>
        <v>1.3010299956639813</v>
      </c>
    </row>
    <row r="323" spans="1:29" x14ac:dyDescent="0.35">
      <c r="A323" s="146">
        <v>39295</v>
      </c>
      <c r="B323" s="108" t="s">
        <v>235</v>
      </c>
      <c r="C323" s="84">
        <f t="shared" si="75"/>
        <v>1</v>
      </c>
      <c r="D323" s="108">
        <v>1475000000</v>
      </c>
      <c r="E323" s="84">
        <f t="shared" si="76"/>
        <v>9.1687920203141822</v>
      </c>
      <c r="F323" s="146">
        <v>42034</v>
      </c>
      <c r="G323" s="108">
        <v>1400000000</v>
      </c>
      <c r="H323" s="148">
        <f t="shared" si="77"/>
        <v>7.5041095890410956</v>
      </c>
      <c r="I323" s="145">
        <f t="shared" ref="I323:I351" si="84">LOG(H323)</f>
        <v>0.87529916779748662</v>
      </c>
      <c r="J323" s="108">
        <v>109</v>
      </c>
      <c r="K323" s="108">
        <f t="shared" si="78"/>
        <v>2.0413926851582249</v>
      </c>
      <c r="L323" s="65">
        <v>2.95</v>
      </c>
      <c r="M323" s="59">
        <f t="shared" ref="M323:M351" si="85">LOG(L323)</f>
        <v>0.46982201597816303</v>
      </c>
      <c r="N323" s="155">
        <f t="shared" si="79"/>
        <v>-5.084745762711862E-2</v>
      </c>
      <c r="O323" s="127">
        <f t="shared" si="80"/>
        <v>-2.2663984635943761E-2</v>
      </c>
      <c r="P323" s="108">
        <v>1246.953</v>
      </c>
      <c r="Q323" s="108">
        <f t="shared" si="81"/>
        <v>3.0958500844125241</v>
      </c>
      <c r="R323" s="108">
        <v>3219.7179999999998</v>
      </c>
      <c r="S323" s="108">
        <f t="shared" si="82"/>
        <v>3.5078178355445662</v>
      </c>
      <c r="T323" s="108">
        <v>91.4</v>
      </c>
      <c r="U323" s="106">
        <f t="shared" ref="U323:U351" si="86">LOG(T323)</f>
        <v>1.9609461957338314</v>
      </c>
      <c r="V323" s="127">
        <v>26.7</v>
      </c>
      <c r="W323" s="119">
        <f t="shared" ref="W323:W351" si="87">LOG(V323)</f>
        <v>1.4265112613645752</v>
      </c>
      <c r="X323" s="128">
        <v>37.425715444240403</v>
      </c>
      <c r="Y323" s="120">
        <f t="shared" ref="Y323:Y351" si="88">LOG(X323)</f>
        <v>1.5731701112332821</v>
      </c>
      <c r="Z323" s="153">
        <v>0.36</v>
      </c>
      <c r="AA323" s="127">
        <f t="shared" si="83"/>
        <v>0.13353890837021748</v>
      </c>
      <c r="AB323" s="108">
        <v>20</v>
      </c>
      <c r="AC323" s="137">
        <f t="shared" ref="AC323:AC351" si="89">IF(AB323=0,0,LOG(AB323))</f>
        <v>1.3010299956639813</v>
      </c>
    </row>
    <row r="324" spans="1:29" x14ac:dyDescent="0.35">
      <c r="A324" s="143">
        <v>39301</v>
      </c>
      <c r="B324" s="106" t="s">
        <v>235</v>
      </c>
      <c r="C324" s="83">
        <f t="shared" si="75"/>
        <v>1</v>
      </c>
      <c r="D324" s="106">
        <v>5575000000</v>
      </c>
      <c r="E324" s="83">
        <f t="shared" si="76"/>
        <v>9.746244871720199</v>
      </c>
      <c r="F324" s="143">
        <v>41885</v>
      </c>
      <c r="G324" s="106">
        <v>4868400000</v>
      </c>
      <c r="H324" s="145">
        <f t="shared" si="77"/>
        <v>7.0794520547945208</v>
      </c>
      <c r="I324" s="145">
        <f t="shared" si="84"/>
        <v>0.84999964486657176</v>
      </c>
      <c r="J324" s="106">
        <v>92</v>
      </c>
      <c r="K324" s="106">
        <f t="shared" si="78"/>
        <v>1.968482948553935</v>
      </c>
      <c r="L324" s="59">
        <v>2.95</v>
      </c>
      <c r="M324" s="59">
        <f t="shared" si="85"/>
        <v>0.46982201597816303</v>
      </c>
      <c r="N324" s="154">
        <f t="shared" si="79"/>
        <v>-0.12674439461883413</v>
      </c>
      <c r="O324" s="119">
        <f t="shared" si="80"/>
        <v>-5.8858617968247297E-2</v>
      </c>
      <c r="P324" s="106">
        <v>1246.953</v>
      </c>
      <c r="Q324" s="106">
        <f t="shared" si="81"/>
        <v>3.0958500844125241</v>
      </c>
      <c r="R324" s="106">
        <v>3219.7179999999998</v>
      </c>
      <c r="S324" s="106">
        <f t="shared" si="82"/>
        <v>3.5078178355445662</v>
      </c>
      <c r="T324" s="106">
        <v>91.4</v>
      </c>
      <c r="U324" s="106">
        <f t="shared" si="86"/>
        <v>1.9609461957338314</v>
      </c>
      <c r="V324" s="119">
        <v>26.7</v>
      </c>
      <c r="W324" s="119">
        <f t="shared" si="87"/>
        <v>1.4265112613645752</v>
      </c>
      <c r="X324" s="120">
        <v>37.425715444240403</v>
      </c>
      <c r="Y324" s="120">
        <f t="shared" si="88"/>
        <v>1.5731701112332821</v>
      </c>
      <c r="Z324" s="152">
        <v>0.35</v>
      </c>
      <c r="AA324" s="119">
        <f t="shared" si="83"/>
        <v>0.13033376849500614</v>
      </c>
      <c r="AB324" s="106">
        <v>20</v>
      </c>
      <c r="AC324" s="137">
        <f t="shared" si="89"/>
        <v>1.3010299956639813</v>
      </c>
    </row>
    <row r="325" spans="1:29" x14ac:dyDescent="0.35">
      <c r="A325" s="146">
        <v>39462</v>
      </c>
      <c r="B325" s="108" t="s">
        <v>190</v>
      </c>
      <c r="C325" s="84">
        <f t="shared" si="75"/>
        <v>2</v>
      </c>
      <c r="D325" s="108">
        <v>201960000</v>
      </c>
      <c r="E325" s="84">
        <f t="shared" si="76"/>
        <v>8.305265362023448</v>
      </c>
      <c r="F325" s="146">
        <v>40301</v>
      </c>
      <c r="G325" s="108">
        <v>44000000</v>
      </c>
      <c r="H325" s="148">
        <f t="shared" si="77"/>
        <v>2.2986301369863016</v>
      </c>
      <c r="I325" s="145">
        <f t="shared" si="84"/>
        <v>0.36146909637222563</v>
      </c>
      <c r="J325" s="108">
        <v>43</v>
      </c>
      <c r="K325" s="108">
        <f t="shared" si="78"/>
        <v>1.6434526764861874</v>
      </c>
      <c r="L325" s="65">
        <v>2.95</v>
      </c>
      <c r="M325" s="59">
        <f t="shared" si="85"/>
        <v>0.46982201597816303</v>
      </c>
      <c r="N325" s="155">
        <f t="shared" si="79"/>
        <v>-0.78213507625272327</v>
      </c>
      <c r="O325" s="127">
        <f t="shared" si="80"/>
        <v>-0.66181268553726114</v>
      </c>
      <c r="P325" s="108">
        <v>1421.558</v>
      </c>
      <c r="Q325" s="108">
        <f t="shared" si="81"/>
        <v>3.1527645837352773</v>
      </c>
      <c r="R325" s="108">
        <v>3476.3409999999999</v>
      </c>
      <c r="S325" s="108">
        <f t="shared" si="82"/>
        <v>3.5411223705253856</v>
      </c>
      <c r="T325" s="108">
        <v>92.6</v>
      </c>
      <c r="U325" s="106">
        <f t="shared" si="86"/>
        <v>1.9666109866819343</v>
      </c>
      <c r="V325" s="127">
        <v>25.7</v>
      </c>
      <c r="W325" s="119">
        <f t="shared" si="87"/>
        <v>1.4099331233312946</v>
      </c>
      <c r="X325" s="128">
        <v>39.823361151429197</v>
      </c>
      <c r="Y325" s="120">
        <f t="shared" si="88"/>
        <v>1.6001379123442065</v>
      </c>
      <c r="Z325" s="153">
        <v>-0.13</v>
      </c>
      <c r="AA325" s="127">
        <f t="shared" si="83"/>
        <v>-6.0480747381381476E-2</v>
      </c>
      <c r="AB325" s="108">
        <v>42</v>
      </c>
      <c r="AC325" s="137">
        <f t="shared" si="89"/>
        <v>1.6232492903979006</v>
      </c>
    </row>
    <row r="326" spans="1:29" x14ac:dyDescent="0.35">
      <c r="A326" s="143">
        <v>33969</v>
      </c>
      <c r="B326" s="106" t="s">
        <v>178</v>
      </c>
      <c r="C326" s="83">
        <f t="shared" si="75"/>
        <v>9</v>
      </c>
      <c r="D326" s="106">
        <v>10000000</v>
      </c>
      <c r="E326" s="83">
        <f t="shared" si="76"/>
        <v>7</v>
      </c>
      <c r="F326" s="143">
        <v>34843</v>
      </c>
      <c r="G326" s="106">
        <v>41889000</v>
      </c>
      <c r="H326" s="145">
        <f t="shared" si="77"/>
        <v>2.3945205479452056</v>
      </c>
      <c r="I326" s="145">
        <f t="shared" si="84"/>
        <v>0.37921856817792837</v>
      </c>
      <c r="J326" s="106">
        <v>5</v>
      </c>
      <c r="K326" s="106">
        <f t="shared" si="78"/>
        <v>0.77815125038364363</v>
      </c>
      <c r="L326" s="59">
        <v>2.95</v>
      </c>
      <c r="M326" s="59">
        <f t="shared" si="85"/>
        <v>0.46982201597816303</v>
      </c>
      <c r="N326" s="154">
        <f t="shared" si="79"/>
        <v>3.1889000000000003</v>
      </c>
      <c r="O326" s="119">
        <f t="shared" si="80"/>
        <v>0.6220999927396933</v>
      </c>
      <c r="P326" s="106">
        <v>1421.558</v>
      </c>
      <c r="Q326" s="106">
        <f t="shared" si="81"/>
        <v>3.1527645837352773</v>
      </c>
      <c r="R326" s="106">
        <v>3476.3409999999999</v>
      </c>
      <c r="S326" s="106">
        <f t="shared" si="82"/>
        <v>3.5411223705253856</v>
      </c>
      <c r="T326" s="106">
        <v>85</v>
      </c>
      <c r="U326" s="106">
        <f t="shared" si="86"/>
        <v>1.9294189257142926</v>
      </c>
      <c r="V326" s="119">
        <v>25.7</v>
      </c>
      <c r="W326" s="119">
        <f t="shared" si="87"/>
        <v>1.4099331233312946</v>
      </c>
      <c r="X326" s="120">
        <v>39.367752568237798</v>
      </c>
      <c r="Y326" s="120">
        <f t="shared" si="88"/>
        <v>1.5951406224338005</v>
      </c>
      <c r="Z326" s="152">
        <v>0.21</v>
      </c>
      <c r="AA326" s="119">
        <f t="shared" si="83"/>
        <v>8.2785370316450071E-2</v>
      </c>
      <c r="AB326" s="106">
        <v>26</v>
      </c>
      <c r="AC326" s="137">
        <f t="shared" si="89"/>
        <v>1.414973347970818</v>
      </c>
    </row>
    <row r="327" spans="1:29" x14ac:dyDescent="0.35">
      <c r="A327" s="146">
        <v>33785</v>
      </c>
      <c r="B327" s="108" t="s">
        <v>235</v>
      </c>
      <c r="C327" s="84">
        <f t="shared" si="75"/>
        <v>1</v>
      </c>
      <c r="D327" s="108">
        <v>16000000</v>
      </c>
      <c r="E327" s="84">
        <f t="shared" si="76"/>
        <v>7.204119982655925</v>
      </c>
      <c r="F327" s="146">
        <v>35135</v>
      </c>
      <c r="G327" s="108">
        <v>0</v>
      </c>
      <c r="H327" s="148">
        <f t="shared" si="77"/>
        <v>3.6986301369863015</v>
      </c>
      <c r="I327" s="145">
        <f t="shared" si="84"/>
        <v>0.56804090403853147</v>
      </c>
      <c r="J327" s="108">
        <v>55</v>
      </c>
      <c r="K327" s="108">
        <f t="shared" si="78"/>
        <v>1.7481880270062005</v>
      </c>
      <c r="L327" s="65">
        <v>2.95</v>
      </c>
      <c r="M327" s="59">
        <f t="shared" si="85"/>
        <v>0.46982201597816303</v>
      </c>
      <c r="N327" s="155">
        <f t="shared" si="79"/>
        <v>-1</v>
      </c>
      <c r="O327" s="127">
        <f t="shared" si="80"/>
        <v>-1</v>
      </c>
      <c r="P327" s="108">
        <v>1421.558</v>
      </c>
      <c r="Q327" s="108">
        <f t="shared" si="81"/>
        <v>3.1527645837352773</v>
      </c>
      <c r="R327" s="108">
        <v>3476.3409999999999</v>
      </c>
      <c r="S327" s="108">
        <f t="shared" si="82"/>
        <v>3.5411223705253856</v>
      </c>
      <c r="T327" s="108">
        <v>85</v>
      </c>
      <c r="U327" s="106">
        <f t="shared" si="86"/>
        <v>1.9294189257142926</v>
      </c>
      <c r="V327" s="127">
        <v>25.7</v>
      </c>
      <c r="W327" s="119">
        <f t="shared" si="87"/>
        <v>1.4099331233312946</v>
      </c>
      <c r="X327" s="128">
        <v>39.367752568237798</v>
      </c>
      <c r="Y327" s="120">
        <f t="shared" si="88"/>
        <v>1.5951406224338005</v>
      </c>
      <c r="Z327" s="153">
        <v>0.56999999999999995</v>
      </c>
      <c r="AA327" s="127">
        <f t="shared" si="83"/>
        <v>0.19589965240923368</v>
      </c>
      <c r="AB327" s="108">
        <v>26</v>
      </c>
      <c r="AC327" s="137">
        <f t="shared" si="89"/>
        <v>1.414973347970818</v>
      </c>
    </row>
    <row r="328" spans="1:29" x14ac:dyDescent="0.35">
      <c r="A328" s="143">
        <v>40725</v>
      </c>
      <c r="B328" s="106" t="s">
        <v>190</v>
      </c>
      <c r="C328" s="83">
        <f t="shared" si="75"/>
        <v>2</v>
      </c>
      <c r="D328" s="106">
        <v>676540000</v>
      </c>
      <c r="E328" s="83">
        <f t="shared" si="76"/>
        <v>8.8302934790795664</v>
      </c>
      <c r="F328" s="143">
        <v>41490</v>
      </c>
      <c r="G328" s="106">
        <v>0</v>
      </c>
      <c r="H328" s="145">
        <f t="shared" si="77"/>
        <v>2.095890410958904</v>
      </c>
      <c r="I328" s="145">
        <f t="shared" si="84"/>
        <v>0.32136857069714286</v>
      </c>
      <c r="J328" s="106">
        <v>63</v>
      </c>
      <c r="K328" s="106">
        <f t="shared" si="78"/>
        <v>1.8061799739838871</v>
      </c>
      <c r="L328" s="59">
        <v>2.95</v>
      </c>
      <c r="M328" s="59">
        <f t="shared" si="85"/>
        <v>0.46982201597816303</v>
      </c>
      <c r="N328" s="154">
        <f t="shared" si="79"/>
        <v>-1</v>
      </c>
      <c r="O328" s="119">
        <f t="shared" si="80"/>
        <v>-1</v>
      </c>
      <c r="P328" s="106">
        <v>1421.558</v>
      </c>
      <c r="Q328" s="106">
        <f t="shared" si="81"/>
        <v>3.1527645837352773</v>
      </c>
      <c r="R328" s="106">
        <v>3476.3409999999999</v>
      </c>
      <c r="S328" s="106">
        <f t="shared" si="82"/>
        <v>3.5411223705253856</v>
      </c>
      <c r="T328" s="106">
        <v>91</v>
      </c>
      <c r="U328" s="106">
        <f t="shared" si="86"/>
        <v>1.9590413923210936</v>
      </c>
      <c r="V328" s="119">
        <v>23.9</v>
      </c>
      <c r="W328" s="119">
        <f t="shared" si="87"/>
        <v>1.3783979009481377</v>
      </c>
      <c r="X328" s="120">
        <v>42.048698215007001</v>
      </c>
      <c r="Y328" s="120">
        <f t="shared" si="88"/>
        <v>1.6237525550259535</v>
      </c>
      <c r="Z328" s="152">
        <v>0.28000000000000003</v>
      </c>
      <c r="AA328" s="119">
        <f t="shared" si="83"/>
        <v>0.10720996964786837</v>
      </c>
      <c r="AB328" s="106">
        <v>45</v>
      </c>
      <c r="AC328" s="137">
        <f t="shared" si="89"/>
        <v>1.6532125137753437</v>
      </c>
    </row>
    <row r="329" spans="1:29" x14ac:dyDescent="0.35">
      <c r="A329" s="146">
        <v>38132</v>
      </c>
      <c r="B329" s="108" t="s">
        <v>190</v>
      </c>
      <c r="C329" s="84">
        <f t="shared" si="75"/>
        <v>2</v>
      </c>
      <c r="D329" s="108">
        <v>51000000</v>
      </c>
      <c r="E329" s="84">
        <f t="shared" si="76"/>
        <v>7.7075701760979367</v>
      </c>
      <c r="F329" s="146">
        <v>40128</v>
      </c>
      <c r="G329" s="108">
        <v>0</v>
      </c>
      <c r="H329" s="148">
        <f t="shared" si="77"/>
        <v>5.4684931506849317</v>
      </c>
      <c r="I329" s="145">
        <f t="shared" si="84"/>
        <v>0.73786767249487761</v>
      </c>
      <c r="J329" s="108">
        <v>12</v>
      </c>
      <c r="K329" s="108">
        <f t="shared" si="78"/>
        <v>1.1139433523068367</v>
      </c>
      <c r="L329" s="65">
        <v>2.95</v>
      </c>
      <c r="M329" s="59">
        <f t="shared" si="85"/>
        <v>0.46982201597816303</v>
      </c>
      <c r="N329" s="155">
        <f t="shared" si="79"/>
        <v>-1</v>
      </c>
      <c r="O329" s="127">
        <f t="shared" si="80"/>
        <v>-1</v>
      </c>
      <c r="P329" s="108">
        <v>1421.558</v>
      </c>
      <c r="Q329" s="108">
        <f t="shared" si="81"/>
        <v>3.1527645837352773</v>
      </c>
      <c r="R329" s="108">
        <v>3476.3409999999999</v>
      </c>
      <c r="S329" s="108">
        <f t="shared" si="82"/>
        <v>3.5411223705253856</v>
      </c>
      <c r="T329" s="108">
        <v>85</v>
      </c>
      <c r="U329" s="106">
        <f t="shared" si="86"/>
        <v>1.9294189257142926</v>
      </c>
      <c r="V329" s="127">
        <v>24.6</v>
      </c>
      <c r="W329" s="119">
        <f t="shared" si="87"/>
        <v>1.3909351071033791</v>
      </c>
      <c r="X329" s="128">
        <v>36.876470987978301</v>
      </c>
      <c r="Y329" s="120">
        <f t="shared" si="88"/>
        <v>1.5667493531684615</v>
      </c>
      <c r="Z329" s="153">
        <v>-0.01</v>
      </c>
      <c r="AA329" s="127">
        <f t="shared" si="83"/>
        <v>-4.3648054024500883E-3</v>
      </c>
      <c r="AB329" s="108">
        <v>38</v>
      </c>
      <c r="AC329" s="137">
        <f t="shared" si="89"/>
        <v>1.5797835966168101</v>
      </c>
    </row>
    <row r="330" spans="1:29" x14ac:dyDescent="0.35">
      <c r="A330" s="143">
        <v>36692</v>
      </c>
      <c r="B330" s="106" t="s">
        <v>248</v>
      </c>
      <c r="C330" s="83">
        <f t="shared" si="75"/>
        <v>5</v>
      </c>
      <c r="D330" s="106">
        <v>65580000</v>
      </c>
      <c r="E330" s="83">
        <f t="shared" si="76"/>
        <v>7.8167714123333463</v>
      </c>
      <c r="F330" s="143">
        <v>37610</v>
      </c>
      <c r="G330" s="106">
        <v>0</v>
      </c>
      <c r="H330" s="145">
        <f t="shared" si="77"/>
        <v>2.515068493150685</v>
      </c>
      <c r="I330" s="145">
        <f t="shared" si="84"/>
        <v>0.40054981674476775</v>
      </c>
      <c r="J330" s="106">
        <v>11</v>
      </c>
      <c r="K330" s="106">
        <f t="shared" si="78"/>
        <v>1.0791812460476249</v>
      </c>
      <c r="L330" s="59">
        <v>2.95</v>
      </c>
      <c r="M330" s="59">
        <f t="shared" si="85"/>
        <v>0.46982201597816303</v>
      </c>
      <c r="N330" s="154">
        <f t="shared" si="79"/>
        <v>-1</v>
      </c>
      <c r="O330" s="119">
        <f t="shared" si="80"/>
        <v>-1</v>
      </c>
      <c r="P330" s="106">
        <v>1421.558</v>
      </c>
      <c r="Q330" s="106">
        <f t="shared" si="81"/>
        <v>3.1527645837352773</v>
      </c>
      <c r="R330" s="106">
        <v>3476.3409999999999</v>
      </c>
      <c r="S330" s="106">
        <f t="shared" si="82"/>
        <v>3.5411223705253856</v>
      </c>
      <c r="T330" s="106">
        <v>85</v>
      </c>
      <c r="U330" s="106">
        <f t="shared" si="86"/>
        <v>1.9294189257142926</v>
      </c>
      <c r="V330" s="119">
        <v>28.2</v>
      </c>
      <c r="W330" s="119">
        <f t="shared" si="87"/>
        <v>1.4502491083193612</v>
      </c>
      <c r="X330" s="120">
        <v>34.298950279384798</v>
      </c>
      <c r="Y330" s="120">
        <f t="shared" si="88"/>
        <v>1.5352808286478177</v>
      </c>
      <c r="Z330" s="152">
        <v>-0.39</v>
      </c>
      <c r="AA330" s="119">
        <f t="shared" si="83"/>
        <v>-0.21467016498923297</v>
      </c>
      <c r="AB330" s="106">
        <v>34</v>
      </c>
      <c r="AC330" s="137">
        <f t="shared" si="89"/>
        <v>1.5314789170422551</v>
      </c>
    </row>
    <row r="331" spans="1:29" x14ac:dyDescent="0.35">
      <c r="A331" s="146">
        <v>40466</v>
      </c>
      <c r="B331" s="108" t="s">
        <v>190</v>
      </c>
      <c r="C331" s="84">
        <f t="shared" si="75"/>
        <v>2</v>
      </c>
      <c r="D331" s="108">
        <v>48800000</v>
      </c>
      <c r="E331" s="84">
        <f t="shared" si="76"/>
        <v>7.6884198220027109</v>
      </c>
      <c r="F331" s="146">
        <v>41260</v>
      </c>
      <c r="G331" s="108">
        <v>338050000</v>
      </c>
      <c r="H331" s="148">
        <f t="shared" si="77"/>
        <v>2.1753424657534248</v>
      </c>
      <c r="I331" s="145">
        <f t="shared" si="84"/>
        <v>0.33752763797062157</v>
      </c>
      <c r="J331" s="108">
        <v>21</v>
      </c>
      <c r="K331" s="108">
        <f t="shared" si="78"/>
        <v>1.3424226808222062</v>
      </c>
      <c r="L331" s="65">
        <v>2.95</v>
      </c>
      <c r="M331" s="59">
        <f t="shared" si="85"/>
        <v>0.46982201597816303</v>
      </c>
      <c r="N331" s="155">
        <f t="shared" si="79"/>
        <v>5.9272540983606561</v>
      </c>
      <c r="O331" s="127">
        <f t="shared" si="80"/>
        <v>0.84056111826942603</v>
      </c>
      <c r="P331" s="108">
        <v>1455.046</v>
      </c>
      <c r="Q331" s="108">
        <f t="shared" si="81"/>
        <v>3.1628767233771686</v>
      </c>
      <c r="R331" s="108">
        <v>4062.5129999999999</v>
      </c>
      <c r="S331" s="108">
        <f t="shared" si="82"/>
        <v>3.6087947637270492</v>
      </c>
      <c r="T331" s="108">
        <v>91.3</v>
      </c>
      <c r="U331" s="106">
        <f t="shared" si="86"/>
        <v>1.9604707775342989</v>
      </c>
      <c r="V331" s="127">
        <v>23.5</v>
      </c>
      <c r="W331" s="119">
        <f t="shared" si="87"/>
        <v>1.3710678622717363</v>
      </c>
      <c r="X331" s="128">
        <v>43.1672842383418</v>
      </c>
      <c r="Y331" s="120">
        <f t="shared" si="88"/>
        <v>1.6351547269652249</v>
      </c>
      <c r="Z331" s="153">
        <v>0.22</v>
      </c>
      <c r="AA331" s="127">
        <f t="shared" si="83"/>
        <v>8.6359830674748214E-2</v>
      </c>
      <c r="AB331" s="108">
        <v>18</v>
      </c>
      <c r="AC331" s="137">
        <f t="shared" si="89"/>
        <v>1.255272505103306</v>
      </c>
    </row>
    <row r="332" spans="1:29" x14ac:dyDescent="0.35">
      <c r="A332" s="143">
        <v>41373</v>
      </c>
      <c r="B332" s="106" t="s">
        <v>178</v>
      </c>
      <c r="C332" s="83">
        <f t="shared" si="75"/>
        <v>9</v>
      </c>
      <c r="D332" s="106">
        <v>1000000000</v>
      </c>
      <c r="E332" s="83">
        <f t="shared" si="76"/>
        <v>9</v>
      </c>
      <c r="F332" s="143">
        <v>43374</v>
      </c>
      <c r="G332" s="106">
        <v>1450000000</v>
      </c>
      <c r="H332" s="145">
        <f t="shared" si="77"/>
        <v>5.4821917808219176</v>
      </c>
      <c r="I332" s="145">
        <f t="shared" si="84"/>
        <v>0.73895422417973666</v>
      </c>
      <c r="J332" s="106">
        <v>18</v>
      </c>
      <c r="K332" s="106">
        <f t="shared" si="78"/>
        <v>1.2787536009528289</v>
      </c>
      <c r="L332" s="59">
        <v>2.95</v>
      </c>
      <c r="M332" s="59">
        <f t="shared" si="85"/>
        <v>0.46982201597816303</v>
      </c>
      <c r="N332" s="154">
        <f t="shared" si="79"/>
        <v>0.44999999999999996</v>
      </c>
      <c r="O332" s="119">
        <f t="shared" si="80"/>
        <v>0.16136800223497488</v>
      </c>
      <c r="P332" s="106">
        <v>1455.046</v>
      </c>
      <c r="Q332" s="106">
        <f t="shared" si="81"/>
        <v>3.1628767233771686</v>
      </c>
      <c r="R332" s="106">
        <v>4062.5129999999999</v>
      </c>
      <c r="S332" s="106">
        <f t="shared" si="82"/>
        <v>3.6087947637270492</v>
      </c>
      <c r="T332" s="106">
        <v>90.5</v>
      </c>
      <c r="U332" s="106">
        <f t="shared" si="86"/>
        <v>1.9566485792052033</v>
      </c>
      <c r="V332" s="119">
        <v>25.7</v>
      </c>
      <c r="W332" s="119">
        <f t="shared" si="87"/>
        <v>1.4099331233312946</v>
      </c>
      <c r="X332" s="120">
        <v>39.010023979360902</v>
      </c>
      <c r="Y332" s="120">
        <f t="shared" si="88"/>
        <v>1.5911762172715689</v>
      </c>
      <c r="Z332" s="152">
        <v>0.86</v>
      </c>
      <c r="AA332" s="119">
        <f t="shared" si="83"/>
        <v>0.26951294421791627</v>
      </c>
      <c r="AB332" s="106">
        <v>21</v>
      </c>
      <c r="AC332" s="137">
        <f t="shared" si="89"/>
        <v>1.3222192947339193</v>
      </c>
    </row>
    <row r="333" spans="1:29" x14ac:dyDescent="0.35">
      <c r="A333" s="146">
        <v>36598</v>
      </c>
      <c r="B333" s="108" t="s">
        <v>178</v>
      </c>
      <c r="C333" s="84">
        <f t="shared" si="75"/>
        <v>9</v>
      </c>
      <c r="D333" s="108">
        <v>40000000</v>
      </c>
      <c r="E333" s="84">
        <f t="shared" si="76"/>
        <v>7.6020599913279625</v>
      </c>
      <c r="F333" s="146">
        <v>38694</v>
      </c>
      <c r="G333" s="108">
        <v>0</v>
      </c>
      <c r="H333" s="148">
        <f t="shared" si="77"/>
        <v>5.7424657534246579</v>
      </c>
      <c r="I333" s="145">
        <f t="shared" si="84"/>
        <v>0.75909841385521437</v>
      </c>
      <c r="J333" s="108">
        <v>4</v>
      </c>
      <c r="K333" s="108">
        <f t="shared" si="78"/>
        <v>0.69897000433601886</v>
      </c>
      <c r="L333" s="65">
        <v>2.95</v>
      </c>
      <c r="M333" s="59">
        <f t="shared" si="85"/>
        <v>0.46982201597816303</v>
      </c>
      <c r="N333" s="155">
        <f t="shared" si="79"/>
        <v>-1</v>
      </c>
      <c r="O333" s="127">
        <f t="shared" si="80"/>
        <v>-1</v>
      </c>
      <c r="P333" s="108">
        <v>1246.953</v>
      </c>
      <c r="Q333" s="108">
        <f t="shared" si="81"/>
        <v>3.0958500844125241</v>
      </c>
      <c r="R333" s="108">
        <v>3219.7179999999998</v>
      </c>
      <c r="S333" s="108">
        <f t="shared" si="82"/>
        <v>3.5078178355445662</v>
      </c>
      <c r="T333" s="108">
        <v>85</v>
      </c>
      <c r="U333" s="106">
        <f t="shared" si="86"/>
        <v>1.9294189257142926</v>
      </c>
      <c r="V333" s="127">
        <v>28.2</v>
      </c>
      <c r="W333" s="119">
        <f t="shared" si="87"/>
        <v>1.4502491083193612</v>
      </c>
      <c r="X333" s="128">
        <v>34.298950279384798</v>
      </c>
      <c r="Y333" s="120">
        <f t="shared" si="88"/>
        <v>1.5352808286478177</v>
      </c>
      <c r="Z333" s="153">
        <v>-0.09</v>
      </c>
      <c r="AA333" s="127">
        <f t="shared" si="83"/>
        <v>-4.0958607678906384E-2</v>
      </c>
      <c r="AB333" s="108">
        <v>13</v>
      </c>
      <c r="AC333" s="137">
        <f t="shared" si="89"/>
        <v>1.1139433523068367</v>
      </c>
    </row>
    <row r="334" spans="1:29" x14ac:dyDescent="0.35">
      <c r="A334" s="143">
        <v>36991</v>
      </c>
      <c r="B334" s="106" t="s">
        <v>186</v>
      </c>
      <c r="C334" s="83">
        <f t="shared" si="75"/>
        <v>4</v>
      </c>
      <c r="D334" s="106">
        <v>275000000</v>
      </c>
      <c r="E334" s="83">
        <f t="shared" si="76"/>
        <v>8.4393326938302629</v>
      </c>
      <c r="F334" s="143">
        <v>38567</v>
      </c>
      <c r="G334" s="106">
        <v>0</v>
      </c>
      <c r="H334" s="145">
        <f t="shared" si="77"/>
        <v>4.3178082191780822</v>
      </c>
      <c r="I334" s="145">
        <f t="shared" si="84"/>
        <v>0.6352633486970618</v>
      </c>
      <c r="J334" s="106">
        <v>2</v>
      </c>
      <c r="K334" s="106">
        <f t="shared" si="78"/>
        <v>0.47712125471966244</v>
      </c>
      <c r="L334" s="59">
        <v>2.95</v>
      </c>
      <c r="M334" s="59">
        <f t="shared" si="85"/>
        <v>0.46982201597816303</v>
      </c>
      <c r="N334" s="154">
        <f t="shared" si="79"/>
        <v>-1</v>
      </c>
      <c r="O334" s="119">
        <f t="shared" si="80"/>
        <v>-1</v>
      </c>
      <c r="P334" s="106">
        <v>1246.953</v>
      </c>
      <c r="Q334" s="106">
        <f t="shared" si="81"/>
        <v>3.0958500844125241</v>
      </c>
      <c r="R334" s="106">
        <v>3219.7179999999998</v>
      </c>
      <c r="S334" s="106">
        <f t="shared" si="82"/>
        <v>3.5078178355445662</v>
      </c>
      <c r="T334" s="106">
        <v>85</v>
      </c>
      <c r="U334" s="106">
        <f t="shared" si="86"/>
        <v>1.9294189257142926</v>
      </c>
      <c r="V334" s="119">
        <v>27.2</v>
      </c>
      <c r="W334" s="119">
        <f t="shared" si="87"/>
        <v>1.4345689040341987</v>
      </c>
      <c r="X334" s="120">
        <v>35.608384832026097</v>
      </c>
      <c r="Y334" s="120">
        <f t="shared" si="88"/>
        <v>1.5515522748692276</v>
      </c>
      <c r="Z334" s="152">
        <v>7.0000000000000007E-2</v>
      </c>
      <c r="AA334" s="119">
        <f t="shared" si="83"/>
        <v>2.9383777685209667E-2</v>
      </c>
      <c r="AB334" s="106">
        <v>14</v>
      </c>
      <c r="AC334" s="137">
        <f t="shared" si="89"/>
        <v>1.146128035678238</v>
      </c>
    </row>
    <row r="335" spans="1:29" x14ac:dyDescent="0.35">
      <c r="A335" s="146">
        <v>37328</v>
      </c>
      <c r="B335" s="108" t="s">
        <v>235</v>
      </c>
      <c r="C335" s="84">
        <f t="shared" si="75"/>
        <v>1</v>
      </c>
      <c r="D335" s="108">
        <v>41600000</v>
      </c>
      <c r="E335" s="84">
        <f t="shared" si="76"/>
        <v>7.6190933306267423</v>
      </c>
      <c r="F335" s="146">
        <v>38534</v>
      </c>
      <c r="G335" s="108">
        <v>223350600</v>
      </c>
      <c r="H335" s="148">
        <f t="shared" si="77"/>
        <v>3.3041095890410959</v>
      </c>
      <c r="I335" s="145">
        <f t="shared" si="84"/>
        <v>0.51905444334765782</v>
      </c>
      <c r="J335" s="108">
        <v>3</v>
      </c>
      <c r="K335" s="108">
        <f t="shared" si="78"/>
        <v>0.6020599913279624</v>
      </c>
      <c r="L335" s="65">
        <v>2.95</v>
      </c>
      <c r="M335" s="59">
        <f t="shared" si="85"/>
        <v>0.46982201597816303</v>
      </c>
      <c r="N335" s="155">
        <f t="shared" si="79"/>
        <v>4.369004807692308</v>
      </c>
      <c r="O335" s="127">
        <f t="shared" si="80"/>
        <v>0.72989379285377709</v>
      </c>
      <c r="P335" s="108">
        <v>1246.953</v>
      </c>
      <c r="Q335" s="108">
        <f t="shared" si="81"/>
        <v>3.0958500844125241</v>
      </c>
      <c r="R335" s="108">
        <v>3219.7179999999998</v>
      </c>
      <c r="S335" s="108">
        <f t="shared" si="82"/>
        <v>3.5078178355445662</v>
      </c>
      <c r="T335" s="108">
        <v>85</v>
      </c>
      <c r="U335" s="106">
        <f t="shared" si="86"/>
        <v>1.9294189257142926</v>
      </c>
      <c r="V335" s="127">
        <v>24.9</v>
      </c>
      <c r="W335" s="119">
        <f t="shared" si="87"/>
        <v>1.3961993470957363</v>
      </c>
      <c r="X335" s="128">
        <v>36.710134890601303</v>
      </c>
      <c r="Y335" s="120">
        <f t="shared" si="88"/>
        <v>1.564785980312654</v>
      </c>
      <c r="Z335" s="153">
        <v>0.03</v>
      </c>
      <c r="AA335" s="127">
        <f t="shared" si="83"/>
        <v>1.2837224705172217E-2</v>
      </c>
      <c r="AB335" s="108">
        <v>15</v>
      </c>
      <c r="AC335" s="137">
        <f t="shared" si="89"/>
        <v>1.1760912590556813</v>
      </c>
    </row>
    <row r="336" spans="1:29" x14ac:dyDescent="0.35">
      <c r="A336" s="143">
        <v>38075</v>
      </c>
      <c r="B336" s="106" t="s">
        <v>248</v>
      </c>
      <c r="C336" s="83">
        <f t="shared" si="75"/>
        <v>5</v>
      </c>
      <c r="D336" s="106">
        <v>125500000</v>
      </c>
      <c r="E336" s="83">
        <f t="shared" si="76"/>
        <v>8.0986437258170572</v>
      </c>
      <c r="F336" s="143">
        <v>39647</v>
      </c>
      <c r="G336" s="106">
        <v>275000000</v>
      </c>
      <c r="H336" s="145">
        <f t="shared" si="77"/>
        <v>4.3068493150684928</v>
      </c>
      <c r="I336" s="145">
        <f t="shared" si="84"/>
        <v>0.63415967724691436</v>
      </c>
      <c r="J336" s="106">
        <v>44</v>
      </c>
      <c r="K336" s="106">
        <f t="shared" si="78"/>
        <v>1.6532125137753437</v>
      </c>
      <c r="L336" s="59">
        <v>2.95</v>
      </c>
      <c r="M336" s="59">
        <f t="shared" si="85"/>
        <v>0.46982201597816303</v>
      </c>
      <c r="N336" s="154">
        <f t="shared" si="79"/>
        <v>1.191235059760956</v>
      </c>
      <c r="O336" s="119">
        <f t="shared" si="80"/>
        <v>0.3406889680132057</v>
      </c>
      <c r="P336" s="106">
        <v>1246.953</v>
      </c>
      <c r="Q336" s="106">
        <f t="shared" si="81"/>
        <v>3.0958500844125241</v>
      </c>
      <c r="R336" s="106">
        <v>3219.7179999999998</v>
      </c>
      <c r="S336" s="106">
        <f t="shared" si="82"/>
        <v>3.5078178355445662</v>
      </c>
      <c r="T336" s="106">
        <v>85</v>
      </c>
      <c r="U336" s="106">
        <f t="shared" si="86"/>
        <v>1.9294189257142926</v>
      </c>
      <c r="V336" s="119">
        <v>24.6</v>
      </c>
      <c r="W336" s="119">
        <f t="shared" si="87"/>
        <v>1.3909351071033791</v>
      </c>
      <c r="X336" s="120">
        <v>36.876470987978301</v>
      </c>
      <c r="Y336" s="120">
        <f t="shared" si="88"/>
        <v>1.5667493531684615</v>
      </c>
      <c r="Z336" s="152">
        <v>0.12</v>
      </c>
      <c r="AA336" s="119">
        <f t="shared" si="83"/>
        <v>4.9218022670181653E-2</v>
      </c>
      <c r="AB336" s="106">
        <v>17</v>
      </c>
      <c r="AC336" s="137">
        <f t="shared" si="89"/>
        <v>1.2304489213782739</v>
      </c>
    </row>
    <row r="337" spans="1:29" x14ac:dyDescent="0.35">
      <c r="A337" s="146">
        <v>38085</v>
      </c>
      <c r="B337" s="108" t="s">
        <v>178</v>
      </c>
      <c r="C337" s="84">
        <f t="shared" si="75"/>
        <v>9</v>
      </c>
      <c r="D337" s="108">
        <v>8000000</v>
      </c>
      <c r="E337" s="84">
        <f t="shared" si="76"/>
        <v>6.9030899869919438</v>
      </c>
      <c r="F337" s="146">
        <v>39646</v>
      </c>
      <c r="G337" s="108">
        <v>0</v>
      </c>
      <c r="H337" s="148">
        <f t="shared" si="77"/>
        <v>4.2767123287671236</v>
      </c>
      <c r="I337" s="145">
        <f t="shared" si="84"/>
        <v>0.63111003860594284</v>
      </c>
      <c r="J337" s="108">
        <v>4</v>
      </c>
      <c r="K337" s="108">
        <f t="shared" si="78"/>
        <v>0.69897000433601886</v>
      </c>
      <c r="L337" s="65">
        <v>2.95</v>
      </c>
      <c r="M337" s="59">
        <f t="shared" si="85"/>
        <v>0.46982201597816303</v>
      </c>
      <c r="N337" s="155">
        <f t="shared" si="79"/>
        <v>-1</v>
      </c>
      <c r="O337" s="127">
        <f t="shared" si="80"/>
        <v>-1</v>
      </c>
      <c r="P337" s="108">
        <v>1246.953</v>
      </c>
      <c r="Q337" s="108">
        <f t="shared" si="81"/>
        <v>3.0958500844125241</v>
      </c>
      <c r="R337" s="108">
        <v>3219.7179999999998</v>
      </c>
      <c r="S337" s="108">
        <f t="shared" si="82"/>
        <v>3.5078178355445662</v>
      </c>
      <c r="T337" s="108">
        <v>85</v>
      </c>
      <c r="U337" s="106">
        <f t="shared" si="86"/>
        <v>1.9294189257142926</v>
      </c>
      <c r="V337" s="127">
        <v>24.6</v>
      </c>
      <c r="W337" s="119">
        <f t="shared" si="87"/>
        <v>1.3909351071033791</v>
      </c>
      <c r="X337" s="128">
        <v>36.876470987978301</v>
      </c>
      <c r="Y337" s="120">
        <f t="shared" si="88"/>
        <v>1.5667493531684615</v>
      </c>
      <c r="Z337" s="153">
        <v>0.11</v>
      </c>
      <c r="AA337" s="127">
        <f t="shared" si="83"/>
        <v>4.5322978786657475E-2</v>
      </c>
      <c r="AB337" s="108">
        <v>17</v>
      </c>
      <c r="AC337" s="137">
        <f t="shared" si="89"/>
        <v>1.2304489213782739</v>
      </c>
    </row>
    <row r="338" spans="1:29" x14ac:dyDescent="0.35">
      <c r="A338" s="143">
        <v>38411</v>
      </c>
      <c r="B338" s="106" t="s">
        <v>248</v>
      </c>
      <c r="C338" s="83">
        <f t="shared" si="75"/>
        <v>5</v>
      </c>
      <c r="D338" s="106">
        <v>40000000</v>
      </c>
      <c r="E338" s="83">
        <f t="shared" si="76"/>
        <v>7.6020599913279625</v>
      </c>
      <c r="F338" s="143">
        <v>40388</v>
      </c>
      <c r="G338" s="106">
        <v>92000000</v>
      </c>
      <c r="H338" s="145">
        <f t="shared" si="77"/>
        <v>5.4164383561643836</v>
      </c>
      <c r="I338" s="145">
        <f t="shared" si="84"/>
        <v>0.73371380485719762</v>
      </c>
      <c r="J338" s="106">
        <v>33</v>
      </c>
      <c r="K338" s="106">
        <f t="shared" si="78"/>
        <v>1.5314789170422551</v>
      </c>
      <c r="L338" s="59">
        <v>2.95</v>
      </c>
      <c r="M338" s="59">
        <f t="shared" si="85"/>
        <v>0.46982201597816303</v>
      </c>
      <c r="N338" s="154">
        <f t="shared" si="79"/>
        <v>1.2999999999999998</v>
      </c>
      <c r="O338" s="119">
        <f t="shared" si="80"/>
        <v>0.36172783601759284</v>
      </c>
      <c r="P338" s="106">
        <v>1246.953</v>
      </c>
      <c r="Q338" s="106">
        <f t="shared" si="81"/>
        <v>3.0958500844125241</v>
      </c>
      <c r="R338" s="106">
        <v>3219.7179999999998</v>
      </c>
      <c r="S338" s="106">
        <f t="shared" si="82"/>
        <v>3.5078178355445662</v>
      </c>
      <c r="T338" s="106">
        <v>85</v>
      </c>
      <c r="U338" s="106">
        <f t="shared" si="86"/>
        <v>1.9294189257142926</v>
      </c>
      <c r="V338" s="119">
        <v>25.9</v>
      </c>
      <c r="W338" s="119">
        <f t="shared" si="87"/>
        <v>1.4132997640812519</v>
      </c>
      <c r="X338" s="120">
        <v>36.959146749272797</v>
      </c>
      <c r="Y338" s="120">
        <f t="shared" si="88"/>
        <v>1.5677219364019672</v>
      </c>
      <c r="Z338" s="152">
        <v>-0.08</v>
      </c>
      <c r="AA338" s="119">
        <f t="shared" si="83"/>
        <v>-3.6212172654444715E-2</v>
      </c>
      <c r="AB338" s="106">
        <v>18</v>
      </c>
      <c r="AC338" s="137">
        <f t="shared" si="89"/>
        <v>1.255272505103306</v>
      </c>
    </row>
    <row r="339" spans="1:29" x14ac:dyDescent="0.35">
      <c r="A339" s="146">
        <v>38383</v>
      </c>
      <c r="B339" s="108" t="s">
        <v>183</v>
      </c>
      <c r="C339" s="84">
        <f t="shared" si="75"/>
        <v>3</v>
      </c>
      <c r="D339" s="108">
        <v>75000000</v>
      </c>
      <c r="E339" s="84">
        <f t="shared" si="76"/>
        <v>7.8750612633917001</v>
      </c>
      <c r="F339" s="146">
        <v>39651</v>
      </c>
      <c r="G339" s="108">
        <v>0</v>
      </c>
      <c r="H339" s="148">
        <f t="shared" si="77"/>
        <v>3.473972602739726</v>
      </c>
      <c r="I339" s="145">
        <f t="shared" si="84"/>
        <v>0.54082638908923919</v>
      </c>
      <c r="J339" s="108">
        <v>4</v>
      </c>
      <c r="K339" s="108">
        <f t="shared" si="78"/>
        <v>0.69897000433601886</v>
      </c>
      <c r="L339" s="65">
        <v>2.95</v>
      </c>
      <c r="M339" s="59">
        <f t="shared" si="85"/>
        <v>0.46982201597816303</v>
      </c>
      <c r="N339" s="155">
        <f t="shared" si="79"/>
        <v>-1</v>
      </c>
      <c r="O339" s="127">
        <f t="shared" si="80"/>
        <v>-1</v>
      </c>
      <c r="P339" s="108">
        <v>1246.953</v>
      </c>
      <c r="Q339" s="108">
        <f t="shared" si="81"/>
        <v>3.0958500844125241</v>
      </c>
      <c r="R339" s="108">
        <v>3219.7179999999998</v>
      </c>
      <c r="S339" s="108">
        <f t="shared" si="82"/>
        <v>3.5078178355445662</v>
      </c>
      <c r="T339" s="108">
        <v>85</v>
      </c>
      <c r="U339" s="106">
        <f t="shared" si="86"/>
        <v>1.9294189257142926</v>
      </c>
      <c r="V339" s="127">
        <v>25.9</v>
      </c>
      <c r="W339" s="119">
        <f t="shared" si="87"/>
        <v>1.4132997640812519</v>
      </c>
      <c r="X339" s="128">
        <v>36.959146749272797</v>
      </c>
      <c r="Y339" s="120">
        <f t="shared" si="88"/>
        <v>1.5677219364019672</v>
      </c>
      <c r="Z339" s="153">
        <v>0.08</v>
      </c>
      <c r="AA339" s="127">
        <f t="shared" si="83"/>
        <v>3.342375548694973E-2</v>
      </c>
      <c r="AB339" s="108">
        <v>18</v>
      </c>
      <c r="AC339" s="137">
        <f t="shared" si="89"/>
        <v>1.255272505103306</v>
      </c>
    </row>
    <row r="340" spans="1:29" x14ac:dyDescent="0.35">
      <c r="A340" s="143">
        <v>37789</v>
      </c>
      <c r="B340" s="106" t="s">
        <v>183</v>
      </c>
      <c r="C340" s="83">
        <f t="shared" si="75"/>
        <v>3</v>
      </c>
      <c r="D340" s="106">
        <v>1082000000</v>
      </c>
      <c r="E340" s="83">
        <f t="shared" si="76"/>
        <v>9.0342272607705514</v>
      </c>
      <c r="F340" s="143">
        <v>40084</v>
      </c>
      <c r="G340" s="106">
        <v>1285731720</v>
      </c>
      <c r="H340" s="145">
        <f t="shared" si="77"/>
        <v>6.2876712328767121</v>
      </c>
      <c r="I340" s="145">
        <f t="shared" si="84"/>
        <v>0.79848982541680535</v>
      </c>
      <c r="J340" s="106">
        <v>3</v>
      </c>
      <c r="K340" s="106">
        <f t="shared" si="78"/>
        <v>0.6020599913279624</v>
      </c>
      <c r="L340" s="59">
        <v>2.95</v>
      </c>
      <c r="M340" s="59">
        <f t="shared" si="85"/>
        <v>0.46982201597816303</v>
      </c>
      <c r="N340" s="154">
        <f t="shared" si="79"/>
        <v>0.18829179297597043</v>
      </c>
      <c r="O340" s="119">
        <f t="shared" si="80"/>
        <v>7.4923097647764739E-2</v>
      </c>
      <c r="P340" s="106">
        <v>1246.953</v>
      </c>
      <c r="Q340" s="106">
        <f t="shared" si="81"/>
        <v>3.0958500844125241</v>
      </c>
      <c r="R340" s="106">
        <v>3219.7179999999998</v>
      </c>
      <c r="S340" s="106">
        <f t="shared" si="82"/>
        <v>3.5078178355445662</v>
      </c>
      <c r="T340" s="106">
        <v>85</v>
      </c>
      <c r="U340" s="106">
        <f t="shared" si="86"/>
        <v>1.9294189257142926</v>
      </c>
      <c r="V340" s="119">
        <v>24.4</v>
      </c>
      <c r="W340" s="119">
        <f t="shared" si="87"/>
        <v>1.3873898263387294</v>
      </c>
      <c r="X340" s="120">
        <v>37.256914365427299</v>
      </c>
      <c r="Y340" s="120">
        <f t="shared" si="88"/>
        <v>1.5712068835833228</v>
      </c>
      <c r="Z340" s="152">
        <v>0.05</v>
      </c>
      <c r="AA340" s="119">
        <f t="shared" si="83"/>
        <v>2.1189299069938092E-2</v>
      </c>
      <c r="AB340" s="106">
        <v>0</v>
      </c>
      <c r="AC340" s="137">
        <f t="shared" si="89"/>
        <v>0</v>
      </c>
    </row>
    <row r="341" spans="1:29" x14ac:dyDescent="0.35">
      <c r="A341" s="146">
        <v>38049</v>
      </c>
      <c r="B341" s="108" t="s">
        <v>183</v>
      </c>
      <c r="C341" s="84">
        <f t="shared" si="75"/>
        <v>3</v>
      </c>
      <c r="D341" s="108">
        <v>271100000</v>
      </c>
      <c r="E341" s="84">
        <f t="shared" si="76"/>
        <v>8.4331295175804861</v>
      </c>
      <c r="F341" s="146">
        <v>38454</v>
      </c>
      <c r="G341" s="108">
        <v>363000000</v>
      </c>
      <c r="H341" s="148">
        <f t="shared" si="77"/>
        <v>1.1095890410958904</v>
      </c>
      <c r="I341" s="145">
        <f t="shared" si="84"/>
        <v>4.5162158758193849E-2</v>
      </c>
      <c r="J341" s="108">
        <v>21</v>
      </c>
      <c r="K341" s="108">
        <f t="shared" si="78"/>
        <v>1.3424226808222062</v>
      </c>
      <c r="L341" s="65">
        <v>2.95</v>
      </c>
      <c r="M341" s="59">
        <f t="shared" si="85"/>
        <v>0.46982201597816303</v>
      </c>
      <c r="N341" s="155">
        <f t="shared" si="79"/>
        <v>0.33898930284028039</v>
      </c>
      <c r="O341" s="127">
        <f t="shared" si="80"/>
        <v>0.12677710745562698</v>
      </c>
      <c r="P341" s="108">
        <v>1246.953</v>
      </c>
      <c r="Q341" s="108">
        <f t="shared" si="81"/>
        <v>3.0958500844125241</v>
      </c>
      <c r="R341" s="108">
        <v>3219.7179999999998</v>
      </c>
      <c r="S341" s="108">
        <f t="shared" si="82"/>
        <v>3.5078178355445662</v>
      </c>
      <c r="T341" s="108">
        <v>85</v>
      </c>
      <c r="U341" s="106">
        <f t="shared" si="86"/>
        <v>1.9294189257142926</v>
      </c>
      <c r="V341" s="127">
        <v>24.6</v>
      </c>
      <c r="W341" s="119">
        <f t="shared" si="87"/>
        <v>1.3909351071033791</v>
      </c>
      <c r="X341" s="128">
        <v>36.876470987978301</v>
      </c>
      <c r="Y341" s="120">
        <f t="shared" si="88"/>
        <v>1.5667493531684615</v>
      </c>
      <c r="Z341" s="153">
        <v>0.03</v>
      </c>
      <c r="AA341" s="127">
        <f t="shared" si="83"/>
        <v>1.2837224705172217E-2</v>
      </c>
      <c r="AB341" s="108">
        <v>1</v>
      </c>
      <c r="AC341" s="137">
        <f t="shared" si="89"/>
        <v>0</v>
      </c>
    </row>
    <row r="342" spans="1:29" x14ac:dyDescent="0.35">
      <c r="A342" s="143">
        <v>41596</v>
      </c>
      <c r="B342" s="106" t="s">
        <v>186</v>
      </c>
      <c r="C342" s="83">
        <f t="shared" si="75"/>
        <v>4</v>
      </c>
      <c r="D342" s="106">
        <v>800250000</v>
      </c>
      <c r="E342" s="83">
        <f t="shared" si="76"/>
        <v>8.9032256828161707</v>
      </c>
      <c r="F342" s="143">
        <v>42985</v>
      </c>
      <c r="G342" s="106">
        <v>1200000000</v>
      </c>
      <c r="H342" s="145">
        <f t="shared" si="77"/>
        <v>3.8054794520547945</v>
      </c>
      <c r="I342" s="145">
        <f t="shared" si="84"/>
        <v>0.58040938128114083</v>
      </c>
      <c r="J342" s="106">
        <v>14</v>
      </c>
      <c r="K342" s="106">
        <f t="shared" si="78"/>
        <v>1.1760912590556813</v>
      </c>
      <c r="L342" s="59">
        <v>2.95</v>
      </c>
      <c r="M342" s="59">
        <f t="shared" si="85"/>
        <v>0.46982201597816303</v>
      </c>
      <c r="N342" s="154">
        <f t="shared" si="79"/>
        <v>0.499531396438613</v>
      </c>
      <c r="O342" s="119">
        <f t="shared" si="80"/>
        <v>0.17595556323145492</v>
      </c>
      <c r="P342" s="106">
        <v>6514.6683673469379</v>
      </c>
      <c r="Q342" s="106">
        <f t="shared" si="81"/>
        <v>3.8138923126200468</v>
      </c>
      <c r="R342" s="106">
        <v>8828.125</v>
      </c>
      <c r="S342" s="106">
        <f t="shared" si="82"/>
        <v>3.9458684738355512</v>
      </c>
      <c r="T342" s="106">
        <v>90.5</v>
      </c>
      <c r="U342" s="106">
        <f t="shared" si="86"/>
        <v>1.9566485792052033</v>
      </c>
      <c r="V342" s="119">
        <v>25.7</v>
      </c>
      <c r="W342" s="119">
        <f t="shared" si="87"/>
        <v>1.4099331233312946</v>
      </c>
      <c r="X342" s="120">
        <v>39.010023979360902</v>
      </c>
      <c r="Y342" s="120">
        <f t="shared" si="88"/>
        <v>1.5911762172715689</v>
      </c>
      <c r="Z342" s="152">
        <v>0.38</v>
      </c>
      <c r="AA342" s="119">
        <f t="shared" si="83"/>
        <v>0.13987908640123647</v>
      </c>
      <c r="AB342" s="106">
        <v>13</v>
      </c>
      <c r="AC342" s="137">
        <f t="shared" si="89"/>
        <v>1.1139433523068367</v>
      </c>
    </row>
    <row r="343" spans="1:29" x14ac:dyDescent="0.35">
      <c r="A343" s="146">
        <v>41451</v>
      </c>
      <c r="B343" s="108" t="s">
        <v>178</v>
      </c>
      <c r="C343" s="84">
        <f t="shared" si="75"/>
        <v>9</v>
      </c>
      <c r="D343" s="108">
        <v>889150000</v>
      </c>
      <c r="E343" s="84">
        <f t="shared" si="76"/>
        <v>8.948975032822915</v>
      </c>
      <c r="F343" s="146">
        <v>42153</v>
      </c>
      <c r="G343" s="108">
        <v>1300000000</v>
      </c>
      <c r="H343" s="148">
        <f t="shared" si="77"/>
        <v>1.9232876712328768</v>
      </c>
      <c r="I343" s="145">
        <f t="shared" si="84"/>
        <v>0.28404424767333059</v>
      </c>
      <c r="J343" s="108">
        <v>19</v>
      </c>
      <c r="K343" s="108">
        <f t="shared" si="78"/>
        <v>1.3010299956639813</v>
      </c>
      <c r="L343" s="65">
        <v>2.95</v>
      </c>
      <c r="M343" s="59">
        <f t="shared" si="85"/>
        <v>0.46982201597816303</v>
      </c>
      <c r="N343" s="155">
        <f t="shared" si="79"/>
        <v>0.46207051678569422</v>
      </c>
      <c r="O343" s="127">
        <f t="shared" si="80"/>
        <v>0.16496831948392221</v>
      </c>
      <c r="P343" s="108">
        <v>6514.6683673469379</v>
      </c>
      <c r="Q343" s="108">
        <f t="shared" si="81"/>
        <v>3.8138923126200468</v>
      </c>
      <c r="R343" s="108">
        <v>8828.125</v>
      </c>
      <c r="S343" s="108">
        <f t="shared" si="82"/>
        <v>3.9458684738355512</v>
      </c>
      <c r="T343" s="108">
        <v>90.5</v>
      </c>
      <c r="U343" s="106">
        <f t="shared" si="86"/>
        <v>1.9566485792052033</v>
      </c>
      <c r="V343" s="127">
        <v>25.7</v>
      </c>
      <c r="W343" s="119">
        <f t="shared" si="87"/>
        <v>1.4099331233312946</v>
      </c>
      <c r="X343" s="128">
        <v>39.010023979360902</v>
      </c>
      <c r="Y343" s="120">
        <f t="shared" si="88"/>
        <v>1.5911762172715689</v>
      </c>
      <c r="Z343" s="153">
        <v>0.31</v>
      </c>
      <c r="AA343" s="127">
        <f t="shared" si="83"/>
        <v>0.11727129565576427</v>
      </c>
      <c r="AB343" s="108">
        <v>13</v>
      </c>
      <c r="AC343" s="137">
        <f t="shared" si="89"/>
        <v>1.1139433523068367</v>
      </c>
    </row>
    <row r="344" spans="1:29" x14ac:dyDescent="0.35">
      <c r="A344" s="143">
        <v>39366</v>
      </c>
      <c r="B344" s="106" t="s">
        <v>178</v>
      </c>
      <c r="C344" s="83">
        <f t="shared" si="75"/>
        <v>9</v>
      </c>
      <c r="D344" s="106">
        <v>381500000</v>
      </c>
      <c r="E344" s="83">
        <f t="shared" si="76"/>
        <v>8.5814945422908995</v>
      </c>
      <c r="F344" s="143">
        <v>41144</v>
      </c>
      <c r="G344" s="106">
        <v>1415000000</v>
      </c>
      <c r="H344" s="145">
        <f t="shared" si="77"/>
        <v>4.8712328767123285</v>
      </c>
      <c r="I344" s="145">
        <f t="shared" si="84"/>
        <v>0.68763889217772012</v>
      </c>
      <c r="J344" s="106">
        <v>28</v>
      </c>
      <c r="K344" s="106">
        <f t="shared" si="78"/>
        <v>1.4623979978989561</v>
      </c>
      <c r="L344" s="59">
        <v>2.95</v>
      </c>
      <c r="M344" s="59">
        <f t="shared" si="85"/>
        <v>0.46982201597816303</v>
      </c>
      <c r="N344" s="154">
        <f t="shared" si="79"/>
        <v>2.709043250327654</v>
      </c>
      <c r="O344" s="119">
        <f t="shared" si="80"/>
        <v>0.56926189756940981</v>
      </c>
      <c r="P344" s="106">
        <v>6514.6683673469379</v>
      </c>
      <c r="Q344" s="106">
        <f t="shared" si="81"/>
        <v>3.8138923126200468</v>
      </c>
      <c r="R344" s="106">
        <v>8828.125</v>
      </c>
      <c r="S344" s="106">
        <f t="shared" si="82"/>
        <v>3.9458684738355512</v>
      </c>
      <c r="T344" s="106">
        <v>91.4</v>
      </c>
      <c r="U344" s="106">
        <f t="shared" si="86"/>
        <v>1.9609461957338314</v>
      </c>
      <c r="V344" s="119">
        <v>26.7</v>
      </c>
      <c r="W344" s="119">
        <f t="shared" si="87"/>
        <v>1.4265112613645752</v>
      </c>
      <c r="X344" s="120">
        <v>37.425715444240403</v>
      </c>
      <c r="Y344" s="120">
        <f t="shared" si="88"/>
        <v>1.5731701112332821</v>
      </c>
      <c r="Z344" s="152">
        <v>-0.1</v>
      </c>
      <c r="AA344" s="119">
        <f t="shared" si="83"/>
        <v>-4.5757490560675115E-2</v>
      </c>
      <c r="AB344" s="106">
        <v>7</v>
      </c>
      <c r="AC344" s="137">
        <f t="shared" si="89"/>
        <v>0.84509804001425681</v>
      </c>
    </row>
    <row r="345" spans="1:29" x14ac:dyDescent="0.35">
      <c r="A345" s="146">
        <v>37358</v>
      </c>
      <c r="B345" s="108" t="s">
        <v>248</v>
      </c>
      <c r="C345" s="84">
        <f t="shared" si="75"/>
        <v>5</v>
      </c>
      <c r="D345" s="108">
        <v>265170000</v>
      </c>
      <c r="E345" s="84">
        <f t="shared" si="76"/>
        <v>8.4235243886187163</v>
      </c>
      <c r="F345" s="146">
        <v>38356</v>
      </c>
      <c r="G345" s="108">
        <v>150000000</v>
      </c>
      <c r="H345" s="148">
        <f t="shared" si="77"/>
        <v>2.7342465753424658</v>
      </c>
      <c r="I345" s="145">
        <f t="shared" si="84"/>
        <v>0.43683767683089642</v>
      </c>
      <c r="J345" s="108">
        <v>306</v>
      </c>
      <c r="K345" s="108">
        <f t="shared" si="78"/>
        <v>2.4871383754771865</v>
      </c>
      <c r="L345" s="65">
        <v>2.95</v>
      </c>
      <c r="M345" s="59">
        <f t="shared" si="85"/>
        <v>0.46982201597816303</v>
      </c>
      <c r="N345" s="155">
        <f t="shared" si="79"/>
        <v>-0.43432514990383531</v>
      </c>
      <c r="O345" s="127">
        <f t="shared" si="80"/>
        <v>-0.24743312956303581</v>
      </c>
      <c r="P345" s="108">
        <v>3153.6123909420644</v>
      </c>
      <c r="Q345" s="108">
        <f t="shared" si="81"/>
        <v>3.4988083133366845</v>
      </c>
      <c r="R345" s="108">
        <v>4253.5045583766305</v>
      </c>
      <c r="S345" s="108">
        <f t="shared" si="82"/>
        <v>3.6287469025639267</v>
      </c>
      <c r="T345" s="108">
        <v>85</v>
      </c>
      <c r="U345" s="106">
        <f t="shared" si="86"/>
        <v>1.9294189257142926</v>
      </c>
      <c r="V345" s="127">
        <v>24.9</v>
      </c>
      <c r="W345" s="119">
        <f t="shared" si="87"/>
        <v>1.3961993470957363</v>
      </c>
      <c r="X345" s="128">
        <v>36.710134890601303</v>
      </c>
      <c r="Y345" s="120">
        <f t="shared" si="88"/>
        <v>1.564785980312654</v>
      </c>
      <c r="Z345" s="153">
        <v>7.0000000000000007E-2</v>
      </c>
      <c r="AA345" s="127">
        <f t="shared" si="83"/>
        <v>2.9383777685209667E-2</v>
      </c>
      <c r="AB345" s="108">
        <v>3</v>
      </c>
      <c r="AC345" s="137">
        <f t="shared" si="89"/>
        <v>0.47712125471966244</v>
      </c>
    </row>
    <row r="346" spans="1:29" x14ac:dyDescent="0.35">
      <c r="A346" s="143">
        <v>40389</v>
      </c>
      <c r="B346" s="106" t="s">
        <v>178</v>
      </c>
      <c r="C346" s="83">
        <f t="shared" si="75"/>
        <v>9</v>
      </c>
      <c r="D346" s="106">
        <v>2996240000</v>
      </c>
      <c r="E346" s="83">
        <f t="shared" si="76"/>
        <v>9.4765765975791929</v>
      </c>
      <c r="F346" s="143">
        <v>42352</v>
      </c>
      <c r="G346" s="106">
        <v>5200000000</v>
      </c>
      <c r="H346" s="145">
        <f t="shared" si="77"/>
        <v>5.3780821917808215</v>
      </c>
      <c r="I346" s="145">
        <f t="shared" si="84"/>
        <v>0.73062743514353146</v>
      </c>
      <c r="J346" s="106">
        <v>42</v>
      </c>
      <c r="K346" s="106">
        <f t="shared" si="78"/>
        <v>1.6334684555795864</v>
      </c>
      <c r="L346" s="59">
        <v>2.95</v>
      </c>
      <c r="M346" s="59">
        <f t="shared" si="85"/>
        <v>0.46982201597816303</v>
      </c>
      <c r="N346" s="154">
        <f t="shared" si="79"/>
        <v>0.73550850399166956</v>
      </c>
      <c r="O346" s="119">
        <f t="shared" si="80"/>
        <v>0.23942674605560585</v>
      </c>
      <c r="P346" s="106">
        <v>3287.5739644970417</v>
      </c>
      <c r="Q346" s="106">
        <f t="shared" si="81"/>
        <v>3.5168755324519045</v>
      </c>
      <c r="R346" s="106">
        <v>6440.2366863905318</v>
      </c>
      <c r="S346" s="106">
        <f t="shared" si="82"/>
        <v>3.8089018284940463</v>
      </c>
      <c r="T346" s="106">
        <v>91.3</v>
      </c>
      <c r="U346" s="106">
        <f t="shared" si="86"/>
        <v>1.9604707775342989</v>
      </c>
      <c r="V346" s="119">
        <v>23.5</v>
      </c>
      <c r="W346" s="119">
        <f t="shared" si="87"/>
        <v>1.3710678622717363</v>
      </c>
      <c r="X346" s="120">
        <v>43.1672842383418</v>
      </c>
      <c r="Y346" s="120">
        <f t="shared" si="88"/>
        <v>1.6351547269652249</v>
      </c>
      <c r="Z346" s="152">
        <v>0.84</v>
      </c>
      <c r="AA346" s="119">
        <f t="shared" si="83"/>
        <v>0.26481782300953643</v>
      </c>
      <c r="AB346" s="106">
        <v>11</v>
      </c>
      <c r="AC346" s="137">
        <f t="shared" si="89"/>
        <v>1.0413926851582251</v>
      </c>
    </row>
    <row r="347" spans="1:29" x14ac:dyDescent="0.35">
      <c r="A347" s="146">
        <v>39435</v>
      </c>
      <c r="B347" s="108" t="s">
        <v>186</v>
      </c>
      <c r="C347" s="84">
        <f t="shared" si="75"/>
        <v>4</v>
      </c>
      <c r="D347" s="108">
        <v>200000000</v>
      </c>
      <c r="E347" s="84">
        <f t="shared" si="76"/>
        <v>8.3010299956639813</v>
      </c>
      <c r="F347" s="146">
        <v>42186</v>
      </c>
      <c r="G347" s="108">
        <v>200000000</v>
      </c>
      <c r="H347" s="148">
        <f t="shared" si="77"/>
        <v>7.536986301369863</v>
      </c>
      <c r="I347" s="145">
        <f t="shared" si="84"/>
        <v>0.87719772593320877</v>
      </c>
      <c r="J347" s="108">
        <v>9</v>
      </c>
      <c r="K347" s="108">
        <f t="shared" si="78"/>
        <v>1</v>
      </c>
      <c r="L347" s="65">
        <v>2.95</v>
      </c>
      <c r="M347" s="59">
        <f t="shared" si="85"/>
        <v>0.46982201597816303</v>
      </c>
      <c r="N347" s="155">
        <f t="shared" si="79"/>
        <v>0</v>
      </c>
      <c r="O347" s="127">
        <f t="shared" si="80"/>
        <v>0</v>
      </c>
      <c r="P347" s="108">
        <v>3287.5739644970417</v>
      </c>
      <c r="Q347" s="108">
        <f t="shared" si="81"/>
        <v>3.5168755324519045</v>
      </c>
      <c r="R347" s="108">
        <v>6440.2366863905318</v>
      </c>
      <c r="S347" s="108">
        <f t="shared" si="82"/>
        <v>3.8089018284940463</v>
      </c>
      <c r="T347" s="108">
        <v>91.4</v>
      </c>
      <c r="U347" s="106">
        <f t="shared" si="86"/>
        <v>1.9609461957338314</v>
      </c>
      <c r="V347" s="127">
        <v>26.7</v>
      </c>
      <c r="W347" s="119">
        <f t="shared" si="87"/>
        <v>1.4265112613645752</v>
      </c>
      <c r="X347" s="128">
        <v>37.425715444240403</v>
      </c>
      <c r="Y347" s="120">
        <f t="shared" si="88"/>
        <v>1.5731701112332821</v>
      </c>
      <c r="Z347" s="153">
        <v>0.39</v>
      </c>
      <c r="AA347" s="127">
        <f t="shared" si="83"/>
        <v>0.14301480025409513</v>
      </c>
      <c r="AB347" s="108">
        <v>8</v>
      </c>
      <c r="AC347" s="137">
        <f t="shared" si="89"/>
        <v>0.90308998699194354</v>
      </c>
    </row>
    <row r="348" spans="1:29" x14ac:dyDescent="0.35">
      <c r="A348" s="143">
        <v>38184</v>
      </c>
      <c r="B348" s="106" t="s">
        <v>178</v>
      </c>
      <c r="C348" s="83">
        <f t="shared" si="75"/>
        <v>9</v>
      </c>
      <c r="D348" s="106">
        <v>235000000</v>
      </c>
      <c r="E348" s="83">
        <f t="shared" si="76"/>
        <v>8.3710678622717367</v>
      </c>
      <c r="F348" s="143">
        <v>39387</v>
      </c>
      <c r="G348" s="106">
        <v>205020000</v>
      </c>
      <c r="H348" s="145">
        <f t="shared" si="77"/>
        <v>3.2958904109589042</v>
      </c>
      <c r="I348" s="145">
        <f t="shared" si="84"/>
        <v>0.51797276288337002</v>
      </c>
      <c r="J348" s="106">
        <v>20</v>
      </c>
      <c r="K348" s="106">
        <f t="shared" si="78"/>
        <v>1.3222192947339193</v>
      </c>
      <c r="L348" s="59">
        <v>2.95</v>
      </c>
      <c r="M348" s="59">
        <f t="shared" si="85"/>
        <v>0.46982201597816303</v>
      </c>
      <c r="N348" s="154">
        <f t="shared" si="79"/>
        <v>-0.12757446808510642</v>
      </c>
      <c r="O348" s="119">
        <f t="shared" si="80"/>
        <v>-5.9271633089329853E-2</v>
      </c>
      <c r="P348" s="106">
        <v>3287.5739644970417</v>
      </c>
      <c r="Q348" s="106">
        <f t="shared" si="81"/>
        <v>3.5168755324519045</v>
      </c>
      <c r="R348" s="106">
        <v>6440.2366863905318</v>
      </c>
      <c r="S348" s="106">
        <f t="shared" si="82"/>
        <v>3.8089018284940463</v>
      </c>
      <c r="T348" s="106">
        <v>85</v>
      </c>
      <c r="U348" s="106">
        <f t="shared" si="86"/>
        <v>1.9294189257142926</v>
      </c>
      <c r="V348" s="119">
        <v>24.6</v>
      </c>
      <c r="W348" s="119">
        <f t="shared" si="87"/>
        <v>1.3909351071033791</v>
      </c>
      <c r="X348" s="120">
        <v>36.876470987978301</v>
      </c>
      <c r="Y348" s="120">
        <f t="shared" si="88"/>
        <v>1.5667493531684615</v>
      </c>
      <c r="Z348" s="152">
        <v>0.28999999999999998</v>
      </c>
      <c r="AA348" s="119">
        <f t="shared" si="83"/>
        <v>0.11058971029924898</v>
      </c>
      <c r="AB348" s="106">
        <v>5</v>
      </c>
      <c r="AC348" s="137">
        <f t="shared" si="89"/>
        <v>0.69897000433601886</v>
      </c>
    </row>
    <row r="349" spans="1:29" x14ac:dyDescent="0.35">
      <c r="A349" s="146">
        <v>38789</v>
      </c>
      <c r="B349" s="108" t="s">
        <v>178</v>
      </c>
      <c r="C349" s="84">
        <f t="shared" si="75"/>
        <v>9</v>
      </c>
      <c r="D349" s="108">
        <v>1092150000</v>
      </c>
      <c r="E349" s="84">
        <f t="shared" si="76"/>
        <v>9.0382822901072792</v>
      </c>
      <c r="F349" s="146">
        <v>41708</v>
      </c>
      <c r="G349" s="108">
        <v>763990000</v>
      </c>
      <c r="H349" s="148">
        <f t="shared" si="77"/>
        <v>7.9972602739726026</v>
      </c>
      <c r="I349" s="145">
        <f t="shared" si="84"/>
        <v>0.90294123053153963</v>
      </c>
      <c r="J349" s="108">
        <v>26</v>
      </c>
      <c r="K349" s="108">
        <f t="shared" si="78"/>
        <v>1.4313637641589874</v>
      </c>
      <c r="L349" s="65">
        <v>2.95</v>
      </c>
      <c r="M349" s="59">
        <f t="shared" si="85"/>
        <v>0.46982201597816303</v>
      </c>
      <c r="N349" s="155">
        <f t="shared" si="79"/>
        <v>-0.30047154694867917</v>
      </c>
      <c r="O349" s="127">
        <f t="shared" si="80"/>
        <v>-0.15519461605153834</v>
      </c>
      <c r="P349" s="108">
        <v>3287.5739644970417</v>
      </c>
      <c r="Q349" s="108">
        <f t="shared" si="81"/>
        <v>3.5168755324519045</v>
      </c>
      <c r="R349" s="108">
        <v>6440.2366863905318</v>
      </c>
      <c r="S349" s="108">
        <f t="shared" si="82"/>
        <v>3.8089018284940463</v>
      </c>
      <c r="T349" s="108">
        <v>93.2</v>
      </c>
      <c r="U349" s="106">
        <f t="shared" si="86"/>
        <v>1.9694159123539814</v>
      </c>
      <c r="V349" s="127">
        <v>26.7</v>
      </c>
      <c r="W349" s="119">
        <f t="shared" si="87"/>
        <v>1.4265112613645752</v>
      </c>
      <c r="X349" s="128">
        <v>36.669158714517401</v>
      </c>
      <c r="Y349" s="120">
        <f t="shared" si="88"/>
        <v>1.5643009462345601</v>
      </c>
      <c r="Z349" s="153">
        <v>0.53</v>
      </c>
      <c r="AA349" s="127">
        <f t="shared" si="83"/>
        <v>0.18469143081759881</v>
      </c>
      <c r="AB349" s="108">
        <v>7</v>
      </c>
      <c r="AC349" s="137">
        <f t="shared" si="89"/>
        <v>0.84509804001425681</v>
      </c>
    </row>
    <row r="350" spans="1:29" x14ac:dyDescent="0.35">
      <c r="A350" s="143">
        <v>36167</v>
      </c>
      <c r="B350" s="106" t="s">
        <v>186</v>
      </c>
      <c r="C350" s="83">
        <f t="shared" si="75"/>
        <v>4</v>
      </c>
      <c r="D350" s="106">
        <v>2652000000</v>
      </c>
      <c r="E350" s="83">
        <f t="shared" si="76"/>
        <v>9.4235735197327362</v>
      </c>
      <c r="F350" s="143">
        <v>40126</v>
      </c>
      <c r="G350" s="106">
        <v>2808990000</v>
      </c>
      <c r="H350" s="145">
        <f t="shared" si="77"/>
        <v>10.846575342465753</v>
      </c>
      <c r="I350" s="145">
        <f t="shared" si="84"/>
        <v>1.0352926372957298</v>
      </c>
      <c r="J350" s="106">
        <v>20</v>
      </c>
      <c r="K350" s="106">
        <f t="shared" si="78"/>
        <v>1.3222192947339193</v>
      </c>
      <c r="L350" s="59">
        <v>2.95</v>
      </c>
      <c r="M350" s="59">
        <f t="shared" si="85"/>
        <v>0.46982201597816303</v>
      </c>
      <c r="N350" s="154">
        <f t="shared" si="79"/>
        <v>5.9196832579185621E-2</v>
      </c>
      <c r="O350" s="119">
        <f t="shared" si="80"/>
        <v>2.4976673383919339E-2</v>
      </c>
      <c r="P350" s="106">
        <v>2443.0081229801726</v>
      </c>
      <c r="Q350" s="106">
        <f t="shared" si="81"/>
        <v>3.3879249110011078</v>
      </c>
      <c r="R350" s="106">
        <v>8757.9701283954928</v>
      </c>
      <c r="S350" s="106">
        <f t="shared" si="82"/>
        <v>3.9424034595709814</v>
      </c>
      <c r="T350" s="106">
        <v>85</v>
      </c>
      <c r="U350" s="106">
        <f t="shared" si="86"/>
        <v>1.9294189257142926</v>
      </c>
      <c r="V350" s="119">
        <v>27.8</v>
      </c>
      <c r="W350" s="119">
        <f t="shared" si="87"/>
        <v>1.4440447959180762</v>
      </c>
      <c r="X350" s="120">
        <v>34.656907836978597</v>
      </c>
      <c r="Y350" s="120">
        <f t="shared" si="88"/>
        <v>1.5397898114291337</v>
      </c>
      <c r="Z350" s="152">
        <v>-0.24</v>
      </c>
      <c r="AA350" s="119">
        <f t="shared" si="83"/>
        <v>-0.11918640771920865</v>
      </c>
      <c r="AB350" s="106">
        <v>20</v>
      </c>
      <c r="AC350" s="137">
        <f t="shared" si="89"/>
        <v>1.3010299956639813</v>
      </c>
    </row>
    <row r="351" spans="1:29" x14ac:dyDescent="0.35">
      <c r="A351" s="146">
        <v>39384</v>
      </c>
      <c r="B351" s="108" t="s">
        <v>190</v>
      </c>
      <c r="C351" s="84">
        <f t="shared" si="75"/>
        <v>2</v>
      </c>
      <c r="D351" s="108">
        <v>3955300000</v>
      </c>
      <c r="E351" s="84">
        <f t="shared" si="76"/>
        <v>9.5971794292757728</v>
      </c>
      <c r="F351" s="146">
        <v>41492</v>
      </c>
      <c r="G351" s="108">
        <v>8700000000</v>
      </c>
      <c r="H351" s="148">
        <f t="shared" si="77"/>
        <v>5.7753424657534245</v>
      </c>
      <c r="I351" s="145">
        <f t="shared" si="84"/>
        <v>0.76157774208403428</v>
      </c>
      <c r="J351" s="108">
        <v>154</v>
      </c>
      <c r="K351" s="108">
        <f t="shared" si="78"/>
        <v>2.1903316981702914</v>
      </c>
      <c r="L351" s="65">
        <v>2.95</v>
      </c>
      <c r="M351" s="59">
        <f t="shared" si="85"/>
        <v>0.46982201597816303</v>
      </c>
      <c r="N351" s="155">
        <f t="shared" si="79"/>
        <v>1.1995803099638458</v>
      </c>
      <c r="O351" s="127">
        <f t="shared" si="80"/>
        <v>0.34233982334284546</v>
      </c>
      <c r="P351" s="108">
        <v>2443.0081229801726</v>
      </c>
      <c r="Q351" s="108">
        <f t="shared" si="81"/>
        <v>3.3879249110011078</v>
      </c>
      <c r="R351" s="108">
        <v>8757.9701283954928</v>
      </c>
      <c r="S351" s="108">
        <f t="shared" si="82"/>
        <v>3.9424034595709814</v>
      </c>
      <c r="T351" s="108">
        <v>91.4</v>
      </c>
      <c r="U351" s="106">
        <f t="shared" si="86"/>
        <v>1.9609461957338314</v>
      </c>
      <c r="V351" s="127">
        <v>26.7</v>
      </c>
      <c r="W351" s="119">
        <f t="shared" si="87"/>
        <v>1.4265112613645752</v>
      </c>
      <c r="X351" s="128">
        <v>37.425715444240403</v>
      </c>
      <c r="Y351" s="120">
        <f t="shared" si="88"/>
        <v>1.5731701112332821</v>
      </c>
      <c r="Z351" s="153">
        <v>7.0000000000000007E-2</v>
      </c>
      <c r="AA351" s="127">
        <f t="shared" si="83"/>
        <v>2.9383777685209667E-2</v>
      </c>
      <c r="AB351" s="108">
        <v>28</v>
      </c>
      <c r="AC351" s="137">
        <f t="shared" si="89"/>
        <v>1.4471580313422192</v>
      </c>
    </row>
  </sheetData>
  <conditionalFormatting sqref="A1:A14 A28:A96 A104:A118 A211:A229 A125:A154 A231:A252">
    <cfRule type="duplicateValues" dxfId="50" priority="10"/>
  </conditionalFormatting>
  <conditionalFormatting sqref="A253 A255:A258 A261:A333">
    <cfRule type="duplicateValues" dxfId="49" priority="8"/>
  </conditionalFormatting>
  <conditionalFormatting sqref="A334">
    <cfRule type="duplicateValues" dxfId="48" priority="7"/>
  </conditionalFormatting>
  <conditionalFormatting sqref="A254">
    <cfRule type="duplicateValues" dxfId="47" priority="6"/>
  </conditionalFormatting>
  <conditionalFormatting sqref="A259">
    <cfRule type="duplicateValues" dxfId="46" priority="4"/>
  </conditionalFormatting>
  <conditionalFormatting sqref="A260">
    <cfRule type="duplicateValues" dxfId="45" priority="5"/>
  </conditionalFormatting>
  <conditionalFormatting sqref="A335:A351">
    <cfRule type="duplicateValues" dxfId="44" priority="13"/>
  </conditionalFormatting>
  <conditionalFormatting sqref="A172">
    <cfRule type="duplicateValues" dxfId="43" priority="2"/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57"/>
  <sheetViews>
    <sheetView topLeftCell="A429" workbookViewId="0">
      <selection activeCell="A457" sqref="A1:AC457"/>
    </sheetView>
  </sheetViews>
  <sheetFormatPr defaultRowHeight="14.5" x14ac:dyDescent="0.35"/>
  <cols>
    <col min="1" max="1" width="10.1796875" customWidth="1"/>
    <col min="3" max="3" width="11" customWidth="1"/>
    <col min="4" max="4" width="16.26953125" customWidth="1"/>
    <col min="5" max="6" width="14.81640625" customWidth="1"/>
    <col min="7" max="8" width="12.26953125" customWidth="1"/>
    <col min="10" max="11" width="9.7265625" customWidth="1"/>
    <col min="13" max="13" width="9.1796875" style="9"/>
    <col min="14" max="15" width="10.81640625" customWidth="1"/>
    <col min="16" max="16" width="18" customWidth="1"/>
    <col min="17" max="17" width="21.453125" customWidth="1"/>
    <col min="18" max="18" width="19.453125" customWidth="1"/>
    <col min="19" max="19" width="19" customWidth="1"/>
    <col min="20" max="20" width="18.1796875" customWidth="1"/>
    <col min="21" max="21" width="20.1796875" customWidth="1"/>
    <col min="22" max="23" width="12" customWidth="1"/>
    <col min="24" max="24" width="21.1796875" customWidth="1"/>
    <col min="25" max="26" width="16.26953125" customWidth="1"/>
    <col min="27" max="28" width="11.1796875" customWidth="1"/>
  </cols>
  <sheetData>
    <row r="1" spans="1:29" x14ac:dyDescent="0.35">
      <c r="A1" t="s">
        <v>0</v>
      </c>
      <c r="B1" s="6" t="s">
        <v>1311</v>
      </c>
      <c r="C1" s="6" t="s">
        <v>1360</v>
      </c>
      <c r="D1" s="6" t="s">
        <v>23</v>
      </c>
      <c r="E1" s="6" t="s">
        <v>1312</v>
      </c>
      <c r="F1" s="6" t="s">
        <v>1352</v>
      </c>
      <c r="G1" s="6" t="s">
        <v>1313</v>
      </c>
      <c r="H1" s="6" t="s">
        <v>1355</v>
      </c>
      <c r="I1" s="46" t="s">
        <v>1314</v>
      </c>
      <c r="J1" s="6" t="s">
        <v>1315</v>
      </c>
      <c r="K1" s="6" t="s">
        <v>1353</v>
      </c>
      <c r="L1" s="6" t="s">
        <v>1316</v>
      </c>
      <c r="M1" s="46" t="s">
        <v>1354</v>
      </c>
      <c r="N1" s="6" t="s">
        <v>40</v>
      </c>
      <c r="O1" s="6" t="s">
        <v>1367</v>
      </c>
      <c r="P1" s="6" t="s">
        <v>1318</v>
      </c>
      <c r="Q1" s="6" t="s">
        <v>41</v>
      </c>
      <c r="R1" s="6" t="s">
        <v>42</v>
      </c>
      <c r="S1" s="6" t="s">
        <v>35</v>
      </c>
      <c r="T1" s="22" t="s">
        <v>36</v>
      </c>
      <c r="U1" s="6" t="s">
        <v>37</v>
      </c>
      <c r="V1" s="6" t="s">
        <v>31</v>
      </c>
      <c r="W1" s="6" t="s">
        <v>1356</v>
      </c>
      <c r="X1" s="6" t="s">
        <v>32</v>
      </c>
      <c r="Y1" s="6" t="s">
        <v>33</v>
      </c>
      <c r="Z1" s="6" t="s">
        <v>1357</v>
      </c>
      <c r="AA1" s="6" t="s">
        <v>1317</v>
      </c>
      <c r="AB1" s="6" t="s">
        <v>1358</v>
      </c>
      <c r="AC1" s="6" t="s">
        <v>1319</v>
      </c>
    </row>
    <row r="2" spans="1:29" x14ac:dyDescent="0.35">
      <c r="A2" t="s">
        <v>6</v>
      </c>
      <c r="B2">
        <v>1.3599999999999999</v>
      </c>
      <c r="C2">
        <f>IF(Table2[[#This Row],[Return]]=-1,-1,LOG(1+Table2[[#This Row],[Return]]))</f>
        <v>0.37291200297010657</v>
      </c>
      <c r="D2">
        <v>4.7589041095890412</v>
      </c>
      <c r="E2">
        <v>320.77</v>
      </c>
      <c r="F2">
        <f>IF(Table2[[#This Row],[Geo Distance]]=0,0,LOG(Table2[[#This Row],[Geo Distance]]))</f>
        <v>2.5061937441392494</v>
      </c>
      <c r="G2">
        <v>76</v>
      </c>
      <c r="H2">
        <f>IF(Table2[[#This Row],[Target age]]=0,0,LOG(Table2[[#This Row],[Target age]]))</f>
        <v>1.8808135922807914</v>
      </c>
      <c r="I2" s="45">
        <v>2.91</v>
      </c>
      <c r="J2" s="9">
        <v>447.5</v>
      </c>
      <c r="K2" s="9">
        <f>IF(Table2[[#This Row],[Culture]]=0,0,LOG(Table2[[#This Row],[Culture]]))</f>
        <v>2.6507930396519308</v>
      </c>
      <c r="L2" s="15">
        <v>0.38</v>
      </c>
      <c r="M2" s="9">
        <f>LOG(1+Table2[[#This Row],[S&amp;P]])</f>
        <v>0.13987908640123647</v>
      </c>
      <c r="N2">
        <v>21</v>
      </c>
      <c r="O2">
        <f>IF(Table2[[#This Row],[fund age]]=0,0,LOG(Table2[[#This Row],[fund age]]))</f>
        <v>1.3222192947339193</v>
      </c>
      <c r="P2">
        <f t="shared" ref="P2:P65" si="0">IF(E2=0,0,1)</f>
        <v>1</v>
      </c>
      <c r="Q2">
        <v>90</v>
      </c>
      <c r="R2">
        <v>70</v>
      </c>
      <c r="S2">
        <v>70</v>
      </c>
      <c r="T2" s="34">
        <v>43.6</v>
      </c>
      <c r="U2" s="42">
        <v>49.506498643412101</v>
      </c>
      <c r="V2">
        <v>1669.0315000000001</v>
      </c>
      <c r="W2">
        <f>LOG(Table2[[#This Row],[generalist]])</f>
        <v>3.2224645332922388</v>
      </c>
      <c r="X2" s="14">
        <v>3</v>
      </c>
      <c r="Y2">
        <v>5094.7950000000001</v>
      </c>
      <c r="Z2">
        <f>LOG(Table2[[#This Row],[country divers.]])</f>
        <v>3.707126713924402</v>
      </c>
      <c r="AA2">
        <v>250000000</v>
      </c>
      <c r="AB2">
        <f>LOG(Table2[[#This Row],[Firm Size]])</f>
        <v>8.3979400086720375</v>
      </c>
      <c r="AC2" s="80">
        <v>0.31247030179269175</v>
      </c>
    </row>
    <row r="3" spans="1:29" x14ac:dyDescent="0.35">
      <c r="A3" t="s">
        <v>6</v>
      </c>
      <c r="B3">
        <v>-0.27169230769230768</v>
      </c>
      <c r="C3">
        <f>IF(Table2[[#This Row],[Return]]=-1,-1,LOG(1+Table2[[#This Row],[Return]]))</f>
        <v>-0.13768510304979162</v>
      </c>
      <c r="D3">
        <v>2.4821917808219176</v>
      </c>
      <c r="E3">
        <v>173.83</v>
      </c>
      <c r="F3">
        <f>IF(Table2[[#This Row],[Geo Distance]]=0,0,LOG(Table2[[#This Row],[Geo Distance]]))</f>
        <v>2.2401247301685658</v>
      </c>
      <c r="G3">
        <v>13</v>
      </c>
      <c r="H3">
        <f>IF(Table2[[#This Row],[Target age]]=0,0,LOG(Table2[[#This Row],[Target age]]))</f>
        <v>1.1139433523068367</v>
      </c>
      <c r="I3" s="45">
        <v>3.18</v>
      </c>
      <c r="J3" s="9">
        <v>294.5</v>
      </c>
      <c r="K3" s="9">
        <f>IF(Table2[[#This Row],[Culture]]=0,0,LOG(Table2[[#This Row],[Culture]]))</f>
        <v>2.4690852991231202</v>
      </c>
      <c r="L3" s="24">
        <v>0.24</v>
      </c>
      <c r="M3" s="9">
        <f>LOG(1+Table2[[#This Row],[S&amp;P]])</f>
        <v>9.3421685162235063E-2</v>
      </c>
      <c r="N3">
        <v>16</v>
      </c>
      <c r="O3">
        <f>IF(Table2[[#This Row],[fund age]]=0,0,LOG(Table2[[#This Row],[fund age]]))</f>
        <v>1.2041199826559248</v>
      </c>
      <c r="P3">
        <f t="shared" si="0"/>
        <v>1</v>
      </c>
      <c r="Q3">
        <v>70</v>
      </c>
      <c r="R3">
        <v>70</v>
      </c>
      <c r="S3">
        <v>70</v>
      </c>
      <c r="T3" s="34">
        <v>44.1</v>
      </c>
      <c r="U3" s="42">
        <v>50.560579232511799</v>
      </c>
      <c r="V3">
        <v>2366.2306777645658</v>
      </c>
      <c r="W3">
        <f>LOG(Table2[[#This Row],[generalist]])</f>
        <v>3.3740570806117947</v>
      </c>
      <c r="X3" s="14">
        <v>2</v>
      </c>
      <c r="Y3" s="14">
        <v>9334.126040428062</v>
      </c>
      <c r="Z3" s="14">
        <f>LOG(Table2[[#This Row],[country divers.]])</f>
        <v>3.9700736609473402</v>
      </c>
      <c r="AA3">
        <v>130000000</v>
      </c>
      <c r="AB3">
        <f>LOG(Table2[[#This Row],[Firm Size]])</f>
        <v>8.1139433523068369</v>
      </c>
      <c r="AC3" s="80">
        <v>7.5129901375345032E-2</v>
      </c>
    </row>
    <row r="4" spans="1:29" x14ac:dyDescent="0.35">
      <c r="A4" t="s">
        <v>6</v>
      </c>
      <c r="B4">
        <v>0.57879753454545457</v>
      </c>
      <c r="C4">
        <f>IF(Table2[[#This Row],[Return]]=-1,-1,LOG(1+Table2[[#This Row],[Return]]))</f>
        <v>0.19832643952855722</v>
      </c>
      <c r="D4">
        <v>1.167123287671233</v>
      </c>
      <c r="E4">
        <v>6216.38</v>
      </c>
      <c r="F4">
        <f>IF(Table2[[#This Row],[Geo Distance]]=0,0,LOG(Table2[[#This Row],[Geo Distance]]))</f>
        <v>3.7935375545153347</v>
      </c>
      <c r="G4">
        <v>9</v>
      </c>
      <c r="H4">
        <f>IF(Table2[[#This Row],[Target age]]=0,0,LOG(Table2[[#This Row],[Target age]]))</f>
        <v>0.95424250943932487</v>
      </c>
      <c r="I4" s="45">
        <v>2.92</v>
      </c>
      <c r="J4" s="9">
        <v>544.83333333333303</v>
      </c>
      <c r="K4" s="9">
        <f>IF(Table2[[#This Row],[Culture]]=0,0,LOG(Table2[[#This Row],[Culture]]))</f>
        <v>2.7362636701967253</v>
      </c>
      <c r="L4" s="24">
        <v>0.14000000000000001</v>
      </c>
      <c r="M4" s="9">
        <f>LOG(1+Table2[[#This Row],[S&amp;P]])</f>
        <v>5.6904851336472641E-2</v>
      </c>
      <c r="N4">
        <v>22</v>
      </c>
      <c r="O4">
        <f>IF(Table2[[#This Row],[fund age]]=0,0,LOG(Table2[[#This Row],[fund age]]))</f>
        <v>1.3424226808222062</v>
      </c>
      <c r="P4">
        <f t="shared" si="0"/>
        <v>1</v>
      </c>
      <c r="Q4">
        <v>80</v>
      </c>
      <c r="R4">
        <v>70</v>
      </c>
      <c r="S4">
        <v>92.3</v>
      </c>
      <c r="T4" s="34">
        <v>44.2</v>
      </c>
      <c r="U4" s="42">
        <v>55.865585583074697</v>
      </c>
      <c r="V4">
        <v>1518.5350000000001</v>
      </c>
      <c r="W4">
        <f>LOG(Table2[[#This Row],[generalist]])</f>
        <v>3.1814248062191788</v>
      </c>
      <c r="X4" s="14">
        <v>2</v>
      </c>
      <c r="Y4">
        <v>5363.16</v>
      </c>
      <c r="Z4">
        <f>LOG(Table2[[#This Row],[country divers.]])</f>
        <v>3.7294207535322617</v>
      </c>
      <c r="AA4">
        <v>1100000000</v>
      </c>
      <c r="AB4">
        <f>LOG(Table2[[#This Row],[Firm Size]])</f>
        <v>9.0413926851582254</v>
      </c>
      <c r="AC4" s="80">
        <v>7.967812674973862E-2</v>
      </c>
    </row>
    <row r="5" spans="1:29" x14ac:dyDescent="0.35">
      <c r="A5" t="s">
        <v>6</v>
      </c>
      <c r="B5">
        <v>0.56576200417536526</v>
      </c>
      <c r="C5">
        <f>IF(Table2[[#This Row],[Return]]=-1,-1,LOG(1+Table2[[#This Row],[Return]]))</f>
        <v>0.19472574997713679</v>
      </c>
      <c r="D5">
        <v>7.9397260273972599</v>
      </c>
      <c r="E5">
        <v>320.77</v>
      </c>
      <c r="F5">
        <f>IF(Table2[[#This Row],[Geo Distance]]=0,0,LOG(Table2[[#This Row],[Geo Distance]]))</f>
        <v>2.5061937441392494</v>
      </c>
      <c r="G5">
        <v>0</v>
      </c>
      <c r="H5">
        <f>IF(Table2[[#This Row],[Target age]]=0,0,LOG(Table2[[#This Row],[Target age]]))</f>
        <v>0</v>
      </c>
      <c r="I5" s="45">
        <v>2.91</v>
      </c>
      <c r="J5" s="9">
        <v>447.5</v>
      </c>
      <c r="K5" s="9">
        <f>IF(Table2[[#This Row],[Culture]]=0,0,LOG(Table2[[#This Row],[Culture]]))</f>
        <v>2.6507930396519308</v>
      </c>
      <c r="L5" s="24">
        <v>0.46</v>
      </c>
      <c r="M5" s="9">
        <f>LOG(1+Table2[[#This Row],[S&amp;P]])</f>
        <v>0.16435285578443709</v>
      </c>
      <c r="N5">
        <v>23</v>
      </c>
      <c r="O5">
        <f>IF(Table2[[#This Row],[fund age]]=0,0,LOG(Table2[[#This Row],[fund age]]))</f>
        <v>1.3617278360175928</v>
      </c>
      <c r="P5">
        <f t="shared" si="0"/>
        <v>1</v>
      </c>
      <c r="Q5">
        <v>90</v>
      </c>
      <c r="R5">
        <v>70</v>
      </c>
      <c r="S5">
        <v>70</v>
      </c>
      <c r="T5" s="34">
        <v>43.1</v>
      </c>
      <c r="U5" s="42">
        <v>50.714433556883101</v>
      </c>
      <c r="V5" s="40">
        <v>1709.090909090909</v>
      </c>
      <c r="W5" s="40">
        <f>LOG(Table2[[#This Row],[generalist]])</f>
        <v>3.2327651641054547</v>
      </c>
      <c r="X5" s="14">
        <v>3</v>
      </c>
      <c r="Y5">
        <v>8968.5950413223145</v>
      </c>
      <c r="Z5">
        <f>LOG(Table2[[#This Row],[country divers.]])</f>
        <v>3.9527244147731087</v>
      </c>
      <c r="AA5">
        <v>1035680000</v>
      </c>
      <c r="AB5">
        <f>LOG(Table2[[#This Row],[Firm Size]])</f>
        <v>9.0152255896738556</v>
      </c>
      <c r="AC5" s="80">
        <v>0.75106328207194517</v>
      </c>
    </row>
    <row r="6" spans="1:29" x14ac:dyDescent="0.35">
      <c r="A6" t="s">
        <v>6</v>
      </c>
      <c r="B6">
        <v>0.36070359281437137</v>
      </c>
      <c r="C6">
        <f>IF(Table2[[#This Row],[Return]]=-1,-1,LOG(1+Table2[[#This Row],[Return]]))</f>
        <v>0.1337635315040327</v>
      </c>
      <c r="D6">
        <v>3.0301369863013701</v>
      </c>
      <c r="E6">
        <v>320.77</v>
      </c>
      <c r="F6">
        <f>IF(Table2[[#This Row],[Geo Distance]]=0,0,LOG(Table2[[#This Row],[Geo Distance]]))</f>
        <v>2.5061937441392494</v>
      </c>
      <c r="G6">
        <v>62</v>
      </c>
      <c r="H6">
        <f>IF(Table2[[#This Row],[Target age]]=0,0,LOG(Table2[[#This Row],[Target age]]))</f>
        <v>1.7923916894982539</v>
      </c>
      <c r="I6" s="45">
        <v>2.91</v>
      </c>
      <c r="J6" s="9">
        <v>447.5</v>
      </c>
      <c r="K6" s="9">
        <f>IF(Table2[[#This Row],[Culture]]=0,0,LOG(Table2[[#This Row],[Culture]]))</f>
        <v>2.6507930396519308</v>
      </c>
      <c r="L6" s="24">
        <v>-0.27</v>
      </c>
      <c r="M6" s="9">
        <f>LOG(1+Table2[[#This Row],[S&amp;P]])</f>
        <v>-0.13667713987954411</v>
      </c>
      <c r="N6">
        <v>19</v>
      </c>
      <c r="O6">
        <f>IF(Table2[[#This Row],[fund age]]=0,0,LOG(Table2[[#This Row],[fund age]]))</f>
        <v>1.2787536009528289</v>
      </c>
      <c r="P6">
        <f t="shared" si="0"/>
        <v>1</v>
      </c>
      <c r="Q6">
        <v>70</v>
      </c>
      <c r="R6">
        <v>70</v>
      </c>
      <c r="S6">
        <v>70</v>
      </c>
      <c r="T6" s="34">
        <v>43.9</v>
      </c>
      <c r="U6" s="42">
        <v>50.068420233717902</v>
      </c>
      <c r="V6" s="40">
        <v>1709.090909090909</v>
      </c>
      <c r="W6" s="40">
        <f>LOG(Table2[[#This Row],[generalist]])</f>
        <v>3.2327651641054547</v>
      </c>
      <c r="X6" s="14">
        <v>3</v>
      </c>
      <c r="Y6">
        <v>8968.5950413223145</v>
      </c>
      <c r="Z6">
        <f>LOG(Table2[[#This Row],[country divers.]])</f>
        <v>3.9527244147731087</v>
      </c>
      <c r="AA6">
        <v>26720000</v>
      </c>
      <c r="AB6">
        <f>LOG(Table2[[#This Row],[Firm Size]])</f>
        <v>7.4268364538035083</v>
      </c>
      <c r="AC6" s="80">
        <v>-0.25617300045629354</v>
      </c>
    </row>
    <row r="7" spans="1:29" x14ac:dyDescent="0.35">
      <c r="A7" t="s">
        <v>6</v>
      </c>
      <c r="B7">
        <v>3.3269230769230766</v>
      </c>
      <c r="C7">
        <f>IF(Table2[[#This Row],[Return]]=-1,-1,LOG(1+Table2[[#This Row],[Return]]))</f>
        <v>0.63617917447656325</v>
      </c>
      <c r="D7">
        <v>4.3726027397260276</v>
      </c>
      <c r="E7">
        <v>263.72000000000003</v>
      </c>
      <c r="F7">
        <f>IF(Table2[[#This Row],[Geo Distance]]=0,0,LOG(Table2[[#This Row],[Geo Distance]]))</f>
        <v>2.4211430670716649</v>
      </c>
      <c r="G7">
        <v>66</v>
      </c>
      <c r="H7">
        <f>IF(Table2[[#This Row],[Target age]]=0,0,LOG(Table2[[#This Row],[Target age]]))</f>
        <v>1.8195439355418688</v>
      </c>
      <c r="I7" s="45">
        <v>3.07</v>
      </c>
      <c r="J7" s="9">
        <v>847</v>
      </c>
      <c r="K7" s="9">
        <f>IF(Table2[[#This Row],[Culture]]=0,0,LOG(Table2[[#This Row],[Culture]]))</f>
        <v>2.9278834103307068</v>
      </c>
      <c r="L7" s="24">
        <v>0.61</v>
      </c>
      <c r="M7" s="9">
        <f>LOG(1+Table2[[#This Row],[S&amp;P]])</f>
        <v>0.20682587603184968</v>
      </c>
      <c r="N7">
        <v>15</v>
      </c>
      <c r="O7">
        <f>IF(Table2[[#This Row],[fund age]]=0,0,LOG(Table2[[#This Row],[fund age]]))</f>
        <v>1.1760912590556813</v>
      </c>
      <c r="P7">
        <f t="shared" si="0"/>
        <v>1</v>
      </c>
      <c r="Q7">
        <v>80</v>
      </c>
      <c r="R7">
        <v>70</v>
      </c>
      <c r="S7">
        <v>91.6</v>
      </c>
      <c r="T7" s="34">
        <v>45.1</v>
      </c>
      <c r="U7" s="42">
        <v>55.827525017854398</v>
      </c>
      <c r="V7">
        <v>1682.1639898562976</v>
      </c>
      <c r="W7">
        <f>LOG(Table2[[#This Row],[generalist]])</f>
        <v>3.2258683317817765</v>
      </c>
      <c r="X7" s="14">
        <v>1</v>
      </c>
      <c r="Y7">
        <v>9152.2762951334389</v>
      </c>
      <c r="Z7">
        <f>LOG(Table2[[#This Row],[country divers.]])</f>
        <v>3.9615291224236637</v>
      </c>
      <c r="AA7">
        <v>208000000</v>
      </c>
      <c r="AB7">
        <f>LOG(Table2[[#This Row],[Firm Size]])</f>
        <v>8.318063334962762</v>
      </c>
      <c r="AC7" s="80">
        <v>0.20360259757843102</v>
      </c>
    </row>
    <row r="8" spans="1:29" x14ac:dyDescent="0.35">
      <c r="A8" t="s">
        <v>6</v>
      </c>
      <c r="B8">
        <v>0.77419354838709675</v>
      </c>
      <c r="C8">
        <f>IF(Table2[[#This Row],[Return]]=-1,-1,LOG(1+Table2[[#This Row],[Return]]))</f>
        <v>0.24900099565997116</v>
      </c>
      <c r="D8">
        <v>3.7561643835616438</v>
      </c>
      <c r="E8">
        <v>6216.38</v>
      </c>
      <c r="F8">
        <f>IF(Table2[[#This Row],[Geo Distance]]=0,0,LOG(Table2[[#This Row],[Geo Distance]]))</f>
        <v>3.7935375545153347</v>
      </c>
      <c r="G8">
        <v>0</v>
      </c>
      <c r="H8">
        <f>IF(Table2[[#This Row],[Target age]]=0,0,LOG(Table2[[#This Row],[Target age]]))</f>
        <v>0</v>
      </c>
      <c r="I8" s="45">
        <v>2.92</v>
      </c>
      <c r="J8" s="9">
        <v>544.83333333333303</v>
      </c>
      <c r="K8" s="9">
        <f>IF(Table2[[#This Row],[Culture]]=0,0,LOG(Table2[[#This Row],[Culture]]))</f>
        <v>2.7362636701967253</v>
      </c>
      <c r="L8" s="24">
        <v>-0.06</v>
      </c>
      <c r="M8" s="9">
        <f>LOG(1+Table2[[#This Row],[S&amp;P]])</f>
        <v>-2.6872146400301365E-2</v>
      </c>
      <c r="N8">
        <v>13</v>
      </c>
      <c r="O8">
        <f>IF(Table2[[#This Row],[fund age]]=0,0,LOG(Table2[[#This Row],[fund age]]))</f>
        <v>1.1139433523068367</v>
      </c>
      <c r="P8">
        <f t="shared" si="0"/>
        <v>1</v>
      </c>
      <c r="Q8">
        <v>90</v>
      </c>
      <c r="R8">
        <v>80</v>
      </c>
      <c r="S8">
        <v>93.7</v>
      </c>
      <c r="T8" s="34">
        <v>43.3</v>
      </c>
      <c r="U8" s="42">
        <v>50.280752820308301</v>
      </c>
      <c r="V8">
        <v>1490.3353057199211</v>
      </c>
      <c r="W8">
        <f>LOG(Table2[[#This Row],[generalist]])</f>
        <v>3.17328398991646</v>
      </c>
      <c r="X8" s="14">
        <v>2</v>
      </c>
      <c r="Y8">
        <v>6649.5726495726503</v>
      </c>
      <c r="Z8">
        <f>LOG(Table2[[#This Row],[country divers.]])</f>
        <v>3.8227937352435273</v>
      </c>
      <c r="AA8">
        <v>155000000</v>
      </c>
      <c r="AB8">
        <f>LOG(Table2[[#This Row],[Firm Size]])</f>
        <v>8.1903316981702918</v>
      </c>
      <c r="AC8" s="80">
        <v>-3.335618580640265E-2</v>
      </c>
    </row>
    <row r="9" spans="1:29" x14ac:dyDescent="0.35">
      <c r="A9" t="s">
        <v>6</v>
      </c>
      <c r="B9">
        <v>1.5569409808811305</v>
      </c>
      <c r="C9">
        <f>IF(Table2[[#This Row],[Return]]=-1,-1,LOG(1+Table2[[#This Row],[Return]]))</f>
        <v>0.40772070378954867</v>
      </c>
      <c r="D9">
        <v>0.33424657534246577</v>
      </c>
      <c r="E9">
        <v>320.77</v>
      </c>
      <c r="F9">
        <f>IF(Table2[[#This Row],[Geo Distance]]=0,0,LOG(Table2[[#This Row],[Geo Distance]]))</f>
        <v>2.5061937441392494</v>
      </c>
      <c r="G9">
        <v>9</v>
      </c>
      <c r="H9">
        <f>IF(Table2[[#This Row],[Target age]]=0,0,LOG(Table2[[#This Row],[Target age]]))</f>
        <v>0.95424250943932487</v>
      </c>
      <c r="I9" s="45">
        <v>2.91</v>
      </c>
      <c r="J9" s="9">
        <v>447.5</v>
      </c>
      <c r="K9" s="9">
        <f>IF(Table2[[#This Row],[Culture]]=0,0,LOG(Table2[[#This Row],[Culture]]))</f>
        <v>2.6507930396519308</v>
      </c>
      <c r="L9" s="24">
        <v>-0.04</v>
      </c>
      <c r="M9" s="9">
        <f>LOG(1+Table2[[#This Row],[S&amp;P]])</f>
        <v>-1.7728766960431602E-2</v>
      </c>
      <c r="N9">
        <v>7</v>
      </c>
      <c r="O9">
        <f>IF(Table2[[#This Row],[fund age]]=0,0,LOG(Table2[[#This Row],[fund age]]))</f>
        <v>0.84509804001425681</v>
      </c>
      <c r="P9">
        <f t="shared" si="0"/>
        <v>1</v>
      </c>
      <c r="Q9">
        <v>90</v>
      </c>
      <c r="R9">
        <v>70</v>
      </c>
      <c r="S9">
        <v>70</v>
      </c>
      <c r="T9" s="34">
        <v>43.2</v>
      </c>
      <c r="U9" s="42">
        <v>48.933014808972402</v>
      </c>
      <c r="V9">
        <v>4375.8573388203013</v>
      </c>
      <c r="W9">
        <f>LOG(Table2[[#This Row],[generalist]])</f>
        <v>3.6410631547392063</v>
      </c>
      <c r="X9" s="14">
        <v>2</v>
      </c>
      <c r="Y9">
        <v>5027.4348422496569</v>
      </c>
      <c r="Z9">
        <f>LOG(Table2[[#This Row],[country divers.]])</f>
        <v>3.7013464506591722</v>
      </c>
      <c r="AA9">
        <v>12980000</v>
      </c>
      <c r="AB9">
        <f>LOG(Table2[[#This Row],[Firm Size]])</f>
        <v>7.1132746924643504</v>
      </c>
      <c r="AC9" s="80">
        <v>-7.1331928579350112E-3</v>
      </c>
    </row>
    <row r="10" spans="1:29" x14ac:dyDescent="0.35">
      <c r="A10" t="s">
        <v>6</v>
      </c>
      <c r="B10">
        <v>5.8149982755078424</v>
      </c>
      <c r="C10">
        <f>IF(Table2[[#This Row],[Return]]=-1,-1,LOG(1+Table2[[#This Row],[Return]]))</f>
        <v>0.83346575027523784</v>
      </c>
      <c r="D10">
        <v>3.2301369863013698</v>
      </c>
      <c r="E10">
        <v>6216.38</v>
      </c>
      <c r="F10">
        <f>IF(Table2[[#This Row],[Geo Distance]]=0,0,LOG(Table2[[#This Row],[Geo Distance]]))</f>
        <v>3.7935375545153347</v>
      </c>
      <c r="G10">
        <v>29</v>
      </c>
      <c r="H10">
        <f>IF(Table2[[#This Row],[Target age]]=0,0,LOG(Table2[[#This Row],[Target age]]))</f>
        <v>1.4623979978989561</v>
      </c>
      <c r="I10" s="45">
        <v>2.92</v>
      </c>
      <c r="J10">
        <v>544.83333333333303</v>
      </c>
      <c r="K10" s="9">
        <f>IF(Table2[[#This Row],[Culture]]=0,0,LOG(Table2[[#This Row],[Culture]]))</f>
        <v>2.7362636701967253</v>
      </c>
      <c r="L10" s="24">
        <v>0.31</v>
      </c>
      <c r="M10" s="9">
        <f>LOG(1+Table2[[#This Row],[S&amp;P]])</f>
        <v>0.11727129565576427</v>
      </c>
      <c r="N10">
        <v>47</v>
      </c>
      <c r="O10">
        <f>IF(Table2[[#This Row],[fund age]]=0,0,LOG(Table2[[#This Row],[fund age]]))</f>
        <v>1.6720978579357175</v>
      </c>
      <c r="P10">
        <f t="shared" si="0"/>
        <v>1</v>
      </c>
      <c r="Q10">
        <v>80</v>
      </c>
      <c r="R10">
        <v>70</v>
      </c>
      <c r="S10">
        <v>90.7</v>
      </c>
      <c r="T10" s="34">
        <v>44.8</v>
      </c>
      <c r="U10" s="42">
        <v>53.736888616883299</v>
      </c>
      <c r="V10">
        <v>2446.450593263969</v>
      </c>
      <c r="W10">
        <f>LOG(Table2[[#This Row],[generalist]])</f>
        <v>3.3885364494891754</v>
      </c>
      <c r="X10" s="14">
        <v>2</v>
      </c>
      <c r="Y10">
        <v>6578.8244872547029</v>
      </c>
      <c r="Z10">
        <f>LOG(Table2[[#This Row],[country divers.]])</f>
        <v>3.818148300254375</v>
      </c>
      <c r="AA10">
        <v>27422566</v>
      </c>
      <c r="AB10">
        <f>LOG(Table2[[#This Row],[Firm Size]])</f>
        <v>7.4381080904060948</v>
      </c>
      <c r="AC10" s="80">
        <v>0.11327644102723511</v>
      </c>
    </row>
    <row r="11" spans="1:29" x14ac:dyDescent="0.35">
      <c r="A11" t="s">
        <v>3</v>
      </c>
      <c r="B11">
        <v>3.5910616369271393</v>
      </c>
      <c r="C11">
        <f>IF(Table2[[#This Row],[Return]]=-1,-1,LOG(1+Table2[[#This Row],[Return]]))</f>
        <v>0.66191312339064456</v>
      </c>
      <c r="D11">
        <v>3.3917808219178083</v>
      </c>
      <c r="E11">
        <v>955.95</v>
      </c>
      <c r="F11">
        <f>IF(Table2[[#This Row],[Geo Distance]]=0,0,LOG(Table2[[#This Row],[Geo Distance]]))</f>
        <v>2.9804351775355471</v>
      </c>
      <c r="G11">
        <v>107</v>
      </c>
      <c r="H11">
        <f>IF(Table2[[#This Row],[Target age]]=0,0,LOG(Table2[[#This Row],[Target age]]))</f>
        <v>2.0293837776852097</v>
      </c>
      <c r="I11" s="45">
        <v>3.13</v>
      </c>
      <c r="J11" s="9">
        <v>541.5</v>
      </c>
      <c r="K11" s="9">
        <f>IF(Table2[[#This Row],[Culture]]=0,0,LOG(Table2[[#This Row],[Culture]]))</f>
        <v>2.7335984609613391</v>
      </c>
      <c r="L11" s="24">
        <v>0.53</v>
      </c>
      <c r="M11" s="9">
        <f>LOG(1+Table2[[#This Row],[S&amp;P]])</f>
        <v>0.18469143081759881</v>
      </c>
      <c r="N11">
        <v>22</v>
      </c>
      <c r="O11">
        <f>IF(Table2[[#This Row],[fund age]]=0,0,LOG(Table2[[#This Row],[fund age]]))</f>
        <v>1.3424226808222062</v>
      </c>
      <c r="P11">
        <f t="shared" si="0"/>
        <v>1</v>
      </c>
      <c r="Q11">
        <v>85</v>
      </c>
      <c r="R11">
        <v>70</v>
      </c>
      <c r="S11">
        <v>100</v>
      </c>
      <c r="T11" s="34">
        <v>45.6</v>
      </c>
      <c r="U11" s="42">
        <v>53.639357132864397</v>
      </c>
      <c r="V11">
        <v>1669.0315000000001</v>
      </c>
      <c r="W11">
        <f>LOG(Table2[[#This Row],[generalist]])</f>
        <v>3.2224645332922388</v>
      </c>
      <c r="X11" s="14">
        <v>3</v>
      </c>
      <c r="Y11">
        <v>5094.7950000000001</v>
      </c>
      <c r="Z11">
        <f>LOG(Table2[[#This Row],[country divers.]])</f>
        <v>3.707126713924402</v>
      </c>
      <c r="AA11">
        <v>847560000</v>
      </c>
      <c r="AB11">
        <f>LOG(Table2[[#This Row],[Firm Size]])</f>
        <v>8.9281704522987919</v>
      </c>
      <c r="AC11" s="80">
        <v>0.68511483481131275</v>
      </c>
    </row>
    <row r="12" spans="1:29" x14ac:dyDescent="0.35">
      <c r="A12" t="s">
        <v>3</v>
      </c>
      <c r="B12">
        <v>0.64999999999999991</v>
      </c>
      <c r="C12">
        <f>IF(Table2[[#This Row],[Return]]=-1,-1,LOG(1+Table2[[#This Row],[Return]]))</f>
        <v>0.21748394421390627</v>
      </c>
      <c r="D12">
        <v>5.6739726027397257</v>
      </c>
      <c r="E12">
        <v>522.27</v>
      </c>
      <c r="F12">
        <f>IF(Table2[[#This Row],[Geo Distance]]=0,0,LOG(Table2[[#This Row],[Geo Distance]]))</f>
        <v>2.717895080003855</v>
      </c>
      <c r="G12">
        <v>36</v>
      </c>
      <c r="H12">
        <f>IF(Table2[[#This Row],[Target age]]=0,0,LOG(Table2[[#This Row],[Target age]]))</f>
        <v>1.5563025007672873</v>
      </c>
      <c r="I12" s="45">
        <v>3.57</v>
      </c>
      <c r="J12" s="9">
        <v>1232.1666666666699</v>
      </c>
      <c r="K12" s="9">
        <f>IF(Table2[[#This Row],[Culture]]=0,0,LOG(Table2[[#This Row],[Culture]]))</f>
        <v>3.0906694558138748</v>
      </c>
      <c r="L12" s="24">
        <v>0.74</v>
      </c>
      <c r="M12" s="9">
        <f>LOG(1+Table2[[#This Row],[S&amp;P]])</f>
        <v>0.24054924828259971</v>
      </c>
      <c r="N12">
        <v>24</v>
      </c>
      <c r="O12">
        <f>IF(Table2[[#This Row],[fund age]]=0,0,LOG(Table2[[#This Row],[fund age]]))</f>
        <v>1.3802112417116059</v>
      </c>
      <c r="P12">
        <f t="shared" si="0"/>
        <v>1</v>
      </c>
      <c r="Q12">
        <v>85</v>
      </c>
      <c r="R12">
        <v>70</v>
      </c>
      <c r="S12">
        <v>98.4</v>
      </c>
      <c r="T12" s="34">
        <v>45.9</v>
      </c>
      <c r="U12" s="42">
        <v>55.820378229102602</v>
      </c>
      <c r="V12">
        <v>1630.2786555587475</v>
      </c>
      <c r="W12">
        <f>LOG(Table2[[#This Row],[generalist]])</f>
        <v>3.212261842580872</v>
      </c>
      <c r="X12" s="14">
        <v>4</v>
      </c>
      <c r="Y12">
        <v>8569.3766159149673</v>
      </c>
      <c r="Z12">
        <f>LOG(Table2[[#This Row],[country divers.]])</f>
        <v>3.9329492300777744</v>
      </c>
      <c r="AA12">
        <v>400000000</v>
      </c>
      <c r="AB12">
        <f>LOG(Table2[[#This Row],[Firm Size]])</f>
        <v>8.6020599913279625</v>
      </c>
      <c r="AC12" s="80">
        <v>0.10751226604288755</v>
      </c>
    </row>
    <row r="13" spans="1:29" x14ac:dyDescent="0.35">
      <c r="A13" t="s">
        <v>3</v>
      </c>
      <c r="B13">
        <v>0.37814004180063843</v>
      </c>
      <c r="C13">
        <f>IF(Table2[[#This Row],[Return]]=-1,-1,LOG(1+Table2[[#This Row],[Return]]))</f>
        <v>0.13929335130964862</v>
      </c>
      <c r="D13">
        <v>6.3561643835616435</v>
      </c>
      <c r="E13">
        <v>522.27</v>
      </c>
      <c r="F13">
        <f>IF(Table2[[#This Row],[Geo Distance]]=0,0,LOG(Table2[[#This Row],[Geo Distance]]))</f>
        <v>2.717895080003855</v>
      </c>
      <c r="G13">
        <v>98</v>
      </c>
      <c r="H13">
        <f>IF(Table2[[#This Row],[Target age]]=0,0,LOG(Table2[[#This Row],[Target age]]))</f>
        <v>1.9912260756924949</v>
      </c>
      <c r="I13" s="45">
        <v>3.58</v>
      </c>
      <c r="J13" s="9">
        <v>1232.1666666666699</v>
      </c>
      <c r="K13" s="9">
        <f>IF(Table2[[#This Row],[Culture]]=0,0,LOG(Table2[[#This Row],[Culture]]))</f>
        <v>3.0906694558138748</v>
      </c>
      <c r="L13" s="24">
        <v>0.14000000000000001</v>
      </c>
      <c r="M13" s="9">
        <f>LOG(1+Table2[[#This Row],[S&amp;P]])</f>
        <v>5.6904851336472641E-2</v>
      </c>
      <c r="N13">
        <v>15</v>
      </c>
      <c r="O13">
        <f>IF(Table2[[#This Row],[fund age]]=0,0,LOG(Table2[[#This Row],[fund age]]))</f>
        <v>1.1760912590556813</v>
      </c>
      <c r="P13">
        <f t="shared" si="0"/>
        <v>1</v>
      </c>
      <c r="Q13">
        <v>85</v>
      </c>
      <c r="R13">
        <v>70</v>
      </c>
      <c r="S13">
        <v>100</v>
      </c>
      <c r="T13" s="34">
        <v>46.4</v>
      </c>
      <c r="U13" s="42">
        <v>52.997375167745602</v>
      </c>
      <c r="V13">
        <v>1630.2786555587475</v>
      </c>
      <c r="W13">
        <f>LOG(Table2[[#This Row],[generalist]])</f>
        <v>3.212261842580872</v>
      </c>
      <c r="X13" s="14">
        <v>4</v>
      </c>
      <c r="Y13">
        <v>8569.3766159149673</v>
      </c>
      <c r="Z13">
        <f>LOG(Table2[[#This Row],[country divers.]])</f>
        <v>3.9329492300777744</v>
      </c>
      <c r="AA13">
        <v>712065680</v>
      </c>
      <c r="AB13">
        <f>LOG(Table2[[#This Row],[Firm Size]])</f>
        <v>8.852520054235173</v>
      </c>
      <c r="AC13" s="80">
        <v>0.33747692052361877</v>
      </c>
    </row>
    <row r="14" spans="1:29" x14ac:dyDescent="0.35">
      <c r="A14" t="s">
        <v>3</v>
      </c>
      <c r="B14">
        <v>0.81881909547738685</v>
      </c>
      <c r="C14">
        <f>IF(Table2[[#This Row],[Return]]=-1,-1,LOG(1+Table2[[#This Row],[Return]]))</f>
        <v>0.25978950514211202</v>
      </c>
      <c r="D14">
        <v>3.5561643835616437</v>
      </c>
      <c r="E14">
        <v>522.27</v>
      </c>
      <c r="F14">
        <f>IF(Table2[[#This Row],[Geo Distance]]=0,0,LOG(Table2[[#This Row],[Geo Distance]]))</f>
        <v>2.717895080003855</v>
      </c>
      <c r="G14">
        <v>125</v>
      </c>
      <c r="H14">
        <f>IF(Table2[[#This Row],[Target age]]=0,0,LOG(Table2[[#This Row],[Target age]]))</f>
        <v>2.0969100130080562</v>
      </c>
      <c r="I14" s="45">
        <v>3.59</v>
      </c>
      <c r="J14" s="9">
        <v>1232.1666666666699</v>
      </c>
      <c r="K14" s="9">
        <f>IF(Table2[[#This Row],[Culture]]=0,0,LOG(Table2[[#This Row],[Culture]]))</f>
        <v>3.0906694558138748</v>
      </c>
      <c r="L14" s="24">
        <v>-0.3</v>
      </c>
      <c r="M14" s="9">
        <f>LOG(1+Table2[[#This Row],[S&amp;P]])</f>
        <v>-0.15490195998574319</v>
      </c>
      <c r="N14">
        <v>10</v>
      </c>
      <c r="O14">
        <f>IF(Table2[[#This Row],[fund age]]=0,0,LOG(Table2[[#This Row],[fund age]]))</f>
        <v>1</v>
      </c>
      <c r="P14">
        <f t="shared" si="0"/>
        <v>1</v>
      </c>
      <c r="Q14">
        <v>85</v>
      </c>
      <c r="R14">
        <v>70</v>
      </c>
      <c r="S14">
        <v>85</v>
      </c>
      <c r="T14" s="34">
        <v>47.9</v>
      </c>
      <c r="U14" s="42">
        <v>54.533270077590302</v>
      </c>
      <c r="V14">
        <v>1630.2786555587475</v>
      </c>
      <c r="W14">
        <f>LOG(Table2[[#This Row],[generalist]])</f>
        <v>3.212261842580872</v>
      </c>
      <c r="X14" s="14">
        <v>4</v>
      </c>
      <c r="Y14">
        <v>8569.3766159149673</v>
      </c>
      <c r="Z14">
        <f>LOG(Table2[[#This Row],[country divers.]])</f>
        <v>3.9329492300777744</v>
      </c>
      <c r="AA14">
        <v>398000000</v>
      </c>
      <c r="AB14">
        <f>LOG(Table2[[#This Row],[Firm Size]])</f>
        <v>8.5998830720736876</v>
      </c>
      <c r="AC14" s="80">
        <v>-0.32235771414555559</v>
      </c>
    </row>
    <row r="15" spans="1:29" x14ac:dyDescent="0.35">
      <c r="A15" t="s">
        <v>3</v>
      </c>
      <c r="B15">
        <v>-0.66430703561757687</v>
      </c>
      <c r="C15">
        <f>IF(Table2[[#This Row],[Return]]=-1,-1,LOG(1+Table2[[#This Row],[Return]]))</f>
        <v>-0.47405776081308326</v>
      </c>
      <c r="D15">
        <v>7.1726027397260275</v>
      </c>
      <c r="E15">
        <v>6511.1</v>
      </c>
      <c r="F15">
        <f>IF(Table2[[#This Row],[Geo Distance]]=0,0,LOG(Table2[[#This Row],[Geo Distance]]))</f>
        <v>3.8136543654612702</v>
      </c>
      <c r="G15">
        <v>16</v>
      </c>
      <c r="H15">
        <f>IF(Table2[[#This Row],[Target age]]=0,0,LOG(Table2[[#This Row],[Target age]]))</f>
        <v>1.2041199826559248</v>
      </c>
      <c r="I15" s="45">
        <v>2.86</v>
      </c>
      <c r="J15" s="9">
        <v>835.16666666666697</v>
      </c>
      <c r="K15" s="9">
        <f>IF(Table2[[#This Row],[Culture]]=0,0,LOG(Table2[[#This Row],[Culture]]))</f>
        <v>2.9217731523588331</v>
      </c>
      <c r="L15" s="24">
        <v>0.24</v>
      </c>
      <c r="M15" s="9">
        <f>LOG(1+Table2[[#This Row],[S&amp;P]])</f>
        <v>9.3421685162235063E-2</v>
      </c>
      <c r="N15">
        <v>21</v>
      </c>
      <c r="O15">
        <f>IF(Table2[[#This Row],[fund age]]=0,0,LOG(Table2[[#This Row],[fund age]]))</f>
        <v>1.3222192947339193</v>
      </c>
      <c r="P15">
        <f t="shared" si="0"/>
        <v>1</v>
      </c>
      <c r="Q15">
        <v>85</v>
      </c>
      <c r="R15">
        <v>70</v>
      </c>
      <c r="S15">
        <v>94.6</v>
      </c>
      <c r="T15" s="34">
        <v>46.5</v>
      </c>
      <c r="U15" s="42">
        <v>49.829752832499103</v>
      </c>
      <c r="V15">
        <v>2315.9650000000001</v>
      </c>
      <c r="W15">
        <f>LOG(Table2[[#This Row],[generalist]])</f>
        <v>3.3647319918335836</v>
      </c>
      <c r="X15" s="14">
        <v>4</v>
      </c>
      <c r="Y15">
        <v>3703.9029999999998</v>
      </c>
      <c r="Z15">
        <f>LOG(Table2[[#This Row],[country divers.]])</f>
        <v>3.568659604598353</v>
      </c>
      <c r="AA15">
        <v>7987460000</v>
      </c>
      <c r="AB15">
        <f>LOG(Table2[[#This Row],[Firm Size]])</f>
        <v>9.9024086962903652</v>
      </c>
      <c r="AC15" s="80">
        <v>0.1657317954617179</v>
      </c>
    </row>
    <row r="16" spans="1:29" x14ac:dyDescent="0.35">
      <c r="A16" t="s">
        <v>3</v>
      </c>
      <c r="B16">
        <v>0.88794491643067364</v>
      </c>
      <c r="C16">
        <f>IF(Table2[[#This Row],[Return]]=-1,-1,LOG(1+Table2[[#This Row],[Return]]))</f>
        <v>0.27598931896671886</v>
      </c>
      <c r="D16">
        <v>3.6520547945205482</v>
      </c>
      <c r="E16">
        <v>955.95</v>
      </c>
      <c r="F16">
        <f>IF(Table2[[#This Row],[Geo Distance]]=0,0,LOG(Table2[[#This Row],[Geo Distance]]))</f>
        <v>2.9804351775355471</v>
      </c>
      <c r="G16">
        <v>66</v>
      </c>
      <c r="H16">
        <f>IF(Table2[[#This Row],[Target age]]=0,0,LOG(Table2[[#This Row],[Target age]]))</f>
        <v>1.8195439355418688</v>
      </c>
      <c r="I16" s="45">
        <v>3.13</v>
      </c>
      <c r="J16" s="9">
        <v>541.5</v>
      </c>
      <c r="K16" s="9">
        <f>IF(Table2[[#This Row],[Culture]]=0,0,LOG(Table2[[#This Row],[Culture]]))</f>
        <v>2.7335984609613391</v>
      </c>
      <c r="L16" s="24">
        <v>0.48</v>
      </c>
      <c r="M16" s="9">
        <f>LOG(1+Table2[[#This Row],[S&amp;P]])</f>
        <v>0.17026171539495738</v>
      </c>
      <c r="N16">
        <v>28</v>
      </c>
      <c r="O16">
        <f>IF(Table2[[#This Row],[fund age]]=0,0,LOG(Table2[[#This Row],[fund age]]))</f>
        <v>1.4471580313422192</v>
      </c>
      <c r="P16">
        <f t="shared" si="0"/>
        <v>1</v>
      </c>
      <c r="Q16">
        <v>85</v>
      </c>
      <c r="R16">
        <v>70</v>
      </c>
      <c r="S16">
        <v>98.4</v>
      </c>
      <c r="T16" s="34">
        <v>45.9</v>
      </c>
      <c r="U16" s="42">
        <v>55.820378229102602</v>
      </c>
      <c r="V16">
        <v>2417.5229853975125</v>
      </c>
      <c r="W16">
        <f>LOG(Table2[[#This Row],[generalist]])</f>
        <v>3.3833706119727633</v>
      </c>
      <c r="X16" s="14">
        <v>1</v>
      </c>
      <c r="Y16">
        <v>9545.7003785830148</v>
      </c>
      <c r="Z16">
        <f>LOG(Table2[[#This Row],[country divers.]])</f>
        <v>3.9798077985646683</v>
      </c>
      <c r="AA16">
        <v>180090000</v>
      </c>
      <c r="AB16">
        <f>LOG(Table2[[#This Row],[Firm Size]])</f>
        <v>8.2554895980755365</v>
      </c>
      <c r="AC16" s="80">
        <v>0.15243301171849732</v>
      </c>
    </row>
    <row r="17" spans="1:29" x14ac:dyDescent="0.35">
      <c r="A17" t="s">
        <v>419</v>
      </c>
      <c r="B17">
        <v>-0.33755792654424044</v>
      </c>
      <c r="C17">
        <f>IF(Table2[[#This Row],[Return]]=-1,-1,LOG(1+Table2[[#This Row],[Return]]))</f>
        <v>-0.17885209215101669</v>
      </c>
      <c r="D17">
        <v>11.490410958904109</v>
      </c>
      <c r="E17">
        <v>395.92</v>
      </c>
      <c r="F17">
        <f>IF(Table2[[#This Row],[Geo Distance]]=0,0,LOG(Table2[[#This Row],[Geo Distance]]))</f>
        <v>2.5976074408030998</v>
      </c>
      <c r="G17">
        <v>99</v>
      </c>
      <c r="H17">
        <f>IF(Table2[[#This Row],[Target age]]=0,0,LOG(Table2[[#This Row],[Target age]]))</f>
        <v>1.9956351945975499</v>
      </c>
      <c r="I17" s="45">
        <v>3.35</v>
      </c>
      <c r="J17" s="9">
        <v>345.83333333333297</v>
      </c>
      <c r="K17" s="9">
        <f>IF(Table2[[#This Row],[Culture]]=0,0,LOG(Table2[[#This Row],[Culture]]))</f>
        <v>2.5388668506644674</v>
      </c>
      <c r="L17" s="24">
        <v>0.84</v>
      </c>
      <c r="M17" s="9">
        <f>LOG(1+Table2[[#This Row],[S&amp;P]])</f>
        <v>0.26481782300953643</v>
      </c>
      <c r="N17">
        <v>16</v>
      </c>
      <c r="O17">
        <f>IF(Table2[[#This Row],[fund age]]=0,0,LOG(Table2[[#This Row],[fund age]]))</f>
        <v>1.2041199826559248</v>
      </c>
      <c r="P17">
        <f t="shared" si="0"/>
        <v>1</v>
      </c>
      <c r="Q17">
        <v>90</v>
      </c>
      <c r="R17">
        <v>80</v>
      </c>
      <c r="S17">
        <v>85</v>
      </c>
      <c r="T17" s="34">
        <v>42.1</v>
      </c>
      <c r="U17" s="42">
        <v>49.275185994026302</v>
      </c>
      <c r="V17">
        <v>1630.2786555587475</v>
      </c>
      <c r="W17">
        <f>LOG(Table2[[#This Row],[generalist]])</f>
        <v>3.212261842580872</v>
      </c>
      <c r="X17" s="14">
        <v>4</v>
      </c>
      <c r="Y17">
        <v>8569.3766159149673</v>
      </c>
      <c r="Z17">
        <f>LOG(Table2[[#This Row],[country divers.]])</f>
        <v>3.9329492300777744</v>
      </c>
      <c r="AA17">
        <v>599000000</v>
      </c>
      <c r="AB17">
        <f>LOG(Table2[[#This Row],[Firm Size]])</f>
        <v>8.7774268223893106</v>
      </c>
      <c r="AC17" s="80">
        <v>0.46300670019284973</v>
      </c>
    </row>
    <row r="18" spans="1:29" x14ac:dyDescent="0.35">
      <c r="A18" t="s">
        <v>419</v>
      </c>
      <c r="B18">
        <v>6.9078207336281503</v>
      </c>
      <c r="C18">
        <f>IF(Table2[[#This Row],[Return]]=-1,-1,LOG(1+Table2[[#This Row],[Return]]))</f>
        <v>0.89805681551283612</v>
      </c>
      <c r="D18">
        <v>6.5315068493150683</v>
      </c>
      <c r="E18">
        <v>395.92</v>
      </c>
      <c r="F18">
        <f>IF(Table2[[#This Row],[Geo Distance]]=0,0,LOG(Table2[[#This Row],[Geo Distance]]))</f>
        <v>2.5976074408030998</v>
      </c>
      <c r="G18">
        <v>16</v>
      </c>
      <c r="H18">
        <f>IF(Table2[[#This Row],[Target age]]=0,0,LOG(Table2[[#This Row],[Target age]]))</f>
        <v>1.2041199826559248</v>
      </c>
      <c r="I18" s="45">
        <v>3.35</v>
      </c>
      <c r="J18" s="9">
        <v>345.83333333333297</v>
      </c>
      <c r="K18" s="9">
        <f>IF(Table2[[#This Row],[Culture]]=0,0,LOG(Table2[[#This Row],[Culture]]))</f>
        <v>2.5388668506644674</v>
      </c>
      <c r="L18" s="24">
        <v>0.36</v>
      </c>
      <c r="M18" s="9">
        <f>LOG(1+Table2[[#This Row],[S&amp;P]])</f>
        <v>0.13353890837021748</v>
      </c>
      <c r="N18">
        <v>12</v>
      </c>
      <c r="O18">
        <f>IF(Table2[[#This Row],[fund age]]=0,0,LOG(Table2[[#This Row],[fund age]]))</f>
        <v>1.0791812460476249</v>
      </c>
      <c r="P18">
        <f t="shared" si="0"/>
        <v>1</v>
      </c>
      <c r="Q18">
        <v>90</v>
      </c>
      <c r="R18">
        <v>80</v>
      </c>
      <c r="S18">
        <v>70</v>
      </c>
      <c r="T18" s="34">
        <v>43.2</v>
      </c>
      <c r="U18" s="42">
        <v>47.338285896273099</v>
      </c>
      <c r="V18">
        <v>1630.2786555587475</v>
      </c>
      <c r="W18">
        <f>LOG(Table2[[#This Row],[generalist]])</f>
        <v>3.212261842580872</v>
      </c>
      <c r="X18" s="14">
        <v>4</v>
      </c>
      <c r="Y18">
        <v>8569.3766159149673</v>
      </c>
      <c r="Z18">
        <f>LOG(Table2[[#This Row],[country divers.]])</f>
        <v>3.9329492300777744</v>
      </c>
      <c r="AA18">
        <v>16818793</v>
      </c>
      <c r="AB18">
        <f>LOG(Table2[[#This Row],[Firm Size]])</f>
        <v>7.2257948254542494</v>
      </c>
      <c r="AC18" s="80">
        <v>0.23840607878658959</v>
      </c>
    </row>
    <row r="19" spans="1:29" x14ac:dyDescent="0.35">
      <c r="A19" t="s">
        <v>419</v>
      </c>
      <c r="B19">
        <v>2.4210526315789473</v>
      </c>
      <c r="C19">
        <f>IF(Table2[[#This Row],[Return]]=-1,-1,LOG(1+Table2[[#This Row],[Return]]))</f>
        <v>0.53415975569002661</v>
      </c>
      <c r="D19">
        <v>2.6931506849315068</v>
      </c>
      <c r="E19">
        <v>787.45</v>
      </c>
      <c r="F19">
        <f>IF(Table2[[#This Row],[Geo Distance]]=0,0,LOG(Table2[[#This Row],[Geo Distance]]))</f>
        <v>2.8962229873334087</v>
      </c>
      <c r="G19">
        <v>6</v>
      </c>
      <c r="H19">
        <f>IF(Table2[[#This Row],[Target age]]=0,0,LOG(Table2[[#This Row],[Target age]]))</f>
        <v>0.77815125038364363</v>
      </c>
      <c r="I19" s="45">
        <v>3.48</v>
      </c>
      <c r="J19" s="9">
        <v>76.3333333333333</v>
      </c>
      <c r="K19" s="9">
        <f>IF(Table2[[#This Row],[Culture]]=0,0,LOG(Table2[[#This Row],[Culture]]))</f>
        <v>1.8827142276202253</v>
      </c>
      <c r="L19" s="24">
        <v>0.24</v>
      </c>
      <c r="M19" s="9">
        <f>LOG(1+Table2[[#This Row],[S&amp;P]])</f>
        <v>9.3421685162235063E-2</v>
      </c>
      <c r="N19">
        <v>15</v>
      </c>
      <c r="O19">
        <f>IF(Table2[[#This Row],[fund age]]=0,0,LOG(Table2[[#This Row],[fund age]]))</f>
        <v>1.1760912590556813</v>
      </c>
      <c r="P19">
        <f t="shared" si="0"/>
        <v>1</v>
      </c>
      <c r="Q19">
        <v>90</v>
      </c>
      <c r="R19">
        <v>80</v>
      </c>
      <c r="S19">
        <v>85</v>
      </c>
      <c r="T19" s="34">
        <v>41.8</v>
      </c>
      <c r="U19" s="42">
        <v>49.305577465499702</v>
      </c>
      <c r="V19">
        <v>1895.918367346939</v>
      </c>
      <c r="W19">
        <f>LOG(Table2[[#This Row],[generalist]])</f>
        <v>3.277819633965128</v>
      </c>
      <c r="X19" s="14">
        <v>2</v>
      </c>
      <c r="Y19">
        <v>8519.3877551020414</v>
      </c>
      <c r="Z19">
        <f>LOG(Table2[[#This Row],[country divers.]])</f>
        <v>3.9304083853612104</v>
      </c>
      <c r="AA19">
        <v>190000000</v>
      </c>
      <c r="AB19">
        <f>LOG(Table2[[#This Row],[Firm Size]])</f>
        <v>8.2787536009528289</v>
      </c>
      <c r="AC19" s="80">
        <v>0.33156415336988987</v>
      </c>
    </row>
    <row r="20" spans="1:29" x14ac:dyDescent="0.35">
      <c r="A20" t="s">
        <v>419</v>
      </c>
      <c r="B20">
        <v>-0.34159830668838576</v>
      </c>
      <c r="C20">
        <f>IF(Table2[[#This Row],[Return]]=-1,-1,LOG(1+Table2[[#This Row],[Return]]))</f>
        <v>-0.18150906085328272</v>
      </c>
      <c r="D20">
        <v>7.0191780821917806</v>
      </c>
      <c r="E20">
        <v>787.45</v>
      </c>
      <c r="F20">
        <f>IF(Table2[[#This Row],[Geo Distance]]=0,0,LOG(Table2[[#This Row],[Geo Distance]]))</f>
        <v>2.8962229873334087</v>
      </c>
      <c r="G20">
        <v>0</v>
      </c>
      <c r="H20">
        <f>IF(Table2[[#This Row],[Target age]]=0,0,LOG(Table2[[#This Row],[Target age]]))</f>
        <v>0</v>
      </c>
      <c r="I20" s="45">
        <v>3.48</v>
      </c>
      <c r="J20" s="9">
        <v>76.3333333333333</v>
      </c>
      <c r="K20" s="9">
        <f>IF(Table2[[#This Row],[Culture]]=0,0,LOG(Table2[[#This Row],[Culture]]))</f>
        <v>1.8827142276202253</v>
      </c>
      <c r="L20" s="24">
        <v>-0.12</v>
      </c>
      <c r="M20" s="9">
        <f>LOG(1+Table2[[#This Row],[S&amp;P]])</f>
        <v>-5.551732784983137E-2</v>
      </c>
      <c r="N20">
        <v>10</v>
      </c>
      <c r="O20">
        <f>IF(Table2[[#This Row],[fund age]]=0,0,LOG(Table2[[#This Row],[fund age]]))</f>
        <v>1</v>
      </c>
      <c r="P20">
        <f t="shared" si="0"/>
        <v>1</v>
      </c>
      <c r="Q20">
        <v>90</v>
      </c>
      <c r="R20">
        <v>80</v>
      </c>
      <c r="S20">
        <v>70</v>
      </c>
      <c r="T20" s="34">
        <v>44.3</v>
      </c>
      <c r="U20" s="42">
        <v>50.959243005601799</v>
      </c>
      <c r="V20">
        <v>1895.918367346939</v>
      </c>
      <c r="W20">
        <f>LOG(Table2[[#This Row],[generalist]])</f>
        <v>3.277819633965128</v>
      </c>
      <c r="X20" s="14">
        <v>2</v>
      </c>
      <c r="Y20">
        <v>8519.3877551020414</v>
      </c>
      <c r="Z20">
        <f>LOG(Table2[[#This Row],[country divers.]])</f>
        <v>3.9304083853612104</v>
      </c>
      <c r="AA20">
        <v>102521000</v>
      </c>
      <c r="AB20">
        <f>LOG(Table2[[#This Row],[Firm Size]])</f>
        <v>8.010812833684307</v>
      </c>
      <c r="AC20" s="80">
        <v>-6.3387662288167834E-2</v>
      </c>
    </row>
    <row r="21" spans="1:29" x14ac:dyDescent="0.35">
      <c r="A21" t="s">
        <v>419</v>
      </c>
      <c r="B21">
        <v>0.28571428571428581</v>
      </c>
      <c r="C21">
        <f>IF(Table2[[#This Row],[Return]]=-1,-1,LOG(1+Table2[[#This Row],[Return]]))</f>
        <v>0.10914446942506807</v>
      </c>
      <c r="D21">
        <v>2.9808219178082194</v>
      </c>
      <c r="E21">
        <v>1821.34</v>
      </c>
      <c r="F21">
        <f>IF(Table2[[#This Row],[Geo Distance]]=0,0,LOG(Table2[[#This Row],[Geo Distance]]))</f>
        <v>3.2603910256085982</v>
      </c>
      <c r="G21">
        <v>77</v>
      </c>
      <c r="H21">
        <f>IF(Table2[[#This Row],[Target age]]=0,0,LOG(Table2[[#This Row],[Target age]]))</f>
        <v>1.8864907251724818</v>
      </c>
      <c r="I21" s="45">
        <v>3.18</v>
      </c>
      <c r="J21" s="9">
        <v>528.16666666666697</v>
      </c>
      <c r="K21" s="9">
        <f>IF(Table2[[#This Row],[Culture]]=0,0,LOG(Table2[[#This Row],[Culture]]))</f>
        <v>2.7227709888066571</v>
      </c>
      <c r="L21" s="24">
        <v>0.26</v>
      </c>
      <c r="M21" s="9">
        <f>LOG(1+Table2[[#This Row],[S&amp;P]])</f>
        <v>0.10037054511756291</v>
      </c>
      <c r="N21">
        <v>34</v>
      </c>
      <c r="O21">
        <f>IF(Table2[[#This Row],[fund age]]=0,0,LOG(Table2[[#This Row],[fund age]]))</f>
        <v>1.5314789170422551</v>
      </c>
      <c r="P21">
        <f t="shared" si="0"/>
        <v>1</v>
      </c>
      <c r="Q21">
        <v>90</v>
      </c>
      <c r="R21">
        <v>80</v>
      </c>
      <c r="S21">
        <v>92.6</v>
      </c>
      <c r="T21" s="34">
        <v>43.9</v>
      </c>
      <c r="U21" s="42">
        <v>57.041609510745303</v>
      </c>
      <c r="V21">
        <v>1669.0315179326171</v>
      </c>
      <c r="W21">
        <f>LOG(Table2[[#This Row],[generalist]])</f>
        <v>3.22246453795844</v>
      </c>
      <c r="X21" s="14">
        <v>3</v>
      </c>
      <c r="Y21">
        <v>5094.7953145755328</v>
      </c>
      <c r="Z21">
        <f>LOG(Table2[[#This Row],[country divers.]])</f>
        <v>3.7071267407396937</v>
      </c>
      <c r="AA21">
        <v>700000000</v>
      </c>
      <c r="AB21">
        <f>LOG(Table2[[#This Row],[Firm Size]])</f>
        <v>8.8450980400142569</v>
      </c>
      <c r="AC21" s="80">
        <v>8.3381061666575551E-2</v>
      </c>
    </row>
    <row r="22" spans="1:29" x14ac:dyDescent="0.35">
      <c r="A22" t="s">
        <v>163</v>
      </c>
      <c r="B22">
        <v>0.91323480174104366</v>
      </c>
      <c r="C22">
        <f>IF(Table2[[#This Row],[Return]]=-1,-1,LOG(1+Table2[[#This Row],[Return]]))</f>
        <v>0.28176827208840205</v>
      </c>
      <c r="D22">
        <v>5.1424657534246574</v>
      </c>
      <c r="E22">
        <v>342.74</v>
      </c>
      <c r="F22">
        <f>IF(Table2[[#This Row],[Geo Distance]]=0,0,LOG(Table2[[#This Row],[Geo Distance]]))</f>
        <v>2.5349647923946659</v>
      </c>
      <c r="G22">
        <v>35</v>
      </c>
      <c r="H22">
        <f>IF(Table2[[#This Row],[Target age]]=0,0,LOG(Table2[[#This Row],[Target age]]))</f>
        <v>1.5440680443502757</v>
      </c>
      <c r="I22" s="45">
        <v>2.3199999999999998</v>
      </c>
      <c r="J22" s="9">
        <v>569.16666666666697</v>
      </c>
      <c r="K22" s="9">
        <f>IF(Table2[[#This Row],[Culture]]=0,0,LOG(Table2[[#This Row],[Culture]]))</f>
        <v>2.7552394576339081</v>
      </c>
      <c r="L22" s="24">
        <v>-0.09</v>
      </c>
      <c r="M22" s="9">
        <f>LOG(1+Table2[[#This Row],[S&amp;P]])</f>
        <v>-4.0958607678906384E-2</v>
      </c>
      <c r="N22">
        <v>23</v>
      </c>
      <c r="O22">
        <f>IF(Table2[[#This Row],[fund age]]=0,0,LOG(Table2[[#This Row],[fund age]]))</f>
        <v>1.3617278360175928</v>
      </c>
      <c r="P22">
        <f t="shared" si="0"/>
        <v>1</v>
      </c>
      <c r="Q22">
        <v>85</v>
      </c>
      <c r="R22">
        <v>80</v>
      </c>
      <c r="S22">
        <v>87.2</v>
      </c>
      <c r="T22" s="34">
        <v>42.5</v>
      </c>
      <c r="U22" s="42">
        <v>52.565521078007201</v>
      </c>
      <c r="V22">
        <v>1801.1079999999999</v>
      </c>
      <c r="W22">
        <f>LOG(Table2[[#This Row],[generalist]])</f>
        <v>3.2555397552391718</v>
      </c>
      <c r="X22" s="14">
        <v>2</v>
      </c>
      <c r="Y22">
        <v>8416.6209999999992</v>
      </c>
      <c r="Z22">
        <f>LOG(Table2[[#This Row],[country divers.]])</f>
        <v>3.9251377713585649</v>
      </c>
      <c r="AA22">
        <v>464450000</v>
      </c>
      <c r="AB22">
        <f>LOG(Table2[[#This Row],[Firm Size]])</f>
        <v>8.6669389672147119</v>
      </c>
      <c r="AC22" s="80">
        <v>-0.13215744049000044</v>
      </c>
    </row>
    <row r="23" spans="1:29" x14ac:dyDescent="0.35">
      <c r="A23" t="s">
        <v>163</v>
      </c>
      <c r="B23">
        <v>1.2727272727272729</v>
      </c>
      <c r="C23">
        <f>IF(Table2[[#This Row],[Return]]=-1,-1,LOG(1+Table2[[#This Row],[Return]]))</f>
        <v>0.35654732351381263</v>
      </c>
      <c r="D23">
        <v>2.4575342465753423</v>
      </c>
      <c r="E23">
        <v>342.74</v>
      </c>
      <c r="F23">
        <f>IF(Table2[[#This Row],[Geo Distance]]=0,0,LOG(Table2[[#This Row],[Geo Distance]]))</f>
        <v>2.5349647923946659</v>
      </c>
      <c r="G23">
        <v>35</v>
      </c>
      <c r="H23">
        <f>IF(Table2[[#This Row],[Target age]]=0,0,LOG(Table2[[#This Row],[Target age]]))</f>
        <v>1.5440680443502757</v>
      </c>
      <c r="I23" s="45">
        <v>2.3199999999999998</v>
      </c>
      <c r="J23" s="9">
        <v>569.16666666666697</v>
      </c>
      <c r="K23" s="9">
        <f>IF(Table2[[#This Row],[Culture]]=0,0,LOG(Table2[[#This Row],[Culture]]))</f>
        <v>2.7552394576339081</v>
      </c>
      <c r="L23" s="24">
        <v>0.25</v>
      </c>
      <c r="M23" s="9">
        <f>LOG(1+Table2[[#This Row],[S&amp;P]])</f>
        <v>9.691001300805642E-2</v>
      </c>
      <c r="N23">
        <v>19</v>
      </c>
      <c r="O23">
        <f>IF(Table2[[#This Row],[fund age]]=0,0,LOG(Table2[[#This Row],[fund age]]))</f>
        <v>1.2787536009528289</v>
      </c>
      <c r="P23">
        <f t="shared" si="0"/>
        <v>1</v>
      </c>
      <c r="Q23">
        <v>85</v>
      </c>
      <c r="R23">
        <v>80</v>
      </c>
      <c r="S23">
        <v>70</v>
      </c>
      <c r="T23" s="34">
        <v>42.2</v>
      </c>
      <c r="U23" s="42">
        <v>53.270504198897903</v>
      </c>
      <c r="V23">
        <v>1801.1079999999999</v>
      </c>
      <c r="W23">
        <f>LOG(Table2[[#This Row],[generalist]])</f>
        <v>3.2555397552391718</v>
      </c>
      <c r="X23" s="14">
        <v>2</v>
      </c>
      <c r="Y23">
        <v>8416.6209999999992</v>
      </c>
      <c r="Z23">
        <f>LOG(Table2[[#This Row],[country divers.]])</f>
        <v>3.9251377713585649</v>
      </c>
      <c r="AA23">
        <v>330000000</v>
      </c>
      <c r="AB23">
        <f>LOG(Table2[[#This Row],[Firm Size]])</f>
        <v>8.518513939877888</v>
      </c>
      <c r="AC23" s="80">
        <v>0.46459441878313945</v>
      </c>
    </row>
    <row r="24" spans="1:29" x14ac:dyDescent="0.35">
      <c r="A24" t="s">
        <v>163</v>
      </c>
      <c r="B24">
        <v>0.62886597938144329</v>
      </c>
      <c r="C24">
        <f>IF(Table2[[#This Row],[Return]]=-1,-1,LOG(1+Table2[[#This Row],[Return]]))</f>
        <v>0.21188535268817776</v>
      </c>
      <c r="D24">
        <v>5.3780821917808215</v>
      </c>
      <c r="E24">
        <v>6164.6</v>
      </c>
      <c r="F24">
        <f>IF(Table2[[#This Row],[Geo Distance]]=0,0,LOG(Table2[[#This Row],[Geo Distance]]))</f>
        <v>3.7899049019490061</v>
      </c>
      <c r="G24">
        <v>20</v>
      </c>
      <c r="H24">
        <f>IF(Table2[[#This Row],[Target age]]=0,0,LOG(Table2[[#This Row],[Target age]]))</f>
        <v>1.3010299956639813</v>
      </c>
      <c r="I24" s="45">
        <v>3.18</v>
      </c>
      <c r="J24" s="9">
        <v>583.83333333333303</v>
      </c>
      <c r="K24" s="9">
        <f>IF(Table2[[#This Row],[Culture]]=0,0,LOG(Table2[[#This Row],[Culture]]))</f>
        <v>2.7662888869340487</v>
      </c>
      <c r="L24" s="24">
        <v>0.85</v>
      </c>
      <c r="M24" s="9">
        <f>LOG(1+Table2[[#This Row],[S&amp;P]])</f>
        <v>0.26717172840301384</v>
      </c>
      <c r="N24">
        <v>23</v>
      </c>
      <c r="O24">
        <f>IF(Table2[[#This Row],[fund age]]=0,0,LOG(Table2[[#This Row],[fund age]]))</f>
        <v>1.3617278360175928</v>
      </c>
      <c r="P24">
        <f t="shared" si="0"/>
        <v>1</v>
      </c>
      <c r="Q24">
        <v>85</v>
      </c>
      <c r="R24">
        <v>80</v>
      </c>
      <c r="S24">
        <v>86.3</v>
      </c>
      <c r="T24" s="34">
        <v>42.1</v>
      </c>
      <c r="U24" s="42">
        <v>56.8818351627258</v>
      </c>
      <c r="V24">
        <v>1246.953</v>
      </c>
      <c r="W24">
        <f>LOG(Table2[[#This Row],[generalist]])</f>
        <v>3.0958500844125241</v>
      </c>
      <c r="X24" s="14">
        <v>3</v>
      </c>
      <c r="Y24">
        <v>3219.7179999999998</v>
      </c>
      <c r="Z24">
        <f>LOG(Table2[[#This Row],[country divers.]])</f>
        <v>3.5078178355445662</v>
      </c>
      <c r="AA24">
        <v>485000000</v>
      </c>
      <c r="AB24">
        <f>LOG(Table2[[#This Row],[Firm Size]])</f>
        <v>8.685741738602264</v>
      </c>
      <c r="AC24" s="80">
        <v>0.21608988301068455</v>
      </c>
    </row>
    <row r="25" spans="1:29" x14ac:dyDescent="0.35">
      <c r="A25" t="s">
        <v>163</v>
      </c>
      <c r="B25">
        <v>1.2558613704987369</v>
      </c>
      <c r="C25">
        <f>IF(Table2[[#This Row],[Return]]=-1,-1,LOG(1+Table2[[#This Row],[Return]]))</f>
        <v>0.35331240742242576</v>
      </c>
      <c r="D25">
        <v>1.9150684931506849</v>
      </c>
      <c r="E25">
        <v>6164.6</v>
      </c>
      <c r="F25">
        <f>IF(Table2[[#This Row],[Geo Distance]]=0,0,LOG(Table2[[#This Row],[Geo Distance]]))</f>
        <v>3.7899049019490061</v>
      </c>
      <c r="G25">
        <v>3</v>
      </c>
      <c r="H25">
        <f>IF(Table2[[#This Row],[Target age]]=0,0,LOG(Table2[[#This Row],[Target age]]))</f>
        <v>0.47712125471966244</v>
      </c>
      <c r="I25" s="45">
        <v>3.18</v>
      </c>
      <c r="J25" s="9">
        <v>583.83333333333303</v>
      </c>
      <c r="K25" s="9">
        <f>IF(Table2[[#This Row],[Culture]]=0,0,LOG(Table2[[#This Row],[Culture]]))</f>
        <v>2.7662888869340487</v>
      </c>
      <c r="L25" s="24">
        <v>0.43</v>
      </c>
      <c r="M25" s="9">
        <f>LOG(1+Table2[[#This Row],[S&amp;P]])</f>
        <v>0.1553360374650618</v>
      </c>
      <c r="N25">
        <v>16</v>
      </c>
      <c r="O25">
        <f>IF(Table2[[#This Row],[fund age]]=0,0,LOG(Table2[[#This Row],[fund age]]))</f>
        <v>1.2041199826559248</v>
      </c>
      <c r="P25">
        <f t="shared" si="0"/>
        <v>1</v>
      </c>
      <c r="Q25">
        <v>85</v>
      </c>
      <c r="R25">
        <v>80</v>
      </c>
      <c r="S25">
        <v>70</v>
      </c>
      <c r="T25" s="34">
        <v>42.2</v>
      </c>
      <c r="U25" s="42">
        <v>53.270504198897903</v>
      </c>
      <c r="V25">
        <v>1246.953</v>
      </c>
      <c r="W25">
        <f>LOG(Table2[[#This Row],[generalist]])</f>
        <v>3.0958500844125241</v>
      </c>
      <c r="X25" s="14">
        <v>3</v>
      </c>
      <c r="Y25">
        <v>3219.7179999999998</v>
      </c>
      <c r="Z25">
        <f>LOG(Table2[[#This Row],[country divers.]])</f>
        <v>3.5078178355445662</v>
      </c>
      <c r="AA25">
        <v>381229100</v>
      </c>
      <c r="AB25">
        <f>LOG(Table2[[#This Row],[Firm Size]])</f>
        <v>8.5811860438211411</v>
      </c>
      <c r="AC25" s="80">
        <v>0.39851478148736774</v>
      </c>
    </row>
    <row r="26" spans="1:29" x14ac:dyDescent="0.35">
      <c r="A26" t="s">
        <v>163</v>
      </c>
      <c r="B26">
        <v>0.33333333333333326</v>
      </c>
      <c r="C26">
        <f>IF(Table2[[#This Row],[Return]]=-1,-1,LOG(1+Table2[[#This Row],[Return]]))</f>
        <v>0.12493873660829993</v>
      </c>
      <c r="D26">
        <v>3.8767123287671232</v>
      </c>
      <c r="E26">
        <v>342.74</v>
      </c>
      <c r="F26">
        <f>IF(Table2[[#This Row],[Geo Distance]]=0,0,LOG(Table2[[#This Row],[Geo Distance]]))</f>
        <v>2.5349647923946659</v>
      </c>
      <c r="G26">
        <v>63</v>
      </c>
      <c r="H26">
        <f>IF(Table2[[#This Row],[Target age]]=0,0,LOG(Table2[[#This Row],[Target age]]))</f>
        <v>1.7993405494535817</v>
      </c>
      <c r="I26" s="45">
        <v>2.3199999999999998</v>
      </c>
      <c r="J26" s="9">
        <v>569.16666666666697</v>
      </c>
      <c r="K26" s="9">
        <f>IF(Table2[[#This Row],[Culture]]=0,0,LOG(Table2[[#This Row],[Culture]]))</f>
        <v>2.7552394576339081</v>
      </c>
      <c r="L26" s="15">
        <v>0.11</v>
      </c>
      <c r="M26" s="9">
        <f>LOG(1+Table2[[#This Row],[S&amp;P]])</f>
        <v>4.5322978786657475E-2</v>
      </c>
      <c r="N26">
        <v>21</v>
      </c>
      <c r="O26">
        <f>IF(Table2[[#This Row],[fund age]]=0,0,LOG(Table2[[#This Row],[fund age]]))</f>
        <v>1.3222192947339193</v>
      </c>
      <c r="P26">
        <f t="shared" si="0"/>
        <v>1</v>
      </c>
      <c r="Q26">
        <v>85</v>
      </c>
      <c r="R26">
        <v>80</v>
      </c>
      <c r="S26">
        <v>70</v>
      </c>
      <c r="T26" s="34">
        <v>42.4</v>
      </c>
      <c r="U26" s="42">
        <v>52.795294707427601</v>
      </c>
      <c r="V26">
        <v>1669.0315000000001</v>
      </c>
      <c r="W26">
        <f>LOG(Table2[[#This Row],[generalist]])</f>
        <v>3.2224645332922388</v>
      </c>
      <c r="X26" s="14">
        <v>3</v>
      </c>
      <c r="Y26">
        <v>5094.7950000000001</v>
      </c>
      <c r="Z26">
        <f>LOG(Table2[[#This Row],[country divers.]])</f>
        <v>3.707126713924402</v>
      </c>
      <c r="AA26">
        <v>300000000</v>
      </c>
      <c r="AB26">
        <f>LOG(Table2[[#This Row],[Firm Size]])</f>
        <v>8.4771212547196626</v>
      </c>
      <c r="AC26" s="80">
        <v>0.13350679230861284</v>
      </c>
    </row>
    <row r="27" spans="1:29" x14ac:dyDescent="0.35">
      <c r="A27" t="s">
        <v>163</v>
      </c>
      <c r="B27">
        <v>0.54166666666666674</v>
      </c>
      <c r="C27">
        <f>IF(Table2[[#This Row],[Return]]=-1,-1,LOG(1+Table2[[#This Row],[Return]]))</f>
        <v>0.18799048235538898</v>
      </c>
      <c r="D27">
        <v>1.0876712328767124</v>
      </c>
      <c r="E27">
        <v>6164.6</v>
      </c>
      <c r="F27">
        <f>IF(Table2[[#This Row],[Geo Distance]]=0,0,LOG(Table2[[#This Row],[Geo Distance]]))</f>
        <v>3.7899049019490061</v>
      </c>
      <c r="G27">
        <v>5</v>
      </c>
      <c r="H27">
        <f>IF(Table2[[#This Row],[Target age]]=0,0,LOG(Table2[[#This Row],[Target age]]))</f>
        <v>0.69897000433601886</v>
      </c>
      <c r="I27" s="45">
        <v>3.18</v>
      </c>
      <c r="J27" s="9">
        <v>583.83333333333303</v>
      </c>
      <c r="K27" s="9">
        <f>IF(Table2[[#This Row],[Culture]]=0,0,LOG(Table2[[#This Row],[Culture]]))</f>
        <v>2.7662888869340487</v>
      </c>
      <c r="L27" s="24">
        <v>0.12</v>
      </c>
      <c r="M27" s="9">
        <f>LOG(1+Table2[[#This Row],[S&amp;P]])</f>
        <v>4.9218022670181653E-2</v>
      </c>
      <c r="N27">
        <v>14</v>
      </c>
      <c r="O27">
        <f>IF(Table2[[#This Row],[fund age]]=0,0,LOG(Table2[[#This Row],[fund age]]))</f>
        <v>1.146128035678238</v>
      </c>
      <c r="P27">
        <f t="shared" si="0"/>
        <v>1</v>
      </c>
      <c r="Q27">
        <v>85</v>
      </c>
      <c r="R27">
        <v>80</v>
      </c>
      <c r="S27">
        <v>70</v>
      </c>
      <c r="T27" s="34">
        <v>42.4</v>
      </c>
      <c r="U27" s="42">
        <v>52.984855215816303</v>
      </c>
      <c r="V27">
        <v>1518.5350000000001</v>
      </c>
      <c r="W27">
        <f>LOG(Table2[[#This Row],[generalist]])</f>
        <v>3.1814248062191788</v>
      </c>
      <c r="X27" s="14">
        <v>2</v>
      </c>
      <c r="Y27">
        <v>5363.16</v>
      </c>
      <c r="Z27">
        <f>LOG(Table2[[#This Row],[country divers.]])</f>
        <v>3.7294207535322617</v>
      </c>
      <c r="AA27">
        <v>12000000</v>
      </c>
      <c r="AB27">
        <f>LOG(Table2[[#This Row],[Firm Size]])</f>
        <v>7.0791812460476251</v>
      </c>
      <c r="AC27" s="80">
        <v>0.25352865745628539</v>
      </c>
    </row>
    <row r="28" spans="1:29" x14ac:dyDescent="0.35">
      <c r="A28" t="s">
        <v>163</v>
      </c>
      <c r="B28">
        <v>0.95571271597625107</v>
      </c>
      <c r="C28">
        <f>IF(Table2[[#This Row],[Return]]=-1,-1,LOG(1+Table2[[#This Row],[Return]]))</f>
        <v>0.29130505953668856</v>
      </c>
      <c r="D28">
        <v>2.6739726027397261</v>
      </c>
      <c r="E28">
        <v>6164.6</v>
      </c>
      <c r="F28">
        <f>IF(Table2[[#This Row],[Geo Distance]]=0,0,LOG(Table2[[#This Row],[Geo Distance]]))</f>
        <v>3.7899049019490061</v>
      </c>
      <c r="G28">
        <v>3</v>
      </c>
      <c r="H28">
        <f>IF(Table2[[#This Row],[Target age]]=0,0,LOG(Table2[[#This Row],[Target age]]))</f>
        <v>0.47712125471966244</v>
      </c>
      <c r="I28" s="45">
        <v>3.18</v>
      </c>
      <c r="J28" s="9">
        <v>583.83333333333303</v>
      </c>
      <c r="K28" s="9">
        <f>IF(Table2[[#This Row],[Culture]]=0,0,LOG(Table2[[#This Row],[Culture]]))</f>
        <v>2.7662888869340487</v>
      </c>
      <c r="L28" s="24">
        <v>0.26</v>
      </c>
      <c r="M28" s="9">
        <f>LOG(1+Table2[[#This Row],[S&amp;P]])</f>
        <v>0.10037054511756291</v>
      </c>
      <c r="N28">
        <v>20</v>
      </c>
      <c r="O28">
        <f>IF(Table2[[#This Row],[fund age]]=0,0,LOG(Table2[[#This Row],[fund age]]))</f>
        <v>1.3010299956639813</v>
      </c>
      <c r="P28">
        <f t="shared" si="0"/>
        <v>1</v>
      </c>
      <c r="Q28">
        <v>85</v>
      </c>
      <c r="R28">
        <v>80</v>
      </c>
      <c r="S28">
        <v>70</v>
      </c>
      <c r="T28" s="34">
        <v>42.4</v>
      </c>
      <c r="U28" s="42">
        <v>52.984855215816303</v>
      </c>
      <c r="V28">
        <v>1248.0746999999999</v>
      </c>
      <c r="W28">
        <f>LOG(Table2[[#This Row],[generalist]])</f>
        <v>3.0962405795987471</v>
      </c>
      <c r="X28" s="14">
        <v>1</v>
      </c>
      <c r="Y28">
        <v>2518.2170000000001</v>
      </c>
      <c r="Z28">
        <f>LOG(Table2[[#This Row],[country divers.]])</f>
        <v>3.4010931514437841</v>
      </c>
      <c r="AA28">
        <v>442294000</v>
      </c>
      <c r="AB28">
        <f>LOG(Table2[[#This Row],[Firm Size]])</f>
        <v>8.6457110479281258</v>
      </c>
      <c r="AC28" s="80">
        <v>0.44514804572517686</v>
      </c>
    </row>
    <row r="29" spans="1:29" x14ac:dyDescent="0.35">
      <c r="A29" t="s">
        <v>163</v>
      </c>
      <c r="B29">
        <v>0.5267175572519085</v>
      </c>
      <c r="C29">
        <f>IF(Table2[[#This Row],[Return]]=-1,-1,LOG(1+Table2[[#This Row],[Return]]))</f>
        <v>0.18375870000821695</v>
      </c>
      <c r="D29">
        <v>5.0684931506849313</v>
      </c>
      <c r="E29">
        <v>6164.6</v>
      </c>
      <c r="F29">
        <f>IF(Table2[[#This Row],[Geo Distance]]=0,0,LOG(Table2[[#This Row],[Geo Distance]]))</f>
        <v>3.7899049019490061</v>
      </c>
      <c r="G29">
        <v>45</v>
      </c>
      <c r="H29">
        <f>IF(Table2[[#This Row],[Target age]]=0,0,LOG(Table2[[#This Row],[Target age]]))</f>
        <v>1.6532125137753437</v>
      </c>
      <c r="I29" s="45">
        <v>3.18</v>
      </c>
      <c r="J29" s="9">
        <v>583.83333333333303</v>
      </c>
      <c r="K29" s="9">
        <f>IF(Table2[[#This Row],[Culture]]=0,0,LOG(Table2[[#This Row],[Culture]]))</f>
        <v>2.7662888869340487</v>
      </c>
      <c r="L29" s="24">
        <v>-0.04</v>
      </c>
      <c r="M29" s="9">
        <f>LOG(1+Table2[[#This Row],[S&amp;P]])</f>
        <v>-1.7728766960431602E-2</v>
      </c>
      <c r="N29">
        <v>23</v>
      </c>
      <c r="O29">
        <f>IF(Table2[[#This Row],[fund age]]=0,0,LOG(Table2[[#This Row],[fund age]]))</f>
        <v>1.3617278360175928</v>
      </c>
      <c r="P29">
        <f t="shared" si="0"/>
        <v>1</v>
      </c>
      <c r="Q29">
        <v>85</v>
      </c>
      <c r="R29">
        <v>80</v>
      </c>
      <c r="S29">
        <v>87.2</v>
      </c>
      <c r="T29" s="34">
        <v>42.5</v>
      </c>
      <c r="U29" s="42">
        <v>52.565521078007201</v>
      </c>
      <c r="V29">
        <v>1248.0746999999999</v>
      </c>
      <c r="W29">
        <f>LOG(Table2[[#This Row],[generalist]])</f>
        <v>3.0962405795987471</v>
      </c>
      <c r="X29" s="14">
        <v>1</v>
      </c>
      <c r="Y29">
        <v>2518.2170000000001</v>
      </c>
      <c r="Z29">
        <f>LOG(Table2[[#This Row],[country divers.]])</f>
        <v>3.4010931514437841</v>
      </c>
      <c r="AA29">
        <v>131000000</v>
      </c>
      <c r="AB29">
        <f>LOG(Table2[[#This Row],[Firm Size]])</f>
        <v>8.1172712956557636</v>
      </c>
      <c r="AC29" s="80">
        <v>-9.7577489998204259E-2</v>
      </c>
    </row>
    <row r="30" spans="1:29" x14ac:dyDescent="0.35">
      <c r="A30" t="s">
        <v>163</v>
      </c>
      <c r="B30">
        <v>0.34615384615384626</v>
      </c>
      <c r="C30">
        <f>IF(Table2[[#This Row],[Return]]=-1,-1,LOG(1+Table2[[#This Row],[Return]]))</f>
        <v>0.1290946963794577</v>
      </c>
      <c r="D30">
        <v>5.3287671232876717</v>
      </c>
      <c r="E30">
        <v>342.74</v>
      </c>
      <c r="F30">
        <f>IF(Table2[[#This Row],[Geo Distance]]=0,0,LOG(Table2[[#This Row],[Geo Distance]]))</f>
        <v>2.5349647923946659</v>
      </c>
      <c r="G30">
        <v>11</v>
      </c>
      <c r="H30">
        <f>IF(Table2[[#This Row],[Target age]]=0,0,LOG(Table2[[#This Row],[Target age]]))</f>
        <v>1.0413926851582251</v>
      </c>
      <c r="I30" s="45">
        <v>2.3199999999999998</v>
      </c>
      <c r="J30" s="9">
        <v>569.16666666666697</v>
      </c>
      <c r="K30" s="9">
        <f>IF(Table2[[#This Row],[Culture]]=0,0,LOG(Table2[[#This Row],[Culture]]))</f>
        <v>2.7552394576339081</v>
      </c>
      <c r="L30" s="24">
        <v>-0.02</v>
      </c>
      <c r="M30" s="9">
        <f>LOG(1+Table2[[#This Row],[S&amp;P]])</f>
        <v>-8.7739243075051505E-3</v>
      </c>
      <c r="N30">
        <v>0</v>
      </c>
      <c r="O30">
        <f>IF(Table2[[#This Row],[fund age]]=0,0,LOG(Table2[[#This Row],[fund age]]))</f>
        <v>0</v>
      </c>
      <c r="P30">
        <f t="shared" si="0"/>
        <v>1</v>
      </c>
      <c r="Q30">
        <v>85</v>
      </c>
      <c r="R30">
        <v>80</v>
      </c>
      <c r="S30">
        <v>87.2</v>
      </c>
      <c r="T30" s="34">
        <v>42.5</v>
      </c>
      <c r="U30" s="42">
        <v>52.565521078007201</v>
      </c>
      <c r="V30">
        <v>2094.0408163265306</v>
      </c>
      <c r="W30">
        <f>LOG(Table2[[#This Row],[generalist]])</f>
        <v>3.3209851425446502</v>
      </c>
      <c r="X30" s="14">
        <v>2</v>
      </c>
      <c r="Y30">
        <v>9886.3673469387759</v>
      </c>
      <c r="Z30">
        <f>LOG(Table2[[#This Row],[country divers.]])</f>
        <v>3.9950367434689285</v>
      </c>
      <c r="AA30">
        <v>65000000</v>
      </c>
      <c r="AB30">
        <f>LOG(Table2[[#This Row],[Firm Size]])</f>
        <v>7.8129133566428557</v>
      </c>
      <c r="AC30" s="80">
        <v>-0.10490442008465384</v>
      </c>
    </row>
    <row r="31" spans="1:29" x14ac:dyDescent="0.35">
      <c r="A31" t="s">
        <v>163</v>
      </c>
      <c r="B31">
        <v>0.875</v>
      </c>
      <c r="C31">
        <f>IF(Table2[[#This Row],[Return]]=-1,-1,LOG(1+Table2[[#This Row],[Return]]))</f>
        <v>0.27300127206373764</v>
      </c>
      <c r="D31">
        <v>1.9397260273972603</v>
      </c>
      <c r="E31">
        <v>342.74</v>
      </c>
      <c r="F31">
        <f>IF(Table2[[#This Row],[Geo Distance]]=0,0,LOG(Table2[[#This Row],[Geo Distance]]))</f>
        <v>2.5349647923946659</v>
      </c>
      <c r="G31">
        <v>14</v>
      </c>
      <c r="H31">
        <f>IF(Table2[[#This Row],[Target age]]=0,0,LOG(Table2[[#This Row],[Target age]]))</f>
        <v>1.146128035678238</v>
      </c>
      <c r="I31" s="45">
        <v>2.3199999999999998</v>
      </c>
      <c r="J31" s="9">
        <v>569.16666666666697</v>
      </c>
      <c r="K31" s="9">
        <f>IF(Table2[[#This Row],[Culture]]=0,0,LOG(Table2[[#This Row],[Culture]]))</f>
        <v>2.7552394576339081</v>
      </c>
      <c r="L31" s="24">
        <v>0.23</v>
      </c>
      <c r="M31" s="9">
        <f>LOG(1+Table2[[#This Row],[S&amp;P]])</f>
        <v>8.9905111439397931E-2</v>
      </c>
      <c r="N31">
        <v>0</v>
      </c>
      <c r="O31">
        <f>IF(Table2[[#This Row],[fund age]]=0,0,LOG(Table2[[#This Row],[fund age]]))</f>
        <v>0</v>
      </c>
      <c r="P31">
        <f t="shared" si="0"/>
        <v>1</v>
      </c>
      <c r="Q31">
        <v>85</v>
      </c>
      <c r="R31">
        <v>80</v>
      </c>
      <c r="S31">
        <v>70</v>
      </c>
      <c r="T31" s="34">
        <v>42.9</v>
      </c>
      <c r="U31" s="42">
        <v>53.2941466273667</v>
      </c>
      <c r="V31">
        <v>2094.0408163265306</v>
      </c>
      <c r="W31">
        <f>LOG(Table2[[#This Row],[generalist]])</f>
        <v>3.3209851425446502</v>
      </c>
      <c r="X31" s="14">
        <v>2</v>
      </c>
      <c r="Y31">
        <v>9886.3673469387759</v>
      </c>
      <c r="Z31">
        <f>LOG(Table2[[#This Row],[country divers.]])</f>
        <v>3.9950367434689285</v>
      </c>
      <c r="AA31">
        <v>320000000</v>
      </c>
      <c r="AB31">
        <f>LOG(Table2[[#This Row],[Firm Size]])</f>
        <v>8.5051499783199063</v>
      </c>
      <c r="AC31" s="80">
        <v>0.35080405484636623</v>
      </c>
    </row>
    <row r="32" spans="1:29" x14ac:dyDescent="0.35">
      <c r="A32" t="s">
        <v>163</v>
      </c>
      <c r="B32">
        <v>0.7173076923076922</v>
      </c>
      <c r="C32">
        <f>IF(Table2[[#This Row],[Return]]=-1,-1,LOG(1+Table2[[#This Row],[Return]]))</f>
        <v>0.23484811525374724</v>
      </c>
      <c r="D32">
        <v>2.2547945205479452</v>
      </c>
      <c r="E32">
        <v>342.74</v>
      </c>
      <c r="F32">
        <f>IF(Table2[[#This Row],[Geo Distance]]=0,0,LOG(Table2[[#This Row],[Geo Distance]]))</f>
        <v>2.5349647923946659</v>
      </c>
      <c r="G32">
        <v>68</v>
      </c>
      <c r="H32">
        <f>IF(Table2[[#This Row],[Target age]]=0,0,LOG(Table2[[#This Row],[Target age]]))</f>
        <v>1.8325089127062364</v>
      </c>
      <c r="I32" s="45">
        <v>2.3199999999999998</v>
      </c>
      <c r="J32" s="9">
        <v>569.16666666666697</v>
      </c>
      <c r="K32" s="9">
        <f>IF(Table2[[#This Row],[Culture]]=0,0,LOG(Table2[[#This Row],[Culture]]))</f>
        <v>2.7552394576339081</v>
      </c>
      <c r="L32" s="24">
        <v>0.25</v>
      </c>
      <c r="M32" s="9">
        <f>LOG(1+Table2[[#This Row],[S&amp;P]])</f>
        <v>9.691001300805642E-2</v>
      </c>
      <c r="N32">
        <v>0</v>
      </c>
      <c r="O32">
        <f>IF(Table2[[#This Row],[fund age]]=0,0,LOG(Table2[[#This Row],[fund age]]))</f>
        <v>0</v>
      </c>
      <c r="P32">
        <f t="shared" si="0"/>
        <v>1</v>
      </c>
      <c r="Q32">
        <v>85</v>
      </c>
      <c r="R32">
        <v>80</v>
      </c>
      <c r="S32">
        <v>70</v>
      </c>
      <c r="T32" s="34">
        <v>42.2</v>
      </c>
      <c r="U32" s="42">
        <v>53.270504198897903</v>
      </c>
      <c r="V32">
        <v>2094.0408163265306</v>
      </c>
      <c r="W32">
        <f>LOG(Table2[[#This Row],[generalist]])</f>
        <v>3.3209851425446502</v>
      </c>
      <c r="X32" s="14">
        <v>2</v>
      </c>
      <c r="Y32">
        <v>9886.3673469387759</v>
      </c>
      <c r="Z32">
        <f>LOG(Table2[[#This Row],[country divers.]])</f>
        <v>3.9950367434689285</v>
      </c>
      <c r="AA32">
        <v>520000000</v>
      </c>
      <c r="AB32">
        <f>LOG(Table2[[#This Row],[Firm Size]])</f>
        <v>8.7160033436347994</v>
      </c>
      <c r="AC32" s="80">
        <v>0.40383310390290239</v>
      </c>
    </row>
    <row r="33" spans="1:29" x14ac:dyDescent="0.35">
      <c r="A33" t="s">
        <v>163</v>
      </c>
      <c r="B33">
        <v>0.75</v>
      </c>
      <c r="C33">
        <f>IF(Table2[[#This Row],[Return]]=-1,-1,LOG(1+Table2[[#This Row],[Return]]))</f>
        <v>0.24303804868629444</v>
      </c>
      <c r="D33">
        <v>4.7616438356164386</v>
      </c>
      <c r="E33">
        <v>342.74</v>
      </c>
      <c r="F33">
        <f>IF(Table2[[#This Row],[Geo Distance]]=0,0,LOG(Table2[[#This Row],[Geo Distance]]))</f>
        <v>2.5349647923946659</v>
      </c>
      <c r="G33">
        <v>4</v>
      </c>
      <c r="H33">
        <f>IF(Table2[[#This Row],[Target age]]=0,0,LOG(Table2[[#This Row],[Target age]]))</f>
        <v>0.6020599913279624</v>
      </c>
      <c r="I33" s="45">
        <v>2.3199999999999998</v>
      </c>
      <c r="J33" s="9">
        <v>569.16666666666697</v>
      </c>
      <c r="K33" s="9">
        <f>IF(Table2[[#This Row],[Culture]]=0,0,LOG(Table2[[#This Row],[Culture]]))</f>
        <v>2.7552394576339081</v>
      </c>
      <c r="L33" s="24">
        <v>0.75</v>
      </c>
      <c r="M33" s="9">
        <f>LOG(1+Table2[[#This Row],[S&amp;P]])</f>
        <v>0.24303804868629444</v>
      </c>
      <c r="N33">
        <v>33</v>
      </c>
      <c r="O33">
        <f>IF(Table2[[#This Row],[fund age]]=0,0,LOG(Table2[[#This Row],[fund age]]))</f>
        <v>1.5185139398778875</v>
      </c>
      <c r="P33">
        <f t="shared" si="0"/>
        <v>1</v>
      </c>
      <c r="Q33">
        <v>85</v>
      </c>
      <c r="R33">
        <v>80</v>
      </c>
      <c r="S33">
        <v>86.3</v>
      </c>
      <c r="T33" s="34">
        <v>42.1</v>
      </c>
      <c r="U33" s="42">
        <v>56.8818351627258</v>
      </c>
      <c r="V33">
        <v>1248.0746999999999</v>
      </c>
      <c r="W33">
        <f>LOG(Table2[[#This Row],[generalist]])</f>
        <v>3.0962405795987471</v>
      </c>
      <c r="X33" s="14">
        <v>2</v>
      </c>
      <c r="Y33">
        <v>2518.2170000000001</v>
      </c>
      <c r="Z33">
        <f>LOG(Table2[[#This Row],[country divers.]])</f>
        <v>3.4010931514437841</v>
      </c>
      <c r="AA33">
        <v>800000000</v>
      </c>
      <c r="AB33">
        <f>LOG(Table2[[#This Row],[Firm Size]])</f>
        <v>8.9030899869919438</v>
      </c>
      <c r="AC33" s="80">
        <v>0.18415288356452142</v>
      </c>
    </row>
    <row r="34" spans="1:29" x14ac:dyDescent="0.35">
      <c r="A34" t="s">
        <v>163</v>
      </c>
      <c r="B34">
        <v>-0.32810750279955203</v>
      </c>
      <c r="C34">
        <f>IF(Table2[[#This Row],[Return]]=-1,-1,LOG(1+Table2[[#This Row],[Return]]))</f>
        <v>-0.17270020850490278</v>
      </c>
      <c r="D34">
        <v>8.5863013698630137</v>
      </c>
      <c r="E34">
        <v>342.74</v>
      </c>
      <c r="F34">
        <f>IF(Table2[[#This Row],[Geo Distance]]=0,0,LOG(Table2[[#This Row],[Geo Distance]]))</f>
        <v>2.5349647923946659</v>
      </c>
      <c r="G34">
        <v>70</v>
      </c>
      <c r="H34">
        <f>IF(Table2[[#This Row],[Target age]]=0,0,LOG(Table2[[#This Row],[Target age]]))</f>
        <v>1.8450980400142569</v>
      </c>
      <c r="I34" s="45">
        <v>2.3199999999999998</v>
      </c>
      <c r="J34" s="9">
        <v>569.16666666666697</v>
      </c>
      <c r="K34" s="9">
        <f>IF(Table2[[#This Row],[Culture]]=0,0,LOG(Table2[[#This Row],[Culture]]))</f>
        <v>2.7552394576339081</v>
      </c>
      <c r="L34" s="24">
        <v>0.55000000000000004</v>
      </c>
      <c r="M34" s="9">
        <f>LOG(1+Table2[[#This Row],[S&amp;P]])</f>
        <v>0.1903316981702915</v>
      </c>
      <c r="N34">
        <v>28</v>
      </c>
      <c r="O34">
        <f>IF(Table2[[#This Row],[fund age]]=0,0,LOG(Table2[[#This Row],[fund age]]))</f>
        <v>1.4471580313422192</v>
      </c>
      <c r="P34">
        <f t="shared" si="0"/>
        <v>1</v>
      </c>
      <c r="Q34">
        <v>85</v>
      </c>
      <c r="R34">
        <v>80</v>
      </c>
      <c r="S34">
        <v>70</v>
      </c>
      <c r="T34" s="34">
        <v>42.9</v>
      </c>
      <c r="U34" s="42">
        <v>53.2941466273667</v>
      </c>
      <c r="V34">
        <v>1248.0746999999999</v>
      </c>
      <c r="W34">
        <f>LOG(Table2[[#This Row],[generalist]])</f>
        <v>3.0962405795987471</v>
      </c>
      <c r="X34" s="14">
        <v>2</v>
      </c>
      <c r="Y34">
        <v>2518.2170000000001</v>
      </c>
      <c r="Z34">
        <f>LOG(Table2[[#This Row],[country divers.]])</f>
        <v>3.4010931514437841</v>
      </c>
      <c r="AA34">
        <v>893000000</v>
      </c>
      <c r="AB34">
        <f>LOG(Table2[[#This Row],[Firm Size]])</f>
        <v>8.9508514588885468</v>
      </c>
      <c r="AC34" s="80">
        <v>0.26018779496723332</v>
      </c>
    </row>
    <row r="35" spans="1:29" x14ac:dyDescent="0.35">
      <c r="A35" t="s">
        <v>163</v>
      </c>
      <c r="B35">
        <v>9.1282946587537106E-2</v>
      </c>
      <c r="C35">
        <f>IF(Table2[[#This Row],[Return]]=-1,-1,LOG(1+Table2[[#This Row],[Return]]))</f>
        <v>3.7937368562579774E-2</v>
      </c>
      <c r="D35">
        <v>2.1397260273972605</v>
      </c>
      <c r="E35">
        <v>342.74</v>
      </c>
      <c r="F35">
        <f>IF(Table2[[#This Row],[Geo Distance]]=0,0,LOG(Table2[[#This Row],[Geo Distance]]))</f>
        <v>2.5349647923946659</v>
      </c>
      <c r="G35">
        <v>27</v>
      </c>
      <c r="H35">
        <f>IF(Table2[[#This Row],[Target age]]=0,0,LOG(Table2[[#This Row],[Target age]]))</f>
        <v>1.4313637641589874</v>
      </c>
      <c r="I35" s="45">
        <v>2.3199999999999998</v>
      </c>
      <c r="J35" s="9">
        <v>569.16666666666697</v>
      </c>
      <c r="K35" s="9">
        <f>IF(Table2[[#This Row],[Culture]]=0,0,LOG(Table2[[#This Row],[Culture]]))</f>
        <v>2.7552394576339081</v>
      </c>
      <c r="L35" s="24">
        <v>0.2</v>
      </c>
      <c r="M35" s="9">
        <f>LOG(1+Table2[[#This Row],[S&amp;P]])</f>
        <v>7.9181246047624818E-2</v>
      </c>
      <c r="N35">
        <v>27</v>
      </c>
      <c r="O35">
        <f>IF(Table2[[#This Row],[fund age]]=0,0,LOG(Table2[[#This Row],[fund age]]))</f>
        <v>1.4313637641589874</v>
      </c>
      <c r="P35">
        <f t="shared" si="0"/>
        <v>1</v>
      </c>
      <c r="Q35">
        <v>85</v>
      </c>
      <c r="R35">
        <v>80</v>
      </c>
      <c r="S35">
        <v>70</v>
      </c>
      <c r="T35" s="34">
        <v>42.4</v>
      </c>
      <c r="U35" s="42">
        <v>52.984855215816303</v>
      </c>
      <c r="V35">
        <v>1248.0746999999999</v>
      </c>
      <c r="W35">
        <f>LOG(Table2[[#This Row],[generalist]])</f>
        <v>3.0962405795987471</v>
      </c>
      <c r="X35" s="14">
        <v>2</v>
      </c>
      <c r="Y35">
        <v>2518.2170000000001</v>
      </c>
      <c r="Z35">
        <f>LOG(Table2[[#This Row],[country divers.]])</f>
        <v>3.4010931514437841</v>
      </c>
      <c r="AA35">
        <v>337000000</v>
      </c>
      <c r="AB35">
        <f>LOG(Table2[[#This Row],[Firm Size]])</f>
        <v>8.5276299008713394</v>
      </c>
      <c r="AC35" s="80">
        <v>0.3574510096736192</v>
      </c>
    </row>
    <row r="36" spans="1:29" x14ac:dyDescent="0.35">
      <c r="A36" t="s">
        <v>163</v>
      </c>
      <c r="B36">
        <v>0.25</v>
      </c>
      <c r="C36">
        <f>IF(Table2[[#This Row],[Return]]=-1,-1,LOG(1+Table2[[#This Row],[Return]]))</f>
        <v>9.691001300805642E-2</v>
      </c>
      <c r="D36">
        <v>3.6630136986301371</v>
      </c>
      <c r="E36">
        <v>342.74</v>
      </c>
      <c r="F36">
        <f>IF(Table2[[#This Row],[Geo Distance]]=0,0,LOG(Table2[[#This Row],[Geo Distance]]))</f>
        <v>2.5349647923946659</v>
      </c>
      <c r="G36">
        <v>65</v>
      </c>
      <c r="H36">
        <f>IF(Table2[[#This Row],[Target age]]=0,0,LOG(Table2[[#This Row],[Target age]]))</f>
        <v>1.8129133566428555</v>
      </c>
      <c r="I36" s="45">
        <v>2.3199999999999998</v>
      </c>
      <c r="J36" s="9">
        <v>569.16666666666697</v>
      </c>
      <c r="K36" s="9">
        <f>IF(Table2[[#This Row],[Culture]]=0,0,LOG(Table2[[#This Row],[Culture]]))</f>
        <v>2.7552394576339081</v>
      </c>
      <c r="L36" s="24">
        <v>-0.28999999999999998</v>
      </c>
      <c r="M36" s="9">
        <f>LOG(1+Table2[[#This Row],[S&amp;P]])</f>
        <v>-0.14874165128092473</v>
      </c>
      <c r="N36">
        <v>23</v>
      </c>
      <c r="O36">
        <f>IF(Table2[[#This Row],[fund age]]=0,0,LOG(Table2[[#This Row],[fund age]]))</f>
        <v>1.3617278360175928</v>
      </c>
      <c r="P36">
        <f t="shared" si="0"/>
        <v>1</v>
      </c>
      <c r="Q36">
        <v>85</v>
      </c>
      <c r="R36">
        <v>80</v>
      </c>
      <c r="S36">
        <v>70</v>
      </c>
      <c r="T36" s="34">
        <v>43.4</v>
      </c>
      <c r="U36" s="42">
        <v>51.652289181886701</v>
      </c>
      <c r="V36">
        <v>1248.0746999999999</v>
      </c>
      <c r="W36">
        <f>LOG(Table2[[#This Row],[generalist]])</f>
        <v>3.0962405795987471</v>
      </c>
      <c r="X36" s="14">
        <v>2</v>
      </c>
      <c r="Y36">
        <v>2518.2170000000001</v>
      </c>
      <c r="Z36">
        <f>LOG(Table2[[#This Row],[country divers.]])</f>
        <v>3.4010931514437841</v>
      </c>
      <c r="AA36">
        <v>416000000</v>
      </c>
      <c r="AB36">
        <f>LOG(Table2[[#This Row],[Firm Size]])</f>
        <v>8.6190933306267432</v>
      </c>
      <c r="AC36" s="80">
        <v>-0.32239396188737002</v>
      </c>
    </row>
    <row r="37" spans="1:29" x14ac:dyDescent="0.35">
      <c r="A37" t="s">
        <v>163</v>
      </c>
      <c r="B37">
        <v>0.42391304347826098</v>
      </c>
      <c r="C37">
        <f>IF(Table2[[#This Row],[Return]]=-1,-1,LOG(1+Table2[[#This Row],[Return]]))</f>
        <v>0.15348346831020904</v>
      </c>
      <c r="D37">
        <v>3.6958904109589041</v>
      </c>
      <c r="E37">
        <v>342.74</v>
      </c>
      <c r="F37">
        <f>IF(Table2[[#This Row],[Geo Distance]]=0,0,LOG(Table2[[#This Row],[Geo Distance]]))</f>
        <v>2.5349647923946659</v>
      </c>
      <c r="G37">
        <v>95</v>
      </c>
      <c r="H37">
        <f>IF(Table2[[#This Row],[Target age]]=0,0,LOG(Table2[[#This Row],[Target age]]))</f>
        <v>1.9777236052888478</v>
      </c>
      <c r="I37" s="45">
        <v>2.3199999999999998</v>
      </c>
      <c r="J37" s="9">
        <v>569.16666666666697</v>
      </c>
      <c r="K37" s="9">
        <f>IF(Table2[[#This Row],[Culture]]=0,0,LOG(Table2[[#This Row],[Culture]]))</f>
        <v>2.7552394576339081</v>
      </c>
      <c r="L37" s="24">
        <v>0.05</v>
      </c>
      <c r="M37" s="9">
        <f>LOG(1+Table2[[#This Row],[S&amp;P]])</f>
        <v>2.1189299069938092E-2</v>
      </c>
      <c r="N37">
        <v>21</v>
      </c>
      <c r="O37">
        <f>IF(Table2[[#This Row],[fund age]]=0,0,LOG(Table2[[#This Row],[fund age]]))</f>
        <v>1.3222192947339193</v>
      </c>
      <c r="P37">
        <f t="shared" si="0"/>
        <v>1</v>
      </c>
      <c r="Q37">
        <v>85</v>
      </c>
      <c r="R37">
        <v>80</v>
      </c>
      <c r="S37">
        <v>70</v>
      </c>
      <c r="T37" s="34">
        <v>43.1</v>
      </c>
      <c r="U37" s="42">
        <v>51.718307112209096</v>
      </c>
      <c r="V37" s="40">
        <v>1709.090909090909</v>
      </c>
      <c r="W37" s="40">
        <f>LOG(Table2[[#This Row],[generalist]])</f>
        <v>3.2327651641054547</v>
      </c>
      <c r="X37" s="14">
        <v>3</v>
      </c>
      <c r="Y37">
        <v>8968.5950413223145</v>
      </c>
      <c r="Z37">
        <f>LOG(Table2[[#This Row],[country divers.]])</f>
        <v>3.9527244147731087</v>
      </c>
      <c r="AA37">
        <v>920000000</v>
      </c>
      <c r="AB37">
        <f>LOG(Table2[[#This Row],[Firm Size]])</f>
        <v>8.9637878273455556</v>
      </c>
      <c r="AC37" s="80">
        <v>-0.11688902253874422</v>
      </c>
    </row>
    <row r="38" spans="1:29" x14ac:dyDescent="0.35">
      <c r="A38" t="s">
        <v>163</v>
      </c>
      <c r="B38">
        <v>2.3333333333333335</v>
      </c>
      <c r="C38">
        <f>IF(Table2[[#This Row],[Return]]=-1,-1,LOG(1+Table2[[#This Row],[Return]]))</f>
        <v>0.52287874528033762</v>
      </c>
      <c r="D38">
        <v>4.7616438356164386</v>
      </c>
      <c r="E38">
        <v>342.74</v>
      </c>
      <c r="F38">
        <f>IF(Table2[[#This Row],[Geo Distance]]=0,0,LOG(Table2[[#This Row],[Geo Distance]]))</f>
        <v>2.5349647923946659</v>
      </c>
      <c r="G38">
        <v>11</v>
      </c>
      <c r="H38">
        <f>IF(Table2[[#This Row],[Target age]]=0,0,LOG(Table2[[#This Row],[Target age]]))</f>
        <v>1.0413926851582251</v>
      </c>
      <c r="I38" s="45">
        <v>2.3199999999999998</v>
      </c>
      <c r="J38" s="9">
        <v>569.16666666666697</v>
      </c>
      <c r="K38" s="9">
        <f>IF(Table2[[#This Row],[Culture]]=0,0,LOG(Table2[[#This Row],[Culture]]))</f>
        <v>2.7552394576339081</v>
      </c>
      <c r="L38" s="24">
        <v>0.59</v>
      </c>
      <c r="M38" s="9">
        <f>LOG(1+Table2[[#This Row],[S&amp;P]])</f>
        <v>0.20139712432045145</v>
      </c>
      <c r="N38">
        <v>77</v>
      </c>
      <c r="O38">
        <f>IF(Table2[[#This Row],[fund age]]=0,0,LOG(Table2[[#This Row],[fund age]]))</f>
        <v>1.8864907251724818</v>
      </c>
      <c r="P38">
        <f t="shared" si="0"/>
        <v>1</v>
      </c>
      <c r="Q38">
        <v>85</v>
      </c>
      <c r="R38">
        <v>80</v>
      </c>
      <c r="S38">
        <v>85.6</v>
      </c>
      <c r="T38" s="34">
        <v>43.3</v>
      </c>
      <c r="U38" s="42">
        <v>56.2907330998475</v>
      </c>
      <c r="V38">
        <v>2144.9704142011828</v>
      </c>
      <c r="W38">
        <f>LOG(Table2[[#This Row],[generalist]])</f>
        <v>3.3314213062933389</v>
      </c>
      <c r="X38" s="14">
        <v>3</v>
      </c>
      <c r="Y38">
        <v>7670.1183431952677</v>
      </c>
      <c r="Z38">
        <f>LOG(Table2[[#This Row],[country divers.]])</f>
        <v>3.884802064783424</v>
      </c>
      <c r="AA38">
        <v>180000000</v>
      </c>
      <c r="AB38">
        <f>LOG(Table2[[#This Row],[Firm Size]])</f>
        <v>8.2552725051033065</v>
      </c>
      <c r="AC38" s="80">
        <v>0.12247019325885877</v>
      </c>
    </row>
    <row r="39" spans="1:29" x14ac:dyDescent="0.35">
      <c r="A39" t="s">
        <v>163</v>
      </c>
      <c r="B39">
        <v>1</v>
      </c>
      <c r="C39">
        <f>IF(Table2[[#This Row],[Return]]=-1,-1,LOG(1+Table2[[#This Row],[Return]]))</f>
        <v>0.3010299956639812</v>
      </c>
      <c r="D39">
        <v>2.5013698630136987</v>
      </c>
      <c r="E39">
        <v>342.74</v>
      </c>
      <c r="F39">
        <f>IF(Table2[[#This Row],[Geo Distance]]=0,0,LOG(Table2[[#This Row],[Geo Distance]]))</f>
        <v>2.5349647923946659</v>
      </c>
      <c r="G39">
        <v>0</v>
      </c>
      <c r="H39">
        <f>IF(Table2[[#This Row],[Target age]]=0,0,LOG(Table2[[#This Row],[Target age]]))</f>
        <v>0</v>
      </c>
      <c r="I39" s="45">
        <v>2.3199999999999998</v>
      </c>
      <c r="J39" s="9">
        <v>569.16666666666697</v>
      </c>
      <c r="K39" s="9">
        <f>IF(Table2[[#This Row],[Culture]]=0,0,LOG(Table2[[#This Row],[Culture]]))</f>
        <v>2.7552394576339081</v>
      </c>
      <c r="L39" s="24">
        <v>7.0000000000000007E-2</v>
      </c>
      <c r="M39" s="9">
        <f>LOG(1+Table2[[#This Row],[S&amp;P]])</f>
        <v>2.9383777685209667E-2</v>
      </c>
      <c r="N39">
        <v>71</v>
      </c>
      <c r="O39">
        <f>IF(Table2[[#This Row],[fund age]]=0,0,LOG(Table2[[#This Row],[fund age]]))</f>
        <v>1.8512583487190752</v>
      </c>
      <c r="P39">
        <f t="shared" si="0"/>
        <v>1</v>
      </c>
      <c r="Q39">
        <v>85</v>
      </c>
      <c r="R39">
        <v>80</v>
      </c>
      <c r="S39">
        <v>70</v>
      </c>
      <c r="T39" s="34">
        <v>42.9</v>
      </c>
      <c r="U39" s="42">
        <v>53.2941466273667</v>
      </c>
      <c r="V39">
        <v>2144.9704142011828</v>
      </c>
      <c r="W39">
        <f>LOG(Table2[[#This Row],[generalist]])</f>
        <v>3.3314213062933389</v>
      </c>
      <c r="X39" s="14">
        <v>3</v>
      </c>
      <c r="Y39">
        <v>7670.1183431952677</v>
      </c>
      <c r="Z39">
        <f>LOG(Table2[[#This Row],[country divers.]])</f>
        <v>3.884802064783424</v>
      </c>
      <c r="AA39">
        <v>350000000</v>
      </c>
      <c r="AB39">
        <f>LOG(Table2[[#This Row],[Firm Size]])</f>
        <v>8.5440680443502757</v>
      </c>
      <c r="AC39" s="80">
        <v>5.8632676709154063E-2</v>
      </c>
    </row>
    <row r="40" spans="1:29" x14ac:dyDescent="0.35">
      <c r="A40" t="s">
        <v>163</v>
      </c>
      <c r="B40">
        <v>-0.22999999999999998</v>
      </c>
      <c r="C40">
        <f>IF(Table2[[#This Row],[Return]]=-1,-1,LOG(1+Table2[[#This Row],[Return]]))</f>
        <v>-0.11350927482751812</v>
      </c>
      <c r="D40">
        <v>7.8630136986301373</v>
      </c>
      <c r="E40">
        <v>342.74</v>
      </c>
      <c r="F40">
        <f>IF(Table2[[#This Row],[Geo Distance]]=0,0,LOG(Table2[[#This Row],[Geo Distance]]))</f>
        <v>2.5349647923946659</v>
      </c>
      <c r="G40">
        <v>21</v>
      </c>
      <c r="H40">
        <f>IF(Table2[[#This Row],[Target age]]=0,0,LOG(Table2[[#This Row],[Target age]]))</f>
        <v>1.3222192947339193</v>
      </c>
      <c r="I40" s="45">
        <v>2.3199999999999998</v>
      </c>
      <c r="J40" s="9">
        <v>569.16666666666697</v>
      </c>
      <c r="K40" s="9">
        <f>IF(Table2[[#This Row],[Culture]]=0,0,LOG(Table2[[#This Row],[Culture]]))</f>
        <v>2.7552394576339081</v>
      </c>
      <c r="L40" s="24">
        <v>0.38</v>
      </c>
      <c r="M40" s="9">
        <f>LOG(1+Table2[[#This Row],[S&amp;P]])</f>
        <v>0.13987908640123647</v>
      </c>
      <c r="N40">
        <v>71</v>
      </c>
      <c r="O40">
        <f>IF(Table2[[#This Row],[fund age]]=0,0,LOG(Table2[[#This Row],[fund age]]))</f>
        <v>1.8512583487190752</v>
      </c>
      <c r="P40">
        <f t="shared" si="0"/>
        <v>1</v>
      </c>
      <c r="Q40">
        <v>85</v>
      </c>
      <c r="R40">
        <v>80</v>
      </c>
      <c r="S40">
        <v>70</v>
      </c>
      <c r="T40" s="34">
        <v>42.9</v>
      </c>
      <c r="U40" s="42">
        <v>53.2941466273667</v>
      </c>
      <c r="V40">
        <v>2144.9704142011828</v>
      </c>
      <c r="W40">
        <f>LOG(Table2[[#This Row],[generalist]])</f>
        <v>3.3314213062933389</v>
      </c>
      <c r="X40" s="14">
        <v>3</v>
      </c>
      <c r="Y40">
        <v>7670.1183431952677</v>
      </c>
      <c r="Z40">
        <f>LOG(Table2[[#This Row],[country divers.]])</f>
        <v>3.884802064783424</v>
      </c>
      <c r="AA40">
        <v>500000000</v>
      </c>
      <c r="AB40">
        <f>LOG(Table2[[#This Row],[Firm Size]])</f>
        <v>8.6989700043360187</v>
      </c>
      <c r="AC40" s="80">
        <v>0.27747859453415624</v>
      </c>
    </row>
    <row r="41" spans="1:29" x14ac:dyDescent="0.35">
      <c r="A41" t="s">
        <v>163</v>
      </c>
      <c r="B41">
        <v>-3.7837837837837784E-2</v>
      </c>
      <c r="C41">
        <f>IF(Table2[[#This Row],[Return]]=-1,-1,LOG(1+Table2[[#This Row],[Return]]))</f>
        <v>-1.6751726094119797E-2</v>
      </c>
      <c r="D41">
        <v>12.304109589041095</v>
      </c>
      <c r="E41">
        <v>342.74</v>
      </c>
      <c r="F41">
        <f>IF(Table2[[#This Row],[Geo Distance]]=0,0,LOG(Table2[[#This Row],[Geo Distance]]))</f>
        <v>2.5349647923946659</v>
      </c>
      <c r="G41">
        <v>27</v>
      </c>
      <c r="H41">
        <f>IF(Table2[[#This Row],[Target age]]=0,0,LOG(Table2[[#This Row],[Target age]]))</f>
        <v>1.4313637641589874</v>
      </c>
      <c r="I41" s="45">
        <v>2.3199999999999998</v>
      </c>
      <c r="J41" s="9">
        <v>569.16666666666697</v>
      </c>
      <c r="K41" s="9">
        <f>IF(Table2[[#This Row],[Culture]]=0,0,LOG(Table2[[#This Row],[Culture]]))</f>
        <v>2.7552394576339081</v>
      </c>
      <c r="L41" s="24">
        <v>1.32</v>
      </c>
      <c r="M41" s="9">
        <f>LOG(1+Table2[[#This Row],[S&amp;P]])</f>
        <v>0.36548798489089973</v>
      </c>
      <c r="N41">
        <v>68</v>
      </c>
      <c r="O41">
        <f>IF(Table2[[#This Row],[fund age]]=0,0,LOG(Table2[[#This Row],[fund age]]))</f>
        <v>1.8325089127062364</v>
      </c>
      <c r="P41">
        <f t="shared" si="0"/>
        <v>1</v>
      </c>
      <c r="Q41">
        <v>85</v>
      </c>
      <c r="R41">
        <v>80</v>
      </c>
      <c r="S41">
        <v>70</v>
      </c>
      <c r="T41" s="34">
        <v>42.4</v>
      </c>
      <c r="U41" s="42">
        <v>52.795294707427601</v>
      </c>
      <c r="V41">
        <v>2144.9704142011828</v>
      </c>
      <c r="W41">
        <f>LOG(Table2[[#This Row],[generalist]])</f>
        <v>3.3314213062933389</v>
      </c>
      <c r="X41" s="14">
        <v>3</v>
      </c>
      <c r="Y41">
        <v>7670.1183431952677</v>
      </c>
      <c r="Z41">
        <f>LOG(Table2[[#This Row],[country divers.]])</f>
        <v>3.884802064783424</v>
      </c>
      <c r="AA41">
        <v>3700000000</v>
      </c>
      <c r="AB41">
        <f>LOG(Table2[[#This Row],[Firm Size]])</f>
        <v>9.568201724066995</v>
      </c>
      <c r="AC41" s="80">
        <v>0.95104535806360402</v>
      </c>
    </row>
    <row r="42" spans="1:29" x14ac:dyDescent="0.35">
      <c r="A42" t="s">
        <v>163</v>
      </c>
      <c r="B42">
        <v>0.45502645502645511</v>
      </c>
      <c r="C42">
        <f>IF(Table2[[#This Row],[Return]]=-1,-1,LOG(1+Table2[[#This Row],[Return]]))</f>
        <v>0.16287088965701854</v>
      </c>
      <c r="D42">
        <v>5.6328767123287671</v>
      </c>
      <c r="E42">
        <v>342.74</v>
      </c>
      <c r="F42">
        <f>IF(Table2[[#This Row],[Geo Distance]]=0,0,LOG(Table2[[#This Row],[Geo Distance]]))</f>
        <v>2.5349647923946659</v>
      </c>
      <c r="G42">
        <v>12</v>
      </c>
      <c r="H42">
        <f>IF(Table2[[#This Row],[Target age]]=0,0,LOG(Table2[[#This Row],[Target age]]))</f>
        <v>1.0791812460476249</v>
      </c>
      <c r="I42" s="45">
        <v>2.3199999999999998</v>
      </c>
      <c r="J42" s="9">
        <v>569.16666666666697</v>
      </c>
      <c r="K42" s="9">
        <f>IF(Table2[[#This Row],[Culture]]=0,0,LOG(Table2[[#This Row],[Culture]]))</f>
        <v>2.7552394576339081</v>
      </c>
      <c r="L42" s="24">
        <v>0.14000000000000001</v>
      </c>
      <c r="M42" s="9">
        <f>LOG(1+Table2[[#This Row],[S&amp;P]])</f>
        <v>5.6904851336472641E-2</v>
      </c>
      <c r="N42">
        <v>67</v>
      </c>
      <c r="O42">
        <f>IF(Table2[[#This Row],[fund age]]=0,0,LOG(Table2[[#This Row],[fund age]]))</f>
        <v>1.8260748027008264</v>
      </c>
      <c r="P42">
        <f t="shared" si="0"/>
        <v>1</v>
      </c>
      <c r="Q42">
        <v>85</v>
      </c>
      <c r="R42">
        <v>80</v>
      </c>
      <c r="S42">
        <v>70</v>
      </c>
      <c r="T42" s="34">
        <v>43.1</v>
      </c>
      <c r="U42" s="42">
        <v>51.718307112209096</v>
      </c>
      <c r="V42">
        <v>2144.9704142011828</v>
      </c>
      <c r="W42">
        <f>LOG(Table2[[#This Row],[generalist]])</f>
        <v>3.3314213062933389</v>
      </c>
      <c r="X42" s="14">
        <v>3</v>
      </c>
      <c r="Y42">
        <v>7670.1183431952677</v>
      </c>
      <c r="Z42">
        <f>LOG(Table2[[#This Row],[country divers.]])</f>
        <v>3.884802064783424</v>
      </c>
      <c r="AA42">
        <v>756000000</v>
      </c>
      <c r="AB42">
        <f>LOG(Table2[[#This Row],[Firm Size]])</f>
        <v>8.8785217955012072</v>
      </c>
      <c r="AC42" s="80">
        <v>0.14035959350299643</v>
      </c>
    </row>
    <row r="43" spans="1:29" x14ac:dyDescent="0.35">
      <c r="A43" t="s">
        <v>163</v>
      </c>
      <c r="B43">
        <v>9.6892138939670858E-2</v>
      </c>
      <c r="C43">
        <f>IF(Table2[[#This Row],[Return]]=-1,-1,LOG(1+Table2[[#This Row],[Return]]))</f>
        <v>4.0163924050212831E-2</v>
      </c>
      <c r="D43">
        <v>3.0547945205479454</v>
      </c>
      <c r="E43">
        <v>1341.63</v>
      </c>
      <c r="F43">
        <f>IF(Table2[[#This Row],[Geo Distance]]=0,0,LOG(Table2[[#This Row],[Geo Distance]]))</f>
        <v>3.12763276090452</v>
      </c>
      <c r="G43">
        <v>189</v>
      </c>
      <c r="H43">
        <f>IF(Table2[[#This Row],[Target age]]=0,0,LOG(Table2[[#This Row],[Target age]]))</f>
        <v>2.2764618041732443</v>
      </c>
      <c r="I43" s="45">
        <v>2.93</v>
      </c>
      <c r="J43" s="9">
        <v>202</v>
      </c>
      <c r="K43" s="9">
        <f>IF(Table2[[#This Row],[Culture]]=0,0,LOG(Table2[[#This Row],[Culture]]))</f>
        <v>2.3053513694466239</v>
      </c>
      <c r="L43" s="24">
        <v>-0.1</v>
      </c>
      <c r="M43" s="9">
        <f>LOG(1+Table2[[#This Row],[S&amp;P]])</f>
        <v>-4.5757490560675115E-2</v>
      </c>
      <c r="N43">
        <v>12</v>
      </c>
      <c r="O43">
        <f>IF(Table2[[#This Row],[fund age]]=0,0,LOG(Table2[[#This Row],[fund age]]))</f>
        <v>1.0791812460476249</v>
      </c>
      <c r="P43">
        <f t="shared" si="0"/>
        <v>1</v>
      </c>
      <c r="Q43">
        <v>85</v>
      </c>
      <c r="R43">
        <v>80</v>
      </c>
      <c r="S43">
        <v>70</v>
      </c>
      <c r="T43" s="34">
        <v>43.1</v>
      </c>
      <c r="U43" s="42">
        <v>51.718307112209096</v>
      </c>
      <c r="V43">
        <v>1895.918367346939</v>
      </c>
      <c r="W43">
        <f>LOG(Table2[[#This Row],[generalist]])</f>
        <v>3.277819633965128</v>
      </c>
      <c r="X43" s="14">
        <v>2</v>
      </c>
      <c r="Y43">
        <v>8519.3877551020414</v>
      </c>
      <c r="Z43">
        <f>LOG(Table2[[#This Row],[country divers.]])</f>
        <v>3.9304083853612104</v>
      </c>
      <c r="AA43">
        <v>273500000</v>
      </c>
      <c r="AB43">
        <f>LOG(Table2[[#This Row],[Firm Size]])</f>
        <v>8.4369573306694488</v>
      </c>
      <c r="AC43" s="80">
        <v>-0.21558722461581392</v>
      </c>
    </row>
    <row r="44" spans="1:29" x14ac:dyDescent="0.35">
      <c r="A44" t="s">
        <v>163</v>
      </c>
      <c r="B44">
        <v>1.5106060606060607</v>
      </c>
      <c r="C44">
        <f>IF(Table2[[#This Row],[Return]]=-1,-1,LOG(1+Table2[[#This Row],[Return]]))</f>
        <v>0.3997785728774681</v>
      </c>
      <c r="D44">
        <v>6.3342465753424655</v>
      </c>
      <c r="E44">
        <v>6164.6</v>
      </c>
      <c r="F44">
        <f>IF(Table2[[#This Row],[Geo Distance]]=0,0,LOG(Table2[[#This Row],[Geo Distance]]))</f>
        <v>3.7899049019490061</v>
      </c>
      <c r="G44">
        <v>1</v>
      </c>
      <c r="H44">
        <f>IF(Table2[[#This Row],[Target age]]=0,0,LOG(Table2[[#This Row],[Target age]]))</f>
        <v>0</v>
      </c>
      <c r="I44" s="45">
        <v>3.18</v>
      </c>
      <c r="J44" s="9">
        <v>583.83333333333303</v>
      </c>
      <c r="K44" s="9">
        <f>IF(Table2[[#This Row],[Culture]]=0,0,LOG(Table2[[#This Row],[Culture]]))</f>
        <v>2.7662888869340487</v>
      </c>
      <c r="L44" s="24">
        <v>0.47</v>
      </c>
      <c r="M44" s="9">
        <f>LOG(1+Table2[[#This Row],[S&amp;P]])</f>
        <v>0.16731733474817609</v>
      </c>
      <c r="N44">
        <v>21</v>
      </c>
      <c r="O44">
        <f>IF(Table2[[#This Row],[fund age]]=0,0,LOG(Table2[[#This Row],[fund age]]))</f>
        <v>1.3222192947339193</v>
      </c>
      <c r="P44">
        <f t="shared" si="0"/>
        <v>1</v>
      </c>
      <c r="Q44">
        <v>85</v>
      </c>
      <c r="R44">
        <v>80</v>
      </c>
      <c r="S44">
        <v>88</v>
      </c>
      <c r="T44" s="34">
        <v>42.3</v>
      </c>
      <c r="U44" s="42">
        <v>53.296308937050199</v>
      </c>
      <c r="V44">
        <v>1246.953</v>
      </c>
      <c r="W44">
        <f>LOG(Table2[[#This Row],[generalist]])</f>
        <v>3.0958500844125241</v>
      </c>
      <c r="X44" s="14">
        <v>3</v>
      </c>
      <c r="Y44">
        <v>3219.7179999999998</v>
      </c>
      <c r="Z44">
        <f>LOG(Table2[[#This Row],[country divers.]])</f>
        <v>3.5078178355445662</v>
      </c>
      <c r="AA44">
        <v>1716000000</v>
      </c>
      <c r="AB44">
        <f>LOG(Table2[[#This Row],[Firm Size]])</f>
        <v>9.2345172835126874</v>
      </c>
      <c r="AC44" s="80">
        <v>0.24458918768202209</v>
      </c>
    </row>
    <row r="45" spans="1:29" x14ac:dyDescent="0.35">
      <c r="A45" t="s">
        <v>163</v>
      </c>
      <c r="B45">
        <v>1.5219366160834107</v>
      </c>
      <c r="C45">
        <f>IF(Table2[[#This Row],[Return]]=-1,-1,LOG(1+Table2[[#This Row],[Return]]))</f>
        <v>0.40173416723661265</v>
      </c>
      <c r="D45">
        <v>4.7287671232876711</v>
      </c>
      <c r="E45">
        <v>6164.6</v>
      </c>
      <c r="F45">
        <f>IF(Table2[[#This Row],[Geo Distance]]=0,0,LOG(Table2[[#This Row],[Geo Distance]]))</f>
        <v>3.7899049019490061</v>
      </c>
      <c r="G45">
        <v>28</v>
      </c>
      <c r="H45">
        <f>IF(Table2[[#This Row],[Target age]]=0,0,LOG(Table2[[#This Row],[Target age]]))</f>
        <v>1.4471580313422192</v>
      </c>
      <c r="I45" s="45">
        <v>3.18</v>
      </c>
      <c r="J45" s="9">
        <v>583.83333333333303</v>
      </c>
      <c r="K45" s="9">
        <f>IF(Table2[[#This Row],[Culture]]=0,0,LOG(Table2[[#This Row],[Culture]]))</f>
        <v>2.7662888869340487</v>
      </c>
      <c r="L45" s="24">
        <v>-0.06</v>
      </c>
      <c r="M45" s="9">
        <f>LOG(1+Table2[[#This Row],[S&amp;P]])</f>
        <v>-2.6872146400301365E-2</v>
      </c>
      <c r="N45">
        <v>19</v>
      </c>
      <c r="O45">
        <f>IF(Table2[[#This Row],[fund age]]=0,0,LOG(Table2[[#This Row],[fund age]]))</f>
        <v>1.2787536009528289</v>
      </c>
      <c r="P45">
        <f t="shared" si="0"/>
        <v>1</v>
      </c>
      <c r="Q45">
        <v>85</v>
      </c>
      <c r="R45">
        <v>80</v>
      </c>
      <c r="S45">
        <v>88</v>
      </c>
      <c r="T45" s="34">
        <v>43.3</v>
      </c>
      <c r="U45" s="42">
        <v>52.875711995394298</v>
      </c>
      <c r="V45">
        <v>1246.953</v>
      </c>
      <c r="W45">
        <f>LOG(Table2[[#This Row],[generalist]])</f>
        <v>3.0958500844125241</v>
      </c>
      <c r="X45" s="14">
        <v>3</v>
      </c>
      <c r="Y45">
        <v>3219.7179999999998</v>
      </c>
      <c r="Z45">
        <f>LOG(Table2[[#This Row],[country divers.]])</f>
        <v>3.5078178355445662</v>
      </c>
      <c r="AA45">
        <v>264410000</v>
      </c>
      <c r="AB45">
        <f>LOG(Table2[[#This Row],[Firm Size]])</f>
        <v>8.4222778761641806</v>
      </c>
      <c r="AC45" s="80">
        <v>1.2903420664937437E-2</v>
      </c>
    </row>
    <row r="46" spans="1:29" x14ac:dyDescent="0.35">
      <c r="A46" t="s">
        <v>163</v>
      </c>
      <c r="B46">
        <v>0.95785714285714296</v>
      </c>
      <c r="C46">
        <f>IF(Table2[[#This Row],[Return]]=-1,-1,LOG(1+Table2[[#This Row],[Return]]))</f>
        <v>0.29178099986126038</v>
      </c>
      <c r="D46">
        <v>2.3534246575342466</v>
      </c>
      <c r="E46">
        <v>6164.6</v>
      </c>
      <c r="F46">
        <f>IF(Table2[[#This Row],[Geo Distance]]=0,0,LOG(Table2[[#This Row],[Geo Distance]]))</f>
        <v>3.7899049019490061</v>
      </c>
      <c r="G46">
        <v>76</v>
      </c>
      <c r="H46">
        <f>IF(Table2[[#This Row],[Target age]]=0,0,LOG(Table2[[#This Row],[Target age]]))</f>
        <v>1.8808135922807914</v>
      </c>
      <c r="I46" s="45">
        <v>3.18</v>
      </c>
      <c r="J46" s="9">
        <v>583.83333333333303</v>
      </c>
      <c r="K46" s="9">
        <f>IF(Table2[[#This Row],[Culture]]=0,0,LOG(Table2[[#This Row],[Culture]]))</f>
        <v>2.7662888869340487</v>
      </c>
      <c r="L46" s="24">
        <v>0.23</v>
      </c>
      <c r="M46" s="9">
        <f>LOG(1+Table2[[#This Row],[S&amp;P]])</f>
        <v>8.9905111439397931E-2</v>
      </c>
      <c r="N46">
        <v>18</v>
      </c>
      <c r="O46">
        <f>IF(Table2[[#This Row],[fund age]]=0,0,LOG(Table2[[#This Row],[fund age]]))</f>
        <v>1.255272505103306</v>
      </c>
      <c r="P46">
        <f t="shared" si="0"/>
        <v>1</v>
      </c>
      <c r="Q46">
        <v>85</v>
      </c>
      <c r="R46">
        <v>80</v>
      </c>
      <c r="S46">
        <v>70</v>
      </c>
      <c r="T46" s="34">
        <v>42.9</v>
      </c>
      <c r="U46" s="42">
        <v>53.2941466273667</v>
      </c>
      <c r="V46">
        <v>1246.953</v>
      </c>
      <c r="W46">
        <f>LOG(Table2[[#This Row],[generalist]])</f>
        <v>3.0958500844125241</v>
      </c>
      <c r="X46" s="14">
        <v>3</v>
      </c>
      <c r="Y46">
        <v>3219.7179999999998</v>
      </c>
      <c r="Z46">
        <f>LOG(Table2[[#This Row],[country divers.]])</f>
        <v>3.5078178355445662</v>
      </c>
      <c r="AA46">
        <v>42000000</v>
      </c>
      <c r="AB46">
        <f>LOG(Table2[[#This Row],[Firm Size]])</f>
        <v>7.6232492903979008</v>
      </c>
      <c r="AC46" s="80">
        <v>0.29506230504932152</v>
      </c>
    </row>
    <row r="47" spans="1:29" x14ac:dyDescent="0.35">
      <c r="A47" t="s">
        <v>163</v>
      </c>
      <c r="B47">
        <v>6</v>
      </c>
      <c r="C47">
        <f>IF(Table2[[#This Row],[Return]]=-1,-1,LOG(1+Table2[[#This Row],[Return]]))</f>
        <v>0.84509804001425681</v>
      </c>
      <c r="D47">
        <v>3.9178082191780823</v>
      </c>
      <c r="E47">
        <v>6164.6</v>
      </c>
      <c r="F47">
        <f>IF(Table2[[#This Row],[Geo Distance]]=0,0,LOG(Table2[[#This Row],[Geo Distance]]))</f>
        <v>3.7899049019490061</v>
      </c>
      <c r="G47">
        <v>0</v>
      </c>
      <c r="H47">
        <f>IF(Table2[[#This Row],[Target age]]=0,0,LOG(Table2[[#This Row],[Target age]]))</f>
        <v>0</v>
      </c>
      <c r="I47" s="45">
        <v>3.18</v>
      </c>
      <c r="J47" s="9">
        <v>583.83333333333303</v>
      </c>
      <c r="K47" s="9">
        <f>IF(Table2[[#This Row],[Culture]]=0,0,LOG(Table2[[#This Row],[Culture]]))</f>
        <v>2.7662888869340487</v>
      </c>
      <c r="L47" s="24">
        <v>-0.22</v>
      </c>
      <c r="M47" s="9">
        <f>LOG(1+Table2[[#This Row],[S&amp;P]])</f>
        <v>-0.10790539730951958</v>
      </c>
      <c r="N47">
        <v>13</v>
      </c>
      <c r="O47">
        <f>IF(Table2[[#This Row],[fund age]]=0,0,LOG(Table2[[#This Row],[fund age]]))</f>
        <v>1.1139433523068367</v>
      </c>
      <c r="P47">
        <f t="shared" si="0"/>
        <v>1</v>
      </c>
      <c r="Q47">
        <v>85</v>
      </c>
      <c r="R47">
        <v>80</v>
      </c>
      <c r="S47">
        <v>70</v>
      </c>
      <c r="T47" s="34">
        <v>43.4</v>
      </c>
      <c r="U47" s="42">
        <v>51.652289181886701</v>
      </c>
      <c r="V47">
        <v>1246.953</v>
      </c>
      <c r="W47">
        <f>LOG(Table2[[#This Row],[generalist]])</f>
        <v>3.0958500844125241</v>
      </c>
      <c r="X47" s="14">
        <v>3</v>
      </c>
      <c r="Y47">
        <v>3219.7179999999998</v>
      </c>
      <c r="Z47">
        <f>LOG(Table2[[#This Row],[country divers.]])</f>
        <v>3.5078178355445662</v>
      </c>
      <c r="AA47">
        <v>7000000</v>
      </c>
      <c r="AB47">
        <f>LOG(Table2[[#This Row],[Firm Size]])</f>
        <v>6.8450980400142569</v>
      </c>
      <c r="AC47" s="80">
        <v>-0.26100738209914043</v>
      </c>
    </row>
    <row r="48" spans="1:29" x14ac:dyDescent="0.35">
      <c r="A48" t="s">
        <v>163</v>
      </c>
      <c r="B48">
        <v>0.32176861756676067</v>
      </c>
      <c r="C48">
        <f>IF(Table2[[#This Row],[Return]]=-1,-1,LOG(1+Table2[[#This Row],[Return]]))</f>
        <v>0.12115543630776511</v>
      </c>
      <c r="D48">
        <v>8.7452054794520553</v>
      </c>
      <c r="E48">
        <v>6164.6</v>
      </c>
      <c r="F48">
        <f>IF(Table2[[#This Row],[Geo Distance]]=0,0,LOG(Table2[[#This Row],[Geo Distance]]))</f>
        <v>3.7899049019490061</v>
      </c>
      <c r="G48">
        <v>35</v>
      </c>
      <c r="H48">
        <f>IF(Table2[[#This Row],[Target age]]=0,0,LOG(Table2[[#This Row],[Target age]]))</f>
        <v>1.5440680443502757</v>
      </c>
      <c r="I48" s="45">
        <v>3.18</v>
      </c>
      <c r="J48" s="9">
        <v>583.83333333333303</v>
      </c>
      <c r="K48" s="9">
        <f>IF(Table2[[#This Row],[Culture]]=0,0,LOG(Table2[[#This Row],[Culture]]))</f>
        <v>2.7662888869340487</v>
      </c>
      <c r="L48" s="24">
        <v>0.33</v>
      </c>
      <c r="M48" s="9">
        <f>LOG(1+Table2[[#This Row],[S&amp;P]])</f>
        <v>0.12385164096708581</v>
      </c>
      <c r="N48">
        <v>11</v>
      </c>
      <c r="O48">
        <f>IF(Table2[[#This Row],[fund age]]=0,0,LOG(Table2[[#This Row],[fund age]]))</f>
        <v>1.0413926851582251</v>
      </c>
      <c r="P48">
        <f t="shared" si="0"/>
        <v>1</v>
      </c>
      <c r="Q48">
        <v>85</v>
      </c>
      <c r="R48">
        <v>80</v>
      </c>
      <c r="S48">
        <v>85</v>
      </c>
      <c r="T48" s="34">
        <v>43.5</v>
      </c>
      <c r="U48" s="42">
        <v>52.924485315438503</v>
      </c>
      <c r="V48">
        <v>1246.953</v>
      </c>
      <c r="W48">
        <f>LOG(Table2[[#This Row],[generalist]])</f>
        <v>3.0958500844125241</v>
      </c>
      <c r="X48" s="14">
        <v>3</v>
      </c>
      <c r="Y48">
        <v>3219.7179999999998</v>
      </c>
      <c r="Z48">
        <f>LOG(Table2[[#This Row],[country divers.]])</f>
        <v>3.5078178355445662</v>
      </c>
      <c r="AA48">
        <v>219403000</v>
      </c>
      <c r="AB48">
        <f>LOG(Table2[[#This Row],[Firm Size]])</f>
        <v>8.3412425615911907</v>
      </c>
      <c r="AC48" s="80">
        <v>0.20683057291314721</v>
      </c>
    </row>
    <row r="49" spans="1:29" x14ac:dyDescent="0.35">
      <c r="A49" t="s">
        <v>163</v>
      </c>
      <c r="B49">
        <v>2.8372727272727274</v>
      </c>
      <c r="C49">
        <f>IF(Table2[[#This Row],[Return]]=-1,-1,LOG(1+Table2[[#This Row],[Return]]))</f>
        <v>0.5840226669961831</v>
      </c>
      <c r="D49">
        <v>3.2301369863013698</v>
      </c>
      <c r="E49">
        <v>6164.6</v>
      </c>
      <c r="F49">
        <f>IF(Table2[[#This Row],[Geo Distance]]=0,0,LOG(Table2[[#This Row],[Geo Distance]]))</f>
        <v>3.7899049019490061</v>
      </c>
      <c r="G49">
        <v>25</v>
      </c>
      <c r="H49">
        <f>IF(Table2[[#This Row],[Target age]]=0,0,LOG(Table2[[#This Row],[Target age]]))</f>
        <v>1.3979400086720377</v>
      </c>
      <c r="I49" s="45">
        <v>3.18</v>
      </c>
      <c r="J49" s="9">
        <v>583.83333333333303</v>
      </c>
      <c r="K49" s="9">
        <f>IF(Table2[[#This Row],[Culture]]=0,0,LOG(Table2[[#This Row],[Culture]]))</f>
        <v>2.7662888869340487</v>
      </c>
      <c r="L49" s="24">
        <v>0.33</v>
      </c>
      <c r="M49" s="9">
        <f>LOG(1+Table2[[#This Row],[S&amp;P]])</f>
        <v>0.12385164096708581</v>
      </c>
      <c r="N49">
        <v>29</v>
      </c>
      <c r="O49">
        <f>IF(Table2[[#This Row],[fund age]]=0,0,LOG(Table2[[#This Row],[fund age]]))</f>
        <v>1.4623979978989561</v>
      </c>
      <c r="P49">
        <f t="shared" si="0"/>
        <v>1</v>
      </c>
      <c r="Q49">
        <v>85</v>
      </c>
      <c r="R49">
        <v>80</v>
      </c>
      <c r="S49">
        <v>79.900000000000006</v>
      </c>
      <c r="T49" s="34">
        <v>45.4</v>
      </c>
      <c r="U49" s="42">
        <v>57.213602417008403</v>
      </c>
      <c r="V49">
        <v>2315.9650000000001</v>
      </c>
      <c r="W49">
        <f>LOG(Table2[[#This Row],[generalist]])</f>
        <v>3.3647319918335836</v>
      </c>
      <c r="X49" s="14">
        <v>4</v>
      </c>
      <c r="Y49">
        <v>3703.9029999999998</v>
      </c>
      <c r="Z49">
        <f>LOG(Table2[[#This Row],[country divers.]])</f>
        <v>3.568659604598353</v>
      </c>
      <c r="AA49">
        <v>440000000</v>
      </c>
      <c r="AB49">
        <f>LOG(Table2[[#This Row],[Firm Size]])</f>
        <v>8.6434526764861879</v>
      </c>
      <c r="AC49" s="80">
        <v>0.16655655403186631</v>
      </c>
    </row>
    <row r="50" spans="1:29" x14ac:dyDescent="0.35">
      <c r="A50" t="s">
        <v>163</v>
      </c>
      <c r="B50">
        <v>5.0000000000000044E-2</v>
      </c>
      <c r="C50">
        <f>IF(Table2[[#This Row],[Return]]=-1,-1,LOG(1+Table2[[#This Row],[Return]]))</f>
        <v>2.1189299069938092E-2</v>
      </c>
      <c r="D50">
        <v>2.8410958904109589</v>
      </c>
      <c r="E50">
        <v>342.74</v>
      </c>
      <c r="F50">
        <f>IF(Table2[[#This Row],[Geo Distance]]=0,0,LOG(Table2[[#This Row],[Geo Distance]]))</f>
        <v>2.5349647923946659</v>
      </c>
      <c r="G50">
        <v>14</v>
      </c>
      <c r="H50">
        <f>IF(Table2[[#This Row],[Target age]]=0,0,LOG(Table2[[#This Row],[Target age]]))</f>
        <v>1.146128035678238</v>
      </c>
      <c r="I50" s="45">
        <v>2.3199999999999998</v>
      </c>
      <c r="J50" s="9">
        <v>569.16666666666697</v>
      </c>
      <c r="K50" s="9">
        <f>IF(Table2[[#This Row],[Culture]]=0,0,LOG(Table2[[#This Row],[Culture]]))</f>
        <v>2.7552394576339081</v>
      </c>
      <c r="L50" s="24">
        <v>-0.26</v>
      </c>
      <c r="M50" s="9">
        <f>LOG(1+Table2[[#This Row],[S&amp;P]])</f>
        <v>-0.13076828026902382</v>
      </c>
      <c r="N50">
        <v>19</v>
      </c>
      <c r="O50">
        <f>IF(Table2[[#This Row],[fund age]]=0,0,LOG(Table2[[#This Row],[fund age]]))</f>
        <v>1.2787536009528289</v>
      </c>
      <c r="P50">
        <f t="shared" si="0"/>
        <v>1</v>
      </c>
      <c r="Q50">
        <v>85</v>
      </c>
      <c r="R50">
        <v>80</v>
      </c>
      <c r="S50">
        <v>70</v>
      </c>
      <c r="T50" s="34">
        <v>43.4</v>
      </c>
      <c r="U50" s="42">
        <v>51.652289181886701</v>
      </c>
      <c r="V50">
        <v>1669.0315179326171</v>
      </c>
      <c r="W50">
        <f>LOG(Table2[[#This Row],[generalist]])</f>
        <v>3.22246453795844</v>
      </c>
      <c r="X50" s="14">
        <v>3</v>
      </c>
      <c r="Y50">
        <v>5094.7953145755328</v>
      </c>
      <c r="Z50">
        <f>LOG(Table2[[#This Row],[country divers.]])</f>
        <v>3.7071267407396937</v>
      </c>
      <c r="AA50">
        <v>800000000</v>
      </c>
      <c r="AB50">
        <f>LOG(Table2[[#This Row],[Firm Size]])</f>
        <v>8.9030899869919438</v>
      </c>
      <c r="AC50" s="80">
        <v>-0.33673259432627767</v>
      </c>
    </row>
    <row r="51" spans="1:29" x14ac:dyDescent="0.35">
      <c r="A51" t="s">
        <v>163</v>
      </c>
      <c r="B51">
        <v>-1</v>
      </c>
      <c r="C51">
        <f>IF(Table2[[#This Row],[Return]]=-1,-1,LOG(1+Table2[[#This Row],[Return]]))</f>
        <v>-1</v>
      </c>
      <c r="D51">
        <v>4.183561643835616</v>
      </c>
      <c r="E51">
        <v>342.74</v>
      </c>
      <c r="F51">
        <f>IF(Table2[[#This Row],[Geo Distance]]=0,0,LOG(Table2[[#This Row],[Geo Distance]]))</f>
        <v>2.5349647923946659</v>
      </c>
      <c r="G51">
        <v>9</v>
      </c>
      <c r="H51">
        <f>IF(Table2[[#This Row],[Target age]]=0,0,LOG(Table2[[#This Row],[Target age]]))</f>
        <v>0.95424250943932487</v>
      </c>
      <c r="I51" s="45">
        <v>2.3199999999999998</v>
      </c>
      <c r="J51" s="9">
        <v>569.16666666666697</v>
      </c>
      <c r="K51" s="9">
        <f>IF(Table2[[#This Row],[Culture]]=0,0,LOG(Table2[[#This Row],[Culture]]))</f>
        <v>2.7552394576339081</v>
      </c>
      <c r="L51" s="24">
        <v>-0.14000000000000001</v>
      </c>
      <c r="M51" s="9">
        <f>LOG(1+Table2[[#This Row],[S&amp;P]])</f>
        <v>-6.5501548756432285E-2</v>
      </c>
      <c r="N51">
        <v>24</v>
      </c>
      <c r="O51">
        <f>IF(Table2[[#This Row],[fund age]]=0,0,LOG(Table2[[#This Row],[fund age]]))</f>
        <v>1.3802112417116059</v>
      </c>
      <c r="P51">
        <f t="shared" si="0"/>
        <v>1</v>
      </c>
      <c r="Q51">
        <v>85</v>
      </c>
      <c r="R51">
        <v>80</v>
      </c>
      <c r="S51">
        <v>70</v>
      </c>
      <c r="T51" s="34">
        <v>42.9</v>
      </c>
      <c r="U51" s="42">
        <v>53.2941466273667</v>
      </c>
      <c r="V51">
        <v>1669.0315179326171</v>
      </c>
      <c r="W51">
        <f>LOG(Table2[[#This Row],[generalist]])</f>
        <v>3.22246453795844</v>
      </c>
      <c r="X51" s="14">
        <v>3</v>
      </c>
      <c r="Y51">
        <v>5094.7953145755328</v>
      </c>
      <c r="Z51">
        <f>LOG(Table2[[#This Row],[country divers.]])</f>
        <v>3.7071267407396937</v>
      </c>
      <c r="AA51">
        <v>450000000</v>
      </c>
      <c r="AB51">
        <f>LOG(Table2[[#This Row],[Firm Size]])</f>
        <v>8.653212513775344</v>
      </c>
      <c r="AC51" s="80">
        <v>-2.0288786619602872E-2</v>
      </c>
    </row>
    <row r="52" spans="1:29" x14ac:dyDescent="0.35">
      <c r="A52" t="s">
        <v>163</v>
      </c>
      <c r="B52">
        <v>0.25413768895409716</v>
      </c>
      <c r="C52">
        <f>IF(Table2[[#This Row],[Return]]=-1,-1,LOG(1+Table2[[#This Row],[Return]]))</f>
        <v>9.8345219325912878E-2</v>
      </c>
      <c r="D52">
        <v>4.6602739726027398</v>
      </c>
      <c r="E52">
        <v>342.74</v>
      </c>
      <c r="F52">
        <f>IF(Table2[[#This Row],[Geo Distance]]=0,0,LOG(Table2[[#This Row],[Geo Distance]]))</f>
        <v>2.5349647923946659</v>
      </c>
      <c r="G52">
        <v>5</v>
      </c>
      <c r="H52">
        <f>IF(Table2[[#This Row],[Target age]]=0,0,LOG(Table2[[#This Row],[Target age]]))</f>
        <v>0.69897000433601886</v>
      </c>
      <c r="I52" s="45">
        <v>2.3199999999999998</v>
      </c>
      <c r="J52" s="9">
        <v>569.16666666666697</v>
      </c>
      <c r="K52" s="9">
        <f>IF(Table2[[#This Row],[Culture]]=0,0,LOG(Table2[[#This Row],[Culture]]))</f>
        <v>2.7552394576339081</v>
      </c>
      <c r="L52" s="24">
        <v>0.71</v>
      </c>
      <c r="M52" s="9">
        <f>LOG(1+Table2[[#This Row],[S&amp;P]])</f>
        <v>0.23299611039215382</v>
      </c>
      <c r="N52">
        <v>24</v>
      </c>
      <c r="O52">
        <f>IF(Table2[[#This Row],[fund age]]=0,0,LOG(Table2[[#This Row],[fund age]]))</f>
        <v>1.3802112417116059</v>
      </c>
      <c r="P52">
        <f t="shared" si="0"/>
        <v>1</v>
      </c>
      <c r="Q52">
        <v>85</v>
      </c>
      <c r="R52">
        <v>80</v>
      </c>
      <c r="S52">
        <v>86.3</v>
      </c>
      <c r="T52" s="34">
        <v>42.1</v>
      </c>
      <c r="U52" s="42">
        <v>56.8818351627258</v>
      </c>
      <c r="V52">
        <v>1655.1111111111111</v>
      </c>
      <c r="W52">
        <f>LOG(Table2[[#This Row],[generalist]])</f>
        <v>3.2188271541979425</v>
      </c>
      <c r="X52" s="14">
        <v>2</v>
      </c>
      <c r="Y52">
        <v>5715.5555555555547</v>
      </c>
      <c r="Z52">
        <f>LOG(Table2[[#This Row],[country divers.]])</f>
        <v>3.7570584504768405</v>
      </c>
      <c r="AA52">
        <v>806407825</v>
      </c>
      <c r="AB52">
        <f>LOG(Table2[[#This Row],[Firm Size]])</f>
        <v>8.9065547333100721</v>
      </c>
      <c r="AC52" s="80">
        <v>0.26393169744665324</v>
      </c>
    </row>
    <row r="53" spans="1:29" x14ac:dyDescent="0.35">
      <c r="A53" t="s">
        <v>163</v>
      </c>
      <c r="B53">
        <v>0.14503816793893121</v>
      </c>
      <c r="C53">
        <f>IF(Table2[[#This Row],[Return]]=-1,-1,LOG(1+Table2[[#This Row],[Return]]))</f>
        <v>5.881996339991695E-2</v>
      </c>
      <c r="D53">
        <v>6.1479452054794521</v>
      </c>
      <c r="E53">
        <v>342.74</v>
      </c>
      <c r="F53">
        <f>IF(Table2[[#This Row],[Geo Distance]]=0,0,LOG(Table2[[#This Row],[Geo Distance]]))</f>
        <v>2.5349647923946659</v>
      </c>
      <c r="G53">
        <v>98</v>
      </c>
      <c r="H53">
        <f>IF(Table2[[#This Row],[Target age]]=0,0,LOG(Table2[[#This Row],[Target age]]))</f>
        <v>1.9912260756924949</v>
      </c>
      <c r="I53" s="45">
        <v>2.3199999999999998</v>
      </c>
      <c r="J53" s="9">
        <v>569.16666666666697</v>
      </c>
      <c r="K53" s="9">
        <f>IF(Table2[[#This Row],[Culture]]=0,0,LOG(Table2[[#This Row],[Culture]]))</f>
        <v>2.7552394576339081</v>
      </c>
      <c r="L53" s="24">
        <v>0.13</v>
      </c>
      <c r="M53" s="9">
        <f>LOG(1+Table2[[#This Row],[S&amp;P]])</f>
        <v>5.3078443483419682E-2</v>
      </c>
      <c r="N53">
        <v>18</v>
      </c>
      <c r="O53">
        <f>IF(Table2[[#This Row],[fund age]]=0,0,LOG(Table2[[#This Row],[fund age]]))</f>
        <v>1.255272505103306</v>
      </c>
      <c r="P53">
        <f t="shared" si="0"/>
        <v>1</v>
      </c>
      <c r="Q53">
        <v>85</v>
      </c>
      <c r="R53">
        <v>80</v>
      </c>
      <c r="S53">
        <v>70</v>
      </c>
      <c r="T53" s="34">
        <v>42.4</v>
      </c>
      <c r="U53" s="42">
        <v>52.984855215816303</v>
      </c>
      <c r="V53">
        <v>1655.1111111111111</v>
      </c>
      <c r="W53">
        <f>LOG(Table2[[#This Row],[generalist]])</f>
        <v>3.2188271541979425</v>
      </c>
      <c r="X53" s="14">
        <v>2</v>
      </c>
      <c r="Y53">
        <v>5715.5555555555547</v>
      </c>
      <c r="Z53">
        <f>LOG(Table2[[#This Row],[country divers.]])</f>
        <v>3.7570584504768405</v>
      </c>
      <c r="AA53">
        <v>1310000000</v>
      </c>
      <c r="AB53">
        <f>LOG(Table2[[#This Row],[Firm Size]])</f>
        <v>9.1172712956557636</v>
      </c>
      <c r="AC53" s="80">
        <v>0.33423162115960525</v>
      </c>
    </row>
    <row r="54" spans="1:29" x14ac:dyDescent="0.35">
      <c r="A54" t="s">
        <v>163</v>
      </c>
      <c r="B54">
        <v>1.1307726181513416</v>
      </c>
      <c r="C54">
        <f>IF(Table2[[#This Row],[Return]]=-1,-1,LOG(1+Table2[[#This Row],[Return]]))</f>
        <v>0.32853710717502921</v>
      </c>
      <c r="D54">
        <v>5.3808219178082188</v>
      </c>
      <c r="E54">
        <v>342.74</v>
      </c>
      <c r="F54">
        <f>IF(Table2[[#This Row],[Geo Distance]]=0,0,LOG(Table2[[#This Row],[Geo Distance]]))</f>
        <v>2.5349647923946659</v>
      </c>
      <c r="G54">
        <v>28</v>
      </c>
      <c r="H54">
        <f>IF(Table2[[#This Row],[Target age]]=0,0,LOG(Table2[[#This Row],[Target age]]))</f>
        <v>1.4471580313422192</v>
      </c>
      <c r="I54" s="45">
        <v>2.3199999999999998</v>
      </c>
      <c r="J54" s="9">
        <v>569.16666666666697</v>
      </c>
      <c r="K54" s="9">
        <f>IF(Table2[[#This Row],[Culture]]=0,0,LOG(Table2[[#This Row],[Culture]]))</f>
        <v>2.7552394576339081</v>
      </c>
      <c r="L54" s="24">
        <v>0.14000000000000001</v>
      </c>
      <c r="M54" s="9">
        <f>LOG(1+Table2[[#This Row],[S&amp;P]])</f>
        <v>5.6904851336472641E-2</v>
      </c>
      <c r="N54">
        <v>11</v>
      </c>
      <c r="O54">
        <f>IF(Table2[[#This Row],[fund age]]=0,0,LOG(Table2[[#This Row],[fund age]]))</f>
        <v>1.0413926851582251</v>
      </c>
      <c r="P54">
        <f t="shared" si="0"/>
        <v>1</v>
      </c>
      <c r="Q54">
        <v>85</v>
      </c>
      <c r="R54">
        <v>80</v>
      </c>
      <c r="S54">
        <v>85</v>
      </c>
      <c r="T54" s="34">
        <v>43.7</v>
      </c>
      <c r="U54" s="42">
        <v>54.530673116863902</v>
      </c>
      <c r="V54">
        <v>1655.1111111111111</v>
      </c>
      <c r="W54">
        <f>LOG(Table2[[#This Row],[generalist]])</f>
        <v>3.2188271541979425</v>
      </c>
      <c r="X54" s="14">
        <v>2</v>
      </c>
      <c r="Y54">
        <v>5715.5555555555547</v>
      </c>
      <c r="Z54">
        <f>LOG(Table2[[#This Row],[country divers.]])</f>
        <v>3.7570584504768405</v>
      </c>
      <c r="AA54">
        <v>703970000</v>
      </c>
      <c r="AB54">
        <f>LOG(Table2[[#This Row],[Firm Size]])</f>
        <v>8.8475541518806526</v>
      </c>
      <c r="AC54" s="80">
        <v>-0.20315959666756933</v>
      </c>
    </row>
    <row r="55" spans="1:29" x14ac:dyDescent="0.35">
      <c r="A55" t="s">
        <v>163</v>
      </c>
      <c r="B55">
        <v>1.1590189417928491</v>
      </c>
      <c r="C55">
        <f>IF(Table2[[#This Row],[Return]]=-1,-1,LOG(1+Table2[[#This Row],[Return]]))</f>
        <v>0.33425645256119951</v>
      </c>
      <c r="D55">
        <v>4.5999999999999996</v>
      </c>
      <c r="E55">
        <v>342.74</v>
      </c>
      <c r="F55">
        <f>IF(Table2[[#This Row],[Geo Distance]]=0,0,LOG(Table2[[#This Row],[Geo Distance]]))</f>
        <v>2.5349647923946659</v>
      </c>
      <c r="G55">
        <v>80</v>
      </c>
      <c r="H55">
        <f>IF(Table2[[#This Row],[Target age]]=0,0,LOG(Table2[[#This Row],[Target age]]))</f>
        <v>1.9030899869919435</v>
      </c>
      <c r="I55" s="45">
        <v>2.3199999999999998</v>
      </c>
      <c r="J55" s="9">
        <v>569.16666666666697</v>
      </c>
      <c r="K55" s="9">
        <f>IF(Table2[[#This Row],[Culture]]=0,0,LOG(Table2[[#This Row],[Culture]]))</f>
        <v>2.7552394576339081</v>
      </c>
      <c r="L55" s="24">
        <v>-0.19</v>
      </c>
      <c r="M55" s="9">
        <f>LOG(1+Table2[[#This Row],[S&amp;P]])</f>
        <v>-9.1514981121350217E-2</v>
      </c>
      <c r="N55">
        <v>22</v>
      </c>
      <c r="O55">
        <f>IF(Table2[[#This Row],[fund age]]=0,0,LOG(Table2[[#This Row],[fund age]]))</f>
        <v>1.3424226808222062</v>
      </c>
      <c r="P55">
        <f t="shared" si="0"/>
        <v>1</v>
      </c>
      <c r="Q55">
        <v>85</v>
      </c>
      <c r="R55">
        <v>80</v>
      </c>
      <c r="S55">
        <v>87.2</v>
      </c>
      <c r="T55" s="34">
        <v>42.5</v>
      </c>
      <c r="U55" s="42">
        <v>52.565521078007201</v>
      </c>
      <c r="V55">
        <v>1861.7599999999995</v>
      </c>
      <c r="W55">
        <f>LOG(Table2[[#This Row],[generalist]])</f>
        <v>3.2699236952309461</v>
      </c>
      <c r="X55" s="14">
        <v>2</v>
      </c>
      <c r="Y55">
        <v>4993.920000000001</v>
      </c>
      <c r="Z55">
        <f>LOG(Table2[[#This Row],[country divers.]])</f>
        <v>3.6984415808994222</v>
      </c>
      <c r="AA55">
        <v>1117760000</v>
      </c>
      <c r="AB55">
        <f>LOG(Table2[[#This Row],[Firm Size]])</f>
        <v>9.0483485639575534</v>
      </c>
      <c r="AC55" s="80">
        <v>-0.19447233820152809</v>
      </c>
    </row>
    <row r="56" spans="1:29" x14ac:dyDescent="0.35">
      <c r="A56" t="s">
        <v>163</v>
      </c>
      <c r="B56">
        <v>0.24212747125422363</v>
      </c>
      <c r="C56">
        <f>IF(Table2[[#This Row],[Return]]=-1,-1,LOG(1+Table2[[#This Row],[Return]]))</f>
        <v>9.4166166872442655E-2</v>
      </c>
      <c r="D56">
        <v>4.8767123287671232</v>
      </c>
      <c r="E56">
        <v>342.74</v>
      </c>
      <c r="F56">
        <f>IF(Table2[[#This Row],[Geo Distance]]=0,0,LOG(Table2[[#This Row],[Geo Distance]]))</f>
        <v>2.5349647923946659</v>
      </c>
      <c r="G56">
        <v>39</v>
      </c>
      <c r="H56">
        <f>IF(Table2[[#This Row],[Target age]]=0,0,LOG(Table2[[#This Row],[Target age]]))</f>
        <v>1.5910646070264991</v>
      </c>
      <c r="I56" s="45">
        <v>2.3199999999999998</v>
      </c>
      <c r="J56" s="9">
        <v>569.16666666666697</v>
      </c>
      <c r="K56" s="9">
        <f>IF(Table2[[#This Row],[Culture]]=0,0,LOG(Table2[[#This Row],[Culture]]))</f>
        <v>2.7552394576339081</v>
      </c>
      <c r="L56" s="24">
        <v>0.59</v>
      </c>
      <c r="M56" s="9">
        <f>LOG(1+Table2[[#This Row],[S&amp;P]])</f>
        <v>0.20139712432045145</v>
      </c>
      <c r="N56">
        <v>27</v>
      </c>
      <c r="O56">
        <f>IF(Table2[[#This Row],[fund age]]=0,0,LOG(Table2[[#This Row],[fund age]]))</f>
        <v>1.4313637641589874</v>
      </c>
      <c r="P56">
        <f t="shared" si="0"/>
        <v>1</v>
      </c>
      <c r="Q56">
        <v>85</v>
      </c>
      <c r="R56">
        <v>80</v>
      </c>
      <c r="S56">
        <v>85.6</v>
      </c>
      <c r="T56" s="34">
        <v>43.3</v>
      </c>
      <c r="U56" s="42">
        <v>56.2907330998475</v>
      </c>
      <c r="V56">
        <v>1801.108033240997</v>
      </c>
      <c r="W56">
        <f>LOG(Table2[[#This Row],[generalist]])</f>
        <v>3.25553976325445</v>
      </c>
      <c r="X56" s="14">
        <v>2</v>
      </c>
      <c r="Y56">
        <v>8416.6204986149605</v>
      </c>
      <c r="Z56">
        <f>LOG(Table2[[#This Row],[country divers.]])</f>
        <v>3.9251377454872847</v>
      </c>
      <c r="AA56">
        <v>1629390589</v>
      </c>
      <c r="AB56">
        <f>LOG(Table2[[#This Row],[Firm Size]])</f>
        <v>9.2120252035929049</v>
      </c>
      <c r="AC56" s="80">
        <v>0.1038716226094738</v>
      </c>
    </row>
    <row r="57" spans="1:29" x14ac:dyDescent="0.35">
      <c r="A57" t="s">
        <v>163</v>
      </c>
      <c r="B57">
        <v>0.74927113702623904</v>
      </c>
      <c r="C57">
        <f>IF(Table2[[#This Row],[Return]]=-1,-1,LOG(1+Table2[[#This Row],[Return]]))</f>
        <v>0.24285713034087314</v>
      </c>
      <c r="D57">
        <v>6.4273972602739722</v>
      </c>
      <c r="E57">
        <v>342.74</v>
      </c>
      <c r="F57">
        <f>IF(Table2[[#This Row],[Geo Distance]]=0,0,LOG(Table2[[#This Row],[Geo Distance]]))</f>
        <v>2.5349647923946659</v>
      </c>
      <c r="G57">
        <v>33</v>
      </c>
      <c r="H57">
        <f>IF(Table2[[#This Row],[Target age]]=0,0,LOG(Table2[[#This Row],[Target age]]))</f>
        <v>1.5185139398778875</v>
      </c>
      <c r="I57" s="45">
        <v>2.3199999999999998</v>
      </c>
      <c r="J57" s="9">
        <v>569.16666666666697</v>
      </c>
      <c r="K57" s="9">
        <f>IF(Table2[[#This Row],[Culture]]=0,0,LOG(Table2[[#This Row],[Culture]]))</f>
        <v>2.7552394576339081</v>
      </c>
      <c r="L57" s="24">
        <v>0.15</v>
      </c>
      <c r="M57" s="9">
        <f>LOG(1+Table2[[#This Row],[S&amp;P]])</f>
        <v>6.069784035361165E-2</v>
      </c>
      <c r="N57">
        <v>23</v>
      </c>
      <c r="O57">
        <f>IF(Table2[[#This Row],[fund age]]=0,0,LOG(Table2[[#This Row],[fund age]]))</f>
        <v>1.3617278360175928</v>
      </c>
      <c r="P57">
        <f t="shared" si="0"/>
        <v>1</v>
      </c>
      <c r="Q57">
        <v>85</v>
      </c>
      <c r="R57">
        <v>80</v>
      </c>
      <c r="S57">
        <v>87.2</v>
      </c>
      <c r="T57" s="34">
        <v>42.5</v>
      </c>
      <c r="U57" s="42">
        <v>52.565521078007201</v>
      </c>
      <c r="V57">
        <v>1801.108033240997</v>
      </c>
      <c r="W57">
        <f>LOG(Table2[[#This Row],[generalist]])</f>
        <v>3.25553976325445</v>
      </c>
      <c r="X57" s="14">
        <v>2</v>
      </c>
      <c r="Y57">
        <v>8416.6204986149605</v>
      </c>
      <c r="Z57">
        <f>LOG(Table2[[#This Row],[country divers.]])</f>
        <v>3.9251377454872847</v>
      </c>
      <c r="AA57">
        <v>343000000</v>
      </c>
      <c r="AB57">
        <f>LOG(Table2[[#This Row],[Firm Size]])</f>
        <v>8.5352941200427708</v>
      </c>
      <c r="AC57" s="80">
        <v>4.8783016531537493E-2</v>
      </c>
    </row>
    <row r="58" spans="1:29" x14ac:dyDescent="0.35">
      <c r="A58" t="s">
        <v>163</v>
      </c>
      <c r="B58">
        <v>0.69867057836892754</v>
      </c>
      <c r="C58">
        <f>IF(Table2[[#This Row],[Return]]=-1,-1,LOG(1+Table2[[#This Row],[Return]]))</f>
        <v>0.23010916470304998</v>
      </c>
      <c r="D58">
        <v>4.0767123287671234</v>
      </c>
      <c r="E58">
        <v>342.74</v>
      </c>
      <c r="F58">
        <f>IF(Table2[[#This Row],[Geo Distance]]=0,0,LOG(Table2[[#This Row],[Geo Distance]]))</f>
        <v>2.5349647923946659</v>
      </c>
      <c r="G58">
        <v>40</v>
      </c>
      <c r="H58">
        <f>IF(Table2[[#This Row],[Target age]]=0,0,LOG(Table2[[#This Row],[Target age]]))</f>
        <v>1.6020599913279623</v>
      </c>
      <c r="I58" s="45">
        <v>2.3199999999999998</v>
      </c>
      <c r="J58" s="9">
        <v>569.16666666666697</v>
      </c>
      <c r="K58" s="9">
        <f>IF(Table2[[#This Row],[Culture]]=0,0,LOG(Table2[[#This Row],[Culture]]))</f>
        <v>2.7552394576339081</v>
      </c>
      <c r="L58" s="24">
        <v>-0.11</v>
      </c>
      <c r="M58" s="9">
        <f>LOG(1+Table2[[#This Row],[S&amp;P]])</f>
        <v>-5.0609993355087209E-2</v>
      </c>
      <c r="N58">
        <v>4</v>
      </c>
      <c r="O58">
        <f>IF(Table2[[#This Row],[fund age]]=0,0,LOG(Table2[[#This Row],[fund age]]))</f>
        <v>0.6020599913279624</v>
      </c>
      <c r="P58">
        <f t="shared" si="0"/>
        <v>1</v>
      </c>
      <c r="Q58">
        <v>85</v>
      </c>
      <c r="R58">
        <v>80</v>
      </c>
      <c r="S58">
        <v>70</v>
      </c>
      <c r="T58" s="34">
        <v>43.4</v>
      </c>
      <c r="U58" s="42">
        <v>51.652289181886701</v>
      </c>
      <c r="V58">
        <v>1801.108033240997</v>
      </c>
      <c r="W58">
        <f>LOG(Table2[[#This Row],[generalist]])</f>
        <v>3.25553976325445</v>
      </c>
      <c r="X58" s="14">
        <v>2</v>
      </c>
      <c r="Y58">
        <v>8416.6204986149605</v>
      </c>
      <c r="Z58">
        <f>LOG(Table2[[#This Row],[country divers.]])</f>
        <v>3.9251377454872847</v>
      </c>
      <c r="AA58">
        <v>266804219</v>
      </c>
      <c r="AB58">
        <f>LOG(Table2[[#This Row],[Firm Size]])</f>
        <v>8.4261926928379598</v>
      </c>
      <c r="AC58" s="80">
        <v>-0.18482112917754279</v>
      </c>
    </row>
    <row r="59" spans="1:29" x14ac:dyDescent="0.35">
      <c r="A59" t="s">
        <v>163</v>
      </c>
      <c r="B59">
        <v>1.2727272727272729</v>
      </c>
      <c r="C59">
        <f>IF(Table2[[#This Row],[Return]]=-1,-1,LOG(1+Table2[[#This Row],[Return]]))</f>
        <v>0.35654732351381263</v>
      </c>
      <c r="D59">
        <v>5.043835616438356</v>
      </c>
      <c r="E59">
        <v>342.74</v>
      </c>
      <c r="F59">
        <f>IF(Table2[[#This Row],[Geo Distance]]=0,0,LOG(Table2[[#This Row],[Geo Distance]]))</f>
        <v>2.5349647923946659</v>
      </c>
      <c r="G59">
        <v>4</v>
      </c>
      <c r="H59">
        <f>IF(Table2[[#This Row],[Target age]]=0,0,LOG(Table2[[#This Row],[Target age]]))</f>
        <v>0.6020599913279624</v>
      </c>
      <c r="I59" s="45">
        <v>2.3199999999999998</v>
      </c>
      <c r="J59" s="9">
        <v>569.16666666666697</v>
      </c>
      <c r="K59" s="9">
        <f>IF(Table2[[#This Row],[Culture]]=0,0,LOG(Table2[[#This Row],[Culture]]))</f>
        <v>2.7552394576339081</v>
      </c>
      <c r="L59" s="24">
        <v>-0.19</v>
      </c>
      <c r="M59" s="9">
        <f>LOG(1+Table2[[#This Row],[S&amp;P]])</f>
        <v>-9.1514981121350217E-2</v>
      </c>
      <c r="N59">
        <v>15</v>
      </c>
      <c r="O59">
        <f>IF(Table2[[#This Row],[fund age]]=0,0,LOG(Table2[[#This Row],[fund age]]))</f>
        <v>1.1760912590556813</v>
      </c>
      <c r="P59">
        <f t="shared" si="0"/>
        <v>1</v>
      </c>
      <c r="Q59">
        <v>85</v>
      </c>
      <c r="R59">
        <v>80</v>
      </c>
      <c r="S59">
        <v>85</v>
      </c>
      <c r="T59" s="34">
        <v>44.2</v>
      </c>
      <c r="U59" s="42">
        <v>52.629944775121203</v>
      </c>
      <c r="V59">
        <v>1801.108033240997</v>
      </c>
      <c r="W59">
        <f>LOG(Table2[[#This Row],[generalist]])</f>
        <v>3.25553976325445</v>
      </c>
      <c r="X59" s="14">
        <v>2</v>
      </c>
      <c r="Y59">
        <v>8416.6204986149605</v>
      </c>
      <c r="Z59">
        <f>LOG(Table2[[#This Row],[country divers.]])</f>
        <v>3.9251377454872847</v>
      </c>
      <c r="AA59">
        <v>44000000</v>
      </c>
      <c r="AB59">
        <f>LOG(Table2[[#This Row],[Firm Size]])</f>
        <v>7.6434526764861879</v>
      </c>
      <c r="AC59" s="80">
        <v>-0.26876929368618241</v>
      </c>
    </row>
    <row r="60" spans="1:29" x14ac:dyDescent="0.35">
      <c r="A60" t="s">
        <v>163</v>
      </c>
      <c r="B60">
        <v>1.7999999999999998</v>
      </c>
      <c r="C60">
        <f>IF(Table2[[#This Row],[Return]]=-1,-1,LOG(1+Table2[[#This Row],[Return]]))</f>
        <v>0.44715803134221921</v>
      </c>
      <c r="D60">
        <v>7.0547945205479454</v>
      </c>
      <c r="E60">
        <v>342.74</v>
      </c>
      <c r="F60">
        <f>IF(Table2[[#This Row],[Geo Distance]]=0,0,LOG(Table2[[#This Row],[Geo Distance]]))</f>
        <v>2.5349647923946659</v>
      </c>
      <c r="G60">
        <v>15</v>
      </c>
      <c r="H60">
        <f>IF(Table2[[#This Row],[Target age]]=0,0,LOG(Table2[[#This Row],[Target age]]))</f>
        <v>1.1760912590556813</v>
      </c>
      <c r="I60" s="45">
        <v>2.3199999999999998</v>
      </c>
      <c r="J60" s="9">
        <v>569.16666666666697</v>
      </c>
      <c r="K60" s="9">
        <f>IF(Table2[[#This Row],[Culture]]=0,0,LOG(Table2[[#This Row],[Culture]]))</f>
        <v>2.7552394576339081</v>
      </c>
      <c r="L60" s="24">
        <v>0.04</v>
      </c>
      <c r="M60" s="9">
        <f>LOG(1+Table2[[#This Row],[S&amp;P]])</f>
        <v>1.703333929878037E-2</v>
      </c>
      <c r="N60">
        <v>14</v>
      </c>
      <c r="O60">
        <f>IF(Table2[[#This Row],[fund age]]=0,0,LOG(Table2[[#This Row],[fund age]]))</f>
        <v>1.146128035678238</v>
      </c>
      <c r="P60">
        <f t="shared" si="0"/>
        <v>1</v>
      </c>
      <c r="Q60">
        <v>85</v>
      </c>
      <c r="R60">
        <v>80</v>
      </c>
      <c r="S60">
        <v>85</v>
      </c>
      <c r="T60" s="34">
        <v>43.5</v>
      </c>
      <c r="U60" s="42">
        <v>52.924485315438503</v>
      </c>
      <c r="V60">
        <v>1801.108033240997</v>
      </c>
      <c r="W60">
        <f>LOG(Table2[[#This Row],[generalist]])</f>
        <v>3.25553976325445</v>
      </c>
      <c r="X60" s="14">
        <v>2</v>
      </c>
      <c r="Y60">
        <v>8416.6204986149605</v>
      </c>
      <c r="Z60">
        <f>LOG(Table2[[#This Row],[country divers.]])</f>
        <v>3.9251377454872847</v>
      </c>
      <c r="AA60">
        <v>25000000</v>
      </c>
      <c r="AB60">
        <f>LOG(Table2[[#This Row],[Firm Size]])</f>
        <v>7.3979400086720375</v>
      </c>
      <c r="AC60" s="80">
        <v>4.4431881610396351E-2</v>
      </c>
    </row>
    <row r="61" spans="1:29" x14ac:dyDescent="0.35">
      <c r="A61" t="s">
        <v>163</v>
      </c>
      <c r="B61">
        <v>7.1067961165048548</v>
      </c>
      <c r="C61">
        <f>IF(Table2[[#This Row],[Return]]=-1,-1,LOG(1+Table2[[#This Row],[Return]]))</f>
        <v>0.90884925077842993</v>
      </c>
      <c r="D61">
        <v>1.6575342465753424</v>
      </c>
      <c r="E61">
        <v>488.05</v>
      </c>
      <c r="F61">
        <f>IF(Table2[[#This Row],[Geo Distance]]=0,0,LOG(Table2[[#This Row],[Geo Distance]]))</f>
        <v>2.6884643171087279</v>
      </c>
      <c r="G61">
        <v>6</v>
      </c>
      <c r="H61">
        <f>IF(Table2[[#This Row],[Target age]]=0,0,LOG(Table2[[#This Row],[Target age]]))</f>
        <v>0.77815125038364363</v>
      </c>
      <c r="I61" s="45">
        <v>3.03</v>
      </c>
      <c r="J61" s="9">
        <v>995</v>
      </c>
      <c r="K61" s="9">
        <f>IF(Table2[[#This Row],[Culture]]=0,0,LOG(Table2[[#This Row],[Culture]]))</f>
        <v>2.9978230807457256</v>
      </c>
      <c r="L61" s="24">
        <v>-0.44</v>
      </c>
      <c r="M61" s="9">
        <f>LOG(1+Table2[[#This Row],[S&amp;P]])</f>
        <v>-0.25181197299379954</v>
      </c>
      <c r="N61">
        <v>11</v>
      </c>
      <c r="O61">
        <f>IF(Table2[[#This Row],[fund age]]=0,0,LOG(Table2[[#This Row],[fund age]]))</f>
        <v>1.0413926851582251</v>
      </c>
      <c r="P61">
        <f t="shared" si="0"/>
        <v>1</v>
      </c>
      <c r="Q61">
        <v>85</v>
      </c>
      <c r="R61">
        <v>80</v>
      </c>
      <c r="S61">
        <v>87.2</v>
      </c>
      <c r="T61" s="34">
        <v>42.5</v>
      </c>
      <c r="U61" s="42">
        <v>52.565521078007201</v>
      </c>
      <c r="V61">
        <v>1423.0371900826444</v>
      </c>
      <c r="W61">
        <f>LOG(Table2[[#This Row],[generalist]])</f>
        <v>3.1532162502154288</v>
      </c>
      <c r="X61" s="14">
        <v>5</v>
      </c>
      <c r="Y61">
        <v>3292.8719008264461</v>
      </c>
      <c r="Z61">
        <f>LOG(Table2[[#This Row],[country divers.]])</f>
        <v>3.5175748361336181</v>
      </c>
      <c r="AA61">
        <v>7210000</v>
      </c>
      <c r="AB61">
        <f>LOG(Table2[[#This Row],[Firm Size]])</f>
        <v>6.8579352647194289</v>
      </c>
      <c r="AC61" s="80">
        <v>-0.36035091912496975</v>
      </c>
    </row>
    <row r="62" spans="1:29" x14ac:dyDescent="0.35">
      <c r="A62" t="s">
        <v>163</v>
      </c>
      <c r="B62">
        <v>1.3251028806584362</v>
      </c>
      <c r="C62">
        <f>IF(Table2[[#This Row],[Return]]=-1,-1,LOG(1+Table2[[#This Row],[Return]]))</f>
        <v>0.36644217422112635</v>
      </c>
      <c r="D62">
        <v>3.0657534246575344</v>
      </c>
      <c r="E62">
        <v>6164.6</v>
      </c>
      <c r="F62">
        <f>IF(Table2[[#This Row],[Geo Distance]]=0,0,LOG(Table2[[#This Row],[Geo Distance]]))</f>
        <v>3.7899049019490061</v>
      </c>
      <c r="G62">
        <v>59</v>
      </c>
      <c r="H62">
        <f>IF(Table2[[#This Row],[Target age]]=0,0,LOG(Table2[[#This Row],[Target age]]))</f>
        <v>1.7708520116421442</v>
      </c>
      <c r="I62" s="45">
        <v>3.18</v>
      </c>
      <c r="J62" s="9">
        <v>583.83333333333303</v>
      </c>
      <c r="K62" s="9">
        <f>IF(Table2[[#This Row],[Culture]]=0,0,LOG(Table2[[#This Row],[Culture]]))</f>
        <v>2.7662888869340487</v>
      </c>
      <c r="L62" s="24">
        <v>0.4</v>
      </c>
      <c r="M62" s="9">
        <f>LOG(1+Table2[[#This Row],[S&amp;P]])</f>
        <v>0.14612803567823801</v>
      </c>
      <c r="N62">
        <v>6</v>
      </c>
      <c r="O62">
        <f>IF(Table2[[#This Row],[fund age]]=0,0,LOG(Table2[[#This Row],[fund age]]))</f>
        <v>0.77815125038364363</v>
      </c>
      <c r="P62">
        <f t="shared" si="0"/>
        <v>1</v>
      </c>
      <c r="Q62">
        <v>85</v>
      </c>
      <c r="R62">
        <v>80</v>
      </c>
      <c r="S62">
        <v>70</v>
      </c>
      <c r="T62" s="34">
        <v>42.4</v>
      </c>
      <c r="U62" s="42">
        <v>52.984855215816303</v>
      </c>
      <c r="V62">
        <v>5644.4444444444434</v>
      </c>
      <c r="W62">
        <f>LOG(Table2[[#This Row],[generalist]])</f>
        <v>3.7516212028445941</v>
      </c>
      <c r="X62" s="14">
        <v>1</v>
      </c>
      <c r="Y62">
        <v>4755.5555555555557</v>
      </c>
      <c r="Z62">
        <f>LOG(Table2[[#This Row],[country divers.]])</f>
        <v>3.677201259573847</v>
      </c>
      <c r="AA62">
        <v>243000000</v>
      </c>
      <c r="AB62">
        <f>LOG(Table2[[#This Row],[Firm Size]])</f>
        <v>8.385606273598313</v>
      </c>
      <c r="AC62" s="80">
        <v>0.56814410147384664</v>
      </c>
    </row>
    <row r="63" spans="1:29" x14ac:dyDescent="0.35">
      <c r="A63" t="s">
        <v>163</v>
      </c>
      <c r="B63">
        <v>4.1948051948051948</v>
      </c>
      <c r="C63">
        <f>IF(Table2[[#This Row],[Return]]=-1,-1,LOG(1+Table2[[#This Row],[Return]]))</f>
        <v>0.71556926615548055</v>
      </c>
      <c r="D63">
        <v>2.6876712328767125</v>
      </c>
      <c r="E63">
        <v>342.74</v>
      </c>
      <c r="F63">
        <f>IF(Table2[[#This Row],[Geo Distance]]=0,0,LOG(Table2[[#This Row],[Geo Distance]]))</f>
        <v>2.5349647923946659</v>
      </c>
      <c r="G63">
        <v>0</v>
      </c>
      <c r="H63">
        <f>IF(Table2[[#This Row],[Target age]]=0,0,LOG(Table2[[#This Row],[Target age]]))</f>
        <v>0</v>
      </c>
      <c r="I63" s="45">
        <v>2.3199999999999998</v>
      </c>
      <c r="J63" s="9">
        <v>569.16666666666697</v>
      </c>
      <c r="K63" s="9">
        <f>IF(Table2[[#This Row],[Culture]]=0,0,LOG(Table2[[#This Row],[Culture]]))</f>
        <v>2.7552394576339081</v>
      </c>
      <c r="L63" s="24">
        <v>-0.16</v>
      </c>
      <c r="M63" s="9">
        <f>LOG(1+Table2[[#This Row],[S&amp;P]])</f>
        <v>-7.5720713938118356E-2</v>
      </c>
      <c r="N63">
        <v>14</v>
      </c>
      <c r="O63">
        <f>IF(Table2[[#This Row],[fund age]]=0,0,LOG(Table2[[#This Row],[fund age]]))</f>
        <v>1.146128035678238</v>
      </c>
      <c r="P63">
        <f t="shared" si="0"/>
        <v>1</v>
      </c>
      <c r="Q63">
        <v>85</v>
      </c>
      <c r="R63">
        <v>80</v>
      </c>
      <c r="S63">
        <v>85</v>
      </c>
      <c r="T63" s="34">
        <v>44.2</v>
      </c>
      <c r="U63" s="42">
        <v>52.629944775121203</v>
      </c>
      <c r="V63">
        <v>2417.5229853975125</v>
      </c>
      <c r="W63">
        <f>LOG(Table2[[#This Row],[generalist]])</f>
        <v>3.3833706119727633</v>
      </c>
      <c r="X63" s="14">
        <v>1</v>
      </c>
      <c r="Y63">
        <v>9545.7003785830148</v>
      </c>
      <c r="Z63">
        <f>LOG(Table2[[#This Row],[country divers.]])</f>
        <v>3.9798077985646683</v>
      </c>
      <c r="AA63">
        <v>77000000</v>
      </c>
      <c r="AB63">
        <f>LOG(Table2[[#This Row],[Firm Size]])</f>
        <v>7.8864907251724823</v>
      </c>
      <c r="AC63" s="80">
        <v>-0.13802076462362467</v>
      </c>
    </row>
    <row r="64" spans="1:29" x14ac:dyDescent="0.35">
      <c r="A64" t="s">
        <v>163</v>
      </c>
      <c r="B64">
        <v>0.50384615384615383</v>
      </c>
      <c r="C64">
        <f>IF(Table2[[#This Row],[Return]]=-1,-1,LOG(1+Table2[[#This Row],[Return]]))</f>
        <v>0.17720340942504884</v>
      </c>
      <c r="D64">
        <v>7.375342465753425</v>
      </c>
      <c r="E64">
        <v>342.74</v>
      </c>
      <c r="F64">
        <f>IF(Table2[[#This Row],[Geo Distance]]=0,0,LOG(Table2[[#This Row],[Geo Distance]]))</f>
        <v>2.5349647923946659</v>
      </c>
      <c r="G64">
        <v>17</v>
      </c>
      <c r="H64">
        <f>IF(Table2[[#This Row],[Target age]]=0,0,LOG(Table2[[#This Row],[Target age]]))</f>
        <v>1.2304489213782739</v>
      </c>
      <c r="I64" s="45">
        <v>2.3199999999999998</v>
      </c>
      <c r="J64" s="9">
        <v>569.16666666666697</v>
      </c>
      <c r="K64" s="9">
        <f>IF(Table2[[#This Row],[Culture]]=0,0,LOG(Table2[[#This Row],[Culture]]))</f>
        <v>2.7552394576339081</v>
      </c>
      <c r="L64" s="24">
        <v>0.05</v>
      </c>
      <c r="M64" s="9">
        <f>LOG(1+Table2[[#This Row],[S&amp;P]])</f>
        <v>2.1189299069938092E-2</v>
      </c>
      <c r="N64">
        <v>13</v>
      </c>
      <c r="O64">
        <f>IF(Table2[[#This Row],[fund age]]=0,0,LOG(Table2[[#This Row],[fund age]]))</f>
        <v>1.1139433523068367</v>
      </c>
      <c r="P64">
        <f t="shared" si="0"/>
        <v>1</v>
      </c>
      <c r="Q64">
        <v>85</v>
      </c>
      <c r="R64">
        <v>80</v>
      </c>
      <c r="S64">
        <v>85</v>
      </c>
      <c r="T64" s="34">
        <v>43.5</v>
      </c>
      <c r="U64" s="42">
        <v>52.924485315438503</v>
      </c>
      <c r="V64">
        <v>2417.5229853975125</v>
      </c>
      <c r="W64">
        <f>LOG(Table2[[#This Row],[generalist]])</f>
        <v>3.3833706119727633</v>
      </c>
      <c r="X64" s="14">
        <v>1</v>
      </c>
      <c r="Y64">
        <v>9545.7003785830148</v>
      </c>
      <c r="Z64">
        <f>LOG(Table2[[#This Row],[country divers.]])</f>
        <v>3.9798077985646683</v>
      </c>
      <c r="AA64">
        <v>78000000</v>
      </c>
      <c r="AB64">
        <f>LOG(Table2[[#This Row],[Firm Size]])</f>
        <v>7.8920946026904808</v>
      </c>
      <c r="AC64" s="80">
        <v>9.318775339422003E-2</v>
      </c>
    </row>
    <row r="65" spans="1:29" x14ac:dyDescent="0.35">
      <c r="A65" t="s">
        <v>163</v>
      </c>
      <c r="B65">
        <v>9.0103210842936878</v>
      </c>
      <c r="C65">
        <f>IF(Table2[[#This Row],[Return]]=-1,-1,LOG(1+Table2[[#This Row],[Return]]))</f>
        <v>1.0004480078390166</v>
      </c>
      <c r="D65">
        <v>8.1863013698630134</v>
      </c>
      <c r="E65">
        <v>342.74</v>
      </c>
      <c r="F65">
        <f>IF(Table2[[#This Row],[Geo Distance]]=0,0,LOG(Table2[[#This Row],[Geo Distance]]))</f>
        <v>2.5349647923946659</v>
      </c>
      <c r="G65">
        <v>9</v>
      </c>
      <c r="H65">
        <f>IF(Table2[[#This Row],[Target age]]=0,0,LOG(Table2[[#This Row],[Target age]]))</f>
        <v>0.95424250943932487</v>
      </c>
      <c r="I65" s="45">
        <v>2.3199999999999998</v>
      </c>
      <c r="J65" s="9">
        <v>569.16666666666697</v>
      </c>
      <c r="K65" s="9">
        <f>IF(Table2[[#This Row],[Culture]]=0,0,LOG(Table2[[#This Row],[Culture]]))</f>
        <v>2.7552394576339081</v>
      </c>
      <c r="L65" s="24">
        <v>0.31</v>
      </c>
      <c r="M65" s="9">
        <f>LOG(1+Table2[[#This Row],[S&amp;P]])</f>
        <v>0.11727129565576427</v>
      </c>
      <c r="N65">
        <v>16</v>
      </c>
      <c r="O65">
        <f>IF(Table2[[#This Row],[fund age]]=0,0,LOG(Table2[[#This Row],[fund age]]))</f>
        <v>1.2041199826559248</v>
      </c>
      <c r="P65">
        <f t="shared" si="0"/>
        <v>1</v>
      </c>
      <c r="Q65">
        <v>85</v>
      </c>
      <c r="R65">
        <v>80</v>
      </c>
      <c r="S65">
        <v>70</v>
      </c>
      <c r="T65" s="34">
        <v>42.4</v>
      </c>
      <c r="U65" s="42">
        <v>52.984855215816303</v>
      </c>
      <c r="V65" s="35">
        <v>3425.6694367497698</v>
      </c>
      <c r="W65" s="35">
        <f>LOG(Table2[[#This Row],[generalist]])</f>
        <v>3.5347454529897258</v>
      </c>
      <c r="X65" s="14">
        <v>2</v>
      </c>
      <c r="Y65" s="35">
        <v>9322.8685749461365</v>
      </c>
      <c r="Z65" s="35">
        <f>LOG(Table2[[#This Row],[country divers.]])</f>
        <v>3.9695495619878729</v>
      </c>
      <c r="AA65">
        <v>68985000</v>
      </c>
      <c r="AB65">
        <f>LOG(Table2[[#This Row],[Firm Size]])</f>
        <v>7.8387546686297185</v>
      </c>
      <c r="AC65" s="80">
        <v>0.41076607356290729</v>
      </c>
    </row>
    <row r="66" spans="1:29" x14ac:dyDescent="0.35">
      <c r="A66" t="s">
        <v>163</v>
      </c>
      <c r="B66">
        <v>0.90310497141867319</v>
      </c>
      <c r="C66">
        <f>IF(Table2[[#This Row],[Return]]=-1,-1,LOG(1+Table2[[#This Row],[Return]]))</f>
        <v>0.27946274375238006</v>
      </c>
      <c r="D66">
        <v>1.9534246575342467</v>
      </c>
      <c r="E66">
        <v>342.74</v>
      </c>
      <c r="F66">
        <f>IF(Table2[[#This Row],[Geo Distance]]=0,0,LOG(Table2[[#This Row],[Geo Distance]]))</f>
        <v>2.5349647923946659</v>
      </c>
      <c r="G66">
        <v>13</v>
      </c>
      <c r="H66">
        <f>IF(Table2[[#This Row],[Target age]]=0,0,LOG(Table2[[#This Row],[Target age]]))</f>
        <v>1.1139433523068367</v>
      </c>
      <c r="I66" s="45">
        <v>2.3199999999999998</v>
      </c>
      <c r="J66" s="9">
        <v>569.16666666666697</v>
      </c>
      <c r="K66" s="9">
        <f>IF(Table2[[#This Row],[Culture]]=0,0,LOG(Table2[[#This Row],[Culture]]))</f>
        <v>2.7552394576339081</v>
      </c>
      <c r="L66" s="24">
        <v>0.24</v>
      </c>
      <c r="M66" s="9">
        <f>LOG(1+Table2[[#This Row],[S&amp;P]])</f>
        <v>9.3421685162235063E-2</v>
      </c>
      <c r="N66">
        <v>15</v>
      </c>
      <c r="O66">
        <f>IF(Table2[[#This Row],[fund age]]=0,0,LOG(Table2[[#This Row],[fund age]]))</f>
        <v>1.1760912590556813</v>
      </c>
      <c r="P66">
        <f t="shared" ref="P66:P129" si="1">IF(E66=0,0,1)</f>
        <v>1</v>
      </c>
      <c r="Q66">
        <v>85</v>
      </c>
      <c r="R66">
        <v>80</v>
      </c>
      <c r="S66">
        <v>70</v>
      </c>
      <c r="T66" s="34">
        <v>42.2</v>
      </c>
      <c r="U66" s="42">
        <v>53.270504198897903</v>
      </c>
      <c r="V66" s="35">
        <v>3425.6694367497698</v>
      </c>
      <c r="W66" s="35">
        <f>LOG(Table2[[#This Row],[generalist]])</f>
        <v>3.5347454529897258</v>
      </c>
      <c r="X66" s="14">
        <v>2</v>
      </c>
      <c r="Y66" s="35">
        <v>9322.8685749461365</v>
      </c>
      <c r="Z66" s="35">
        <f>LOG(Table2[[#This Row],[country divers.]])</f>
        <v>3.9695495619878729</v>
      </c>
      <c r="AA66">
        <v>138552000</v>
      </c>
      <c r="AB66">
        <f>LOG(Table2[[#This Row],[Firm Size]])</f>
        <v>8.1416127992102378</v>
      </c>
      <c r="AC66" s="80">
        <v>0.28217304131771548</v>
      </c>
    </row>
    <row r="67" spans="1:29" x14ac:dyDescent="0.35">
      <c r="A67" t="s">
        <v>163</v>
      </c>
      <c r="B67">
        <v>3.2842930935527068</v>
      </c>
      <c r="C67">
        <f>IF(Table2[[#This Row],[Return]]=-1,-1,LOG(1+Table2[[#This Row],[Return]]))</f>
        <v>0.63187917377478775</v>
      </c>
      <c r="D67">
        <v>6.021917808219178</v>
      </c>
      <c r="E67">
        <v>342.74</v>
      </c>
      <c r="F67">
        <f>IF(Table2[[#This Row],[Geo Distance]]=0,0,LOG(Table2[[#This Row],[Geo Distance]]))</f>
        <v>2.5349647923946659</v>
      </c>
      <c r="G67">
        <v>245</v>
      </c>
      <c r="H67">
        <f>IF(Table2[[#This Row],[Target age]]=0,0,LOG(Table2[[#This Row],[Target age]]))</f>
        <v>2.3891660843645326</v>
      </c>
      <c r="I67" s="45">
        <v>2.3199999999999998</v>
      </c>
      <c r="J67" s="9">
        <v>569.16666666666697</v>
      </c>
      <c r="K67" s="9">
        <f>IF(Table2[[#This Row],[Culture]]=0,0,LOG(Table2[[#This Row],[Culture]]))</f>
        <v>2.7552394576339081</v>
      </c>
      <c r="L67" s="24">
        <v>-0.15</v>
      </c>
      <c r="M67" s="9">
        <f>LOG(1+Table2[[#This Row],[S&amp;P]])</f>
        <v>-7.0581074285707285E-2</v>
      </c>
      <c r="N67">
        <v>12</v>
      </c>
      <c r="O67">
        <f>IF(Table2[[#This Row],[fund age]]=0,0,LOG(Table2[[#This Row],[fund age]]))</f>
        <v>1.0791812460476249</v>
      </c>
      <c r="P67">
        <f t="shared" si="1"/>
        <v>1</v>
      </c>
      <c r="Q67">
        <v>85</v>
      </c>
      <c r="R67">
        <v>80</v>
      </c>
      <c r="S67">
        <v>70</v>
      </c>
      <c r="T67" s="34">
        <v>43.4</v>
      </c>
      <c r="U67" s="42">
        <v>51.652289181886701</v>
      </c>
      <c r="V67" s="35">
        <v>3425.6694367497698</v>
      </c>
      <c r="W67" s="35">
        <f>LOG(Table2[[#This Row],[generalist]])</f>
        <v>3.5347454529897258</v>
      </c>
      <c r="X67" s="14">
        <v>2</v>
      </c>
      <c r="Y67" s="35">
        <v>9322.8685749461365</v>
      </c>
      <c r="Z67" s="35">
        <f>LOG(Table2[[#This Row],[country divers.]])</f>
        <v>3.9695495619878729</v>
      </c>
      <c r="AA67">
        <v>120910000</v>
      </c>
      <c r="AB67">
        <f>LOG(Table2[[#This Row],[Firm Size]])</f>
        <v>8.0824622211686297</v>
      </c>
      <c r="AC67" s="80">
        <v>-1.151050973310519E-2</v>
      </c>
    </row>
    <row r="68" spans="1:29" x14ac:dyDescent="0.35">
      <c r="A68" t="s">
        <v>163</v>
      </c>
      <c r="B68">
        <v>6.7692307692307692</v>
      </c>
      <c r="C68">
        <f>IF(Table2[[#This Row],[Return]]=-1,-1,LOG(1+Table2[[#This Row],[Return]]))</f>
        <v>0.8903780214758058</v>
      </c>
      <c r="D68">
        <v>3.5616438356164384</v>
      </c>
      <c r="E68">
        <v>342.74</v>
      </c>
      <c r="F68">
        <f>IF(Table2[[#This Row],[Geo Distance]]=0,0,LOG(Table2[[#This Row],[Geo Distance]]))</f>
        <v>2.5349647923946659</v>
      </c>
      <c r="G68">
        <v>7</v>
      </c>
      <c r="H68">
        <f>IF(Table2[[#This Row],[Target age]]=0,0,LOG(Table2[[#This Row],[Target age]]))</f>
        <v>0.84509804001425681</v>
      </c>
      <c r="I68" s="45">
        <v>2.3199999999999998</v>
      </c>
      <c r="J68" s="9">
        <v>569.16666666666697</v>
      </c>
      <c r="K68" s="9">
        <f>IF(Table2[[#This Row],[Culture]]=0,0,LOG(Table2[[#This Row],[Culture]]))</f>
        <v>2.7552394576339081</v>
      </c>
      <c r="L68" s="24">
        <v>0.28000000000000003</v>
      </c>
      <c r="M68" s="9">
        <f>LOG(1+Table2[[#This Row],[S&amp;P]])</f>
        <v>0.10720996964786837</v>
      </c>
      <c r="N68">
        <v>9</v>
      </c>
      <c r="O68">
        <f>IF(Table2[[#This Row],[fund age]]=0,0,LOG(Table2[[#This Row],[fund age]]))</f>
        <v>0.95424250943932487</v>
      </c>
      <c r="P68">
        <f t="shared" si="1"/>
        <v>1</v>
      </c>
      <c r="Q68">
        <v>85</v>
      </c>
      <c r="R68">
        <v>80</v>
      </c>
      <c r="S68">
        <v>85</v>
      </c>
      <c r="T68" s="34">
        <v>43.7</v>
      </c>
      <c r="U68" s="42">
        <v>54.530673116863902</v>
      </c>
      <c r="V68" s="35">
        <v>3425.6694367497698</v>
      </c>
      <c r="W68" s="35">
        <f>LOG(Table2[[#This Row],[generalist]])</f>
        <v>3.5347454529897258</v>
      </c>
      <c r="X68" s="14">
        <v>2</v>
      </c>
      <c r="Y68" s="35">
        <v>9322.8685749461365</v>
      </c>
      <c r="Z68" s="35">
        <f>LOG(Table2[[#This Row],[country divers.]])</f>
        <v>3.9695495619878729</v>
      </c>
      <c r="AA68">
        <v>13000000</v>
      </c>
      <c r="AB68">
        <f>LOG(Table2[[#This Row],[Firm Size]])</f>
        <v>7.1139433523068369</v>
      </c>
      <c r="AC68" s="80">
        <v>0.19465443226325063</v>
      </c>
    </row>
    <row r="69" spans="1:29" x14ac:dyDescent="0.35">
      <c r="A69" t="s">
        <v>163</v>
      </c>
      <c r="B69">
        <v>0.19999999999999996</v>
      </c>
      <c r="C69">
        <f>IF(Table2[[#This Row],[Return]]=-1,-1,LOG(1+Table2[[#This Row],[Return]]))</f>
        <v>7.9181246047624818E-2</v>
      </c>
      <c r="D69">
        <v>8.0493150684931507</v>
      </c>
      <c r="E69">
        <v>6164.6</v>
      </c>
      <c r="F69">
        <f>IF(Table2[[#This Row],[Geo Distance]]=0,0,LOG(Table2[[#This Row],[Geo Distance]]))</f>
        <v>3.7899049019490061</v>
      </c>
      <c r="G69">
        <v>0</v>
      </c>
      <c r="H69">
        <f>IF(Table2[[#This Row],[Target age]]=0,0,LOG(Table2[[#This Row],[Target age]]))</f>
        <v>0</v>
      </c>
      <c r="I69" s="45">
        <v>3.18</v>
      </c>
      <c r="J69" s="9">
        <v>583.83333333333303</v>
      </c>
      <c r="K69" s="9">
        <f>IF(Table2[[#This Row],[Culture]]=0,0,LOG(Table2[[#This Row],[Culture]]))</f>
        <v>2.7662888869340487</v>
      </c>
      <c r="L69" s="24">
        <v>0.41</v>
      </c>
      <c r="M69" s="9">
        <f>LOG(1+Table2[[#This Row],[S&amp;P]])</f>
        <v>0.14921911265537988</v>
      </c>
      <c r="N69">
        <v>19</v>
      </c>
      <c r="O69">
        <f>IF(Table2[[#This Row],[fund age]]=0,0,LOG(Table2[[#This Row],[fund age]]))</f>
        <v>1.2787536009528289</v>
      </c>
      <c r="P69">
        <f t="shared" si="1"/>
        <v>1</v>
      </c>
      <c r="Q69">
        <v>85</v>
      </c>
      <c r="R69">
        <v>80</v>
      </c>
      <c r="S69">
        <v>70</v>
      </c>
      <c r="T69" s="34">
        <v>42.2</v>
      </c>
      <c r="U69" s="42">
        <v>53.270504198897903</v>
      </c>
      <c r="V69">
        <v>1618.5219999999999</v>
      </c>
      <c r="W69">
        <f>LOG(Table2[[#This Row],[generalist]])</f>
        <v>3.20911860699078</v>
      </c>
      <c r="X69" s="14">
        <v>2</v>
      </c>
      <c r="Y69">
        <v>3845.9059999999999</v>
      </c>
      <c r="Z69">
        <f>LOG(Table2[[#This Row],[country divers.]])</f>
        <v>3.5849986651910224</v>
      </c>
      <c r="AA69">
        <v>200000000</v>
      </c>
      <c r="AB69">
        <f>LOG(Table2[[#This Row],[Firm Size]])</f>
        <v>8.3010299956639813</v>
      </c>
      <c r="AC69" s="80">
        <v>0.60997247641198027</v>
      </c>
    </row>
    <row r="70" spans="1:29" x14ac:dyDescent="0.35">
      <c r="A70" t="s">
        <v>163</v>
      </c>
      <c r="B70">
        <v>4.4391495601173023</v>
      </c>
      <c r="C70">
        <f>IF(Table2[[#This Row],[Return]]=-1,-1,LOG(1+Table2[[#This Row],[Return]]))</f>
        <v>0.7355310007604996</v>
      </c>
      <c r="D70">
        <v>3.3506849315068492</v>
      </c>
      <c r="E70">
        <v>6164.6</v>
      </c>
      <c r="F70">
        <f>IF(Table2[[#This Row],[Geo Distance]]=0,0,LOG(Table2[[#This Row],[Geo Distance]]))</f>
        <v>3.7899049019490061</v>
      </c>
      <c r="G70">
        <v>0</v>
      </c>
      <c r="H70">
        <f>IF(Table2[[#This Row],[Target age]]=0,0,LOG(Table2[[#This Row],[Target age]]))</f>
        <v>0</v>
      </c>
      <c r="I70" s="45">
        <v>3.18</v>
      </c>
      <c r="J70" s="9">
        <v>583.83333333333303</v>
      </c>
      <c r="K70" s="9">
        <f>IF(Table2[[#This Row],[Culture]]=0,0,LOG(Table2[[#This Row],[Culture]]))</f>
        <v>2.7662888869340487</v>
      </c>
      <c r="L70" s="24">
        <v>0.76</v>
      </c>
      <c r="M70" s="9">
        <f>LOG(1+Table2[[#This Row],[S&amp;P]])</f>
        <v>0.24551266781414982</v>
      </c>
      <c r="N70">
        <v>12</v>
      </c>
      <c r="O70">
        <f>IF(Table2[[#This Row],[fund age]]=0,0,LOG(Table2[[#This Row],[fund age]]))</f>
        <v>1.0791812460476249</v>
      </c>
      <c r="P70">
        <f t="shared" si="1"/>
        <v>1</v>
      </c>
      <c r="Q70">
        <v>85</v>
      </c>
      <c r="R70">
        <v>80</v>
      </c>
      <c r="S70">
        <v>85.6</v>
      </c>
      <c r="T70" s="34">
        <v>43.3</v>
      </c>
      <c r="U70" s="42">
        <v>56.2907330998475</v>
      </c>
      <c r="V70">
        <v>5683.8649945290799</v>
      </c>
      <c r="W70">
        <f>LOG(Table2[[#This Row],[generalist]])</f>
        <v>3.754643753838935</v>
      </c>
      <c r="X70" s="14">
        <v>1</v>
      </c>
      <c r="Y70">
        <v>6345.4254692365948</v>
      </c>
      <c r="Z70">
        <f>LOG(Table2[[#This Row],[country divers.]])</f>
        <v>3.8024607474309908</v>
      </c>
      <c r="AA70">
        <v>31610000</v>
      </c>
      <c r="AB70">
        <f>LOG(Table2[[#This Row],[Firm Size]])</f>
        <v>7.4998244958395794</v>
      </c>
      <c r="AC70" s="80">
        <v>0.38904658192951591</v>
      </c>
    </row>
    <row r="71" spans="1:29" x14ac:dyDescent="0.35">
      <c r="A71" t="s">
        <v>163</v>
      </c>
      <c r="B71">
        <v>-0.79574999999999996</v>
      </c>
      <c r="C71">
        <f>IF(Table2[[#This Row],[Return]]=-1,-1,LOG(1+Table2[[#This Row],[Return]]))</f>
        <v>-0.68983793479554678</v>
      </c>
      <c r="D71">
        <v>1.4931506849315068</v>
      </c>
      <c r="E71">
        <v>6164.6</v>
      </c>
      <c r="F71">
        <f>IF(Table2[[#This Row],[Geo Distance]]=0,0,LOG(Table2[[#This Row],[Geo Distance]]))</f>
        <v>3.7899049019490061</v>
      </c>
      <c r="G71">
        <v>6</v>
      </c>
      <c r="H71">
        <f>IF(Table2[[#This Row],[Target age]]=0,0,LOG(Table2[[#This Row],[Target age]]))</f>
        <v>0.77815125038364363</v>
      </c>
      <c r="I71" s="45">
        <v>3.18</v>
      </c>
      <c r="J71" s="9">
        <v>583.83333333333303</v>
      </c>
      <c r="K71" s="9">
        <f>IF(Table2[[#This Row],[Culture]]=0,0,LOG(Table2[[#This Row],[Culture]]))</f>
        <v>2.7662888869340487</v>
      </c>
      <c r="L71" s="24">
        <v>0.1</v>
      </c>
      <c r="M71" s="9">
        <f>LOG(1+Table2[[#This Row],[S&amp;P]])</f>
        <v>4.1392685158225077E-2</v>
      </c>
      <c r="N71">
        <v>17</v>
      </c>
      <c r="O71">
        <f>IF(Table2[[#This Row],[fund age]]=0,0,LOG(Table2[[#This Row],[fund age]]))</f>
        <v>1.2304489213782739</v>
      </c>
      <c r="P71">
        <f t="shared" si="1"/>
        <v>1</v>
      </c>
      <c r="Q71">
        <v>85</v>
      </c>
      <c r="R71">
        <v>80</v>
      </c>
      <c r="S71">
        <v>70</v>
      </c>
      <c r="T71" s="34">
        <v>42.4</v>
      </c>
      <c r="U71" s="42">
        <v>52.984855215816303</v>
      </c>
      <c r="V71">
        <v>2672.4137931034488</v>
      </c>
      <c r="W71">
        <f>LOG(Table2[[#This Row],[generalist]])</f>
        <v>3.4269037046073545</v>
      </c>
      <c r="X71" s="14">
        <v>1</v>
      </c>
      <c r="Y71">
        <v>7208.6801426872771</v>
      </c>
      <c r="Z71">
        <f>LOG(Table2[[#This Row],[country divers.]])</f>
        <v>3.857855755812408</v>
      </c>
      <c r="AA71">
        <v>80000000</v>
      </c>
      <c r="AB71">
        <f>LOG(Table2[[#This Row],[Firm Size]])</f>
        <v>7.9030899869919438</v>
      </c>
      <c r="AC71" s="80">
        <v>0.2436007144204988</v>
      </c>
    </row>
    <row r="72" spans="1:29" x14ac:dyDescent="0.35">
      <c r="A72" t="s">
        <v>163</v>
      </c>
      <c r="B72">
        <v>4.6727649292371423</v>
      </c>
      <c r="C72">
        <f>IF(Table2[[#This Row],[Return]]=-1,-1,LOG(1+Table2[[#This Row],[Return]]))</f>
        <v>0.75379478743384321</v>
      </c>
      <c r="D72">
        <v>5.087671232876712</v>
      </c>
      <c r="E72">
        <v>6164.6</v>
      </c>
      <c r="F72">
        <f>IF(Table2[[#This Row],[Geo Distance]]=0,0,LOG(Table2[[#This Row],[Geo Distance]]))</f>
        <v>3.7899049019490061</v>
      </c>
      <c r="G72">
        <v>248</v>
      </c>
      <c r="H72">
        <f>IF(Table2[[#This Row],[Target age]]=0,0,LOG(Table2[[#This Row],[Target age]]))</f>
        <v>2.3944516808262164</v>
      </c>
      <c r="I72" s="45">
        <v>3.18</v>
      </c>
      <c r="J72" s="9">
        <v>583.83333333333303</v>
      </c>
      <c r="K72" s="9">
        <f>IF(Table2[[#This Row],[Culture]]=0,0,LOG(Table2[[#This Row],[Culture]]))</f>
        <v>2.7662888869340487</v>
      </c>
      <c r="L72" s="24">
        <v>0.74</v>
      </c>
      <c r="M72" s="9">
        <f>LOG(1+Table2[[#This Row],[S&amp;P]])</f>
        <v>0.24054924828259971</v>
      </c>
      <c r="N72">
        <v>23</v>
      </c>
      <c r="O72">
        <f>IF(Table2[[#This Row],[fund age]]=0,0,LOG(Table2[[#This Row],[fund age]]))</f>
        <v>1.3617278360175928</v>
      </c>
      <c r="P72">
        <f t="shared" si="1"/>
        <v>1</v>
      </c>
      <c r="Q72">
        <v>85</v>
      </c>
      <c r="R72">
        <v>80</v>
      </c>
      <c r="S72">
        <v>83.7</v>
      </c>
      <c r="T72" s="34">
        <v>44.4</v>
      </c>
      <c r="U72" s="42">
        <v>57.107272870025099</v>
      </c>
      <c r="V72">
        <v>2900.8986468172052</v>
      </c>
      <c r="W72">
        <f>LOG(Table2[[#This Row],[generalist]])</f>
        <v>3.4625325554497</v>
      </c>
      <c r="X72" s="14">
        <v>2</v>
      </c>
      <c r="Y72">
        <v>4207.3768270052751</v>
      </c>
      <c r="Z72">
        <f>LOG(Table2[[#This Row],[country divers.]])</f>
        <v>3.6240114106526287</v>
      </c>
      <c r="AA72">
        <v>28970000</v>
      </c>
      <c r="AB72">
        <f>LOG(Table2[[#This Row],[Firm Size]])</f>
        <v>7.461948495203762</v>
      </c>
      <c r="AC72" s="80">
        <v>0.36766701563724968</v>
      </c>
    </row>
    <row r="73" spans="1:29" x14ac:dyDescent="0.35">
      <c r="A73" t="s">
        <v>163</v>
      </c>
      <c r="B73">
        <v>-0.52200000000000002</v>
      </c>
      <c r="C73">
        <f>IF(Table2[[#This Row],[Return]]=-1,-1,LOG(1+Table2[[#This Row],[Return]]))</f>
        <v>-0.32057210338788111</v>
      </c>
      <c r="D73">
        <v>4.3698630136986303</v>
      </c>
      <c r="E73">
        <v>6164.6</v>
      </c>
      <c r="F73">
        <f>IF(Table2[[#This Row],[Geo Distance]]=0,0,LOG(Table2[[#This Row],[Geo Distance]]))</f>
        <v>3.7899049019490061</v>
      </c>
      <c r="G73">
        <v>125</v>
      </c>
      <c r="H73">
        <f>IF(Table2[[#This Row],[Target age]]=0,0,LOG(Table2[[#This Row],[Target age]]))</f>
        <v>2.0969100130080562</v>
      </c>
      <c r="I73" s="45">
        <v>3.18</v>
      </c>
      <c r="J73" s="9">
        <v>583.83333333333303</v>
      </c>
      <c r="K73" s="9">
        <f>IF(Table2[[#This Row],[Culture]]=0,0,LOG(Table2[[#This Row],[Culture]]))</f>
        <v>2.7662888869340487</v>
      </c>
      <c r="L73" s="24">
        <v>-0.01</v>
      </c>
      <c r="M73" s="9">
        <f>LOG(1+Table2[[#This Row],[S&amp;P]])</f>
        <v>-4.3648054024500883E-3</v>
      </c>
      <c r="N73">
        <v>4</v>
      </c>
      <c r="O73">
        <f>IF(Table2[[#This Row],[fund age]]=0,0,LOG(Table2[[#This Row],[fund age]]))</f>
        <v>0.6020599913279624</v>
      </c>
      <c r="P73">
        <f t="shared" si="1"/>
        <v>1</v>
      </c>
      <c r="Q73">
        <v>85</v>
      </c>
      <c r="R73">
        <v>80</v>
      </c>
      <c r="S73">
        <v>88</v>
      </c>
      <c r="T73" s="34">
        <v>43.3</v>
      </c>
      <c r="U73" s="42">
        <v>52.875711995394298</v>
      </c>
      <c r="V73">
        <v>1989.0260631001368</v>
      </c>
      <c r="W73">
        <f>LOG(Table2[[#This Row],[generalist]])</f>
        <v>3.2986404739170001</v>
      </c>
      <c r="X73" s="14">
        <v>2</v>
      </c>
      <c r="Y73">
        <v>5994.5130315500692</v>
      </c>
      <c r="Z73">
        <f>LOG(Table2[[#This Row],[country divers.]])</f>
        <v>3.7777539086524472</v>
      </c>
      <c r="AA73">
        <v>110000000</v>
      </c>
      <c r="AB73">
        <f>LOG(Table2[[#This Row],[Firm Size]])</f>
        <v>8.0413926851582254</v>
      </c>
      <c r="AC73" s="80">
        <v>4.7181798879579295E-2</v>
      </c>
    </row>
    <row r="74" spans="1:29" x14ac:dyDescent="0.35">
      <c r="A74" t="s">
        <v>163</v>
      </c>
      <c r="B74">
        <v>0.62360918771787399</v>
      </c>
      <c r="C74">
        <f>IF(Table2[[#This Row],[Return]]=-1,-1,LOG(1+Table2[[#This Row],[Return]]))</f>
        <v>0.21048150024803425</v>
      </c>
      <c r="D74">
        <v>4.7589041095890412</v>
      </c>
      <c r="E74">
        <v>6164.6</v>
      </c>
      <c r="F74">
        <f>IF(Table2[[#This Row],[Geo Distance]]=0,0,LOG(Table2[[#This Row],[Geo Distance]]))</f>
        <v>3.7899049019490061</v>
      </c>
      <c r="G74">
        <v>0</v>
      </c>
      <c r="H74">
        <f>IF(Table2[[#This Row],[Target age]]=0,0,LOG(Table2[[#This Row],[Target age]]))</f>
        <v>0</v>
      </c>
      <c r="I74" s="45">
        <v>3.18</v>
      </c>
      <c r="J74" s="9">
        <v>583.83333333333303</v>
      </c>
      <c r="K74" s="9">
        <f>IF(Table2[[#This Row],[Culture]]=0,0,LOG(Table2[[#This Row],[Culture]]))</f>
        <v>2.7662888869340487</v>
      </c>
      <c r="L74" s="24">
        <v>-0.04</v>
      </c>
      <c r="M74" s="9">
        <f>LOG(1+Table2[[#This Row],[S&amp;P]])</f>
        <v>-1.7728766960431602E-2</v>
      </c>
      <c r="N74">
        <v>0</v>
      </c>
      <c r="O74">
        <f>IF(Table2[[#This Row],[fund age]]=0,0,LOG(Table2[[#This Row],[fund age]]))</f>
        <v>0</v>
      </c>
      <c r="P74">
        <f t="shared" si="1"/>
        <v>1</v>
      </c>
      <c r="Q74">
        <v>85</v>
      </c>
      <c r="R74">
        <v>80</v>
      </c>
      <c r="S74">
        <v>88</v>
      </c>
      <c r="T74" s="34">
        <v>43.3</v>
      </c>
      <c r="U74" s="42">
        <v>52.875711995394298</v>
      </c>
      <c r="V74">
        <v>1566.077003121748</v>
      </c>
      <c r="W74">
        <f>LOG(Table2[[#This Row],[generalist]])</f>
        <v>3.1948131122613166</v>
      </c>
      <c r="X74" s="14">
        <v>4</v>
      </c>
      <c r="Y74">
        <v>6768.9906347554625</v>
      </c>
      <c r="Z74">
        <f>LOG(Table2[[#This Row],[country divers.]])</f>
        <v>3.8305239132290598</v>
      </c>
      <c r="AA74">
        <v>418820000</v>
      </c>
      <c r="AB74">
        <f>LOG(Table2[[#This Row],[Firm Size]])</f>
        <v>8.6220274124582019</v>
      </c>
      <c r="AC74" s="80">
        <v>1.3417854236819515E-2</v>
      </c>
    </row>
    <row r="75" spans="1:29" x14ac:dyDescent="0.35">
      <c r="A75" t="s">
        <v>163</v>
      </c>
      <c r="B75">
        <v>0.91354838709677422</v>
      </c>
      <c r="C75">
        <f>IF(Table2[[#This Row],[Return]]=-1,-1,LOG(1+Table2[[#This Row],[Return]]))</f>
        <v>0.28183944852207177</v>
      </c>
      <c r="D75">
        <v>2.1917808219178081</v>
      </c>
      <c r="E75">
        <v>0</v>
      </c>
      <c r="F75">
        <f>IF(Table2[[#This Row],[Geo Distance]]=0,0,LOG(Table2[[#This Row],[Geo Distance]]))</f>
        <v>0</v>
      </c>
      <c r="G75">
        <v>59</v>
      </c>
      <c r="H75">
        <f>IF(Table2[[#This Row],[Target age]]=0,0,LOG(Table2[[#This Row],[Target age]]))</f>
        <v>1.7708520116421442</v>
      </c>
      <c r="I75" s="45">
        <v>3.18</v>
      </c>
      <c r="J75" s="9">
        <v>0</v>
      </c>
      <c r="K75" s="9">
        <f>IF(Table2[[#This Row],[Culture]]=0,0,LOG(Table2[[#This Row],[Culture]]))</f>
        <v>0</v>
      </c>
      <c r="L75" s="24">
        <v>0.3</v>
      </c>
      <c r="M75" s="9">
        <f>LOG(1+Table2[[#This Row],[S&amp;P]])</f>
        <v>0.11394335230683679</v>
      </c>
      <c r="N75">
        <v>11</v>
      </c>
      <c r="O75">
        <f>IF(Table2[[#This Row],[fund age]]=0,0,LOG(Table2[[#This Row],[fund age]]))</f>
        <v>1.0413926851582251</v>
      </c>
      <c r="P75">
        <f t="shared" si="1"/>
        <v>0</v>
      </c>
      <c r="Q75">
        <v>85</v>
      </c>
      <c r="R75">
        <v>80</v>
      </c>
      <c r="S75">
        <v>70</v>
      </c>
      <c r="T75" s="34">
        <v>42.9</v>
      </c>
      <c r="U75" s="42">
        <v>53.2941466273667</v>
      </c>
      <c r="V75">
        <v>1213.5329999999999</v>
      </c>
      <c r="W75">
        <f>LOG(Table2[[#This Row],[generalist]])</f>
        <v>3.0840515907405019</v>
      </c>
      <c r="X75" s="14">
        <v>2</v>
      </c>
      <c r="Y75">
        <v>8035.9219999999996</v>
      </c>
      <c r="Z75">
        <f>LOG(Table2[[#This Row],[country divers.]])</f>
        <v>3.9050357126538633</v>
      </c>
      <c r="AA75">
        <v>155000000</v>
      </c>
      <c r="AB75">
        <f>LOG(Table2[[#This Row],[Firm Size]])</f>
        <v>8.1903316981702918</v>
      </c>
      <c r="AC75" s="80">
        <v>0.40824820279984886</v>
      </c>
    </row>
    <row r="76" spans="1:29" x14ac:dyDescent="0.35">
      <c r="A76" t="s">
        <v>163</v>
      </c>
      <c r="B76">
        <v>0.41428571428571437</v>
      </c>
      <c r="C76">
        <f>IF(Table2[[#This Row],[Return]]=-1,-1,LOG(1+Table2[[#This Row],[Return]]))</f>
        <v>0.15053715458329311</v>
      </c>
      <c r="D76">
        <v>3.3178082191780822</v>
      </c>
      <c r="E76">
        <v>0</v>
      </c>
      <c r="F76">
        <f>IF(Table2[[#This Row],[Geo Distance]]=0,0,LOG(Table2[[#This Row],[Geo Distance]]))</f>
        <v>0</v>
      </c>
      <c r="G76">
        <v>115</v>
      </c>
      <c r="H76">
        <f>IF(Table2[[#This Row],[Target age]]=0,0,LOG(Table2[[#This Row],[Target age]]))</f>
        <v>2.0606978403536118</v>
      </c>
      <c r="I76" s="45">
        <v>3.18</v>
      </c>
      <c r="J76" s="9">
        <v>0</v>
      </c>
      <c r="K76" s="9">
        <f>IF(Table2[[#This Row],[Culture]]=0,0,LOG(Table2[[#This Row],[Culture]]))</f>
        <v>0</v>
      </c>
      <c r="L76" s="24">
        <v>0.38</v>
      </c>
      <c r="M76" s="9">
        <f>LOG(1+Table2[[#This Row],[S&amp;P]])</f>
        <v>0.13987908640123647</v>
      </c>
      <c r="N76">
        <v>19</v>
      </c>
      <c r="O76">
        <f>IF(Table2[[#This Row],[fund age]]=0,0,LOG(Table2[[#This Row],[fund age]]))</f>
        <v>1.2787536009528289</v>
      </c>
      <c r="P76">
        <f t="shared" si="1"/>
        <v>0</v>
      </c>
      <c r="Q76">
        <v>85</v>
      </c>
      <c r="R76">
        <v>80</v>
      </c>
      <c r="S76">
        <v>84</v>
      </c>
      <c r="T76" s="34">
        <v>45.4</v>
      </c>
      <c r="U76" s="42">
        <v>57.2278620378247</v>
      </c>
      <c r="V76">
        <v>1213.5329999999999</v>
      </c>
      <c r="W76">
        <f>LOG(Table2[[#This Row],[generalist]])</f>
        <v>3.0840515907405019</v>
      </c>
      <c r="X76" s="14">
        <v>2</v>
      </c>
      <c r="Y76">
        <v>8035.9219999999996</v>
      </c>
      <c r="Z76">
        <f>LOG(Table2[[#This Row],[country divers.]])</f>
        <v>3.9050357126538633</v>
      </c>
      <c r="AA76">
        <v>350000000</v>
      </c>
      <c r="AB76">
        <f>LOG(Table2[[#This Row],[Firm Size]])</f>
        <v>8.5440680443502757</v>
      </c>
      <c r="AC76" s="80">
        <v>0.14021026469675513</v>
      </c>
    </row>
    <row r="77" spans="1:29" x14ac:dyDescent="0.35">
      <c r="A77" t="s">
        <v>163</v>
      </c>
      <c r="B77">
        <v>0.62453700695301828</v>
      </c>
      <c r="C77">
        <f>IF(Table2[[#This Row],[Return]]=-1,-1,LOG(1+Table2[[#This Row],[Return]]))</f>
        <v>0.2107296090219849</v>
      </c>
      <c r="D77">
        <v>2.5890410958904111</v>
      </c>
      <c r="E77">
        <v>0</v>
      </c>
      <c r="F77">
        <f>IF(Table2[[#This Row],[Geo Distance]]=0,0,LOG(Table2[[#This Row],[Geo Distance]]))</f>
        <v>0</v>
      </c>
      <c r="G77">
        <v>102</v>
      </c>
      <c r="H77">
        <f>IF(Table2[[#This Row],[Target age]]=0,0,LOG(Table2[[#This Row],[Target age]]))</f>
        <v>2.0086001717619175</v>
      </c>
      <c r="I77" s="45">
        <v>3.18</v>
      </c>
      <c r="J77" s="9">
        <v>0</v>
      </c>
      <c r="K77" s="9">
        <f>IF(Table2[[#This Row],[Culture]]=0,0,LOG(Table2[[#This Row],[Culture]]))</f>
        <v>0</v>
      </c>
      <c r="L77" s="24">
        <v>0.39</v>
      </c>
      <c r="M77" s="9">
        <f>LOG(1+Table2[[#This Row],[S&amp;P]])</f>
        <v>0.14301480025409513</v>
      </c>
      <c r="N77">
        <v>9</v>
      </c>
      <c r="O77">
        <f>IF(Table2[[#This Row],[fund age]]=0,0,LOG(Table2[[#This Row],[fund age]]))</f>
        <v>0.95424250943932487</v>
      </c>
      <c r="P77">
        <f t="shared" si="1"/>
        <v>0</v>
      </c>
      <c r="Q77">
        <v>85</v>
      </c>
      <c r="R77">
        <v>80</v>
      </c>
      <c r="S77">
        <v>70</v>
      </c>
      <c r="T77" s="34">
        <v>42.2</v>
      </c>
      <c r="U77" s="42">
        <v>53.270504198897903</v>
      </c>
      <c r="V77">
        <v>1213.5329999999999</v>
      </c>
      <c r="W77">
        <f>LOG(Table2[[#This Row],[generalist]])</f>
        <v>3.0840515907405019</v>
      </c>
      <c r="X77" s="14">
        <v>2</v>
      </c>
      <c r="Y77">
        <v>8035.9219999999996</v>
      </c>
      <c r="Z77">
        <f>LOG(Table2[[#This Row],[country divers.]])</f>
        <v>3.9050357126538633</v>
      </c>
      <c r="AA77">
        <v>153890000</v>
      </c>
      <c r="AB77">
        <f>LOG(Table2[[#This Row],[Firm Size]])</f>
        <v>8.187210399650052</v>
      </c>
      <c r="AC77" s="80">
        <v>0.46069553942993369</v>
      </c>
    </row>
    <row r="78" spans="1:29" x14ac:dyDescent="0.35">
      <c r="A78" t="s">
        <v>163</v>
      </c>
      <c r="B78">
        <v>1.3595000000000002</v>
      </c>
      <c r="C78">
        <f>IF(Table2[[#This Row],[Return]]=-1,-1,LOG(1+Table2[[#This Row],[Return]]))</f>
        <v>0.37281998167896813</v>
      </c>
      <c r="D78">
        <v>4.4821917808219176</v>
      </c>
      <c r="E78">
        <v>0</v>
      </c>
      <c r="F78">
        <f>IF(Table2[[#This Row],[Geo Distance]]=0,0,LOG(Table2[[#This Row],[Geo Distance]]))</f>
        <v>0</v>
      </c>
      <c r="G78">
        <v>8</v>
      </c>
      <c r="H78">
        <f>IF(Table2[[#This Row],[Target age]]=0,0,LOG(Table2[[#This Row],[Target age]]))</f>
        <v>0.90308998699194354</v>
      </c>
      <c r="I78" s="45">
        <v>3.18</v>
      </c>
      <c r="J78" s="9">
        <v>0</v>
      </c>
      <c r="K78" s="9">
        <f>IF(Table2[[#This Row],[Culture]]=0,0,LOG(Table2[[#This Row],[Culture]]))</f>
        <v>0</v>
      </c>
      <c r="L78" s="24">
        <v>0.68</v>
      </c>
      <c r="M78" s="9">
        <f>LOG(1+Table2[[#This Row],[S&amp;P]])</f>
        <v>0.2253092817258629</v>
      </c>
      <c r="N78">
        <v>17</v>
      </c>
      <c r="O78">
        <f>IF(Table2[[#This Row],[fund age]]=0,0,LOG(Table2[[#This Row],[fund age]]))</f>
        <v>1.2304489213782739</v>
      </c>
      <c r="P78">
        <f t="shared" si="1"/>
        <v>0</v>
      </c>
      <c r="Q78">
        <v>85</v>
      </c>
      <c r="R78">
        <v>80</v>
      </c>
      <c r="S78">
        <v>85.6</v>
      </c>
      <c r="T78" s="34">
        <v>43.3</v>
      </c>
      <c r="U78" s="42">
        <v>56.2907330998475</v>
      </c>
      <c r="V78">
        <v>1213.5329999999999</v>
      </c>
      <c r="W78">
        <f>LOG(Table2[[#This Row],[generalist]])</f>
        <v>3.0840515907405019</v>
      </c>
      <c r="X78" s="14">
        <v>2</v>
      </c>
      <c r="Y78">
        <v>8035.9219999999996</v>
      </c>
      <c r="Z78">
        <f>LOG(Table2[[#This Row],[country divers.]])</f>
        <v>3.9050357126538633</v>
      </c>
      <c r="AA78">
        <v>240000000</v>
      </c>
      <c r="AB78">
        <f>LOG(Table2[[#This Row],[Firm Size]])</f>
        <v>8.3802112417116064</v>
      </c>
      <c r="AC78" s="80">
        <v>0.20822300909115765</v>
      </c>
    </row>
    <row r="79" spans="1:29" x14ac:dyDescent="0.35">
      <c r="A79" t="s">
        <v>163</v>
      </c>
      <c r="B79">
        <v>1.8037383177570092</v>
      </c>
      <c r="C79">
        <f>IF(Table2[[#This Row],[Return]]=-1,-1,LOG(1+Table2[[#This Row],[Return]]))</f>
        <v>0.44773747703445277</v>
      </c>
      <c r="D79">
        <v>6.7342465753424658</v>
      </c>
      <c r="E79">
        <v>0</v>
      </c>
      <c r="F79">
        <f>IF(Table2[[#This Row],[Geo Distance]]=0,0,LOG(Table2[[#This Row],[Geo Distance]]))</f>
        <v>0</v>
      </c>
      <c r="G79">
        <v>31</v>
      </c>
      <c r="H79">
        <f>IF(Table2[[#This Row],[Target age]]=0,0,LOG(Table2[[#This Row],[Target age]]))</f>
        <v>1.4913616938342726</v>
      </c>
      <c r="I79" s="45">
        <v>3.18</v>
      </c>
      <c r="J79" s="9">
        <v>0</v>
      </c>
      <c r="K79" s="9">
        <f>IF(Table2[[#This Row],[Culture]]=0,0,LOG(Table2[[#This Row],[Culture]]))</f>
        <v>0</v>
      </c>
      <c r="L79" s="24">
        <v>1.06</v>
      </c>
      <c r="M79" s="9">
        <f>LOG(1+Table2[[#This Row],[S&amp;P]])</f>
        <v>0.31386722036915343</v>
      </c>
      <c r="N79">
        <v>13</v>
      </c>
      <c r="O79">
        <f>IF(Table2[[#This Row],[fund age]]=0,0,LOG(Table2[[#This Row],[fund age]]))</f>
        <v>1.1139433523068367</v>
      </c>
      <c r="P79">
        <f t="shared" si="1"/>
        <v>0</v>
      </c>
      <c r="Q79">
        <v>85</v>
      </c>
      <c r="R79">
        <v>80</v>
      </c>
      <c r="S79">
        <v>85.6</v>
      </c>
      <c r="T79" s="34">
        <v>43.3</v>
      </c>
      <c r="U79" s="42">
        <v>56.2907330998475</v>
      </c>
      <c r="V79">
        <v>1682.164</v>
      </c>
      <c r="W79">
        <f>LOG(Table2[[#This Row],[generalist]])</f>
        <v>3.2258683344006376</v>
      </c>
      <c r="X79" s="14">
        <v>1</v>
      </c>
      <c r="Y79">
        <v>9152.2764999999999</v>
      </c>
      <c r="Z79">
        <f>LOG(Table2[[#This Row],[country divers.]])</f>
        <v>3.9615291321450066</v>
      </c>
      <c r="AA79">
        <v>535000000</v>
      </c>
      <c r="AB79">
        <f>LOG(Table2[[#This Row],[Firm Size]])</f>
        <v>8.7283537820212285</v>
      </c>
      <c r="AC79" s="80">
        <v>0.27954079403681642</v>
      </c>
    </row>
    <row r="80" spans="1:29" x14ac:dyDescent="0.35">
      <c r="A80" t="s">
        <v>163</v>
      </c>
      <c r="B80">
        <v>1.0192307692307692</v>
      </c>
      <c r="C80">
        <f>IF(Table2[[#This Row],[Return]]=-1,-1,LOG(1+Table2[[#This Row],[Return]]))</f>
        <v>0.30518595543513888</v>
      </c>
      <c r="D80">
        <v>5.095890410958904</v>
      </c>
      <c r="E80">
        <v>0</v>
      </c>
      <c r="F80">
        <f>IF(Table2[[#This Row],[Geo Distance]]=0,0,LOG(Table2[[#This Row],[Geo Distance]]))</f>
        <v>0</v>
      </c>
      <c r="G80">
        <v>106</v>
      </c>
      <c r="H80">
        <f>IF(Table2[[#This Row],[Target age]]=0,0,LOG(Table2[[#This Row],[Target age]]))</f>
        <v>2.0253058652647704</v>
      </c>
      <c r="I80" s="45">
        <v>3.18</v>
      </c>
      <c r="J80" s="9">
        <v>0</v>
      </c>
      <c r="K80" s="9">
        <f>IF(Table2[[#This Row],[Culture]]=0,0,LOG(Table2[[#This Row],[Culture]]))</f>
        <v>0</v>
      </c>
      <c r="L80" s="24">
        <v>-0.04</v>
      </c>
      <c r="M80" s="9">
        <f>LOG(1+Table2[[#This Row],[S&amp;P]])</f>
        <v>-1.7728766960431602E-2</v>
      </c>
      <c r="N80">
        <v>8</v>
      </c>
      <c r="O80">
        <f>IF(Table2[[#This Row],[fund age]]=0,0,LOG(Table2[[#This Row],[fund age]]))</f>
        <v>0.90308998699194354</v>
      </c>
      <c r="P80">
        <f t="shared" si="1"/>
        <v>0</v>
      </c>
      <c r="Q80">
        <v>85</v>
      </c>
      <c r="R80">
        <v>80</v>
      </c>
      <c r="S80">
        <v>88</v>
      </c>
      <c r="T80" s="34">
        <v>43.3</v>
      </c>
      <c r="U80" s="42">
        <v>52.875711995394298</v>
      </c>
      <c r="V80">
        <v>1682.164</v>
      </c>
      <c r="W80">
        <f>LOG(Table2[[#This Row],[generalist]])</f>
        <v>3.2258683344006376</v>
      </c>
      <c r="X80" s="14">
        <v>1</v>
      </c>
      <c r="Y80">
        <v>9152.2764999999999</v>
      </c>
      <c r="Z80">
        <f>LOG(Table2[[#This Row],[country divers.]])</f>
        <v>3.9615291321450066</v>
      </c>
      <c r="AA80">
        <v>1040000000</v>
      </c>
      <c r="AB80">
        <f>LOG(Table2[[#This Row],[Firm Size]])</f>
        <v>9.0170333392987807</v>
      </c>
      <c r="AC80" s="80">
        <v>-8.7981023700770322E-2</v>
      </c>
    </row>
    <row r="81" spans="1:29" x14ac:dyDescent="0.35">
      <c r="A81" t="s">
        <v>163</v>
      </c>
      <c r="B81">
        <v>1.9513126173673787</v>
      </c>
      <c r="C81">
        <f>IF(Table2[[#This Row],[Return]]=-1,-1,LOG(1+Table2[[#This Row],[Return]]))</f>
        <v>0.47001521451749351</v>
      </c>
      <c r="D81">
        <v>2.7945205479452055</v>
      </c>
      <c r="E81">
        <v>0</v>
      </c>
      <c r="F81">
        <f>IF(Table2[[#This Row],[Geo Distance]]=0,0,LOG(Table2[[#This Row],[Geo Distance]]))</f>
        <v>0</v>
      </c>
      <c r="G81">
        <v>3</v>
      </c>
      <c r="H81">
        <f>IF(Table2[[#This Row],[Target age]]=0,0,LOG(Table2[[#This Row],[Target age]]))</f>
        <v>0.47712125471966244</v>
      </c>
      <c r="I81" s="45">
        <v>3.18</v>
      </c>
      <c r="J81" s="9">
        <v>0</v>
      </c>
      <c r="K81" s="9">
        <f>IF(Table2[[#This Row],[Culture]]=0,0,LOG(Table2[[#This Row],[Culture]]))</f>
        <v>0</v>
      </c>
      <c r="L81" s="24">
        <v>0.26</v>
      </c>
      <c r="M81" s="9">
        <f>LOG(1+Table2[[#This Row],[S&amp;P]])</f>
        <v>0.10037054511756291</v>
      </c>
      <c r="N81">
        <v>6</v>
      </c>
      <c r="O81">
        <f>IF(Table2[[#This Row],[fund age]]=0,0,LOG(Table2[[#This Row],[fund age]]))</f>
        <v>0.77815125038364363</v>
      </c>
      <c r="P81">
        <f t="shared" si="1"/>
        <v>0</v>
      </c>
      <c r="Q81">
        <v>85</v>
      </c>
      <c r="R81">
        <v>80</v>
      </c>
      <c r="S81">
        <v>70</v>
      </c>
      <c r="T81" s="34">
        <v>42.4</v>
      </c>
      <c r="U81" s="42">
        <v>52.984855215816303</v>
      </c>
      <c r="V81">
        <v>1682.164</v>
      </c>
      <c r="W81">
        <f>LOG(Table2[[#This Row],[generalist]])</f>
        <v>3.2258683344006376</v>
      </c>
      <c r="X81" s="14">
        <v>1</v>
      </c>
      <c r="Y81">
        <v>9152.2764999999999</v>
      </c>
      <c r="Z81">
        <f>LOG(Table2[[#This Row],[country divers.]])</f>
        <v>3.9615291321450066</v>
      </c>
      <c r="AA81">
        <f>(48513000+450400000+687000000)</f>
        <v>1185913000</v>
      </c>
      <c r="AB81">
        <f>LOG(Table2[[#This Row],[Firm Size]])</f>
        <v>9.0740528298327821</v>
      </c>
      <c r="AC81" s="80">
        <v>0.45272378314900186</v>
      </c>
    </row>
    <row r="82" spans="1:29" x14ac:dyDescent="0.35">
      <c r="A82" t="s">
        <v>163</v>
      </c>
      <c r="B82">
        <v>1.2643984375000001</v>
      </c>
      <c r="C82">
        <f>IF(Table2[[#This Row],[Return]]=-1,-1,LOG(1+Table2[[#This Row],[Return]]))</f>
        <v>0.35495284653698561</v>
      </c>
      <c r="D82">
        <v>4.3863013698630136</v>
      </c>
      <c r="E82">
        <v>0</v>
      </c>
      <c r="F82">
        <f>IF(Table2[[#This Row],[Geo Distance]]=0,0,LOG(Table2[[#This Row],[Geo Distance]]))</f>
        <v>0</v>
      </c>
      <c r="G82">
        <v>75</v>
      </c>
      <c r="H82">
        <f>IF(Table2[[#This Row],[Target age]]=0,0,LOG(Table2[[#This Row],[Target age]]))</f>
        <v>1.8750612633917001</v>
      </c>
      <c r="I82" s="45">
        <v>3.18</v>
      </c>
      <c r="J82" s="9">
        <v>0</v>
      </c>
      <c r="K82" s="9">
        <f>IF(Table2[[#This Row],[Culture]]=0,0,LOG(Table2[[#This Row],[Culture]]))</f>
        <v>0</v>
      </c>
      <c r="L82" s="24">
        <v>0.56999999999999995</v>
      </c>
      <c r="M82" s="9">
        <f>LOG(1+Table2[[#This Row],[S&amp;P]])</f>
        <v>0.19589965240923368</v>
      </c>
      <c r="N82">
        <v>4</v>
      </c>
      <c r="O82">
        <f>IF(Table2[[#This Row],[fund age]]=0,0,LOG(Table2[[#This Row],[fund age]]))</f>
        <v>0.6020599913279624</v>
      </c>
      <c r="P82">
        <f t="shared" si="1"/>
        <v>0</v>
      </c>
      <c r="Q82">
        <v>85</v>
      </c>
      <c r="R82">
        <v>80</v>
      </c>
      <c r="S82">
        <v>70</v>
      </c>
      <c r="T82" s="34">
        <v>42.4</v>
      </c>
      <c r="U82" s="42">
        <v>52.795294707427601</v>
      </c>
      <c r="V82">
        <v>1682.164</v>
      </c>
      <c r="W82">
        <f>LOG(Table2[[#This Row],[generalist]])</f>
        <v>3.2258683344006376</v>
      </c>
      <c r="X82" s="14">
        <v>1</v>
      </c>
      <c r="Y82">
        <v>9152.2764999999999</v>
      </c>
      <c r="Z82">
        <f>LOG(Table2[[#This Row],[country divers.]])</f>
        <v>3.9615291321450066</v>
      </c>
      <c r="AA82">
        <f>(185500000+70500000)</f>
        <v>256000000</v>
      </c>
      <c r="AB82">
        <f>LOG(Table2[[#This Row],[Firm Size]])</f>
        <v>8.40823996531185</v>
      </c>
      <c r="AC82" s="80">
        <v>0.66123454381386737</v>
      </c>
    </row>
    <row r="83" spans="1:29" x14ac:dyDescent="0.35">
      <c r="A83" t="s">
        <v>163</v>
      </c>
      <c r="B83">
        <v>0.15135135135135136</v>
      </c>
      <c r="C83">
        <f>IF(Table2[[#This Row],[Return]]=-1,-1,LOG(1+Table2[[#This Row],[Return]]))</f>
        <v>6.1207875035723926E-2</v>
      </c>
      <c r="D83">
        <v>2.6164383561643834</v>
      </c>
      <c r="E83">
        <v>0</v>
      </c>
      <c r="F83">
        <f>IF(Table2[[#This Row],[Geo Distance]]=0,0,LOG(Table2[[#This Row],[Geo Distance]]))</f>
        <v>0</v>
      </c>
      <c r="G83">
        <v>52</v>
      </c>
      <c r="H83">
        <f>IF(Table2[[#This Row],[Target age]]=0,0,LOG(Table2[[#This Row],[Target age]]))</f>
        <v>1.7160033436347992</v>
      </c>
      <c r="I83" s="45">
        <v>3.18</v>
      </c>
      <c r="J83" s="9">
        <v>0</v>
      </c>
      <c r="K83" s="9">
        <f>IF(Table2[[#This Row],[Culture]]=0,0,LOG(Table2[[#This Row],[Culture]]))</f>
        <v>0</v>
      </c>
      <c r="L83" s="24">
        <v>0.31</v>
      </c>
      <c r="M83" s="9">
        <f>LOG(1+Table2[[#This Row],[S&amp;P]])</f>
        <v>0.11727129565576427</v>
      </c>
      <c r="N83">
        <v>4</v>
      </c>
      <c r="O83">
        <f>IF(Table2[[#This Row],[fund age]]=0,0,LOG(Table2[[#This Row],[fund age]]))</f>
        <v>0.6020599913279624</v>
      </c>
      <c r="P83">
        <f t="shared" si="1"/>
        <v>0</v>
      </c>
      <c r="Q83">
        <v>85</v>
      </c>
      <c r="R83">
        <v>80</v>
      </c>
      <c r="S83">
        <v>70</v>
      </c>
      <c r="T83" s="34">
        <v>42.4</v>
      </c>
      <c r="U83" s="42">
        <v>52.795294707427601</v>
      </c>
      <c r="V83">
        <v>1682.164</v>
      </c>
      <c r="W83">
        <f>LOG(Table2[[#This Row],[generalist]])</f>
        <v>3.2258683344006376</v>
      </c>
      <c r="X83" s="14">
        <v>1</v>
      </c>
      <c r="Y83">
        <v>9152.2764999999999</v>
      </c>
      <c r="Z83">
        <f>LOG(Table2[[#This Row],[country divers.]])</f>
        <v>3.9615291321450066</v>
      </c>
      <c r="AA83">
        <v>555000000</v>
      </c>
      <c r="AB83">
        <f>LOG(Table2[[#This Row],[Firm Size]])</f>
        <v>8.7442929831226763</v>
      </c>
      <c r="AC83" s="80">
        <v>0.24840559137836427</v>
      </c>
    </row>
    <row r="84" spans="1:29" x14ac:dyDescent="0.35">
      <c r="A84" t="s">
        <v>163</v>
      </c>
      <c r="B84">
        <v>0.52</v>
      </c>
      <c r="C84">
        <f>IF(Table2[[#This Row],[Return]]=-1,-1,LOG(1+Table2[[#This Row],[Return]]))</f>
        <v>0.18184358794477254</v>
      </c>
      <c r="D84">
        <v>5.2219178082191782</v>
      </c>
      <c r="E84">
        <v>0</v>
      </c>
      <c r="F84">
        <f>IF(Table2[[#This Row],[Geo Distance]]=0,0,LOG(Table2[[#This Row],[Geo Distance]]))</f>
        <v>0</v>
      </c>
      <c r="G84">
        <v>33</v>
      </c>
      <c r="H84">
        <f>IF(Table2[[#This Row],[Target age]]=0,0,LOG(Table2[[#This Row],[Target age]]))</f>
        <v>1.5185139398778875</v>
      </c>
      <c r="I84" s="45">
        <v>3.18</v>
      </c>
      <c r="J84" s="9">
        <v>0</v>
      </c>
      <c r="K84" s="9">
        <f>IF(Table2[[#This Row],[Culture]]=0,0,LOG(Table2[[#This Row],[Culture]]))</f>
        <v>0</v>
      </c>
      <c r="L84" s="24">
        <v>0.71</v>
      </c>
      <c r="M84" s="9">
        <f>LOG(1+Table2[[#This Row],[S&amp;P]])</f>
        <v>0.23299611039215382</v>
      </c>
      <c r="N84">
        <v>4</v>
      </c>
      <c r="O84">
        <f>IF(Table2[[#This Row],[fund age]]=0,0,LOG(Table2[[#This Row],[fund age]]))</f>
        <v>0.6020599913279624</v>
      </c>
      <c r="P84">
        <f t="shared" si="1"/>
        <v>0</v>
      </c>
      <c r="Q84">
        <v>85</v>
      </c>
      <c r="R84">
        <v>80</v>
      </c>
      <c r="S84">
        <v>70</v>
      </c>
      <c r="T84" s="34">
        <v>42.4</v>
      </c>
      <c r="U84" s="42">
        <v>52.795294707427601</v>
      </c>
      <c r="V84">
        <v>1682.164</v>
      </c>
      <c r="W84">
        <f>LOG(Table2[[#This Row],[generalist]])</f>
        <v>3.2258683344006376</v>
      </c>
      <c r="X84" s="14">
        <v>1</v>
      </c>
      <c r="Y84">
        <v>9152.2764999999999</v>
      </c>
      <c r="Z84">
        <f>LOG(Table2[[#This Row],[country divers.]])</f>
        <v>3.9615291321450066</v>
      </c>
      <c r="AA84">
        <v>1500000000</v>
      </c>
      <c r="AB84">
        <f>LOG(Table2[[#This Row],[Firm Size]])</f>
        <v>9.1760912590556813</v>
      </c>
      <c r="AC84" s="80">
        <v>0.71306342550713908</v>
      </c>
    </row>
    <row r="85" spans="1:29" x14ac:dyDescent="0.35">
      <c r="A85" t="s">
        <v>163</v>
      </c>
      <c r="B85">
        <v>-0.49653846153846148</v>
      </c>
      <c r="C85">
        <f>IF(Table2[[#This Row],[Return]]=-1,-1,LOG(1+Table2[[#This Row],[Return]]))</f>
        <v>-0.29803370142006214</v>
      </c>
      <c r="D85">
        <v>3.010958904109589</v>
      </c>
      <c r="E85">
        <v>0</v>
      </c>
      <c r="F85">
        <f>IF(Table2[[#This Row],[Geo Distance]]=0,0,LOG(Table2[[#This Row],[Geo Distance]]))</f>
        <v>0</v>
      </c>
      <c r="G85">
        <v>50</v>
      </c>
      <c r="H85">
        <f>IF(Table2[[#This Row],[Target age]]=0,0,LOG(Table2[[#This Row],[Target age]]))</f>
        <v>1.6989700043360187</v>
      </c>
      <c r="I85" s="45">
        <v>3.18</v>
      </c>
      <c r="J85" s="9">
        <v>0</v>
      </c>
      <c r="K85" s="9">
        <f>IF(Table2[[#This Row],[Culture]]=0,0,LOG(Table2[[#This Row],[Culture]]))</f>
        <v>0</v>
      </c>
      <c r="L85" s="24">
        <v>-0.02</v>
      </c>
      <c r="M85" s="9">
        <f>LOG(1+Table2[[#This Row],[S&amp;P]])</f>
        <v>-8.7739243075051505E-3</v>
      </c>
      <c r="N85">
        <v>3</v>
      </c>
      <c r="O85">
        <f>IF(Table2[[#This Row],[fund age]]=0,0,LOG(Table2[[#This Row],[fund age]]))</f>
        <v>0.47712125471966244</v>
      </c>
      <c r="P85">
        <f t="shared" si="1"/>
        <v>0</v>
      </c>
      <c r="Q85">
        <v>85</v>
      </c>
      <c r="R85">
        <v>80</v>
      </c>
      <c r="S85">
        <v>70</v>
      </c>
      <c r="T85" s="34">
        <v>43.1</v>
      </c>
      <c r="U85" s="42">
        <v>51.718307112209096</v>
      </c>
      <c r="V85">
        <v>1682.164</v>
      </c>
      <c r="W85">
        <f>LOG(Table2[[#This Row],[generalist]])</f>
        <v>3.2258683344006376</v>
      </c>
      <c r="X85" s="14">
        <v>1</v>
      </c>
      <c r="Y85">
        <v>9152.2764999999999</v>
      </c>
      <c r="Z85">
        <f>LOG(Table2[[#This Row],[country divers.]])</f>
        <v>3.9615291321450066</v>
      </c>
      <c r="AA85">
        <v>520000000</v>
      </c>
      <c r="AB85">
        <f>LOG(Table2[[#This Row],[Firm Size]])</f>
        <v>8.7160033436347994</v>
      </c>
      <c r="AC85" s="80">
        <v>-0.18961680998029062</v>
      </c>
    </row>
    <row r="86" spans="1:29" x14ac:dyDescent="0.35">
      <c r="A86" t="s">
        <v>163</v>
      </c>
      <c r="B86">
        <v>0.14814814814814814</v>
      </c>
      <c r="C86">
        <f>IF(Table2[[#This Row],[Return]]=-1,-1,LOG(1+Table2[[#This Row],[Return]]))</f>
        <v>5.9997929675285368E-2</v>
      </c>
      <c r="D86">
        <v>8.0684931506849313</v>
      </c>
      <c r="E86">
        <v>0</v>
      </c>
      <c r="F86">
        <f>IF(Table2[[#This Row],[Geo Distance]]=0,0,LOG(Table2[[#This Row],[Geo Distance]]))</f>
        <v>0</v>
      </c>
      <c r="G86">
        <v>61</v>
      </c>
      <c r="H86">
        <f>IF(Table2[[#This Row],[Target age]]=0,0,LOG(Table2[[#This Row],[Target age]]))</f>
        <v>1.7853298350107671</v>
      </c>
      <c r="I86" s="45">
        <v>3.18</v>
      </c>
      <c r="J86" s="9">
        <v>0</v>
      </c>
      <c r="K86" s="9">
        <f>IF(Table2[[#This Row],[Culture]]=0,0,LOG(Table2[[#This Row],[Culture]]))</f>
        <v>0</v>
      </c>
      <c r="L86" s="24">
        <v>0.35</v>
      </c>
      <c r="M86" s="9">
        <f>LOG(1+Table2[[#This Row],[S&amp;P]])</f>
        <v>0.13033376849500614</v>
      </c>
      <c r="N86">
        <v>0</v>
      </c>
      <c r="O86">
        <f>IF(Table2[[#This Row],[fund age]]=0,0,LOG(Table2[[#This Row],[fund age]]))</f>
        <v>0</v>
      </c>
      <c r="P86">
        <f t="shared" si="1"/>
        <v>0</v>
      </c>
      <c r="Q86">
        <v>85</v>
      </c>
      <c r="R86">
        <v>80</v>
      </c>
      <c r="S86">
        <v>85</v>
      </c>
      <c r="T86" s="34">
        <v>43.5</v>
      </c>
      <c r="U86" s="42">
        <v>52.924485315438503</v>
      </c>
      <c r="V86">
        <v>1682.164</v>
      </c>
      <c r="W86">
        <f>LOG(Table2[[#This Row],[generalist]])</f>
        <v>3.2258683344006376</v>
      </c>
      <c r="X86" s="14">
        <v>1</v>
      </c>
      <c r="Y86">
        <v>9152.2764999999999</v>
      </c>
      <c r="Z86">
        <f>LOG(Table2[[#This Row],[country divers.]])</f>
        <v>3.9615291321450066</v>
      </c>
      <c r="AA86">
        <v>270000000</v>
      </c>
      <c r="AB86">
        <f>LOG(Table2[[#This Row],[Firm Size]])</f>
        <v>8.4313637641589878</v>
      </c>
      <c r="AC86" s="80">
        <v>0.32711690007562222</v>
      </c>
    </row>
    <row r="87" spans="1:29" x14ac:dyDescent="0.35">
      <c r="A87" t="s">
        <v>163</v>
      </c>
      <c r="B87">
        <v>0.90494505494505484</v>
      </c>
      <c r="C87">
        <f>IF(Table2[[#This Row],[Return]]=-1,-1,LOG(1+Table2[[#This Row],[Return]]))</f>
        <v>0.27988245367132186</v>
      </c>
      <c r="D87">
        <v>0.9452054794520548</v>
      </c>
      <c r="E87">
        <v>684.28</v>
      </c>
      <c r="F87">
        <f>IF(Table2[[#This Row],[Geo Distance]]=0,0,LOG(Table2[[#This Row],[Geo Distance]]))</f>
        <v>2.8352338467089053</v>
      </c>
      <c r="G87">
        <v>12</v>
      </c>
      <c r="H87">
        <f>IF(Table2[[#This Row],[Target age]]=0,0,LOG(Table2[[#This Row],[Target age]]))</f>
        <v>1.0791812460476249</v>
      </c>
      <c r="I87" s="45">
        <v>2.85</v>
      </c>
      <c r="J87" s="9">
        <v>1412.5</v>
      </c>
      <c r="K87" s="9">
        <f>IF(Table2[[#This Row],[Culture]]=0,0,LOG(Table2[[#This Row],[Culture]]))</f>
        <v>3.1499884564914762</v>
      </c>
      <c r="L87" s="24">
        <v>0.18</v>
      </c>
      <c r="M87" s="9">
        <f>LOG(1+Table2[[#This Row],[S&amp;P]])</f>
        <v>7.1882007306125359E-2</v>
      </c>
      <c r="N87">
        <v>17</v>
      </c>
      <c r="O87">
        <f>IF(Table2[[#This Row],[fund age]]=0,0,LOG(Table2[[#This Row],[fund age]]))</f>
        <v>1.2304489213782739</v>
      </c>
      <c r="P87">
        <f t="shared" si="1"/>
        <v>1</v>
      </c>
      <c r="Q87">
        <v>85</v>
      </c>
      <c r="R87">
        <v>80</v>
      </c>
      <c r="S87">
        <v>84</v>
      </c>
      <c r="T87" s="34">
        <v>45.4</v>
      </c>
      <c r="U87" s="42">
        <v>57.2278620378247</v>
      </c>
      <c r="V87">
        <v>2515.7884814779904</v>
      </c>
      <c r="W87">
        <f>LOG(Table2[[#This Row],[generalist]])</f>
        <v>3.4006741243771632</v>
      </c>
      <c r="X87" s="14">
        <v>2</v>
      </c>
      <c r="Y87">
        <v>6800.8294844000393</v>
      </c>
      <c r="Z87">
        <f>LOG(Table2[[#This Row],[country divers.]])</f>
        <v>3.8325618860191688</v>
      </c>
      <c r="AA87">
        <v>18200000</v>
      </c>
      <c r="AB87">
        <f>LOG(Table2[[#This Row],[Firm Size]])</f>
        <v>7.2600713879850751</v>
      </c>
      <c r="AC87" s="80">
        <v>6.0820705942256525E-2</v>
      </c>
    </row>
    <row r="88" spans="1:29" x14ac:dyDescent="0.35">
      <c r="A88" s="2" t="s">
        <v>2</v>
      </c>
      <c r="B88">
        <v>2.2165392846224394</v>
      </c>
      <c r="C88">
        <f>IF(Table2[[#This Row],[Return]]=-1,-1,LOG(1+Table2[[#This Row],[Return]]))</f>
        <v>0.50738885994610627</v>
      </c>
      <c r="D88">
        <v>4.2164383561643834</v>
      </c>
      <c r="E88">
        <v>917.19</v>
      </c>
      <c r="F88">
        <f>IF(Table2[[#This Row],[Geo Distance]]=0,0,LOG(Table2[[#This Row],[Geo Distance]]))</f>
        <v>2.9624593110290154</v>
      </c>
      <c r="G88">
        <v>47</v>
      </c>
      <c r="H88">
        <f>IF(Table2[[#This Row],[Target age]]=0,0,LOG(Table2[[#This Row],[Target age]]))</f>
        <v>1.6720978579357175</v>
      </c>
      <c r="I88" s="45">
        <v>2.62</v>
      </c>
      <c r="J88" s="9">
        <v>854.66666666666697</v>
      </c>
      <c r="K88" s="9">
        <f>IF(Table2[[#This Row],[Culture]]=0,0,LOG(Table2[[#This Row],[Culture]]))</f>
        <v>2.9317967661271176</v>
      </c>
      <c r="L88" s="24">
        <v>-0.01</v>
      </c>
      <c r="M88" s="9">
        <f>LOG(1+Table2[[#This Row],[S&amp;P]])</f>
        <v>-4.3648054024500883E-3</v>
      </c>
      <c r="N88">
        <v>16</v>
      </c>
      <c r="O88">
        <f>IF(Table2[[#This Row],[fund age]]=0,0,LOG(Table2[[#This Row],[fund age]]))</f>
        <v>1.2041199826559248</v>
      </c>
      <c r="P88">
        <f t="shared" si="1"/>
        <v>1</v>
      </c>
      <c r="Q88">
        <v>70</v>
      </c>
      <c r="R88">
        <v>70</v>
      </c>
      <c r="S88">
        <v>70</v>
      </c>
      <c r="T88" s="34">
        <v>35</v>
      </c>
      <c r="U88" s="42">
        <v>46.908044131476899</v>
      </c>
      <c r="V88">
        <v>1861.76</v>
      </c>
      <c r="W88">
        <f>LOG(Table2[[#This Row],[generalist]])</f>
        <v>3.2699236952309465</v>
      </c>
      <c r="X88" s="14">
        <v>2</v>
      </c>
      <c r="Y88">
        <v>4993.92</v>
      </c>
      <c r="Z88">
        <f>LOG(Table2[[#This Row],[country divers.]])</f>
        <v>3.6984415808994222</v>
      </c>
      <c r="AA88" s="2">
        <v>240650000</v>
      </c>
      <c r="AB88" s="2">
        <f>LOG(Table2[[#This Row],[Firm Size]])</f>
        <v>8.3813858660133764</v>
      </c>
      <c r="AC88" s="80">
        <v>-7.1408224660084896E-2</v>
      </c>
    </row>
    <row r="89" spans="1:29" x14ac:dyDescent="0.35">
      <c r="A89" s="2" t="s">
        <v>2</v>
      </c>
      <c r="B89">
        <v>3.1509876643475279</v>
      </c>
      <c r="C89">
        <f>IF(Table2[[#This Row],[Return]]=-1,-1,LOG(1+Table2[[#This Row],[Return]]))</f>
        <v>0.61815144277053113</v>
      </c>
      <c r="D89">
        <v>10.597260273972603</v>
      </c>
      <c r="E89">
        <v>917.19</v>
      </c>
      <c r="F89">
        <f>IF(Table2[[#This Row],[Geo Distance]]=0,0,LOG(Table2[[#This Row],[Geo Distance]]))</f>
        <v>2.9624593110290154</v>
      </c>
      <c r="G89">
        <v>55</v>
      </c>
      <c r="H89">
        <f>IF(Table2[[#This Row],[Target age]]=0,0,LOG(Table2[[#This Row],[Target age]]))</f>
        <v>1.7403626894942439</v>
      </c>
      <c r="I89" s="45">
        <v>2.62</v>
      </c>
      <c r="J89" s="9">
        <v>854.66666666666697</v>
      </c>
      <c r="K89" s="9">
        <f>IF(Table2[[#This Row],[Culture]]=0,0,LOG(Table2[[#This Row],[Culture]]))</f>
        <v>2.9317967661271176</v>
      </c>
      <c r="L89" s="24">
        <v>0.81</v>
      </c>
      <c r="M89" s="9">
        <f>LOG(1+Table2[[#This Row],[S&amp;P]])</f>
        <v>0.2576785748691845</v>
      </c>
      <c r="N89">
        <v>38</v>
      </c>
      <c r="O89">
        <f>IF(Table2[[#This Row],[fund age]]=0,0,LOG(Table2[[#This Row],[fund age]]))</f>
        <v>1.5797835966168101</v>
      </c>
      <c r="P89">
        <f t="shared" si="1"/>
        <v>1</v>
      </c>
      <c r="Q89">
        <v>70</v>
      </c>
      <c r="R89">
        <v>70</v>
      </c>
      <c r="S89">
        <v>88.9</v>
      </c>
      <c r="T89" s="34">
        <v>34.9</v>
      </c>
      <c r="U89" s="42">
        <v>42.817370475444001</v>
      </c>
      <c r="V89">
        <v>2028.1233098972416</v>
      </c>
      <c r="W89">
        <f>LOG(Table2[[#This Row],[generalist]])</f>
        <v>3.3070943565685456</v>
      </c>
      <c r="X89" s="14">
        <v>2</v>
      </c>
      <c r="Y89">
        <v>3910.2217414818824</v>
      </c>
      <c r="Z89">
        <f>LOG(Table2[[#This Row],[country divers.]])</f>
        <v>3.5922013861353577</v>
      </c>
      <c r="AA89" s="2">
        <v>1490900000</v>
      </c>
      <c r="AB89" s="2">
        <f>LOG(Table2[[#This Row],[Firm Size]])</f>
        <v>9.1734485147443152</v>
      </c>
      <c r="AC89" s="80">
        <v>0.27534021686205112</v>
      </c>
    </row>
    <row r="90" spans="1:29" x14ac:dyDescent="0.35">
      <c r="A90" t="s">
        <v>2</v>
      </c>
      <c r="B90">
        <v>2.2134113783133014</v>
      </c>
      <c r="C90">
        <f>IF(Table2[[#This Row],[Return]]=-1,-1,LOG(1+Table2[[#This Row],[Return]]))</f>
        <v>0.50696632713727663</v>
      </c>
      <c r="D90">
        <v>3.6356164383561644</v>
      </c>
      <c r="E90">
        <v>917.19</v>
      </c>
      <c r="F90">
        <f>IF(Table2[[#This Row],[Geo Distance]]=0,0,LOG(Table2[[#This Row],[Geo Distance]]))</f>
        <v>2.9624593110290154</v>
      </c>
      <c r="G90">
        <v>46</v>
      </c>
      <c r="H90">
        <f>IF(Table2[[#This Row],[Target age]]=0,0,LOG(Table2[[#This Row],[Target age]]))</f>
        <v>1.6627578316815741</v>
      </c>
      <c r="I90" s="45">
        <v>2.62</v>
      </c>
      <c r="J90" s="9">
        <v>854.66666666666697</v>
      </c>
      <c r="K90" s="9">
        <f>IF(Table2[[#This Row],[Culture]]=0,0,LOG(Table2[[#This Row],[Culture]]))</f>
        <v>2.9317967661271176</v>
      </c>
      <c r="L90" s="24">
        <v>0.46</v>
      </c>
      <c r="M90" s="9">
        <f>LOG(1+Table2[[#This Row],[S&amp;P]])</f>
        <v>0.16435285578443709</v>
      </c>
      <c r="N90">
        <v>22</v>
      </c>
      <c r="O90">
        <f>IF(Table2[[#This Row],[fund age]]=0,0,LOG(Table2[[#This Row],[fund age]]))</f>
        <v>1.3424226808222062</v>
      </c>
      <c r="P90">
        <f t="shared" si="1"/>
        <v>1</v>
      </c>
      <c r="Q90">
        <v>70</v>
      </c>
      <c r="R90">
        <v>70</v>
      </c>
      <c r="S90">
        <v>70</v>
      </c>
      <c r="T90" s="34">
        <v>34.6</v>
      </c>
      <c r="U90" s="42">
        <v>47.8156192569637</v>
      </c>
      <c r="V90">
        <v>1669.0315000000001</v>
      </c>
      <c r="W90">
        <f>LOG(Table2[[#This Row],[generalist]])</f>
        <v>3.2224645332922388</v>
      </c>
      <c r="X90" s="14">
        <v>3</v>
      </c>
      <c r="Y90">
        <v>5094.7950000000001</v>
      </c>
      <c r="Z90">
        <f>LOG(Table2[[#This Row],[country divers.]])</f>
        <v>3.707126713924402</v>
      </c>
      <c r="AA90">
        <v>992590000</v>
      </c>
      <c r="AB90">
        <f>LOG(Table2[[#This Row],[Firm Size]])</f>
        <v>8.9967698955170619</v>
      </c>
      <c r="AC90" s="80">
        <v>0.62505034232782952</v>
      </c>
    </row>
    <row r="91" spans="1:29" x14ac:dyDescent="0.35">
      <c r="A91" t="s">
        <v>2</v>
      </c>
      <c r="B91">
        <v>5.1111111111111107</v>
      </c>
      <c r="C91">
        <f>IF(Table2[[#This Row],[Return]]=-1,-1,LOG(1+Table2[[#This Row],[Return]]))</f>
        <v>0.7861201800549189</v>
      </c>
      <c r="D91">
        <v>4.3890410958904109</v>
      </c>
      <c r="E91">
        <v>6815.73</v>
      </c>
      <c r="F91">
        <f>IF(Table2[[#This Row],[Geo Distance]]=0,0,LOG(Table2[[#This Row],[Geo Distance]]))</f>
        <v>3.8335123778512705</v>
      </c>
      <c r="G91">
        <v>40</v>
      </c>
      <c r="H91">
        <f>IF(Table2[[#This Row],[Target age]]=0,0,LOG(Table2[[#This Row],[Target age]]))</f>
        <v>1.6020599913279623</v>
      </c>
      <c r="I91" s="45">
        <v>2.85</v>
      </c>
      <c r="J91" s="9">
        <v>819</v>
      </c>
      <c r="K91" s="9">
        <f>IF(Table2[[#This Row],[Culture]]=0,0,LOG(Table2[[#This Row],[Culture]]))</f>
        <v>2.9132839017604186</v>
      </c>
      <c r="L91" s="24">
        <v>0.63</v>
      </c>
      <c r="M91" s="9">
        <f>LOG(1+Table2[[#This Row],[S&amp;P]])</f>
        <v>0.21218760440395779</v>
      </c>
      <c r="N91">
        <v>26</v>
      </c>
      <c r="O91">
        <f>IF(Table2[[#This Row],[fund age]]=0,0,LOG(Table2[[#This Row],[fund age]]))</f>
        <v>1.414973347970818</v>
      </c>
      <c r="P91">
        <f t="shared" si="1"/>
        <v>1</v>
      </c>
      <c r="Q91">
        <v>70</v>
      </c>
      <c r="R91">
        <v>70</v>
      </c>
      <c r="S91">
        <v>92.1</v>
      </c>
      <c r="T91" s="34">
        <v>36.799999999999997</v>
      </c>
      <c r="U91" s="42">
        <v>44.688349184782602</v>
      </c>
      <c r="V91" s="34">
        <v>1246.953</v>
      </c>
      <c r="W91" s="34">
        <f>LOG(Table2[[#This Row],[generalist]])</f>
        <v>3.0958500844125241</v>
      </c>
      <c r="X91" s="14">
        <v>3</v>
      </c>
      <c r="Y91">
        <v>3219.7179999999998</v>
      </c>
      <c r="Z91">
        <f>LOG(Table2[[#This Row],[country divers.]])</f>
        <v>3.5078178355445662</v>
      </c>
      <c r="AA91">
        <v>180000000</v>
      </c>
      <c r="AB91">
        <f>LOG(Table2[[#This Row],[Firm Size]])</f>
        <v>8.2552725051033065</v>
      </c>
      <c r="AC91" s="80">
        <v>0.21706809932986348</v>
      </c>
    </row>
    <row r="92" spans="1:29" x14ac:dyDescent="0.35">
      <c r="A92" t="s">
        <v>2</v>
      </c>
      <c r="B92">
        <v>1.3625333333333334</v>
      </c>
      <c r="C92">
        <f>IF(Table2[[#This Row],[Return]]=-1,-1,LOG(1+Table2[[#This Row],[Return]]))</f>
        <v>0.37337794474981029</v>
      </c>
      <c r="D92">
        <v>2.6547945205479451</v>
      </c>
      <c r="E92">
        <v>6815.73</v>
      </c>
      <c r="F92">
        <f>IF(Table2[[#This Row],[Geo Distance]]=0,0,LOG(Table2[[#This Row],[Geo Distance]]))</f>
        <v>3.8335123778512705</v>
      </c>
      <c r="G92">
        <v>1</v>
      </c>
      <c r="H92">
        <f>IF(Table2[[#This Row],[Target age]]=0,0,LOG(Table2[[#This Row],[Target age]]))</f>
        <v>0</v>
      </c>
      <c r="I92" s="45">
        <v>2.85</v>
      </c>
      <c r="J92" s="9">
        <v>819</v>
      </c>
      <c r="K92" s="9">
        <f>IF(Table2[[#This Row],[Culture]]=0,0,LOG(Table2[[#This Row],[Culture]]))</f>
        <v>2.9132839017604186</v>
      </c>
      <c r="L92" s="24">
        <v>0.2</v>
      </c>
      <c r="M92" s="9">
        <f>LOG(1+Table2[[#This Row],[S&amp;P]])</f>
        <v>7.9181246047624818E-2</v>
      </c>
      <c r="N92">
        <v>17</v>
      </c>
      <c r="O92">
        <f>IF(Table2[[#This Row],[fund age]]=0,0,LOG(Table2[[#This Row],[fund age]]))</f>
        <v>1.2304489213782739</v>
      </c>
      <c r="P92">
        <f t="shared" si="1"/>
        <v>1</v>
      </c>
      <c r="Q92">
        <v>70</v>
      </c>
      <c r="R92">
        <v>70</v>
      </c>
      <c r="S92">
        <v>70</v>
      </c>
      <c r="T92" s="34">
        <v>33.9</v>
      </c>
      <c r="U92" s="42">
        <v>46.312020505412598</v>
      </c>
      <c r="V92">
        <v>1246.953</v>
      </c>
      <c r="W92">
        <f>LOG(Table2[[#This Row],[generalist]])</f>
        <v>3.0958500844125241</v>
      </c>
      <c r="X92" s="14">
        <v>3</v>
      </c>
      <c r="Y92">
        <v>3219.7179999999998</v>
      </c>
      <c r="Z92">
        <f>LOG(Table2[[#This Row],[country divers.]])</f>
        <v>3.5078178355445662</v>
      </c>
      <c r="AA92">
        <v>300000000</v>
      </c>
      <c r="AB92">
        <f>LOG(Table2[[#This Row],[Firm Size]])</f>
        <v>8.4771212547196626</v>
      </c>
      <c r="AC92" s="80">
        <v>0.31891694685477612</v>
      </c>
    </row>
    <row r="93" spans="1:29" x14ac:dyDescent="0.35">
      <c r="A93" t="s">
        <v>2</v>
      </c>
      <c r="B93">
        <v>-0.82208461538461541</v>
      </c>
      <c r="C93">
        <f>IF(Table2[[#This Row],[Return]]=-1,-1,LOG(1+Table2[[#This Row],[Return]]))</f>
        <v>-0.74978649618430626</v>
      </c>
      <c r="D93">
        <v>5.3835616438356162</v>
      </c>
      <c r="E93">
        <v>6815.73</v>
      </c>
      <c r="F93">
        <f>IF(Table2[[#This Row],[Geo Distance]]=0,0,LOG(Table2[[#This Row],[Geo Distance]]))</f>
        <v>3.8335123778512705</v>
      </c>
      <c r="G93">
        <v>42</v>
      </c>
      <c r="H93">
        <f>IF(Table2[[#This Row],[Target age]]=0,0,LOG(Table2[[#This Row],[Target age]]))</f>
        <v>1.6232492903979006</v>
      </c>
      <c r="I93" s="45">
        <v>2.85</v>
      </c>
      <c r="J93" s="9">
        <v>819</v>
      </c>
      <c r="K93" s="9">
        <f>IF(Table2[[#This Row],[Culture]]=0,0,LOG(Table2[[#This Row],[Culture]]))</f>
        <v>2.9132839017604186</v>
      </c>
      <c r="L93" s="24">
        <v>-0.01</v>
      </c>
      <c r="M93" s="9">
        <f>LOG(1+Table2[[#This Row],[S&amp;P]])</f>
        <v>-4.3648054024500883E-3</v>
      </c>
      <c r="N93">
        <v>22</v>
      </c>
      <c r="O93">
        <f>IF(Table2[[#This Row],[fund age]]=0,0,LOG(Table2[[#This Row],[fund age]]))</f>
        <v>1.3424226808222062</v>
      </c>
      <c r="P93">
        <f t="shared" si="1"/>
        <v>1</v>
      </c>
      <c r="Q93">
        <v>70</v>
      </c>
      <c r="R93">
        <v>70</v>
      </c>
      <c r="S93">
        <v>88.9</v>
      </c>
      <c r="T93" s="34">
        <v>34.9</v>
      </c>
      <c r="U93" s="42">
        <v>42.817370475444001</v>
      </c>
      <c r="V93">
        <v>2315.9650000000001</v>
      </c>
      <c r="W93">
        <f>LOG(Table2[[#This Row],[generalist]])</f>
        <v>3.3647319918335836</v>
      </c>
      <c r="X93" s="14">
        <v>4</v>
      </c>
      <c r="Y93">
        <v>3703.9029999999998</v>
      </c>
      <c r="Z93">
        <f>LOG(Table2[[#This Row],[country divers.]])</f>
        <v>3.568659604598353</v>
      </c>
      <c r="AA93">
        <v>1300000000</v>
      </c>
      <c r="AB93">
        <f>LOG(Table2[[#This Row],[Firm Size]])</f>
        <v>9.1139433523068369</v>
      </c>
      <c r="AC93" s="80">
        <v>-5.8045340271740353E-2</v>
      </c>
    </row>
    <row r="94" spans="1:29" x14ac:dyDescent="0.35">
      <c r="A94" t="s">
        <v>2</v>
      </c>
      <c r="B94">
        <v>1.9</v>
      </c>
      <c r="C94">
        <f>IF(Table2[[#This Row],[Return]]=-1,-1,LOG(1+Table2[[#This Row],[Return]]))</f>
        <v>0.46239799789895608</v>
      </c>
      <c r="D94">
        <v>3.7095890410958905</v>
      </c>
      <c r="E94">
        <v>6815.73</v>
      </c>
      <c r="F94">
        <f>IF(Table2[[#This Row],[Geo Distance]]=0,0,LOG(Table2[[#This Row],[Geo Distance]]))</f>
        <v>3.8335123778512705</v>
      </c>
      <c r="G94">
        <v>111</v>
      </c>
      <c r="H94">
        <f>IF(Table2[[#This Row],[Target age]]=0,0,LOG(Table2[[#This Row],[Target age]]))</f>
        <v>2.0453229787866576</v>
      </c>
      <c r="I94" s="45">
        <v>2.85</v>
      </c>
      <c r="J94" s="9">
        <v>819</v>
      </c>
      <c r="K94" s="9">
        <f>IF(Table2[[#This Row],[Culture]]=0,0,LOG(Table2[[#This Row],[Culture]]))</f>
        <v>2.9132839017604186</v>
      </c>
      <c r="L94" s="24">
        <v>0.51</v>
      </c>
      <c r="M94" s="9">
        <f>LOG(1+Table2[[#This Row],[S&amp;P]])</f>
        <v>0.17897694729316943</v>
      </c>
      <c r="N94">
        <v>18</v>
      </c>
      <c r="O94">
        <f>IF(Table2[[#This Row],[fund age]]=0,0,LOG(Table2[[#This Row],[fund age]]))</f>
        <v>1.255272505103306</v>
      </c>
      <c r="P94">
        <f t="shared" si="1"/>
        <v>1</v>
      </c>
      <c r="Q94">
        <v>70</v>
      </c>
      <c r="R94">
        <v>70</v>
      </c>
      <c r="S94">
        <v>70</v>
      </c>
      <c r="T94" s="34">
        <v>34.6</v>
      </c>
      <c r="U94" s="42">
        <v>47.8156192569637</v>
      </c>
      <c r="V94">
        <v>2315.9650000000001</v>
      </c>
      <c r="W94">
        <f>LOG(Table2[[#This Row],[generalist]])</f>
        <v>3.3647319918335836</v>
      </c>
      <c r="X94" s="14">
        <v>4</v>
      </c>
      <c r="Y94">
        <v>3703.9029999999998</v>
      </c>
      <c r="Z94">
        <f>LOG(Table2[[#This Row],[country divers.]])</f>
        <v>3.568659604598353</v>
      </c>
      <c r="AA94">
        <v>500000000</v>
      </c>
      <c r="AB94">
        <f>LOG(Table2[[#This Row],[Firm Size]])</f>
        <v>8.6989700043360187</v>
      </c>
      <c r="AC94" s="80">
        <v>0.616410231982089</v>
      </c>
    </row>
    <row r="95" spans="1:29" x14ac:dyDescent="0.35">
      <c r="A95" t="s">
        <v>2</v>
      </c>
      <c r="B95">
        <v>0.52222222222222214</v>
      </c>
      <c r="C95">
        <f>IF(Table2[[#This Row],[Return]]=-1,-1,LOG(1+Table2[[#This Row],[Return]]))</f>
        <v>0.18247805771708187</v>
      </c>
      <c r="D95">
        <v>4.3260273972602743</v>
      </c>
      <c r="E95">
        <v>1314.22</v>
      </c>
      <c r="F95">
        <f>IF(Table2[[#This Row],[Geo Distance]]=0,0,LOG(Table2[[#This Row],[Geo Distance]]))</f>
        <v>3.1186680720643172</v>
      </c>
      <c r="G95">
        <v>11</v>
      </c>
      <c r="H95">
        <f>IF(Table2[[#This Row],[Target age]]=0,0,LOG(Table2[[#This Row],[Target age]]))</f>
        <v>1.0413926851582251</v>
      </c>
      <c r="I95" s="45">
        <v>3.13</v>
      </c>
      <c r="J95" s="9">
        <v>1177</v>
      </c>
      <c r="K95" s="9">
        <f>IF(Table2[[#This Row],[Culture]]=0,0,LOG(Table2[[#This Row],[Culture]]))</f>
        <v>3.0707764628434346</v>
      </c>
      <c r="L95" s="24">
        <v>0.67</v>
      </c>
      <c r="M95" s="9">
        <f>LOG(1+Table2[[#This Row],[S&amp;P]])</f>
        <v>0.22271647114758325</v>
      </c>
      <c r="N95">
        <v>18</v>
      </c>
      <c r="O95">
        <f>IF(Table2[[#This Row],[fund age]]=0,0,LOG(Table2[[#This Row],[fund age]]))</f>
        <v>1.255272505103306</v>
      </c>
      <c r="P95">
        <f t="shared" si="1"/>
        <v>1</v>
      </c>
      <c r="Q95">
        <v>70</v>
      </c>
      <c r="R95">
        <v>70</v>
      </c>
      <c r="S95">
        <v>90.5</v>
      </c>
      <c r="T95" s="34">
        <v>36.4</v>
      </c>
      <c r="U95" s="42">
        <v>44.295389122127702</v>
      </c>
      <c r="V95">
        <v>1450.8446376578247</v>
      </c>
      <c r="W95">
        <f>LOG(Table2[[#This Row],[generalist]])</f>
        <v>3.1616209089088487</v>
      </c>
      <c r="X95" s="14">
        <v>2</v>
      </c>
      <c r="Y95">
        <v>6306.1358665754287</v>
      </c>
      <c r="Z95">
        <f>LOG(Table2[[#This Row],[country divers.]])</f>
        <v>3.7997633234477775</v>
      </c>
      <c r="AA95">
        <v>1800000000</v>
      </c>
      <c r="AB95">
        <f>LOG(Table2[[#This Row],[Firm Size]])</f>
        <v>9.2552725051033065</v>
      </c>
      <c r="AC95" s="80">
        <v>0.29490812385537235</v>
      </c>
    </row>
    <row r="96" spans="1:29" x14ac:dyDescent="0.35">
      <c r="A96" t="s">
        <v>2</v>
      </c>
      <c r="B96">
        <v>0.44782608695652182</v>
      </c>
      <c r="C96">
        <f>IF(Table2[[#This Row],[Return]]=-1,-1,LOG(1+Table2[[#This Row],[Return]]))</f>
        <v>0.16071639748872701</v>
      </c>
      <c r="D96">
        <v>3.5342465753424657</v>
      </c>
      <c r="E96">
        <v>1314.22</v>
      </c>
      <c r="F96">
        <f>IF(Table2[[#This Row],[Geo Distance]]=0,0,LOG(Table2[[#This Row],[Geo Distance]]))</f>
        <v>3.1186680720643172</v>
      </c>
      <c r="G96">
        <v>168</v>
      </c>
      <c r="H96">
        <f>IF(Table2[[#This Row],[Target age]]=0,0,LOG(Table2[[#This Row],[Target age]]))</f>
        <v>2.2253092817258628</v>
      </c>
      <c r="I96" s="45">
        <v>3.13</v>
      </c>
      <c r="J96" s="9">
        <v>1177</v>
      </c>
      <c r="K96" s="9">
        <f>IF(Table2[[#This Row],[Culture]]=0,0,LOG(Table2[[#This Row],[Culture]]))</f>
        <v>3.0707764628434346</v>
      </c>
      <c r="L96" s="24">
        <v>0.51</v>
      </c>
      <c r="M96" s="9">
        <f>LOG(1+Table2[[#This Row],[S&amp;P]])</f>
        <v>0.17897694729316943</v>
      </c>
      <c r="N96">
        <v>16</v>
      </c>
      <c r="O96">
        <f>IF(Table2[[#This Row],[fund age]]=0,0,LOG(Table2[[#This Row],[fund age]]))</f>
        <v>1.2041199826559248</v>
      </c>
      <c r="P96">
        <f t="shared" si="1"/>
        <v>1</v>
      </c>
      <c r="Q96">
        <v>70</v>
      </c>
      <c r="R96">
        <v>70</v>
      </c>
      <c r="S96">
        <v>89.6</v>
      </c>
      <c r="T96" s="34">
        <v>35</v>
      </c>
      <c r="U96" s="42">
        <v>47.255451423610303</v>
      </c>
      <c r="V96">
        <v>1450.8446376578247</v>
      </c>
      <c r="W96">
        <f>LOG(Table2[[#This Row],[generalist]])</f>
        <v>3.1616209089088487</v>
      </c>
      <c r="X96" s="14">
        <v>2</v>
      </c>
      <c r="Y96">
        <v>6306.1358665754287</v>
      </c>
      <c r="Z96">
        <f>LOG(Table2[[#This Row],[country divers.]])</f>
        <v>3.7997633234477775</v>
      </c>
      <c r="AA96">
        <v>2300000000</v>
      </c>
      <c r="AB96">
        <f>LOG(Table2[[#This Row],[Firm Size]])</f>
        <v>9.3617278360175931</v>
      </c>
      <c r="AC96" s="80">
        <v>0.26631026443029571</v>
      </c>
    </row>
    <row r="97" spans="1:29" x14ac:dyDescent="0.35">
      <c r="A97" t="s">
        <v>2</v>
      </c>
      <c r="B97">
        <v>0.86452620228543098</v>
      </c>
      <c r="C97">
        <f>IF(Table2[[#This Row],[Return]]=-1,-1,LOG(1+Table2[[#This Row],[Return]]))</f>
        <v>0.27056849090355672</v>
      </c>
      <c r="D97">
        <v>8.7561643835616429</v>
      </c>
      <c r="E97">
        <v>1314.22</v>
      </c>
      <c r="F97">
        <f>IF(Table2[[#This Row],[Geo Distance]]=0,0,LOG(Table2[[#This Row],[Geo Distance]]))</f>
        <v>3.1186680720643172</v>
      </c>
      <c r="G97">
        <v>3</v>
      </c>
      <c r="H97">
        <f>IF(Table2[[#This Row],[Target age]]=0,0,LOG(Table2[[#This Row],[Target age]]))</f>
        <v>0.47712125471966244</v>
      </c>
      <c r="I97" s="45">
        <v>3.13</v>
      </c>
      <c r="J97" s="9">
        <v>1177</v>
      </c>
      <c r="K97" s="9">
        <f>IF(Table2[[#This Row],[Culture]]=0,0,LOG(Table2[[#This Row],[Culture]]))</f>
        <v>3.0707764628434346</v>
      </c>
      <c r="L97" s="24">
        <v>0.85</v>
      </c>
      <c r="M97" s="9">
        <f>LOG(1+Table2[[#This Row],[S&amp;P]])</f>
        <v>0.26717172840301384</v>
      </c>
      <c r="N97">
        <v>14</v>
      </c>
      <c r="O97">
        <f>IF(Table2[[#This Row],[fund age]]=0,0,LOG(Table2[[#This Row],[fund age]]))</f>
        <v>1.146128035678238</v>
      </c>
      <c r="P97">
        <f t="shared" si="1"/>
        <v>1</v>
      </c>
      <c r="Q97">
        <v>70</v>
      </c>
      <c r="R97">
        <v>70</v>
      </c>
      <c r="S97">
        <v>89.9</v>
      </c>
      <c r="T97" s="34">
        <v>35.4</v>
      </c>
      <c r="U97" s="42">
        <v>43.572845019400901</v>
      </c>
      <c r="V97">
        <v>1450.8446376578247</v>
      </c>
      <c r="W97">
        <f>LOG(Table2[[#This Row],[generalist]])</f>
        <v>3.1616209089088487</v>
      </c>
      <c r="X97" s="14">
        <v>2</v>
      </c>
      <c r="Y97">
        <v>6306.1358665754287</v>
      </c>
      <c r="Z97">
        <f>LOG(Table2[[#This Row],[country divers.]])</f>
        <v>3.7997633234477775</v>
      </c>
      <c r="AA97">
        <v>455879890</v>
      </c>
      <c r="AB97">
        <f>LOG(Table2[[#This Row],[Firm Size]])</f>
        <v>8.658850434810736</v>
      </c>
      <c r="AC97" s="80">
        <v>0.38639272678653391</v>
      </c>
    </row>
    <row r="98" spans="1:29" x14ac:dyDescent="0.35">
      <c r="A98" t="s">
        <v>2</v>
      </c>
      <c r="B98">
        <v>52.345938280775201</v>
      </c>
      <c r="C98">
        <f>IF(Table2[[#This Row],[Return]]=-1,-1,LOG(1+Table2[[#This Row],[Return]]))</f>
        <v>1.727101358167259</v>
      </c>
      <c r="D98">
        <v>4.904109589041096</v>
      </c>
      <c r="E98">
        <v>1314.22</v>
      </c>
      <c r="F98">
        <f>IF(Table2[[#This Row],[Geo Distance]]=0,0,LOG(Table2[[#This Row],[Geo Distance]]))</f>
        <v>3.1186680720643172</v>
      </c>
      <c r="G98">
        <v>5</v>
      </c>
      <c r="H98">
        <f>IF(Table2[[#This Row],[Target age]]=0,0,LOG(Table2[[#This Row],[Target age]]))</f>
        <v>0.69897000433601886</v>
      </c>
      <c r="I98" s="45">
        <v>3.13</v>
      </c>
      <c r="J98" s="9">
        <v>1177</v>
      </c>
      <c r="K98" s="9">
        <f>IF(Table2[[#This Row],[Culture]]=0,0,LOG(Table2[[#This Row],[Culture]]))</f>
        <v>3.0707764628434346</v>
      </c>
      <c r="L98" s="24">
        <v>-0.01</v>
      </c>
      <c r="M98" s="9">
        <f>LOG(1+Table2[[#This Row],[S&amp;P]])</f>
        <v>-4.3648054024500883E-3</v>
      </c>
      <c r="N98">
        <v>12</v>
      </c>
      <c r="O98">
        <f>IF(Table2[[#This Row],[fund age]]=0,0,LOG(Table2[[#This Row],[fund age]]))</f>
        <v>1.0791812460476249</v>
      </c>
      <c r="P98">
        <f t="shared" si="1"/>
        <v>1</v>
      </c>
      <c r="Q98">
        <v>70</v>
      </c>
      <c r="R98">
        <v>70</v>
      </c>
      <c r="S98">
        <v>89.1</v>
      </c>
      <c r="T98" s="34">
        <v>34.5</v>
      </c>
      <c r="U98" s="42">
        <v>44.696333437793797</v>
      </c>
      <c r="V98">
        <v>1450.8446376578247</v>
      </c>
      <c r="W98">
        <f>LOG(Table2[[#This Row],[generalist]])</f>
        <v>3.1616209089088487</v>
      </c>
      <c r="X98" s="14">
        <v>2</v>
      </c>
      <c r="Y98">
        <v>6306.1358665754287</v>
      </c>
      <c r="Z98">
        <f>LOG(Table2[[#This Row],[country divers.]])</f>
        <v>3.7997633234477775</v>
      </c>
      <c r="AA98">
        <v>1300000000</v>
      </c>
      <c r="AB98">
        <f>LOG(Table2[[#This Row],[Firm Size]])</f>
        <v>9.1139433523068369</v>
      </c>
      <c r="AC98" s="80">
        <v>-2.9286602728828215E-2</v>
      </c>
    </row>
    <row r="99" spans="1:29" x14ac:dyDescent="0.35">
      <c r="A99" t="s">
        <v>2</v>
      </c>
      <c r="B99">
        <v>0.91616766467065869</v>
      </c>
      <c r="C99">
        <f>IF(Table2[[#This Row],[Return]]=-1,-1,LOG(1+Table2[[#This Row],[Return]]))</f>
        <v>0.28243350717232268</v>
      </c>
      <c r="D99">
        <v>10.736986301369862</v>
      </c>
      <c r="E99">
        <v>1314.22</v>
      </c>
      <c r="F99">
        <f>IF(Table2[[#This Row],[Geo Distance]]=0,0,LOG(Table2[[#This Row],[Geo Distance]]))</f>
        <v>3.1186680720643172</v>
      </c>
      <c r="G99">
        <v>18</v>
      </c>
      <c r="H99">
        <f>IF(Table2[[#This Row],[Target age]]=0,0,LOG(Table2[[#This Row],[Target age]]))</f>
        <v>1.255272505103306</v>
      </c>
      <c r="I99" s="45">
        <v>3.13</v>
      </c>
      <c r="J99" s="9">
        <v>1177</v>
      </c>
      <c r="K99" s="9">
        <f>IF(Table2[[#This Row],[Culture]]=0,0,LOG(Table2[[#This Row],[Culture]]))</f>
        <v>3.0707764628434346</v>
      </c>
      <c r="L99" s="24">
        <v>-0.42</v>
      </c>
      <c r="M99" s="9">
        <f>LOG(1+Table2[[#This Row],[S&amp;P]])</f>
        <v>-0.23657200643706267</v>
      </c>
      <c r="N99">
        <v>21</v>
      </c>
      <c r="O99">
        <f>IF(Table2[[#This Row],[fund age]]=0,0,LOG(Table2[[#This Row],[fund age]]))</f>
        <v>1.3222192947339193</v>
      </c>
      <c r="P99">
        <f t="shared" si="1"/>
        <v>1</v>
      </c>
      <c r="Q99">
        <v>70</v>
      </c>
      <c r="R99">
        <v>70</v>
      </c>
      <c r="S99">
        <v>88.2</v>
      </c>
      <c r="T99" s="34">
        <v>37</v>
      </c>
      <c r="U99" s="42">
        <v>43.709255262622698</v>
      </c>
      <c r="V99">
        <v>1450.8446376578247</v>
      </c>
      <c r="W99">
        <f>LOG(Table2[[#This Row],[generalist]])</f>
        <v>3.1616209089088487</v>
      </c>
      <c r="X99" s="14">
        <v>2</v>
      </c>
      <c r="Y99">
        <v>6306.1358665754287</v>
      </c>
      <c r="Z99">
        <f>LOG(Table2[[#This Row],[country divers.]])</f>
        <v>3.7997633234477775</v>
      </c>
      <c r="AA99">
        <v>417500000</v>
      </c>
      <c r="AB99">
        <f>LOG(Table2[[#This Row],[Firm Size]])</f>
        <v>8.6206564798196208</v>
      </c>
      <c r="AC99" s="80">
        <v>-0.28554185721011316</v>
      </c>
    </row>
    <row r="100" spans="1:29" x14ac:dyDescent="0.35">
      <c r="A100" t="s">
        <v>2</v>
      </c>
      <c r="B100">
        <v>2.9458333333333333</v>
      </c>
      <c r="C100">
        <f>IF(Table2[[#This Row],[Return]]=-1,-1,LOG(1+Table2[[#This Row],[Return]]))</f>
        <v>0.59613873729166744</v>
      </c>
      <c r="D100">
        <v>3.2082191780821918</v>
      </c>
      <c r="E100">
        <v>6815.73</v>
      </c>
      <c r="F100">
        <f>IF(Table2[[#This Row],[Geo Distance]]=0,0,LOG(Table2[[#This Row],[Geo Distance]]))</f>
        <v>3.8335123778512705</v>
      </c>
      <c r="G100">
        <v>6</v>
      </c>
      <c r="H100">
        <f>IF(Table2[[#This Row],[Target age]]=0,0,LOG(Table2[[#This Row],[Target age]]))</f>
        <v>0.77815125038364363</v>
      </c>
      <c r="I100" s="45">
        <v>2.85</v>
      </c>
      <c r="J100" s="9">
        <v>819</v>
      </c>
      <c r="K100" s="9">
        <f>IF(Table2[[#This Row],[Culture]]=0,0,LOG(Table2[[#This Row],[Culture]]))</f>
        <v>2.9132839017604186</v>
      </c>
      <c r="L100" s="24">
        <v>0.69</v>
      </c>
      <c r="M100" s="9">
        <f>LOG(1+Table2[[#This Row],[S&amp;P]])</f>
        <v>0.22788670461367352</v>
      </c>
      <c r="N100">
        <v>35</v>
      </c>
      <c r="O100">
        <f>IF(Table2[[#This Row],[fund age]]=0,0,LOG(Table2[[#This Row],[fund age]]))</f>
        <v>1.5440680443502757</v>
      </c>
      <c r="P100">
        <f t="shared" si="1"/>
        <v>1</v>
      </c>
      <c r="Q100">
        <v>70</v>
      </c>
      <c r="R100">
        <v>70</v>
      </c>
      <c r="S100">
        <v>89.6</v>
      </c>
      <c r="T100" s="34">
        <v>35.700000000000003</v>
      </c>
      <c r="U100" s="42">
        <v>44.7100017757258</v>
      </c>
      <c r="V100">
        <v>1171.498</v>
      </c>
      <c r="W100">
        <f>LOG(Table2[[#This Row],[generalist]])</f>
        <v>3.0687415514991745</v>
      </c>
      <c r="X100" s="14">
        <v>4</v>
      </c>
      <c r="Y100">
        <v>3386.1060000000002</v>
      </c>
      <c r="Z100">
        <f>LOG(Table2[[#This Row],[country divers.]])</f>
        <v>3.5297005493117593</v>
      </c>
      <c r="AA100">
        <v>240000000</v>
      </c>
      <c r="AB100">
        <f>LOG(Table2[[#This Row],[Firm Size]])</f>
        <v>8.3802112417116064</v>
      </c>
      <c r="AC100" s="80">
        <v>0.26214773379211698</v>
      </c>
    </row>
    <row r="101" spans="1:29" x14ac:dyDescent="0.35">
      <c r="A101" t="s">
        <v>2</v>
      </c>
      <c r="B101">
        <v>0.40217332890876167</v>
      </c>
      <c r="C101">
        <f>IF(Table2[[#This Row],[Return]]=-1,-1,LOG(1+Table2[[#This Row],[Return]]))</f>
        <v>0.14680170202996193</v>
      </c>
      <c r="D101">
        <v>4.484931506849315</v>
      </c>
      <c r="E101">
        <v>6815.73</v>
      </c>
      <c r="F101">
        <f>IF(Table2[[#This Row],[Geo Distance]]=0,0,LOG(Table2[[#This Row],[Geo Distance]]))</f>
        <v>3.8335123778512705</v>
      </c>
      <c r="G101">
        <v>159</v>
      </c>
      <c r="H101">
        <f>IF(Table2[[#This Row],[Target age]]=0,0,LOG(Table2[[#This Row],[Target age]]))</f>
        <v>2.2013971243204513</v>
      </c>
      <c r="I101" s="45">
        <v>2.85</v>
      </c>
      <c r="J101" s="9">
        <v>819</v>
      </c>
      <c r="K101" s="9">
        <f>IF(Table2[[#This Row],[Culture]]=0,0,LOG(Table2[[#This Row],[Culture]]))</f>
        <v>2.9132839017604186</v>
      </c>
      <c r="L101" s="24">
        <v>0.67</v>
      </c>
      <c r="M101" s="9">
        <f>LOG(1+Table2[[#This Row],[S&amp;P]])</f>
        <v>0.22271647114758325</v>
      </c>
      <c r="N101">
        <v>36</v>
      </c>
      <c r="O101">
        <f>IF(Table2[[#This Row],[fund age]]=0,0,LOG(Table2[[#This Row],[fund age]]))</f>
        <v>1.5563025007672873</v>
      </c>
      <c r="P101">
        <f t="shared" si="1"/>
        <v>1</v>
      </c>
      <c r="Q101">
        <v>70</v>
      </c>
      <c r="R101">
        <v>70</v>
      </c>
      <c r="S101">
        <v>90.5</v>
      </c>
      <c r="T101" s="34">
        <v>36.4</v>
      </c>
      <c r="U101" s="42">
        <v>44.295389122127702</v>
      </c>
      <c r="V101">
        <v>1171.498</v>
      </c>
      <c r="W101">
        <f>LOG(Table2[[#This Row],[generalist]])</f>
        <v>3.0687415514991745</v>
      </c>
      <c r="X101" s="14">
        <v>4</v>
      </c>
      <c r="Y101">
        <v>3386.1060000000002</v>
      </c>
      <c r="Z101">
        <f>LOG(Table2[[#This Row],[country divers.]])</f>
        <v>3.5297005493117593</v>
      </c>
      <c r="AA101">
        <v>1202168337</v>
      </c>
      <c r="AB101">
        <f>LOG(Table2[[#This Row],[Firm Size]])</f>
        <v>9.0799652852302781</v>
      </c>
      <c r="AC101" s="80">
        <v>0.29574162091105549</v>
      </c>
    </row>
    <row r="102" spans="1:29" x14ac:dyDescent="0.35">
      <c r="A102" t="s">
        <v>2</v>
      </c>
      <c r="B102">
        <v>0.24195661953099035</v>
      </c>
      <c r="C102">
        <f>IF(Table2[[#This Row],[Return]]=-1,-1,LOG(1+Table2[[#This Row],[Return]]))</f>
        <v>9.4106426575392227E-2</v>
      </c>
      <c r="D102">
        <v>4.6410958904109592</v>
      </c>
      <c r="E102">
        <v>6815.73</v>
      </c>
      <c r="F102">
        <f>IF(Table2[[#This Row],[Geo Distance]]=0,0,LOG(Table2[[#This Row],[Geo Distance]]))</f>
        <v>3.8335123778512705</v>
      </c>
      <c r="G102">
        <v>0</v>
      </c>
      <c r="H102">
        <f>IF(Table2[[#This Row],[Target age]]=0,0,LOG(Table2[[#This Row],[Target age]]))</f>
        <v>0</v>
      </c>
      <c r="I102" s="45">
        <v>2.85</v>
      </c>
      <c r="J102" s="9">
        <v>819</v>
      </c>
      <c r="K102" s="9">
        <f>IF(Table2[[#This Row],[Culture]]=0,0,LOG(Table2[[#This Row],[Culture]]))</f>
        <v>2.9132839017604186</v>
      </c>
      <c r="L102" s="24">
        <v>-0.2</v>
      </c>
      <c r="M102" s="9">
        <f>LOG(1+Table2[[#This Row],[S&amp;P]])</f>
        <v>-9.6910013008056392E-2</v>
      </c>
      <c r="N102">
        <v>24</v>
      </c>
      <c r="O102">
        <f>IF(Table2[[#This Row],[fund age]]=0,0,LOG(Table2[[#This Row],[fund age]]))</f>
        <v>1.3802112417116059</v>
      </c>
      <c r="P102">
        <f t="shared" si="1"/>
        <v>1</v>
      </c>
      <c r="Q102">
        <v>70</v>
      </c>
      <c r="R102">
        <v>70</v>
      </c>
      <c r="S102">
        <v>70</v>
      </c>
      <c r="T102" s="34">
        <v>36.200000000000003</v>
      </c>
      <c r="U102" s="42">
        <v>44.748733746598099</v>
      </c>
      <c r="V102">
        <v>1171.498</v>
      </c>
      <c r="W102">
        <f>LOG(Table2[[#This Row],[generalist]])</f>
        <v>3.0687415514991745</v>
      </c>
      <c r="X102" s="14">
        <v>4</v>
      </c>
      <c r="Y102">
        <v>3386.1060000000002</v>
      </c>
      <c r="Z102">
        <f>LOG(Table2[[#This Row],[country divers.]])</f>
        <v>3.5297005493117593</v>
      </c>
      <c r="AA102">
        <v>511290000</v>
      </c>
      <c r="AB102">
        <f>LOG(Table2[[#This Row],[Firm Size]])</f>
        <v>8.7086672987165841</v>
      </c>
      <c r="AC102" s="80">
        <v>-0.22396899818199212</v>
      </c>
    </row>
    <row r="103" spans="1:29" x14ac:dyDescent="0.35">
      <c r="A103" t="s">
        <v>2</v>
      </c>
      <c r="B103">
        <v>-0.19188981863992793</v>
      </c>
      <c r="C103">
        <f>IF(Table2[[#This Row],[Return]]=-1,-1,LOG(1+Table2[[#This Row],[Return]]))</f>
        <v>-9.2529421534301021E-2</v>
      </c>
      <c r="D103">
        <v>1.1808219178082191</v>
      </c>
      <c r="E103">
        <v>6815.73</v>
      </c>
      <c r="F103">
        <f>IF(Table2[[#This Row],[Geo Distance]]=0,0,LOG(Table2[[#This Row],[Geo Distance]]))</f>
        <v>3.8335123778512705</v>
      </c>
      <c r="G103">
        <v>69</v>
      </c>
      <c r="H103">
        <f>IF(Table2[[#This Row],[Target age]]=0,0,LOG(Table2[[#This Row],[Target age]]))</f>
        <v>1.8388490907372552</v>
      </c>
      <c r="I103" s="45">
        <v>2.85</v>
      </c>
      <c r="J103" s="9">
        <v>819</v>
      </c>
      <c r="K103" s="9">
        <f>IF(Table2[[#This Row],[Culture]]=0,0,LOG(Table2[[#This Row],[Culture]]))</f>
        <v>2.9132839017604186</v>
      </c>
      <c r="L103" s="24">
        <v>0.1</v>
      </c>
      <c r="M103" s="9">
        <f>LOG(1+Table2[[#This Row],[S&amp;P]])</f>
        <v>4.1392685158225077E-2</v>
      </c>
      <c r="N103">
        <v>27</v>
      </c>
      <c r="O103">
        <f>IF(Table2[[#This Row],[fund age]]=0,0,LOG(Table2[[#This Row],[fund age]]))</f>
        <v>1.4313637641589874</v>
      </c>
      <c r="P103">
        <f t="shared" si="1"/>
        <v>1</v>
      </c>
      <c r="Q103">
        <v>70</v>
      </c>
      <c r="R103">
        <v>70</v>
      </c>
      <c r="S103">
        <v>70</v>
      </c>
      <c r="T103" s="34">
        <v>34.6</v>
      </c>
      <c r="U103" s="42">
        <v>47.8156192569637</v>
      </c>
      <c r="V103">
        <v>1171.498</v>
      </c>
      <c r="W103">
        <f>LOG(Table2[[#This Row],[generalist]])</f>
        <v>3.0687415514991745</v>
      </c>
      <c r="X103" s="14">
        <v>4</v>
      </c>
      <c r="Y103">
        <v>3386.1060000000002</v>
      </c>
      <c r="Z103">
        <f>LOG(Table2[[#This Row],[country divers.]])</f>
        <v>3.5297005493117593</v>
      </c>
      <c r="AA103">
        <v>1770884221</v>
      </c>
      <c r="AB103">
        <f>LOG(Table2[[#This Row],[Firm Size]])</f>
        <v>9.248190168290872</v>
      </c>
      <c r="AC103" s="80">
        <v>0.14085903867364014</v>
      </c>
    </row>
    <row r="104" spans="1:29" x14ac:dyDescent="0.35">
      <c r="A104" t="s">
        <v>2</v>
      </c>
      <c r="B104">
        <v>0.86864743294558888</v>
      </c>
      <c r="C104">
        <f>IF(Table2[[#This Row],[Return]]=-1,-1,LOG(1+Table2[[#This Row],[Return]]))</f>
        <v>0.27152736859654975</v>
      </c>
      <c r="D104">
        <v>2.6273972602739728</v>
      </c>
      <c r="E104">
        <v>6815.73</v>
      </c>
      <c r="F104">
        <f>IF(Table2[[#This Row],[Geo Distance]]=0,0,LOG(Table2[[#This Row],[Geo Distance]]))</f>
        <v>3.8335123778512705</v>
      </c>
      <c r="G104">
        <v>102</v>
      </c>
      <c r="H104">
        <f>IF(Table2[[#This Row],[Target age]]=0,0,LOG(Table2[[#This Row],[Target age]]))</f>
        <v>2.0086001717619175</v>
      </c>
      <c r="I104" s="45">
        <v>2.85</v>
      </c>
      <c r="J104" s="9">
        <v>819</v>
      </c>
      <c r="K104" s="9">
        <f>IF(Table2[[#This Row],[Culture]]=0,0,LOG(Table2[[#This Row],[Culture]]))</f>
        <v>2.9132839017604186</v>
      </c>
      <c r="L104" s="24">
        <v>0.47</v>
      </c>
      <c r="M104" s="9">
        <f>LOG(1+Table2[[#This Row],[S&amp;P]])</f>
        <v>0.16731733474817609</v>
      </c>
      <c r="N104">
        <v>28</v>
      </c>
      <c r="O104">
        <f>IF(Table2[[#This Row],[fund age]]=0,0,LOG(Table2[[#This Row],[fund age]]))</f>
        <v>1.4471580313422192</v>
      </c>
      <c r="P104">
        <f t="shared" si="1"/>
        <v>1</v>
      </c>
      <c r="Q104">
        <v>70</v>
      </c>
      <c r="R104">
        <v>70</v>
      </c>
      <c r="S104">
        <v>90.5</v>
      </c>
      <c r="T104" s="34">
        <v>36.4</v>
      </c>
      <c r="U104" s="42">
        <v>44.295389122127702</v>
      </c>
      <c r="V104">
        <v>1248.0746999999999</v>
      </c>
      <c r="W104">
        <f>LOG(Table2[[#This Row],[generalist]])</f>
        <v>3.0962405795987471</v>
      </c>
      <c r="X104" s="14">
        <v>1</v>
      </c>
      <c r="Y104">
        <v>2518.2170000000001</v>
      </c>
      <c r="Z104">
        <f>LOG(Table2[[#This Row],[country divers.]])</f>
        <v>3.4010931514437841</v>
      </c>
      <c r="AA104">
        <v>1498410000</v>
      </c>
      <c r="AB104">
        <f>LOG(Table2[[#This Row],[Firm Size]])</f>
        <v>9.1756306627456699</v>
      </c>
      <c r="AC104" s="80">
        <v>0.24335551274763723</v>
      </c>
    </row>
    <row r="105" spans="1:29" x14ac:dyDescent="0.35">
      <c r="A105" t="s">
        <v>2</v>
      </c>
      <c r="B105">
        <v>0.5678850666666666</v>
      </c>
      <c r="C105">
        <f>IF(Table2[[#This Row],[Return]]=-1,-1,LOG(1+Table2[[#This Row],[Return]]))</f>
        <v>0.19531422369159093</v>
      </c>
      <c r="D105">
        <v>3.2136986301369861</v>
      </c>
      <c r="E105">
        <v>6815.73</v>
      </c>
      <c r="F105">
        <f>IF(Table2[[#This Row],[Geo Distance]]=0,0,LOG(Table2[[#This Row],[Geo Distance]]))</f>
        <v>3.8335123778512705</v>
      </c>
      <c r="G105">
        <v>22</v>
      </c>
      <c r="H105">
        <f>IF(Table2[[#This Row],[Target age]]=0,0,LOG(Table2[[#This Row],[Target age]]))</f>
        <v>1.3424226808222062</v>
      </c>
      <c r="I105" s="45">
        <v>2.85</v>
      </c>
      <c r="J105" s="9">
        <v>819</v>
      </c>
      <c r="K105" s="9">
        <f>IF(Table2[[#This Row],[Culture]]=0,0,LOG(Table2[[#This Row],[Culture]]))</f>
        <v>2.9132839017604186</v>
      </c>
      <c r="L105" s="24">
        <v>0.11</v>
      </c>
      <c r="M105" s="9">
        <f>LOG(1+Table2[[#This Row],[S&amp;P]])</f>
        <v>4.5322978786657475E-2</v>
      </c>
      <c r="N105">
        <v>18</v>
      </c>
      <c r="O105">
        <f>IF(Table2[[#This Row],[fund age]]=0,0,LOG(Table2[[#This Row],[fund age]]))</f>
        <v>1.255272505103306</v>
      </c>
      <c r="P105">
        <f t="shared" si="1"/>
        <v>1</v>
      </c>
      <c r="Q105">
        <v>70</v>
      </c>
      <c r="R105">
        <v>70</v>
      </c>
      <c r="S105">
        <v>70</v>
      </c>
      <c r="T105" s="34">
        <v>34.4</v>
      </c>
      <c r="U105" s="42">
        <v>47.264053157349203</v>
      </c>
      <c r="V105">
        <v>1248.0746999999999</v>
      </c>
      <c r="W105">
        <f>LOG(Table2[[#This Row],[generalist]])</f>
        <v>3.0962405795987471</v>
      </c>
      <c r="X105" s="14">
        <v>1</v>
      </c>
      <c r="Y105">
        <v>2518.2170000000001</v>
      </c>
      <c r="Z105">
        <f>LOG(Table2[[#This Row],[country divers.]])</f>
        <v>3.4010931514437841</v>
      </c>
      <c r="AA105">
        <v>375000000</v>
      </c>
      <c r="AB105">
        <f>LOG(Table2[[#This Row],[Firm Size]])</f>
        <v>8.5740312677277188</v>
      </c>
      <c r="AC105" s="80">
        <v>5.9739602592297159E-2</v>
      </c>
    </row>
    <row r="106" spans="1:29" x14ac:dyDescent="0.35">
      <c r="A106" t="s">
        <v>2</v>
      </c>
      <c r="B106">
        <v>21.459063252889052</v>
      </c>
      <c r="C106">
        <f>IF(Table2[[#This Row],[Return]]=-1,-1,LOG(1+Table2[[#This Row],[Return]]))</f>
        <v>1.3513916382751612</v>
      </c>
      <c r="D106">
        <v>1.5506849315068494</v>
      </c>
      <c r="E106">
        <v>6815.73</v>
      </c>
      <c r="F106">
        <f>IF(Table2[[#This Row],[Geo Distance]]=0,0,LOG(Table2[[#This Row],[Geo Distance]]))</f>
        <v>3.8335123778512705</v>
      </c>
      <c r="G106">
        <v>274</v>
      </c>
      <c r="H106">
        <f>IF(Table2[[#This Row],[Target age]]=0,0,LOG(Table2[[#This Row],[Target age]]))</f>
        <v>2.4377505628203879</v>
      </c>
      <c r="I106" s="45">
        <v>2.85</v>
      </c>
      <c r="J106" s="9">
        <v>819</v>
      </c>
      <c r="K106" s="9">
        <f>IF(Table2[[#This Row],[Culture]]=0,0,LOG(Table2[[#This Row],[Culture]]))</f>
        <v>2.9132839017604186</v>
      </c>
      <c r="L106" s="24">
        <v>0.11</v>
      </c>
      <c r="M106" s="9">
        <f>LOG(1+Table2[[#This Row],[S&amp;P]])</f>
        <v>4.5322978786657475E-2</v>
      </c>
      <c r="N106">
        <v>20</v>
      </c>
      <c r="O106">
        <f>IF(Table2[[#This Row],[fund age]]=0,0,LOG(Table2[[#This Row],[fund age]]))</f>
        <v>1.3010299956639813</v>
      </c>
      <c r="P106">
        <f t="shared" si="1"/>
        <v>1</v>
      </c>
      <c r="Q106">
        <v>70</v>
      </c>
      <c r="R106">
        <v>70</v>
      </c>
      <c r="S106">
        <v>70</v>
      </c>
      <c r="T106" s="34">
        <v>33.9</v>
      </c>
      <c r="U106" s="42">
        <v>46.312020505412598</v>
      </c>
      <c r="V106">
        <v>1248.0746999999999</v>
      </c>
      <c r="W106">
        <f>LOG(Table2[[#This Row],[generalist]])</f>
        <v>3.0962405795987471</v>
      </c>
      <c r="X106" s="14">
        <v>1</v>
      </c>
      <c r="Y106">
        <v>2518.2170000000001</v>
      </c>
      <c r="Z106">
        <f>LOG(Table2[[#This Row],[country divers.]])</f>
        <v>3.4010931514437841</v>
      </c>
      <c r="AA106">
        <v>48978000</v>
      </c>
      <c r="AB106">
        <f>LOG(Table2[[#This Row],[Firm Size]])</f>
        <v>7.6900010468830642</v>
      </c>
      <c r="AC106" s="80">
        <v>0.17206176508250515</v>
      </c>
    </row>
    <row r="107" spans="1:29" x14ac:dyDescent="0.35">
      <c r="A107" t="s">
        <v>2</v>
      </c>
      <c r="B107">
        <v>0.74496644295302006</v>
      </c>
      <c r="C107">
        <f>IF(Table2[[#This Row],[Return]]=-1,-1,LOG(1+Table2[[#This Row],[Return]]))</f>
        <v>0.24178707955854389</v>
      </c>
      <c r="D107">
        <v>4.1041095890410961</v>
      </c>
      <c r="E107">
        <v>917.19</v>
      </c>
      <c r="F107">
        <f>IF(Table2[[#This Row],[Geo Distance]]=0,0,LOG(Table2[[#This Row],[Geo Distance]]))</f>
        <v>2.9624593110290154</v>
      </c>
      <c r="G107">
        <v>110</v>
      </c>
      <c r="H107">
        <f>IF(Table2[[#This Row],[Target age]]=0,0,LOG(Table2[[#This Row],[Target age]]))</f>
        <v>2.0413926851582249</v>
      </c>
      <c r="I107" s="45">
        <v>2.62</v>
      </c>
      <c r="J107" s="9">
        <v>854.66666666666697</v>
      </c>
      <c r="K107" s="9">
        <f>IF(Table2[[#This Row],[Culture]]=0,0,LOG(Table2[[#This Row],[Culture]]))</f>
        <v>2.9317967661271176</v>
      </c>
      <c r="L107" s="24">
        <v>0.55000000000000004</v>
      </c>
      <c r="M107" s="9">
        <f>LOG(1+Table2[[#This Row],[S&amp;P]])</f>
        <v>0.1903316981702915</v>
      </c>
      <c r="N107">
        <v>36</v>
      </c>
      <c r="O107">
        <f>IF(Table2[[#This Row],[fund age]]=0,0,LOG(Table2[[#This Row],[fund age]]))</f>
        <v>1.5563025007672873</v>
      </c>
      <c r="P107">
        <f t="shared" si="1"/>
        <v>1</v>
      </c>
      <c r="Q107">
        <v>70</v>
      </c>
      <c r="R107">
        <v>70</v>
      </c>
      <c r="S107">
        <v>92.1</v>
      </c>
      <c r="T107" s="34">
        <v>36.799999999999997</v>
      </c>
      <c r="U107" s="42">
        <v>44.688349184782602</v>
      </c>
      <c r="V107">
        <v>1248.0746999999999</v>
      </c>
      <c r="W107">
        <f>LOG(Table2[[#This Row],[generalist]])</f>
        <v>3.0962405795987471</v>
      </c>
      <c r="X107" s="14">
        <v>2</v>
      </c>
      <c r="Y107">
        <v>2518.2170000000001</v>
      </c>
      <c r="Z107">
        <f>LOG(Table2[[#This Row],[country divers.]])</f>
        <v>3.4010931514437841</v>
      </c>
      <c r="AA107">
        <v>1490000000</v>
      </c>
      <c r="AB107">
        <f>LOG(Table2[[#This Row],[Firm Size]])</f>
        <v>9.1731862684122749</v>
      </c>
      <c r="AC107" s="80">
        <v>0.19272874972997278</v>
      </c>
    </row>
    <row r="108" spans="1:29" x14ac:dyDescent="0.35">
      <c r="A108" t="s">
        <v>2</v>
      </c>
      <c r="B108">
        <v>1</v>
      </c>
      <c r="C108">
        <f>IF(Table2[[#This Row],[Return]]=-1,-1,LOG(1+Table2[[#This Row],[Return]]))</f>
        <v>0.3010299956639812</v>
      </c>
      <c r="D108">
        <v>5.5972602739726032</v>
      </c>
      <c r="E108">
        <v>917.19</v>
      </c>
      <c r="F108">
        <f>IF(Table2[[#This Row],[Geo Distance]]=0,0,LOG(Table2[[#This Row],[Geo Distance]]))</f>
        <v>2.9624593110290154</v>
      </c>
      <c r="G108">
        <v>32</v>
      </c>
      <c r="H108">
        <f>IF(Table2[[#This Row],[Target age]]=0,0,LOG(Table2[[#This Row],[Target age]]))</f>
        <v>1.505149978319906</v>
      </c>
      <c r="I108" s="45">
        <v>2.62</v>
      </c>
      <c r="J108" s="9">
        <v>854.66666666666697</v>
      </c>
      <c r="K108" s="9">
        <f>IF(Table2[[#This Row],[Culture]]=0,0,LOG(Table2[[#This Row],[Culture]]))</f>
        <v>2.9317967661271176</v>
      </c>
      <c r="L108" s="24">
        <v>0.72</v>
      </c>
      <c r="M108" s="9">
        <f>LOG(1+Table2[[#This Row],[S&amp;P]])</f>
        <v>0.2355284469075489</v>
      </c>
      <c r="N108">
        <v>34</v>
      </c>
      <c r="O108">
        <f>IF(Table2[[#This Row],[fund age]]=0,0,LOG(Table2[[#This Row],[fund age]]))</f>
        <v>1.5314789170422551</v>
      </c>
      <c r="P108">
        <f t="shared" si="1"/>
        <v>1</v>
      </c>
      <c r="Q108">
        <v>70</v>
      </c>
      <c r="R108">
        <v>70</v>
      </c>
      <c r="S108">
        <v>89.6</v>
      </c>
      <c r="T108" s="34">
        <v>35.700000000000003</v>
      </c>
      <c r="U108" s="42">
        <v>44.7100017757258</v>
      </c>
      <c r="V108">
        <v>1248.0746999999999</v>
      </c>
      <c r="W108">
        <f>LOG(Table2[[#This Row],[generalist]])</f>
        <v>3.0962405795987471</v>
      </c>
      <c r="X108" s="14">
        <v>2</v>
      </c>
      <c r="Y108">
        <v>2518.2170000000001</v>
      </c>
      <c r="Z108">
        <f>LOG(Table2[[#This Row],[country divers.]])</f>
        <v>3.4010931514437841</v>
      </c>
      <c r="AA108">
        <v>400000000</v>
      </c>
      <c r="AB108">
        <f>LOG(Table2[[#This Row],[Firm Size]])</f>
        <v>8.6020599913279625</v>
      </c>
      <c r="AC108" s="80">
        <v>0.25067587298235172</v>
      </c>
    </row>
    <row r="109" spans="1:29" x14ac:dyDescent="0.35">
      <c r="A109" t="s">
        <v>2</v>
      </c>
      <c r="B109">
        <v>0.90999999999999992</v>
      </c>
      <c r="C109">
        <f>IF(Table2[[#This Row],[Return]]=-1,-1,LOG(1+Table2[[#This Row],[Return]]))</f>
        <v>0.28103336724772754</v>
      </c>
      <c r="D109">
        <v>1.9150684931506849</v>
      </c>
      <c r="E109">
        <v>917.19</v>
      </c>
      <c r="F109">
        <f>IF(Table2[[#This Row],[Geo Distance]]=0,0,LOG(Table2[[#This Row],[Geo Distance]]))</f>
        <v>2.9624593110290154</v>
      </c>
      <c r="G109">
        <v>13</v>
      </c>
      <c r="H109">
        <f>IF(Table2[[#This Row],[Target age]]=0,0,LOG(Table2[[#This Row],[Target age]]))</f>
        <v>1.1139433523068367</v>
      </c>
      <c r="I109" s="45">
        <v>2.62</v>
      </c>
      <c r="J109" s="9">
        <v>854.66666666666697</v>
      </c>
      <c r="K109" s="9">
        <f>IF(Table2[[#This Row],[Culture]]=0,0,LOG(Table2[[#This Row],[Culture]]))</f>
        <v>2.9317967661271176</v>
      </c>
      <c r="L109" s="24">
        <v>0.13</v>
      </c>
      <c r="M109" s="9">
        <f>LOG(1+Table2[[#This Row],[S&amp;P]])</f>
        <v>5.3078443483419682E-2</v>
      </c>
      <c r="N109">
        <v>79</v>
      </c>
      <c r="O109">
        <f>IF(Table2[[#This Row],[fund age]]=0,0,LOG(Table2[[#This Row],[fund age]]))</f>
        <v>1.8976270912904414</v>
      </c>
      <c r="P109">
        <f t="shared" si="1"/>
        <v>1</v>
      </c>
      <c r="Q109">
        <v>70</v>
      </c>
      <c r="R109">
        <v>70</v>
      </c>
      <c r="S109">
        <v>92.1</v>
      </c>
      <c r="T109" s="34">
        <v>36.799999999999997</v>
      </c>
      <c r="U109" s="42">
        <v>44.688349184782602</v>
      </c>
      <c r="V109">
        <v>2144.9704142011828</v>
      </c>
      <c r="W109">
        <f>LOG(Table2[[#This Row],[generalist]])</f>
        <v>3.3314213062933389</v>
      </c>
      <c r="X109" s="14">
        <v>3</v>
      </c>
      <c r="Y109">
        <v>7670.1183431952677</v>
      </c>
      <c r="Z109">
        <f>LOG(Table2[[#This Row],[country divers.]])</f>
        <v>3.884802064783424</v>
      </c>
      <c r="AA109">
        <v>500000000</v>
      </c>
      <c r="AB109">
        <f>LOG(Table2[[#This Row],[Firm Size]])</f>
        <v>8.6989700043360187</v>
      </c>
      <c r="AC109" s="80">
        <v>-3.478824816153081E-2</v>
      </c>
    </row>
    <row r="110" spans="1:29" x14ac:dyDescent="0.35">
      <c r="A110" t="s">
        <v>2</v>
      </c>
      <c r="B110">
        <v>26.11820282246255</v>
      </c>
      <c r="C110">
        <f>IF(Table2[[#This Row],[Return]]=-1,-1,LOG(1+Table2[[#This Row],[Return]]))</f>
        <v>1.4332609045847848</v>
      </c>
      <c r="D110">
        <v>4.9835616438356167</v>
      </c>
      <c r="E110">
        <v>917.19</v>
      </c>
      <c r="F110">
        <f>IF(Table2[[#This Row],[Geo Distance]]=0,0,LOG(Table2[[#This Row],[Geo Distance]]))</f>
        <v>2.9624593110290154</v>
      </c>
      <c r="G110">
        <v>17</v>
      </c>
      <c r="H110">
        <f>IF(Table2[[#This Row],[Target age]]=0,0,LOG(Table2[[#This Row],[Target age]]))</f>
        <v>1.2304489213782739</v>
      </c>
      <c r="I110" s="45">
        <v>2.62</v>
      </c>
      <c r="J110" s="9">
        <v>854.66666666666697</v>
      </c>
      <c r="K110" s="9">
        <f>IF(Table2[[#This Row],[Culture]]=0,0,LOG(Table2[[#This Row],[Culture]]))</f>
        <v>2.9317967661271176</v>
      </c>
      <c r="L110" s="24">
        <v>0.72</v>
      </c>
      <c r="M110" s="9">
        <f>LOG(1+Table2[[#This Row],[S&amp;P]])</f>
        <v>0.2355284469075489</v>
      </c>
      <c r="N110">
        <v>12</v>
      </c>
      <c r="O110">
        <f>IF(Table2[[#This Row],[fund age]]=0,0,LOG(Table2[[#This Row],[fund age]]))</f>
        <v>1.0791812460476249</v>
      </c>
      <c r="P110">
        <f t="shared" si="1"/>
        <v>1</v>
      </c>
      <c r="Q110">
        <v>70</v>
      </c>
      <c r="R110">
        <v>70</v>
      </c>
      <c r="S110">
        <v>90.5</v>
      </c>
      <c r="T110" s="34">
        <v>36.4</v>
      </c>
      <c r="U110" s="42">
        <v>44.295389122127702</v>
      </c>
      <c r="V110">
        <v>1932.09461208012</v>
      </c>
      <c r="W110">
        <f>LOG(Table2[[#This Row],[generalist]])</f>
        <v>3.2860283894181141</v>
      </c>
      <c r="X110" s="14">
        <v>1</v>
      </c>
      <c r="Y110">
        <v>8126.3909735520938</v>
      </c>
      <c r="Z110">
        <f>LOG(Table2[[#This Row],[country divers.]])</f>
        <v>3.9098977130890344</v>
      </c>
      <c r="AA110">
        <v>14750240</v>
      </c>
      <c r="AB110">
        <f>LOG(Table2[[#This Row],[Firm Size]])</f>
        <v>7.1687990867431779</v>
      </c>
      <c r="AC110" s="80">
        <v>0.32320049704935361</v>
      </c>
    </row>
    <row r="111" spans="1:29" x14ac:dyDescent="0.35">
      <c r="A111" t="s">
        <v>2</v>
      </c>
      <c r="B111">
        <v>0.67786694788355906</v>
      </c>
      <c r="C111">
        <f>IF(Table2[[#This Row],[Return]]=-1,-1,LOG(1+Table2[[#This Row],[Return]]))</f>
        <v>0.22475751901294613</v>
      </c>
      <c r="D111">
        <v>5.2136986301369861</v>
      </c>
      <c r="E111">
        <v>917.19</v>
      </c>
      <c r="F111">
        <f>IF(Table2[[#This Row],[Geo Distance]]=0,0,LOG(Table2[[#This Row],[Geo Distance]]))</f>
        <v>2.9624593110290154</v>
      </c>
      <c r="G111">
        <v>15</v>
      </c>
      <c r="H111">
        <f>IF(Table2[[#This Row],[Target age]]=0,0,LOG(Table2[[#This Row],[Target age]]))</f>
        <v>1.1760912590556813</v>
      </c>
      <c r="I111" s="45">
        <v>2.62</v>
      </c>
      <c r="J111" s="9">
        <v>854.66666666666697</v>
      </c>
      <c r="K111" s="9">
        <f>IF(Table2[[#This Row],[Culture]]=0,0,LOG(Table2[[#This Row],[Culture]]))</f>
        <v>2.9317967661271176</v>
      </c>
      <c r="L111" s="24">
        <v>0.72</v>
      </c>
      <c r="M111" s="9">
        <f>LOG(1+Table2[[#This Row],[S&amp;P]])</f>
        <v>0.2355284469075489</v>
      </c>
      <c r="N111">
        <v>10</v>
      </c>
      <c r="O111">
        <f>IF(Table2[[#This Row],[fund age]]=0,0,LOG(Table2[[#This Row],[fund age]]))</f>
        <v>1</v>
      </c>
      <c r="P111">
        <f t="shared" si="1"/>
        <v>1</v>
      </c>
      <c r="Q111">
        <v>70</v>
      </c>
      <c r="R111">
        <v>70</v>
      </c>
      <c r="S111">
        <v>89.6</v>
      </c>
      <c r="T111" s="34">
        <v>35</v>
      </c>
      <c r="U111" s="42">
        <v>47.255451423610303</v>
      </c>
      <c r="V111">
        <v>1932.09461208012</v>
      </c>
      <c r="W111">
        <f>LOG(Table2[[#This Row],[generalist]])</f>
        <v>3.2860283894181141</v>
      </c>
      <c r="X111" s="14">
        <v>1</v>
      </c>
      <c r="Y111">
        <v>8126.3909735520938</v>
      </c>
      <c r="Z111">
        <f>LOG(Table2[[#This Row],[country divers.]])</f>
        <v>3.9098977130890344</v>
      </c>
      <c r="AA111">
        <v>125158911</v>
      </c>
      <c r="AB111">
        <f>LOG(Table2[[#This Row],[Firm Size]])</f>
        <v>8.0974617757209728</v>
      </c>
      <c r="AC111" s="80">
        <v>0.22630658443066975</v>
      </c>
    </row>
    <row r="112" spans="1:29" x14ac:dyDescent="0.35">
      <c r="A112" t="s">
        <v>2</v>
      </c>
      <c r="B112">
        <v>0.25</v>
      </c>
      <c r="C112">
        <f>IF(Table2[[#This Row],[Return]]=-1,-1,LOG(1+Table2[[#This Row],[Return]]))</f>
        <v>9.691001300805642E-2</v>
      </c>
      <c r="D112">
        <v>3.7780821917808218</v>
      </c>
      <c r="E112">
        <v>917.19</v>
      </c>
      <c r="F112">
        <f>IF(Table2[[#This Row],[Geo Distance]]=0,0,LOG(Table2[[#This Row],[Geo Distance]]))</f>
        <v>2.9624593110290154</v>
      </c>
      <c r="G112">
        <v>28</v>
      </c>
      <c r="H112">
        <f>IF(Table2[[#This Row],[Target age]]=0,0,LOG(Table2[[#This Row],[Target age]]))</f>
        <v>1.4471580313422192</v>
      </c>
      <c r="I112" s="45">
        <v>2.62</v>
      </c>
      <c r="J112" s="9">
        <v>854.66666666666697</v>
      </c>
      <c r="K112" s="9">
        <f>IF(Table2[[#This Row],[Culture]]=0,0,LOG(Table2[[#This Row],[Culture]]))</f>
        <v>2.9317967661271176</v>
      </c>
      <c r="L112" s="24">
        <v>-0.1</v>
      </c>
      <c r="M112" s="9">
        <f>LOG(1+Table2[[#This Row],[S&amp;P]])</f>
        <v>-4.5757490560675115E-2</v>
      </c>
      <c r="N112">
        <v>7</v>
      </c>
      <c r="O112">
        <f>IF(Table2[[#This Row],[fund age]]=0,0,LOG(Table2[[#This Row],[fund age]]))</f>
        <v>0.84509804001425681</v>
      </c>
      <c r="P112">
        <f t="shared" si="1"/>
        <v>1</v>
      </c>
      <c r="Q112">
        <v>70</v>
      </c>
      <c r="R112">
        <v>70</v>
      </c>
      <c r="S112">
        <v>88.9</v>
      </c>
      <c r="T112" s="34">
        <v>34.9</v>
      </c>
      <c r="U112" s="42">
        <v>42.817370475444001</v>
      </c>
      <c r="V112">
        <v>1932.09461208012</v>
      </c>
      <c r="W112">
        <f>LOG(Table2[[#This Row],[generalist]])</f>
        <v>3.2860283894181141</v>
      </c>
      <c r="X112" s="14">
        <v>1</v>
      </c>
      <c r="Y112">
        <v>8126.3909735520938</v>
      </c>
      <c r="Z112">
        <f>LOG(Table2[[#This Row],[country divers.]])</f>
        <v>3.9098977130890344</v>
      </c>
      <c r="AA112">
        <v>204800000</v>
      </c>
      <c r="AB112">
        <f>LOG(Table2[[#This Row],[Firm Size]])</f>
        <v>8.3113299523037938</v>
      </c>
      <c r="AC112" s="80">
        <v>-2.8211700055691069E-2</v>
      </c>
    </row>
    <row r="113" spans="1:29" x14ac:dyDescent="0.35">
      <c r="A113" t="s">
        <v>2</v>
      </c>
      <c r="B113">
        <v>0.74452173913043485</v>
      </c>
      <c r="C113">
        <f>IF(Table2[[#This Row],[Return]]=-1,-1,LOG(1+Table2[[#This Row],[Return]]))</f>
        <v>0.24167638572197084</v>
      </c>
      <c r="D113">
        <v>2.9506849315068493</v>
      </c>
      <c r="E113">
        <v>917.19</v>
      </c>
      <c r="F113">
        <f>IF(Table2[[#This Row],[Geo Distance]]=0,0,LOG(Table2[[#This Row],[Geo Distance]]))</f>
        <v>2.9624593110290154</v>
      </c>
      <c r="G113">
        <v>80</v>
      </c>
      <c r="H113">
        <f>IF(Table2[[#This Row],[Target age]]=0,0,LOG(Table2[[#This Row],[Target age]]))</f>
        <v>1.9030899869919435</v>
      </c>
      <c r="I113" s="45">
        <v>2.62</v>
      </c>
      <c r="J113" s="9">
        <v>854.66666666666697</v>
      </c>
      <c r="K113" s="9">
        <f>IF(Table2[[#This Row],[Culture]]=0,0,LOG(Table2[[#This Row],[Culture]]))</f>
        <v>2.9317967661271176</v>
      </c>
      <c r="L113" s="24">
        <v>0.26</v>
      </c>
      <c r="M113" s="9">
        <f>LOG(1+Table2[[#This Row],[S&amp;P]])</f>
        <v>0.10037054511756291</v>
      </c>
      <c r="N113">
        <v>4</v>
      </c>
      <c r="O113">
        <f>IF(Table2[[#This Row],[fund age]]=0,0,LOG(Table2[[#This Row],[fund age]]))</f>
        <v>0.6020599913279624</v>
      </c>
      <c r="P113">
        <f t="shared" si="1"/>
        <v>1</v>
      </c>
      <c r="Q113">
        <v>70</v>
      </c>
      <c r="R113">
        <v>70</v>
      </c>
      <c r="S113">
        <v>70</v>
      </c>
      <c r="T113" s="34">
        <v>33.9</v>
      </c>
      <c r="U113" s="42">
        <v>46.312020505412598</v>
      </c>
      <c r="V113">
        <v>1932.09461208012</v>
      </c>
      <c r="W113">
        <f>LOG(Table2[[#This Row],[generalist]])</f>
        <v>3.2860283894181141</v>
      </c>
      <c r="X113" s="14">
        <v>1</v>
      </c>
      <c r="Y113">
        <v>8126.3909735520938</v>
      </c>
      <c r="Z113">
        <f>LOG(Table2[[#This Row],[country divers.]])</f>
        <v>3.9098977130890344</v>
      </c>
      <c r="AA113">
        <v>115000000</v>
      </c>
      <c r="AB113">
        <f>LOG(Table2[[#This Row],[Firm Size]])</f>
        <v>8.0606978403536118</v>
      </c>
      <c r="AC113" s="80">
        <v>0.43274150668643863</v>
      </c>
    </row>
    <row r="114" spans="1:29" x14ac:dyDescent="0.35">
      <c r="A114" t="s">
        <v>2</v>
      </c>
      <c r="B114">
        <v>2.2865333333333333</v>
      </c>
      <c r="C114">
        <f>IF(Table2[[#This Row],[Return]]=-1,-1,LOG(1+Table2[[#This Row],[Return]]))</f>
        <v>0.51673804142676738</v>
      </c>
      <c r="D114">
        <v>2.3890410958904109</v>
      </c>
      <c r="E114">
        <v>917.19</v>
      </c>
      <c r="F114">
        <f>IF(Table2[[#This Row],[Geo Distance]]=0,0,LOG(Table2[[#This Row],[Geo Distance]]))</f>
        <v>2.9624593110290154</v>
      </c>
      <c r="G114">
        <v>59</v>
      </c>
      <c r="H114">
        <f>IF(Table2[[#This Row],[Target age]]=0,0,LOG(Table2[[#This Row],[Target age]]))</f>
        <v>1.7708520116421442</v>
      </c>
      <c r="I114" s="45">
        <v>2.62</v>
      </c>
      <c r="J114" s="9">
        <v>854.66666666666697</v>
      </c>
      <c r="K114" s="9">
        <f>IF(Table2[[#This Row],[Culture]]=0,0,LOG(Table2[[#This Row],[Culture]]))</f>
        <v>2.9317967661271176</v>
      </c>
      <c r="L114" s="24">
        <v>0.28000000000000003</v>
      </c>
      <c r="M114" s="9">
        <f>LOG(1+Table2[[#This Row],[S&amp;P]])</f>
        <v>0.10720996964786837</v>
      </c>
      <c r="N114">
        <v>2</v>
      </c>
      <c r="O114">
        <f>IF(Table2[[#This Row],[fund age]]=0,0,LOG(Table2[[#This Row],[fund age]]))</f>
        <v>0.3010299956639812</v>
      </c>
      <c r="P114">
        <f t="shared" si="1"/>
        <v>1</v>
      </c>
      <c r="Q114">
        <v>70</v>
      </c>
      <c r="R114">
        <v>70</v>
      </c>
      <c r="S114">
        <v>70</v>
      </c>
      <c r="T114" s="34">
        <v>34.4</v>
      </c>
      <c r="U114" s="42">
        <v>47.264053157349203</v>
      </c>
      <c r="V114">
        <v>1932.09461208012</v>
      </c>
      <c r="W114">
        <f>LOG(Table2[[#This Row],[generalist]])</f>
        <v>3.2860283894181141</v>
      </c>
      <c r="X114" s="14">
        <v>1</v>
      </c>
      <c r="Y114">
        <v>8126.3909735520938</v>
      </c>
      <c r="Z114">
        <f>LOG(Table2[[#This Row],[country divers.]])</f>
        <v>3.9098977130890344</v>
      </c>
      <c r="AA114">
        <v>150000000</v>
      </c>
      <c r="AB114">
        <f>LOG(Table2[[#This Row],[Firm Size]])</f>
        <v>8.1760912590556813</v>
      </c>
      <c r="AC114" s="80">
        <v>0.26038244805582944</v>
      </c>
    </row>
    <row r="115" spans="1:29" x14ac:dyDescent="0.35">
      <c r="A115" t="s">
        <v>2</v>
      </c>
      <c r="B115">
        <v>4.9523809523809526</v>
      </c>
      <c r="C115">
        <f>IF(Table2[[#This Row],[Return]]=-1,-1,LOG(1+Table2[[#This Row],[Return]]))</f>
        <v>0.77469071827413716</v>
      </c>
      <c r="D115">
        <v>2.6</v>
      </c>
      <c r="E115">
        <v>1310.4100000000001</v>
      </c>
      <c r="F115">
        <f>IF(Table2[[#This Row],[Geo Distance]]=0,0,LOG(Table2[[#This Row],[Geo Distance]]))</f>
        <v>3.1174071986167768</v>
      </c>
      <c r="G115">
        <v>26</v>
      </c>
      <c r="H115">
        <f>IF(Table2[[#This Row],[Target age]]=0,0,LOG(Table2[[#This Row],[Target age]]))</f>
        <v>1.414973347970818</v>
      </c>
      <c r="I115" s="45">
        <v>2.99</v>
      </c>
      <c r="J115" s="9">
        <v>787.83333333333303</v>
      </c>
      <c r="K115" s="9">
        <f>IF(Table2[[#This Row],[Culture]]=0,0,LOG(Table2[[#This Row],[Culture]]))</f>
        <v>2.8964343519192699</v>
      </c>
      <c r="L115" s="24">
        <v>0.28999999999999998</v>
      </c>
      <c r="M115" s="9">
        <f>LOG(1+Table2[[#This Row],[S&amp;P]])</f>
        <v>0.11058971029924898</v>
      </c>
      <c r="N115">
        <v>16</v>
      </c>
      <c r="O115">
        <f>IF(Table2[[#This Row],[fund age]]=0,0,LOG(Table2[[#This Row],[fund age]]))</f>
        <v>1.2041199826559248</v>
      </c>
      <c r="P115">
        <f t="shared" si="1"/>
        <v>1</v>
      </c>
      <c r="Q115">
        <v>70</v>
      </c>
      <c r="R115">
        <v>70</v>
      </c>
      <c r="S115">
        <v>70</v>
      </c>
      <c r="T115" s="34">
        <v>33.9</v>
      </c>
      <c r="U115" s="42">
        <v>46.200073016176603</v>
      </c>
      <c r="V115">
        <v>1895.918367346939</v>
      </c>
      <c r="W115">
        <f>LOG(Table2[[#This Row],[generalist]])</f>
        <v>3.277819633965128</v>
      </c>
      <c r="X115" s="14">
        <v>2</v>
      </c>
      <c r="Y115">
        <v>8519.3877551020414</v>
      </c>
      <c r="Z115">
        <f>LOG(Table2[[#This Row],[country divers.]])</f>
        <v>3.9304083853612104</v>
      </c>
      <c r="AA115">
        <v>168000000</v>
      </c>
      <c r="AB115">
        <f>LOG(Table2[[#This Row],[Firm Size]])</f>
        <v>8.2253092817258633</v>
      </c>
      <c r="AC115" s="80">
        <v>0.35969385744350468</v>
      </c>
    </row>
    <row r="116" spans="1:29" x14ac:dyDescent="0.35">
      <c r="A116" t="s">
        <v>2</v>
      </c>
      <c r="B116">
        <v>19.346526009457985</v>
      </c>
      <c r="C116">
        <f>IF(Table2[[#This Row],[Return]]=-1,-1,LOG(1+Table2[[#This Row],[Return]]))</f>
        <v>1.3084902679240464</v>
      </c>
      <c r="D116">
        <v>4.6356164383561644</v>
      </c>
      <c r="E116">
        <v>1310.4100000000001</v>
      </c>
      <c r="F116">
        <f>IF(Table2[[#This Row],[Geo Distance]]=0,0,LOG(Table2[[#This Row],[Geo Distance]]))</f>
        <v>3.1174071986167768</v>
      </c>
      <c r="G116">
        <v>41</v>
      </c>
      <c r="H116">
        <f>IF(Table2[[#This Row],[Target age]]=0,0,LOG(Table2[[#This Row],[Target age]]))</f>
        <v>1.6127838567197355</v>
      </c>
      <c r="I116" s="45">
        <v>2.99</v>
      </c>
      <c r="J116" s="9">
        <v>787.83333333333303</v>
      </c>
      <c r="K116" s="9">
        <f>IF(Table2[[#This Row],[Culture]]=0,0,LOG(Table2[[#This Row],[Culture]]))</f>
        <v>2.8964343519192699</v>
      </c>
      <c r="L116" s="24">
        <v>0.28999999999999998</v>
      </c>
      <c r="M116" s="9">
        <f>LOG(1+Table2[[#This Row],[S&amp;P]])</f>
        <v>0.11058971029924898</v>
      </c>
      <c r="N116">
        <v>13</v>
      </c>
      <c r="O116">
        <f>IF(Table2[[#This Row],[fund age]]=0,0,LOG(Table2[[#This Row],[fund age]]))</f>
        <v>1.1139433523068367</v>
      </c>
      <c r="P116">
        <f t="shared" si="1"/>
        <v>1</v>
      </c>
      <c r="Q116">
        <v>70</v>
      </c>
      <c r="R116">
        <v>70</v>
      </c>
      <c r="S116">
        <v>70</v>
      </c>
      <c r="T116" s="34">
        <v>34.4</v>
      </c>
      <c r="U116" s="42">
        <v>47.264053157349203</v>
      </c>
      <c r="V116">
        <v>1895.918367346939</v>
      </c>
      <c r="W116">
        <f>LOG(Table2[[#This Row],[generalist]])</f>
        <v>3.277819633965128</v>
      </c>
      <c r="X116" s="14">
        <v>2</v>
      </c>
      <c r="Y116">
        <v>8519.3877551020414</v>
      </c>
      <c r="Z116">
        <f>LOG(Table2[[#This Row],[country divers.]])</f>
        <v>3.9304083853612104</v>
      </c>
      <c r="AA116">
        <v>57890000</v>
      </c>
      <c r="AB116">
        <f>LOG(Table2[[#This Row],[Firm Size]])</f>
        <v>7.7626035495668031</v>
      </c>
      <c r="AC116" s="80">
        <v>0.26257967479987521</v>
      </c>
    </row>
    <row r="117" spans="1:29" x14ac:dyDescent="0.35">
      <c r="A117" t="s">
        <v>2</v>
      </c>
      <c r="B117">
        <v>1.2251395194365946</v>
      </c>
      <c r="C117">
        <f>IF(Table2[[#This Row],[Return]]=-1,-1,LOG(1+Table2[[#This Row],[Return]]))</f>
        <v>0.34735724705707294</v>
      </c>
      <c r="D117">
        <v>9.169863013698631</v>
      </c>
      <c r="E117">
        <v>6815.73</v>
      </c>
      <c r="F117">
        <f>IF(Table2[[#This Row],[Geo Distance]]=0,0,LOG(Table2[[#This Row],[Geo Distance]]))</f>
        <v>3.8335123778512705</v>
      </c>
      <c r="G117">
        <v>11</v>
      </c>
      <c r="H117">
        <f>IF(Table2[[#This Row],[Target age]]=0,0,LOG(Table2[[#This Row],[Target age]]))</f>
        <v>1.0413926851582251</v>
      </c>
      <c r="I117" s="45">
        <v>2.85</v>
      </c>
      <c r="J117" s="9">
        <v>819</v>
      </c>
      <c r="K117" s="9">
        <f>IF(Table2[[#This Row],[Culture]]=0,0,LOG(Table2[[#This Row],[Culture]]))</f>
        <v>2.9132839017604186</v>
      </c>
      <c r="L117" s="24">
        <v>0.67</v>
      </c>
      <c r="M117" s="9">
        <f>LOG(1+Table2[[#This Row],[S&amp;P]])</f>
        <v>0.22271647114758325</v>
      </c>
      <c r="N117">
        <v>17</v>
      </c>
      <c r="O117">
        <f>IF(Table2[[#This Row],[fund age]]=0,0,LOG(Table2[[#This Row],[fund age]]))</f>
        <v>1.2304489213782739</v>
      </c>
      <c r="P117">
        <f t="shared" si="1"/>
        <v>1</v>
      </c>
      <c r="Q117">
        <v>70</v>
      </c>
      <c r="R117">
        <v>70</v>
      </c>
      <c r="S117">
        <v>70</v>
      </c>
      <c r="T117" s="34">
        <v>33.9</v>
      </c>
      <c r="U117" s="42">
        <v>46.312020505412598</v>
      </c>
      <c r="V117">
        <v>1246.953</v>
      </c>
      <c r="W117">
        <f>LOG(Table2[[#This Row],[generalist]])</f>
        <v>3.0958500844125241</v>
      </c>
      <c r="X117" s="14">
        <v>3</v>
      </c>
      <c r="Y117">
        <v>3219.7179999999998</v>
      </c>
      <c r="Z117">
        <f>LOG(Table2[[#This Row],[country divers.]])</f>
        <v>3.5078178355445662</v>
      </c>
      <c r="AA117">
        <v>142063002</v>
      </c>
      <c r="AB117">
        <f>LOG(Table2[[#This Row],[Firm Size]])</f>
        <v>8.15248098771362</v>
      </c>
      <c r="AC117" s="80">
        <v>0.57388379696220504</v>
      </c>
    </row>
    <row r="118" spans="1:29" x14ac:dyDescent="0.35">
      <c r="A118" t="s">
        <v>2</v>
      </c>
      <c r="B118">
        <v>-1.8033333333333346E-2</v>
      </c>
      <c r="C118">
        <f>IF(Table2[[#This Row],[Return]]=-1,-1,LOG(1+Table2[[#This Row],[Return]]))</f>
        <v>-7.90325429903092E-3</v>
      </c>
      <c r="D118">
        <v>4.5534246575342463</v>
      </c>
      <c r="E118">
        <v>6815.73</v>
      </c>
      <c r="F118">
        <f>IF(Table2[[#This Row],[Geo Distance]]=0,0,LOG(Table2[[#This Row],[Geo Distance]]))</f>
        <v>3.8335123778512705</v>
      </c>
      <c r="G118">
        <v>88</v>
      </c>
      <c r="H118">
        <f>IF(Table2[[#This Row],[Target age]]=0,0,LOG(Table2[[#This Row],[Target age]]))</f>
        <v>1.9444826721501687</v>
      </c>
      <c r="I118" s="45">
        <v>2.85</v>
      </c>
      <c r="J118" s="9">
        <v>819</v>
      </c>
      <c r="K118" s="9">
        <f>IF(Table2[[#This Row],[Culture]]=0,0,LOG(Table2[[#This Row],[Culture]]))</f>
        <v>2.9132839017604186</v>
      </c>
      <c r="L118" s="24">
        <v>-0.19</v>
      </c>
      <c r="M118" s="9">
        <f>LOG(1+Table2[[#This Row],[S&amp;P]])</f>
        <v>-9.1514981121350217E-2</v>
      </c>
      <c r="N118">
        <v>13</v>
      </c>
      <c r="O118">
        <f>IF(Table2[[#This Row],[fund age]]=0,0,LOG(Table2[[#This Row],[fund age]]))</f>
        <v>1.1139433523068367</v>
      </c>
      <c r="P118">
        <f t="shared" si="1"/>
        <v>1</v>
      </c>
      <c r="Q118">
        <v>70</v>
      </c>
      <c r="R118">
        <v>70</v>
      </c>
      <c r="S118">
        <v>70</v>
      </c>
      <c r="T118" s="34">
        <v>36.200000000000003</v>
      </c>
      <c r="U118" s="42">
        <v>44.748733746598099</v>
      </c>
      <c r="V118">
        <v>1246.953</v>
      </c>
      <c r="W118">
        <f>LOG(Table2[[#This Row],[generalist]])</f>
        <v>3.0958500844125241</v>
      </c>
      <c r="X118" s="14">
        <v>3</v>
      </c>
      <c r="Y118">
        <v>3219.7179999999998</v>
      </c>
      <c r="Z118">
        <f>LOG(Table2[[#This Row],[country divers.]])</f>
        <v>3.5078178355445662</v>
      </c>
      <c r="AA118">
        <v>78750000</v>
      </c>
      <c r="AB118">
        <f>LOG(Table2[[#This Row],[Firm Size]])</f>
        <v>7.8962505624616384</v>
      </c>
      <c r="AC118" s="80">
        <v>-0.22052165463018181</v>
      </c>
    </row>
    <row r="119" spans="1:29" x14ac:dyDescent="0.35">
      <c r="A119" t="s">
        <v>2</v>
      </c>
      <c r="B119">
        <v>10.141666689878472</v>
      </c>
      <c r="C119">
        <f>IF(Table2[[#This Row],[Return]]=-1,-1,LOG(1+Table2[[#This Row],[Return]]))</f>
        <v>1.0469501621191397</v>
      </c>
      <c r="D119">
        <v>5.5095890410958903</v>
      </c>
      <c r="E119">
        <v>6815.73</v>
      </c>
      <c r="F119">
        <f>IF(Table2[[#This Row],[Geo Distance]]=0,0,LOG(Table2[[#This Row],[Geo Distance]]))</f>
        <v>3.8335123778512705</v>
      </c>
      <c r="G119">
        <v>91</v>
      </c>
      <c r="H119">
        <f>IF(Table2[[#This Row],[Target age]]=0,0,LOG(Table2[[#This Row],[Target age]]))</f>
        <v>1.9590413923210936</v>
      </c>
      <c r="I119" s="45">
        <v>2.85</v>
      </c>
      <c r="J119" s="9">
        <v>819</v>
      </c>
      <c r="K119" s="9">
        <f>IF(Table2[[#This Row],[Culture]]=0,0,LOG(Table2[[#This Row],[Culture]]))</f>
        <v>2.9132839017604186</v>
      </c>
      <c r="L119" s="24">
        <v>-0.08</v>
      </c>
      <c r="M119" s="9">
        <f>LOG(1+Table2[[#This Row],[S&amp;P]])</f>
        <v>-3.6212172654444715E-2</v>
      </c>
      <c r="N119">
        <v>12</v>
      </c>
      <c r="O119">
        <f>IF(Table2[[#This Row],[fund age]]=0,0,LOG(Table2[[#This Row],[fund age]]))</f>
        <v>1.0791812460476249</v>
      </c>
      <c r="P119">
        <f t="shared" si="1"/>
        <v>1</v>
      </c>
      <c r="Q119">
        <v>70</v>
      </c>
      <c r="R119">
        <v>70</v>
      </c>
      <c r="S119">
        <v>70</v>
      </c>
      <c r="T119" s="34">
        <v>36.200000000000003</v>
      </c>
      <c r="U119" s="42">
        <v>47.694345434117203</v>
      </c>
      <c r="V119">
        <v>1246.953</v>
      </c>
      <c r="W119">
        <f>LOG(Table2[[#This Row],[generalist]])</f>
        <v>3.0958500844125241</v>
      </c>
      <c r="X119" s="14">
        <v>3</v>
      </c>
      <c r="Y119">
        <v>3219.7179999999998</v>
      </c>
      <c r="Z119">
        <f>LOG(Table2[[#This Row],[country divers.]])</f>
        <v>3.5078178355445662</v>
      </c>
      <c r="AA119">
        <v>62827225</v>
      </c>
      <c r="AB119">
        <f>LOG(Table2[[#This Row],[Firm Size]])</f>
        <v>7.7981478778951168</v>
      </c>
      <c r="AC119" s="80">
        <v>-0.19303962241967187</v>
      </c>
    </row>
    <row r="120" spans="1:29" x14ac:dyDescent="0.35">
      <c r="A120" t="s">
        <v>2</v>
      </c>
      <c r="B120">
        <v>0.15107913669064743</v>
      </c>
      <c r="C120">
        <f>IF(Table2[[#This Row],[Return]]=-1,-1,LOG(1+Table2[[#This Row],[Return]]))</f>
        <v>6.1105182401829682E-2</v>
      </c>
      <c r="D120">
        <v>2.1945205479452055</v>
      </c>
      <c r="E120">
        <v>6815.73</v>
      </c>
      <c r="F120">
        <f>IF(Table2[[#This Row],[Geo Distance]]=0,0,LOG(Table2[[#This Row],[Geo Distance]]))</f>
        <v>3.8335123778512705</v>
      </c>
      <c r="G120">
        <v>135</v>
      </c>
      <c r="H120">
        <f>IF(Table2[[#This Row],[Target age]]=0,0,LOG(Table2[[#This Row],[Target age]]))</f>
        <v>2.1303337684950061</v>
      </c>
      <c r="I120" s="45">
        <v>2.85</v>
      </c>
      <c r="J120" s="9">
        <v>819</v>
      </c>
      <c r="K120" s="9">
        <f>IF(Table2[[#This Row],[Culture]]=0,0,LOG(Table2[[#This Row],[Culture]]))</f>
        <v>2.9132839017604186</v>
      </c>
      <c r="L120" s="24">
        <v>0.16</v>
      </c>
      <c r="M120" s="9">
        <f>LOG(1+Table2[[#This Row],[S&amp;P]])</f>
        <v>6.445798922691845E-2</v>
      </c>
      <c r="N120">
        <v>19</v>
      </c>
      <c r="O120">
        <f>IF(Table2[[#This Row],[fund age]]=0,0,LOG(Table2[[#This Row],[fund age]]))</f>
        <v>1.2787536009528289</v>
      </c>
      <c r="P120">
        <f t="shared" si="1"/>
        <v>1</v>
      </c>
      <c r="Q120">
        <v>70</v>
      </c>
      <c r="R120">
        <v>70</v>
      </c>
      <c r="S120">
        <v>70</v>
      </c>
      <c r="T120" s="34">
        <v>33.9</v>
      </c>
      <c r="U120" s="42">
        <v>46.312020505412598</v>
      </c>
      <c r="V120">
        <v>2315.9650000000001</v>
      </c>
      <c r="W120">
        <f>LOG(Table2[[#This Row],[generalist]])</f>
        <v>3.3647319918335836</v>
      </c>
      <c r="X120" s="14">
        <v>4</v>
      </c>
      <c r="Y120">
        <v>3703.9029999999998</v>
      </c>
      <c r="Z120">
        <f>LOG(Table2[[#This Row],[country divers.]])</f>
        <v>3.568659604598353</v>
      </c>
      <c r="AA120">
        <v>1390000000</v>
      </c>
      <c r="AB120">
        <f>LOG(Table2[[#This Row],[Firm Size]])</f>
        <v>9.143014800254095</v>
      </c>
      <c r="AC120" s="80">
        <v>0.34030848224291477</v>
      </c>
    </row>
    <row r="121" spans="1:29" x14ac:dyDescent="0.35">
      <c r="A121" t="s">
        <v>2</v>
      </c>
      <c r="B121">
        <v>-0.47857142857142854</v>
      </c>
      <c r="C121">
        <f>IF(Table2[[#This Row],[Return]]=-1,-1,LOG(1+Table2[[#This Row],[Return]]))</f>
        <v>-0.28280517555778212</v>
      </c>
      <c r="D121">
        <v>5.9835616438356167</v>
      </c>
      <c r="E121">
        <v>6815.73</v>
      </c>
      <c r="F121">
        <f>IF(Table2[[#This Row],[Geo Distance]]=0,0,LOG(Table2[[#This Row],[Geo Distance]]))</f>
        <v>3.8335123778512705</v>
      </c>
      <c r="G121">
        <v>30</v>
      </c>
      <c r="H121">
        <f>IF(Table2[[#This Row],[Target age]]=0,0,LOG(Table2[[#This Row],[Target age]]))</f>
        <v>1.4771212547196624</v>
      </c>
      <c r="I121" s="45">
        <v>2.85</v>
      </c>
      <c r="J121" s="9">
        <v>819</v>
      </c>
      <c r="K121" s="9">
        <f>IF(Table2[[#This Row],[Culture]]=0,0,LOG(Table2[[#This Row],[Culture]]))</f>
        <v>2.9132839017604186</v>
      </c>
      <c r="L121" s="24">
        <v>0.82</v>
      </c>
      <c r="M121" s="9">
        <f>LOG(1+Table2[[#This Row],[S&amp;P]])</f>
        <v>0.26007138798507473</v>
      </c>
      <c r="N121">
        <v>26</v>
      </c>
      <c r="O121">
        <f>IF(Table2[[#This Row],[fund age]]=0,0,LOG(Table2[[#This Row],[fund age]]))</f>
        <v>1.414973347970818</v>
      </c>
      <c r="P121">
        <f t="shared" si="1"/>
        <v>1</v>
      </c>
      <c r="Q121">
        <v>70</v>
      </c>
      <c r="R121">
        <v>70</v>
      </c>
      <c r="S121">
        <v>89.6</v>
      </c>
      <c r="T121" s="34">
        <v>35.700000000000003</v>
      </c>
      <c r="U121" s="42">
        <v>44.7100017757258</v>
      </c>
      <c r="V121">
        <v>2315.9650000000001</v>
      </c>
      <c r="W121">
        <f>LOG(Table2[[#This Row],[generalist]])</f>
        <v>3.3647319918335836</v>
      </c>
      <c r="X121" s="14">
        <v>4</v>
      </c>
      <c r="Y121">
        <v>3703.9029999999998</v>
      </c>
      <c r="Z121">
        <f>LOG(Table2[[#This Row],[country divers.]])</f>
        <v>3.568659604598353</v>
      </c>
      <c r="AA121">
        <v>700000000</v>
      </c>
      <c r="AB121">
        <f>LOG(Table2[[#This Row],[Firm Size]])</f>
        <v>8.8450980400142569</v>
      </c>
      <c r="AC121" s="80">
        <v>0.30942039310338232</v>
      </c>
    </row>
    <row r="122" spans="1:29" x14ac:dyDescent="0.35">
      <c r="A122" t="s">
        <v>2</v>
      </c>
      <c r="B122">
        <v>-0.85384615384615381</v>
      </c>
      <c r="C122">
        <f>IF(Table2[[#This Row],[Return]]=-1,-1,LOG(1+Table2[[#This Row],[Return]]))</f>
        <v>-0.83518975135400775</v>
      </c>
      <c r="D122">
        <v>5.0684931506849313</v>
      </c>
      <c r="E122">
        <v>6815.73</v>
      </c>
      <c r="F122">
        <f>IF(Table2[[#This Row],[Geo Distance]]=0,0,LOG(Table2[[#This Row],[Geo Distance]]))</f>
        <v>3.8335123778512705</v>
      </c>
      <c r="G122">
        <v>42</v>
      </c>
      <c r="H122">
        <f>IF(Table2[[#This Row],[Target age]]=0,0,LOG(Table2[[#This Row],[Target age]]))</f>
        <v>1.6232492903979006</v>
      </c>
      <c r="I122" s="45">
        <v>2.85</v>
      </c>
      <c r="J122" s="9">
        <v>819</v>
      </c>
      <c r="K122" s="9">
        <f>IF(Table2[[#This Row],[Culture]]=0,0,LOG(Table2[[#This Row],[Culture]]))</f>
        <v>2.9132839017604186</v>
      </c>
      <c r="L122" s="24">
        <v>-0.1</v>
      </c>
      <c r="M122" s="9">
        <f>LOG(1+Table2[[#This Row],[S&amp;P]])</f>
        <v>-4.5757490560675115E-2</v>
      </c>
      <c r="N122">
        <v>22</v>
      </c>
      <c r="O122">
        <f>IF(Table2[[#This Row],[fund age]]=0,0,LOG(Table2[[#This Row],[fund age]]))</f>
        <v>1.3424226808222062</v>
      </c>
      <c r="P122">
        <f t="shared" si="1"/>
        <v>1</v>
      </c>
      <c r="Q122">
        <v>70</v>
      </c>
      <c r="R122">
        <v>70</v>
      </c>
      <c r="S122">
        <v>88.9</v>
      </c>
      <c r="T122" s="34">
        <v>34.9</v>
      </c>
      <c r="U122" s="42">
        <v>42.817370475444001</v>
      </c>
      <c r="V122">
        <v>2315.9650000000001</v>
      </c>
      <c r="W122">
        <f>LOG(Table2[[#This Row],[generalist]])</f>
        <v>3.3647319918335836</v>
      </c>
      <c r="X122" s="14">
        <v>4</v>
      </c>
      <c r="Y122">
        <v>3703.9029999999998</v>
      </c>
      <c r="Z122">
        <f>LOG(Table2[[#This Row],[country divers.]])</f>
        <v>3.568659604598353</v>
      </c>
      <c r="AA122">
        <v>1300000000</v>
      </c>
      <c r="AB122">
        <f>LOG(Table2[[#This Row],[Firm Size]])</f>
        <v>9.1139433523068369</v>
      </c>
      <c r="AC122" s="80">
        <v>-0.12874888596651657</v>
      </c>
    </row>
    <row r="123" spans="1:29" x14ac:dyDescent="0.35">
      <c r="A123" t="s">
        <v>2</v>
      </c>
      <c r="B123">
        <v>0.15256527365456352</v>
      </c>
      <c r="C123">
        <f>IF(Table2[[#This Row],[Return]]=-1,-1,LOG(1+Table2[[#This Row],[Return]]))</f>
        <v>6.1665530317871788E-2</v>
      </c>
      <c r="D123">
        <v>3.4109589041095889</v>
      </c>
      <c r="E123">
        <v>6815.73</v>
      </c>
      <c r="F123">
        <f>IF(Table2[[#This Row],[Geo Distance]]=0,0,LOG(Table2[[#This Row],[Geo Distance]]))</f>
        <v>3.8335123778512705</v>
      </c>
      <c r="G123">
        <v>7</v>
      </c>
      <c r="H123">
        <f>IF(Table2[[#This Row],[Target age]]=0,0,LOG(Table2[[#This Row],[Target age]]))</f>
        <v>0.84509804001425681</v>
      </c>
      <c r="I123" s="45">
        <v>2.85</v>
      </c>
      <c r="J123" s="9">
        <v>819</v>
      </c>
      <c r="K123" s="9">
        <f>IF(Table2[[#This Row],[Culture]]=0,0,LOG(Table2[[#This Row],[Culture]]))</f>
        <v>2.9132839017604186</v>
      </c>
      <c r="L123" s="24">
        <v>0.4</v>
      </c>
      <c r="M123" s="9">
        <f>LOG(1+Table2[[#This Row],[S&amp;P]])</f>
        <v>0.14612803567823801</v>
      </c>
      <c r="N123">
        <v>18</v>
      </c>
      <c r="O123">
        <f>IF(Table2[[#This Row],[fund age]]=0,0,LOG(Table2[[#This Row],[fund age]]))</f>
        <v>1.255272505103306</v>
      </c>
      <c r="P123">
        <f t="shared" si="1"/>
        <v>1</v>
      </c>
      <c r="Q123">
        <v>70</v>
      </c>
      <c r="R123">
        <v>70</v>
      </c>
      <c r="S123">
        <v>70</v>
      </c>
      <c r="T123" s="34">
        <v>34.6</v>
      </c>
      <c r="U123" s="42">
        <v>47.8156192569637</v>
      </c>
      <c r="V123">
        <v>2315.9650000000001</v>
      </c>
      <c r="W123">
        <f>LOG(Table2[[#This Row],[generalist]])</f>
        <v>3.3647319918335836</v>
      </c>
      <c r="X123" s="14">
        <v>4</v>
      </c>
      <c r="Y123">
        <v>3703.9029999999998</v>
      </c>
      <c r="Z123">
        <f>LOG(Table2[[#This Row],[country divers.]])</f>
        <v>3.568659604598353</v>
      </c>
      <c r="AA123">
        <f>(2216090000+435660000)</f>
        <v>2651750000</v>
      </c>
      <c r="AB123">
        <f>LOG(Table2[[#This Row],[Firm Size]])</f>
        <v>9.4235325775237104</v>
      </c>
      <c r="AC123" s="80">
        <v>0.58818453856180342</v>
      </c>
    </row>
    <row r="124" spans="1:29" x14ac:dyDescent="0.35">
      <c r="A124" t="s">
        <v>2</v>
      </c>
      <c r="B124">
        <v>1.9</v>
      </c>
      <c r="C124">
        <f>IF(Table2[[#This Row],[Return]]=-1,-1,LOG(1+Table2[[#This Row],[Return]]))</f>
        <v>0.46239799789895608</v>
      </c>
      <c r="D124">
        <v>3.3561643835616439</v>
      </c>
      <c r="E124">
        <v>6815.73</v>
      </c>
      <c r="F124">
        <f>IF(Table2[[#This Row],[Geo Distance]]=0,0,LOG(Table2[[#This Row],[Geo Distance]]))</f>
        <v>3.8335123778512705</v>
      </c>
      <c r="G124">
        <v>112</v>
      </c>
      <c r="H124">
        <f>IF(Table2[[#This Row],[Target age]]=0,0,LOG(Table2[[#This Row],[Target age]]))</f>
        <v>2.0492180226701815</v>
      </c>
      <c r="I124" s="45">
        <v>2.85</v>
      </c>
      <c r="J124" s="9">
        <v>819</v>
      </c>
      <c r="K124" s="9">
        <f>IF(Table2[[#This Row],[Culture]]=0,0,LOG(Table2[[#This Row],[Culture]]))</f>
        <v>2.9132839017604186</v>
      </c>
      <c r="L124" s="24">
        <v>0.34</v>
      </c>
      <c r="M124" s="9">
        <f>LOG(1+Table2[[#This Row],[S&amp;P]])</f>
        <v>0.12710479836480765</v>
      </c>
      <c r="N124">
        <v>19</v>
      </c>
      <c r="O124">
        <f>IF(Table2[[#This Row],[fund age]]=0,0,LOG(Table2[[#This Row],[fund age]]))</f>
        <v>1.2787536009528289</v>
      </c>
      <c r="P124">
        <f t="shared" si="1"/>
        <v>1</v>
      </c>
      <c r="Q124">
        <v>70</v>
      </c>
      <c r="R124">
        <v>70</v>
      </c>
      <c r="S124">
        <v>70</v>
      </c>
      <c r="T124" s="34">
        <v>33.9</v>
      </c>
      <c r="U124" s="42">
        <v>46.312020505412598</v>
      </c>
      <c r="V124">
        <v>2315.9650000000001</v>
      </c>
      <c r="W124">
        <f>LOG(Table2[[#This Row],[generalist]])</f>
        <v>3.3647319918335836</v>
      </c>
      <c r="X124" s="14">
        <v>4</v>
      </c>
      <c r="Y124">
        <v>3703.9029999999998</v>
      </c>
      <c r="Z124">
        <f>LOG(Table2[[#This Row],[country divers.]])</f>
        <v>3.568659604598353</v>
      </c>
      <c r="AA124">
        <v>500000000</v>
      </c>
      <c r="AB124">
        <f>LOG(Table2[[#This Row],[Firm Size]])</f>
        <v>8.6989700043360187</v>
      </c>
      <c r="AC124" s="80">
        <v>0.54397263119742956</v>
      </c>
    </row>
    <row r="125" spans="1:29" x14ac:dyDescent="0.35">
      <c r="A125" t="s">
        <v>2</v>
      </c>
      <c r="B125">
        <v>0.1708726599999999</v>
      </c>
      <c r="C125">
        <f>IF(Table2[[#This Row],[Return]]=-1,-1,LOG(1+Table2[[#This Row],[Return]]))</f>
        <v>6.8509665297384587E-2</v>
      </c>
      <c r="D125">
        <v>3.3232876712328765</v>
      </c>
      <c r="E125">
        <v>6815.73</v>
      </c>
      <c r="F125">
        <f>IF(Table2[[#This Row],[Geo Distance]]=0,0,LOG(Table2[[#This Row],[Geo Distance]]))</f>
        <v>3.8335123778512705</v>
      </c>
      <c r="G125">
        <v>140</v>
      </c>
      <c r="H125">
        <f>IF(Table2[[#This Row],[Target age]]=0,0,LOG(Table2[[#This Row],[Target age]]))</f>
        <v>2.1461280356782382</v>
      </c>
      <c r="I125" s="45">
        <v>2.85</v>
      </c>
      <c r="J125" s="9">
        <v>819</v>
      </c>
      <c r="K125" s="9">
        <f>IF(Table2[[#This Row],[Culture]]=0,0,LOG(Table2[[#This Row],[Culture]]))</f>
        <v>2.9132839017604186</v>
      </c>
      <c r="L125" s="24">
        <v>0.14000000000000001</v>
      </c>
      <c r="M125" s="9">
        <f>LOG(1+Table2[[#This Row],[S&amp;P]])</f>
        <v>5.6904851336472641E-2</v>
      </c>
      <c r="N125">
        <v>19</v>
      </c>
      <c r="O125">
        <f>IF(Table2[[#This Row],[fund age]]=0,0,LOG(Table2[[#This Row],[fund age]]))</f>
        <v>1.2787536009528289</v>
      </c>
      <c r="P125">
        <f t="shared" si="1"/>
        <v>1</v>
      </c>
      <c r="Q125">
        <v>70</v>
      </c>
      <c r="R125">
        <v>70</v>
      </c>
      <c r="S125">
        <v>70</v>
      </c>
      <c r="T125" s="34">
        <v>33.9</v>
      </c>
      <c r="U125" s="42">
        <v>46.312020505412598</v>
      </c>
      <c r="V125">
        <v>2315.9650000000001</v>
      </c>
      <c r="W125">
        <f>LOG(Table2[[#This Row],[generalist]])</f>
        <v>3.3647319918335836</v>
      </c>
      <c r="X125" s="14">
        <v>4</v>
      </c>
      <c r="Y125">
        <v>3703.9029999999998</v>
      </c>
      <c r="Z125">
        <f>LOG(Table2[[#This Row],[country divers.]])</f>
        <v>3.568659604598353</v>
      </c>
      <c r="AA125">
        <v>600000000</v>
      </c>
      <c r="AB125">
        <f>LOG(Table2[[#This Row],[Firm Size]])</f>
        <v>8.7781512503836439</v>
      </c>
      <c r="AC125" s="80">
        <v>0.30589382403584842</v>
      </c>
    </row>
    <row r="126" spans="1:29" x14ac:dyDescent="0.35">
      <c r="A126" t="s">
        <v>2</v>
      </c>
      <c r="B126">
        <v>0.44444444444444442</v>
      </c>
      <c r="C126">
        <f>IF(Table2[[#This Row],[Return]]=-1,-1,LOG(1+Table2[[#This Row],[Return]]))</f>
        <v>0.15970084286751188</v>
      </c>
      <c r="D126">
        <v>2.7808219178082192</v>
      </c>
      <c r="E126">
        <v>6815.73</v>
      </c>
      <c r="F126">
        <f>IF(Table2[[#This Row],[Geo Distance]]=0,0,LOG(Table2[[#This Row],[Geo Distance]]))</f>
        <v>3.8335123778512705</v>
      </c>
      <c r="G126">
        <v>2</v>
      </c>
      <c r="H126">
        <f>IF(Table2[[#This Row],[Target age]]=0,0,LOG(Table2[[#This Row],[Target age]]))</f>
        <v>0.3010299956639812</v>
      </c>
      <c r="I126" s="45">
        <v>2.85</v>
      </c>
      <c r="J126" s="9">
        <v>819</v>
      </c>
      <c r="K126" s="9">
        <f>IF(Table2[[#This Row],[Culture]]=0,0,LOG(Table2[[#This Row],[Culture]]))</f>
        <v>2.9132839017604186</v>
      </c>
      <c r="L126" s="24">
        <v>0.31</v>
      </c>
      <c r="M126" s="9">
        <f>LOG(1+Table2[[#This Row],[S&amp;P]])</f>
        <v>0.11727129565576427</v>
      </c>
      <c r="N126">
        <v>18</v>
      </c>
      <c r="O126">
        <f>IF(Table2[[#This Row],[fund age]]=0,0,LOG(Table2[[#This Row],[fund age]]))</f>
        <v>1.255272505103306</v>
      </c>
      <c r="P126">
        <f t="shared" si="1"/>
        <v>1</v>
      </c>
      <c r="Q126">
        <v>70</v>
      </c>
      <c r="R126">
        <v>70</v>
      </c>
      <c r="S126">
        <v>70</v>
      </c>
      <c r="T126" s="34">
        <v>34.6</v>
      </c>
      <c r="U126" s="42">
        <v>47.8156192569637</v>
      </c>
      <c r="V126">
        <v>2315.9650000000001</v>
      </c>
      <c r="W126">
        <f>LOG(Table2[[#This Row],[generalist]])</f>
        <v>3.3647319918335836</v>
      </c>
      <c r="X126" s="14">
        <v>4</v>
      </c>
      <c r="Y126">
        <v>3703.9029999999998</v>
      </c>
      <c r="Z126">
        <f>LOG(Table2[[#This Row],[country divers.]])</f>
        <v>3.568659604598353</v>
      </c>
      <c r="AA126">
        <v>900000000</v>
      </c>
      <c r="AB126">
        <f>LOG(Table2[[#This Row],[Firm Size]])</f>
        <v>8.9542425094393252</v>
      </c>
      <c r="AC126" s="80">
        <v>0.55010741322528389</v>
      </c>
    </row>
    <row r="127" spans="1:29" x14ac:dyDescent="0.35">
      <c r="A127" t="s">
        <v>2</v>
      </c>
      <c r="B127">
        <v>-0.38667204084374585</v>
      </c>
      <c r="C127">
        <f>IF(Table2[[#This Row],[Return]]=-1,-1,LOG(1+Table2[[#This Row],[Return]]))</f>
        <v>-0.21230723712155383</v>
      </c>
      <c r="D127">
        <v>2.0027397260273974</v>
      </c>
      <c r="E127">
        <v>684.28</v>
      </c>
      <c r="F127">
        <f>IF(Table2[[#This Row],[Geo Distance]]=0,0,LOG(Table2[[#This Row],[Geo Distance]]))</f>
        <v>2.8352338467089053</v>
      </c>
      <c r="G127">
        <v>52</v>
      </c>
      <c r="H127">
        <f>IF(Table2[[#This Row],[Target age]]=0,0,LOG(Table2[[#This Row],[Target age]]))</f>
        <v>1.7160033436347992</v>
      </c>
      <c r="I127" s="45">
        <v>2.74</v>
      </c>
      <c r="J127" s="9">
        <v>1412.5</v>
      </c>
      <c r="K127" s="9">
        <f>IF(Table2[[#This Row],[Culture]]=0,0,LOG(Table2[[#This Row],[Culture]]))</f>
        <v>3.1499884564914762</v>
      </c>
      <c r="L127" s="24">
        <v>0.26</v>
      </c>
      <c r="M127" s="9">
        <f>LOG(1+Table2[[#This Row],[S&amp;P]])</f>
        <v>0.10037054511756291</v>
      </c>
      <c r="N127">
        <v>9</v>
      </c>
      <c r="O127">
        <f>IF(Table2[[#This Row],[fund age]]=0,0,LOG(Table2[[#This Row],[fund age]]))</f>
        <v>0.95424250943932487</v>
      </c>
      <c r="P127">
        <f t="shared" si="1"/>
        <v>1</v>
      </c>
      <c r="Q127">
        <v>70</v>
      </c>
      <c r="R127">
        <v>70</v>
      </c>
      <c r="S127">
        <v>70</v>
      </c>
      <c r="T127" s="34">
        <v>34.6</v>
      </c>
      <c r="U127" s="42">
        <v>47.8156192569637</v>
      </c>
      <c r="V127">
        <v>1213.5328018155212</v>
      </c>
      <c r="W127">
        <f>LOG(Table2[[#This Row],[generalist]])</f>
        <v>3.0840515198150036</v>
      </c>
      <c r="X127" s="14">
        <v>2</v>
      </c>
      <c r="Y127">
        <v>8035.9222431246071</v>
      </c>
      <c r="Z127">
        <f>LOG(Table2[[#This Row],[country divers.]])</f>
        <v>3.905035725793323</v>
      </c>
      <c r="AA127">
        <v>148860000</v>
      </c>
      <c r="AB127">
        <f>LOG(Table2[[#This Row],[Firm Size]])</f>
        <v>8.1727780146558526</v>
      </c>
      <c r="AC127" s="80">
        <v>0.26029578243811158</v>
      </c>
    </row>
    <row r="128" spans="1:29" x14ac:dyDescent="0.35">
      <c r="A128" t="s">
        <v>2</v>
      </c>
      <c r="B128">
        <v>8.1081081081081141E-2</v>
      </c>
      <c r="C128">
        <f>IF(Table2[[#This Row],[Return]]=-1,-1,LOG(1+Table2[[#This Row],[Return]]))</f>
        <v>3.3858267260967419E-2</v>
      </c>
      <c r="D128">
        <v>8.2547945205479447</v>
      </c>
      <c r="E128">
        <v>684.28</v>
      </c>
      <c r="F128">
        <f>IF(Table2[[#This Row],[Geo Distance]]=0,0,LOG(Table2[[#This Row],[Geo Distance]]))</f>
        <v>2.8352338467089053</v>
      </c>
      <c r="G128">
        <v>62</v>
      </c>
      <c r="H128">
        <f>IF(Table2[[#This Row],[Target age]]=0,0,LOG(Table2[[#This Row],[Target age]]))</f>
        <v>1.7923916894982539</v>
      </c>
      <c r="I128" s="45">
        <v>2.74</v>
      </c>
      <c r="J128" s="9">
        <v>1412.5</v>
      </c>
      <c r="K128" s="9">
        <f>IF(Table2[[#This Row],[Culture]]=0,0,LOG(Table2[[#This Row],[Culture]]))</f>
        <v>3.1499884564914762</v>
      </c>
      <c r="L128" s="24">
        <v>0.46</v>
      </c>
      <c r="M128" s="9">
        <f>LOG(1+Table2[[#This Row],[S&amp;P]])</f>
        <v>0.16435285578443709</v>
      </c>
      <c r="N128">
        <v>7</v>
      </c>
      <c r="O128">
        <f>IF(Table2[[#This Row],[fund age]]=0,0,LOG(Table2[[#This Row],[fund age]]))</f>
        <v>0.84509804001425681</v>
      </c>
      <c r="P128">
        <f t="shared" si="1"/>
        <v>1</v>
      </c>
      <c r="Q128">
        <v>70</v>
      </c>
      <c r="R128">
        <v>70</v>
      </c>
      <c r="S128">
        <v>70</v>
      </c>
      <c r="T128" s="34">
        <v>33.9</v>
      </c>
      <c r="U128" s="42">
        <v>46.200073016176603</v>
      </c>
      <c r="V128">
        <v>1682.1639898562976</v>
      </c>
      <c r="W128">
        <f>LOG(Table2[[#This Row],[generalist]])</f>
        <v>3.2258683317817765</v>
      </c>
      <c r="X128" s="14">
        <v>1</v>
      </c>
      <c r="Y128">
        <v>9152.2762951334389</v>
      </c>
      <c r="Z128">
        <f>LOG(Table2[[#This Row],[country divers.]])</f>
        <v>3.9615291224236637</v>
      </c>
      <c r="AA128">
        <v>370000000</v>
      </c>
      <c r="AB128">
        <f>LOG(Table2[[#This Row],[Firm Size]])</f>
        <v>8.568201724066995</v>
      </c>
      <c r="AC128" s="80">
        <v>0.45045081677786536</v>
      </c>
    </row>
    <row r="129" spans="1:29" x14ac:dyDescent="0.35">
      <c r="A129" t="s">
        <v>2</v>
      </c>
      <c r="B129">
        <v>0.23490377358490555</v>
      </c>
      <c r="C129">
        <f>IF(Table2[[#This Row],[Return]]=-1,-1,LOG(1+Table2[[#This Row],[Return]]))</f>
        <v>9.1633117733940173E-2</v>
      </c>
      <c r="D129">
        <v>2.0027397260273974</v>
      </c>
      <c r="E129">
        <v>6815.73</v>
      </c>
      <c r="F129">
        <f>IF(Table2[[#This Row],[Geo Distance]]=0,0,LOG(Table2[[#This Row],[Geo Distance]]))</f>
        <v>3.8335123778512705</v>
      </c>
      <c r="G129">
        <v>14</v>
      </c>
      <c r="H129">
        <f>IF(Table2[[#This Row],[Target age]]=0,0,LOG(Table2[[#This Row],[Target age]]))</f>
        <v>1.146128035678238</v>
      </c>
      <c r="I129" s="45">
        <v>2.85</v>
      </c>
      <c r="J129" s="9">
        <v>819</v>
      </c>
      <c r="K129" s="9">
        <f>IF(Table2[[#This Row],[Culture]]=0,0,LOG(Table2[[#This Row],[Culture]]))</f>
        <v>2.9132839017604186</v>
      </c>
      <c r="L129" s="24">
        <v>0.28000000000000003</v>
      </c>
      <c r="M129" s="9">
        <f>LOG(1+Table2[[#This Row],[S&amp;P]])</f>
        <v>0.10720996964786837</v>
      </c>
      <c r="N129">
        <v>13</v>
      </c>
      <c r="O129">
        <f>IF(Table2[[#This Row],[fund age]]=0,0,LOG(Table2[[#This Row],[fund age]]))</f>
        <v>1.1139433523068367</v>
      </c>
      <c r="P129">
        <f t="shared" si="1"/>
        <v>1</v>
      </c>
      <c r="Q129">
        <v>70</v>
      </c>
      <c r="R129">
        <v>70</v>
      </c>
      <c r="S129">
        <v>70</v>
      </c>
      <c r="T129" s="34">
        <v>33.9</v>
      </c>
      <c r="U129" s="42">
        <v>46.200073016176603</v>
      </c>
      <c r="V129">
        <v>1455.046</v>
      </c>
      <c r="W129">
        <f>LOG(Table2[[#This Row],[generalist]])</f>
        <v>3.1628767233771686</v>
      </c>
      <c r="X129" s="14">
        <v>2</v>
      </c>
      <c r="Y129">
        <v>4062.5129999999999</v>
      </c>
      <c r="Z129">
        <f>LOG(Table2[[#This Row],[country divers.]])</f>
        <v>3.6087947637270492</v>
      </c>
      <c r="AA129">
        <v>265000000</v>
      </c>
      <c r="AB129">
        <f>LOG(Table2[[#This Row],[Firm Size]])</f>
        <v>8.423245873936807</v>
      </c>
      <c r="AC129" s="80">
        <v>0.38891707626446803</v>
      </c>
    </row>
    <row r="130" spans="1:29" x14ac:dyDescent="0.35">
      <c r="A130" t="s">
        <v>2</v>
      </c>
      <c r="B130">
        <v>0.40507640507640508</v>
      </c>
      <c r="C130">
        <f>IF(Table2[[#This Row],[Return]]=-1,-1,LOG(1+Table2[[#This Row],[Return]]))</f>
        <v>0.147699940896518</v>
      </c>
      <c r="D130">
        <v>7.4356164383561643</v>
      </c>
      <c r="E130">
        <v>6815.73</v>
      </c>
      <c r="F130">
        <f>IF(Table2[[#This Row],[Geo Distance]]=0,0,LOG(Table2[[#This Row],[Geo Distance]]))</f>
        <v>3.8335123778512705</v>
      </c>
      <c r="G130">
        <v>50</v>
      </c>
      <c r="H130">
        <f>IF(Table2[[#This Row],[Target age]]=0,0,LOG(Table2[[#This Row],[Target age]]))</f>
        <v>1.6989700043360187</v>
      </c>
      <c r="I130" s="45">
        <v>2.85</v>
      </c>
      <c r="J130" s="9">
        <v>819</v>
      </c>
      <c r="K130" s="9">
        <f>IF(Table2[[#This Row],[Culture]]=0,0,LOG(Table2[[#This Row],[Culture]]))</f>
        <v>2.9132839017604186</v>
      </c>
      <c r="L130" s="24">
        <v>1.28</v>
      </c>
      <c r="M130" s="9">
        <f>LOG(1+Table2[[#This Row],[S&amp;P]])</f>
        <v>0.35793484700045386</v>
      </c>
      <c r="N130">
        <v>43</v>
      </c>
      <c r="O130">
        <f>IF(Table2[[#This Row],[fund age]]=0,0,LOG(Table2[[#This Row],[fund age]]))</f>
        <v>1.6334684555795864</v>
      </c>
      <c r="P130">
        <f t="shared" ref="P130:P193" si="2">IF(E130=0,0,1)</f>
        <v>1</v>
      </c>
      <c r="Q130">
        <v>70</v>
      </c>
      <c r="R130">
        <v>70</v>
      </c>
      <c r="S130">
        <v>90.3</v>
      </c>
      <c r="T130" s="34">
        <v>36.1</v>
      </c>
      <c r="U130" s="42">
        <v>47.576210837790804</v>
      </c>
      <c r="V130">
        <v>1421.558</v>
      </c>
      <c r="W130">
        <f>LOG(Table2[[#This Row],[generalist]])</f>
        <v>3.1527645837352773</v>
      </c>
      <c r="X130" s="14">
        <v>2</v>
      </c>
      <c r="Y130">
        <v>3476.3409999999999</v>
      </c>
      <c r="Z130">
        <f>LOG(Table2[[#This Row],[country divers.]])</f>
        <v>3.5411223705253856</v>
      </c>
      <c r="AA130">
        <v>38610000</v>
      </c>
      <c r="AB130">
        <f>LOG(Table2[[#This Row],[Firm Size]])</f>
        <v>7.5866998016240492</v>
      </c>
      <c r="AC130" s="80">
        <v>0.63566639769648825</v>
      </c>
    </row>
    <row r="131" spans="1:29" x14ac:dyDescent="0.35">
      <c r="A131" t="s">
        <v>2</v>
      </c>
      <c r="B131">
        <v>-0.6</v>
      </c>
      <c r="C131">
        <f>IF(Table2[[#This Row],[Return]]=-1,-1,LOG(1+Table2[[#This Row],[Return]]))</f>
        <v>-0.3979400086720376</v>
      </c>
      <c r="D131">
        <v>3.6958904109589041</v>
      </c>
      <c r="E131">
        <v>917.19</v>
      </c>
      <c r="F131">
        <f>IF(Table2[[#This Row],[Geo Distance]]=0,0,LOG(Table2[[#This Row],[Geo Distance]]))</f>
        <v>2.9624593110290154</v>
      </c>
      <c r="G131">
        <v>28</v>
      </c>
      <c r="H131">
        <f>IF(Table2[[#This Row],[Target age]]=0,0,LOG(Table2[[#This Row],[Target age]]))</f>
        <v>1.4471580313422192</v>
      </c>
      <c r="I131" s="45">
        <v>2.62</v>
      </c>
      <c r="J131" s="9">
        <v>854.66666666666697</v>
      </c>
      <c r="K131" s="9">
        <f>IF(Table2[[#This Row],[Culture]]=0,0,LOG(Table2[[#This Row],[Culture]]))</f>
        <v>2.9317967661271176</v>
      </c>
      <c r="L131" s="24">
        <v>-0.19</v>
      </c>
      <c r="M131" s="9">
        <f>LOG(1+Table2[[#This Row],[S&amp;P]])</f>
        <v>-9.1514981121350217E-2</v>
      </c>
      <c r="N131">
        <v>26</v>
      </c>
      <c r="O131">
        <f>IF(Table2[[#This Row],[fund age]]=0,0,LOG(Table2[[#This Row],[fund age]]))</f>
        <v>1.414973347970818</v>
      </c>
      <c r="P131">
        <f t="shared" si="2"/>
        <v>1</v>
      </c>
      <c r="Q131">
        <v>70</v>
      </c>
      <c r="R131">
        <v>70</v>
      </c>
      <c r="S131">
        <v>88.9</v>
      </c>
      <c r="T131" s="34">
        <v>34.9</v>
      </c>
      <c r="U131" s="42">
        <v>42.817370475444001</v>
      </c>
      <c r="V131">
        <v>1669.0315179326171</v>
      </c>
      <c r="W131">
        <f>LOG(Table2[[#This Row],[generalist]])</f>
        <v>3.22246453795844</v>
      </c>
      <c r="X131" s="14">
        <v>3</v>
      </c>
      <c r="Y131">
        <v>5094.7953145755328</v>
      </c>
      <c r="Z131">
        <f>LOG(Table2[[#This Row],[country divers.]])</f>
        <v>3.7071267407396937</v>
      </c>
      <c r="AA131">
        <v>1000000000</v>
      </c>
      <c r="AB131">
        <f>LOG(Table2[[#This Row],[Firm Size]])</f>
        <v>9</v>
      </c>
      <c r="AC131" s="80">
        <v>-0.11191109719830961</v>
      </c>
    </row>
    <row r="132" spans="1:29" x14ac:dyDescent="0.35">
      <c r="A132" t="s">
        <v>2</v>
      </c>
      <c r="B132">
        <v>3.0681183256562461</v>
      </c>
      <c r="C132">
        <f>IF(Table2[[#This Row],[Return]]=-1,-1,LOG(1+Table2[[#This Row],[Return]]))</f>
        <v>0.60939357636285729</v>
      </c>
      <c r="D132">
        <v>5.7534246575342465</v>
      </c>
      <c r="E132">
        <v>917.19</v>
      </c>
      <c r="F132">
        <f>IF(Table2[[#This Row],[Geo Distance]]=0,0,LOG(Table2[[#This Row],[Geo Distance]]))</f>
        <v>2.9624593110290154</v>
      </c>
      <c r="G132">
        <v>11</v>
      </c>
      <c r="H132">
        <f>IF(Table2[[#This Row],[Target age]]=0,0,LOG(Table2[[#This Row],[Target age]]))</f>
        <v>1.0413926851582251</v>
      </c>
      <c r="I132" s="45">
        <v>2.62</v>
      </c>
      <c r="J132" s="9">
        <v>854.66666666666697</v>
      </c>
      <c r="K132" s="9">
        <f>IF(Table2[[#This Row],[Culture]]=0,0,LOG(Table2[[#This Row],[Culture]]))</f>
        <v>2.9317967661271176</v>
      </c>
      <c r="L132" s="24">
        <v>0.73</v>
      </c>
      <c r="M132" s="9">
        <f>LOG(1+Table2[[#This Row],[S&amp;P]])</f>
        <v>0.2380461031287954</v>
      </c>
      <c r="N132">
        <v>23</v>
      </c>
      <c r="O132">
        <f>IF(Table2[[#This Row],[fund age]]=0,0,LOG(Table2[[#This Row],[fund age]]))</f>
        <v>1.3617278360175928</v>
      </c>
      <c r="P132">
        <f t="shared" si="2"/>
        <v>1</v>
      </c>
      <c r="Q132">
        <v>70</v>
      </c>
      <c r="R132">
        <v>70</v>
      </c>
      <c r="S132">
        <v>90.3</v>
      </c>
      <c r="T132" s="34">
        <v>36.1</v>
      </c>
      <c r="U132" s="42">
        <v>47.576210837790804</v>
      </c>
      <c r="V132">
        <v>1655.1111111111111</v>
      </c>
      <c r="W132">
        <f>LOG(Table2[[#This Row],[generalist]])</f>
        <v>3.2188271541979425</v>
      </c>
      <c r="X132" s="14">
        <v>2</v>
      </c>
      <c r="Y132">
        <v>5715.5555555555547</v>
      </c>
      <c r="Z132">
        <f>LOG(Table2[[#This Row],[country divers.]])</f>
        <v>3.7570584504768405</v>
      </c>
      <c r="AA132">
        <v>494351317</v>
      </c>
      <c r="AB132">
        <f>LOG(Table2[[#This Row],[Firm Size]])</f>
        <v>8.6940356954964511</v>
      </c>
      <c r="AC132" s="80">
        <v>0.20144752766730534</v>
      </c>
    </row>
    <row r="133" spans="1:29" x14ac:dyDescent="0.35">
      <c r="A133" t="s">
        <v>2</v>
      </c>
      <c r="B133">
        <v>0.2638299101597481</v>
      </c>
      <c r="C133">
        <f>IF(Table2[[#This Row],[Return]]=-1,-1,LOG(1+Table2[[#This Row],[Return]]))</f>
        <v>0.10168862928688671</v>
      </c>
      <c r="D133">
        <v>6.5780821917808217</v>
      </c>
      <c r="E133">
        <v>917.19</v>
      </c>
      <c r="F133">
        <f>IF(Table2[[#This Row],[Geo Distance]]=0,0,LOG(Table2[[#This Row],[Geo Distance]]))</f>
        <v>2.9624593110290154</v>
      </c>
      <c r="G133">
        <v>1</v>
      </c>
      <c r="H133">
        <f>IF(Table2[[#This Row],[Target age]]=0,0,LOG(Table2[[#This Row],[Target age]]))</f>
        <v>0</v>
      </c>
      <c r="I133" s="45">
        <v>2.62</v>
      </c>
      <c r="J133" s="9">
        <v>854.66666666666697</v>
      </c>
      <c r="K133" s="9">
        <f>IF(Table2[[#This Row],[Culture]]=0,0,LOG(Table2[[#This Row],[Culture]]))</f>
        <v>2.9317967661271176</v>
      </c>
      <c r="L133" s="24">
        <v>0.1</v>
      </c>
      <c r="M133" s="9">
        <f>LOG(1+Table2[[#This Row],[S&amp;P]])</f>
        <v>4.1392685158225077E-2</v>
      </c>
      <c r="N133">
        <v>17</v>
      </c>
      <c r="O133">
        <f>IF(Table2[[#This Row],[fund age]]=0,0,LOG(Table2[[#This Row],[fund age]]))</f>
        <v>1.2304489213782739</v>
      </c>
      <c r="P133">
        <f t="shared" si="2"/>
        <v>1</v>
      </c>
      <c r="Q133">
        <v>70</v>
      </c>
      <c r="R133">
        <v>70</v>
      </c>
      <c r="S133">
        <v>70</v>
      </c>
      <c r="T133" s="34">
        <v>34.6</v>
      </c>
      <c r="U133" s="42">
        <v>47.8156192569637</v>
      </c>
      <c r="V133">
        <v>1655.1111111111111</v>
      </c>
      <c r="W133">
        <f>LOG(Table2[[#This Row],[generalist]])</f>
        <v>3.2188271541979425</v>
      </c>
      <c r="X133" s="14">
        <v>2</v>
      </c>
      <c r="Y133">
        <v>5715.5555555555547</v>
      </c>
      <c r="Z133">
        <f>LOG(Table2[[#This Row],[country divers.]])</f>
        <v>3.7570584504768405</v>
      </c>
      <c r="AA133">
        <v>2769360000</v>
      </c>
      <c r="AB133">
        <f>LOG(Table2[[#This Row],[Firm Size]])</f>
        <v>9.4423794150633888</v>
      </c>
      <c r="AC133" s="80">
        <v>0.34235471495320136</v>
      </c>
    </row>
    <row r="134" spans="1:29" x14ac:dyDescent="0.35">
      <c r="A134" t="s">
        <v>2</v>
      </c>
      <c r="B134">
        <v>4.5092286856972752E-2</v>
      </c>
      <c r="C134">
        <f>IF(Table2[[#This Row],[Return]]=-1,-1,LOG(1+Table2[[#This Row],[Return]]))</f>
        <v>1.9154642507423002E-2</v>
      </c>
      <c r="D134">
        <v>5</v>
      </c>
      <c r="E134">
        <v>917.19</v>
      </c>
      <c r="F134">
        <f>IF(Table2[[#This Row],[Geo Distance]]=0,0,LOG(Table2[[#This Row],[Geo Distance]]))</f>
        <v>2.9624593110290154</v>
      </c>
      <c r="G134">
        <v>63</v>
      </c>
      <c r="H134">
        <f>IF(Table2[[#This Row],[Target age]]=0,0,LOG(Table2[[#This Row],[Target age]]))</f>
        <v>1.7993405494535817</v>
      </c>
      <c r="I134" s="45">
        <v>2.62</v>
      </c>
      <c r="J134" s="9">
        <v>854.66666666666697</v>
      </c>
      <c r="K134" s="9">
        <f>IF(Table2[[#This Row],[Culture]]=0,0,LOG(Table2[[#This Row],[Culture]]))</f>
        <v>2.9317967661271176</v>
      </c>
      <c r="L134" s="24">
        <v>-0.22</v>
      </c>
      <c r="M134" s="9">
        <f>LOG(1+Table2[[#This Row],[S&amp;P]])</f>
        <v>-0.10790539730951958</v>
      </c>
      <c r="N134">
        <v>13</v>
      </c>
      <c r="O134">
        <f>IF(Table2[[#This Row],[fund age]]=0,0,LOG(Table2[[#This Row],[fund age]]))</f>
        <v>1.1139433523068367</v>
      </c>
      <c r="P134">
        <f t="shared" si="2"/>
        <v>1</v>
      </c>
      <c r="Q134">
        <v>70</v>
      </c>
      <c r="R134">
        <v>70</v>
      </c>
      <c r="S134">
        <v>70</v>
      </c>
      <c r="T134" s="34">
        <v>36.200000000000003</v>
      </c>
      <c r="U134" s="42">
        <v>47.694345434117203</v>
      </c>
      <c r="V134">
        <v>1655.1111111111111</v>
      </c>
      <c r="W134">
        <f>LOG(Table2[[#This Row],[generalist]])</f>
        <v>3.2188271541979425</v>
      </c>
      <c r="X134" s="14">
        <v>2</v>
      </c>
      <c r="Y134">
        <v>5715.5555555555547</v>
      </c>
      <c r="Z134">
        <f>LOG(Table2[[#This Row],[country divers.]])</f>
        <v>3.7570584504768405</v>
      </c>
      <c r="AA134">
        <v>1435279945</v>
      </c>
      <c r="AB134">
        <f>LOG(Table2[[#This Row],[Firm Size]])</f>
        <v>9.1569366165482577</v>
      </c>
      <c r="AC134" s="80">
        <v>-0.29600652824832741</v>
      </c>
    </row>
    <row r="135" spans="1:29" x14ac:dyDescent="0.35">
      <c r="A135" t="s">
        <v>2</v>
      </c>
      <c r="B135">
        <v>1.5690077582686812</v>
      </c>
      <c r="C135">
        <f>IF(Table2[[#This Row],[Return]]=-1,-1,LOG(1+Table2[[#This Row],[Return]]))</f>
        <v>0.40976541581488246</v>
      </c>
      <c r="D135">
        <v>4.0821917808219181</v>
      </c>
      <c r="E135">
        <v>917.19</v>
      </c>
      <c r="F135">
        <f>IF(Table2[[#This Row],[Geo Distance]]=0,0,LOG(Table2[[#This Row],[Geo Distance]]))</f>
        <v>2.9624593110290154</v>
      </c>
      <c r="G135">
        <v>13</v>
      </c>
      <c r="H135">
        <f>IF(Table2[[#This Row],[Target age]]=0,0,LOG(Table2[[#This Row],[Target age]]))</f>
        <v>1.1139433523068367</v>
      </c>
      <c r="I135" s="45">
        <v>2.62</v>
      </c>
      <c r="J135" s="9">
        <v>854.66666666666697</v>
      </c>
      <c r="K135" s="9">
        <f>IF(Table2[[#This Row],[Culture]]=0,0,LOG(Table2[[#This Row],[Culture]]))</f>
        <v>2.9317967661271176</v>
      </c>
      <c r="L135" s="24">
        <v>0.1</v>
      </c>
      <c r="M135" s="9">
        <f>LOG(1+Table2[[#This Row],[S&amp;P]])</f>
        <v>4.1392685158225077E-2</v>
      </c>
      <c r="N135">
        <v>19</v>
      </c>
      <c r="O135">
        <f>IF(Table2[[#This Row],[fund age]]=0,0,LOG(Table2[[#This Row],[fund age]]))</f>
        <v>1.2787536009528289</v>
      </c>
      <c r="P135">
        <f t="shared" si="2"/>
        <v>1</v>
      </c>
      <c r="Q135">
        <v>70</v>
      </c>
      <c r="R135">
        <v>70</v>
      </c>
      <c r="S135">
        <v>70</v>
      </c>
      <c r="T135" s="34">
        <v>33.9</v>
      </c>
      <c r="U135" s="42">
        <v>46.312020505412598</v>
      </c>
      <c r="V135">
        <v>1861.7599999999995</v>
      </c>
      <c r="W135">
        <f>LOG(Table2[[#This Row],[generalist]])</f>
        <v>3.2699236952309461</v>
      </c>
      <c r="X135" s="14">
        <v>2</v>
      </c>
      <c r="Y135">
        <v>4993.920000000001</v>
      </c>
      <c r="Z135">
        <f>LOG(Table2[[#This Row],[country divers.]])</f>
        <v>3.6984415808994222</v>
      </c>
      <c r="AA135">
        <v>598920000</v>
      </c>
      <c r="AB135">
        <f>LOG(Table2[[#This Row],[Firm Size]])</f>
        <v>8.7773688159137464</v>
      </c>
      <c r="AC135" s="80">
        <v>0.24921777976715509</v>
      </c>
    </row>
    <row r="136" spans="1:29" x14ac:dyDescent="0.35">
      <c r="A136" t="s">
        <v>2</v>
      </c>
      <c r="B136">
        <v>5.4303900000000001</v>
      </c>
      <c r="C136">
        <f>IF(Table2[[#This Row],[Return]]=-1,-1,LOG(1+Table2[[#This Row],[Return]]))</f>
        <v>0.80823731347034766</v>
      </c>
      <c r="D136">
        <v>3.7232876712328768</v>
      </c>
      <c r="E136">
        <v>917.19</v>
      </c>
      <c r="F136">
        <f>IF(Table2[[#This Row],[Geo Distance]]=0,0,LOG(Table2[[#This Row],[Geo Distance]]))</f>
        <v>2.9624593110290154</v>
      </c>
      <c r="G136">
        <v>12</v>
      </c>
      <c r="H136">
        <f>IF(Table2[[#This Row],[Target age]]=0,0,LOG(Table2[[#This Row],[Target age]]))</f>
        <v>1.0791812460476249</v>
      </c>
      <c r="I136" s="45">
        <v>2.62</v>
      </c>
      <c r="J136" s="9">
        <v>854.66666666666697</v>
      </c>
      <c r="K136" s="9">
        <f>IF(Table2[[#This Row],[Culture]]=0,0,LOG(Table2[[#This Row],[Culture]]))</f>
        <v>2.9317967661271176</v>
      </c>
      <c r="L136" s="24">
        <v>0.65</v>
      </c>
      <c r="M136" s="9">
        <f>LOG(1+Table2[[#This Row],[S&amp;P]])</f>
        <v>0.21748394421390627</v>
      </c>
      <c r="N136">
        <v>18</v>
      </c>
      <c r="O136">
        <f>IF(Table2[[#This Row],[fund age]]=0,0,LOG(Table2[[#This Row],[fund age]]))</f>
        <v>1.255272505103306</v>
      </c>
      <c r="P136">
        <f t="shared" si="2"/>
        <v>1</v>
      </c>
      <c r="Q136">
        <v>70</v>
      </c>
      <c r="R136">
        <v>70</v>
      </c>
      <c r="S136">
        <v>70</v>
      </c>
      <c r="T136" s="34">
        <v>34.6</v>
      </c>
      <c r="U136" s="42">
        <v>47.8156192569637</v>
      </c>
      <c r="V136">
        <v>1861.7599999999995</v>
      </c>
      <c r="W136">
        <f>LOG(Table2[[#This Row],[generalist]])</f>
        <v>3.2699236952309461</v>
      </c>
      <c r="X136" s="14">
        <v>2</v>
      </c>
      <c r="Y136">
        <v>4993.920000000001</v>
      </c>
      <c r="Z136">
        <f>LOG(Table2[[#This Row],[country divers.]])</f>
        <v>3.6984415808994222</v>
      </c>
      <c r="AA136">
        <v>200000000</v>
      </c>
      <c r="AB136">
        <f>LOG(Table2[[#This Row],[Firm Size]])</f>
        <v>8.3010299956639813</v>
      </c>
      <c r="AC136" s="80">
        <v>0.78691288108328461</v>
      </c>
    </row>
    <row r="137" spans="1:29" x14ac:dyDescent="0.35">
      <c r="A137" t="s">
        <v>2</v>
      </c>
      <c r="B137">
        <v>1.0965693430656933</v>
      </c>
      <c r="C137">
        <f>IF(Table2[[#This Row],[Return]]=-1,-1,LOG(1+Table2[[#This Row],[Return]]))</f>
        <v>0.32150923106716078</v>
      </c>
      <c r="D137">
        <v>2.8301369863013699</v>
      </c>
      <c r="E137">
        <v>917.19</v>
      </c>
      <c r="F137">
        <f>IF(Table2[[#This Row],[Geo Distance]]=0,0,LOG(Table2[[#This Row],[Geo Distance]]))</f>
        <v>2.9624593110290154</v>
      </c>
      <c r="G137">
        <v>3</v>
      </c>
      <c r="H137">
        <f>IF(Table2[[#This Row],[Target age]]=0,0,LOG(Table2[[#This Row],[Target age]]))</f>
        <v>0.47712125471966244</v>
      </c>
      <c r="I137" s="45">
        <v>2.62</v>
      </c>
      <c r="J137" s="9">
        <v>854.66666666666697</v>
      </c>
      <c r="K137" s="9">
        <f>IF(Table2[[#This Row],[Culture]]=0,0,LOG(Table2[[#This Row],[Culture]]))</f>
        <v>2.9317967661271176</v>
      </c>
      <c r="L137" s="24">
        <v>-0.21</v>
      </c>
      <c r="M137" s="9">
        <f>LOG(1+Table2[[#This Row],[S&amp;P]])</f>
        <v>-0.10237290870955855</v>
      </c>
      <c r="N137">
        <v>15</v>
      </c>
      <c r="O137">
        <f>IF(Table2[[#This Row],[fund age]]=0,0,LOG(Table2[[#This Row],[fund age]]))</f>
        <v>1.1760912590556813</v>
      </c>
      <c r="P137">
        <f t="shared" si="2"/>
        <v>1</v>
      </c>
      <c r="Q137">
        <v>70</v>
      </c>
      <c r="R137">
        <v>70</v>
      </c>
      <c r="S137">
        <v>70</v>
      </c>
      <c r="T137" s="34">
        <v>36.200000000000003</v>
      </c>
      <c r="U137" s="42">
        <v>44.748733746598099</v>
      </c>
      <c r="V137">
        <v>1861.7599999999995</v>
      </c>
      <c r="W137">
        <f>LOG(Table2[[#This Row],[generalist]])</f>
        <v>3.2699236952309461</v>
      </c>
      <c r="X137" s="14">
        <v>2</v>
      </c>
      <c r="Y137">
        <v>4993.920000000001</v>
      </c>
      <c r="Z137">
        <f>LOG(Table2[[#This Row],[country divers.]])</f>
        <v>3.6984415808994222</v>
      </c>
      <c r="AA137">
        <v>137000000</v>
      </c>
      <c r="AB137">
        <f>LOG(Table2[[#This Row],[Firm Size]])</f>
        <v>8.1367205671564076</v>
      </c>
      <c r="AC137" s="80">
        <v>-0.28744912652127319</v>
      </c>
    </row>
    <row r="138" spans="1:29" x14ac:dyDescent="0.35">
      <c r="A138" t="s">
        <v>2</v>
      </c>
      <c r="B138">
        <v>8.3333333333333339</v>
      </c>
      <c r="C138">
        <f>IF(Table2[[#This Row],[Return]]=-1,-1,LOG(1+Table2[[#This Row],[Return]]))</f>
        <v>0.97003677662255683</v>
      </c>
      <c r="D138">
        <v>2.6794520547945204</v>
      </c>
      <c r="E138">
        <v>917.19</v>
      </c>
      <c r="F138">
        <f>IF(Table2[[#This Row],[Geo Distance]]=0,0,LOG(Table2[[#This Row],[Geo Distance]]))</f>
        <v>2.9624593110290154</v>
      </c>
      <c r="G138">
        <v>2</v>
      </c>
      <c r="H138">
        <f>IF(Table2[[#This Row],[Target age]]=0,0,LOG(Table2[[#This Row],[Target age]]))</f>
        <v>0.3010299956639812</v>
      </c>
      <c r="I138" s="45">
        <v>2.62</v>
      </c>
      <c r="J138" s="9">
        <v>854.66666666666697</v>
      </c>
      <c r="K138" s="9">
        <f>IF(Table2[[#This Row],[Culture]]=0,0,LOG(Table2[[#This Row],[Culture]]))</f>
        <v>2.9317967661271176</v>
      </c>
      <c r="L138" s="24">
        <v>0.51</v>
      </c>
      <c r="M138" s="9">
        <f>LOG(1+Table2[[#This Row],[S&amp;P]])</f>
        <v>0.17897694729316943</v>
      </c>
      <c r="N138">
        <v>12</v>
      </c>
      <c r="O138">
        <f>IF(Table2[[#This Row],[fund age]]=0,0,LOG(Table2[[#This Row],[fund age]]))</f>
        <v>1.0791812460476249</v>
      </c>
      <c r="P138">
        <f t="shared" si="2"/>
        <v>1</v>
      </c>
      <c r="Q138">
        <v>70</v>
      </c>
      <c r="R138">
        <v>70</v>
      </c>
      <c r="S138">
        <v>70</v>
      </c>
      <c r="T138" s="34">
        <v>35.200000000000003</v>
      </c>
      <c r="U138" s="42">
        <v>48.057282584935102</v>
      </c>
      <c r="V138">
        <v>1861.7599999999995</v>
      </c>
      <c r="W138">
        <f>LOG(Table2[[#This Row],[generalist]])</f>
        <v>3.2699236952309461</v>
      </c>
      <c r="X138" s="14">
        <v>2</v>
      </c>
      <c r="Y138">
        <v>4993.920000000001</v>
      </c>
      <c r="Z138">
        <f>LOG(Table2[[#This Row],[country divers.]])</f>
        <v>3.6984415808994222</v>
      </c>
      <c r="AA138">
        <v>24000000</v>
      </c>
      <c r="AB138">
        <f>LOG(Table2[[#This Row],[Firm Size]])</f>
        <v>7.3802112417116064</v>
      </c>
      <c r="AC138" s="80">
        <v>0.32276084636365177</v>
      </c>
    </row>
    <row r="139" spans="1:29" x14ac:dyDescent="0.35">
      <c r="A139" t="s">
        <v>2</v>
      </c>
      <c r="B139">
        <v>1.3753943187973188</v>
      </c>
      <c r="C139">
        <f>IF(Table2[[#This Row],[Return]]=-1,-1,LOG(1+Table2[[#This Row],[Return]]))</f>
        <v>0.375735713440081</v>
      </c>
      <c r="D139">
        <v>3.2958904109589042</v>
      </c>
      <c r="E139">
        <v>917.19</v>
      </c>
      <c r="F139">
        <f>IF(Table2[[#This Row],[Geo Distance]]=0,0,LOG(Table2[[#This Row],[Geo Distance]]))</f>
        <v>2.9624593110290154</v>
      </c>
      <c r="G139">
        <v>8</v>
      </c>
      <c r="H139">
        <f>IF(Table2[[#This Row],[Target age]]=0,0,LOG(Table2[[#This Row],[Target age]]))</f>
        <v>0.90308998699194354</v>
      </c>
      <c r="I139" s="45">
        <v>2.62</v>
      </c>
      <c r="J139" s="9">
        <v>854.66666666666697</v>
      </c>
      <c r="K139" s="9">
        <f>IF(Table2[[#This Row],[Culture]]=0,0,LOG(Table2[[#This Row],[Culture]]))</f>
        <v>2.9317967661271176</v>
      </c>
      <c r="L139" s="24">
        <v>0.53</v>
      </c>
      <c r="M139" s="9">
        <f>LOG(1+Table2[[#This Row],[S&amp;P]])</f>
        <v>0.18469143081759881</v>
      </c>
      <c r="N139">
        <v>27</v>
      </c>
      <c r="O139">
        <f>IF(Table2[[#This Row],[fund age]]=0,0,LOG(Table2[[#This Row],[fund age]]))</f>
        <v>1.4313637641589874</v>
      </c>
      <c r="P139">
        <f t="shared" si="2"/>
        <v>1</v>
      </c>
      <c r="Q139">
        <v>70</v>
      </c>
      <c r="R139">
        <v>70</v>
      </c>
      <c r="S139">
        <v>89.6</v>
      </c>
      <c r="T139" s="34">
        <v>35.700000000000003</v>
      </c>
      <c r="U139" s="42">
        <v>44.7100017757258</v>
      </c>
      <c r="V139">
        <v>1801.108033240997</v>
      </c>
      <c r="W139">
        <f>LOG(Table2[[#This Row],[generalist]])</f>
        <v>3.25553976325445</v>
      </c>
      <c r="X139" s="14">
        <v>2</v>
      </c>
      <c r="Y139">
        <v>8416.6204986149605</v>
      </c>
      <c r="Z139">
        <f>LOG(Table2[[#This Row],[country divers.]])</f>
        <v>3.9251377454872847</v>
      </c>
      <c r="AA139">
        <v>336786189</v>
      </c>
      <c r="AB139">
        <f>LOG(Table2[[#This Row],[Firm Size]])</f>
        <v>8.5273542735518628</v>
      </c>
      <c r="AC139" s="80">
        <v>0.2132309809550299</v>
      </c>
    </row>
    <row r="140" spans="1:29" x14ac:dyDescent="0.35">
      <c r="A140" t="s">
        <v>2</v>
      </c>
      <c r="B140">
        <v>-0.58333333333333326</v>
      </c>
      <c r="C140">
        <f>IF(Table2[[#This Row],[Return]]=-1,-1,LOG(1+Table2[[#This Row],[Return]]))</f>
        <v>-0.38021124171160592</v>
      </c>
      <c r="D140">
        <v>6.1753424657534248</v>
      </c>
      <c r="E140">
        <v>0</v>
      </c>
      <c r="F140">
        <f>IF(Table2[[#This Row],[Geo Distance]]=0,0,LOG(Table2[[#This Row],[Geo Distance]]))</f>
        <v>0</v>
      </c>
      <c r="G140">
        <v>9</v>
      </c>
      <c r="H140">
        <f>IF(Table2[[#This Row],[Target age]]=0,0,LOG(Table2[[#This Row],[Target age]]))</f>
        <v>0.95424250943932487</v>
      </c>
      <c r="I140" s="45">
        <v>3.5</v>
      </c>
      <c r="J140" s="9">
        <v>0</v>
      </c>
      <c r="K140" s="9">
        <f>IF(Table2[[#This Row],[Culture]]=0,0,LOG(Table2[[#This Row],[Culture]]))</f>
        <v>0</v>
      </c>
      <c r="L140" s="24">
        <v>0.18</v>
      </c>
      <c r="M140" s="9">
        <f>LOG(1+Table2[[#This Row],[S&amp;P]])</f>
        <v>7.1882007306125359E-2</v>
      </c>
      <c r="N140">
        <v>9</v>
      </c>
      <c r="O140">
        <f>IF(Table2[[#This Row],[fund age]]=0,0,LOG(Table2[[#This Row],[fund age]]))</f>
        <v>0.95424250943932487</v>
      </c>
      <c r="P140">
        <f t="shared" si="2"/>
        <v>0</v>
      </c>
      <c r="Q140">
        <v>70</v>
      </c>
      <c r="R140">
        <v>70</v>
      </c>
      <c r="S140">
        <v>88.9</v>
      </c>
      <c r="T140" s="34">
        <v>34.9</v>
      </c>
      <c r="U140" s="42">
        <v>42.817370475444001</v>
      </c>
      <c r="V140">
        <v>9311.2244897959172</v>
      </c>
      <c r="W140">
        <f>LOG(Table2[[#This Row],[generalist]])</f>
        <v>3.9690067974360175</v>
      </c>
      <c r="X140" s="14">
        <v>3</v>
      </c>
      <c r="Y140">
        <v>4594.3867743175706</v>
      </c>
      <c r="Z140">
        <f>LOG(Table2[[#This Row],[country divers.]])</f>
        <v>3.6622275530882837</v>
      </c>
      <c r="AA140">
        <v>1560000000</v>
      </c>
      <c r="AB140">
        <f>LOG(Table2[[#This Row],[Firm Size]])</f>
        <v>9.1931245983544621</v>
      </c>
      <c r="AC140" s="80">
        <v>8.8320994438751743E-2</v>
      </c>
    </row>
    <row r="141" spans="1:29" x14ac:dyDescent="0.35">
      <c r="A141" t="s">
        <v>2</v>
      </c>
      <c r="B141">
        <v>2.3820102798400913</v>
      </c>
      <c r="C141">
        <f>IF(Table2[[#This Row],[Return]]=-1,-1,LOG(1+Table2[[#This Row],[Return]]))</f>
        <v>0.52917492333003802</v>
      </c>
      <c r="D141">
        <v>1.9178082191780821</v>
      </c>
      <c r="E141">
        <v>6815.73</v>
      </c>
      <c r="F141">
        <f>IF(Table2[[#This Row],[Geo Distance]]=0,0,LOG(Table2[[#This Row],[Geo Distance]]))</f>
        <v>3.8335123778512705</v>
      </c>
      <c r="G141">
        <v>114</v>
      </c>
      <c r="H141">
        <f>IF(Table2[[#This Row],[Target age]]=0,0,LOG(Table2[[#This Row],[Target age]]))</f>
        <v>2.0569048513364727</v>
      </c>
      <c r="I141" s="45">
        <v>2.85</v>
      </c>
      <c r="J141" s="9">
        <v>819</v>
      </c>
      <c r="K141" s="9">
        <f>IF(Table2[[#This Row],[Culture]]=0,0,LOG(Table2[[#This Row],[Culture]]))</f>
        <v>2.9132839017604186</v>
      </c>
      <c r="L141" s="24">
        <v>0.13</v>
      </c>
      <c r="M141" s="9">
        <f>LOG(1+Table2[[#This Row],[S&amp;P]])</f>
        <v>5.3078443483419682E-2</v>
      </c>
      <c r="N141">
        <v>9</v>
      </c>
      <c r="O141">
        <f>IF(Table2[[#This Row],[fund age]]=0,0,LOG(Table2[[#This Row],[fund age]]))</f>
        <v>0.95424250943932487</v>
      </c>
      <c r="P141">
        <f t="shared" si="2"/>
        <v>1</v>
      </c>
      <c r="Q141">
        <v>70</v>
      </c>
      <c r="R141">
        <v>70</v>
      </c>
      <c r="S141">
        <v>70</v>
      </c>
      <c r="T141" s="34">
        <v>33.9</v>
      </c>
      <c r="U141" s="42">
        <v>46.312020505412598</v>
      </c>
      <c r="V141">
        <v>1490.3353057199211</v>
      </c>
      <c r="W141">
        <f>LOG(Table2[[#This Row],[generalist]])</f>
        <v>3.17328398991646</v>
      </c>
      <c r="X141" s="14">
        <v>2</v>
      </c>
      <c r="Y141">
        <v>6649.5726495726503</v>
      </c>
      <c r="Z141">
        <f>LOG(Table2[[#This Row],[country divers.]])</f>
        <v>3.8227937352435273</v>
      </c>
      <c r="AA141">
        <v>175100000</v>
      </c>
      <c r="AB141">
        <f>LOG(Table2[[#This Row],[Firm Size]])</f>
        <v>8.243286146083447</v>
      </c>
      <c r="AC141" s="80">
        <v>0.32416328144659734</v>
      </c>
    </row>
    <row r="142" spans="1:29" x14ac:dyDescent="0.35">
      <c r="A142" t="s">
        <v>2</v>
      </c>
      <c r="B142">
        <v>1.1311297989788414</v>
      </c>
      <c r="C142">
        <f>IF(Table2[[#This Row],[Return]]=-1,-1,LOG(1+Table2[[#This Row],[Return]]))</f>
        <v>0.32860990173839816</v>
      </c>
      <c r="D142">
        <v>6.8657534246575347</v>
      </c>
      <c r="E142">
        <v>917.19</v>
      </c>
      <c r="F142">
        <f>IF(Table2[[#This Row],[Geo Distance]]=0,0,LOG(Table2[[#This Row],[Geo Distance]]))</f>
        <v>2.9624593110290154</v>
      </c>
      <c r="G142">
        <v>146</v>
      </c>
      <c r="H142">
        <f>IF(Table2[[#This Row],[Target age]]=0,0,LOG(Table2[[#This Row],[Target age]]))</f>
        <v>2.1643528557844371</v>
      </c>
      <c r="I142" s="45">
        <v>2.62</v>
      </c>
      <c r="J142" s="9">
        <v>854.66666666666697</v>
      </c>
      <c r="K142" s="9">
        <f>IF(Table2[[#This Row],[Culture]]=0,0,LOG(Table2[[#This Row],[Culture]]))</f>
        <v>2.9317967661271176</v>
      </c>
      <c r="L142" s="24">
        <v>1.08</v>
      </c>
      <c r="M142" s="9">
        <f>LOG(1+Table2[[#This Row],[S&amp;P]])</f>
        <v>0.31806333496276157</v>
      </c>
      <c r="N142">
        <v>24</v>
      </c>
      <c r="O142">
        <f>IF(Table2[[#This Row],[fund age]]=0,0,LOG(Table2[[#This Row],[fund age]]))</f>
        <v>1.3802112417116059</v>
      </c>
      <c r="P142">
        <f t="shared" si="2"/>
        <v>1</v>
      </c>
      <c r="Q142">
        <v>70</v>
      </c>
      <c r="R142">
        <v>70</v>
      </c>
      <c r="S142">
        <v>90.3</v>
      </c>
      <c r="T142" s="34">
        <v>36.1</v>
      </c>
      <c r="U142" s="42">
        <v>47.576210837790804</v>
      </c>
      <c r="V142">
        <v>2417.5229853975125</v>
      </c>
      <c r="W142">
        <f>LOG(Table2[[#This Row],[generalist]])</f>
        <v>3.3833706119727633</v>
      </c>
      <c r="X142" s="14">
        <v>1</v>
      </c>
      <c r="Y142">
        <v>9545.7003785830148</v>
      </c>
      <c r="Z142">
        <f>LOG(Table2[[#This Row],[country divers.]])</f>
        <v>3.9798077985646683</v>
      </c>
      <c r="AA142">
        <v>193114000</v>
      </c>
      <c r="AB142">
        <f>LOG(Table2[[#This Row],[Firm Size]])</f>
        <v>8.2858137595502335</v>
      </c>
      <c r="AC142" s="80">
        <v>0.43296099067395311</v>
      </c>
    </row>
    <row r="143" spans="1:29" x14ac:dyDescent="0.35">
      <c r="A143" t="s">
        <v>2</v>
      </c>
      <c r="B143">
        <v>0.54545454545454541</v>
      </c>
      <c r="C143">
        <f>IF(Table2[[#This Row],[Return]]=-1,-1,LOG(1+Table2[[#This Row],[Return]]))</f>
        <v>0.18905623622004888</v>
      </c>
      <c r="D143">
        <v>6.5890410958904111</v>
      </c>
      <c r="E143">
        <v>917.19</v>
      </c>
      <c r="F143">
        <f>IF(Table2[[#This Row],[Geo Distance]]=0,0,LOG(Table2[[#This Row],[Geo Distance]]))</f>
        <v>2.9624593110290154</v>
      </c>
      <c r="G143">
        <v>0</v>
      </c>
      <c r="H143">
        <f>IF(Table2[[#This Row],[Target age]]=0,0,LOG(Table2[[#This Row],[Target age]]))</f>
        <v>0</v>
      </c>
      <c r="I143" s="45">
        <v>2.62</v>
      </c>
      <c r="J143" s="9">
        <v>854.66666666666697</v>
      </c>
      <c r="K143" s="9">
        <f>IF(Table2[[#This Row],[Culture]]=0,0,LOG(Table2[[#This Row],[Culture]]))</f>
        <v>2.9317967661271176</v>
      </c>
      <c r="L143" s="24">
        <v>0.21</v>
      </c>
      <c r="M143" s="9">
        <f>LOG(1+Table2[[#This Row],[S&amp;P]])</f>
        <v>8.2785370316450071E-2</v>
      </c>
      <c r="N143">
        <v>19</v>
      </c>
      <c r="O143">
        <f>IF(Table2[[#This Row],[fund age]]=0,0,LOG(Table2[[#This Row],[fund age]]))</f>
        <v>1.2787536009528289</v>
      </c>
      <c r="P143">
        <f t="shared" si="2"/>
        <v>1</v>
      </c>
      <c r="Q143">
        <v>70</v>
      </c>
      <c r="R143">
        <v>70</v>
      </c>
      <c r="S143">
        <v>70</v>
      </c>
      <c r="T143" s="34">
        <v>33.9</v>
      </c>
      <c r="U143" s="42">
        <v>46.312020505412598</v>
      </c>
      <c r="V143">
        <v>2417.5229853975125</v>
      </c>
      <c r="W143">
        <f>LOG(Table2[[#This Row],[generalist]])</f>
        <v>3.3833706119727633</v>
      </c>
      <c r="X143" s="14">
        <v>1</v>
      </c>
      <c r="Y143">
        <v>9545.7003785830148</v>
      </c>
      <c r="Z143">
        <f>LOG(Table2[[#This Row],[country divers.]])</f>
        <v>3.9798077985646683</v>
      </c>
      <c r="AA143">
        <v>110000000</v>
      </c>
      <c r="AB143">
        <f>LOG(Table2[[#This Row],[Firm Size]])</f>
        <v>8.0413926851582254</v>
      </c>
      <c r="AC143" s="80">
        <v>0.39040228817330647</v>
      </c>
    </row>
    <row r="144" spans="1:29" x14ac:dyDescent="0.35">
      <c r="A144" t="s">
        <v>2</v>
      </c>
      <c r="B144">
        <v>3.1682698473771964</v>
      </c>
      <c r="C144">
        <f>IF(Table2[[#This Row],[Return]]=-1,-1,LOG(1+Table2[[#This Row],[Return]]))</f>
        <v>0.61995582675819938</v>
      </c>
      <c r="D144">
        <v>3.8465753424657536</v>
      </c>
      <c r="E144">
        <v>6815.73</v>
      </c>
      <c r="F144">
        <f>IF(Table2[[#This Row],[Geo Distance]]=0,0,LOG(Table2[[#This Row],[Geo Distance]]))</f>
        <v>3.8335123778512705</v>
      </c>
      <c r="G144">
        <v>193</v>
      </c>
      <c r="H144">
        <f>IF(Table2[[#This Row],[Target age]]=0,0,LOG(Table2[[#This Row],[Target age]]))</f>
        <v>2.2855573090077739</v>
      </c>
      <c r="I144" s="45">
        <v>2.85</v>
      </c>
      <c r="J144" s="9">
        <v>819</v>
      </c>
      <c r="K144" s="9">
        <f>IF(Table2[[#This Row],[Culture]]=0,0,LOG(Table2[[#This Row],[Culture]]))</f>
        <v>2.9132839017604186</v>
      </c>
      <c r="L144" s="24">
        <v>0.51</v>
      </c>
      <c r="M144" s="9">
        <f>LOG(1+Table2[[#This Row],[S&amp;P]])</f>
        <v>0.17897694729316943</v>
      </c>
      <c r="N144">
        <v>44</v>
      </c>
      <c r="O144">
        <f>IF(Table2[[#This Row],[fund age]]=0,0,LOG(Table2[[#This Row],[fund age]]))</f>
        <v>1.6434526764861874</v>
      </c>
      <c r="P144">
        <f t="shared" si="2"/>
        <v>1</v>
      </c>
      <c r="Q144">
        <v>70</v>
      </c>
      <c r="R144">
        <v>70</v>
      </c>
      <c r="S144">
        <v>90.5</v>
      </c>
      <c r="T144" s="34">
        <v>36.4</v>
      </c>
      <c r="U144" s="42">
        <v>44.295389122127702</v>
      </c>
      <c r="V144">
        <v>2197.2299168975069</v>
      </c>
      <c r="W144">
        <f>LOG(Table2[[#This Row],[generalist]])</f>
        <v>3.3418755036276071</v>
      </c>
      <c r="X144" s="14">
        <v>4</v>
      </c>
      <c r="Y144">
        <v>7713.0193905817187</v>
      </c>
      <c r="Z144">
        <f>LOG(Table2[[#This Row],[country divers.]])</f>
        <v>3.8872244231830928</v>
      </c>
      <c r="AA144">
        <v>779700000</v>
      </c>
      <c r="AB144">
        <f>LOG(Table2[[#This Row],[Firm Size]])</f>
        <v>8.8919275342206756</v>
      </c>
      <c r="AC144" s="80">
        <v>0.20161201040019949</v>
      </c>
    </row>
    <row r="145" spans="1:29" x14ac:dyDescent="0.35">
      <c r="A145" t="s">
        <v>2</v>
      </c>
      <c r="B145">
        <v>14.384615384615385</v>
      </c>
      <c r="C145">
        <f>IF(Table2[[#This Row],[Return]]=-1,-1,LOG(1+Table2[[#This Row],[Return]]))</f>
        <v>1.1870866433571445</v>
      </c>
      <c r="D145">
        <v>3.2383561643835614</v>
      </c>
      <c r="E145">
        <v>668.68</v>
      </c>
      <c r="F145">
        <f>IF(Table2[[#This Row],[Geo Distance]]=0,0,LOG(Table2[[#This Row],[Geo Distance]]))</f>
        <v>2.8252183337883063</v>
      </c>
      <c r="G145">
        <v>0</v>
      </c>
      <c r="H145">
        <f>IF(Table2[[#This Row],[Target age]]=0,0,LOG(Table2[[#This Row],[Target age]]))</f>
        <v>0</v>
      </c>
      <c r="I145" s="45">
        <v>2.84</v>
      </c>
      <c r="J145" s="9">
        <v>108.67</v>
      </c>
      <c r="K145" s="9">
        <f>IF(Table2[[#This Row],[Culture]]=0,0,LOG(Table2[[#This Row],[Culture]]))</f>
        <v>2.0361096670605798</v>
      </c>
      <c r="L145" s="24">
        <v>0.52</v>
      </c>
      <c r="M145" s="9">
        <f>LOG(1+Table2[[#This Row],[S&amp;P]])</f>
        <v>0.18184358794477254</v>
      </c>
      <c r="N145">
        <v>6</v>
      </c>
      <c r="O145">
        <f>IF(Table2[[#This Row],[fund age]]=0,0,LOG(Table2[[#This Row],[fund age]]))</f>
        <v>0.77815125038364363</v>
      </c>
      <c r="P145">
        <f t="shared" si="2"/>
        <v>1</v>
      </c>
      <c r="Q145">
        <v>70</v>
      </c>
      <c r="R145">
        <v>70</v>
      </c>
      <c r="S145">
        <v>89.6</v>
      </c>
      <c r="T145" s="34">
        <v>35.700000000000003</v>
      </c>
      <c r="U145" s="42">
        <v>44.7100017757258</v>
      </c>
      <c r="V145">
        <v>7345.0955681579517</v>
      </c>
      <c r="W145">
        <f>LOG(Table2[[#This Row],[generalist]])</f>
        <v>3.8659974508347341</v>
      </c>
      <c r="X145" s="14">
        <v>1</v>
      </c>
      <c r="Y145">
        <v>6765.3854232304138</v>
      </c>
      <c r="Z145">
        <f>LOG(Table2[[#This Row],[country divers.]])</f>
        <v>3.8302925433451809</v>
      </c>
      <c r="AA145">
        <v>13000000</v>
      </c>
      <c r="AB145">
        <f>LOG(Table2[[#This Row],[Firm Size]])</f>
        <v>7.1139433523068369</v>
      </c>
      <c r="AC145" s="80">
        <v>0.17473946704323096</v>
      </c>
    </row>
    <row r="146" spans="1:29" x14ac:dyDescent="0.35">
      <c r="A146" t="s">
        <v>2</v>
      </c>
      <c r="B146">
        <v>4.5555555555555554</v>
      </c>
      <c r="C146">
        <f>IF(Table2[[#This Row],[Return]]=-1,-1,LOG(1+Table2[[#This Row],[Return]]))</f>
        <v>0.74472749489669388</v>
      </c>
      <c r="D146">
        <v>2.0575342465753423</v>
      </c>
      <c r="E146">
        <v>173.83</v>
      </c>
      <c r="F146">
        <f>IF(Table2[[#This Row],[Geo Distance]]=0,0,LOG(Table2[[#This Row],[Geo Distance]]))</f>
        <v>2.2401247301685658</v>
      </c>
      <c r="G146">
        <v>5</v>
      </c>
      <c r="H146">
        <f>IF(Table2[[#This Row],[Target age]]=0,0,LOG(Table2[[#This Row],[Target age]]))</f>
        <v>0.69897000433601886</v>
      </c>
      <c r="I146" s="45">
        <v>2.84</v>
      </c>
      <c r="J146" s="9">
        <v>108.67</v>
      </c>
      <c r="K146" s="9">
        <f>IF(Table2[[#This Row],[Culture]]=0,0,LOG(Table2[[#This Row],[Culture]]))</f>
        <v>2.0361096670605798</v>
      </c>
      <c r="L146" s="24">
        <v>7.0000000000000007E-2</v>
      </c>
      <c r="M146" s="9">
        <f>LOG(1+Table2[[#This Row],[S&amp;P]])</f>
        <v>2.9383777685209667E-2</v>
      </c>
      <c r="N146">
        <v>1</v>
      </c>
      <c r="O146">
        <f>IF(Table2[[#This Row],[fund age]]=0,0,LOG(Table2[[#This Row],[fund age]]))</f>
        <v>0</v>
      </c>
      <c r="P146">
        <f t="shared" si="2"/>
        <v>1</v>
      </c>
      <c r="Q146">
        <v>70</v>
      </c>
      <c r="R146">
        <v>70</v>
      </c>
      <c r="S146">
        <v>89.1</v>
      </c>
      <c r="T146" s="34">
        <v>34.5</v>
      </c>
      <c r="U146" s="42">
        <v>44.696333437793797</v>
      </c>
      <c r="V146">
        <v>7345.0955681579517</v>
      </c>
      <c r="W146">
        <f>LOG(Table2[[#This Row],[generalist]])</f>
        <v>3.8659974508347341</v>
      </c>
      <c r="X146" s="14">
        <v>1</v>
      </c>
      <c r="Y146">
        <v>6765.3854232304138</v>
      </c>
      <c r="Z146">
        <f>LOG(Table2[[#This Row],[country divers.]])</f>
        <v>3.8302925433451809</v>
      </c>
      <c r="AA146">
        <v>27000000</v>
      </c>
      <c r="AB146">
        <f>LOG(Table2[[#This Row],[Firm Size]])</f>
        <v>7.4313637641589869</v>
      </c>
      <c r="AC146" s="80">
        <v>2.055871518333241E-2</v>
      </c>
    </row>
    <row r="147" spans="1:29" x14ac:dyDescent="0.35">
      <c r="A147" t="s">
        <v>2</v>
      </c>
      <c r="B147">
        <v>1.0482499999999999</v>
      </c>
      <c r="C147">
        <f>IF(Table2[[#This Row],[Return]]=-1,-1,LOG(1+Table2[[#This Row],[Return]]))</f>
        <v>0.31138296353143335</v>
      </c>
      <c r="D147">
        <v>4.2547945205479456</v>
      </c>
      <c r="E147">
        <v>6815.73</v>
      </c>
      <c r="F147">
        <f>IF(Table2[[#This Row],[Geo Distance]]=0,0,LOG(Table2[[#This Row],[Geo Distance]]))</f>
        <v>3.8335123778512705</v>
      </c>
      <c r="G147">
        <v>70</v>
      </c>
      <c r="H147">
        <f>IF(Table2[[#This Row],[Target age]]=0,0,LOG(Table2[[#This Row],[Target age]]))</f>
        <v>1.8450980400142569</v>
      </c>
      <c r="I147" s="45">
        <v>2.85</v>
      </c>
      <c r="J147" s="9">
        <v>819</v>
      </c>
      <c r="K147" s="9">
        <f>IF(Table2[[#This Row],[Culture]]=0,0,LOG(Table2[[#This Row],[Culture]]))</f>
        <v>2.9132839017604186</v>
      </c>
      <c r="L147" s="24">
        <v>0.53</v>
      </c>
      <c r="M147" s="9">
        <f>LOG(1+Table2[[#This Row],[S&amp;P]])</f>
        <v>0.18469143081759881</v>
      </c>
      <c r="N147">
        <v>29</v>
      </c>
      <c r="O147">
        <f>IF(Table2[[#This Row],[fund age]]=0,0,LOG(Table2[[#This Row],[fund age]]))</f>
        <v>1.4623979978989561</v>
      </c>
      <c r="P147">
        <f t="shared" si="2"/>
        <v>1</v>
      </c>
      <c r="Q147">
        <v>70</v>
      </c>
      <c r="R147">
        <v>70</v>
      </c>
      <c r="S147">
        <v>92.1</v>
      </c>
      <c r="T147" s="34">
        <v>36.799999999999997</v>
      </c>
      <c r="U147" s="42">
        <v>44.688349184782602</v>
      </c>
      <c r="V147">
        <v>1618.5219999999999</v>
      </c>
      <c r="W147">
        <f>LOG(Table2[[#This Row],[generalist]])</f>
        <v>3.20911860699078</v>
      </c>
      <c r="X147" s="14">
        <v>2</v>
      </c>
      <c r="Y147">
        <v>3845.9059999999999</v>
      </c>
      <c r="Z147">
        <f>LOG(Table2[[#This Row],[country divers.]])</f>
        <v>3.5849986651910224</v>
      </c>
      <c r="AA147">
        <v>400000000</v>
      </c>
      <c r="AB147">
        <f>LOG(Table2[[#This Row],[Firm Size]])</f>
        <v>8.6020599913279625</v>
      </c>
      <c r="AC147" s="80">
        <v>0.16525335772859084</v>
      </c>
    </row>
    <row r="148" spans="1:29" x14ac:dyDescent="0.35">
      <c r="A148" t="s">
        <v>2</v>
      </c>
      <c r="B148">
        <v>-8.0999999999999961E-2</v>
      </c>
      <c r="C148">
        <f>IF(Table2[[#This Row],[Return]]=-1,-1,LOG(1+Table2[[#This Row],[Return]]))</f>
        <v>-3.6684488613888719E-2</v>
      </c>
      <c r="D148">
        <v>2.6547945205479451</v>
      </c>
      <c r="E148">
        <v>6815.73</v>
      </c>
      <c r="F148">
        <f>IF(Table2[[#This Row],[Geo Distance]]=0,0,LOG(Table2[[#This Row],[Geo Distance]]))</f>
        <v>3.8335123778512705</v>
      </c>
      <c r="G148">
        <v>29</v>
      </c>
      <c r="H148">
        <f>IF(Table2[[#This Row],[Target age]]=0,0,LOG(Table2[[#This Row],[Target age]]))</f>
        <v>1.4623979978989561</v>
      </c>
      <c r="I148" s="45">
        <v>2.85</v>
      </c>
      <c r="J148" s="9">
        <v>819</v>
      </c>
      <c r="K148" s="9">
        <f>IF(Table2[[#This Row],[Culture]]=0,0,LOG(Table2[[#This Row],[Culture]]))</f>
        <v>2.9132839017604186</v>
      </c>
      <c r="L148" s="24">
        <v>-0.2</v>
      </c>
      <c r="M148" s="9">
        <f>LOG(1+Table2[[#This Row],[S&amp;P]])</f>
        <v>-9.6910013008056392E-2</v>
      </c>
      <c r="N148">
        <v>23</v>
      </c>
      <c r="O148">
        <f>IF(Table2[[#This Row],[fund age]]=0,0,LOG(Table2[[#This Row],[fund age]]))</f>
        <v>1.3617278360175928</v>
      </c>
      <c r="P148">
        <f t="shared" si="2"/>
        <v>1</v>
      </c>
      <c r="Q148">
        <v>70</v>
      </c>
      <c r="R148">
        <v>70</v>
      </c>
      <c r="S148">
        <v>88.9</v>
      </c>
      <c r="T148" s="34">
        <v>34.9</v>
      </c>
      <c r="U148" s="42">
        <v>42.817370475444001</v>
      </c>
      <c r="V148">
        <v>1618.5219999999999</v>
      </c>
      <c r="W148">
        <f>LOG(Table2[[#This Row],[generalist]])</f>
        <v>3.20911860699078</v>
      </c>
      <c r="X148" s="14">
        <v>2</v>
      </c>
      <c r="Y148">
        <v>3845.9059999999999</v>
      </c>
      <c r="Z148">
        <f>LOG(Table2[[#This Row],[country divers.]])</f>
        <v>3.5849986651910224</v>
      </c>
      <c r="AA148">
        <v>1000000000</v>
      </c>
      <c r="AB148">
        <f>LOG(Table2[[#This Row],[Firm Size]])</f>
        <v>9</v>
      </c>
      <c r="AC148" s="80">
        <v>-0.10531528162166204</v>
      </c>
    </row>
    <row r="149" spans="1:29" x14ac:dyDescent="0.35">
      <c r="A149" t="s">
        <v>2</v>
      </c>
      <c r="B149">
        <v>0.95866454689984093</v>
      </c>
      <c r="C149">
        <f>IF(Table2[[#This Row],[Return]]=-1,-1,LOG(1+Table2[[#This Row],[Return]]))</f>
        <v>0.29196006238313771</v>
      </c>
      <c r="D149">
        <v>2.7260273972602738</v>
      </c>
      <c r="E149">
        <v>6815.73</v>
      </c>
      <c r="F149">
        <f>IF(Table2[[#This Row],[Geo Distance]]=0,0,LOG(Table2[[#This Row],[Geo Distance]]))</f>
        <v>3.8335123778512705</v>
      </c>
      <c r="G149">
        <v>21</v>
      </c>
      <c r="H149">
        <f>IF(Table2[[#This Row],[Target age]]=0,0,LOG(Table2[[#This Row],[Target age]]))</f>
        <v>1.3222192947339193</v>
      </c>
      <c r="I149" s="45">
        <v>2.85</v>
      </c>
      <c r="J149" s="9">
        <v>819</v>
      </c>
      <c r="K149" s="9">
        <f>IF(Table2[[#This Row],[Culture]]=0,0,LOG(Table2[[#This Row],[Culture]]))</f>
        <v>2.9132839017604186</v>
      </c>
      <c r="L149" s="24">
        <v>0.32</v>
      </c>
      <c r="M149" s="9">
        <f>LOG(1+Table2[[#This Row],[S&amp;P]])</f>
        <v>0.12057393120584989</v>
      </c>
      <c r="N149">
        <v>18</v>
      </c>
      <c r="O149">
        <f>IF(Table2[[#This Row],[fund age]]=0,0,LOG(Table2[[#This Row],[fund age]]))</f>
        <v>1.255272505103306</v>
      </c>
      <c r="P149">
        <f t="shared" si="2"/>
        <v>1</v>
      </c>
      <c r="Q149">
        <v>70</v>
      </c>
      <c r="R149">
        <v>70</v>
      </c>
      <c r="S149">
        <v>70</v>
      </c>
      <c r="T149" s="34">
        <v>34.4</v>
      </c>
      <c r="U149" s="42">
        <v>47.264053157349203</v>
      </c>
      <c r="V149">
        <v>1618.5219999999999</v>
      </c>
      <c r="W149">
        <f>LOG(Table2[[#This Row],[generalist]])</f>
        <v>3.20911860699078</v>
      </c>
      <c r="X149" s="14">
        <v>2</v>
      </c>
      <c r="Y149">
        <v>3845.9059999999999</v>
      </c>
      <c r="Z149">
        <f>LOG(Table2[[#This Row],[country divers.]])</f>
        <v>3.5849986651910224</v>
      </c>
      <c r="AA149">
        <v>62900000</v>
      </c>
      <c r="AB149">
        <f>LOG(Table2[[#This Row],[Firm Size]])</f>
        <v>7.7986506454452691</v>
      </c>
      <c r="AC149" s="80">
        <v>0.25698760079943517</v>
      </c>
    </row>
    <row r="150" spans="1:29" x14ac:dyDescent="0.35">
      <c r="A150" t="s">
        <v>2</v>
      </c>
      <c r="B150">
        <v>0.40540540540540548</v>
      </c>
      <c r="C150">
        <f>IF(Table2[[#This Row],[Return]]=-1,-1,LOG(1+Table2[[#This Row],[Return]]))</f>
        <v>0.14780161956780419</v>
      </c>
      <c r="D150">
        <v>5.6849315068493151</v>
      </c>
      <c r="E150">
        <v>6815.73</v>
      </c>
      <c r="F150">
        <f>IF(Table2[[#This Row],[Geo Distance]]=0,0,LOG(Table2[[#This Row],[Geo Distance]]))</f>
        <v>3.8335123778512705</v>
      </c>
      <c r="G150">
        <v>36</v>
      </c>
      <c r="H150">
        <f>IF(Table2[[#This Row],[Target age]]=0,0,LOG(Table2[[#This Row],[Target age]]))</f>
        <v>1.5563025007672873</v>
      </c>
      <c r="I150" s="45">
        <v>2.85</v>
      </c>
      <c r="J150" s="9">
        <v>819</v>
      </c>
      <c r="K150" s="9">
        <f>IF(Table2[[#This Row],[Culture]]=0,0,LOG(Table2[[#This Row],[Culture]]))</f>
        <v>2.9132839017604186</v>
      </c>
      <c r="L150" s="24">
        <v>0.38</v>
      </c>
      <c r="M150" s="9">
        <f>LOG(1+Table2[[#This Row],[S&amp;P]])</f>
        <v>0.13987908640123647</v>
      </c>
      <c r="N150">
        <v>1</v>
      </c>
      <c r="O150">
        <f>IF(Table2[[#This Row],[fund age]]=0,0,LOG(Table2[[#This Row],[fund age]]))</f>
        <v>0</v>
      </c>
      <c r="P150">
        <f t="shared" si="2"/>
        <v>1</v>
      </c>
      <c r="Q150">
        <v>70</v>
      </c>
      <c r="R150">
        <v>70</v>
      </c>
      <c r="S150">
        <v>70</v>
      </c>
      <c r="T150" s="34">
        <v>35</v>
      </c>
      <c r="U150" s="42">
        <v>46.908044131476899</v>
      </c>
      <c r="V150">
        <v>2232.1428571428569</v>
      </c>
      <c r="W150">
        <f>LOG(Table2[[#This Row],[generalist]])</f>
        <v>3.348721986001856</v>
      </c>
      <c r="X150" s="14">
        <v>5</v>
      </c>
      <c r="Y150">
        <v>5650.5102040816337</v>
      </c>
      <c r="Z150">
        <f>LOG(Table2[[#This Row],[country divers.]])</f>
        <v>3.7520876635386311</v>
      </c>
      <c r="AA150">
        <v>925000000</v>
      </c>
      <c r="AB150">
        <f>LOG(Table2[[#This Row],[Firm Size]])</f>
        <v>8.9661417327390325</v>
      </c>
      <c r="AC150" s="80">
        <v>0.38773446564393454</v>
      </c>
    </row>
    <row r="151" spans="1:29" x14ac:dyDescent="0.35">
      <c r="A151" t="s">
        <v>2</v>
      </c>
      <c r="B151">
        <v>0.69</v>
      </c>
      <c r="C151">
        <f>IF(Table2[[#This Row],[Return]]=-1,-1,LOG(1+Table2[[#This Row],[Return]]))</f>
        <v>0.22788670461367352</v>
      </c>
      <c r="D151">
        <v>1.7205479452054795</v>
      </c>
      <c r="E151">
        <v>6815.73</v>
      </c>
      <c r="F151">
        <f>IF(Table2[[#This Row],[Geo Distance]]=0,0,LOG(Table2[[#This Row],[Geo Distance]]))</f>
        <v>3.8335123778512705</v>
      </c>
      <c r="G151">
        <v>7</v>
      </c>
      <c r="H151">
        <f>IF(Table2[[#This Row],[Target age]]=0,0,LOG(Table2[[#This Row],[Target age]]))</f>
        <v>0.84509804001425681</v>
      </c>
      <c r="I151" s="45">
        <v>2.85</v>
      </c>
      <c r="J151" s="9">
        <v>819</v>
      </c>
      <c r="K151" s="9">
        <f>IF(Table2[[#This Row],[Culture]]=0,0,LOG(Table2[[#This Row],[Culture]]))</f>
        <v>2.9132839017604186</v>
      </c>
      <c r="L151" s="24">
        <v>0.18</v>
      </c>
      <c r="M151" s="9">
        <f>LOG(1+Table2[[#This Row],[S&amp;P]])</f>
        <v>7.1882007306125359E-2</v>
      </c>
      <c r="N151">
        <v>13</v>
      </c>
      <c r="O151">
        <f>IF(Table2[[#This Row],[fund age]]=0,0,LOG(Table2[[#This Row],[fund age]]))</f>
        <v>1.1139433523068367</v>
      </c>
      <c r="P151">
        <f t="shared" si="2"/>
        <v>1</v>
      </c>
      <c r="Q151">
        <v>70</v>
      </c>
      <c r="R151">
        <v>70</v>
      </c>
      <c r="S151">
        <v>70</v>
      </c>
      <c r="T151" s="34">
        <v>33.9</v>
      </c>
      <c r="U151" s="42">
        <v>46.200073016176603</v>
      </c>
      <c r="V151">
        <v>2121.1374095989472</v>
      </c>
      <c r="W151">
        <f>LOG(Table2[[#This Row],[generalist]])</f>
        <v>3.3265688034989269</v>
      </c>
      <c r="X151" s="14">
        <v>2</v>
      </c>
      <c r="Y151">
        <v>4465.8119658119658</v>
      </c>
      <c r="Z151">
        <f>LOG(Table2[[#This Row],[country divers.]])</f>
        <v>3.64990043303693</v>
      </c>
      <c r="AA151">
        <v>1000000000</v>
      </c>
      <c r="AB151">
        <f>LOG(Table2[[#This Row],[Firm Size]])</f>
        <v>9</v>
      </c>
      <c r="AC151" s="80">
        <v>0.20520050916093013</v>
      </c>
    </row>
    <row r="152" spans="1:29" x14ac:dyDescent="0.35">
      <c r="A152" t="s">
        <v>2</v>
      </c>
      <c r="B152">
        <v>-0.64497108629441624</v>
      </c>
      <c r="C152">
        <f>IF(Table2[[#This Row],[Return]]=-1,-1,LOG(1+Table2[[#This Row],[Return]]))</f>
        <v>-0.44973627637745167</v>
      </c>
      <c r="D152">
        <v>7.6410958904109592</v>
      </c>
      <c r="E152">
        <v>6815.73</v>
      </c>
      <c r="F152">
        <f>IF(Table2[[#This Row],[Geo Distance]]=0,0,LOG(Table2[[#This Row],[Geo Distance]]))</f>
        <v>3.8335123778512705</v>
      </c>
      <c r="G152">
        <v>80</v>
      </c>
      <c r="H152">
        <f>IF(Table2[[#This Row],[Target age]]=0,0,LOG(Table2[[#This Row],[Target age]]))</f>
        <v>1.9030899869919435</v>
      </c>
      <c r="I152" s="45">
        <v>2.85</v>
      </c>
      <c r="J152" s="9">
        <v>819</v>
      </c>
      <c r="K152" s="9">
        <f>IF(Table2[[#This Row],[Culture]]=0,0,LOG(Table2[[#This Row],[Culture]]))</f>
        <v>2.9132839017604186</v>
      </c>
      <c r="L152" s="24">
        <v>0.18</v>
      </c>
      <c r="M152" s="9">
        <f>LOG(1+Table2[[#This Row],[S&amp;P]])</f>
        <v>7.1882007306125359E-2</v>
      </c>
      <c r="N152">
        <v>12</v>
      </c>
      <c r="O152">
        <f>IF(Table2[[#This Row],[fund age]]=0,0,LOG(Table2[[#This Row],[fund age]]))</f>
        <v>1.0791812460476249</v>
      </c>
      <c r="P152">
        <f t="shared" si="2"/>
        <v>1</v>
      </c>
      <c r="Q152">
        <v>70</v>
      </c>
      <c r="R152">
        <v>70</v>
      </c>
      <c r="S152">
        <v>70</v>
      </c>
      <c r="T152" s="34">
        <v>33.9</v>
      </c>
      <c r="U152" s="42">
        <v>46.312020505412598</v>
      </c>
      <c r="V152">
        <v>2121.1374095989472</v>
      </c>
      <c r="W152">
        <f>LOG(Table2[[#This Row],[generalist]])</f>
        <v>3.3265688034989269</v>
      </c>
      <c r="X152" s="14">
        <v>2</v>
      </c>
      <c r="Y152">
        <v>4465.8119658119658</v>
      </c>
      <c r="Z152">
        <f>LOG(Table2[[#This Row],[country divers.]])</f>
        <v>3.64990043303693</v>
      </c>
      <c r="AA152">
        <v>1970000000</v>
      </c>
      <c r="AB152">
        <f>LOG(Table2[[#This Row],[Firm Size]])</f>
        <v>9.2944662261615925</v>
      </c>
      <c r="AC152" s="80">
        <v>0.33169955812114371</v>
      </c>
    </row>
    <row r="153" spans="1:29" x14ac:dyDescent="0.35">
      <c r="A153" t="s">
        <v>2</v>
      </c>
      <c r="B153">
        <v>-1</v>
      </c>
      <c r="C153">
        <f>IF(Table2[[#This Row],[Return]]=-1,-1,LOG(1+Table2[[#This Row],[Return]]))</f>
        <v>-1</v>
      </c>
      <c r="D153">
        <v>2.3232876712328765</v>
      </c>
      <c r="E153">
        <v>6815.73</v>
      </c>
      <c r="F153">
        <f>IF(Table2[[#This Row],[Geo Distance]]=0,0,LOG(Table2[[#This Row],[Geo Distance]]))</f>
        <v>3.8335123778512705</v>
      </c>
      <c r="G153">
        <v>66</v>
      </c>
      <c r="H153">
        <f>IF(Table2[[#This Row],[Target age]]=0,0,LOG(Table2[[#This Row],[Target age]]))</f>
        <v>1.8195439355418688</v>
      </c>
      <c r="I153" s="45">
        <v>2.85</v>
      </c>
      <c r="J153" s="9">
        <v>819</v>
      </c>
      <c r="K153" s="9">
        <f>IF(Table2[[#This Row],[Culture]]=0,0,LOG(Table2[[#This Row],[Culture]]))</f>
        <v>2.9132839017604186</v>
      </c>
      <c r="L153" s="24">
        <v>-0.26</v>
      </c>
      <c r="M153" s="9">
        <f>LOG(1+Table2[[#This Row],[S&amp;P]])</f>
        <v>-0.13076828026902382</v>
      </c>
      <c r="N153">
        <v>22</v>
      </c>
      <c r="O153">
        <f>IF(Table2[[#This Row],[fund age]]=0,0,LOG(Table2[[#This Row],[fund age]]))</f>
        <v>1.3424226808222062</v>
      </c>
      <c r="P153">
        <f t="shared" si="2"/>
        <v>1</v>
      </c>
      <c r="Q153">
        <v>70</v>
      </c>
      <c r="R153">
        <v>70</v>
      </c>
      <c r="S153">
        <v>70</v>
      </c>
      <c r="T153" s="34">
        <v>36.200000000000003</v>
      </c>
      <c r="U153" s="42">
        <v>44.748733746598099</v>
      </c>
      <c r="V153">
        <v>2030.3304662743317</v>
      </c>
      <c r="W153">
        <f>LOG(Table2[[#This Row],[generalist]])</f>
        <v>3.3075667315086759</v>
      </c>
      <c r="X153" s="14">
        <v>2</v>
      </c>
      <c r="Y153">
        <v>6774.5586238116803</v>
      </c>
      <c r="Z153">
        <f>LOG(Table2[[#This Row],[country divers.]])</f>
        <v>3.8308810053047755</v>
      </c>
      <c r="AA153">
        <v>1200000000</v>
      </c>
      <c r="AB153">
        <f>LOG(Table2[[#This Row],[Firm Size]])</f>
        <v>9.0791812460476251</v>
      </c>
      <c r="AC153" s="80">
        <v>-0.2026840173880079</v>
      </c>
    </row>
    <row r="154" spans="1:29" x14ac:dyDescent="0.35">
      <c r="A154" t="s">
        <v>2</v>
      </c>
      <c r="B154">
        <v>3.3996425991561185</v>
      </c>
      <c r="C154">
        <f>IF(Table2[[#This Row],[Return]]=-1,-1,LOG(1+Table2[[#This Row],[Return]]))</f>
        <v>0.64341739841377443</v>
      </c>
      <c r="D154">
        <v>3.8219178082191783</v>
      </c>
      <c r="E154">
        <v>6815.73</v>
      </c>
      <c r="F154">
        <f>IF(Table2[[#This Row],[Geo Distance]]=0,0,LOG(Table2[[#This Row],[Geo Distance]]))</f>
        <v>3.8335123778512705</v>
      </c>
      <c r="G154">
        <v>0</v>
      </c>
      <c r="H154">
        <f>IF(Table2[[#This Row],[Target age]]=0,0,LOG(Table2[[#This Row],[Target age]]))</f>
        <v>0</v>
      </c>
      <c r="I154" s="45">
        <v>2.85</v>
      </c>
      <c r="J154" s="9">
        <v>819</v>
      </c>
      <c r="K154" s="9">
        <f>IF(Table2[[#This Row],[Culture]]=0,0,LOG(Table2[[#This Row],[Culture]]))</f>
        <v>2.9132839017604186</v>
      </c>
      <c r="L154" s="24">
        <v>0.52</v>
      </c>
      <c r="M154" s="9">
        <f>LOG(1+Table2[[#This Row],[S&amp;P]])</f>
        <v>0.18184358794477254</v>
      </c>
      <c r="N154">
        <v>32</v>
      </c>
      <c r="O154">
        <f>IF(Table2[[#This Row],[fund age]]=0,0,LOG(Table2[[#This Row],[fund age]]))</f>
        <v>1.505149978319906</v>
      </c>
      <c r="P154">
        <f t="shared" si="2"/>
        <v>1</v>
      </c>
      <c r="Q154">
        <v>70</v>
      </c>
      <c r="R154">
        <v>70</v>
      </c>
      <c r="S154">
        <v>90.5</v>
      </c>
      <c r="T154" s="34">
        <v>36.4</v>
      </c>
      <c r="U154" s="42">
        <v>44.295389122127702</v>
      </c>
      <c r="V154">
        <v>2162.0762565470354</v>
      </c>
      <c r="W154">
        <f>LOG(Table2[[#This Row],[generalist]])</f>
        <v>3.3348710074773962</v>
      </c>
      <c r="X154" s="14">
        <v>5</v>
      </c>
      <c r="Y154">
        <v>3168.4194524674895</v>
      </c>
      <c r="Z154">
        <f>LOG(Table2[[#This Row],[country divers.]])</f>
        <v>3.5008426709709495</v>
      </c>
      <c r="AA154">
        <v>237000000</v>
      </c>
      <c r="AB154">
        <f>LOG(Table2[[#This Row],[Firm Size]])</f>
        <v>8.3747483460101044</v>
      </c>
      <c r="AC154" s="80">
        <v>0.14471590208076734</v>
      </c>
    </row>
    <row r="155" spans="1:29" x14ac:dyDescent="0.35">
      <c r="A155" t="s">
        <v>2</v>
      </c>
      <c r="B155">
        <v>0.17175056410256406</v>
      </c>
      <c r="C155">
        <f>IF(Table2[[#This Row],[Return]]=-1,-1,LOG(1+Table2[[#This Row],[Return]]))</f>
        <v>6.8835171269757328E-2</v>
      </c>
      <c r="D155">
        <v>1.5342465753424657</v>
      </c>
      <c r="E155">
        <v>6815.73</v>
      </c>
      <c r="F155">
        <f>IF(Table2[[#This Row],[Geo Distance]]=0,0,LOG(Table2[[#This Row],[Geo Distance]]))</f>
        <v>3.8335123778512705</v>
      </c>
      <c r="G155">
        <v>8</v>
      </c>
      <c r="H155">
        <f>IF(Table2[[#This Row],[Target age]]=0,0,LOG(Table2[[#This Row],[Target age]]))</f>
        <v>0.90308998699194354</v>
      </c>
      <c r="I155" s="45">
        <v>2.85</v>
      </c>
      <c r="J155" s="9">
        <v>819</v>
      </c>
      <c r="K155" s="9">
        <f>IF(Table2[[#This Row],[Culture]]=0,0,LOG(Table2[[#This Row],[Culture]]))</f>
        <v>2.9132839017604186</v>
      </c>
      <c r="L155" s="24">
        <v>0.28999999999999998</v>
      </c>
      <c r="M155" s="9">
        <f>LOG(1+Table2[[#This Row],[S&amp;P]])</f>
        <v>0.11058971029924898</v>
      </c>
      <c r="N155">
        <v>22</v>
      </c>
      <c r="O155">
        <f>IF(Table2[[#This Row],[fund age]]=0,0,LOG(Table2[[#This Row],[fund age]]))</f>
        <v>1.3424226808222062</v>
      </c>
      <c r="P155">
        <f t="shared" si="2"/>
        <v>1</v>
      </c>
      <c r="Q155">
        <v>70</v>
      </c>
      <c r="R155">
        <v>70</v>
      </c>
      <c r="S155">
        <v>70</v>
      </c>
      <c r="T155" s="34">
        <v>34.4</v>
      </c>
      <c r="U155" s="42">
        <v>47.264053157349203</v>
      </c>
      <c r="V155">
        <v>2162.0762565470354</v>
      </c>
      <c r="W155">
        <f>LOG(Table2[[#This Row],[generalist]])</f>
        <v>3.3348710074773962</v>
      </c>
      <c r="X155" s="14">
        <v>5</v>
      </c>
      <c r="Y155">
        <v>3168.4194524674895</v>
      </c>
      <c r="Z155">
        <f>LOG(Table2[[#This Row],[country divers.]])</f>
        <v>3.5008426709709495</v>
      </c>
      <c r="AA155">
        <v>29250000</v>
      </c>
      <c r="AB155">
        <f>LOG(Table2[[#This Row],[Firm Size]])</f>
        <v>7.4661258704181996</v>
      </c>
      <c r="AC155" s="80">
        <v>8.4118058097361281E-2</v>
      </c>
    </row>
    <row r="156" spans="1:29" x14ac:dyDescent="0.35">
      <c r="A156" t="s">
        <v>2</v>
      </c>
      <c r="B156">
        <v>-0.48760000000000003</v>
      </c>
      <c r="C156">
        <f>IF(Table2[[#This Row],[Return]]=-1,-1,LOG(1+Table2[[#This Row],[Return]]))</f>
        <v>-0.29039087892735133</v>
      </c>
      <c r="D156">
        <v>7.4821917808219176</v>
      </c>
      <c r="E156">
        <v>6815.73</v>
      </c>
      <c r="F156">
        <f>IF(Table2[[#This Row],[Geo Distance]]=0,0,LOG(Table2[[#This Row],[Geo Distance]]))</f>
        <v>3.8335123778512705</v>
      </c>
      <c r="G156">
        <v>0</v>
      </c>
      <c r="H156">
        <f>IF(Table2[[#This Row],[Target age]]=0,0,LOG(Table2[[#This Row],[Target age]]))</f>
        <v>0</v>
      </c>
      <c r="I156" s="45">
        <v>2.85</v>
      </c>
      <c r="J156" s="9">
        <v>819</v>
      </c>
      <c r="K156" s="9">
        <f>IF(Table2[[#This Row],[Culture]]=0,0,LOG(Table2[[#This Row],[Culture]]))</f>
        <v>2.9132839017604186</v>
      </c>
      <c r="L156" s="24">
        <v>0.47</v>
      </c>
      <c r="M156" s="9">
        <f>LOG(1+Table2[[#This Row],[S&amp;P]])</f>
        <v>0.16731733474817609</v>
      </c>
      <c r="N156">
        <v>21</v>
      </c>
      <c r="O156">
        <f>IF(Table2[[#This Row],[fund age]]=0,0,LOG(Table2[[#This Row],[fund age]]))</f>
        <v>1.3222192947339193</v>
      </c>
      <c r="P156">
        <f t="shared" si="2"/>
        <v>1</v>
      </c>
      <c r="Q156">
        <v>70</v>
      </c>
      <c r="R156">
        <v>70</v>
      </c>
      <c r="S156">
        <v>89.9</v>
      </c>
      <c r="T156" s="34">
        <v>35.4</v>
      </c>
      <c r="U156" s="42">
        <v>43.572845019400901</v>
      </c>
      <c r="V156">
        <v>2672.4137931034488</v>
      </c>
      <c r="W156">
        <f>LOG(Table2[[#This Row],[generalist]])</f>
        <v>3.4269037046073545</v>
      </c>
      <c r="X156" s="14">
        <v>1</v>
      </c>
      <c r="Y156">
        <v>7208.6801426872771</v>
      </c>
      <c r="Z156">
        <f>LOG(Table2[[#This Row],[country divers.]])</f>
        <v>3.857855755812408</v>
      </c>
      <c r="AA156">
        <v>350000000</v>
      </c>
      <c r="AB156">
        <f>LOG(Table2[[#This Row],[Firm Size]])</f>
        <v>8.5440680443502757</v>
      </c>
      <c r="AC156" s="80">
        <v>0.14691086798550868</v>
      </c>
    </row>
    <row r="157" spans="1:29" x14ac:dyDescent="0.35">
      <c r="A157" t="s">
        <v>2</v>
      </c>
      <c r="B157">
        <v>2.9328124999999998</v>
      </c>
      <c r="C157">
        <f>IF(Table2[[#This Row],[Return]]=-1,-1,LOG(1+Table2[[#This Row],[Return]]))</f>
        <v>0.59470324156447552</v>
      </c>
      <c r="D157">
        <v>2.9753424657534246</v>
      </c>
      <c r="E157">
        <v>6815.73</v>
      </c>
      <c r="F157">
        <f>IF(Table2[[#This Row],[Geo Distance]]=0,0,LOG(Table2[[#This Row],[Geo Distance]]))</f>
        <v>3.8335123778512705</v>
      </c>
      <c r="G157">
        <v>1</v>
      </c>
      <c r="H157">
        <f>IF(Table2[[#This Row],[Target age]]=0,0,LOG(Table2[[#This Row],[Target age]]))</f>
        <v>0</v>
      </c>
      <c r="I157" s="45">
        <v>2.85</v>
      </c>
      <c r="J157" s="9">
        <v>819</v>
      </c>
      <c r="K157" s="9">
        <f>IF(Table2[[#This Row],[Culture]]=0,0,LOG(Table2[[#This Row],[Culture]]))</f>
        <v>2.9132839017604186</v>
      </c>
      <c r="L157" s="24">
        <v>0.28999999999999998</v>
      </c>
      <c r="M157" s="9">
        <f>LOG(1+Table2[[#This Row],[S&amp;P]])</f>
        <v>0.11058971029924898</v>
      </c>
      <c r="N157">
        <v>43</v>
      </c>
      <c r="O157">
        <f>IF(Table2[[#This Row],[fund age]]=0,0,LOG(Table2[[#This Row],[fund age]]))</f>
        <v>1.6334684555795864</v>
      </c>
      <c r="P157">
        <f t="shared" si="2"/>
        <v>1</v>
      </c>
      <c r="Q157">
        <v>70</v>
      </c>
      <c r="R157">
        <v>70</v>
      </c>
      <c r="S157">
        <v>88.2</v>
      </c>
      <c r="T157" s="34">
        <v>37</v>
      </c>
      <c r="U157" s="42">
        <v>43.709255262622698</v>
      </c>
      <c r="V157">
        <v>2454.9351065534374</v>
      </c>
      <c r="W157">
        <f>LOG(Table2[[#This Row],[generalist]])</f>
        <v>3.3900400165248765</v>
      </c>
      <c r="X157" s="14">
        <v>5</v>
      </c>
      <c r="Y157">
        <v>7363.1028681301077</v>
      </c>
      <c r="Z157">
        <f>LOG(Table2[[#This Row],[country divers.]])</f>
        <v>3.8670608679422993</v>
      </c>
      <c r="AA157">
        <v>64000000</v>
      </c>
      <c r="AB157">
        <f>LOG(Table2[[#This Row],[Firm Size]])</f>
        <v>7.8061799739838875</v>
      </c>
      <c r="AC157" s="80">
        <v>9.0103576823838294E-2</v>
      </c>
    </row>
    <row r="158" spans="1:29" x14ac:dyDescent="0.35">
      <c r="A158" t="s">
        <v>2</v>
      </c>
      <c r="B158">
        <v>-0.57114163934426232</v>
      </c>
      <c r="C158">
        <f>IF(Table2[[#This Row],[Return]]=-1,-1,LOG(1+Table2[[#This Row],[Return]]))</f>
        <v>-0.36768611887009245</v>
      </c>
      <c r="D158">
        <v>2.0767123287671234</v>
      </c>
      <c r="E158">
        <v>6815.73</v>
      </c>
      <c r="F158">
        <f>IF(Table2[[#This Row],[Geo Distance]]=0,0,LOG(Table2[[#This Row],[Geo Distance]]))</f>
        <v>3.8335123778512705</v>
      </c>
      <c r="G158">
        <v>99</v>
      </c>
      <c r="H158">
        <f>IF(Table2[[#This Row],[Target age]]=0,0,LOG(Table2[[#This Row],[Target age]]))</f>
        <v>1.9956351945975499</v>
      </c>
      <c r="I158" s="45">
        <v>2.85</v>
      </c>
      <c r="J158" s="9">
        <v>819</v>
      </c>
      <c r="K158" s="9">
        <f>IF(Table2[[#This Row],[Culture]]=0,0,LOG(Table2[[#This Row],[Culture]]))</f>
        <v>2.9132839017604186</v>
      </c>
      <c r="L158" s="24">
        <v>0.24</v>
      </c>
      <c r="M158" s="9">
        <f>LOG(1+Table2[[#This Row],[S&amp;P]])</f>
        <v>9.3421685162235063E-2</v>
      </c>
      <c r="N158">
        <v>4</v>
      </c>
      <c r="O158">
        <f>IF(Table2[[#This Row],[fund age]]=0,0,LOG(Table2[[#This Row],[fund age]]))</f>
        <v>0.6020599913279624</v>
      </c>
      <c r="P158">
        <f t="shared" si="2"/>
        <v>1</v>
      </c>
      <c r="Q158">
        <v>70</v>
      </c>
      <c r="R158">
        <v>70</v>
      </c>
      <c r="S158">
        <v>70</v>
      </c>
      <c r="T158" s="34">
        <v>33.9</v>
      </c>
      <c r="U158" s="42">
        <v>46.200073016176603</v>
      </c>
      <c r="V158">
        <v>1455.5555555555557</v>
      </c>
      <c r="W158">
        <f>LOG(Table2[[#This Row],[generalist]])</f>
        <v>3.1630287862164392</v>
      </c>
      <c r="X158" s="14">
        <v>1</v>
      </c>
      <c r="Y158">
        <v>6605.5555555555547</v>
      </c>
      <c r="Z158">
        <f>LOG(Table2[[#This Row],[country divers.]])</f>
        <v>3.8199093495153855</v>
      </c>
      <c r="AA158">
        <v>1220000000</v>
      </c>
      <c r="AB158">
        <f>LOG(Table2[[#This Row],[Firm Size]])</f>
        <v>9.0863598306747484</v>
      </c>
      <c r="AC158" s="80">
        <v>0.35108180801180588</v>
      </c>
    </row>
    <row r="159" spans="1:29" x14ac:dyDescent="0.35">
      <c r="A159" t="s">
        <v>2</v>
      </c>
      <c r="B159">
        <v>-3.7349999999999994E-2</v>
      </c>
      <c r="C159">
        <f>IF(Table2[[#This Row],[Return]]=-1,-1,LOG(1+Table2[[#This Row],[Return]]))</f>
        <v>-1.6531584835935944E-2</v>
      </c>
      <c r="D159">
        <v>2.1643835616438358</v>
      </c>
      <c r="E159">
        <v>6815.73</v>
      </c>
      <c r="F159">
        <f>IF(Table2[[#This Row],[Geo Distance]]=0,0,LOG(Table2[[#This Row],[Geo Distance]]))</f>
        <v>3.8335123778512705</v>
      </c>
      <c r="G159">
        <v>8</v>
      </c>
      <c r="H159">
        <f>IF(Table2[[#This Row],[Target age]]=0,0,LOG(Table2[[#This Row],[Target age]]))</f>
        <v>0.90308998699194354</v>
      </c>
      <c r="I159" s="45">
        <v>2.85</v>
      </c>
      <c r="J159" s="9">
        <v>819</v>
      </c>
      <c r="K159" s="9">
        <f>IF(Table2[[#This Row],[Culture]]=0,0,LOG(Table2[[#This Row],[Culture]]))</f>
        <v>2.9132839017604186</v>
      </c>
      <c r="L159" s="24">
        <v>-0.19</v>
      </c>
      <c r="M159" s="9">
        <f>LOG(1+Table2[[#This Row],[S&amp;P]])</f>
        <v>-9.1514981121350217E-2</v>
      </c>
      <c r="N159">
        <v>77</v>
      </c>
      <c r="O159">
        <f>IF(Table2[[#This Row],[fund age]]=0,0,LOG(Table2[[#This Row],[fund age]]))</f>
        <v>1.8864907251724818</v>
      </c>
      <c r="P159">
        <f t="shared" si="2"/>
        <v>1</v>
      </c>
      <c r="Q159">
        <v>70</v>
      </c>
      <c r="R159">
        <v>70</v>
      </c>
      <c r="S159">
        <v>89.9</v>
      </c>
      <c r="T159" s="34">
        <v>35.4</v>
      </c>
      <c r="U159" s="42">
        <v>43.572845019400901</v>
      </c>
      <c r="V159">
        <v>2387.5432525951551</v>
      </c>
      <c r="W159">
        <f>LOG(Table2[[#This Row],[generalist]])</f>
        <v>3.3779512479807074</v>
      </c>
      <c r="X159" s="14">
        <v>3</v>
      </c>
      <c r="Y159">
        <v>5847.7508650519039</v>
      </c>
      <c r="Z159">
        <f>LOG(Table2[[#This Row],[country divers.]])</f>
        <v>3.7669888618571257</v>
      </c>
      <c r="AA159">
        <v>600000000</v>
      </c>
      <c r="AB159">
        <f>LOG(Table2[[#This Row],[Firm Size]])</f>
        <v>8.7781512503836439</v>
      </c>
      <c r="AC159" s="80">
        <v>-0.11330069005136967</v>
      </c>
    </row>
    <row r="160" spans="1:29" x14ac:dyDescent="0.35">
      <c r="A160" t="s">
        <v>2</v>
      </c>
      <c r="B160">
        <v>0.72413793103448265</v>
      </c>
      <c r="C160">
        <f>IF(Table2[[#This Row],[Return]]=-1,-1,LOG(1+Table2[[#This Row],[Return]]))</f>
        <v>0.23657200643706269</v>
      </c>
      <c r="D160">
        <v>2.3890410958904109</v>
      </c>
      <c r="E160">
        <v>0</v>
      </c>
      <c r="F160">
        <f>IF(Table2[[#This Row],[Geo Distance]]=0,0,LOG(Table2[[#This Row],[Geo Distance]]))</f>
        <v>0</v>
      </c>
      <c r="G160">
        <v>59</v>
      </c>
      <c r="H160">
        <f>IF(Table2[[#This Row],[Target age]]=0,0,LOG(Table2[[#This Row],[Target age]]))</f>
        <v>1.7708520116421442</v>
      </c>
      <c r="I160" s="45">
        <v>3.5</v>
      </c>
      <c r="J160" s="9">
        <v>0</v>
      </c>
      <c r="K160" s="9">
        <f>IF(Table2[[#This Row],[Culture]]=0,0,LOG(Table2[[#This Row],[Culture]]))</f>
        <v>0</v>
      </c>
      <c r="L160" s="24">
        <v>0.18</v>
      </c>
      <c r="M160" s="9">
        <f>LOG(1+Table2[[#This Row],[S&amp;P]])</f>
        <v>7.1882007306125359E-2</v>
      </c>
      <c r="N160">
        <v>12</v>
      </c>
      <c r="O160">
        <f>IF(Table2[[#This Row],[fund age]]=0,0,LOG(Table2[[#This Row],[fund age]]))</f>
        <v>1.0791812460476249</v>
      </c>
      <c r="P160">
        <f t="shared" si="2"/>
        <v>0</v>
      </c>
      <c r="Q160">
        <v>70</v>
      </c>
      <c r="R160">
        <v>70</v>
      </c>
      <c r="S160">
        <v>90.3</v>
      </c>
      <c r="T160" s="34">
        <v>36.1</v>
      </c>
      <c r="U160" s="42">
        <v>47.576210837790804</v>
      </c>
      <c r="V160">
        <v>2288.1257948895832</v>
      </c>
      <c r="W160">
        <f>LOG(Table2[[#This Row],[generalist]])</f>
        <v>3.359479897098526</v>
      </c>
      <c r="X160" s="14">
        <v>2</v>
      </c>
      <c r="Y160">
        <v>8582.4950861371235</v>
      </c>
      <c r="Z160">
        <f>LOG(Table2[[#This Row],[country divers.]])</f>
        <v>3.9336135634448146</v>
      </c>
      <c r="AA160">
        <v>145000000</v>
      </c>
      <c r="AB160">
        <f>LOG(Table2[[#This Row],[Firm Size]])</f>
        <v>8.1613680022349744</v>
      </c>
      <c r="AC160" s="80">
        <v>-3.0279098922347814E-3</v>
      </c>
    </row>
    <row r="161" spans="1:29" x14ac:dyDescent="0.35">
      <c r="A161" t="s">
        <v>2</v>
      </c>
      <c r="B161">
        <v>-1</v>
      </c>
      <c r="C161">
        <f>IF(Table2[[#This Row],[Return]]=-1,-1,LOG(1+Table2[[#This Row],[Return]]))</f>
        <v>-1</v>
      </c>
      <c r="D161">
        <v>2.1808219178082191</v>
      </c>
      <c r="E161">
        <v>0</v>
      </c>
      <c r="F161">
        <f>IF(Table2[[#This Row],[Geo Distance]]=0,0,LOG(Table2[[#This Row],[Geo Distance]]))</f>
        <v>0</v>
      </c>
      <c r="G161">
        <v>22</v>
      </c>
      <c r="H161">
        <f>IF(Table2[[#This Row],[Target age]]=0,0,LOG(Table2[[#This Row],[Target age]]))</f>
        <v>1.3424226808222062</v>
      </c>
      <c r="I161" s="45">
        <v>3.5</v>
      </c>
      <c r="J161" s="9">
        <v>0</v>
      </c>
      <c r="K161" s="9">
        <f>IF(Table2[[#This Row],[Culture]]=0,0,LOG(Table2[[#This Row],[Culture]]))</f>
        <v>0</v>
      </c>
      <c r="L161" s="24">
        <v>-0.49</v>
      </c>
      <c r="M161" s="9">
        <f>LOG(1+Table2[[#This Row],[S&amp;P]])</f>
        <v>-0.29242982390206362</v>
      </c>
      <c r="N161">
        <v>10</v>
      </c>
      <c r="O161">
        <f>IF(Table2[[#This Row],[fund age]]=0,0,LOG(Table2[[#This Row],[fund age]]))</f>
        <v>1</v>
      </c>
      <c r="P161">
        <f t="shared" si="2"/>
        <v>0</v>
      </c>
      <c r="Q161">
        <v>70</v>
      </c>
      <c r="R161">
        <v>70</v>
      </c>
      <c r="S161">
        <v>88.9</v>
      </c>
      <c r="T161" s="34">
        <v>34.9</v>
      </c>
      <c r="U161" s="42">
        <v>42.817370475444001</v>
      </c>
      <c r="V161">
        <v>2288.1257948895832</v>
      </c>
      <c r="W161">
        <f>LOG(Table2[[#This Row],[generalist]])</f>
        <v>3.359479897098526</v>
      </c>
      <c r="X161" s="14">
        <v>2</v>
      </c>
      <c r="Y161">
        <v>8582.4950861371235</v>
      </c>
      <c r="Z161">
        <f>LOG(Table2[[#This Row],[country divers.]])</f>
        <v>3.9336135634448146</v>
      </c>
      <c r="AA161">
        <v>30220000</v>
      </c>
      <c r="AB161">
        <f>LOG(Table2[[#This Row],[Firm Size]])</f>
        <v>7.4802944600030061</v>
      </c>
      <c r="AC161" s="80">
        <v>-0.41475442895642234</v>
      </c>
    </row>
    <row r="162" spans="1:29" x14ac:dyDescent="0.35">
      <c r="A162" t="s">
        <v>2</v>
      </c>
      <c r="B162">
        <v>0.64114754098360649</v>
      </c>
      <c r="C162">
        <f>IF(Table2[[#This Row],[Return]]=-1,-1,LOG(1+Table2[[#This Row],[Return]]))</f>
        <v>0.21514762636368814</v>
      </c>
      <c r="D162">
        <v>6.183561643835616</v>
      </c>
      <c r="E162">
        <v>0</v>
      </c>
      <c r="F162">
        <f>IF(Table2[[#This Row],[Geo Distance]]=0,0,LOG(Table2[[#This Row],[Geo Distance]]))</f>
        <v>0</v>
      </c>
      <c r="G162">
        <v>22</v>
      </c>
      <c r="H162">
        <f>IF(Table2[[#This Row],[Target age]]=0,0,LOG(Table2[[#This Row],[Target age]]))</f>
        <v>1.3424226808222062</v>
      </c>
      <c r="I162" s="45">
        <v>3.5</v>
      </c>
      <c r="J162" s="9">
        <v>0</v>
      </c>
      <c r="K162" s="9">
        <f>IF(Table2[[#This Row],[Culture]]=0,0,LOG(Table2[[#This Row],[Culture]]))</f>
        <v>0</v>
      </c>
      <c r="L162" s="24">
        <v>0.78</v>
      </c>
      <c r="M162" s="9">
        <f>LOG(1+Table2[[#This Row],[S&amp;P]])</f>
        <v>0.250420002308894</v>
      </c>
      <c r="N162">
        <v>46</v>
      </c>
      <c r="O162">
        <f>IF(Table2[[#This Row],[fund age]]=0,0,LOG(Table2[[#This Row],[fund age]]))</f>
        <v>1.6627578316815741</v>
      </c>
      <c r="P162">
        <f t="shared" si="2"/>
        <v>0</v>
      </c>
      <c r="Q162">
        <v>70</v>
      </c>
      <c r="R162">
        <v>70</v>
      </c>
      <c r="S162">
        <v>89.6</v>
      </c>
      <c r="T162" s="34">
        <v>35.700000000000003</v>
      </c>
      <c r="U162" s="42">
        <v>44.7100017757258</v>
      </c>
      <c r="V162">
        <v>1495.578623606305</v>
      </c>
      <c r="W162">
        <f>LOG(Table2[[#This Row],[generalist]])</f>
        <v>3.1748092491298348</v>
      </c>
      <c r="X162" s="14">
        <v>2</v>
      </c>
      <c r="Y162">
        <v>3763.9369473279512</v>
      </c>
      <c r="Z162">
        <f>LOG(Table2[[#This Row],[country divers.]])</f>
        <v>3.5756423396072652</v>
      </c>
      <c r="AA162">
        <v>65000000</v>
      </c>
      <c r="AB162">
        <f>LOG(Table2[[#This Row],[Firm Size]])</f>
        <v>7.8129133566428557</v>
      </c>
      <c r="AC162" s="80">
        <v>0.26690348313644718</v>
      </c>
    </row>
    <row r="163" spans="1:29" x14ac:dyDescent="0.35">
      <c r="A163" t="s">
        <v>2</v>
      </c>
      <c r="B163">
        <v>0.3600000000000001</v>
      </c>
      <c r="C163">
        <f>IF(Table2[[#This Row],[Return]]=-1,-1,LOG(1+Table2[[#This Row],[Return]]))</f>
        <v>0.13353890837021754</v>
      </c>
      <c r="D163">
        <v>5.624657534246575</v>
      </c>
      <c r="E163">
        <v>0</v>
      </c>
      <c r="F163">
        <f>IF(Table2[[#This Row],[Geo Distance]]=0,0,LOG(Table2[[#This Row],[Geo Distance]]))</f>
        <v>0</v>
      </c>
      <c r="G163">
        <v>128</v>
      </c>
      <c r="H163">
        <f>IF(Table2[[#This Row],[Target age]]=0,0,LOG(Table2[[#This Row],[Target age]]))</f>
        <v>2.1072099696478683</v>
      </c>
      <c r="I163" s="45">
        <v>3.5</v>
      </c>
      <c r="J163" s="9">
        <v>0</v>
      </c>
      <c r="K163" s="9">
        <f>IF(Table2[[#This Row],[Culture]]=0,0,LOG(Table2[[#This Row],[Culture]]))</f>
        <v>0</v>
      </c>
      <c r="L163" s="24">
        <v>-0.05</v>
      </c>
      <c r="M163" s="9">
        <f>LOG(1+Table2[[#This Row],[S&amp;P]])</f>
        <v>-2.2276394711152253E-2</v>
      </c>
      <c r="N163">
        <v>42</v>
      </c>
      <c r="O163">
        <f>IF(Table2[[#This Row],[fund age]]=0,0,LOG(Table2[[#This Row],[fund age]]))</f>
        <v>1.6232492903979006</v>
      </c>
      <c r="P163">
        <f t="shared" si="2"/>
        <v>0</v>
      </c>
      <c r="Q163">
        <v>70</v>
      </c>
      <c r="R163">
        <v>70</v>
      </c>
      <c r="S163">
        <v>88.9</v>
      </c>
      <c r="T163" s="34">
        <v>34.9</v>
      </c>
      <c r="U163" s="42">
        <v>42.817370475444001</v>
      </c>
      <c r="V163">
        <v>1495.578623606305</v>
      </c>
      <c r="W163">
        <f>LOG(Table2[[#This Row],[generalist]])</f>
        <v>3.1748092491298348</v>
      </c>
      <c r="X163" s="14">
        <v>2</v>
      </c>
      <c r="Y163">
        <v>3763.9369473279512</v>
      </c>
      <c r="Z163">
        <f>LOG(Table2[[#This Row],[country divers.]])</f>
        <v>3.5756423396072652</v>
      </c>
      <c r="AA163">
        <v>300000000</v>
      </c>
      <c r="AB163">
        <f>LOG(Table2[[#This Row],[Firm Size]])</f>
        <v>8.4771212547196626</v>
      </c>
      <c r="AC163" s="80">
        <v>-8.501502790897375E-2</v>
      </c>
    </row>
    <row r="164" spans="1:29" x14ac:dyDescent="0.35">
      <c r="A164" t="s">
        <v>2</v>
      </c>
      <c r="B164">
        <v>2.2696690068821903</v>
      </c>
      <c r="C164">
        <f>IF(Table2[[#This Row],[Return]]=-1,-1,LOG(1+Table2[[#This Row],[Return]]))</f>
        <v>0.51450379065407925</v>
      </c>
      <c r="D164">
        <v>10.893150684931507</v>
      </c>
      <c r="E164">
        <v>0</v>
      </c>
      <c r="F164">
        <f>IF(Table2[[#This Row],[Geo Distance]]=0,0,LOG(Table2[[#This Row],[Geo Distance]]))</f>
        <v>0</v>
      </c>
      <c r="G164">
        <v>9</v>
      </c>
      <c r="H164">
        <f>IF(Table2[[#This Row],[Target age]]=0,0,LOG(Table2[[#This Row],[Target age]]))</f>
        <v>0.95424250943932487</v>
      </c>
      <c r="I164" s="45">
        <v>3.5</v>
      </c>
      <c r="J164" s="9">
        <v>0</v>
      </c>
      <c r="K164" s="9">
        <f>IF(Table2[[#This Row],[Culture]]=0,0,LOG(Table2[[#This Row],[Culture]]))</f>
        <v>0</v>
      </c>
      <c r="L164" s="24">
        <v>0.75</v>
      </c>
      <c r="M164" s="9">
        <f>LOG(1+Table2[[#This Row],[S&amp;P]])</f>
        <v>0.24303804868629444</v>
      </c>
      <c r="N164">
        <v>40</v>
      </c>
      <c r="O164">
        <f>IF(Table2[[#This Row],[fund age]]=0,0,LOG(Table2[[#This Row],[fund age]]))</f>
        <v>1.6020599913279623</v>
      </c>
      <c r="P164">
        <f t="shared" si="2"/>
        <v>0</v>
      </c>
      <c r="Q164">
        <v>70</v>
      </c>
      <c r="R164">
        <v>70</v>
      </c>
      <c r="S164">
        <v>70</v>
      </c>
      <c r="T164" s="34">
        <v>33.9</v>
      </c>
      <c r="U164" s="42">
        <v>46.200073016176603</v>
      </c>
      <c r="V164">
        <v>1495.578623606305</v>
      </c>
      <c r="W164">
        <f>LOG(Table2[[#This Row],[generalist]])</f>
        <v>3.1748092491298348</v>
      </c>
      <c r="X164" s="14">
        <v>2</v>
      </c>
      <c r="Y164">
        <v>3763.9369473279512</v>
      </c>
      <c r="Z164">
        <f>LOG(Table2[[#This Row],[country divers.]])</f>
        <v>3.5756423396072652</v>
      </c>
      <c r="AA164">
        <v>108337600</v>
      </c>
      <c r="AB164">
        <f>LOG(Table2[[#This Row],[Firm Size]])</f>
        <v>8.0347792104435261</v>
      </c>
      <c r="AC164" s="80">
        <v>0.39487379389557553</v>
      </c>
    </row>
    <row r="165" spans="1:29" x14ac:dyDescent="0.35">
      <c r="A165" t="s">
        <v>2</v>
      </c>
      <c r="B165">
        <v>-0.666110183639399</v>
      </c>
      <c r="C165">
        <f>IF(Table2[[#This Row],[Return]]=-1,-1,LOG(1+Table2[[#This Row],[Return]]))</f>
        <v>-0.47639682672533018</v>
      </c>
      <c r="D165">
        <v>4.9095890410958907</v>
      </c>
      <c r="E165">
        <v>6815.73</v>
      </c>
      <c r="F165">
        <f>IF(Table2[[#This Row],[Geo Distance]]=0,0,LOG(Table2[[#This Row],[Geo Distance]]))</f>
        <v>3.8335123778512705</v>
      </c>
      <c r="G165">
        <v>9</v>
      </c>
      <c r="H165">
        <f>IF(Table2[[#This Row],[Target age]]=0,0,LOG(Table2[[#This Row],[Target age]]))</f>
        <v>0.95424250943932487</v>
      </c>
      <c r="I165" s="45">
        <v>2.85</v>
      </c>
      <c r="J165">
        <v>819</v>
      </c>
      <c r="K165" s="9">
        <f>IF(Table2[[#This Row],[Culture]]=0,0,LOG(Table2[[#This Row],[Culture]]))</f>
        <v>2.9132839017604186</v>
      </c>
      <c r="L165" s="24">
        <v>0.52</v>
      </c>
      <c r="M165" s="9">
        <f>LOG(1+Table2[[#This Row],[S&amp;P]])</f>
        <v>0.18184358794477254</v>
      </c>
      <c r="N165">
        <v>43</v>
      </c>
      <c r="O165">
        <f>IF(Table2[[#This Row],[fund age]]=0,0,LOG(Table2[[#This Row],[fund age]]))</f>
        <v>1.6334684555795864</v>
      </c>
      <c r="P165">
        <f t="shared" si="2"/>
        <v>1</v>
      </c>
      <c r="Q165">
        <v>70</v>
      </c>
      <c r="R165">
        <v>70</v>
      </c>
      <c r="S165">
        <v>89.6</v>
      </c>
      <c r="T165" s="34">
        <v>35.700000000000003</v>
      </c>
      <c r="U165" s="42">
        <v>44.7100017757258</v>
      </c>
      <c r="V165">
        <v>2446.450593263969</v>
      </c>
      <c r="W165">
        <f>LOG(Table2[[#This Row],[generalist]])</f>
        <v>3.3885364494891754</v>
      </c>
      <c r="X165" s="14">
        <v>2</v>
      </c>
      <c r="Y165">
        <v>6578.8244872547029</v>
      </c>
      <c r="Z165">
        <f>LOG(Table2[[#This Row],[country divers.]])</f>
        <v>3.818148300254375</v>
      </c>
      <c r="AA165">
        <v>239600000</v>
      </c>
      <c r="AB165">
        <f>LOG(Table2[[#This Row],[Firm Size]])</f>
        <v>8.3794868137172731</v>
      </c>
      <c r="AC165" s="80">
        <v>7.2962737767626962E-2</v>
      </c>
    </row>
    <row r="166" spans="1:29" x14ac:dyDescent="0.35">
      <c r="A166" t="s">
        <v>497</v>
      </c>
      <c r="B166">
        <v>0.62912777016368859</v>
      </c>
      <c r="C166">
        <f>IF(Table2[[#This Row],[Return]]=-1,-1,LOG(1+Table2[[#This Row],[Return]]))</f>
        <v>0.21195514674005575</v>
      </c>
      <c r="D166">
        <v>4.2328767123287667</v>
      </c>
      <c r="E166">
        <v>463.97</v>
      </c>
      <c r="F166">
        <f>IF(Table2[[#This Row],[Geo Distance]]=0,0,LOG(Table2[[#This Row],[Geo Distance]]))</f>
        <v>2.6664899002624973</v>
      </c>
      <c r="G166">
        <v>0</v>
      </c>
      <c r="H166">
        <f>IF(Table2[[#This Row],[Target age]]=0,0,LOG(Table2[[#This Row],[Target age]]))</f>
        <v>0</v>
      </c>
      <c r="I166" s="45">
        <v>2.61</v>
      </c>
      <c r="J166" s="9">
        <v>193.166666666667</v>
      </c>
      <c r="K166" s="9">
        <f>IF(Table2[[#This Row],[Culture]]=0,0,LOG(Table2[[#This Row],[Culture]]))</f>
        <v>2.285932185579953</v>
      </c>
      <c r="L166" s="24">
        <v>-0.17</v>
      </c>
      <c r="M166" s="9">
        <f>LOG(1+Table2[[#This Row],[S&amp;P]])</f>
        <v>-8.092190762392612E-2</v>
      </c>
      <c r="N166">
        <v>19</v>
      </c>
      <c r="O166">
        <f>IF(Table2[[#This Row],[fund age]]=0,0,LOG(Table2[[#This Row],[fund age]]))</f>
        <v>1.2787536009528289</v>
      </c>
      <c r="P166">
        <f t="shared" si="2"/>
        <v>1</v>
      </c>
      <c r="Q166">
        <v>70</v>
      </c>
      <c r="R166">
        <v>70</v>
      </c>
      <c r="S166">
        <v>85</v>
      </c>
      <c r="T166" s="34">
        <v>30.9</v>
      </c>
      <c r="U166" s="42">
        <v>33.950689057445601</v>
      </c>
      <c r="V166" s="40">
        <v>1709.090909090909</v>
      </c>
      <c r="W166" s="40">
        <f>LOG(Table2[[#This Row],[generalist]])</f>
        <v>3.2327651641054547</v>
      </c>
      <c r="X166" s="14">
        <v>3</v>
      </c>
      <c r="Y166">
        <v>8968.5950413223145</v>
      </c>
      <c r="Z166">
        <f>LOG(Table2[[#This Row],[country divers.]])</f>
        <v>3.9527244147731087</v>
      </c>
      <c r="AA166">
        <v>386710000</v>
      </c>
      <c r="AB166">
        <f>LOG(Table2[[#This Row],[Firm Size]])</f>
        <v>8.5873854027135259</v>
      </c>
      <c r="AC166" s="80">
        <v>-0.27851955352645852</v>
      </c>
    </row>
    <row r="167" spans="1:29" x14ac:dyDescent="0.35">
      <c r="A167" t="s">
        <v>497</v>
      </c>
      <c r="B167">
        <v>4.7142857142857144</v>
      </c>
      <c r="C167">
        <f>IF(Table2[[#This Row],[Return]]=-1,-1,LOG(1+Table2[[#This Row],[Return]]))</f>
        <v>0.75696195131370558</v>
      </c>
      <c r="D167">
        <v>7.3643835616438356</v>
      </c>
      <c r="E167">
        <v>463.97</v>
      </c>
      <c r="F167">
        <f>IF(Table2[[#This Row],[Geo Distance]]=0,0,LOG(Table2[[#This Row],[Geo Distance]]))</f>
        <v>2.6664899002624973</v>
      </c>
      <c r="G167">
        <v>2</v>
      </c>
      <c r="H167">
        <f>IF(Table2[[#This Row],[Target age]]=0,0,LOG(Table2[[#This Row],[Target age]]))</f>
        <v>0.3010299956639812</v>
      </c>
      <c r="I167" s="45">
        <v>2.61</v>
      </c>
      <c r="J167" s="9">
        <v>193.166666666667</v>
      </c>
      <c r="K167" s="9">
        <f>IF(Table2[[#This Row],[Culture]]=0,0,LOG(Table2[[#This Row],[Culture]]))</f>
        <v>2.285932185579953</v>
      </c>
      <c r="L167" s="24">
        <v>-0.22</v>
      </c>
      <c r="M167" s="9">
        <f>LOG(1+Table2[[#This Row],[S&amp;P]])</f>
        <v>-0.10790539730951958</v>
      </c>
      <c r="N167">
        <v>1</v>
      </c>
      <c r="O167">
        <f>IF(Table2[[#This Row],[fund age]]=0,0,LOG(Table2[[#This Row],[fund age]]))</f>
        <v>0</v>
      </c>
      <c r="P167">
        <f t="shared" si="2"/>
        <v>1</v>
      </c>
      <c r="Q167">
        <v>70</v>
      </c>
      <c r="R167">
        <v>70</v>
      </c>
      <c r="S167">
        <v>85</v>
      </c>
      <c r="T167" s="34">
        <v>28.6</v>
      </c>
      <c r="U167" s="42">
        <v>32.513676738539097</v>
      </c>
      <c r="V167">
        <v>1932.09461208012</v>
      </c>
      <c r="W167">
        <f>LOG(Table2[[#This Row],[generalist]])</f>
        <v>3.2860283894181141</v>
      </c>
      <c r="X167" s="14">
        <v>1</v>
      </c>
      <c r="Y167">
        <v>8126.3909735520938</v>
      </c>
      <c r="Z167">
        <f>LOG(Table2[[#This Row],[country divers.]])</f>
        <v>3.9098977130890344</v>
      </c>
      <c r="AA167">
        <v>17500000</v>
      </c>
      <c r="AB167">
        <f>LOG(Table2[[#This Row],[Firm Size]])</f>
        <v>7.2430380486862944</v>
      </c>
      <c r="AC167" s="80">
        <v>-0.15165082606760405</v>
      </c>
    </row>
    <row r="168" spans="1:29" x14ac:dyDescent="0.35">
      <c r="A168" t="s">
        <v>497</v>
      </c>
      <c r="B168">
        <v>2.6171976284584981</v>
      </c>
      <c r="C168">
        <f>IF(Table2[[#This Row],[Return]]=-1,-1,LOG(1+Table2[[#This Row],[Return]]))</f>
        <v>0.55837223743297271</v>
      </c>
      <c r="D168">
        <v>2.0493150684931507</v>
      </c>
      <c r="E168">
        <v>5441.73</v>
      </c>
      <c r="F168">
        <f>IF(Table2[[#This Row],[Geo Distance]]=0,0,LOG(Table2[[#This Row],[Geo Distance]]))</f>
        <v>3.735736989773935</v>
      </c>
      <c r="G168">
        <v>23</v>
      </c>
      <c r="H168">
        <f>IF(Table2[[#This Row],[Target age]]=0,0,LOG(Table2[[#This Row],[Target age]]))</f>
        <v>1.3617278360175928</v>
      </c>
      <c r="I168" s="45">
        <v>2.91</v>
      </c>
      <c r="J168" s="9">
        <v>125.833333333333</v>
      </c>
      <c r="K168" s="9">
        <f>IF(Table2[[#This Row],[Culture]]=0,0,LOG(Table2[[#This Row],[Culture]]))</f>
        <v>2.0997957012455433</v>
      </c>
      <c r="L168" s="24">
        <v>0.2</v>
      </c>
      <c r="M168" s="9">
        <f>LOG(1+Table2[[#This Row],[S&amp;P]])</f>
        <v>7.9181246047624818E-2</v>
      </c>
      <c r="N168">
        <v>6</v>
      </c>
      <c r="O168">
        <f>IF(Table2[[#This Row],[fund age]]=0,0,LOG(Table2[[#This Row],[fund age]]))</f>
        <v>0.77815125038364363</v>
      </c>
      <c r="P168">
        <f t="shared" si="2"/>
        <v>1</v>
      </c>
      <c r="Q168">
        <v>70</v>
      </c>
      <c r="R168">
        <v>70</v>
      </c>
      <c r="S168">
        <v>85</v>
      </c>
      <c r="T168" s="34">
        <v>30.8</v>
      </c>
      <c r="U168" s="42">
        <v>34.575632305406103</v>
      </c>
      <c r="V168">
        <v>1455.046</v>
      </c>
      <c r="W168">
        <f>LOG(Table2[[#This Row],[generalist]])</f>
        <v>3.1628767233771686</v>
      </c>
      <c r="X168" s="14">
        <v>2</v>
      </c>
      <c r="Y168">
        <v>4062.5129999999999</v>
      </c>
      <c r="Z168">
        <f>LOG(Table2[[#This Row],[country divers.]])</f>
        <v>3.6087947637270492</v>
      </c>
      <c r="AA168">
        <v>68310000</v>
      </c>
      <c r="AB168">
        <f>LOG(Table2[[#This Row],[Firm Size]])</f>
        <v>7.8344842853348053</v>
      </c>
      <c r="AC168" s="80">
        <v>0.16306351350342907</v>
      </c>
    </row>
    <row r="169" spans="1:29" x14ac:dyDescent="0.35">
      <c r="A169" t="s">
        <v>497</v>
      </c>
      <c r="B169">
        <v>1.3451</v>
      </c>
      <c r="C169">
        <f>IF(Table2[[#This Row],[Return]]=-1,-1,LOG(1+Table2[[#This Row],[Return]]))</f>
        <v>0.37016136667678035</v>
      </c>
      <c r="D169">
        <v>5.6410958904109592</v>
      </c>
      <c r="E169">
        <v>463.97</v>
      </c>
      <c r="F169">
        <f>IF(Table2[[#This Row],[Geo Distance]]=0,0,LOG(Table2[[#This Row],[Geo Distance]]))</f>
        <v>2.6664899002624973</v>
      </c>
      <c r="G169">
        <v>0</v>
      </c>
      <c r="H169">
        <f>IF(Table2[[#This Row],[Target age]]=0,0,LOG(Table2[[#This Row],[Target age]]))</f>
        <v>0</v>
      </c>
      <c r="I169" s="45">
        <v>2.61</v>
      </c>
      <c r="J169" s="9">
        <v>193.166666666667</v>
      </c>
      <c r="K169" s="9">
        <f>IF(Table2[[#This Row],[Culture]]=0,0,LOG(Table2[[#This Row],[Culture]]))</f>
        <v>2.285932185579953</v>
      </c>
      <c r="L169" s="24">
        <v>0.79</v>
      </c>
      <c r="M169" s="9">
        <f>LOG(1+Table2[[#This Row],[S&amp;P]])</f>
        <v>0.2528530309798932</v>
      </c>
      <c r="N169">
        <v>29</v>
      </c>
      <c r="O169">
        <f>IF(Table2[[#This Row],[fund age]]=0,0,LOG(Table2[[#This Row],[fund age]]))</f>
        <v>1.4623979978989561</v>
      </c>
      <c r="P169">
        <f t="shared" si="2"/>
        <v>1</v>
      </c>
      <c r="Q169">
        <v>70</v>
      </c>
      <c r="R169">
        <v>70</v>
      </c>
      <c r="S169">
        <v>92.8</v>
      </c>
      <c r="T169" s="34">
        <v>27</v>
      </c>
      <c r="U169" s="42">
        <v>65.041501268831993</v>
      </c>
      <c r="V169">
        <v>1669.0315179326171</v>
      </c>
      <c r="W169">
        <f>LOG(Table2[[#This Row],[generalist]])</f>
        <v>3.22246453795844</v>
      </c>
      <c r="X169" s="14">
        <v>3</v>
      </c>
      <c r="Y169">
        <v>5094.7953145755328</v>
      </c>
      <c r="Z169">
        <f>LOG(Table2[[#This Row],[country divers.]])</f>
        <v>3.7071267407396937</v>
      </c>
      <c r="AA169">
        <v>1000000000</v>
      </c>
      <c r="AB169">
        <f>LOG(Table2[[#This Row],[Firm Size]])</f>
        <v>9</v>
      </c>
      <c r="AC169" s="80">
        <v>0.24154833257868602</v>
      </c>
    </row>
    <row r="170" spans="1:29" x14ac:dyDescent="0.35">
      <c r="A170" t="s">
        <v>497</v>
      </c>
      <c r="B170">
        <v>-0.49100192678227361</v>
      </c>
      <c r="C170">
        <f>IF(Table2[[#This Row],[Return]]=-1,-1,LOG(1+Table2[[#This Row],[Return]]))</f>
        <v>-0.2932838616563514</v>
      </c>
      <c r="D170">
        <v>5.3506849315068497</v>
      </c>
      <c r="E170">
        <v>463.97</v>
      </c>
      <c r="F170">
        <f>IF(Table2[[#This Row],[Geo Distance]]=0,0,LOG(Table2[[#This Row],[Geo Distance]]))</f>
        <v>2.6664899002624973</v>
      </c>
      <c r="G170">
        <v>147</v>
      </c>
      <c r="H170">
        <f>IF(Table2[[#This Row],[Target age]]=0,0,LOG(Table2[[#This Row],[Target age]]))</f>
        <v>2.167317334748176</v>
      </c>
      <c r="I170" s="45">
        <v>2.61</v>
      </c>
      <c r="J170" s="9">
        <v>193.166666666667</v>
      </c>
      <c r="K170" s="9">
        <f>IF(Table2[[#This Row],[Culture]]=0,0,LOG(Table2[[#This Row],[Culture]]))</f>
        <v>2.285932185579953</v>
      </c>
      <c r="L170" s="24">
        <v>-0.14000000000000001</v>
      </c>
      <c r="M170" s="9">
        <f>LOG(1+Table2[[#This Row],[S&amp;P]])</f>
        <v>-6.5501548756432285E-2</v>
      </c>
      <c r="N170">
        <v>13</v>
      </c>
      <c r="O170">
        <f>IF(Table2[[#This Row],[fund age]]=0,0,LOG(Table2[[#This Row],[fund age]]))</f>
        <v>1.1139433523068367</v>
      </c>
      <c r="P170">
        <f t="shared" si="2"/>
        <v>1</v>
      </c>
      <c r="Q170">
        <v>70</v>
      </c>
      <c r="R170">
        <v>70</v>
      </c>
      <c r="S170">
        <v>85</v>
      </c>
      <c r="T170" s="34">
        <v>30.9</v>
      </c>
      <c r="U170" s="42">
        <v>33.950689057445601</v>
      </c>
      <c r="V170">
        <v>1655.1111111111111</v>
      </c>
      <c r="W170">
        <f>LOG(Table2[[#This Row],[generalist]])</f>
        <v>3.2188271541979425</v>
      </c>
      <c r="X170" s="14">
        <v>2</v>
      </c>
      <c r="Y170">
        <v>5715.5555555555547</v>
      </c>
      <c r="Z170">
        <f>LOG(Table2[[#This Row],[country divers.]])</f>
        <v>3.7570584504768405</v>
      </c>
      <c r="AA170">
        <v>519000000</v>
      </c>
      <c r="AB170">
        <f>LOG(Table2[[#This Row],[Firm Size]])</f>
        <v>8.7151673578484576</v>
      </c>
      <c r="AC170" s="80">
        <v>-0.22361615951812241</v>
      </c>
    </row>
    <row r="171" spans="1:29" x14ac:dyDescent="0.35">
      <c r="A171" t="s">
        <v>497</v>
      </c>
      <c r="B171">
        <v>3.0681818181818183</v>
      </c>
      <c r="C171">
        <f>IF(Table2[[#This Row],[Return]]=-1,-1,LOG(1+Table2[[#This Row],[Return]]))</f>
        <v>0.60940035449370578</v>
      </c>
      <c r="D171">
        <v>5.4986301369863018</v>
      </c>
      <c r="E171">
        <v>463.97</v>
      </c>
      <c r="F171">
        <f>IF(Table2[[#This Row],[Geo Distance]]=0,0,LOG(Table2[[#This Row],[Geo Distance]]))</f>
        <v>2.6664899002624973</v>
      </c>
      <c r="G171">
        <v>31</v>
      </c>
      <c r="H171">
        <f>IF(Table2[[#This Row],[Target age]]=0,0,LOG(Table2[[#This Row],[Target age]]))</f>
        <v>1.4913616938342726</v>
      </c>
      <c r="I171" s="45">
        <v>2.61</v>
      </c>
      <c r="J171" s="9">
        <v>193.166666666667</v>
      </c>
      <c r="K171" s="9">
        <f>IF(Table2[[#This Row],[Culture]]=0,0,LOG(Table2[[#This Row],[Culture]]))</f>
        <v>2.285932185579953</v>
      </c>
      <c r="L171" s="24">
        <v>0.78</v>
      </c>
      <c r="M171" s="9">
        <f>LOG(1+Table2[[#This Row],[S&amp;P]])</f>
        <v>0.250420002308894</v>
      </c>
      <c r="N171">
        <v>25</v>
      </c>
      <c r="O171">
        <f>IF(Table2[[#This Row],[fund age]]=0,0,LOG(Table2[[#This Row],[fund age]]))</f>
        <v>1.3979400086720377</v>
      </c>
      <c r="P171">
        <f t="shared" si="2"/>
        <v>1</v>
      </c>
      <c r="Q171">
        <v>70</v>
      </c>
      <c r="R171">
        <v>70</v>
      </c>
      <c r="S171">
        <v>92.8</v>
      </c>
      <c r="T171" s="34">
        <v>27</v>
      </c>
      <c r="U171" s="42">
        <v>65.041501268831993</v>
      </c>
      <c r="V171">
        <v>1861.7599999999995</v>
      </c>
      <c r="W171">
        <f>LOG(Table2[[#This Row],[generalist]])</f>
        <v>3.2699236952309461</v>
      </c>
      <c r="X171" s="14">
        <v>2</v>
      </c>
      <c r="Y171">
        <v>4993.920000000001</v>
      </c>
      <c r="Z171">
        <f>LOG(Table2[[#This Row],[country divers.]])</f>
        <v>3.6984415808994222</v>
      </c>
      <c r="AA171">
        <v>220000000</v>
      </c>
      <c r="AB171">
        <f>LOG(Table2[[#This Row],[Firm Size]])</f>
        <v>8.3424226808222066</v>
      </c>
      <c r="AC171" s="80">
        <v>0.14547266702539896</v>
      </c>
    </row>
    <row r="172" spans="1:29" x14ac:dyDescent="0.35">
      <c r="A172" t="s">
        <v>497</v>
      </c>
      <c r="B172">
        <v>2.5897435897435899</v>
      </c>
      <c r="C172">
        <f>IF(Table2[[#This Row],[Return]]=-1,-1,LOG(1+Table2[[#This Row],[Return]]))</f>
        <v>0.55506342865173885</v>
      </c>
      <c r="D172">
        <v>2.6328767123287671</v>
      </c>
      <c r="E172">
        <v>5441.73</v>
      </c>
      <c r="F172">
        <f>IF(Table2[[#This Row],[Geo Distance]]=0,0,LOG(Table2[[#This Row],[Geo Distance]]))</f>
        <v>3.735736989773935</v>
      </c>
      <c r="G172">
        <v>6</v>
      </c>
      <c r="H172">
        <f>IF(Table2[[#This Row],[Target age]]=0,0,LOG(Table2[[#This Row],[Target age]]))</f>
        <v>0.77815125038364363</v>
      </c>
      <c r="I172" s="45">
        <v>2.91</v>
      </c>
      <c r="J172" s="9">
        <v>125.833333333333</v>
      </c>
      <c r="K172" s="9">
        <f>IF(Table2[[#This Row],[Culture]]=0,0,LOG(Table2[[#This Row],[Culture]]))</f>
        <v>2.0997957012455433</v>
      </c>
      <c r="L172" s="24">
        <v>0.49</v>
      </c>
      <c r="M172" s="9">
        <f>LOG(1+Table2[[#This Row],[S&amp;P]])</f>
        <v>0.17318626841227402</v>
      </c>
      <c r="N172">
        <v>10</v>
      </c>
      <c r="O172">
        <f>IF(Table2[[#This Row],[fund age]]=0,0,LOG(Table2[[#This Row],[fund age]]))</f>
        <v>1</v>
      </c>
      <c r="P172">
        <f t="shared" si="2"/>
        <v>1</v>
      </c>
      <c r="Q172">
        <v>70</v>
      </c>
      <c r="R172">
        <v>70</v>
      </c>
      <c r="S172">
        <v>92.8</v>
      </c>
      <c r="T172" s="34">
        <v>27.6</v>
      </c>
      <c r="U172" s="42">
        <v>42.012447889189502</v>
      </c>
      <c r="V172">
        <v>1944.4444444444441</v>
      </c>
      <c r="W172">
        <f>LOG(Table2[[#This Row],[generalist]])</f>
        <v>3.2887955392469697</v>
      </c>
      <c r="X172" s="14">
        <v>2</v>
      </c>
      <c r="Y172">
        <v>8472.2222222222208</v>
      </c>
      <c r="Z172">
        <f>LOG(Table2[[#This Row],[country divers.]])</f>
        <v>3.9279973385794986</v>
      </c>
      <c r="AA172">
        <v>19500000</v>
      </c>
      <c r="AB172">
        <f>LOG(Table2[[#This Row],[Firm Size]])</f>
        <v>7.2900346113625183</v>
      </c>
      <c r="AC172" s="80">
        <v>0.17829763108748753</v>
      </c>
    </row>
    <row r="173" spans="1:29" x14ac:dyDescent="0.35">
      <c r="A173" t="s">
        <v>497</v>
      </c>
      <c r="B173">
        <v>-0.65273311897106101</v>
      </c>
      <c r="C173">
        <f>IF(Table2[[#This Row],[Return]]=-1,-1,LOG(1+Table2[[#This Row],[Return]]))</f>
        <v>-0.45933663353988768</v>
      </c>
      <c r="D173">
        <v>6.1698630136986301</v>
      </c>
      <c r="E173">
        <v>5441.73</v>
      </c>
      <c r="F173">
        <f>IF(Table2[[#This Row],[Geo Distance]]=0,0,LOG(Table2[[#This Row],[Geo Distance]]))</f>
        <v>3.735736989773935</v>
      </c>
      <c r="G173">
        <v>28</v>
      </c>
      <c r="H173">
        <f>IF(Table2[[#This Row],[Target age]]=0,0,LOG(Table2[[#This Row],[Target age]]))</f>
        <v>1.4471580313422192</v>
      </c>
      <c r="I173" s="45">
        <v>2.91</v>
      </c>
      <c r="J173" s="9">
        <v>125.833333333333</v>
      </c>
      <c r="K173" s="9">
        <f>IF(Table2[[#This Row],[Culture]]=0,0,LOG(Table2[[#This Row],[Culture]]))</f>
        <v>2.0997957012455433</v>
      </c>
      <c r="L173" s="24">
        <v>0.11</v>
      </c>
      <c r="M173" s="9">
        <f>LOG(1+Table2[[#This Row],[S&amp;P]])</f>
        <v>4.5322978786657475E-2</v>
      </c>
      <c r="N173">
        <v>21</v>
      </c>
      <c r="O173">
        <f>IF(Table2[[#This Row],[fund age]]=0,0,LOG(Table2[[#This Row],[fund age]]))</f>
        <v>1.3222192947339193</v>
      </c>
      <c r="P173">
        <f t="shared" si="2"/>
        <v>1</v>
      </c>
      <c r="Q173">
        <v>70</v>
      </c>
      <c r="R173">
        <v>70</v>
      </c>
      <c r="S173">
        <v>85</v>
      </c>
      <c r="T173" s="34">
        <v>29.4</v>
      </c>
      <c r="U173" s="42">
        <v>33.3433362985758</v>
      </c>
      <c r="V173">
        <v>1618.5219999999999</v>
      </c>
      <c r="W173">
        <f>LOG(Table2[[#This Row],[generalist]])</f>
        <v>3.20911860699078</v>
      </c>
      <c r="X173" s="14">
        <v>2</v>
      </c>
      <c r="Y173">
        <v>3845.9059999999999</v>
      </c>
      <c r="Z173">
        <f>LOG(Table2[[#This Row],[country divers.]])</f>
        <v>3.5849986651910224</v>
      </c>
      <c r="AA173">
        <v>2926900000</v>
      </c>
      <c r="AB173">
        <f>LOG(Table2[[#This Row],[Firm Size]])</f>
        <v>9.4664078846510513</v>
      </c>
      <c r="AC173" s="80">
        <v>0.28995031515896308</v>
      </c>
    </row>
    <row r="174" spans="1:29" x14ac:dyDescent="0.35">
      <c r="A174" t="s">
        <v>434</v>
      </c>
      <c r="B174">
        <v>-0.13749999999999996</v>
      </c>
      <c r="C174">
        <f>IF(Table2[[#This Row],[Return]]=-1,-1,LOG(1+Table2[[#This Row],[Return]]))</f>
        <v>-6.4240896254688248E-2</v>
      </c>
      <c r="D174">
        <v>7.3287671232876717</v>
      </c>
      <c r="E174">
        <v>1434.12</v>
      </c>
      <c r="F174">
        <f>IF(Table2[[#This Row],[Geo Distance]]=0,0,LOG(Table2[[#This Row],[Geo Distance]]))</f>
        <v>3.1565854924457226</v>
      </c>
      <c r="G174">
        <v>92</v>
      </c>
      <c r="H174">
        <f>IF(Table2[[#This Row],[Target age]]=0,0,LOG(Table2[[#This Row],[Target age]]))</f>
        <v>1.9637878273455553</v>
      </c>
      <c r="I174" s="45">
        <v>2.5099999999999998</v>
      </c>
      <c r="J174" s="9">
        <v>605.16666666666697</v>
      </c>
      <c r="K174" s="9">
        <f>IF(Table2[[#This Row],[Culture]]=0,0,LOG(Table2[[#This Row],[Culture]]))</f>
        <v>2.7818749985292488</v>
      </c>
      <c r="L174" s="24">
        <v>1.41</v>
      </c>
      <c r="M174" s="9">
        <f>LOG(1+Table2[[#This Row],[S&amp;P]])</f>
        <v>0.3820170425748684</v>
      </c>
      <c r="N174">
        <v>0</v>
      </c>
      <c r="O174">
        <f>IF(Table2[[#This Row],[fund age]]=0,0,LOG(Table2[[#This Row],[fund age]]))</f>
        <v>0</v>
      </c>
      <c r="P174">
        <f t="shared" si="2"/>
        <v>1</v>
      </c>
      <c r="Q174">
        <v>90</v>
      </c>
      <c r="R174">
        <v>70</v>
      </c>
      <c r="S174">
        <v>77</v>
      </c>
      <c r="T174" s="34">
        <v>41.72</v>
      </c>
      <c r="U174" s="42">
        <v>47.830384300274197</v>
      </c>
      <c r="V174">
        <v>1543.2098765432097</v>
      </c>
      <c r="W174">
        <f>LOG(Table2[[#This Row],[generalist]])</f>
        <v>3.1884249941294067</v>
      </c>
      <c r="X174" s="14">
        <v>2</v>
      </c>
      <c r="Y174">
        <v>8692.1296296296296</v>
      </c>
      <c r="Z174">
        <f>LOG(Table2[[#This Row],[country divers.]])</f>
        <v>3.9391261945252749</v>
      </c>
      <c r="AA174">
        <v>800000000</v>
      </c>
      <c r="AB174">
        <f>LOG(Table2[[#This Row],[Firm Size]])</f>
        <v>8.9030899869919438</v>
      </c>
      <c r="AC174" s="80">
        <v>0.63045750745366558</v>
      </c>
    </row>
    <row r="175" spans="1:29" x14ac:dyDescent="0.35">
      <c r="A175" t="s">
        <v>434</v>
      </c>
      <c r="B175">
        <v>0.12905405405405412</v>
      </c>
      <c r="C175">
        <f>IF(Table2[[#This Row],[Return]]=-1,-1,LOG(1+Table2[[#This Row],[Return]]))</f>
        <v>5.2714734498433974E-2</v>
      </c>
      <c r="D175">
        <v>1.1972602739726028</v>
      </c>
      <c r="E175">
        <v>0</v>
      </c>
      <c r="F175">
        <f>IF(Table2[[#This Row],[Geo Distance]]=0,0,LOG(Table2[[#This Row],[Geo Distance]]))</f>
        <v>0</v>
      </c>
      <c r="G175">
        <v>134</v>
      </c>
      <c r="H175">
        <f>IF(Table2[[#This Row],[Target age]]=0,0,LOG(Table2[[#This Row],[Target age]]))</f>
        <v>2.1271047983648077</v>
      </c>
      <c r="I175" s="45">
        <v>2.8</v>
      </c>
      <c r="J175" s="9">
        <v>0</v>
      </c>
      <c r="K175" s="9">
        <f>IF(Table2[[#This Row],[Culture]]=0,0,LOG(Table2[[#This Row],[Culture]]))</f>
        <v>0</v>
      </c>
      <c r="L175" s="24">
        <v>-0.08</v>
      </c>
      <c r="M175" s="9">
        <f>LOG(1+Table2[[#This Row],[S&amp;P]])</f>
        <v>-3.6212172654444715E-2</v>
      </c>
      <c r="N175">
        <v>0</v>
      </c>
      <c r="O175">
        <f>IF(Table2[[#This Row],[fund age]]=0,0,LOG(Table2[[#This Row],[fund age]]))</f>
        <v>0</v>
      </c>
      <c r="P175">
        <f t="shared" si="2"/>
        <v>0</v>
      </c>
      <c r="Q175">
        <v>90</v>
      </c>
      <c r="R175">
        <v>70</v>
      </c>
      <c r="S175">
        <v>78.400000000000006</v>
      </c>
      <c r="T175" s="34">
        <v>40.57</v>
      </c>
      <c r="U175" s="42">
        <v>47.629620244041597</v>
      </c>
      <c r="V175">
        <v>1248.0746999999999</v>
      </c>
      <c r="W175">
        <f>LOG(Table2[[#This Row],[generalist]])</f>
        <v>3.0962405795987471</v>
      </c>
      <c r="X175" s="14">
        <v>4</v>
      </c>
      <c r="Y175">
        <v>2518.2170000000001</v>
      </c>
      <c r="Z175">
        <f>LOG(Table2[[#This Row],[country divers.]])</f>
        <v>3.4010931514437841</v>
      </c>
      <c r="AA175">
        <v>740000000</v>
      </c>
      <c r="AB175">
        <f>LOG(Table2[[#This Row],[Firm Size]])</f>
        <v>8.8692317197309762</v>
      </c>
      <c r="AC175" s="80">
        <v>-7.9591985960807188E-2</v>
      </c>
    </row>
    <row r="176" spans="1:29" x14ac:dyDescent="0.35">
      <c r="A176" t="s">
        <v>434</v>
      </c>
      <c r="B176">
        <v>0.4221789883268483</v>
      </c>
      <c r="C176">
        <f>IF(Table2[[#This Row],[Return]]=-1,-1,LOG(1+Table2[[#This Row],[Return]]))</f>
        <v>0.15295425796258474</v>
      </c>
      <c r="D176">
        <v>6.6356164383561644</v>
      </c>
      <c r="E176">
        <v>1434.12</v>
      </c>
      <c r="F176">
        <f>IF(Table2[[#This Row],[Geo Distance]]=0,0,LOG(Table2[[#This Row],[Geo Distance]]))</f>
        <v>3.1565854924457226</v>
      </c>
      <c r="G176">
        <v>98</v>
      </c>
      <c r="H176">
        <f>IF(Table2[[#This Row],[Target age]]=0,0,LOG(Table2[[#This Row],[Target age]]))</f>
        <v>1.9912260756924949</v>
      </c>
      <c r="I176" s="45">
        <v>2.5099999999999998</v>
      </c>
      <c r="J176" s="9">
        <v>605.16666666666697</v>
      </c>
      <c r="K176" s="9">
        <f>IF(Table2[[#This Row],[Culture]]=0,0,LOG(Table2[[#This Row],[Culture]]))</f>
        <v>2.7818749985292488</v>
      </c>
      <c r="L176" s="24">
        <v>0.2</v>
      </c>
      <c r="M176" s="9">
        <f>LOG(1+Table2[[#This Row],[S&amp;P]])</f>
        <v>7.9181246047624818E-2</v>
      </c>
      <c r="N176">
        <v>29</v>
      </c>
      <c r="O176">
        <f>IF(Table2[[#This Row],[fund age]]=0,0,LOG(Table2[[#This Row],[fund age]]))</f>
        <v>1.4623979978989561</v>
      </c>
      <c r="P176">
        <f t="shared" si="2"/>
        <v>1</v>
      </c>
      <c r="Q176">
        <v>90</v>
      </c>
      <c r="R176">
        <v>70</v>
      </c>
      <c r="S176">
        <v>78.400000000000006</v>
      </c>
      <c r="T176" s="34">
        <v>40.57</v>
      </c>
      <c r="U176" s="42">
        <v>47.629620244041597</v>
      </c>
      <c r="V176">
        <v>1248.0746999999999</v>
      </c>
      <c r="W176">
        <f>LOG(Table2[[#This Row],[generalist]])</f>
        <v>3.0962405795987471</v>
      </c>
      <c r="X176" s="14">
        <v>2</v>
      </c>
      <c r="Y176">
        <v>2518.2170000000001</v>
      </c>
      <c r="Z176">
        <f>LOG(Table2[[#This Row],[country divers.]])</f>
        <v>3.4010931514437841</v>
      </c>
      <c r="AA176">
        <v>2570000000</v>
      </c>
      <c r="AB176">
        <f>LOG(Table2[[#This Row],[Firm Size]])</f>
        <v>9.4099331233312942</v>
      </c>
      <c r="AC176" s="80">
        <v>0.10485330790848169</v>
      </c>
    </row>
    <row r="177" spans="1:29" x14ac:dyDescent="0.35">
      <c r="A177" t="s">
        <v>434</v>
      </c>
      <c r="B177">
        <v>0.88235294117647056</v>
      </c>
      <c r="C177">
        <f>IF(Table2[[#This Row],[Return]]=-1,-1,LOG(1+Table2[[#This Row],[Return]]))</f>
        <v>0.27470105694163205</v>
      </c>
      <c r="D177">
        <v>2.1945205479452055</v>
      </c>
      <c r="E177">
        <v>1434.12</v>
      </c>
      <c r="F177">
        <f>IF(Table2[[#This Row],[Geo Distance]]=0,0,LOG(Table2[[#This Row],[Geo Distance]]))</f>
        <v>3.1565854924457226</v>
      </c>
      <c r="G177">
        <v>17</v>
      </c>
      <c r="H177">
        <f>IF(Table2[[#This Row],[Target age]]=0,0,LOG(Table2[[#This Row],[Target age]]))</f>
        <v>1.2304489213782739</v>
      </c>
      <c r="I177" s="45">
        <v>2.5099999999999998</v>
      </c>
      <c r="J177" s="9">
        <v>605.16666666666697</v>
      </c>
      <c r="K177" s="9">
        <f>IF(Table2[[#This Row],[Culture]]=0,0,LOG(Table2[[#This Row],[Culture]]))</f>
        <v>2.7818749985292488</v>
      </c>
      <c r="L177" s="24">
        <v>0.09</v>
      </c>
      <c r="M177" s="9">
        <f>LOG(1+Table2[[#This Row],[S&amp;P]])</f>
        <v>3.7426497940623665E-2</v>
      </c>
      <c r="N177">
        <v>79</v>
      </c>
      <c r="O177">
        <f>IF(Table2[[#This Row],[fund age]]=0,0,LOG(Table2[[#This Row],[fund age]]))</f>
        <v>1.8976270912904414</v>
      </c>
      <c r="P177">
        <f t="shared" si="2"/>
        <v>1</v>
      </c>
      <c r="Q177">
        <v>90</v>
      </c>
      <c r="R177">
        <v>70</v>
      </c>
      <c r="S177">
        <v>76.900000000000006</v>
      </c>
      <c r="T177" s="34">
        <v>44.05</v>
      </c>
      <c r="U177" s="42">
        <v>51.064530698041601</v>
      </c>
      <c r="V177">
        <v>2144.9704142011828</v>
      </c>
      <c r="W177">
        <f>LOG(Table2[[#This Row],[generalist]])</f>
        <v>3.3314213062933389</v>
      </c>
      <c r="X177" s="14">
        <v>3</v>
      </c>
      <c r="Y177">
        <v>7670.1183431952677</v>
      </c>
      <c r="Z177">
        <f>LOG(Table2[[#This Row],[country divers.]])</f>
        <v>3.884802064783424</v>
      </c>
      <c r="AA177">
        <v>340000000</v>
      </c>
      <c r="AB177">
        <f>LOG(Table2[[#This Row],[Firm Size]])</f>
        <v>8.5314789170422554</v>
      </c>
      <c r="AC177" s="80">
        <v>-6.9887646135642689E-2</v>
      </c>
    </row>
    <row r="178" spans="1:29" x14ac:dyDescent="0.35">
      <c r="A178" t="s">
        <v>434</v>
      </c>
      <c r="B178">
        <v>0.98</v>
      </c>
      <c r="C178">
        <f>IF(Table2[[#This Row],[Return]]=-1,-1,LOG(1+Table2[[#This Row],[Return]]))</f>
        <v>0.2966651902615311</v>
      </c>
      <c r="D178">
        <v>8.4027397260273968</v>
      </c>
      <c r="E178">
        <v>7216.98</v>
      </c>
      <c r="F178">
        <f>IF(Table2[[#This Row],[Geo Distance]]=0,0,LOG(Table2[[#This Row],[Geo Distance]]))</f>
        <v>3.8583555017642173</v>
      </c>
      <c r="G178">
        <v>58</v>
      </c>
      <c r="H178">
        <f>IF(Table2[[#This Row],[Target age]]=0,0,LOG(Table2[[#This Row],[Target age]]))</f>
        <v>1.7634279935629373</v>
      </c>
      <c r="I178" s="45">
        <v>2.66</v>
      </c>
      <c r="J178" s="9">
        <v>649.83333333333303</v>
      </c>
      <c r="K178" s="9">
        <f>IF(Table2[[#This Row],[Culture]]=0,0,LOG(Table2[[#This Row],[Culture]]))</f>
        <v>2.812801984804342</v>
      </c>
      <c r="L178" s="24">
        <v>0.33</v>
      </c>
      <c r="M178" s="9">
        <f>LOG(1+Table2[[#This Row],[S&amp;P]])</f>
        <v>0.12385164096708581</v>
      </c>
      <c r="N178">
        <v>4</v>
      </c>
      <c r="O178">
        <f>IF(Table2[[#This Row],[fund age]]=0,0,LOG(Table2[[#This Row],[fund age]]))</f>
        <v>0.6020599913279624</v>
      </c>
      <c r="P178">
        <f t="shared" si="2"/>
        <v>1</v>
      </c>
      <c r="Q178">
        <v>90</v>
      </c>
      <c r="R178">
        <v>70</v>
      </c>
      <c r="S178">
        <v>70</v>
      </c>
      <c r="T178" s="34">
        <v>39.33</v>
      </c>
      <c r="U178" s="42">
        <v>46.838198746764199</v>
      </c>
      <c r="V178">
        <v>2232.1428571428569</v>
      </c>
      <c r="W178">
        <f>LOG(Table2[[#This Row],[generalist]])</f>
        <v>3.348721986001856</v>
      </c>
      <c r="X178" s="14">
        <v>5</v>
      </c>
      <c r="Y178">
        <v>5650.5102040816337</v>
      </c>
      <c r="Z178">
        <f>LOG(Table2[[#This Row],[country divers.]])</f>
        <v>3.7520876635386311</v>
      </c>
      <c r="AA178">
        <v>250000000</v>
      </c>
      <c r="AB178">
        <f>LOG(Table2[[#This Row],[Firm Size]])</f>
        <v>8.3979400086720375</v>
      </c>
      <c r="AC178" s="80">
        <v>0.44628939650934418</v>
      </c>
    </row>
    <row r="179" spans="1:29" x14ac:dyDescent="0.35">
      <c r="A179" t="s">
        <v>434</v>
      </c>
      <c r="B179">
        <v>2.195652173913043E-2</v>
      </c>
      <c r="C179">
        <f>IF(Table2[[#This Row],[Return]]=-1,-1,LOG(1+Table2[[#This Row],[Return]]))</f>
        <v>9.4324195066784917E-3</v>
      </c>
      <c r="D179">
        <v>4.5315068493150683</v>
      </c>
      <c r="E179">
        <v>7216.98</v>
      </c>
      <c r="F179">
        <f>IF(Table2[[#This Row],[Geo Distance]]=0,0,LOG(Table2[[#This Row],[Geo Distance]]))</f>
        <v>3.8583555017642173</v>
      </c>
      <c r="G179">
        <v>24</v>
      </c>
      <c r="H179">
        <f>IF(Table2[[#This Row],[Target age]]=0,0,LOG(Table2[[#This Row],[Target age]]))</f>
        <v>1.3802112417116059</v>
      </c>
      <c r="I179" s="45">
        <v>2.66</v>
      </c>
      <c r="J179" s="9">
        <v>649.83333333333303</v>
      </c>
      <c r="K179" s="9">
        <f>IF(Table2[[#This Row],[Culture]]=0,0,LOG(Table2[[#This Row],[Culture]]))</f>
        <v>2.812801984804342</v>
      </c>
      <c r="L179" s="24">
        <v>0.76</v>
      </c>
      <c r="M179" s="9">
        <f>LOG(1+Table2[[#This Row],[S&amp;P]])</f>
        <v>0.24551266781414982</v>
      </c>
      <c r="N179">
        <v>2</v>
      </c>
      <c r="O179">
        <f>IF(Table2[[#This Row],[fund age]]=0,0,LOG(Table2[[#This Row],[fund age]]))</f>
        <v>0.3010299956639812</v>
      </c>
      <c r="P179">
        <f t="shared" si="2"/>
        <v>1</v>
      </c>
      <c r="Q179">
        <v>90</v>
      </c>
      <c r="R179">
        <v>70</v>
      </c>
      <c r="S179">
        <v>70</v>
      </c>
      <c r="T179" s="34">
        <v>39.75</v>
      </c>
      <c r="U179" s="42">
        <v>46.7864254430581</v>
      </c>
      <c r="V179">
        <v>2232.1428571428569</v>
      </c>
      <c r="W179">
        <f>LOG(Table2[[#This Row],[generalist]])</f>
        <v>3.348721986001856</v>
      </c>
      <c r="X179" s="14">
        <v>5</v>
      </c>
      <c r="Y179">
        <v>5650.5102040816337</v>
      </c>
      <c r="Z179">
        <f>LOG(Table2[[#This Row],[country divers.]])</f>
        <v>3.7520876635386311</v>
      </c>
      <c r="AA179">
        <v>460000000</v>
      </c>
      <c r="AB179">
        <f>LOG(Table2[[#This Row],[Firm Size]])</f>
        <v>8.6627578316815743</v>
      </c>
      <c r="AC179" s="80">
        <v>0.84211154902663332</v>
      </c>
    </row>
    <row r="180" spans="1:29" x14ac:dyDescent="0.35">
      <c r="A180" t="s">
        <v>434</v>
      </c>
      <c r="B180">
        <v>1.011705685618729</v>
      </c>
      <c r="C180">
        <f>IF(Table2[[#This Row],[Return]]=-1,-1,LOG(1+Table2[[#This Row],[Return]]))</f>
        <v>0.3035644433514339</v>
      </c>
      <c r="D180">
        <v>2.8547945205479452</v>
      </c>
      <c r="E180">
        <v>7216.98</v>
      </c>
      <c r="F180">
        <f>IF(Table2[[#This Row],[Geo Distance]]=0,0,LOG(Table2[[#This Row],[Geo Distance]]))</f>
        <v>3.8583555017642173</v>
      </c>
      <c r="G180">
        <v>33</v>
      </c>
      <c r="H180">
        <f>IF(Table2[[#This Row],[Target age]]=0,0,LOG(Table2[[#This Row],[Target age]]))</f>
        <v>1.5185139398778875</v>
      </c>
      <c r="I180" s="45">
        <v>2.66</v>
      </c>
      <c r="J180" s="9">
        <v>649.83333333333303</v>
      </c>
      <c r="K180" s="9">
        <f>IF(Table2[[#This Row],[Culture]]=0,0,LOG(Table2[[#This Row],[Culture]]))</f>
        <v>2.812801984804342</v>
      </c>
      <c r="L180" s="24">
        <v>0.22</v>
      </c>
      <c r="M180" s="9">
        <f>LOG(1+Table2[[#This Row],[S&amp;P]])</f>
        <v>8.6359830674748214E-2</v>
      </c>
      <c r="N180">
        <v>12</v>
      </c>
      <c r="O180">
        <f>IF(Table2[[#This Row],[fund age]]=0,0,LOG(Table2[[#This Row],[fund age]]))</f>
        <v>1.0791812460476249</v>
      </c>
      <c r="P180">
        <f t="shared" si="2"/>
        <v>1</v>
      </c>
      <c r="Q180">
        <v>90</v>
      </c>
      <c r="R180">
        <v>70</v>
      </c>
      <c r="S180">
        <v>76.900000000000006</v>
      </c>
      <c r="T180" s="34">
        <v>44.05</v>
      </c>
      <c r="U180" s="42">
        <v>51.064530698041601</v>
      </c>
      <c r="V180">
        <v>1537.2400756143668</v>
      </c>
      <c r="W180">
        <f>LOG(Table2[[#This Row],[generalist]])</f>
        <v>3.1867416979308154</v>
      </c>
      <c r="X180" s="14">
        <v>2</v>
      </c>
      <c r="Y180">
        <v>4542.1550094517952</v>
      </c>
      <c r="Z180">
        <f>LOG(Table2[[#This Row],[country divers.]])</f>
        <v>3.6572619512401316</v>
      </c>
      <c r="AA180">
        <v>119600000</v>
      </c>
      <c r="AB180">
        <f>LOG(Table2[[#This Row],[Firm Size]])</f>
        <v>8.0777311796523925</v>
      </c>
      <c r="AC180" s="80">
        <v>-6.0979289432544603E-2</v>
      </c>
    </row>
    <row r="181" spans="1:29" x14ac:dyDescent="0.35">
      <c r="A181" t="s">
        <v>434</v>
      </c>
      <c r="B181">
        <v>0.12905405405405412</v>
      </c>
      <c r="C181">
        <f>IF(Table2[[#This Row],[Return]]=-1,-1,LOG(1+Table2[[#This Row],[Return]]))</f>
        <v>5.2714734498433974E-2</v>
      </c>
      <c r="D181">
        <v>1.1972602739726028</v>
      </c>
      <c r="E181">
        <v>7216.98</v>
      </c>
      <c r="F181">
        <f>IF(Table2[[#This Row],[Geo Distance]]=0,0,LOG(Table2[[#This Row],[Geo Distance]]))</f>
        <v>3.8583555017642173</v>
      </c>
      <c r="G181">
        <v>116</v>
      </c>
      <c r="H181">
        <f>IF(Table2[[#This Row],[Target age]]=0,0,LOG(Table2[[#This Row],[Target age]]))</f>
        <v>2.0644579892269186</v>
      </c>
      <c r="I181" s="45">
        <v>2.66</v>
      </c>
      <c r="J181" s="9">
        <v>649.83333333333303</v>
      </c>
      <c r="K181" s="9">
        <f>IF(Table2[[#This Row],[Culture]]=0,0,LOG(Table2[[#This Row],[Culture]]))</f>
        <v>2.812801984804342</v>
      </c>
      <c r="L181" s="24">
        <v>-0.08</v>
      </c>
      <c r="M181" s="9">
        <f>LOG(1+Table2[[#This Row],[S&amp;P]])</f>
        <v>-3.6212172654444715E-2</v>
      </c>
      <c r="N181">
        <v>5</v>
      </c>
      <c r="O181">
        <f>IF(Table2[[#This Row],[fund age]]=0,0,LOG(Table2[[#This Row],[fund age]]))</f>
        <v>0.69897000433601886</v>
      </c>
      <c r="P181">
        <f t="shared" si="2"/>
        <v>1</v>
      </c>
      <c r="Q181">
        <v>90</v>
      </c>
      <c r="R181">
        <v>70</v>
      </c>
      <c r="S181">
        <v>78.400000000000006</v>
      </c>
      <c r="T181" s="34">
        <v>40.57</v>
      </c>
      <c r="U181" s="42">
        <v>47.629620244041597</v>
      </c>
      <c r="V181">
        <v>1537.2400756143668</v>
      </c>
      <c r="W181">
        <f>LOG(Table2[[#This Row],[generalist]])</f>
        <v>3.1867416979308154</v>
      </c>
      <c r="X181" s="14">
        <v>2</v>
      </c>
      <c r="Y181">
        <v>4542.1550094517952</v>
      </c>
      <c r="Z181">
        <f>LOG(Table2[[#This Row],[country divers.]])</f>
        <v>3.6572619512401316</v>
      </c>
      <c r="AA181">
        <v>740000000</v>
      </c>
      <c r="AB181">
        <f>LOG(Table2[[#This Row],[Firm Size]])</f>
        <v>8.8692317197309762</v>
      </c>
      <c r="AC181" s="80">
        <v>-7.69146153658119E-2</v>
      </c>
    </row>
    <row r="182" spans="1:29" x14ac:dyDescent="0.35">
      <c r="A182" t="s">
        <v>434</v>
      </c>
      <c r="B182">
        <v>0.94317757009345793</v>
      </c>
      <c r="C182">
        <f>IF(Table2[[#This Row],[Return]]=-1,-1,LOG(1+Table2[[#This Row],[Return]]))</f>
        <v>0.28851248880774655</v>
      </c>
      <c r="D182">
        <v>4.183561643835616</v>
      </c>
      <c r="E182">
        <v>7216.98</v>
      </c>
      <c r="F182">
        <f>IF(Table2[[#This Row],[Geo Distance]]=0,0,LOG(Table2[[#This Row],[Geo Distance]]))</f>
        <v>3.8583555017642173</v>
      </c>
      <c r="G182">
        <v>34</v>
      </c>
      <c r="H182">
        <f>IF(Table2[[#This Row],[Target age]]=0,0,LOG(Table2[[#This Row],[Target age]]))</f>
        <v>1.5314789170422551</v>
      </c>
      <c r="I182" s="45">
        <v>2.66</v>
      </c>
      <c r="J182" s="9">
        <v>649.83333333333303</v>
      </c>
      <c r="K182" s="9">
        <f>IF(Table2[[#This Row],[Culture]]=0,0,LOG(Table2[[#This Row],[Culture]]))</f>
        <v>2.812801984804342</v>
      </c>
      <c r="L182" s="24">
        <v>0.74</v>
      </c>
      <c r="M182" s="9">
        <f>LOG(1+Table2[[#This Row],[S&amp;P]])</f>
        <v>0.24054924828259971</v>
      </c>
      <c r="N182">
        <v>24</v>
      </c>
      <c r="O182">
        <f>IF(Table2[[#This Row],[fund age]]=0,0,LOG(Table2[[#This Row],[fund age]]))</f>
        <v>1.3802112417116059</v>
      </c>
      <c r="P182">
        <f t="shared" si="2"/>
        <v>1</v>
      </c>
      <c r="Q182">
        <v>90</v>
      </c>
      <c r="R182">
        <v>70</v>
      </c>
      <c r="S182">
        <v>77</v>
      </c>
      <c r="T182" s="34">
        <v>41.72</v>
      </c>
      <c r="U182" s="42">
        <v>47.830384300274197</v>
      </c>
      <c r="V182">
        <v>1618.5219999999999</v>
      </c>
      <c r="W182">
        <f>LOG(Table2[[#This Row],[generalist]])</f>
        <v>3.20911860699078</v>
      </c>
      <c r="X182" s="14">
        <v>2</v>
      </c>
      <c r="Y182">
        <v>3845.9059999999999</v>
      </c>
      <c r="Z182">
        <f>LOG(Table2[[#This Row],[country divers.]])</f>
        <v>3.5849986651910224</v>
      </c>
      <c r="AA182">
        <v>535000000</v>
      </c>
      <c r="AB182">
        <f>LOG(Table2[[#This Row],[Firm Size]])</f>
        <v>8.7283537820212285</v>
      </c>
      <c r="AC182" s="80">
        <v>0.57737559485070444</v>
      </c>
    </row>
    <row r="183" spans="1:29" x14ac:dyDescent="0.35">
      <c r="A183" t="s">
        <v>434</v>
      </c>
      <c r="B183">
        <v>1.3507291650000002</v>
      </c>
      <c r="C183">
        <f>IF(Table2[[#This Row],[Return]]=-1,-1,LOG(1+Table2[[#This Row],[Return]]))</f>
        <v>0.37120259555558283</v>
      </c>
      <c r="D183">
        <v>5.7726027397260271</v>
      </c>
      <c r="E183">
        <v>7216.98</v>
      </c>
      <c r="F183">
        <f>IF(Table2[[#This Row],[Geo Distance]]=0,0,LOG(Table2[[#This Row],[Geo Distance]]))</f>
        <v>3.8583555017642173</v>
      </c>
      <c r="G183">
        <v>25</v>
      </c>
      <c r="H183">
        <f>IF(Table2[[#This Row],[Target age]]=0,0,LOG(Table2[[#This Row],[Target age]]))</f>
        <v>1.3979400086720377</v>
      </c>
      <c r="I183" s="45">
        <v>2.66</v>
      </c>
      <c r="J183" s="9">
        <v>649.83333333333303</v>
      </c>
      <c r="K183" s="9">
        <f>IF(Table2[[#This Row],[Culture]]=0,0,LOG(Table2[[#This Row],[Culture]]))</f>
        <v>2.812801984804342</v>
      </c>
      <c r="L183" s="24">
        <v>-0.05</v>
      </c>
      <c r="M183" s="9">
        <f>LOG(1+Table2[[#This Row],[S&amp;P]])</f>
        <v>-2.2276394711152253E-2</v>
      </c>
      <c r="N183">
        <v>20</v>
      </c>
      <c r="O183">
        <f>IF(Table2[[#This Row],[fund age]]=0,0,LOG(Table2[[#This Row],[fund age]]))</f>
        <v>1.3010299956639813</v>
      </c>
      <c r="P183">
        <f t="shared" si="2"/>
        <v>1</v>
      </c>
      <c r="Q183">
        <v>90</v>
      </c>
      <c r="R183">
        <v>70</v>
      </c>
      <c r="S183">
        <v>70</v>
      </c>
      <c r="T183" s="34">
        <v>39.33</v>
      </c>
      <c r="U183" s="42">
        <v>46.838198746764199</v>
      </c>
      <c r="V183">
        <v>1618.5219999999999</v>
      </c>
      <c r="W183">
        <f>LOG(Table2[[#This Row],[generalist]])</f>
        <v>3.20911860699078</v>
      </c>
      <c r="X183" s="14">
        <v>2</v>
      </c>
      <c r="Y183">
        <v>3845.9059999999999</v>
      </c>
      <c r="Z183">
        <f>LOG(Table2[[#This Row],[country divers.]])</f>
        <v>3.5849986651910224</v>
      </c>
      <c r="AA183">
        <v>200000000</v>
      </c>
      <c r="AB183">
        <f>LOG(Table2[[#This Row],[Firm Size]])</f>
        <v>8.3010299956639813</v>
      </c>
      <c r="AC183" s="80">
        <v>0.20882002383790232</v>
      </c>
    </row>
    <row r="184" spans="1:29" x14ac:dyDescent="0.35">
      <c r="A184" t="s">
        <v>434</v>
      </c>
      <c r="B184">
        <v>-0.97499999999999998</v>
      </c>
      <c r="C184">
        <f>IF(Table2[[#This Row],[Return]]=-1,-1,LOG(1+Table2[[#This Row],[Return]]))</f>
        <v>-1.6020599913279621</v>
      </c>
      <c r="D184">
        <v>17.032876712328768</v>
      </c>
      <c r="E184">
        <v>7216.98</v>
      </c>
      <c r="F184">
        <f>IF(Table2[[#This Row],[Geo Distance]]=0,0,LOG(Table2[[#This Row],[Geo Distance]]))</f>
        <v>3.8583555017642173</v>
      </c>
      <c r="G184">
        <v>79</v>
      </c>
      <c r="H184">
        <f>IF(Table2[[#This Row],[Target age]]=0,0,LOG(Table2[[#This Row],[Target age]]))</f>
        <v>1.8976270912904414</v>
      </c>
      <c r="I184" s="45">
        <v>2.66</v>
      </c>
      <c r="J184" s="9">
        <v>649.83333333333303</v>
      </c>
      <c r="K184" s="9">
        <f>IF(Table2[[#This Row],[Culture]]=0,0,LOG(Table2[[#This Row],[Culture]]))</f>
        <v>2.812801984804342</v>
      </c>
      <c r="L184" s="24">
        <v>0.99</v>
      </c>
      <c r="M184" s="9">
        <f>LOG(1+Table2[[#This Row],[S&amp;P]])</f>
        <v>0.29885307640970665</v>
      </c>
      <c r="N184">
        <v>22</v>
      </c>
      <c r="O184">
        <f>IF(Table2[[#This Row],[fund age]]=0,0,LOG(Table2[[#This Row],[fund age]]))</f>
        <v>1.3424226808222062</v>
      </c>
      <c r="P184">
        <f t="shared" si="2"/>
        <v>1</v>
      </c>
      <c r="Q184">
        <v>90</v>
      </c>
      <c r="R184">
        <v>70</v>
      </c>
      <c r="S184">
        <v>70</v>
      </c>
      <c r="T184" s="34">
        <v>40.57</v>
      </c>
      <c r="U184" s="42">
        <v>46.612741748887998</v>
      </c>
      <c r="V184">
        <v>2030.3304662743317</v>
      </c>
      <c r="W184">
        <f>LOG(Table2[[#This Row],[generalist]])</f>
        <v>3.3075667315086759</v>
      </c>
      <c r="X184" s="14">
        <v>2</v>
      </c>
      <c r="Y184">
        <v>6774.5586238116803</v>
      </c>
      <c r="Z184">
        <f>LOG(Table2[[#This Row],[country divers.]])</f>
        <v>3.8308810053047755</v>
      </c>
      <c r="AA184">
        <v>1000000000</v>
      </c>
      <c r="AB184">
        <f>LOG(Table2[[#This Row],[Firm Size]])</f>
        <v>9</v>
      </c>
      <c r="AC184" s="80">
        <v>0.3680181396783555</v>
      </c>
    </row>
    <row r="185" spans="1:29" x14ac:dyDescent="0.35">
      <c r="A185" t="s">
        <v>434</v>
      </c>
      <c r="B185">
        <v>0.34463961235614771</v>
      </c>
      <c r="C185">
        <f>IF(Table2[[#This Row],[Return]]=-1,-1,LOG(1+Table2[[#This Row],[Return]]))</f>
        <v>0.12860590118784496</v>
      </c>
      <c r="D185">
        <v>2.5671232876712327</v>
      </c>
      <c r="E185">
        <v>7216.98</v>
      </c>
      <c r="F185">
        <f>IF(Table2[[#This Row],[Geo Distance]]=0,0,LOG(Table2[[#This Row],[Geo Distance]]))</f>
        <v>3.8583555017642173</v>
      </c>
      <c r="G185">
        <v>158</v>
      </c>
      <c r="H185">
        <f>IF(Table2[[#This Row],[Target age]]=0,0,LOG(Table2[[#This Row],[Target age]]))</f>
        <v>2.1986570869544226</v>
      </c>
      <c r="I185" s="45">
        <v>2.66</v>
      </c>
      <c r="J185" s="9">
        <v>649.83333333333303</v>
      </c>
      <c r="K185" s="9">
        <f>IF(Table2[[#This Row],[Culture]]=0,0,LOG(Table2[[#This Row],[Culture]]))</f>
        <v>2.812801984804342</v>
      </c>
      <c r="L185" s="24">
        <v>0.36</v>
      </c>
      <c r="M185" s="9">
        <f>LOG(1+Table2[[#This Row],[S&amp;P]])</f>
        <v>0.13353890837021748</v>
      </c>
      <c r="N185">
        <v>27</v>
      </c>
      <c r="O185">
        <f>IF(Table2[[#This Row],[fund age]]=0,0,LOG(Table2[[#This Row],[fund age]]))</f>
        <v>1.4313637641589874</v>
      </c>
      <c r="P185">
        <f t="shared" si="2"/>
        <v>1</v>
      </c>
      <c r="Q185">
        <v>90</v>
      </c>
      <c r="R185">
        <v>70</v>
      </c>
      <c r="S185">
        <v>77.3</v>
      </c>
      <c r="T185" s="34">
        <v>41.91</v>
      </c>
      <c r="U185" s="42">
        <v>49.378950814702399</v>
      </c>
      <c r="V185">
        <v>4192.5515477649324</v>
      </c>
      <c r="W185">
        <f>LOG(Table2[[#This Row],[generalist]])</f>
        <v>3.6224784109972026</v>
      </c>
      <c r="X185" s="14">
        <v>2</v>
      </c>
      <c r="Y185">
        <v>6098.886461718791</v>
      </c>
      <c r="Z185">
        <f>LOG(Table2[[#This Row],[country divers.]])</f>
        <v>3.7852505485064163</v>
      </c>
      <c r="AA185">
        <v>577850000</v>
      </c>
      <c r="AB185">
        <f>LOG(Table2[[#This Row],[Firm Size]])</f>
        <v>8.7618151176130699</v>
      </c>
      <c r="AC185" s="80">
        <v>0.14005789713118988</v>
      </c>
    </row>
    <row r="186" spans="1:29" x14ac:dyDescent="0.35">
      <c r="A186" t="s">
        <v>434</v>
      </c>
      <c r="B186">
        <v>2.8297872340425534</v>
      </c>
      <c r="C186">
        <f>IF(Table2[[#This Row],[Return]]=-1,-1,LOG(1+Table2[[#This Row],[Return]]))</f>
        <v>0.5831746471675886</v>
      </c>
      <c r="D186">
        <v>3.4</v>
      </c>
      <c r="E186">
        <v>7216.98</v>
      </c>
      <c r="F186">
        <f>IF(Table2[[#This Row],[Geo Distance]]=0,0,LOG(Table2[[#This Row],[Geo Distance]]))</f>
        <v>3.8583555017642173</v>
      </c>
      <c r="G186">
        <v>24</v>
      </c>
      <c r="H186">
        <f>IF(Table2[[#This Row],[Target age]]=0,0,LOG(Table2[[#This Row],[Target age]]))</f>
        <v>1.3802112417116059</v>
      </c>
      <c r="I186" s="45">
        <v>2.66</v>
      </c>
      <c r="J186" s="9">
        <v>649.83333333333303</v>
      </c>
      <c r="K186" s="9">
        <f>IF(Table2[[#This Row],[Culture]]=0,0,LOG(Table2[[#This Row],[Culture]]))</f>
        <v>2.812801984804342</v>
      </c>
      <c r="L186" s="24">
        <v>0.31</v>
      </c>
      <c r="M186" s="9">
        <f>LOG(1+Table2[[#This Row],[S&amp;P]])</f>
        <v>0.11727129565576427</v>
      </c>
      <c r="N186">
        <v>12</v>
      </c>
      <c r="O186">
        <f>IF(Table2[[#This Row],[fund age]]=0,0,LOG(Table2[[#This Row],[fund age]]))</f>
        <v>1.0791812460476249</v>
      </c>
      <c r="P186">
        <f t="shared" si="2"/>
        <v>1</v>
      </c>
      <c r="Q186">
        <v>90</v>
      </c>
      <c r="R186">
        <v>70</v>
      </c>
      <c r="S186">
        <v>76.900000000000006</v>
      </c>
      <c r="T186" s="34">
        <v>44.05</v>
      </c>
      <c r="U186" s="42">
        <v>51.064530698041601</v>
      </c>
      <c r="V186">
        <v>6200.5542957923917</v>
      </c>
      <c r="W186">
        <f>LOG(Table2[[#This Row],[generalist]])</f>
        <v>3.792430514795639</v>
      </c>
      <c r="X186" s="14">
        <v>2</v>
      </c>
      <c r="Y186">
        <v>3504.6611237087427</v>
      </c>
      <c r="Z186">
        <f>LOG(Table2[[#This Row],[country divers.]])</f>
        <v>3.5446460310848829</v>
      </c>
      <c r="AA186">
        <v>47000000</v>
      </c>
      <c r="AB186">
        <f>LOG(Table2[[#This Row],[Firm Size]])</f>
        <v>7.6720978579357171</v>
      </c>
      <c r="AC186" s="80">
        <v>0.11938197091478098</v>
      </c>
    </row>
    <row r="187" spans="1:29" x14ac:dyDescent="0.35">
      <c r="A187" t="s">
        <v>434</v>
      </c>
      <c r="B187">
        <v>0.45909090909090899</v>
      </c>
      <c r="C187">
        <f>IF(Table2[[#This Row],[Return]]=-1,-1,LOG(1+Table2[[#This Row],[Return]]))</f>
        <v>0.16408235158266582</v>
      </c>
      <c r="D187">
        <v>2.3698630136986303</v>
      </c>
      <c r="E187">
        <v>7216.98</v>
      </c>
      <c r="F187">
        <f>IF(Table2[[#This Row],[Geo Distance]]=0,0,LOG(Table2[[#This Row],[Geo Distance]]))</f>
        <v>3.8583555017642173</v>
      </c>
      <c r="G187">
        <v>3</v>
      </c>
      <c r="H187">
        <f>IF(Table2[[#This Row],[Target age]]=0,0,LOG(Table2[[#This Row],[Target age]]))</f>
        <v>0.47712125471966244</v>
      </c>
      <c r="I187" s="45">
        <v>2.66</v>
      </c>
      <c r="J187">
        <v>649.83333333333303</v>
      </c>
      <c r="K187" s="9">
        <f>IF(Table2[[#This Row],[Culture]]=0,0,LOG(Table2[[#This Row],[Culture]]))</f>
        <v>2.812801984804342</v>
      </c>
      <c r="L187" s="24">
        <v>0.62</v>
      </c>
      <c r="M187" s="9">
        <f>LOG(1+Table2[[#This Row],[S&amp;P]])</f>
        <v>0.20951501454263097</v>
      </c>
      <c r="N187">
        <v>40</v>
      </c>
      <c r="O187">
        <f>IF(Table2[[#This Row],[fund age]]=0,0,LOG(Table2[[#This Row],[fund age]]))</f>
        <v>1.6020599913279623</v>
      </c>
      <c r="P187">
        <f t="shared" si="2"/>
        <v>1</v>
      </c>
      <c r="Q187">
        <v>90</v>
      </c>
      <c r="R187">
        <v>70</v>
      </c>
      <c r="S187">
        <v>77</v>
      </c>
      <c r="T187" s="34">
        <v>41.72</v>
      </c>
      <c r="U187" s="42">
        <v>47.830384300274197</v>
      </c>
      <c r="V187">
        <v>2446.450593263969</v>
      </c>
      <c r="W187">
        <f>LOG(Table2[[#This Row],[generalist]])</f>
        <v>3.3885364494891754</v>
      </c>
      <c r="X187" s="14">
        <v>2</v>
      </c>
      <c r="Y187">
        <v>6578.8244872547029</v>
      </c>
      <c r="Z187">
        <f>LOG(Table2[[#This Row],[country divers.]])</f>
        <v>3.818148300254375</v>
      </c>
      <c r="AA187">
        <v>1100000000</v>
      </c>
      <c r="AB187">
        <f>LOG(Table2[[#This Row],[Firm Size]])</f>
        <v>9.0413926851582254</v>
      </c>
      <c r="AC187" s="80">
        <v>0.52818029231131791</v>
      </c>
    </row>
    <row r="188" spans="1:29" x14ac:dyDescent="0.35">
      <c r="A188" t="s">
        <v>7</v>
      </c>
      <c r="B188">
        <v>9.5971428571428579</v>
      </c>
      <c r="C188">
        <f>IF(Table2[[#This Row],[Return]]=-1,-1,LOG(1+Table2[[#This Row],[Return]]))</f>
        <v>1.0251887889783344</v>
      </c>
      <c r="D188">
        <v>4.2767123287671236</v>
      </c>
      <c r="E188">
        <v>489.17</v>
      </c>
      <c r="F188">
        <f>IF(Table2[[#This Row],[Geo Distance]]=0,0,LOG(Table2[[#This Row],[Geo Distance]]))</f>
        <v>2.6894598146071598</v>
      </c>
      <c r="G188">
        <v>40</v>
      </c>
      <c r="H188">
        <f>IF(Table2[[#This Row],[Target age]]=0,0,LOG(Table2[[#This Row],[Target age]]))</f>
        <v>1.6020599913279623</v>
      </c>
      <c r="I188" s="45">
        <v>2.59</v>
      </c>
      <c r="J188" s="9">
        <v>562.5</v>
      </c>
      <c r="K188" s="9">
        <f>IF(Table2[[#This Row],[Culture]]=0,0,LOG(Table2[[#This Row],[Culture]]))</f>
        <v>2.7501225267834002</v>
      </c>
      <c r="L188" s="24">
        <v>0.61</v>
      </c>
      <c r="M188" s="9">
        <f>LOG(1+Table2[[#This Row],[S&amp;P]])</f>
        <v>0.20682587603184968</v>
      </c>
      <c r="N188">
        <v>32</v>
      </c>
      <c r="O188">
        <f>IF(Table2[[#This Row],[fund age]]=0,0,LOG(Table2[[#This Row],[fund age]]))</f>
        <v>1.505149978319906</v>
      </c>
      <c r="P188">
        <f t="shared" si="2"/>
        <v>1</v>
      </c>
      <c r="Q188">
        <v>90</v>
      </c>
      <c r="R188">
        <v>70</v>
      </c>
      <c r="S188">
        <v>74.8</v>
      </c>
      <c r="T188" s="34">
        <v>38.299999999999997</v>
      </c>
      <c r="U188" s="42">
        <v>43.321936809724697</v>
      </c>
      <c r="V188">
        <v>1669.0315000000001</v>
      </c>
      <c r="W188">
        <f>LOG(Table2[[#This Row],[generalist]])</f>
        <v>3.2224645332922388</v>
      </c>
      <c r="X188" s="14">
        <v>3</v>
      </c>
      <c r="Y188">
        <v>5094.7950000000001</v>
      </c>
      <c r="Z188">
        <f>LOG(Table2[[#This Row],[country divers.]])</f>
        <v>3.707126713924402</v>
      </c>
      <c r="AA188">
        <v>3100000000</v>
      </c>
      <c r="AB188">
        <f>LOG(Table2[[#This Row],[Firm Size]])</f>
        <v>9.4913616938342731</v>
      </c>
      <c r="AC188" s="80">
        <v>0.23115921878930457</v>
      </c>
    </row>
    <row r="189" spans="1:29" x14ac:dyDescent="0.35">
      <c r="A189" s="13" t="s">
        <v>7</v>
      </c>
      <c r="B189">
        <v>1.5698924731182795</v>
      </c>
      <c r="C189">
        <f>IF(Table2[[#This Row],[Return]]=-1,-1,LOG(1+Table2[[#This Row],[Return]]))</f>
        <v>0.40991495239420256</v>
      </c>
      <c r="D189">
        <v>3.9205479452054797</v>
      </c>
      <c r="E189">
        <v>489.17</v>
      </c>
      <c r="F189">
        <f>IF(Table2[[#This Row],[Geo Distance]]=0,0,LOG(Table2[[#This Row],[Geo Distance]]))</f>
        <v>2.6894598146071598</v>
      </c>
      <c r="G189">
        <v>30</v>
      </c>
      <c r="H189">
        <f>IF(Table2[[#This Row],[Target age]]=0,0,LOG(Table2[[#This Row],[Target age]]))</f>
        <v>1.4771212547196624</v>
      </c>
      <c r="I189" s="45">
        <v>2.59</v>
      </c>
      <c r="J189" s="9">
        <v>562.5</v>
      </c>
      <c r="K189" s="9">
        <f>IF(Table2[[#This Row],[Culture]]=0,0,LOG(Table2[[#This Row],[Culture]]))</f>
        <v>2.7501225267834002</v>
      </c>
      <c r="L189" s="15">
        <v>0.56999999999999995</v>
      </c>
      <c r="M189" s="9">
        <f>LOG(1+Table2[[#This Row],[S&amp;P]])</f>
        <v>0.19589965240923368</v>
      </c>
      <c r="N189">
        <v>22</v>
      </c>
      <c r="O189">
        <f>IF(Table2[[#This Row],[fund age]]=0,0,LOG(Table2[[#This Row],[fund age]]))</f>
        <v>1.3424226808222062</v>
      </c>
      <c r="P189">
        <f t="shared" si="2"/>
        <v>1</v>
      </c>
      <c r="Q189">
        <v>90</v>
      </c>
      <c r="R189">
        <v>70</v>
      </c>
      <c r="S189">
        <v>85</v>
      </c>
      <c r="T189" s="34">
        <v>37.5</v>
      </c>
      <c r="U189" s="42">
        <v>43.5008834269711</v>
      </c>
      <c r="V189">
        <v>1669.0315000000001</v>
      </c>
      <c r="W189">
        <f>LOG(Table2[[#This Row],[generalist]])</f>
        <v>3.2224645332922388</v>
      </c>
      <c r="X189" s="14">
        <v>3</v>
      </c>
      <c r="Y189">
        <v>5094.7950000000001</v>
      </c>
      <c r="Z189">
        <f>LOG(Table2[[#This Row],[country divers.]])</f>
        <v>3.707126713924402</v>
      </c>
      <c r="AA189" s="13">
        <v>930000000</v>
      </c>
      <c r="AB189" s="13">
        <f>LOG(Table2[[#This Row],[Firm Size]])</f>
        <v>8.9684829485539357</v>
      </c>
      <c r="AC189" s="80">
        <v>0.73684733913752565</v>
      </c>
    </row>
    <row r="190" spans="1:29" x14ac:dyDescent="0.35">
      <c r="A190" t="s">
        <v>7</v>
      </c>
      <c r="B190">
        <v>1.3157894736842106</v>
      </c>
      <c r="C190">
        <f>IF(Table2[[#This Row],[Return]]=-1,-1,LOG(1+Table2[[#This Row],[Return]]))</f>
        <v>0.36469907553335851</v>
      </c>
      <c r="D190">
        <v>6.4164383561643836</v>
      </c>
      <c r="E190">
        <v>6385.66</v>
      </c>
      <c r="F190">
        <f>IF(Table2[[#This Row],[Geo Distance]]=0,0,LOG(Table2[[#This Row],[Geo Distance]]))</f>
        <v>3.8052057911131025</v>
      </c>
      <c r="G190">
        <v>80</v>
      </c>
      <c r="H190">
        <f>IF(Table2[[#This Row],[Target age]]=0,0,LOG(Table2[[#This Row],[Target age]]))</f>
        <v>1.9030899869919435</v>
      </c>
      <c r="I190" s="45">
        <v>2.99</v>
      </c>
      <c r="J190" s="9">
        <v>693.16666666666697</v>
      </c>
      <c r="K190" s="9">
        <f>IF(Table2[[#This Row],[Culture]]=0,0,LOG(Table2[[#This Row],[Culture]]))</f>
        <v>2.8408376699812901</v>
      </c>
      <c r="L190" s="24">
        <v>0.91</v>
      </c>
      <c r="M190" s="9">
        <f>LOG(1+Table2[[#This Row],[S&amp;P]])</f>
        <v>0.28103336724772759</v>
      </c>
      <c r="N190">
        <v>35</v>
      </c>
      <c r="O190">
        <f>IF(Table2[[#This Row],[fund age]]=0,0,LOG(Table2[[#This Row],[fund age]]))</f>
        <v>1.5440680443502757</v>
      </c>
      <c r="P190">
        <f t="shared" si="2"/>
        <v>1</v>
      </c>
      <c r="Q190">
        <v>90</v>
      </c>
      <c r="R190">
        <v>70</v>
      </c>
      <c r="S190">
        <v>76.400000000000006</v>
      </c>
      <c r="T190" s="34">
        <v>37</v>
      </c>
      <c r="U190" s="42">
        <v>42.366037242608201</v>
      </c>
      <c r="V190">
        <v>1171.498</v>
      </c>
      <c r="W190">
        <f>LOG(Table2[[#This Row],[generalist]])</f>
        <v>3.0687415514991745</v>
      </c>
      <c r="X190" s="14">
        <v>4</v>
      </c>
      <c r="Y190">
        <v>3386.1060000000002</v>
      </c>
      <c r="Z190">
        <f>LOG(Table2[[#This Row],[country divers.]])</f>
        <v>3.5297005493117593</v>
      </c>
      <c r="AA190">
        <v>2375000000</v>
      </c>
      <c r="AB190">
        <f>LOG(Table2[[#This Row],[Firm Size]])</f>
        <v>9.3756636139608851</v>
      </c>
      <c r="AC190" s="80">
        <v>0.30646929209831097</v>
      </c>
    </row>
    <row r="191" spans="1:29" x14ac:dyDescent="0.35">
      <c r="A191" t="s">
        <v>7</v>
      </c>
      <c r="B191">
        <v>-1</v>
      </c>
      <c r="C191">
        <f>IF(Table2[[#This Row],[Return]]=-1,-1,LOG(1+Table2[[#This Row],[Return]]))</f>
        <v>-1</v>
      </c>
      <c r="D191">
        <v>5.9178082191780819</v>
      </c>
      <c r="E191">
        <v>489.17</v>
      </c>
      <c r="F191">
        <f>IF(Table2[[#This Row],[Geo Distance]]=0,0,LOG(Table2[[#This Row],[Geo Distance]]))</f>
        <v>2.6894598146071598</v>
      </c>
      <c r="G191">
        <v>36</v>
      </c>
      <c r="H191">
        <f>IF(Table2[[#This Row],[Target age]]=0,0,LOG(Table2[[#This Row],[Target age]]))</f>
        <v>1.5563025007672873</v>
      </c>
      <c r="I191" s="45">
        <v>2.59</v>
      </c>
      <c r="J191" s="9">
        <v>562.5</v>
      </c>
      <c r="K191" s="9">
        <f>IF(Table2[[#This Row],[Culture]]=0,0,LOG(Table2[[#This Row],[Culture]]))</f>
        <v>2.7501225267834002</v>
      </c>
      <c r="L191" s="24">
        <v>0</v>
      </c>
      <c r="M191" s="9">
        <f>LOG(1+Table2[[#This Row],[S&amp;P]])</f>
        <v>0</v>
      </c>
      <c r="N191">
        <v>27</v>
      </c>
      <c r="O191">
        <f>IF(Table2[[#This Row],[fund age]]=0,0,LOG(Table2[[#This Row],[fund age]]))</f>
        <v>1.4313637641589874</v>
      </c>
      <c r="P191">
        <f t="shared" si="2"/>
        <v>1</v>
      </c>
      <c r="Q191">
        <v>90</v>
      </c>
      <c r="R191">
        <v>70</v>
      </c>
      <c r="S191">
        <v>85</v>
      </c>
      <c r="T191" s="34">
        <v>36.5</v>
      </c>
      <c r="U191" s="42">
        <v>43.824698342891402</v>
      </c>
      <c r="V191">
        <v>1248.0746999999999</v>
      </c>
      <c r="W191">
        <f>LOG(Table2[[#This Row],[generalist]])</f>
        <v>3.0962405795987471</v>
      </c>
      <c r="X191" s="14">
        <v>2</v>
      </c>
      <c r="Y191">
        <v>2518.2170000000001</v>
      </c>
      <c r="Z191">
        <f>LOG(Table2[[#This Row],[country divers.]])</f>
        <v>3.4010931514437841</v>
      </c>
      <c r="AA191">
        <v>2075000000</v>
      </c>
      <c r="AB191">
        <f>LOG(Table2[[#This Row],[Firm Size]])</f>
        <v>9.3170181010481112</v>
      </c>
      <c r="AC191" s="80">
        <v>0.24578509376609148</v>
      </c>
    </row>
    <row r="192" spans="1:29" x14ac:dyDescent="0.35">
      <c r="A192" t="s">
        <v>7</v>
      </c>
      <c r="B192">
        <v>0.29166666666666674</v>
      </c>
      <c r="C192">
        <f>IF(Table2[[#This Row],[Return]]=-1,-1,LOG(1+Table2[[#This Row],[Return]]))</f>
        <v>0.11115045212266668</v>
      </c>
      <c r="D192">
        <v>6.5917808219178085</v>
      </c>
      <c r="E192">
        <v>489.17</v>
      </c>
      <c r="F192">
        <f>IF(Table2[[#This Row],[Geo Distance]]=0,0,LOG(Table2[[#This Row],[Geo Distance]]))</f>
        <v>2.6894598146071598</v>
      </c>
      <c r="G192">
        <v>34</v>
      </c>
      <c r="H192">
        <f>IF(Table2[[#This Row],[Target age]]=0,0,LOG(Table2[[#This Row],[Target age]]))</f>
        <v>1.5314789170422551</v>
      </c>
      <c r="I192" s="45">
        <v>2.59</v>
      </c>
      <c r="J192" s="9">
        <v>562.5</v>
      </c>
      <c r="K192" s="9">
        <f>IF(Table2[[#This Row],[Culture]]=0,0,LOG(Table2[[#This Row],[Culture]]))</f>
        <v>2.7501225267834002</v>
      </c>
      <c r="L192" s="24">
        <v>0.21</v>
      </c>
      <c r="M192" s="9">
        <f>LOG(1+Table2[[#This Row],[S&amp;P]])</f>
        <v>8.2785370316450071E-2</v>
      </c>
      <c r="N192">
        <v>73</v>
      </c>
      <c r="O192">
        <f>IF(Table2[[#This Row],[fund age]]=0,0,LOG(Table2[[#This Row],[fund age]]))</f>
        <v>1.8633228601204559</v>
      </c>
      <c r="P192">
        <f t="shared" si="2"/>
        <v>1</v>
      </c>
      <c r="Q192">
        <v>90</v>
      </c>
      <c r="R192">
        <v>70</v>
      </c>
      <c r="S192">
        <v>76.900000000000006</v>
      </c>
      <c r="T192" s="34">
        <v>36.1</v>
      </c>
      <c r="U192" s="42">
        <v>37.805693454220297</v>
      </c>
      <c r="V192">
        <v>2144.9704142011828</v>
      </c>
      <c r="W192">
        <f>LOG(Table2[[#This Row],[generalist]])</f>
        <v>3.3314213062933389</v>
      </c>
      <c r="X192" s="14">
        <v>3</v>
      </c>
      <c r="Y192">
        <v>7670.1183431952677</v>
      </c>
      <c r="Z192">
        <f>LOG(Table2[[#This Row],[country divers.]])</f>
        <v>3.884802064783424</v>
      </c>
      <c r="AA192">
        <v>2400000000</v>
      </c>
      <c r="AB192">
        <f>LOG(Table2[[#This Row],[Firm Size]])</f>
        <v>9.3802112417116064</v>
      </c>
      <c r="AC192" s="80">
        <v>5.1870036548883114E-2</v>
      </c>
    </row>
    <row r="193" spans="1:29" x14ac:dyDescent="0.35">
      <c r="A193" t="s">
        <v>7</v>
      </c>
      <c r="B193">
        <v>-8.333333333333337E-2</v>
      </c>
      <c r="C193">
        <f>IF(Table2[[#This Row],[Return]]=-1,-1,LOG(1+Table2[[#This Row],[Return]]))</f>
        <v>-3.7788560889399803E-2</v>
      </c>
      <c r="D193">
        <v>8.0520547945205472</v>
      </c>
      <c r="E193">
        <v>6385.66</v>
      </c>
      <c r="F193">
        <f>IF(Table2[[#This Row],[Geo Distance]]=0,0,LOG(Table2[[#This Row],[Geo Distance]]))</f>
        <v>3.8052057911131025</v>
      </c>
      <c r="G193">
        <v>9</v>
      </c>
      <c r="H193">
        <f>IF(Table2[[#This Row],[Target age]]=0,0,LOG(Table2[[#This Row],[Target age]]))</f>
        <v>0.95424250943932487</v>
      </c>
      <c r="I193" s="45">
        <v>2.99</v>
      </c>
      <c r="J193" s="9">
        <v>693.16666666666697</v>
      </c>
      <c r="K193" s="9">
        <f>IF(Table2[[#This Row],[Culture]]=0,0,LOG(Table2[[#This Row],[Culture]]))</f>
        <v>2.8408376699812901</v>
      </c>
      <c r="L193" s="24">
        <v>0.34</v>
      </c>
      <c r="M193" s="9">
        <f>LOG(1+Table2[[#This Row],[S&amp;P]])</f>
        <v>0.12710479836480765</v>
      </c>
      <c r="N193">
        <v>39</v>
      </c>
      <c r="O193">
        <f>IF(Table2[[#This Row],[fund age]]=0,0,LOG(Table2[[#This Row],[fund age]]))</f>
        <v>1.5910646070264991</v>
      </c>
      <c r="P193">
        <f t="shared" si="2"/>
        <v>1</v>
      </c>
      <c r="Q193">
        <v>90</v>
      </c>
      <c r="R193">
        <v>70</v>
      </c>
      <c r="S193">
        <v>85</v>
      </c>
      <c r="T193" s="34">
        <v>37.799999999999997</v>
      </c>
      <c r="U193" s="42">
        <v>43.5787105608064</v>
      </c>
      <c r="V193">
        <v>1421.558</v>
      </c>
      <c r="W193">
        <f>LOG(Table2[[#This Row],[generalist]])</f>
        <v>3.1527645837352773</v>
      </c>
      <c r="X193" s="14">
        <v>2</v>
      </c>
      <c r="Y193">
        <v>3476.3409999999999</v>
      </c>
      <c r="Z193">
        <f>LOG(Table2[[#This Row],[country divers.]])</f>
        <v>3.5411223705253856</v>
      </c>
      <c r="AA193">
        <v>600000000</v>
      </c>
      <c r="AB193">
        <f>LOG(Table2[[#This Row],[Firm Size]])</f>
        <v>8.7781512503836439</v>
      </c>
      <c r="AC193" s="80">
        <v>0.32290435215985558</v>
      </c>
    </row>
    <row r="194" spans="1:29" x14ac:dyDescent="0.35">
      <c r="A194" t="s">
        <v>7</v>
      </c>
      <c r="B194">
        <v>1.6492299170309357</v>
      </c>
      <c r="C194">
        <f>IF(Table2[[#This Row],[Return]]=-1,-1,LOG(1+Table2[[#This Row],[Return]]))</f>
        <v>0.42311965077168279</v>
      </c>
      <c r="D194">
        <v>8.9452054794520546</v>
      </c>
      <c r="E194">
        <v>489.17</v>
      </c>
      <c r="F194">
        <f>IF(Table2[[#This Row],[Geo Distance]]=0,0,LOG(Table2[[#This Row],[Geo Distance]]))</f>
        <v>2.6894598146071598</v>
      </c>
      <c r="G194">
        <v>85</v>
      </c>
      <c r="H194">
        <f>IF(Table2[[#This Row],[Target age]]=0,0,LOG(Table2[[#This Row],[Target age]]))</f>
        <v>1.9294189257142926</v>
      </c>
      <c r="I194" s="45">
        <v>2.59</v>
      </c>
      <c r="J194" s="9">
        <v>562.5</v>
      </c>
      <c r="K194" s="9">
        <f>IF(Table2[[#This Row],[Culture]]=0,0,LOG(Table2[[#This Row],[Culture]]))</f>
        <v>2.7501225267834002</v>
      </c>
      <c r="L194" s="24">
        <v>0.63</v>
      </c>
      <c r="M194" s="9">
        <f>LOG(1+Table2[[#This Row],[S&amp;P]])</f>
        <v>0.21218760440395779</v>
      </c>
      <c r="N194">
        <v>24</v>
      </c>
      <c r="O194">
        <f>IF(Table2[[#This Row],[fund age]]=0,0,LOG(Table2[[#This Row],[fund age]]))</f>
        <v>1.3802112417116059</v>
      </c>
      <c r="P194">
        <f t="shared" ref="P194:P257" si="3">IF(E194=0,0,1)</f>
        <v>1</v>
      </c>
      <c r="Q194">
        <v>90</v>
      </c>
      <c r="R194">
        <v>70</v>
      </c>
      <c r="S194">
        <v>85</v>
      </c>
      <c r="T194" s="34">
        <v>37.799999999999997</v>
      </c>
      <c r="U194" s="42">
        <v>43.5787105608064</v>
      </c>
      <c r="V194">
        <v>1669.0315179326171</v>
      </c>
      <c r="W194">
        <f>LOG(Table2[[#This Row],[generalist]])</f>
        <v>3.22246453795844</v>
      </c>
      <c r="X194" s="14">
        <v>3</v>
      </c>
      <c r="Y194">
        <v>5094.7953145755328</v>
      </c>
      <c r="Z194">
        <f>LOG(Table2[[#This Row],[country divers.]])</f>
        <v>3.7071267407396937</v>
      </c>
      <c r="AA194">
        <v>830430000</v>
      </c>
      <c r="AB194">
        <f>LOG(Table2[[#This Row],[Firm Size]])</f>
        <v>8.9193030300505232</v>
      </c>
      <c r="AC194" s="80">
        <v>0.32674764779428611</v>
      </c>
    </row>
    <row r="195" spans="1:29" x14ac:dyDescent="0.35">
      <c r="A195" t="s">
        <v>7</v>
      </c>
      <c r="B195">
        <v>2.286</v>
      </c>
      <c r="C195">
        <f>IF(Table2[[#This Row],[Return]]=-1,-1,LOG(1+Table2[[#This Row],[Return]]))</f>
        <v>0.51666755909904294</v>
      </c>
      <c r="D195">
        <v>3.0191780821917806</v>
      </c>
      <c r="E195">
        <v>489.17</v>
      </c>
      <c r="F195">
        <f>IF(Table2[[#This Row],[Geo Distance]]=0,0,LOG(Table2[[#This Row],[Geo Distance]]))</f>
        <v>2.6894598146071598</v>
      </c>
      <c r="G195">
        <v>41</v>
      </c>
      <c r="H195">
        <f>IF(Table2[[#This Row],[Target age]]=0,0,LOG(Table2[[#This Row],[Target age]]))</f>
        <v>1.6127838567197355</v>
      </c>
      <c r="I195" s="45">
        <v>2.59</v>
      </c>
      <c r="J195" s="9">
        <v>562.5</v>
      </c>
      <c r="K195" s="9">
        <f>IF(Table2[[#This Row],[Culture]]=0,0,LOG(Table2[[#This Row],[Culture]]))</f>
        <v>2.7501225267834002</v>
      </c>
      <c r="L195" s="24">
        <v>0.18</v>
      </c>
      <c r="M195" s="9">
        <f>LOG(1+Table2[[#This Row],[S&amp;P]])</f>
        <v>7.1882007306125359E-2</v>
      </c>
      <c r="N195">
        <v>20</v>
      </c>
      <c r="O195">
        <f>IF(Table2[[#This Row],[fund age]]=0,0,LOG(Table2[[#This Row],[fund age]]))</f>
        <v>1.3010299956639813</v>
      </c>
      <c r="P195">
        <f t="shared" si="3"/>
        <v>1</v>
      </c>
      <c r="Q195">
        <v>90</v>
      </c>
      <c r="R195">
        <v>70</v>
      </c>
      <c r="S195">
        <v>85</v>
      </c>
      <c r="T195" s="34">
        <v>37.799999999999997</v>
      </c>
      <c r="U195" s="42">
        <v>43.5787105608064</v>
      </c>
      <c r="V195">
        <v>1861.7599999999995</v>
      </c>
      <c r="W195">
        <f>LOG(Table2[[#This Row],[generalist]])</f>
        <v>3.2699236952309461</v>
      </c>
      <c r="X195" s="14">
        <v>2</v>
      </c>
      <c r="Y195">
        <v>4993.920000000001</v>
      </c>
      <c r="Z195">
        <f>LOG(Table2[[#This Row],[country divers.]])</f>
        <v>3.6984415808994222</v>
      </c>
      <c r="AA195">
        <v>5000000000</v>
      </c>
      <c r="AB195">
        <f>LOG(Table2[[#This Row],[Firm Size]])</f>
        <v>9.6989700043360187</v>
      </c>
      <c r="AC195" s="80">
        <v>0.27301206964940539</v>
      </c>
    </row>
    <row r="196" spans="1:29" x14ac:dyDescent="0.35">
      <c r="A196" t="s">
        <v>7</v>
      </c>
      <c r="B196">
        <v>0.16909090909090918</v>
      </c>
      <c r="C196">
        <f>IF(Table2[[#This Row],[Return]]=-1,-1,LOG(1+Table2[[#This Row],[Return]]))</f>
        <v>6.7848283429978257E-2</v>
      </c>
      <c r="D196">
        <v>4.0602739726027401</v>
      </c>
      <c r="E196">
        <v>6385.66</v>
      </c>
      <c r="F196">
        <f>IF(Table2[[#This Row],[Geo Distance]]=0,0,LOG(Table2[[#This Row],[Geo Distance]]))</f>
        <v>3.8052057911131025</v>
      </c>
      <c r="G196">
        <v>1</v>
      </c>
      <c r="H196">
        <f>IF(Table2[[#This Row],[Target age]]=0,0,LOG(Table2[[#This Row],[Target age]]))</f>
        <v>0</v>
      </c>
      <c r="I196" s="45">
        <v>2.99</v>
      </c>
      <c r="J196" s="9">
        <v>693.16666666666697</v>
      </c>
      <c r="K196" s="9">
        <f>IF(Table2[[#This Row],[Culture]]=0,0,LOG(Table2[[#This Row],[Culture]]))</f>
        <v>2.8408376699812901</v>
      </c>
      <c r="L196" s="24">
        <v>0.18</v>
      </c>
      <c r="M196" s="9">
        <f>LOG(1+Table2[[#This Row],[S&amp;P]])</f>
        <v>7.1882007306125359E-2</v>
      </c>
      <c r="N196">
        <v>152</v>
      </c>
      <c r="O196">
        <f>IF(Table2[[#This Row],[fund age]]=0,0,LOG(Table2[[#This Row],[fund age]]))</f>
        <v>2.1818435879447726</v>
      </c>
      <c r="P196">
        <f t="shared" si="3"/>
        <v>1</v>
      </c>
      <c r="Q196">
        <v>90</v>
      </c>
      <c r="R196">
        <v>70</v>
      </c>
      <c r="S196">
        <v>85</v>
      </c>
      <c r="T196" s="34">
        <v>37.4</v>
      </c>
      <c r="U196" s="42">
        <v>41.359233027230303</v>
      </c>
      <c r="V196">
        <v>1989.0260631001368</v>
      </c>
      <c r="W196">
        <f>LOG(Table2[[#This Row],[generalist]])</f>
        <v>3.2986404739170001</v>
      </c>
      <c r="X196" s="14">
        <v>2</v>
      </c>
      <c r="Y196">
        <v>5994.5130315500692</v>
      </c>
      <c r="Z196">
        <f>LOG(Table2[[#This Row],[country divers.]])</f>
        <v>3.7777539086524472</v>
      </c>
      <c r="AA196">
        <v>550000000</v>
      </c>
      <c r="AB196">
        <f>LOG(Table2[[#This Row],[Firm Size]])</f>
        <v>8.7403626894942441</v>
      </c>
      <c r="AC196" s="80">
        <v>0.21652900969141631</v>
      </c>
    </row>
    <row r="197" spans="1:29" x14ac:dyDescent="0.35">
      <c r="A197" t="s">
        <v>5</v>
      </c>
      <c r="B197">
        <v>3.2857142857142856</v>
      </c>
      <c r="C197">
        <f>IF(Table2[[#This Row],[Return]]=-1,-1,LOG(1+Table2[[#This Row],[Return]]))</f>
        <v>0.63202321470540557</v>
      </c>
      <c r="D197">
        <v>3.5616438356164384</v>
      </c>
      <c r="E197">
        <v>6188.89</v>
      </c>
      <c r="F197">
        <f>IF(Table2[[#This Row],[Geo Distance]]=0,0,LOG(Table2[[#This Row],[Geo Distance]]))</f>
        <v>3.791612763704681</v>
      </c>
      <c r="G197">
        <v>32</v>
      </c>
      <c r="H197">
        <f>IF(Table2[[#This Row],[Target age]]=0,0,LOG(Table2[[#This Row],[Target age]]))</f>
        <v>1.505149978319906</v>
      </c>
      <c r="I197" s="45">
        <v>2.72</v>
      </c>
      <c r="J197" s="9">
        <v>1084.3333333333301</v>
      </c>
      <c r="K197" s="9">
        <f>IF(Table2[[#This Row],[Culture]]=0,0,LOG(Table2[[#This Row],[Culture]]))</f>
        <v>3.0351628085621898</v>
      </c>
      <c r="L197" s="24">
        <v>0.39</v>
      </c>
      <c r="M197" s="9">
        <f>LOG(1+Table2[[#This Row],[S&amp;P]])</f>
        <v>0.14301480025409513</v>
      </c>
      <c r="N197">
        <v>15</v>
      </c>
      <c r="O197">
        <f>IF(Table2[[#This Row],[fund age]]=0,0,LOG(Table2[[#This Row],[fund age]]))</f>
        <v>1.1760912590556813</v>
      </c>
      <c r="P197">
        <f t="shared" si="3"/>
        <v>1</v>
      </c>
      <c r="Q197">
        <v>95</v>
      </c>
      <c r="R197">
        <v>80</v>
      </c>
      <c r="S197">
        <v>70</v>
      </c>
      <c r="T197" s="34">
        <v>35</v>
      </c>
      <c r="U197" s="42">
        <v>43.580897040130701</v>
      </c>
      <c r="V197">
        <v>1246.953</v>
      </c>
      <c r="W197">
        <f>LOG(Table2[[#This Row],[generalist]])</f>
        <v>3.0958500844125241</v>
      </c>
      <c r="X197" s="14">
        <v>3</v>
      </c>
      <c r="Y197">
        <v>3219.7179999999998</v>
      </c>
      <c r="Z197">
        <f>LOG(Table2[[#This Row],[country divers.]])</f>
        <v>3.5078178355445662</v>
      </c>
      <c r="AA197">
        <v>665000000</v>
      </c>
      <c r="AB197">
        <f>LOG(Table2[[#This Row],[Firm Size]])</f>
        <v>8.8228216453031045</v>
      </c>
      <c r="AC197" s="80">
        <v>0.48912607457131396</v>
      </c>
    </row>
    <row r="198" spans="1:29" x14ac:dyDescent="0.35">
      <c r="A198" t="s">
        <v>5</v>
      </c>
      <c r="B198">
        <v>-0.55000000000000004</v>
      </c>
      <c r="C198">
        <f>IF(Table2[[#This Row],[Return]]=-1,-1,LOG(1+Table2[[#This Row],[Return]]))</f>
        <v>-0.34678748622465638</v>
      </c>
      <c r="D198">
        <v>4.7452054794520544</v>
      </c>
      <c r="E198">
        <v>357.29</v>
      </c>
      <c r="F198">
        <f>IF(Table2[[#This Row],[Geo Distance]]=0,0,LOG(Table2[[#This Row],[Geo Distance]]))</f>
        <v>2.5530208611350047</v>
      </c>
      <c r="G198">
        <v>46</v>
      </c>
      <c r="H198">
        <f>IF(Table2[[#This Row],[Target age]]=0,0,LOG(Table2[[#This Row],[Target age]]))</f>
        <v>1.6627578316815741</v>
      </c>
      <c r="I198" s="45">
        <v>3.16</v>
      </c>
      <c r="J198" s="9">
        <v>971</v>
      </c>
      <c r="K198" s="9">
        <f>IF(Table2[[#This Row],[Culture]]=0,0,LOG(Table2[[#This Row],[Culture]]))</f>
        <v>2.9872192299080047</v>
      </c>
      <c r="L198" s="15">
        <v>0.74</v>
      </c>
      <c r="M198" s="9">
        <f>LOG(1+Table2[[#This Row],[S&amp;P]])</f>
        <v>0.24054924828259971</v>
      </c>
      <c r="N198">
        <v>30</v>
      </c>
      <c r="O198">
        <f>IF(Table2[[#This Row],[fund age]]=0,0,LOG(Table2[[#This Row],[fund age]]))</f>
        <v>1.4771212547196624</v>
      </c>
      <c r="P198">
        <f t="shared" si="3"/>
        <v>1</v>
      </c>
      <c r="Q198">
        <v>70</v>
      </c>
      <c r="R198">
        <v>90</v>
      </c>
      <c r="S198">
        <v>81.900000000000006</v>
      </c>
      <c r="T198" s="34">
        <v>35.4</v>
      </c>
      <c r="U198" s="42">
        <v>46.7926176158091</v>
      </c>
      <c r="V198">
        <v>1669.0315000000001</v>
      </c>
      <c r="W198">
        <f>LOG(Table2[[#This Row],[generalist]])</f>
        <v>3.2224645332922388</v>
      </c>
      <c r="X198" s="14">
        <v>3</v>
      </c>
      <c r="Y198">
        <v>5094.7950000000001</v>
      </c>
      <c r="Z198">
        <f>LOG(Table2[[#This Row],[country divers.]])</f>
        <v>3.707126713924402</v>
      </c>
      <c r="AA198">
        <v>400000000</v>
      </c>
      <c r="AB198">
        <f>LOG(Table2[[#This Row],[Firm Size]])</f>
        <v>8.6020599913279625</v>
      </c>
      <c r="AC198" s="80">
        <v>0.26212412946901487</v>
      </c>
    </row>
    <row r="199" spans="1:29" x14ac:dyDescent="0.35">
      <c r="A199" t="s">
        <v>5</v>
      </c>
      <c r="B199">
        <v>1.369922989718932</v>
      </c>
      <c r="C199">
        <f>IF(Table2[[#This Row],[Return]]=-1,-1,LOG(1+Table2[[#This Row],[Return]]))</f>
        <v>0.37473423390735744</v>
      </c>
      <c r="D199">
        <v>13.484931506849316</v>
      </c>
      <c r="E199">
        <v>0</v>
      </c>
      <c r="F199">
        <f>IF(Table2[[#This Row],[Geo Distance]]=0,0,LOG(Table2[[#This Row],[Geo Distance]]))</f>
        <v>0</v>
      </c>
      <c r="G199">
        <v>41</v>
      </c>
      <c r="H199">
        <f>IF(Table2[[#This Row],[Target age]]=0,0,LOG(Table2[[#This Row],[Target age]]))</f>
        <v>1.6127838567197355</v>
      </c>
      <c r="I199" s="45">
        <v>3.28</v>
      </c>
      <c r="J199" s="9">
        <v>0</v>
      </c>
      <c r="K199" s="9">
        <f>IF(Table2[[#This Row],[Culture]]=0,0,LOG(Table2[[#This Row],[Culture]]))</f>
        <v>0</v>
      </c>
      <c r="L199" s="24">
        <v>1.01</v>
      </c>
      <c r="M199" s="9">
        <f>LOG(1+Table2[[#This Row],[S&amp;P]])</f>
        <v>0.30319605742048883</v>
      </c>
      <c r="N199">
        <v>19</v>
      </c>
      <c r="O199">
        <f>IF(Table2[[#This Row],[fund age]]=0,0,LOG(Table2[[#This Row],[fund age]]))</f>
        <v>1.2787536009528289</v>
      </c>
      <c r="P199">
        <f t="shared" si="3"/>
        <v>0</v>
      </c>
      <c r="Q199">
        <v>95</v>
      </c>
      <c r="R199">
        <v>80</v>
      </c>
      <c r="S199">
        <v>70</v>
      </c>
      <c r="T199" s="34">
        <v>35.6</v>
      </c>
      <c r="U199" s="42">
        <v>42.882578893959298</v>
      </c>
      <c r="V199">
        <v>2366.2306777645658</v>
      </c>
      <c r="W199">
        <f>LOG(Table2[[#This Row],[generalist]])</f>
        <v>3.3740570806117947</v>
      </c>
      <c r="X199" s="14">
        <v>2</v>
      </c>
      <c r="Y199" s="14">
        <v>9334.126040428062</v>
      </c>
      <c r="Z199" s="14">
        <f>LOG(Table2[[#This Row],[country divers.]])</f>
        <v>3.9700736609473402</v>
      </c>
      <c r="AA199">
        <v>40929600</v>
      </c>
      <c r="AB199">
        <f>LOG(Table2[[#This Row],[Firm Size]])</f>
        <v>7.6120375003588876</v>
      </c>
      <c r="AC199" s="80">
        <v>0.64551898109295691</v>
      </c>
    </row>
    <row r="200" spans="1:29" x14ac:dyDescent="0.35">
      <c r="A200" t="s">
        <v>5</v>
      </c>
      <c r="B200">
        <v>-3.8216560509554132E-2</v>
      </c>
      <c r="C200">
        <f>IF(Table2[[#This Row],[Return]]=-1,-1,LOG(1+Table2[[#This Row],[Return]]))</f>
        <v>-1.6922705116064297E-2</v>
      </c>
      <c r="D200">
        <v>1.010958904109589</v>
      </c>
      <c r="E200">
        <v>0</v>
      </c>
      <c r="F200">
        <f>IF(Table2[[#This Row],[Geo Distance]]=0,0,LOG(Table2[[#This Row],[Geo Distance]]))</f>
        <v>0</v>
      </c>
      <c r="G200">
        <v>82</v>
      </c>
      <c r="H200">
        <f>IF(Table2[[#This Row],[Target age]]=0,0,LOG(Table2[[#This Row],[Target age]]))</f>
        <v>1.9138138523837167</v>
      </c>
      <c r="I200" s="45">
        <v>3.28</v>
      </c>
      <c r="J200" s="9">
        <v>0</v>
      </c>
      <c r="K200" s="9">
        <f>IF(Table2[[#This Row],[Culture]]=0,0,LOG(Table2[[#This Row],[Culture]]))</f>
        <v>0</v>
      </c>
      <c r="L200" s="24">
        <v>-0.15</v>
      </c>
      <c r="M200" s="9">
        <f>LOG(1+Table2[[#This Row],[S&amp;P]])</f>
        <v>-7.0581074285707285E-2</v>
      </c>
      <c r="N200">
        <v>18</v>
      </c>
      <c r="O200">
        <f>IF(Table2[[#This Row],[fund age]]=0,0,LOG(Table2[[#This Row],[fund age]]))</f>
        <v>1.255272505103306</v>
      </c>
      <c r="P200">
        <f t="shared" si="3"/>
        <v>0</v>
      </c>
      <c r="Q200">
        <v>95</v>
      </c>
      <c r="R200">
        <v>80</v>
      </c>
      <c r="S200">
        <v>70</v>
      </c>
      <c r="T200" s="34">
        <v>36.9</v>
      </c>
      <c r="U200" s="42">
        <v>42.177001683602199</v>
      </c>
      <c r="V200">
        <v>2366.2306777645658</v>
      </c>
      <c r="W200">
        <f>LOG(Table2[[#This Row],[generalist]])</f>
        <v>3.3740570806117947</v>
      </c>
      <c r="X200" s="14">
        <v>2</v>
      </c>
      <c r="Y200" s="14">
        <v>9334.126040428062</v>
      </c>
      <c r="Z200" s="14">
        <f>LOG(Table2[[#This Row],[country divers.]])</f>
        <v>3.9700736609473402</v>
      </c>
      <c r="AA200">
        <v>157000000</v>
      </c>
      <c r="AB200">
        <f>LOG(Table2[[#This Row],[Firm Size]])</f>
        <v>8.1958996524092331</v>
      </c>
      <c r="AC200" s="80">
        <v>-8.7935747243091167E-2</v>
      </c>
    </row>
    <row r="201" spans="1:29" x14ac:dyDescent="0.35">
      <c r="A201" t="s">
        <v>5</v>
      </c>
      <c r="B201">
        <v>3.2763157894736841</v>
      </c>
      <c r="C201">
        <f>IF(Table2[[#This Row],[Return]]=-1,-1,LOG(1+Table2[[#This Row],[Return]]))</f>
        <v>0.63106976869808307</v>
      </c>
      <c r="D201">
        <v>2.2136986301369861</v>
      </c>
      <c r="E201">
        <v>0</v>
      </c>
      <c r="F201">
        <f>IF(Table2[[#This Row],[Geo Distance]]=0,0,LOG(Table2[[#This Row],[Geo Distance]]))</f>
        <v>0</v>
      </c>
      <c r="G201">
        <v>87</v>
      </c>
      <c r="H201">
        <f>IF(Table2[[#This Row],[Target age]]=0,0,LOG(Table2[[#This Row],[Target age]]))</f>
        <v>1.9395192526186185</v>
      </c>
      <c r="I201" s="45">
        <v>3.28</v>
      </c>
      <c r="J201" s="9">
        <v>0</v>
      </c>
      <c r="K201" s="9">
        <f>IF(Table2[[#This Row],[Culture]]=0,0,LOG(Table2[[#This Row],[Culture]]))</f>
        <v>0</v>
      </c>
      <c r="L201" s="24">
        <v>0.28000000000000003</v>
      </c>
      <c r="M201" s="9">
        <f>LOG(1+Table2[[#This Row],[S&amp;P]])</f>
        <v>0.10720996964786837</v>
      </c>
      <c r="N201">
        <v>23</v>
      </c>
      <c r="O201">
        <f>IF(Table2[[#This Row],[fund age]]=0,0,LOG(Table2[[#This Row],[fund age]]))</f>
        <v>1.3617278360175928</v>
      </c>
      <c r="P201">
        <f t="shared" si="3"/>
        <v>0</v>
      </c>
      <c r="Q201">
        <v>95</v>
      </c>
      <c r="R201">
        <v>80</v>
      </c>
      <c r="S201">
        <v>70</v>
      </c>
      <c r="T201" s="34">
        <v>35</v>
      </c>
      <c r="U201" s="42">
        <v>42.243452783984999</v>
      </c>
      <c r="V201">
        <v>2366.2306777645658</v>
      </c>
      <c r="W201">
        <f>LOG(Table2[[#This Row],[generalist]])</f>
        <v>3.3740570806117947</v>
      </c>
      <c r="X201" s="14">
        <v>2</v>
      </c>
      <c r="Y201" s="14">
        <v>9334.126040428062</v>
      </c>
      <c r="Z201" s="14">
        <f>LOG(Table2[[#This Row],[country divers.]])</f>
        <v>3.9700736609473402</v>
      </c>
      <c r="AA201">
        <v>152000000</v>
      </c>
      <c r="AB201">
        <f>LOG(Table2[[#This Row],[Firm Size]])</f>
        <v>8.1818435879447726</v>
      </c>
      <c r="AC201" s="80">
        <v>0.36628668866539305</v>
      </c>
    </row>
    <row r="202" spans="1:29" x14ac:dyDescent="0.35">
      <c r="A202" t="s">
        <v>5</v>
      </c>
      <c r="B202">
        <v>-0.8</v>
      </c>
      <c r="C202">
        <f>IF(Table2[[#This Row],[Return]]=-1,-1,LOG(1+Table2[[#This Row],[Return]]))</f>
        <v>-0.69897000433601886</v>
      </c>
      <c r="D202">
        <v>3.0657534246575344</v>
      </c>
      <c r="E202">
        <v>6188.89</v>
      </c>
      <c r="F202">
        <f>IF(Table2[[#This Row],[Geo Distance]]=0,0,LOG(Table2[[#This Row],[Geo Distance]]))</f>
        <v>3.791612763704681</v>
      </c>
      <c r="G202">
        <v>51</v>
      </c>
      <c r="H202">
        <f>IF(Table2[[#This Row],[Target age]]=0,0,LOG(Table2[[#This Row],[Target age]]))</f>
        <v>1.7075701760979363</v>
      </c>
      <c r="I202" s="45">
        <v>2.72</v>
      </c>
      <c r="J202" s="9">
        <v>1084.3333333333301</v>
      </c>
      <c r="K202" s="9">
        <f>IF(Table2[[#This Row],[Culture]]=0,0,LOG(Table2[[#This Row],[Culture]]))</f>
        <v>3.0351628085621898</v>
      </c>
      <c r="L202" s="24">
        <v>0.31</v>
      </c>
      <c r="M202" s="9">
        <f>LOG(1+Table2[[#This Row],[S&amp;P]])</f>
        <v>0.11727129565576427</v>
      </c>
      <c r="N202">
        <v>31</v>
      </c>
      <c r="O202">
        <f>IF(Table2[[#This Row],[fund age]]=0,0,LOG(Table2[[#This Row],[fund age]]))</f>
        <v>1.4913616938342726</v>
      </c>
      <c r="P202">
        <f t="shared" si="3"/>
        <v>1</v>
      </c>
      <c r="Q202">
        <v>70</v>
      </c>
      <c r="R202">
        <v>90</v>
      </c>
      <c r="S202">
        <v>84.3</v>
      </c>
      <c r="T202" s="34">
        <v>37</v>
      </c>
      <c r="U202" s="42">
        <v>44.611946528156203</v>
      </c>
      <c r="V202">
        <v>1248.0746999999999</v>
      </c>
      <c r="W202">
        <f>LOG(Table2[[#This Row],[generalist]])</f>
        <v>3.0962405795987471</v>
      </c>
      <c r="X202" s="14">
        <v>1</v>
      </c>
      <c r="Y202">
        <v>2518.2170000000001</v>
      </c>
      <c r="Z202">
        <f>LOG(Table2[[#This Row],[country divers.]])</f>
        <v>3.4010931514437841</v>
      </c>
      <c r="AA202">
        <v>500000000</v>
      </c>
      <c r="AB202">
        <f>LOG(Table2[[#This Row],[Firm Size]])</f>
        <v>8.6989700043360187</v>
      </c>
      <c r="AC202" s="80">
        <v>0.12916135568565301</v>
      </c>
    </row>
    <row r="203" spans="1:29" x14ac:dyDescent="0.35">
      <c r="A203" t="s">
        <v>5</v>
      </c>
      <c r="B203">
        <v>1.5618822967364365</v>
      </c>
      <c r="C203">
        <f>IF(Table2[[#This Row],[Return]]=-1,-1,LOG(1+Table2[[#This Row],[Return]]))</f>
        <v>0.40855917261704727</v>
      </c>
      <c r="D203">
        <v>0.56712328767123288</v>
      </c>
      <c r="E203">
        <v>357.29</v>
      </c>
      <c r="F203">
        <f>IF(Table2[[#This Row],[Geo Distance]]=0,0,LOG(Table2[[#This Row],[Geo Distance]]))</f>
        <v>2.5530208611350047</v>
      </c>
      <c r="G203">
        <v>9</v>
      </c>
      <c r="H203">
        <f>IF(Table2[[#This Row],[Target age]]=0,0,LOG(Table2[[#This Row],[Target age]]))</f>
        <v>0.95424250943932487</v>
      </c>
      <c r="I203" s="45">
        <v>3.16</v>
      </c>
      <c r="J203" s="9">
        <v>971</v>
      </c>
      <c r="K203" s="9">
        <f>IF(Table2[[#This Row],[Culture]]=0,0,LOG(Table2[[#This Row],[Culture]]))</f>
        <v>2.9872192299080047</v>
      </c>
      <c r="L203" s="24">
        <v>-0.08</v>
      </c>
      <c r="M203" s="9">
        <f>LOG(1+Table2[[#This Row],[S&amp;P]])</f>
        <v>-3.6212172654444715E-2</v>
      </c>
      <c r="N203">
        <v>30</v>
      </c>
      <c r="O203">
        <f>IF(Table2[[#This Row],[fund age]]=0,0,LOG(Table2[[#This Row],[fund age]]))</f>
        <v>1.4771212547196624</v>
      </c>
      <c r="P203">
        <f t="shared" si="3"/>
        <v>1</v>
      </c>
      <c r="Q203">
        <v>70</v>
      </c>
      <c r="R203">
        <v>90</v>
      </c>
      <c r="S203">
        <v>88.4</v>
      </c>
      <c r="T203" s="34">
        <v>35.700000000000003</v>
      </c>
      <c r="U203" s="42">
        <v>42.337645557762798</v>
      </c>
      <c r="V203">
        <v>1248.0746999999999</v>
      </c>
      <c r="W203">
        <f>LOG(Table2[[#This Row],[generalist]])</f>
        <v>3.0962405795987471</v>
      </c>
      <c r="X203" s="14">
        <v>2</v>
      </c>
      <c r="Y203">
        <v>2518.2170000000001</v>
      </c>
      <c r="Z203">
        <f>LOG(Table2[[#This Row],[country divers.]])</f>
        <v>3.4010931514437841</v>
      </c>
      <c r="AA203">
        <v>669790000</v>
      </c>
      <c r="AB203">
        <f>LOG(Table2[[#This Row],[Firm Size]])</f>
        <v>8.8259386592127473</v>
      </c>
      <c r="AC203" s="80">
        <v>-0.10312897757777206</v>
      </c>
    </row>
    <row r="204" spans="1:29" x14ac:dyDescent="0.35">
      <c r="A204" t="s">
        <v>5</v>
      </c>
      <c r="B204">
        <v>-0.36327659574468085</v>
      </c>
      <c r="C204">
        <f>IF(Table2[[#This Row],[Return]]=-1,-1,LOG(1+Table2[[#This Row],[Return]]))</f>
        <v>-0.19604918633510771</v>
      </c>
      <c r="D204">
        <v>6.5753424657534243</v>
      </c>
      <c r="E204">
        <v>357.29</v>
      </c>
      <c r="F204">
        <f>IF(Table2[[#This Row],[Geo Distance]]=0,0,LOG(Table2[[#This Row],[Geo Distance]]))</f>
        <v>2.5530208611350047</v>
      </c>
      <c r="G204">
        <v>0</v>
      </c>
      <c r="H204">
        <f>IF(Table2[[#This Row],[Target age]]=0,0,LOG(Table2[[#This Row],[Target age]]))</f>
        <v>0</v>
      </c>
      <c r="I204" s="45">
        <v>3.16</v>
      </c>
      <c r="J204" s="9">
        <v>971</v>
      </c>
      <c r="K204" s="9">
        <f>IF(Table2[[#This Row],[Culture]]=0,0,LOG(Table2[[#This Row],[Culture]]))</f>
        <v>2.9872192299080047</v>
      </c>
      <c r="L204" s="24">
        <v>0.18</v>
      </c>
      <c r="M204" s="9">
        <f>LOG(1+Table2[[#This Row],[S&amp;P]])</f>
        <v>7.1882007306125359E-2</v>
      </c>
      <c r="N204">
        <v>29</v>
      </c>
      <c r="O204">
        <f>IF(Table2[[#This Row],[fund age]]=0,0,LOG(Table2[[#This Row],[fund age]]))</f>
        <v>1.4623979978989561</v>
      </c>
      <c r="P204">
        <f t="shared" si="3"/>
        <v>1</v>
      </c>
      <c r="Q204">
        <v>90</v>
      </c>
      <c r="R204">
        <v>90</v>
      </c>
      <c r="S204">
        <v>87.5</v>
      </c>
      <c r="T204" s="34">
        <v>36</v>
      </c>
      <c r="U204" s="42">
        <v>42.967191632480599</v>
      </c>
      <c r="V204">
        <v>1248.0746999999999</v>
      </c>
      <c r="W204">
        <f>LOG(Table2[[#This Row],[generalist]])</f>
        <v>3.0962405795987471</v>
      </c>
      <c r="X204" s="14">
        <v>2</v>
      </c>
      <c r="Y204">
        <v>2518.2170000000001</v>
      </c>
      <c r="Z204">
        <f>LOG(Table2[[#This Row],[country divers.]])</f>
        <v>3.4010931514437841</v>
      </c>
      <c r="AA204">
        <v>4700000000</v>
      </c>
      <c r="AB204">
        <f>LOG(Table2[[#This Row],[Firm Size]])</f>
        <v>9.672097857935718</v>
      </c>
      <c r="AC204" s="80">
        <v>0.11388968267960609</v>
      </c>
    </row>
    <row r="205" spans="1:29" x14ac:dyDescent="0.35">
      <c r="A205" t="s">
        <v>5</v>
      </c>
      <c r="B205">
        <v>1.3333333333333335</v>
      </c>
      <c r="C205">
        <f>IF(Table2[[#This Row],[Return]]=-1,-1,LOG(1+Table2[[#This Row],[Return]]))</f>
        <v>0.36797678529459443</v>
      </c>
      <c r="D205">
        <v>3.0794520547945203</v>
      </c>
      <c r="E205">
        <v>357.29</v>
      </c>
      <c r="F205">
        <f>IF(Table2[[#This Row],[Geo Distance]]=0,0,LOG(Table2[[#This Row],[Geo Distance]]))</f>
        <v>2.5530208611350047</v>
      </c>
      <c r="G205">
        <v>13</v>
      </c>
      <c r="H205">
        <f>IF(Table2[[#This Row],[Target age]]=0,0,LOG(Table2[[#This Row],[Target age]]))</f>
        <v>1.1139433523068367</v>
      </c>
      <c r="I205" s="45">
        <v>3.16</v>
      </c>
      <c r="J205" s="9">
        <v>971</v>
      </c>
      <c r="K205" s="9">
        <f>IF(Table2[[#This Row],[Culture]]=0,0,LOG(Table2[[#This Row],[Culture]]))</f>
        <v>2.9872192299080047</v>
      </c>
      <c r="L205" s="24">
        <v>0.33</v>
      </c>
      <c r="M205" s="9">
        <f>LOG(1+Table2[[#This Row],[S&amp;P]])</f>
        <v>0.12385164096708581</v>
      </c>
      <c r="N205">
        <v>24</v>
      </c>
      <c r="O205">
        <f>IF(Table2[[#This Row],[fund age]]=0,0,LOG(Table2[[#This Row],[fund age]]))</f>
        <v>1.3802112417116059</v>
      </c>
      <c r="P205">
        <f t="shared" si="3"/>
        <v>1</v>
      </c>
      <c r="Q205">
        <v>95</v>
      </c>
      <c r="R205">
        <v>80</v>
      </c>
      <c r="S205">
        <v>70</v>
      </c>
      <c r="T205" s="34">
        <v>34.799999999999997</v>
      </c>
      <c r="U205" s="42">
        <v>43.471204603938098</v>
      </c>
      <c r="V205" s="40">
        <v>1709.090909090909</v>
      </c>
      <c r="W205" s="40">
        <f>LOG(Table2[[#This Row],[generalist]])</f>
        <v>3.2327651641054547</v>
      </c>
      <c r="X205" s="14">
        <v>3</v>
      </c>
      <c r="Y205">
        <v>8968.5950413223145</v>
      </c>
      <c r="Z205">
        <f>LOG(Table2[[#This Row],[country divers.]])</f>
        <v>3.9527244147731087</v>
      </c>
      <c r="AA205">
        <v>300000000</v>
      </c>
      <c r="AB205">
        <f>LOG(Table2[[#This Row],[Firm Size]])</f>
        <v>8.4771212547196626</v>
      </c>
      <c r="AC205" s="80">
        <v>0.46565514400466856</v>
      </c>
    </row>
    <row r="206" spans="1:29" x14ac:dyDescent="0.35">
      <c r="A206" t="s">
        <v>5</v>
      </c>
      <c r="B206">
        <v>0.91780821917808209</v>
      </c>
      <c r="C206">
        <f>IF(Table2[[#This Row],[Return]]=-1,-1,LOG(1+Table2[[#This Row],[Return]]))</f>
        <v>0.28280517555778212</v>
      </c>
      <c r="D206">
        <v>7.6410958904109592</v>
      </c>
      <c r="E206">
        <v>357.29</v>
      </c>
      <c r="F206">
        <f>IF(Table2[[#This Row],[Geo Distance]]=0,0,LOG(Table2[[#This Row],[Geo Distance]]))</f>
        <v>2.5530208611350047</v>
      </c>
      <c r="G206">
        <v>15</v>
      </c>
      <c r="H206">
        <f>IF(Table2[[#This Row],[Target age]]=0,0,LOG(Table2[[#This Row],[Target age]]))</f>
        <v>1.1760912590556813</v>
      </c>
      <c r="I206" s="45">
        <v>3.16</v>
      </c>
      <c r="J206" s="9">
        <v>971</v>
      </c>
      <c r="K206" s="9">
        <f>IF(Table2[[#This Row],[Culture]]=0,0,LOG(Table2[[#This Row],[Culture]]))</f>
        <v>2.9872192299080047</v>
      </c>
      <c r="L206" s="24">
        <v>0.34</v>
      </c>
      <c r="M206" s="9">
        <f>LOG(1+Table2[[#This Row],[S&amp;P]])</f>
        <v>0.12710479836480765</v>
      </c>
      <c r="N206">
        <v>23</v>
      </c>
      <c r="O206">
        <f>IF(Table2[[#This Row],[fund age]]=0,0,LOG(Table2[[#This Row],[fund age]]))</f>
        <v>1.3617278360175928</v>
      </c>
      <c r="P206">
        <f t="shared" si="3"/>
        <v>1</v>
      </c>
      <c r="Q206">
        <v>95</v>
      </c>
      <c r="R206">
        <v>80</v>
      </c>
      <c r="S206">
        <v>70</v>
      </c>
      <c r="T206" s="34">
        <v>34.799999999999997</v>
      </c>
      <c r="U206" s="42">
        <v>44.539498059710198</v>
      </c>
      <c r="V206" s="40">
        <v>1709.090909090909</v>
      </c>
      <c r="W206" s="40">
        <f>LOG(Table2[[#This Row],[generalist]])</f>
        <v>3.2327651641054547</v>
      </c>
      <c r="X206" s="14">
        <v>3</v>
      </c>
      <c r="Y206">
        <v>8968.5950413223145</v>
      </c>
      <c r="Z206">
        <f>LOG(Table2[[#This Row],[country divers.]])</f>
        <v>3.9527244147731087</v>
      </c>
      <c r="AA206">
        <v>182500000</v>
      </c>
      <c r="AB206">
        <f>LOG(Table2[[#This Row],[Firm Size]])</f>
        <v>8.2612628687924943</v>
      </c>
      <c r="AC206" s="80">
        <v>0.57894710668178484</v>
      </c>
    </row>
    <row r="207" spans="1:29" x14ac:dyDescent="0.35">
      <c r="A207" t="s">
        <v>5</v>
      </c>
      <c r="B207">
        <v>1.8328817272727274</v>
      </c>
      <c r="C207">
        <f>IF(Table2[[#This Row],[Return]]=-1,-1,LOG(1+Table2[[#This Row],[Return]]))</f>
        <v>0.45222844311731442</v>
      </c>
      <c r="D207">
        <v>0.88767123287671235</v>
      </c>
      <c r="E207">
        <v>6188.89</v>
      </c>
      <c r="F207">
        <f>IF(Table2[[#This Row],[Geo Distance]]=0,0,LOG(Table2[[#This Row],[Geo Distance]]))</f>
        <v>3.791612763704681</v>
      </c>
      <c r="G207">
        <v>9</v>
      </c>
      <c r="H207">
        <f>IF(Table2[[#This Row],[Target age]]=0,0,LOG(Table2[[#This Row],[Target age]]))</f>
        <v>0.95424250943932487</v>
      </c>
      <c r="I207" s="45">
        <v>2.72</v>
      </c>
      <c r="J207" s="9">
        <v>1084.3333333333301</v>
      </c>
      <c r="K207" s="9">
        <f>IF(Table2[[#This Row],[Culture]]=0,0,LOG(Table2[[#This Row],[Culture]]))</f>
        <v>3.0351628085621898</v>
      </c>
      <c r="L207" s="24">
        <v>0.05</v>
      </c>
      <c r="M207" s="9">
        <f>LOG(1+Table2[[#This Row],[S&amp;P]])</f>
        <v>2.1189299069938092E-2</v>
      </c>
      <c r="N207">
        <v>22</v>
      </c>
      <c r="O207">
        <f>IF(Table2[[#This Row],[fund age]]=0,0,LOG(Table2[[#This Row],[fund age]]))</f>
        <v>1.3424226808222062</v>
      </c>
      <c r="P207">
        <f t="shared" si="3"/>
        <v>1</v>
      </c>
      <c r="Q207">
        <v>95</v>
      </c>
      <c r="R207">
        <v>80</v>
      </c>
      <c r="S207">
        <v>70</v>
      </c>
      <c r="T207" s="34">
        <v>34.799999999999997</v>
      </c>
      <c r="U207" s="42">
        <v>43.471204603938098</v>
      </c>
      <c r="V207">
        <v>2391.8556165052146</v>
      </c>
      <c r="W207">
        <f>LOG(Table2[[#This Row],[generalist]])</f>
        <v>3.3787349600790799</v>
      </c>
      <c r="X207" s="14">
        <v>5</v>
      </c>
      <c r="Y207">
        <v>5485.5754437712858</v>
      </c>
      <c r="Z207">
        <f>LOG(Table2[[#This Row],[country divers.]])</f>
        <v>3.7392221923384441</v>
      </c>
      <c r="AA207">
        <v>22000000</v>
      </c>
      <c r="AB207">
        <f>LOG(Table2[[#This Row],[Firm Size]])</f>
        <v>7.3424226808222066</v>
      </c>
      <c r="AC207" s="80">
        <v>0.16978840830956954</v>
      </c>
    </row>
    <row r="208" spans="1:29" x14ac:dyDescent="0.35">
      <c r="A208" t="s">
        <v>5</v>
      </c>
      <c r="B208">
        <v>2.3333333333333335</v>
      </c>
      <c r="C208">
        <f>IF(Table2[[#This Row],[Return]]=-1,-1,LOG(1+Table2[[#This Row],[Return]]))</f>
        <v>0.52287874528033762</v>
      </c>
      <c r="D208">
        <v>2.2438356164383562</v>
      </c>
      <c r="E208">
        <v>357.29</v>
      </c>
      <c r="F208">
        <f>IF(Table2[[#This Row],[Geo Distance]]=0,0,LOG(Table2[[#This Row],[Geo Distance]]))</f>
        <v>2.5530208611350047</v>
      </c>
      <c r="G208">
        <v>13</v>
      </c>
      <c r="H208">
        <f>IF(Table2[[#This Row],[Target age]]=0,0,LOG(Table2[[#This Row],[Target age]]))</f>
        <v>1.1139433523068367</v>
      </c>
      <c r="I208" s="45">
        <v>3.16</v>
      </c>
      <c r="J208" s="9">
        <v>971</v>
      </c>
      <c r="K208" s="9">
        <f>IF(Table2[[#This Row],[Culture]]=0,0,LOG(Table2[[#This Row],[Culture]]))</f>
        <v>2.9872192299080047</v>
      </c>
      <c r="L208" s="24">
        <v>0.36</v>
      </c>
      <c r="M208" s="9">
        <f>LOG(1+Table2[[#This Row],[S&amp;P]])</f>
        <v>0.13353890837021748</v>
      </c>
      <c r="N208">
        <v>16</v>
      </c>
      <c r="O208">
        <f>IF(Table2[[#This Row],[fund age]]=0,0,LOG(Table2[[#This Row],[fund age]]))</f>
        <v>1.2041199826559248</v>
      </c>
      <c r="P208">
        <f t="shared" si="3"/>
        <v>1</v>
      </c>
      <c r="Q208">
        <v>70</v>
      </c>
      <c r="R208">
        <v>90</v>
      </c>
      <c r="S208">
        <v>80</v>
      </c>
      <c r="T208" s="34">
        <v>38.4</v>
      </c>
      <c r="U208" s="42">
        <v>43.580244996378802</v>
      </c>
      <c r="V208">
        <v>1932.09461208012</v>
      </c>
      <c r="W208">
        <f>LOG(Table2[[#This Row],[generalist]])</f>
        <v>3.2860283894181141</v>
      </c>
      <c r="X208" s="14">
        <v>1</v>
      </c>
      <c r="Y208">
        <v>8126.3909735520938</v>
      </c>
      <c r="Z208">
        <f>LOG(Table2[[#This Row],[country divers.]])</f>
        <v>3.9098977130890344</v>
      </c>
      <c r="AA208">
        <v>180000000</v>
      </c>
      <c r="AB208">
        <f>LOG(Table2[[#This Row],[Firm Size]])</f>
        <v>8.2552725051033065</v>
      </c>
      <c r="AC208" s="80">
        <v>0.23209009227407007</v>
      </c>
    </row>
    <row r="209" spans="1:29" x14ac:dyDescent="0.35">
      <c r="A209" t="s">
        <v>5</v>
      </c>
      <c r="B209">
        <v>16.944660194174759</v>
      </c>
      <c r="C209">
        <f>IF(Table2[[#This Row],[Return]]=-1,-1,LOG(1+Table2[[#This Row],[Return]]))</f>
        <v>1.2539352388078999</v>
      </c>
      <c r="D209">
        <v>2.4027397260273973</v>
      </c>
      <c r="E209">
        <v>357.29</v>
      </c>
      <c r="F209">
        <f>IF(Table2[[#This Row],[Geo Distance]]=0,0,LOG(Table2[[#This Row],[Geo Distance]]))</f>
        <v>2.5530208611350047</v>
      </c>
      <c r="G209">
        <v>3</v>
      </c>
      <c r="H209">
        <f>IF(Table2[[#This Row],[Target age]]=0,0,LOG(Table2[[#This Row],[Target age]]))</f>
        <v>0.47712125471966244</v>
      </c>
      <c r="I209" s="45">
        <v>3.16</v>
      </c>
      <c r="J209" s="9">
        <v>971</v>
      </c>
      <c r="K209" s="9">
        <f>IF(Table2[[#This Row],[Culture]]=0,0,LOG(Table2[[#This Row],[Culture]]))</f>
        <v>2.9872192299080047</v>
      </c>
      <c r="L209" s="24">
        <v>0.35</v>
      </c>
      <c r="M209" s="9">
        <f>LOG(1+Table2[[#This Row],[S&amp;P]])</f>
        <v>0.13033376849500614</v>
      </c>
      <c r="N209">
        <v>11</v>
      </c>
      <c r="O209">
        <f>IF(Table2[[#This Row],[fund age]]=0,0,LOG(Table2[[#This Row],[fund age]]))</f>
        <v>1.0413926851582251</v>
      </c>
      <c r="P209">
        <f t="shared" si="3"/>
        <v>1</v>
      </c>
      <c r="Q209">
        <v>70</v>
      </c>
      <c r="R209">
        <v>90</v>
      </c>
      <c r="S209">
        <v>81.900000000000006</v>
      </c>
      <c r="T209" s="34">
        <v>35.4</v>
      </c>
      <c r="U209" s="42">
        <v>46.7926176158091</v>
      </c>
      <c r="V209">
        <v>1932.09461208012</v>
      </c>
      <c r="W209">
        <f>LOG(Table2[[#This Row],[generalist]])</f>
        <v>3.2860283894181141</v>
      </c>
      <c r="X209" s="14">
        <v>1</v>
      </c>
      <c r="Y209">
        <v>8126.3909735520938</v>
      </c>
      <c r="Z209">
        <f>LOG(Table2[[#This Row],[country divers.]])</f>
        <v>3.9098977130890344</v>
      </c>
      <c r="AA209">
        <v>10300000</v>
      </c>
      <c r="AB209">
        <f>LOG(Table2[[#This Row],[Firm Size]])</f>
        <v>7.012837224705172</v>
      </c>
      <c r="AC209" s="80">
        <v>0.20136461079587509</v>
      </c>
    </row>
    <row r="210" spans="1:29" x14ac:dyDescent="0.35">
      <c r="A210" t="s">
        <v>5</v>
      </c>
      <c r="B210">
        <v>39</v>
      </c>
      <c r="C210">
        <f>IF(Table2[[#This Row],[Return]]=-1,-1,LOG(1+Table2[[#This Row],[Return]]))</f>
        <v>1.6020599913279623</v>
      </c>
      <c r="D210">
        <v>3.9917808219178084</v>
      </c>
      <c r="E210">
        <v>357.29</v>
      </c>
      <c r="F210">
        <f>IF(Table2[[#This Row],[Geo Distance]]=0,0,LOG(Table2[[#This Row],[Geo Distance]]))</f>
        <v>2.5530208611350047</v>
      </c>
      <c r="G210">
        <v>0</v>
      </c>
      <c r="H210">
        <f>IF(Table2[[#This Row],[Target age]]=0,0,LOG(Table2[[#This Row],[Target age]]))</f>
        <v>0</v>
      </c>
      <c r="I210" s="45">
        <v>3.16</v>
      </c>
      <c r="J210" s="9">
        <v>971</v>
      </c>
      <c r="K210" s="9">
        <f>IF(Table2[[#This Row],[Culture]]=0,0,LOG(Table2[[#This Row],[Culture]]))</f>
        <v>2.9872192299080047</v>
      </c>
      <c r="L210" s="24">
        <v>-0.17</v>
      </c>
      <c r="M210" s="9">
        <f>LOG(1+Table2[[#This Row],[S&amp;P]])</f>
        <v>-8.092190762392612E-2</v>
      </c>
      <c r="N210">
        <v>7</v>
      </c>
      <c r="O210">
        <f>IF(Table2[[#This Row],[fund age]]=0,0,LOG(Table2[[#This Row],[fund age]]))</f>
        <v>0.84509804001425681</v>
      </c>
      <c r="P210">
        <f t="shared" si="3"/>
        <v>1</v>
      </c>
      <c r="Q210">
        <v>70</v>
      </c>
      <c r="R210">
        <v>90</v>
      </c>
      <c r="S210">
        <v>88.4</v>
      </c>
      <c r="T210" s="34">
        <v>35.700000000000003</v>
      </c>
      <c r="U210" s="42">
        <v>42.337645557762798</v>
      </c>
      <c r="V210">
        <v>1932.09461208012</v>
      </c>
      <c r="W210">
        <f>LOG(Table2[[#This Row],[generalist]])</f>
        <v>3.2860283894181141</v>
      </c>
      <c r="X210" s="14">
        <v>1</v>
      </c>
      <c r="Y210">
        <v>8126.3909735520938</v>
      </c>
      <c r="Z210">
        <f>LOG(Table2[[#This Row],[country divers.]])</f>
        <v>3.9098977130890344</v>
      </c>
      <c r="AA210">
        <v>10000000</v>
      </c>
      <c r="AB210">
        <f>LOG(Table2[[#This Row],[Firm Size]])</f>
        <v>7</v>
      </c>
      <c r="AC210" s="80">
        <v>-0.14345604201957729</v>
      </c>
    </row>
    <row r="211" spans="1:29" x14ac:dyDescent="0.35">
      <c r="A211" t="s">
        <v>5</v>
      </c>
      <c r="B211">
        <v>6.4444444444444748E-3</v>
      </c>
      <c r="C211">
        <f>IF(Table2[[#This Row],[Return]]=-1,-1,LOG(1+Table2[[#This Row],[Return]]))</f>
        <v>2.7898069076135487E-3</v>
      </c>
      <c r="D211">
        <v>3.43013698630137</v>
      </c>
      <c r="E211">
        <v>357.29</v>
      </c>
      <c r="F211">
        <f>IF(Table2[[#This Row],[Geo Distance]]=0,0,LOG(Table2[[#This Row],[Geo Distance]]))</f>
        <v>2.5530208611350047</v>
      </c>
      <c r="G211">
        <v>18</v>
      </c>
      <c r="H211">
        <f>IF(Table2[[#This Row],[Target age]]=0,0,LOG(Table2[[#This Row],[Target age]]))</f>
        <v>1.255272505103306</v>
      </c>
      <c r="I211" s="45">
        <v>3.16</v>
      </c>
      <c r="J211" s="9">
        <v>971</v>
      </c>
      <c r="K211" s="9">
        <f>IF(Table2[[#This Row],[Culture]]=0,0,LOG(Table2[[#This Row],[Culture]]))</f>
        <v>2.9872192299080047</v>
      </c>
      <c r="L211" s="24">
        <v>0.47</v>
      </c>
      <c r="M211" s="9">
        <f>LOG(1+Table2[[#This Row],[S&amp;P]])</f>
        <v>0.16731733474817609</v>
      </c>
      <c r="N211">
        <v>2</v>
      </c>
      <c r="O211">
        <f>IF(Table2[[#This Row],[fund age]]=0,0,LOG(Table2[[#This Row],[fund age]]))</f>
        <v>0.3010299956639812</v>
      </c>
      <c r="P211">
        <f t="shared" si="3"/>
        <v>1</v>
      </c>
      <c r="Q211">
        <v>95</v>
      </c>
      <c r="R211">
        <v>80</v>
      </c>
      <c r="S211">
        <v>70</v>
      </c>
      <c r="T211" s="34">
        <v>35</v>
      </c>
      <c r="U211" s="42">
        <v>43.580897040130701</v>
      </c>
      <c r="V211">
        <v>1932.09461208012</v>
      </c>
      <c r="W211">
        <f>LOG(Table2[[#This Row],[generalist]])</f>
        <v>3.2860283894181141</v>
      </c>
      <c r="X211" s="14">
        <v>1</v>
      </c>
      <c r="Y211">
        <v>8126.3909735520938</v>
      </c>
      <c r="Z211">
        <f>LOG(Table2[[#This Row],[country divers.]])</f>
        <v>3.9098977130890344</v>
      </c>
      <c r="AA211">
        <v>90000000</v>
      </c>
      <c r="AB211">
        <f>LOG(Table2[[#This Row],[Firm Size]])</f>
        <v>7.9542425094393252</v>
      </c>
      <c r="AC211" s="80">
        <v>0.57784499335201467</v>
      </c>
    </row>
    <row r="212" spans="1:29" x14ac:dyDescent="0.35">
      <c r="A212" t="s">
        <v>5</v>
      </c>
      <c r="B212">
        <v>0.78094390026714167</v>
      </c>
      <c r="C212">
        <f>IF(Table2[[#This Row],[Return]]=-1,-1,LOG(1+Table2[[#This Row],[Return]]))</f>
        <v>0.25065023940252346</v>
      </c>
      <c r="D212">
        <v>7.4657534246575343</v>
      </c>
      <c r="E212">
        <v>912.56</v>
      </c>
      <c r="F212">
        <f>IF(Table2[[#This Row],[Geo Distance]]=0,0,LOG(Table2[[#This Row],[Geo Distance]]))</f>
        <v>2.9602614285392095</v>
      </c>
      <c r="G212">
        <v>174</v>
      </c>
      <c r="H212">
        <f>IF(Table2[[#This Row],[Target age]]=0,0,LOG(Table2[[#This Row],[Target age]]))</f>
        <v>2.2405492482825999</v>
      </c>
      <c r="I212" s="45">
        <v>3.26</v>
      </c>
      <c r="J212" s="9">
        <v>1242.8333333333301</v>
      </c>
      <c r="K212" s="9">
        <f>IF(Table2[[#This Row],[Culture]]=0,0,LOG(Table2[[#This Row],[Culture]]))</f>
        <v>3.0944128927070067</v>
      </c>
      <c r="L212" s="24">
        <v>0.02</v>
      </c>
      <c r="M212" s="9">
        <f>LOG(1+Table2[[#This Row],[S&amp;P]])</f>
        <v>8.6001717619175692E-3</v>
      </c>
      <c r="N212">
        <v>10</v>
      </c>
      <c r="O212">
        <f>IF(Table2[[#This Row],[fund age]]=0,0,LOG(Table2[[#This Row],[fund age]]))</f>
        <v>1</v>
      </c>
      <c r="P212">
        <f t="shared" si="3"/>
        <v>1</v>
      </c>
      <c r="Q212">
        <v>95</v>
      </c>
      <c r="R212">
        <v>80</v>
      </c>
      <c r="S212">
        <v>70</v>
      </c>
      <c r="T212" s="34">
        <v>37.200000000000003</v>
      </c>
      <c r="U212" s="42">
        <v>43.419976684252802</v>
      </c>
      <c r="V212">
        <v>1895.918367346939</v>
      </c>
      <c r="W212">
        <f>LOG(Table2[[#This Row],[generalist]])</f>
        <v>3.277819633965128</v>
      </c>
      <c r="X212" s="14">
        <v>2</v>
      </c>
      <c r="Y212">
        <v>8519.3877551020414</v>
      </c>
      <c r="Z212">
        <f>LOG(Table2[[#This Row],[country divers.]])</f>
        <v>3.9304083853612104</v>
      </c>
      <c r="AA212">
        <v>61765000</v>
      </c>
      <c r="AB212">
        <f>LOG(Table2[[#This Row],[Firm Size]])</f>
        <v>7.7907424457557015</v>
      </c>
      <c r="AC212" s="80">
        <v>8.9965870307167295E-2</v>
      </c>
    </row>
    <row r="213" spans="1:29" x14ac:dyDescent="0.35">
      <c r="A213" t="s">
        <v>5</v>
      </c>
      <c r="B213">
        <v>-0.17001927894136315</v>
      </c>
      <c r="C213">
        <f>IF(Table2[[#This Row],[Return]]=-1,-1,LOG(1+Table2[[#This Row],[Return]]))</f>
        <v>-8.0931995377048899E-2</v>
      </c>
      <c r="D213">
        <v>1.1123287671232878</v>
      </c>
      <c r="E213">
        <v>6188.89</v>
      </c>
      <c r="F213">
        <f>IF(Table2[[#This Row],[Geo Distance]]=0,0,LOG(Table2[[#This Row],[Geo Distance]]))</f>
        <v>3.791612763704681</v>
      </c>
      <c r="G213">
        <v>6</v>
      </c>
      <c r="H213">
        <f>IF(Table2[[#This Row],[Target age]]=0,0,LOG(Table2[[#This Row],[Target age]]))</f>
        <v>0.77815125038364363</v>
      </c>
      <c r="I213" s="45">
        <v>2.72</v>
      </c>
      <c r="J213" s="9">
        <v>1084.3333333333301</v>
      </c>
      <c r="K213" s="9">
        <f>IF(Table2[[#This Row],[Culture]]=0,0,LOG(Table2[[#This Row],[Culture]]))</f>
        <v>3.0351628085621898</v>
      </c>
      <c r="L213" s="24">
        <v>0.11</v>
      </c>
      <c r="M213" s="9">
        <f>LOG(1+Table2[[#This Row],[S&amp;P]])</f>
        <v>4.5322978786657475E-2</v>
      </c>
      <c r="N213">
        <v>19</v>
      </c>
      <c r="O213">
        <f>IF(Table2[[#This Row],[fund age]]=0,0,LOG(Table2[[#This Row],[fund age]]))</f>
        <v>1.2787536009528289</v>
      </c>
      <c r="P213">
        <f t="shared" si="3"/>
        <v>1</v>
      </c>
      <c r="Q213">
        <v>95</v>
      </c>
      <c r="R213">
        <v>80</v>
      </c>
      <c r="S213">
        <v>70</v>
      </c>
      <c r="T213" s="34">
        <v>34.799999999999997</v>
      </c>
      <c r="U213" s="42">
        <v>43.471204603938098</v>
      </c>
      <c r="V213">
        <v>2315.9650000000001</v>
      </c>
      <c r="W213">
        <f>LOG(Table2[[#This Row],[generalist]])</f>
        <v>3.3647319918335836</v>
      </c>
      <c r="X213" s="14">
        <v>4</v>
      </c>
      <c r="Y213">
        <v>3703.9029999999998</v>
      </c>
      <c r="Z213">
        <f>LOG(Table2[[#This Row],[country divers.]])</f>
        <v>3.568659604598353</v>
      </c>
      <c r="AA213">
        <v>659570000</v>
      </c>
      <c r="AB213">
        <f>LOG(Table2[[#This Row],[Firm Size]])</f>
        <v>8.8192608938937127</v>
      </c>
      <c r="AC213" s="80">
        <v>0.18943294110747599</v>
      </c>
    </row>
    <row r="214" spans="1:29" x14ac:dyDescent="0.35">
      <c r="A214" t="s">
        <v>5</v>
      </c>
      <c r="B214">
        <v>0.37624504658884006</v>
      </c>
      <c r="C214">
        <f>IF(Table2[[#This Row],[Return]]=-1,-1,LOG(1+Table2[[#This Row],[Return]]))</f>
        <v>0.1386957688604587</v>
      </c>
      <c r="D214">
        <v>8.5506849315068489</v>
      </c>
      <c r="E214">
        <v>6188.89</v>
      </c>
      <c r="F214">
        <f>IF(Table2[[#This Row],[Geo Distance]]=0,0,LOG(Table2[[#This Row],[Geo Distance]]))</f>
        <v>3.791612763704681</v>
      </c>
      <c r="G214">
        <v>78</v>
      </c>
      <c r="H214">
        <f>IF(Table2[[#This Row],[Target age]]=0,0,LOG(Table2[[#This Row],[Target age]]))</f>
        <v>1.8920946026904804</v>
      </c>
      <c r="I214" s="45">
        <v>2.72</v>
      </c>
      <c r="J214" s="9">
        <v>1084.3333333333301</v>
      </c>
      <c r="K214" s="9">
        <f>IF(Table2[[#This Row],[Culture]]=0,0,LOG(Table2[[#This Row],[Culture]]))</f>
        <v>3.0351628085621898</v>
      </c>
      <c r="L214" s="24">
        <v>0.91</v>
      </c>
      <c r="M214" s="9">
        <f>LOG(1+Table2[[#This Row],[S&amp;P]])</f>
        <v>0.28103336724772759</v>
      </c>
      <c r="N214">
        <v>16</v>
      </c>
      <c r="O214">
        <f>IF(Table2[[#This Row],[fund age]]=0,0,LOG(Table2[[#This Row],[fund age]]))</f>
        <v>1.2041199826559248</v>
      </c>
      <c r="P214">
        <f t="shared" si="3"/>
        <v>1</v>
      </c>
      <c r="Q214">
        <v>70</v>
      </c>
      <c r="R214">
        <v>90</v>
      </c>
      <c r="S214">
        <v>88</v>
      </c>
      <c r="T214" s="34">
        <v>35.9</v>
      </c>
      <c r="U214" s="42">
        <v>43.1081369225492</v>
      </c>
      <c r="V214">
        <v>1455.046</v>
      </c>
      <c r="W214">
        <f>LOG(Table2[[#This Row],[generalist]])</f>
        <v>3.1628767233771686</v>
      </c>
      <c r="X214" s="14">
        <v>2</v>
      </c>
      <c r="Y214">
        <v>4062.5129999999999</v>
      </c>
      <c r="Z214">
        <f>LOG(Table2[[#This Row],[country divers.]])</f>
        <v>3.6087947637270492</v>
      </c>
      <c r="AA214">
        <v>186740000</v>
      </c>
      <c r="AB214">
        <f>LOG(Table2[[#This Row],[Firm Size]])</f>
        <v>8.271237354470836</v>
      </c>
      <c r="AC214" s="80">
        <v>0.45159825847349921</v>
      </c>
    </row>
    <row r="215" spans="1:29" x14ac:dyDescent="0.35">
      <c r="A215" t="s">
        <v>5</v>
      </c>
      <c r="B215">
        <v>28.309160605223767</v>
      </c>
      <c r="C215">
        <f>IF(Table2[[#This Row],[Return]]=-1,-1,LOG(1+Table2[[#This Row],[Return]]))</f>
        <v>1.4670033807127596</v>
      </c>
      <c r="D215">
        <v>11.887671232876713</v>
      </c>
      <c r="E215">
        <v>6188.89</v>
      </c>
      <c r="F215">
        <f>IF(Table2[[#This Row],[Geo Distance]]=0,0,LOG(Table2[[#This Row],[Geo Distance]]))</f>
        <v>3.791612763704681</v>
      </c>
      <c r="G215">
        <v>15</v>
      </c>
      <c r="H215">
        <f>IF(Table2[[#This Row],[Target age]]=0,0,LOG(Table2[[#This Row],[Target age]]))</f>
        <v>1.1760912590556813</v>
      </c>
      <c r="I215" s="45">
        <v>2.72</v>
      </c>
      <c r="J215" s="9">
        <v>1084.3333333333301</v>
      </c>
      <c r="K215" s="9">
        <f>IF(Table2[[#This Row],[Culture]]=0,0,LOG(Table2[[#This Row],[Culture]]))</f>
        <v>3.0351628085621898</v>
      </c>
      <c r="L215" s="24">
        <v>-0.01</v>
      </c>
      <c r="M215" s="9">
        <f>LOG(1+Table2[[#This Row],[S&amp;P]])</f>
        <v>-4.3648054024500883E-3</v>
      </c>
      <c r="N215">
        <v>33</v>
      </c>
      <c r="O215">
        <f>IF(Table2[[#This Row],[fund age]]=0,0,LOG(Table2[[#This Row],[fund age]]))</f>
        <v>1.5185139398778875</v>
      </c>
      <c r="P215">
        <f t="shared" si="3"/>
        <v>1</v>
      </c>
      <c r="Q215">
        <v>95</v>
      </c>
      <c r="R215">
        <v>80</v>
      </c>
      <c r="S215">
        <v>70</v>
      </c>
      <c r="T215" s="34">
        <v>37.200000000000003</v>
      </c>
      <c r="U215" s="42">
        <v>43.419976684252802</v>
      </c>
      <c r="V215">
        <v>1421.558</v>
      </c>
      <c r="W215">
        <f>LOG(Table2[[#This Row],[generalist]])</f>
        <v>3.1527645837352773</v>
      </c>
      <c r="X215" s="14">
        <v>2</v>
      </c>
      <c r="Y215">
        <v>3476.3409999999999</v>
      </c>
      <c r="Z215">
        <f>LOG(Table2[[#This Row],[country divers.]])</f>
        <v>3.5411223705253856</v>
      </c>
      <c r="AA215">
        <v>33423010</v>
      </c>
      <c r="AB215">
        <f>LOG(Table2[[#This Row],[Firm Size]])</f>
        <v>7.5240455588884867</v>
      </c>
      <c r="AC215" s="80">
        <v>1.822876071706947E-2</v>
      </c>
    </row>
    <row r="216" spans="1:29" x14ac:dyDescent="0.35">
      <c r="A216" t="s">
        <v>5</v>
      </c>
      <c r="B216">
        <v>0.27937861271676301</v>
      </c>
      <c r="C216">
        <f>IF(Table2[[#This Row],[Return]]=-1,-1,LOG(1+Table2[[#This Row],[Return]]))</f>
        <v>0.10699908637159473</v>
      </c>
      <c r="D216">
        <v>3.4027397260273973</v>
      </c>
      <c r="E216">
        <v>357.29</v>
      </c>
      <c r="F216">
        <f>IF(Table2[[#This Row],[Geo Distance]]=0,0,LOG(Table2[[#This Row],[Geo Distance]]))</f>
        <v>2.5530208611350047</v>
      </c>
      <c r="G216">
        <v>27</v>
      </c>
      <c r="H216">
        <f>IF(Table2[[#This Row],[Target age]]=0,0,LOG(Table2[[#This Row],[Target age]]))</f>
        <v>1.4313637641589874</v>
      </c>
      <c r="I216" s="45">
        <v>3.16</v>
      </c>
      <c r="J216" s="9">
        <v>971</v>
      </c>
      <c r="K216" s="9">
        <f>IF(Table2[[#This Row],[Culture]]=0,0,LOG(Table2[[#This Row],[Culture]]))</f>
        <v>2.9872192299080047</v>
      </c>
      <c r="L216" s="24">
        <v>-0.09</v>
      </c>
      <c r="M216" s="9">
        <f>LOG(1+Table2[[#This Row],[S&amp;P]])</f>
        <v>-4.0958607678906384E-2</v>
      </c>
      <c r="N216">
        <v>27</v>
      </c>
      <c r="O216">
        <f>IF(Table2[[#This Row],[fund age]]=0,0,LOG(Table2[[#This Row],[fund age]]))</f>
        <v>1.4313637641589874</v>
      </c>
      <c r="P216">
        <f t="shared" si="3"/>
        <v>1</v>
      </c>
      <c r="Q216">
        <v>70</v>
      </c>
      <c r="R216">
        <v>90</v>
      </c>
      <c r="S216">
        <v>88</v>
      </c>
      <c r="T216" s="34">
        <v>35.9</v>
      </c>
      <c r="U216" s="42">
        <v>43.1081369225492</v>
      </c>
      <c r="V216">
        <v>1669.0315179326171</v>
      </c>
      <c r="W216">
        <f>LOG(Table2[[#This Row],[generalist]])</f>
        <v>3.22246453795844</v>
      </c>
      <c r="X216" s="14">
        <v>3</v>
      </c>
      <c r="Y216">
        <v>5094.7953145755328</v>
      </c>
      <c r="Z216">
        <f>LOG(Table2[[#This Row],[country divers.]])</f>
        <v>3.7071267407396937</v>
      </c>
      <c r="AA216">
        <v>692000000</v>
      </c>
      <c r="AB216">
        <f>LOG(Table2[[#This Row],[Firm Size]])</f>
        <v>8.8401060944567575</v>
      </c>
      <c r="AC216" s="80">
        <v>-7.3808234947478124E-2</v>
      </c>
    </row>
    <row r="217" spans="1:29" x14ac:dyDescent="0.35">
      <c r="A217" t="s">
        <v>5</v>
      </c>
      <c r="B217">
        <v>-0.76488579903767639</v>
      </c>
      <c r="C217">
        <f>IF(Table2[[#This Row],[Return]]=-1,-1,LOG(1+Table2[[#This Row],[Return]]))</f>
        <v>-0.62872113857682677</v>
      </c>
      <c r="D217">
        <v>2.3068493150684932</v>
      </c>
      <c r="E217">
        <v>357.29</v>
      </c>
      <c r="F217">
        <f>IF(Table2[[#This Row],[Geo Distance]]=0,0,LOG(Table2[[#This Row],[Geo Distance]]))</f>
        <v>2.5530208611350047</v>
      </c>
      <c r="G217">
        <v>423</v>
      </c>
      <c r="H217">
        <f>IF(Table2[[#This Row],[Target age]]=0,0,LOG(Table2[[#This Row],[Target age]]))</f>
        <v>2.6263403673750423</v>
      </c>
      <c r="I217" s="45">
        <v>3.16</v>
      </c>
      <c r="J217" s="9">
        <v>971</v>
      </c>
      <c r="K217" s="9">
        <f>IF(Table2[[#This Row],[Culture]]=0,0,LOG(Table2[[#This Row],[Culture]]))</f>
        <v>2.9872192299080047</v>
      </c>
      <c r="L217" s="24">
        <v>0.27</v>
      </c>
      <c r="M217" s="9">
        <f>LOG(1+Table2[[#This Row],[S&amp;P]])</f>
        <v>0.10380372095595687</v>
      </c>
      <c r="N217">
        <v>17</v>
      </c>
      <c r="O217">
        <f>IF(Table2[[#This Row],[fund age]]=0,0,LOG(Table2[[#This Row],[fund age]]))</f>
        <v>1.2304489213782739</v>
      </c>
      <c r="P217">
        <f t="shared" si="3"/>
        <v>1</v>
      </c>
      <c r="Q217">
        <v>95</v>
      </c>
      <c r="R217">
        <v>80</v>
      </c>
      <c r="S217">
        <v>70</v>
      </c>
      <c r="T217" s="34">
        <v>36.299999999999997</v>
      </c>
      <c r="U217" s="42">
        <v>44.332035658580502</v>
      </c>
      <c r="V217">
        <v>1669.0315179326171</v>
      </c>
      <c r="W217">
        <f>LOG(Table2[[#This Row],[generalist]])</f>
        <v>3.22246453795844</v>
      </c>
      <c r="X217" s="14">
        <v>3</v>
      </c>
      <c r="Y217">
        <v>5094.7953145755328</v>
      </c>
      <c r="Z217">
        <f>LOG(Table2[[#This Row],[country divers.]])</f>
        <v>3.7071267407396937</v>
      </c>
      <c r="AA217">
        <v>2167670000</v>
      </c>
      <c r="AB217">
        <f>LOG(Table2[[#This Row],[Firm Size]])</f>
        <v>9.3359931671248475</v>
      </c>
      <c r="AC217" s="80">
        <v>0.22067249008997547</v>
      </c>
    </row>
    <row r="218" spans="1:29" x14ac:dyDescent="0.35">
      <c r="A218" t="s">
        <v>5</v>
      </c>
      <c r="B218">
        <v>0.73780487804878048</v>
      </c>
      <c r="C218">
        <f>IF(Table2[[#This Row],[Return]]=-1,-1,LOG(1+Table2[[#This Row],[Return]]))</f>
        <v>0.2400010119608123</v>
      </c>
      <c r="D218">
        <v>7.2986301369863016</v>
      </c>
      <c r="E218">
        <v>357.29</v>
      </c>
      <c r="F218">
        <f>IF(Table2[[#This Row],[Geo Distance]]=0,0,LOG(Table2[[#This Row],[Geo Distance]]))</f>
        <v>2.5530208611350047</v>
      </c>
      <c r="G218">
        <v>0</v>
      </c>
      <c r="H218">
        <f>IF(Table2[[#This Row],[Target age]]=0,0,LOG(Table2[[#This Row],[Target age]]))</f>
        <v>0</v>
      </c>
      <c r="I218" s="45">
        <v>3.16</v>
      </c>
      <c r="J218" s="9">
        <v>971</v>
      </c>
      <c r="K218" s="9">
        <f>IF(Table2[[#This Row],[Culture]]=0,0,LOG(Table2[[#This Row],[Culture]]))</f>
        <v>2.9872192299080047</v>
      </c>
      <c r="L218" s="24">
        <v>0.32</v>
      </c>
      <c r="M218" s="9">
        <f>LOG(1+Table2[[#This Row],[S&amp;P]])</f>
        <v>0.12057393120584989</v>
      </c>
      <c r="N218">
        <v>16</v>
      </c>
      <c r="O218">
        <f>IF(Table2[[#This Row],[fund age]]=0,0,LOG(Table2[[#This Row],[fund age]]))</f>
        <v>1.2041199826559248</v>
      </c>
      <c r="P218">
        <f t="shared" si="3"/>
        <v>1</v>
      </c>
      <c r="Q218">
        <v>95</v>
      </c>
      <c r="R218">
        <v>80</v>
      </c>
      <c r="S218">
        <v>85</v>
      </c>
      <c r="T218" s="34">
        <v>36.799999999999997</v>
      </c>
      <c r="U218" s="42">
        <v>45.479154360161097</v>
      </c>
      <c r="V218">
        <v>1669.0315179326171</v>
      </c>
      <c r="W218">
        <f>LOG(Table2[[#This Row],[generalist]])</f>
        <v>3.22246453795844</v>
      </c>
      <c r="X218" s="14">
        <v>3</v>
      </c>
      <c r="Y218">
        <v>5094.7953145755328</v>
      </c>
      <c r="Z218">
        <f>LOG(Table2[[#This Row],[country divers.]])</f>
        <v>3.7071267407396937</v>
      </c>
      <c r="AA218">
        <v>164000000</v>
      </c>
      <c r="AB218">
        <f>LOG(Table2[[#This Row],[Firm Size]])</f>
        <v>8.214843848047698</v>
      </c>
      <c r="AC218" s="80">
        <v>-2.2751166828615665E-2</v>
      </c>
    </row>
    <row r="219" spans="1:29" x14ac:dyDescent="0.35">
      <c r="A219" t="s">
        <v>5</v>
      </c>
      <c r="B219">
        <v>0.32948218652170613</v>
      </c>
      <c r="C219">
        <f>IF(Table2[[#This Row],[Return]]=-1,-1,LOG(1+Table2[[#This Row],[Return]]))</f>
        <v>0.12368252267762356</v>
      </c>
      <c r="D219">
        <v>3.7342465753424658</v>
      </c>
      <c r="E219">
        <v>357.29</v>
      </c>
      <c r="F219">
        <f>IF(Table2[[#This Row],[Geo Distance]]=0,0,LOG(Table2[[#This Row],[Geo Distance]]))</f>
        <v>2.5530208611350047</v>
      </c>
      <c r="G219">
        <v>16</v>
      </c>
      <c r="H219">
        <f>IF(Table2[[#This Row],[Target age]]=0,0,LOG(Table2[[#This Row],[Target age]]))</f>
        <v>1.2041199826559248</v>
      </c>
      <c r="I219" s="45">
        <v>3.16</v>
      </c>
      <c r="J219" s="9">
        <v>971</v>
      </c>
      <c r="K219" s="9">
        <f>IF(Table2[[#This Row],[Culture]]=0,0,LOG(Table2[[#This Row],[Culture]]))</f>
        <v>2.9872192299080047</v>
      </c>
      <c r="L219" s="24">
        <v>-0.14000000000000001</v>
      </c>
      <c r="M219" s="9">
        <f>LOG(1+Table2[[#This Row],[S&amp;P]])</f>
        <v>-6.5501548756432285E-2</v>
      </c>
      <c r="N219">
        <v>21</v>
      </c>
      <c r="O219">
        <f>IF(Table2[[#This Row],[fund age]]=0,0,LOG(Table2[[#This Row],[fund age]]))</f>
        <v>1.3222192947339193</v>
      </c>
      <c r="P219">
        <f t="shared" si="3"/>
        <v>1</v>
      </c>
      <c r="Q219">
        <v>70</v>
      </c>
      <c r="R219">
        <v>90</v>
      </c>
      <c r="S219">
        <v>88.4</v>
      </c>
      <c r="T219" s="34">
        <v>35.700000000000003</v>
      </c>
      <c r="U219" s="42">
        <v>42.337645557762798</v>
      </c>
      <c r="V219">
        <v>1655.1111111111111</v>
      </c>
      <c r="W219">
        <f>LOG(Table2[[#This Row],[generalist]])</f>
        <v>3.2188271541979425</v>
      </c>
      <c r="X219" s="14">
        <v>2</v>
      </c>
      <c r="Y219">
        <v>5715.5555555555547</v>
      </c>
      <c r="Z219">
        <f>LOG(Table2[[#This Row],[country divers.]])</f>
        <v>3.7570584504768405</v>
      </c>
      <c r="AA219">
        <v>992530499</v>
      </c>
      <c r="AB219">
        <f>LOG(Table2[[#This Row],[Firm Size]])</f>
        <v>8.996743860869806</v>
      </c>
      <c r="AC219" s="80">
        <v>-0.10503188985777467</v>
      </c>
    </row>
    <row r="220" spans="1:29" x14ac:dyDescent="0.35">
      <c r="A220" t="s">
        <v>5</v>
      </c>
      <c r="B220">
        <v>1.3647058823529412</v>
      </c>
      <c r="C220">
        <f>IF(Table2[[#This Row],[Return]]=-1,-1,LOG(1+Table2[[#This Row],[Return]]))</f>
        <v>0.37377713170619614</v>
      </c>
      <c r="D220">
        <v>4.0520547945205481</v>
      </c>
      <c r="E220">
        <v>0</v>
      </c>
      <c r="F220">
        <f>IF(Table2[[#This Row],[Geo Distance]]=0,0,LOG(Table2[[#This Row],[Geo Distance]]))</f>
        <v>0</v>
      </c>
      <c r="G220">
        <v>85</v>
      </c>
      <c r="H220">
        <f>IF(Table2[[#This Row],[Target age]]=0,0,LOG(Table2[[#This Row],[Target age]]))</f>
        <v>1.9294189257142926</v>
      </c>
      <c r="I220" s="45">
        <v>3.28</v>
      </c>
      <c r="J220" s="9">
        <v>0</v>
      </c>
      <c r="K220" s="9">
        <f>IF(Table2[[#This Row],[Culture]]=0,0,LOG(Table2[[#This Row],[Culture]]))</f>
        <v>0</v>
      </c>
      <c r="L220" s="24">
        <v>0.46</v>
      </c>
      <c r="M220" s="9">
        <f>LOG(1+Table2[[#This Row],[S&amp;P]])</f>
        <v>0.16435285578443709</v>
      </c>
      <c r="N220">
        <v>15</v>
      </c>
      <c r="O220">
        <f>IF(Table2[[#This Row],[fund age]]=0,0,LOG(Table2[[#This Row],[fund age]]))</f>
        <v>1.1760912590556813</v>
      </c>
      <c r="P220">
        <f t="shared" si="3"/>
        <v>0</v>
      </c>
      <c r="Q220">
        <v>70</v>
      </c>
      <c r="R220">
        <v>90</v>
      </c>
      <c r="S220">
        <v>89.7</v>
      </c>
      <c r="T220" s="34">
        <v>37</v>
      </c>
      <c r="U220" s="42">
        <v>45.741556971826803</v>
      </c>
      <c r="V220">
        <v>2908.1632653061233</v>
      </c>
      <c r="W220">
        <f>LOG(Table2[[#This Row],[generalist]])</f>
        <v>3.4636187843160156</v>
      </c>
      <c r="X220" s="14">
        <v>2</v>
      </c>
      <c r="Y220">
        <v>9311.2244897959172</v>
      </c>
      <c r="Z220">
        <f>LOG(Table2[[#This Row],[country divers.]])</f>
        <v>3.9690067974360175</v>
      </c>
      <c r="AA220">
        <v>170000000</v>
      </c>
      <c r="AB220">
        <f>LOG(Table2[[#This Row],[Firm Size]])</f>
        <v>8.2304489213782741</v>
      </c>
      <c r="AC220" s="80">
        <v>0.16662391237209695</v>
      </c>
    </row>
    <row r="221" spans="1:29" x14ac:dyDescent="0.35">
      <c r="A221" t="s">
        <v>5</v>
      </c>
      <c r="B221">
        <v>-0.58333333333333326</v>
      </c>
      <c r="C221">
        <f>IF(Table2[[#This Row],[Return]]=-1,-1,LOG(1+Table2[[#This Row],[Return]]))</f>
        <v>-0.38021124171160592</v>
      </c>
      <c r="D221">
        <v>6.2712328767123289</v>
      </c>
      <c r="E221">
        <v>0</v>
      </c>
      <c r="F221">
        <f>IF(Table2[[#This Row],[Geo Distance]]=0,0,LOG(Table2[[#This Row],[Geo Distance]]))</f>
        <v>0</v>
      </c>
      <c r="G221">
        <v>3</v>
      </c>
      <c r="H221">
        <f>IF(Table2[[#This Row],[Target age]]=0,0,LOG(Table2[[#This Row],[Target age]]))</f>
        <v>0.47712125471966244</v>
      </c>
      <c r="I221" s="45">
        <v>3.28</v>
      </c>
      <c r="J221" s="9">
        <v>0</v>
      </c>
      <c r="K221" s="9">
        <f>IF(Table2[[#This Row],[Culture]]=0,0,LOG(Table2[[#This Row],[Culture]]))</f>
        <v>0</v>
      </c>
      <c r="L221" s="24">
        <v>1.91</v>
      </c>
      <c r="M221" s="9">
        <f>LOG(1+Table2[[#This Row],[S&amp;P]])</f>
        <v>0.46389298898590731</v>
      </c>
      <c r="N221">
        <v>10</v>
      </c>
      <c r="O221">
        <f>IF(Table2[[#This Row],[fund age]]=0,0,LOG(Table2[[#This Row],[fund age]]))</f>
        <v>1</v>
      </c>
      <c r="P221">
        <f t="shared" si="3"/>
        <v>0</v>
      </c>
      <c r="Q221">
        <v>70</v>
      </c>
      <c r="R221">
        <v>90</v>
      </c>
      <c r="S221">
        <v>86.5</v>
      </c>
      <c r="T221" s="34">
        <v>34.9</v>
      </c>
      <c r="U221" s="42">
        <v>47.583389080759602</v>
      </c>
      <c r="V221">
        <v>1851.8518518518517</v>
      </c>
      <c r="W221">
        <f>LOG(Table2[[#This Row],[generalist]])</f>
        <v>3.2676062401770314</v>
      </c>
      <c r="X221" s="14">
        <v>2</v>
      </c>
      <c r="Y221">
        <v>9216.4064891337621</v>
      </c>
      <c r="Z221">
        <f>LOG(Table2[[#This Row],[country divers.]])</f>
        <v>3.9645616210373218</v>
      </c>
      <c r="AA221">
        <v>36000000</v>
      </c>
      <c r="AB221">
        <f>LOG(Table2[[#This Row],[Firm Size]])</f>
        <v>7.5563025007672868</v>
      </c>
      <c r="AC221" s="80">
        <v>0.93502026759244816</v>
      </c>
    </row>
    <row r="222" spans="1:29" x14ac:dyDescent="0.35">
      <c r="A222" t="s">
        <v>5</v>
      </c>
      <c r="B222">
        <v>2.3566022793427353</v>
      </c>
      <c r="C222">
        <f>IF(Table2[[#This Row],[Return]]=-1,-1,LOG(1+Table2[[#This Row],[Return]]))</f>
        <v>0.52589988515043506</v>
      </c>
      <c r="D222">
        <v>2.0986301369863014</v>
      </c>
      <c r="E222">
        <v>173.83</v>
      </c>
      <c r="F222">
        <f>IF(Table2[[#This Row],[Geo Distance]]=0,0,LOG(Table2[[#This Row],[Geo Distance]]))</f>
        <v>2.2401247301685658</v>
      </c>
      <c r="G222">
        <v>8</v>
      </c>
      <c r="H222">
        <f>IF(Table2[[#This Row],[Target age]]=0,0,LOG(Table2[[#This Row],[Target age]]))</f>
        <v>0.90308998699194354</v>
      </c>
      <c r="I222" s="45">
        <v>2.9</v>
      </c>
      <c r="J222" s="9">
        <v>294.5</v>
      </c>
      <c r="K222" s="9">
        <f>IF(Table2[[#This Row],[Culture]]=0,0,LOG(Table2[[#This Row],[Culture]]))</f>
        <v>2.4690852991231202</v>
      </c>
      <c r="L222" s="24">
        <v>0.42</v>
      </c>
      <c r="M222" s="9">
        <f>LOG(1+Table2[[#This Row],[S&amp;P]])</f>
        <v>0.15228834438305647</v>
      </c>
      <c r="N222">
        <v>18</v>
      </c>
      <c r="O222">
        <f>IF(Table2[[#This Row],[fund age]]=0,0,LOG(Table2[[#This Row],[fund age]]))</f>
        <v>1.255272505103306</v>
      </c>
      <c r="P222">
        <f t="shared" si="3"/>
        <v>1</v>
      </c>
      <c r="Q222">
        <v>95</v>
      </c>
      <c r="R222">
        <v>80</v>
      </c>
      <c r="S222">
        <v>70</v>
      </c>
      <c r="T222" s="34">
        <v>36.299999999999997</v>
      </c>
      <c r="U222" s="42">
        <v>44.332035658580502</v>
      </c>
      <c r="V222">
        <v>1623.1404958677685</v>
      </c>
      <c r="W222">
        <f>LOG(Table2[[#This Row],[generalist]])</f>
        <v>3.2103561131344809</v>
      </c>
      <c r="X222" s="14">
        <v>4</v>
      </c>
      <c r="Y222">
        <v>4591.735537190084</v>
      </c>
      <c r="Z222">
        <f>LOG(Table2[[#This Row],[country divers.]])</f>
        <v>3.6619768667491281</v>
      </c>
      <c r="AA222">
        <v>23833625</v>
      </c>
      <c r="AB222">
        <f>LOG(Table2[[#This Row],[Firm Size]])</f>
        <v>7.3771901018415083</v>
      </c>
      <c r="AC222" s="80">
        <v>0.26497585715211613</v>
      </c>
    </row>
    <row r="223" spans="1:29" x14ac:dyDescent="0.35">
      <c r="A223" t="s">
        <v>5</v>
      </c>
      <c r="B223">
        <v>1.1812893843916625</v>
      </c>
      <c r="C223">
        <f>IF(Table2[[#This Row],[Return]]=-1,-1,LOG(1+Table2[[#This Row],[Return]]))</f>
        <v>0.33871328580219212</v>
      </c>
      <c r="D223">
        <v>5.1726027397260275</v>
      </c>
      <c r="E223">
        <v>357.29</v>
      </c>
      <c r="F223">
        <f>IF(Table2[[#This Row],[Geo Distance]]=0,0,LOG(Table2[[#This Row],[Geo Distance]]))</f>
        <v>2.5530208611350047</v>
      </c>
      <c r="G223">
        <v>72</v>
      </c>
      <c r="H223">
        <f>IF(Table2[[#This Row],[Target age]]=0,0,LOG(Table2[[#This Row],[Target age]]))</f>
        <v>1.8573324964312685</v>
      </c>
      <c r="I223" s="45">
        <v>3.16</v>
      </c>
      <c r="J223" s="9">
        <v>971</v>
      </c>
      <c r="K223" s="9">
        <f>IF(Table2[[#This Row],[Culture]]=0,0,LOG(Table2[[#This Row],[Culture]]))</f>
        <v>2.9872192299080047</v>
      </c>
      <c r="L223" s="24">
        <v>-7.0000000000000007E-2</v>
      </c>
      <c r="M223" s="9">
        <f>LOG(1+Table2[[#This Row],[S&amp;P]])</f>
        <v>-3.1517051446064911E-2</v>
      </c>
      <c r="N223">
        <v>5</v>
      </c>
      <c r="O223">
        <f>IF(Table2[[#This Row],[fund age]]=0,0,LOG(Table2[[#This Row],[fund age]]))</f>
        <v>0.69897000433601886</v>
      </c>
      <c r="P223">
        <f t="shared" si="3"/>
        <v>1</v>
      </c>
      <c r="Q223">
        <v>70</v>
      </c>
      <c r="R223">
        <v>90</v>
      </c>
      <c r="S223">
        <v>88.4</v>
      </c>
      <c r="T223" s="34">
        <v>35.700000000000003</v>
      </c>
      <c r="U223" s="42">
        <v>42.337645557762798</v>
      </c>
      <c r="V223">
        <v>2207.03125</v>
      </c>
      <c r="W223">
        <f>LOG(Table2[[#This Row],[generalist]])</f>
        <v>3.3438084825075891</v>
      </c>
      <c r="X223" s="14">
        <v>2</v>
      </c>
      <c r="Y223">
        <v>7753.90625</v>
      </c>
      <c r="Z223">
        <f>LOG(Table2[[#This Row],[country divers.]])</f>
        <v>3.8895205457872843</v>
      </c>
      <c r="AA223">
        <v>82520000</v>
      </c>
      <c r="AB223">
        <f>LOG(Table2[[#This Row],[Firm Size]])</f>
        <v>7.9165592193011136</v>
      </c>
      <c r="AC223" s="80">
        <v>-0.10038612270378378</v>
      </c>
    </row>
    <row r="224" spans="1:29" x14ac:dyDescent="0.35">
      <c r="A224" t="s">
        <v>5</v>
      </c>
      <c r="B224">
        <v>2.1782178217821784</v>
      </c>
      <c r="C224">
        <f>IF(Table2[[#This Row],[Return]]=-1,-1,LOG(1+Table2[[#This Row],[Return]]))</f>
        <v>0.50218365862222958</v>
      </c>
      <c r="D224">
        <v>1.9150684931506849</v>
      </c>
      <c r="E224">
        <v>357.29</v>
      </c>
      <c r="F224">
        <f>IF(Table2[[#This Row],[Geo Distance]]=0,0,LOG(Table2[[#This Row],[Geo Distance]]))</f>
        <v>2.5530208611350047</v>
      </c>
      <c r="G224">
        <v>7</v>
      </c>
      <c r="H224">
        <f>IF(Table2[[#This Row],[Target age]]=0,0,LOG(Table2[[#This Row],[Target age]]))</f>
        <v>0.84509804001425681</v>
      </c>
      <c r="I224" s="45">
        <v>3.16</v>
      </c>
      <c r="J224" s="9">
        <v>971</v>
      </c>
      <c r="K224" s="9">
        <f>IF(Table2[[#This Row],[Culture]]=0,0,LOG(Table2[[#This Row],[Culture]]))</f>
        <v>2.9872192299080047</v>
      </c>
      <c r="L224" s="24">
        <v>0.2</v>
      </c>
      <c r="M224" s="9">
        <f>LOG(1+Table2[[#This Row],[S&amp;P]])</f>
        <v>7.9181246047624818E-2</v>
      </c>
      <c r="N224">
        <v>3</v>
      </c>
      <c r="O224">
        <f>IF(Table2[[#This Row],[fund age]]=0,0,LOG(Table2[[#This Row],[fund age]]))</f>
        <v>0.47712125471966244</v>
      </c>
      <c r="P224">
        <f t="shared" si="3"/>
        <v>1</v>
      </c>
      <c r="Q224">
        <v>95</v>
      </c>
      <c r="R224">
        <v>80</v>
      </c>
      <c r="S224">
        <v>70</v>
      </c>
      <c r="T224" s="34">
        <v>35</v>
      </c>
      <c r="U224" s="42">
        <v>42.243452783984999</v>
      </c>
      <c r="V224">
        <v>2207.03125</v>
      </c>
      <c r="W224">
        <f>LOG(Table2[[#This Row],[generalist]])</f>
        <v>3.3438084825075891</v>
      </c>
      <c r="X224" s="14">
        <v>2</v>
      </c>
      <c r="Y224">
        <v>7753.90625</v>
      </c>
      <c r="Z224">
        <f>LOG(Table2[[#This Row],[country divers.]])</f>
        <v>3.8895205457872843</v>
      </c>
      <c r="AA224">
        <v>30300000</v>
      </c>
      <c r="AB224">
        <f>LOG(Table2[[#This Row],[Firm Size]])</f>
        <v>7.4814426285023048</v>
      </c>
      <c r="AC224" s="80">
        <v>0.31847023418647091</v>
      </c>
    </row>
    <row r="225" spans="1:29" x14ac:dyDescent="0.35">
      <c r="A225" t="s">
        <v>5</v>
      </c>
      <c r="B225">
        <v>0.31155436923076918</v>
      </c>
      <c r="C225">
        <f>IF(Table2[[#This Row],[Return]]=-1,-1,LOG(1+Table2[[#This Row],[Return]]))</f>
        <v>0.11778629856151522</v>
      </c>
      <c r="D225">
        <v>5.2712328767123289</v>
      </c>
      <c r="E225">
        <v>6188.89</v>
      </c>
      <c r="F225">
        <f>IF(Table2[[#This Row],[Geo Distance]]=0,0,LOG(Table2[[#This Row],[Geo Distance]]))</f>
        <v>3.791612763704681</v>
      </c>
      <c r="G225">
        <v>15</v>
      </c>
      <c r="H225">
        <f>IF(Table2[[#This Row],[Target age]]=0,0,LOG(Table2[[#This Row],[Target age]]))</f>
        <v>1.1760912590556813</v>
      </c>
      <c r="I225" s="45">
        <v>2.72</v>
      </c>
      <c r="J225" s="9">
        <v>1084.3333333333301</v>
      </c>
      <c r="K225" s="9">
        <f>IF(Table2[[#This Row],[Culture]]=0,0,LOG(Table2[[#This Row],[Culture]]))</f>
        <v>3.0351628085621898</v>
      </c>
      <c r="L225" s="24">
        <v>0.65</v>
      </c>
      <c r="M225" s="9">
        <f>LOG(1+Table2[[#This Row],[S&amp;P]])</f>
        <v>0.21748394421390627</v>
      </c>
      <c r="N225">
        <v>26</v>
      </c>
      <c r="O225">
        <f>IF(Table2[[#This Row],[fund age]]=0,0,LOG(Table2[[#This Row],[fund age]]))</f>
        <v>1.414973347970818</v>
      </c>
      <c r="P225">
        <f t="shared" si="3"/>
        <v>1</v>
      </c>
      <c r="Q225">
        <v>70</v>
      </c>
      <c r="R225">
        <v>90</v>
      </c>
      <c r="S225">
        <v>82.6</v>
      </c>
      <c r="T225" s="34">
        <v>35.700000000000003</v>
      </c>
      <c r="U225" s="42">
        <v>47.863614247473699</v>
      </c>
      <c r="V225">
        <v>1618.5219999999999</v>
      </c>
      <c r="W225">
        <f>LOG(Table2[[#This Row],[generalist]])</f>
        <v>3.20911860699078</v>
      </c>
      <c r="X225" s="14">
        <v>2</v>
      </c>
      <c r="Y225">
        <v>3845.9059999999999</v>
      </c>
      <c r="Z225">
        <f>LOG(Table2[[#This Row],[country divers.]])</f>
        <v>3.5849986651910224</v>
      </c>
      <c r="AA225">
        <v>650000000</v>
      </c>
      <c r="AB225">
        <f>LOG(Table2[[#This Row],[Firm Size]])</f>
        <v>8.8129133566428557</v>
      </c>
      <c r="AC225" s="80">
        <v>0.10514723779438206</v>
      </c>
    </row>
    <row r="226" spans="1:29" x14ac:dyDescent="0.35">
      <c r="A226" t="s">
        <v>5</v>
      </c>
      <c r="B226">
        <v>1.2000000000000002</v>
      </c>
      <c r="C226">
        <f>IF(Table2[[#This Row],[Return]]=-1,-1,LOG(1+Table2[[#This Row],[Return]]))</f>
        <v>0.34242268082220628</v>
      </c>
      <c r="D226">
        <v>4.8301369863013699</v>
      </c>
      <c r="E226">
        <v>6188.89</v>
      </c>
      <c r="F226">
        <f>IF(Table2[[#This Row],[Geo Distance]]=0,0,LOG(Table2[[#This Row],[Geo Distance]]))</f>
        <v>3.791612763704681</v>
      </c>
      <c r="G226">
        <v>82</v>
      </c>
      <c r="H226">
        <f>IF(Table2[[#This Row],[Target age]]=0,0,LOG(Table2[[#This Row],[Target age]]))</f>
        <v>1.9138138523837167</v>
      </c>
      <c r="I226" s="45">
        <v>2.72</v>
      </c>
      <c r="J226" s="9">
        <v>1084.3333333333301</v>
      </c>
      <c r="K226" s="9">
        <f>IF(Table2[[#This Row],[Culture]]=0,0,LOG(Table2[[#This Row],[Culture]]))</f>
        <v>3.0351628085621898</v>
      </c>
      <c r="L226" s="24">
        <v>0.76</v>
      </c>
      <c r="M226" s="9">
        <f>LOG(1+Table2[[#This Row],[S&amp;P]])</f>
        <v>0.24551266781414982</v>
      </c>
      <c r="N226">
        <v>19</v>
      </c>
      <c r="O226">
        <f>IF(Table2[[#This Row],[fund age]]=0,0,LOG(Table2[[#This Row],[fund age]]))</f>
        <v>1.2787536009528289</v>
      </c>
      <c r="P226">
        <f t="shared" si="3"/>
        <v>1</v>
      </c>
      <c r="Q226">
        <v>95</v>
      </c>
      <c r="R226">
        <v>80</v>
      </c>
      <c r="S226">
        <v>70</v>
      </c>
      <c r="T226" s="34">
        <v>34.799999999999997</v>
      </c>
      <c r="U226" s="42">
        <v>44.539498059710198</v>
      </c>
      <c r="V226">
        <v>1618.5219999999999</v>
      </c>
      <c r="W226">
        <f>LOG(Table2[[#This Row],[generalist]])</f>
        <v>3.20911860699078</v>
      </c>
      <c r="X226" s="14">
        <v>2</v>
      </c>
      <c r="Y226">
        <v>3845.9059999999999</v>
      </c>
      <c r="Z226">
        <f>LOG(Table2[[#This Row],[country divers.]])</f>
        <v>3.5849986651910224</v>
      </c>
      <c r="AA226">
        <v>1000000000</v>
      </c>
      <c r="AB226">
        <f>LOG(Table2[[#This Row],[Firm Size]])</f>
        <v>9</v>
      </c>
      <c r="AC226" s="80">
        <v>0.9032990219839756</v>
      </c>
    </row>
    <row r="227" spans="1:29" x14ac:dyDescent="0.35">
      <c r="A227" t="s">
        <v>5</v>
      </c>
      <c r="B227">
        <v>0.4285714285714286</v>
      </c>
      <c r="C227">
        <f>IF(Table2[[#This Row],[Return]]=-1,-1,LOG(1+Table2[[#This Row],[Return]]))</f>
        <v>0.15490195998574319</v>
      </c>
      <c r="D227">
        <v>5.2438356164383562</v>
      </c>
      <c r="E227">
        <v>6188.89</v>
      </c>
      <c r="F227">
        <f>IF(Table2[[#This Row],[Geo Distance]]=0,0,LOG(Table2[[#This Row],[Geo Distance]]))</f>
        <v>3.791612763704681</v>
      </c>
      <c r="G227">
        <v>0</v>
      </c>
      <c r="H227">
        <f>IF(Table2[[#This Row],[Target age]]=0,0,LOG(Table2[[#This Row],[Target age]]))</f>
        <v>0</v>
      </c>
      <c r="I227" s="45">
        <v>2.72</v>
      </c>
      <c r="J227" s="9">
        <v>1084.3333333333301</v>
      </c>
      <c r="K227" s="9">
        <f>IF(Table2[[#This Row],[Culture]]=0,0,LOG(Table2[[#This Row],[Culture]]))</f>
        <v>3.0351628085621898</v>
      </c>
      <c r="L227" s="24">
        <v>0.46</v>
      </c>
      <c r="M227" s="9">
        <f>LOG(1+Table2[[#This Row],[S&amp;P]])</f>
        <v>0.16435285578443709</v>
      </c>
      <c r="N227">
        <v>9</v>
      </c>
      <c r="O227">
        <f>IF(Table2[[#This Row],[fund age]]=0,0,LOG(Table2[[#This Row],[fund age]]))</f>
        <v>0.95424250943932487</v>
      </c>
      <c r="P227">
        <f t="shared" si="3"/>
        <v>1</v>
      </c>
      <c r="Q227">
        <v>95</v>
      </c>
      <c r="R227">
        <v>80</v>
      </c>
      <c r="S227">
        <v>85</v>
      </c>
      <c r="T227" s="34">
        <v>37.299999999999997</v>
      </c>
      <c r="U227" s="42">
        <v>46.9693144722524</v>
      </c>
      <c r="V227">
        <v>2065.9722222222217</v>
      </c>
      <c r="W227">
        <f>LOG(Table2[[#This Row],[generalist]])</f>
        <v>3.3151244779693188</v>
      </c>
      <c r="X227" s="14">
        <v>2</v>
      </c>
      <c r="Y227">
        <v>7039.9305555555566</v>
      </c>
      <c r="Z227">
        <f>LOG(Table2[[#This Row],[country divers.]])</f>
        <v>3.8475683751239629</v>
      </c>
      <c r="AA227">
        <v>210000000</v>
      </c>
      <c r="AB227">
        <f>LOG(Table2[[#This Row],[Firm Size]])</f>
        <v>8.3222192947339195</v>
      </c>
      <c r="AC227" s="80" t="e">
        <v>#N/A</v>
      </c>
    </row>
    <row r="228" spans="1:29" x14ac:dyDescent="0.35">
      <c r="A228" t="s">
        <v>5</v>
      </c>
      <c r="B228">
        <v>0.35294117647058831</v>
      </c>
      <c r="C228">
        <f>IF(Table2[[#This Row],[Return]]=-1,-1,LOG(1+Table2[[#This Row],[Return]]))</f>
        <v>0.13127891463931898</v>
      </c>
      <c r="D228">
        <v>2.6657534246575341</v>
      </c>
      <c r="E228">
        <v>6188.89</v>
      </c>
      <c r="F228">
        <f>IF(Table2[[#This Row],[Geo Distance]]=0,0,LOG(Table2[[#This Row],[Geo Distance]]))</f>
        <v>3.791612763704681</v>
      </c>
      <c r="G228">
        <v>0</v>
      </c>
      <c r="H228">
        <f>IF(Table2[[#This Row],[Target age]]=0,0,LOG(Table2[[#This Row],[Target age]]))</f>
        <v>0</v>
      </c>
      <c r="I228" s="45">
        <v>2.72</v>
      </c>
      <c r="J228" s="9">
        <v>1084.3333333333301</v>
      </c>
      <c r="K228" s="9">
        <f>IF(Table2[[#This Row],[Culture]]=0,0,LOG(Table2[[#This Row],[Culture]]))</f>
        <v>3.0351628085621898</v>
      </c>
      <c r="L228" s="24">
        <v>0.22</v>
      </c>
      <c r="M228" s="9">
        <f>LOG(1+Table2[[#This Row],[S&amp;P]])</f>
        <v>8.6359830674748214E-2</v>
      </c>
      <c r="N228">
        <v>36</v>
      </c>
      <c r="O228">
        <f>IF(Table2[[#This Row],[fund age]]=0,0,LOG(Table2[[#This Row],[fund age]]))</f>
        <v>1.5563025007672873</v>
      </c>
      <c r="P228">
        <f t="shared" si="3"/>
        <v>1</v>
      </c>
      <c r="Q228">
        <v>70</v>
      </c>
      <c r="R228">
        <v>90</v>
      </c>
      <c r="S228">
        <v>89.7</v>
      </c>
      <c r="T228" s="34">
        <v>37</v>
      </c>
      <c r="U228" s="42">
        <v>45.741556971826803</v>
      </c>
      <c r="V228">
        <v>2030.3304662743317</v>
      </c>
      <c r="W228">
        <f>LOG(Table2[[#This Row],[generalist]])</f>
        <v>3.3075667315086759</v>
      </c>
      <c r="X228" s="14">
        <v>2</v>
      </c>
      <c r="Y228">
        <v>6774.5586238116803</v>
      </c>
      <c r="Z228">
        <f>LOG(Table2[[#This Row],[country divers.]])</f>
        <v>3.8308810053047755</v>
      </c>
      <c r="AA228">
        <v>1700000000</v>
      </c>
      <c r="AB228">
        <f>LOG(Table2[[#This Row],[Firm Size]])</f>
        <v>9.2304489213782741</v>
      </c>
      <c r="AC228" s="80">
        <v>0.11229724666058472</v>
      </c>
    </row>
    <row r="229" spans="1:29" x14ac:dyDescent="0.35">
      <c r="A229" t="s">
        <v>5</v>
      </c>
      <c r="B229">
        <v>0.97514803472706513</v>
      </c>
      <c r="C229">
        <f>IF(Table2[[#This Row],[Return]]=-1,-1,LOG(1+Table2[[#This Row],[Return]]))</f>
        <v>0.29559965097806595</v>
      </c>
      <c r="D229">
        <v>3.0657534246575344</v>
      </c>
      <c r="E229">
        <v>6188.89</v>
      </c>
      <c r="F229">
        <f>IF(Table2[[#This Row],[Geo Distance]]=0,0,LOG(Table2[[#This Row],[Geo Distance]]))</f>
        <v>3.791612763704681</v>
      </c>
      <c r="G229">
        <v>111</v>
      </c>
      <c r="H229">
        <f>IF(Table2[[#This Row],[Target age]]=0,0,LOG(Table2[[#This Row],[Target age]]))</f>
        <v>2.0453229787866576</v>
      </c>
      <c r="I229" s="45">
        <v>2.72</v>
      </c>
      <c r="J229" s="9">
        <v>1084.3333333333301</v>
      </c>
      <c r="K229" s="9">
        <f>IF(Table2[[#This Row],[Culture]]=0,0,LOG(Table2[[#This Row],[Culture]]))</f>
        <v>3.0351628085621898</v>
      </c>
      <c r="L229" s="24">
        <v>-0.13</v>
      </c>
      <c r="M229" s="9">
        <f>LOG(1+Table2[[#This Row],[S&amp;P]])</f>
        <v>-6.0480747381381476E-2</v>
      </c>
      <c r="N229">
        <v>16</v>
      </c>
      <c r="O229">
        <f>IF(Table2[[#This Row],[fund age]]=0,0,LOG(Table2[[#This Row],[fund age]]))</f>
        <v>1.2041199826559248</v>
      </c>
      <c r="P229">
        <f t="shared" si="3"/>
        <v>1</v>
      </c>
      <c r="Q229">
        <v>95</v>
      </c>
      <c r="R229">
        <v>80</v>
      </c>
      <c r="S229">
        <v>70</v>
      </c>
      <c r="T229" s="34">
        <v>36.9</v>
      </c>
      <c r="U229" s="42">
        <v>42.177001683602199</v>
      </c>
      <c r="V229">
        <v>4192.5515477649324</v>
      </c>
      <c r="W229">
        <f>LOG(Table2[[#This Row],[generalist]])</f>
        <v>3.6224784109972026</v>
      </c>
      <c r="X229" s="14">
        <v>2</v>
      </c>
      <c r="Y229">
        <v>6098.886461718791</v>
      </c>
      <c r="Z229">
        <f>LOG(Table2[[#This Row],[country divers.]])</f>
        <v>3.7852505485064163</v>
      </c>
      <c r="AA229">
        <v>74207250</v>
      </c>
      <c r="AB229">
        <f>LOG(Table2[[#This Row],[Firm Size]])</f>
        <v>7.8704463376399296</v>
      </c>
      <c r="AC229" s="80">
        <v>-0.25666720330657811</v>
      </c>
    </row>
    <row r="230" spans="1:29" x14ac:dyDescent="0.35">
      <c r="A230" t="s">
        <v>5</v>
      </c>
      <c r="B230">
        <v>-0.29288321167883213</v>
      </c>
      <c r="C230">
        <f>IF(Table2[[#This Row],[Return]]=-1,-1,LOG(1+Table2[[#This Row],[Return]]))</f>
        <v>-0.15050885164204009</v>
      </c>
      <c r="D230">
        <v>5.0383561643835613</v>
      </c>
      <c r="E230">
        <v>6188.89</v>
      </c>
      <c r="F230">
        <f>IF(Table2[[#This Row],[Geo Distance]]=0,0,LOG(Table2[[#This Row],[Geo Distance]]))</f>
        <v>3.791612763704681</v>
      </c>
      <c r="G230">
        <v>5</v>
      </c>
      <c r="H230">
        <f>IF(Table2[[#This Row],[Target age]]=0,0,LOG(Table2[[#This Row],[Target age]]))</f>
        <v>0.69897000433601886</v>
      </c>
      <c r="I230" s="45">
        <v>2.72</v>
      </c>
      <c r="J230" s="9">
        <v>1084.3333333333301</v>
      </c>
      <c r="K230" s="9">
        <f>IF(Table2[[#This Row],[Culture]]=0,0,LOG(Table2[[#This Row],[Culture]]))</f>
        <v>3.0351628085621898</v>
      </c>
      <c r="L230" s="24">
        <v>0.67</v>
      </c>
      <c r="M230" s="9">
        <f>LOG(1+Table2[[#This Row],[S&amp;P]])</f>
        <v>0.22271647114758325</v>
      </c>
      <c r="N230">
        <v>12</v>
      </c>
      <c r="O230">
        <f>IF(Table2[[#This Row],[fund age]]=0,0,LOG(Table2[[#This Row],[fund age]]))</f>
        <v>1.0791812460476249</v>
      </c>
      <c r="P230">
        <f t="shared" si="3"/>
        <v>1</v>
      </c>
      <c r="Q230">
        <v>70</v>
      </c>
      <c r="R230">
        <v>90</v>
      </c>
      <c r="S230">
        <v>83</v>
      </c>
      <c r="T230" s="34">
        <v>36.1</v>
      </c>
      <c r="U230" s="42">
        <v>46.521758221126703</v>
      </c>
      <c r="V230">
        <v>1455.5555555555557</v>
      </c>
      <c r="W230">
        <f>LOG(Table2[[#This Row],[generalist]])</f>
        <v>3.1630287862164392</v>
      </c>
      <c r="X230" s="14">
        <v>1</v>
      </c>
      <c r="Y230">
        <v>6605.5555555555547</v>
      </c>
      <c r="Z230">
        <f>LOG(Table2[[#This Row],[country divers.]])</f>
        <v>3.8199093495153855</v>
      </c>
      <c r="AA230">
        <v>219200000</v>
      </c>
      <c r="AB230">
        <f>LOG(Table2[[#This Row],[Firm Size]])</f>
        <v>8.3408405498123308</v>
      </c>
      <c r="AC230" s="80">
        <v>0.22959131124676158</v>
      </c>
    </row>
    <row r="231" spans="1:29" x14ac:dyDescent="0.35">
      <c r="A231" t="s">
        <v>5</v>
      </c>
      <c r="B231">
        <v>2.2999599169550171</v>
      </c>
      <c r="C231">
        <f>IF(Table2[[#This Row],[Return]]=-1,-1,LOG(1+Table2[[#This Row],[Return]]))</f>
        <v>0.51850866474122814</v>
      </c>
      <c r="D231">
        <v>4</v>
      </c>
      <c r="E231">
        <v>357.29</v>
      </c>
      <c r="F231">
        <f>IF(Table2[[#This Row],[Geo Distance]]=0,0,LOG(Table2[[#This Row],[Geo Distance]]))</f>
        <v>2.5530208611350047</v>
      </c>
      <c r="G231">
        <v>11</v>
      </c>
      <c r="H231">
        <f>IF(Table2[[#This Row],[Target age]]=0,0,LOG(Table2[[#This Row],[Target age]]))</f>
        <v>1.0413926851582251</v>
      </c>
      <c r="I231" s="45">
        <v>3.16</v>
      </c>
      <c r="J231" s="9">
        <v>971</v>
      </c>
      <c r="K231" s="9">
        <f>IF(Table2[[#This Row],[Culture]]=0,0,LOG(Table2[[#This Row],[Culture]]))</f>
        <v>2.9872192299080047</v>
      </c>
      <c r="L231" s="24">
        <v>-0.14000000000000001</v>
      </c>
      <c r="M231" s="9">
        <f>LOG(1+Table2[[#This Row],[S&amp;P]])</f>
        <v>-6.5501548756432285E-2</v>
      </c>
      <c r="N231">
        <v>16</v>
      </c>
      <c r="O231">
        <f>IF(Table2[[#This Row],[fund age]]=0,0,LOG(Table2[[#This Row],[fund age]]))</f>
        <v>1.2041199826559248</v>
      </c>
      <c r="P231">
        <f t="shared" si="3"/>
        <v>1</v>
      </c>
      <c r="Q231">
        <v>95</v>
      </c>
      <c r="R231">
        <v>80</v>
      </c>
      <c r="S231">
        <v>70</v>
      </c>
      <c r="T231" s="34">
        <v>36.9</v>
      </c>
      <c r="U231" s="42">
        <v>42.177001683602199</v>
      </c>
      <c r="V231">
        <v>1801.1079999999999</v>
      </c>
      <c r="W231">
        <f>LOG(Table2[[#This Row],[generalist]])</f>
        <v>3.2555397552391718</v>
      </c>
      <c r="X231" s="14">
        <v>2</v>
      </c>
      <c r="Y231">
        <v>8416.6209999999992</v>
      </c>
      <c r="Z231">
        <f>LOG(Table2[[#This Row],[country divers.]])</f>
        <v>3.9251377713585649</v>
      </c>
      <c r="AA231">
        <v>72250000</v>
      </c>
      <c r="AB231">
        <f>LOG(Table2[[#This Row],[Firm Size]])</f>
        <v>7.8588378514285857</v>
      </c>
      <c r="AC231" s="80">
        <v>-0.23112363168061811</v>
      </c>
    </row>
    <row r="232" spans="1:29" x14ac:dyDescent="0.35">
      <c r="A232" t="s">
        <v>5</v>
      </c>
      <c r="B232">
        <v>1.0547945205479454</v>
      </c>
      <c r="C232">
        <f>IF(Table2[[#This Row],[Return]]=-1,-1,LOG(1+Table2[[#This Row],[Return]]))</f>
        <v>0.3127683989352254</v>
      </c>
      <c r="D232">
        <v>3.8301369863013699</v>
      </c>
      <c r="E232">
        <v>357.29</v>
      </c>
      <c r="F232">
        <f>IF(Table2[[#This Row],[Geo Distance]]=0,0,LOG(Table2[[#This Row],[Geo Distance]]))</f>
        <v>2.5530208611350047</v>
      </c>
      <c r="G232">
        <v>31</v>
      </c>
      <c r="H232">
        <f>IF(Table2[[#This Row],[Target age]]=0,0,LOG(Table2[[#This Row],[Target age]]))</f>
        <v>1.4913616938342726</v>
      </c>
      <c r="I232" s="45">
        <v>3.16</v>
      </c>
      <c r="J232">
        <v>971</v>
      </c>
      <c r="K232" s="9">
        <f>IF(Table2[[#This Row],[Culture]]=0,0,LOG(Table2[[#This Row],[Culture]]))</f>
        <v>2.9872192299080047</v>
      </c>
      <c r="L232" s="24">
        <v>0.34</v>
      </c>
      <c r="M232" s="9">
        <f>LOG(1+Table2[[#This Row],[S&amp;P]])</f>
        <v>0.12710479836480765</v>
      </c>
      <c r="N232">
        <v>46</v>
      </c>
      <c r="O232">
        <f>IF(Table2[[#This Row],[fund age]]=0,0,LOG(Table2[[#This Row],[fund age]]))</f>
        <v>1.6627578316815741</v>
      </c>
      <c r="P232">
        <f t="shared" si="3"/>
        <v>1</v>
      </c>
      <c r="Q232">
        <v>70</v>
      </c>
      <c r="R232">
        <v>90</v>
      </c>
      <c r="S232">
        <v>84.3</v>
      </c>
      <c r="T232" s="34">
        <v>37</v>
      </c>
      <c r="U232" s="42">
        <v>44.611946528156203</v>
      </c>
      <c r="V232">
        <v>1789.9821258839918</v>
      </c>
      <c r="W232">
        <f>LOG(Table2[[#This Row],[generalist]])</f>
        <v>3.2528486942934638</v>
      </c>
      <c r="X232" s="14">
        <v>2</v>
      </c>
      <c r="Y232">
        <v>4076.4342633054562</v>
      </c>
      <c r="Z232">
        <f>LOG(Table2[[#This Row],[country divers.]])</f>
        <v>3.6102804432713853</v>
      </c>
      <c r="AA232">
        <v>730000000</v>
      </c>
      <c r="AB232">
        <f>LOG(Table2[[#This Row],[Firm Size]])</f>
        <v>8.8633228601204568</v>
      </c>
      <c r="AC232" s="80">
        <v>3.9819900060036106E-2</v>
      </c>
    </row>
    <row r="233" spans="1:29" x14ac:dyDescent="0.35">
      <c r="A233" s="2" t="s">
        <v>1</v>
      </c>
      <c r="B233">
        <v>21.534159333024547</v>
      </c>
      <c r="C233">
        <f>IF(Table2[[#This Row],[Return]]=-1,-1,LOG(1+Table2[[#This Row],[Return]]))</f>
        <v>1.3528413607722642</v>
      </c>
      <c r="D233">
        <v>7.86027397260274</v>
      </c>
      <c r="E233">
        <v>0</v>
      </c>
      <c r="F233">
        <f>IF(Table2[[#This Row],[Geo Distance]]=0,0,LOG(Table2[[#This Row],[Geo Distance]]))</f>
        <v>0</v>
      </c>
      <c r="G233">
        <v>167</v>
      </c>
      <c r="H233">
        <f>IF(Table2[[#This Row],[Target age]]=0,0,LOG(Table2[[#This Row],[Target age]]))</f>
        <v>2.2227164711475833</v>
      </c>
      <c r="I233" s="45">
        <v>3.42</v>
      </c>
      <c r="J233" s="9">
        <v>0</v>
      </c>
      <c r="K233" s="9">
        <f>IF(Table2[[#This Row],[Culture]]=0,0,LOG(Table2[[#This Row],[Culture]]))</f>
        <v>0</v>
      </c>
      <c r="L233" s="24">
        <v>0.31</v>
      </c>
      <c r="M233" s="9">
        <f>LOG(1+Table2[[#This Row],[S&amp;P]])</f>
        <v>0.11727129565576427</v>
      </c>
      <c r="N233">
        <v>2</v>
      </c>
      <c r="O233">
        <f>IF(Table2[[#This Row],[fund age]]=0,0,LOG(Table2[[#This Row],[fund age]]))</f>
        <v>0.3010299956639812</v>
      </c>
      <c r="P233">
        <f t="shared" si="3"/>
        <v>0</v>
      </c>
      <c r="Q233">
        <v>70</v>
      </c>
      <c r="R233">
        <v>50</v>
      </c>
      <c r="S233">
        <v>70</v>
      </c>
      <c r="T233" s="34">
        <v>42.6</v>
      </c>
      <c r="U233" s="42">
        <v>42.063871143552703</v>
      </c>
      <c r="V233">
        <v>2099.9405116002381</v>
      </c>
      <c r="W233">
        <f>LOG(Table2[[#This Row],[generalist]])</f>
        <v>3.3222069919483515</v>
      </c>
      <c r="X233" s="14">
        <v>2</v>
      </c>
      <c r="Y233">
        <v>9071.9809637120761</v>
      </c>
      <c r="Z233">
        <f>LOG(Table2[[#This Row],[country divers.]])</f>
        <v>3.9577021302433337</v>
      </c>
      <c r="AA233" s="2">
        <v>43180000</v>
      </c>
      <c r="AB233" s="2">
        <f>LOG(Table2[[#This Row],[Firm Size]])</f>
        <v>7.6352826379982117</v>
      </c>
      <c r="AC233" s="80">
        <v>0.35500422915188445</v>
      </c>
    </row>
    <row r="234" spans="1:29" x14ac:dyDescent="0.35">
      <c r="A234" t="s">
        <v>1</v>
      </c>
      <c r="B234">
        <v>0.68292216484987578</v>
      </c>
      <c r="C234">
        <f>IF(Table2[[#This Row],[Return]]=-1,-1,LOG(1+Table2[[#This Row],[Return]]))</f>
        <v>0.22606403032051303</v>
      </c>
      <c r="D234">
        <v>5.8794520547945206</v>
      </c>
      <c r="E234">
        <v>416.73</v>
      </c>
      <c r="F234">
        <f>IF(Table2[[#This Row],[Geo Distance]]=0,0,LOG(Table2[[#This Row],[Geo Distance]]))</f>
        <v>2.6198547660331819</v>
      </c>
      <c r="G234">
        <v>11</v>
      </c>
      <c r="H234">
        <f>IF(Table2[[#This Row],[Target age]]=0,0,LOG(Table2[[#This Row],[Target age]]))</f>
        <v>1.0413926851582251</v>
      </c>
      <c r="I234" s="45">
        <v>3.65</v>
      </c>
      <c r="J234" s="9">
        <v>217.833333333333</v>
      </c>
      <c r="K234" s="9">
        <f>IF(Table2[[#This Row],[Culture]]=0,0,LOG(Table2[[#This Row],[Culture]]))</f>
        <v>2.3381243371968998</v>
      </c>
      <c r="L234" s="24">
        <v>0.97</v>
      </c>
      <c r="M234" s="9">
        <f>LOG(1+Table2[[#This Row],[S&amp;P]])</f>
        <v>0.2944662261615929</v>
      </c>
      <c r="N234">
        <v>18</v>
      </c>
      <c r="O234">
        <f>IF(Table2[[#This Row],[fund age]]=0,0,LOG(Table2[[#This Row],[fund age]]))</f>
        <v>1.255272505103306</v>
      </c>
      <c r="P234">
        <f t="shared" si="3"/>
        <v>1</v>
      </c>
      <c r="Q234">
        <v>70</v>
      </c>
      <c r="R234">
        <v>50</v>
      </c>
      <c r="S234">
        <v>88.4</v>
      </c>
      <c r="T234" s="34">
        <v>41.5</v>
      </c>
      <c r="U234" s="42">
        <v>42.888893081396603</v>
      </c>
      <c r="V234">
        <v>1450.8446376578247</v>
      </c>
      <c r="W234">
        <f>LOG(Table2[[#This Row],[generalist]])</f>
        <v>3.1616209089088487</v>
      </c>
      <c r="X234" s="14">
        <v>2</v>
      </c>
      <c r="Y234">
        <v>6306.1358665754287</v>
      </c>
      <c r="Z234">
        <f>LOG(Table2[[#This Row],[country divers.]])</f>
        <v>3.7997633234477775</v>
      </c>
      <c r="AA234">
        <v>261450000</v>
      </c>
      <c r="AB234">
        <f>LOG(Table2[[#This Row],[Firm Size]])</f>
        <v>8.4173886461656746</v>
      </c>
      <c r="AC234" s="80">
        <v>0.3878819575732273</v>
      </c>
    </row>
    <row r="235" spans="1:29" x14ac:dyDescent="0.35">
      <c r="A235" t="s">
        <v>1</v>
      </c>
      <c r="B235">
        <v>0.84315684825369486</v>
      </c>
      <c r="C235">
        <f>IF(Table2[[#This Row],[Return]]=-1,-1,LOG(1+Table2[[#This Row],[Return]]))</f>
        <v>0.26556229421670802</v>
      </c>
      <c r="D235">
        <v>3.4602739726027396</v>
      </c>
      <c r="E235">
        <v>416.73</v>
      </c>
      <c r="F235">
        <f>IF(Table2[[#This Row],[Geo Distance]]=0,0,LOG(Table2[[#This Row],[Geo Distance]]))</f>
        <v>2.6198547660331819</v>
      </c>
      <c r="G235">
        <v>15</v>
      </c>
      <c r="H235">
        <f>IF(Table2[[#This Row],[Target age]]=0,0,LOG(Table2[[#This Row],[Target age]]))</f>
        <v>1.1760912590556813</v>
      </c>
      <c r="I235" s="45">
        <v>3.65</v>
      </c>
      <c r="J235" s="9">
        <v>217.833333333333</v>
      </c>
      <c r="K235" s="9">
        <f>IF(Table2[[#This Row],[Culture]]=0,0,LOG(Table2[[#This Row],[Culture]]))</f>
        <v>2.3381243371968998</v>
      </c>
      <c r="L235" s="24">
        <v>7.0000000000000007E-2</v>
      </c>
      <c r="M235" s="9">
        <f>LOG(1+Table2[[#This Row],[S&amp;P]])</f>
        <v>2.9383777685209667E-2</v>
      </c>
      <c r="N235">
        <v>12</v>
      </c>
      <c r="O235">
        <f>IF(Table2[[#This Row],[fund age]]=0,0,LOG(Table2[[#This Row],[fund age]]))</f>
        <v>1.0791812460476249</v>
      </c>
      <c r="P235">
        <f t="shared" si="3"/>
        <v>1</v>
      </c>
      <c r="Q235">
        <v>70</v>
      </c>
      <c r="R235">
        <v>50</v>
      </c>
      <c r="S235">
        <v>70</v>
      </c>
      <c r="T235" s="34">
        <v>42.1</v>
      </c>
      <c r="U235" s="42">
        <v>43.801966655694599</v>
      </c>
      <c r="V235">
        <v>1630.2786555587475</v>
      </c>
      <c r="W235">
        <f>LOG(Table2[[#This Row],[generalist]])</f>
        <v>3.212261842580872</v>
      </c>
      <c r="X235" s="14">
        <v>4</v>
      </c>
      <c r="Y235">
        <v>8569.3766159149673</v>
      </c>
      <c r="Z235">
        <f>LOG(Table2[[#This Row],[country divers.]])</f>
        <v>3.9329492300777744</v>
      </c>
      <c r="AA235">
        <v>163662957</v>
      </c>
      <c r="AB235">
        <f>LOG(Table2[[#This Row],[Firm Size]])</f>
        <v>8.213950393578326</v>
      </c>
      <c r="AC235" s="80">
        <v>6.0608247050759623E-3</v>
      </c>
    </row>
    <row r="236" spans="1:29" x14ac:dyDescent="0.35">
      <c r="A236" t="s">
        <v>1</v>
      </c>
      <c r="B236">
        <v>4.878826688565634</v>
      </c>
      <c r="C236">
        <f>IF(Table2[[#This Row],[Return]]=-1,-1,LOG(1+Table2[[#This Row],[Return]]))</f>
        <v>0.76929065710878552</v>
      </c>
      <c r="D236">
        <v>10.731506849315069</v>
      </c>
      <c r="E236">
        <v>416.73</v>
      </c>
      <c r="F236">
        <f>IF(Table2[[#This Row],[Geo Distance]]=0,0,LOG(Table2[[#This Row],[Geo Distance]]))</f>
        <v>2.6198547660331819</v>
      </c>
      <c r="G236">
        <v>106</v>
      </c>
      <c r="H236">
        <f>IF(Table2[[#This Row],[Target age]]=0,0,LOG(Table2[[#This Row],[Target age]]))</f>
        <v>2.0253058652647704</v>
      </c>
      <c r="I236" s="45">
        <v>3.65</v>
      </c>
      <c r="J236" s="9">
        <v>217.833333333333</v>
      </c>
      <c r="K236" s="9">
        <f>IF(Table2[[#This Row],[Culture]]=0,0,LOG(Table2[[#This Row],[Culture]]))</f>
        <v>2.3381243371968998</v>
      </c>
      <c r="L236" s="24">
        <v>0.74</v>
      </c>
      <c r="M236" s="9">
        <f>LOG(1+Table2[[#This Row],[S&amp;P]])</f>
        <v>0.24054924828259971</v>
      </c>
      <c r="N236">
        <v>1</v>
      </c>
      <c r="O236">
        <f>IF(Table2[[#This Row],[fund age]]=0,0,LOG(Table2[[#This Row],[fund age]]))</f>
        <v>0</v>
      </c>
      <c r="P236">
        <f t="shared" si="3"/>
        <v>1</v>
      </c>
      <c r="Q236">
        <v>70</v>
      </c>
      <c r="R236">
        <v>50</v>
      </c>
      <c r="S236">
        <v>70</v>
      </c>
      <c r="T236" s="34">
        <v>42.4</v>
      </c>
      <c r="U236" s="42">
        <v>44.9782573439335</v>
      </c>
      <c r="V236">
        <v>1543.2098765432097</v>
      </c>
      <c r="W236">
        <f>LOG(Table2[[#This Row],[generalist]])</f>
        <v>3.1884249941294067</v>
      </c>
      <c r="X236" s="14">
        <v>5</v>
      </c>
      <c r="Y236">
        <v>8692.1296296296296</v>
      </c>
      <c r="Z236">
        <f>LOG(Table2[[#This Row],[country divers.]])</f>
        <v>3.9391261945252749</v>
      </c>
      <c r="AA236">
        <v>197318285</v>
      </c>
      <c r="AB236">
        <f>LOG(Table2[[#This Row],[Firm Size]])</f>
        <v>8.2951673321181332</v>
      </c>
      <c r="AC236" s="80">
        <v>0.58329221454264468</v>
      </c>
    </row>
    <row r="237" spans="1:29" x14ac:dyDescent="0.35">
      <c r="A237" t="s">
        <v>1</v>
      </c>
      <c r="B237">
        <v>0.61755555555555564</v>
      </c>
      <c r="C237">
        <f>IF(Table2[[#This Row],[Return]]=-1,-1,LOG(1+Table2[[#This Row],[Return]]))</f>
        <v>0.20885920560465057</v>
      </c>
      <c r="D237">
        <v>1.821917808219178</v>
      </c>
      <c r="E237">
        <v>1153.8900000000001</v>
      </c>
      <c r="F237">
        <f>IF(Table2[[#This Row],[Geo Distance]]=0,0,LOG(Table2[[#This Row],[Geo Distance]]))</f>
        <v>3.0621644096256042</v>
      </c>
      <c r="G237">
        <v>37</v>
      </c>
      <c r="H237">
        <f>IF(Table2[[#This Row],[Target age]]=0,0,LOG(Table2[[#This Row],[Target age]]))</f>
        <v>1.568201724066995</v>
      </c>
      <c r="I237" s="45">
        <v>3.06</v>
      </c>
      <c r="J237" s="9">
        <v>742.83333333333303</v>
      </c>
      <c r="K237" s="9">
        <f>IF(Table2[[#This Row],[Culture]]=0,0,LOG(Table2[[#This Row],[Culture]]))</f>
        <v>2.8708913837025327</v>
      </c>
      <c r="L237" s="24">
        <v>0.14000000000000001</v>
      </c>
      <c r="M237" s="9">
        <f>LOG(1+Table2[[#This Row],[S&amp;P]])</f>
        <v>5.6904851336472641E-2</v>
      </c>
      <c r="N237">
        <v>26</v>
      </c>
      <c r="O237">
        <f>IF(Table2[[#This Row],[fund age]]=0,0,LOG(Table2[[#This Row],[fund age]]))</f>
        <v>1.414973347970818</v>
      </c>
      <c r="P237">
        <f t="shared" si="3"/>
        <v>1</v>
      </c>
      <c r="Q237">
        <v>70</v>
      </c>
      <c r="R237">
        <v>50</v>
      </c>
      <c r="S237">
        <v>91.4</v>
      </c>
      <c r="T237" s="34">
        <v>42.8</v>
      </c>
      <c r="U237" s="42">
        <v>40.8082924662531</v>
      </c>
      <c r="V237" s="40">
        <v>1709.090909090909</v>
      </c>
      <c r="W237" s="40">
        <f>LOG(Table2[[#This Row],[generalist]])</f>
        <v>3.2327651641054547</v>
      </c>
      <c r="X237" s="14">
        <v>3</v>
      </c>
      <c r="Y237">
        <v>8968.5950413223145</v>
      </c>
      <c r="Z237">
        <f>LOG(Table2[[#This Row],[country divers.]])</f>
        <v>3.9527244147731087</v>
      </c>
      <c r="AA237">
        <v>450000000</v>
      </c>
      <c r="AB237">
        <f>LOG(Table2[[#This Row],[Firm Size]])</f>
        <v>8.653212513775344</v>
      </c>
      <c r="AC237" s="80">
        <v>0.11558051456183893</v>
      </c>
    </row>
    <row r="238" spans="1:29" x14ac:dyDescent="0.35">
      <c r="A238" t="s">
        <v>1</v>
      </c>
      <c r="B238">
        <v>0.75954333333333324</v>
      </c>
      <c r="C238">
        <f>IF(Table2[[#This Row],[Return]]=-1,-1,LOG(1+Table2[[#This Row],[Return]]))</f>
        <v>0.24539996693467084</v>
      </c>
      <c r="D238">
        <v>7.4246575342465757</v>
      </c>
      <c r="E238">
        <v>0</v>
      </c>
      <c r="F238">
        <f>IF(Table2[[#This Row],[Geo Distance]]=0,0,LOG(Table2[[#This Row],[Geo Distance]]))</f>
        <v>0</v>
      </c>
      <c r="G238">
        <v>12</v>
      </c>
      <c r="H238">
        <f>IF(Table2[[#This Row],[Target age]]=0,0,LOG(Table2[[#This Row],[Target age]]))</f>
        <v>1.0791812460476249</v>
      </c>
      <c r="I238" s="45">
        <v>3.42</v>
      </c>
      <c r="J238" s="9">
        <v>0</v>
      </c>
      <c r="K238" s="9">
        <f>IF(Table2[[#This Row],[Culture]]=0,0,LOG(Table2[[#This Row],[Culture]]))</f>
        <v>0</v>
      </c>
      <c r="L238" s="24">
        <v>0.23</v>
      </c>
      <c r="M238" s="9">
        <f>LOG(1+Table2[[#This Row],[S&amp;P]])</f>
        <v>8.9905111439397931E-2</v>
      </c>
      <c r="N238">
        <v>15</v>
      </c>
      <c r="O238">
        <f>IF(Table2[[#This Row],[fund age]]=0,0,LOG(Table2[[#This Row],[fund age]]))</f>
        <v>1.1760912590556813</v>
      </c>
      <c r="P238">
        <f t="shared" si="3"/>
        <v>0</v>
      </c>
      <c r="Q238">
        <v>70</v>
      </c>
      <c r="R238">
        <v>50</v>
      </c>
      <c r="S238">
        <v>70</v>
      </c>
      <c r="T238" s="34">
        <v>42.4</v>
      </c>
      <c r="U238" s="42">
        <v>44.9782573439335</v>
      </c>
      <c r="V238">
        <v>1895.918367346939</v>
      </c>
      <c r="W238">
        <f>LOG(Table2[[#This Row],[generalist]])</f>
        <v>3.277819633965128</v>
      </c>
      <c r="X238" s="14">
        <v>2</v>
      </c>
      <c r="Y238">
        <v>8519.3877551020414</v>
      </c>
      <c r="Z238">
        <f>LOG(Table2[[#This Row],[country divers.]])</f>
        <v>3.9304083853612104</v>
      </c>
      <c r="AA238">
        <v>300000000</v>
      </c>
      <c r="AB238">
        <f>LOG(Table2[[#This Row],[Firm Size]])</f>
        <v>8.4771212547196626</v>
      </c>
      <c r="AC238" s="80">
        <v>0.35446993534110161</v>
      </c>
    </row>
    <row r="239" spans="1:29" x14ac:dyDescent="0.35">
      <c r="A239" t="s">
        <v>1</v>
      </c>
      <c r="B239">
        <v>1.1601977212317163</v>
      </c>
      <c r="C239">
        <f>IF(Table2[[#This Row],[Return]]=-1,-1,LOG(1+Table2[[#This Row],[Return]]))</f>
        <v>0.33449350360926283</v>
      </c>
      <c r="D239">
        <v>5.117808219178082</v>
      </c>
      <c r="E239">
        <v>0</v>
      </c>
      <c r="F239">
        <f>IF(Table2[[#This Row],[Geo Distance]]=0,0,LOG(Table2[[#This Row],[Geo Distance]]))</f>
        <v>0</v>
      </c>
      <c r="G239">
        <v>126</v>
      </c>
      <c r="H239">
        <f>IF(Table2[[#This Row],[Target age]]=0,0,LOG(Table2[[#This Row],[Target age]]))</f>
        <v>2.1003705451175629</v>
      </c>
      <c r="I239" s="45">
        <v>3.42</v>
      </c>
      <c r="J239" s="9">
        <v>0</v>
      </c>
      <c r="K239" s="9">
        <f>IF(Table2[[#This Row],[Culture]]=0,0,LOG(Table2[[#This Row],[Culture]]))</f>
        <v>0</v>
      </c>
      <c r="L239" s="24">
        <v>-0.1</v>
      </c>
      <c r="M239" s="9">
        <f>LOG(1+Table2[[#This Row],[S&amp;P]])</f>
        <v>-4.5757490560675115E-2</v>
      </c>
      <c r="N239">
        <v>11</v>
      </c>
      <c r="O239">
        <f>IF(Table2[[#This Row],[fund age]]=0,0,LOG(Table2[[#This Row],[fund age]]))</f>
        <v>1.0413926851582251</v>
      </c>
      <c r="P239">
        <f t="shared" si="3"/>
        <v>0</v>
      </c>
      <c r="Q239">
        <v>70</v>
      </c>
      <c r="R239">
        <v>50</v>
      </c>
      <c r="S239">
        <v>70</v>
      </c>
      <c r="T239" s="34">
        <v>41.9</v>
      </c>
      <c r="U239" s="42">
        <v>42.033747909324703</v>
      </c>
      <c r="V239">
        <v>1895.918367346939</v>
      </c>
      <c r="W239">
        <f>LOG(Table2[[#This Row],[generalist]])</f>
        <v>3.277819633965128</v>
      </c>
      <c r="X239" s="14">
        <v>2</v>
      </c>
      <c r="Y239">
        <v>8519.3877551020414</v>
      </c>
      <c r="Z239">
        <f>LOG(Table2[[#This Row],[country divers.]])</f>
        <v>3.9304083853612104</v>
      </c>
      <c r="AA239">
        <v>643330000</v>
      </c>
      <c r="AB239">
        <f>LOG(Table2[[#This Row],[Firm Size]])</f>
        <v>8.8084338040518055</v>
      </c>
      <c r="AC239" s="80">
        <v>-8.1249835253182967E-2</v>
      </c>
    </row>
    <row r="240" spans="1:29" x14ac:dyDescent="0.35">
      <c r="A240" t="s">
        <v>1</v>
      </c>
      <c r="B240">
        <v>-1</v>
      </c>
      <c r="C240">
        <f>IF(Table2[[#This Row],[Return]]=-1,-1,LOG(1+Table2[[#This Row],[Return]]))</f>
        <v>-1</v>
      </c>
      <c r="D240">
        <v>4.8904109589041092</v>
      </c>
      <c r="E240">
        <v>0</v>
      </c>
      <c r="F240">
        <f>IF(Table2[[#This Row],[Geo Distance]]=0,0,LOG(Table2[[#This Row],[Geo Distance]]))</f>
        <v>0</v>
      </c>
      <c r="G240">
        <v>1</v>
      </c>
      <c r="H240">
        <f>IF(Table2[[#This Row],[Target age]]=0,0,LOG(Table2[[#This Row],[Target age]]))</f>
        <v>0</v>
      </c>
      <c r="I240" s="45">
        <v>3.42</v>
      </c>
      <c r="J240" s="9">
        <v>0</v>
      </c>
      <c r="K240" s="9">
        <f>IF(Table2[[#This Row],[Culture]]=0,0,LOG(Table2[[#This Row],[Culture]]))</f>
        <v>0</v>
      </c>
      <c r="L240" s="24">
        <v>0.76</v>
      </c>
      <c r="M240" s="9">
        <f>LOG(1+Table2[[#This Row],[S&amp;P]])</f>
        <v>0.24551266781414982</v>
      </c>
      <c r="N240">
        <v>25</v>
      </c>
      <c r="O240">
        <f>IF(Table2[[#This Row],[fund age]]=0,0,LOG(Table2[[#This Row],[fund age]]))</f>
        <v>1.3979400086720377</v>
      </c>
      <c r="P240">
        <f t="shared" si="3"/>
        <v>0</v>
      </c>
      <c r="Q240">
        <v>70</v>
      </c>
      <c r="R240">
        <v>50</v>
      </c>
      <c r="S240">
        <v>88.8</v>
      </c>
      <c r="T240" s="34">
        <v>41.9</v>
      </c>
      <c r="U240" s="42">
        <v>44.943689399743</v>
      </c>
      <c r="V240">
        <v>3472</v>
      </c>
      <c r="W240">
        <f>LOG(Table2[[#This Row],[generalist]])</f>
        <v>3.5405797165044541</v>
      </c>
      <c r="X240" s="14">
        <v>2</v>
      </c>
      <c r="Y240">
        <v>7848</v>
      </c>
      <c r="Z240">
        <f>LOG(Table2[[#This Row],[country divers.]])</f>
        <v>3.8947589943718919</v>
      </c>
      <c r="AA240">
        <v>24300000</v>
      </c>
      <c r="AB240">
        <f>LOG(Table2[[#This Row],[Firm Size]])</f>
        <v>7.3856062735983121</v>
      </c>
      <c r="AC240" s="80">
        <v>0.25828264419227209</v>
      </c>
    </row>
    <row r="241" spans="1:29" x14ac:dyDescent="0.35">
      <c r="A241" t="s">
        <v>1</v>
      </c>
      <c r="B241">
        <v>2.4421980799999998</v>
      </c>
      <c r="C241">
        <f>IF(Table2[[#This Row],[Return]]=-1,-1,LOG(1+Table2[[#This Row],[Return]]))</f>
        <v>0.53683585802401912</v>
      </c>
      <c r="D241">
        <v>2.032876712328767</v>
      </c>
      <c r="E241">
        <v>0</v>
      </c>
      <c r="F241">
        <f>IF(Table2[[#This Row],[Geo Distance]]=0,0,LOG(Table2[[#This Row],[Geo Distance]]))</f>
        <v>0</v>
      </c>
      <c r="G241">
        <v>1</v>
      </c>
      <c r="H241">
        <f>IF(Table2[[#This Row],[Target age]]=0,0,LOG(Table2[[#This Row],[Target age]]))</f>
        <v>0</v>
      </c>
      <c r="I241" s="45">
        <v>3.42</v>
      </c>
      <c r="J241" s="9">
        <v>0</v>
      </c>
      <c r="K241" s="9">
        <f>IF(Table2[[#This Row],[Culture]]=0,0,LOG(Table2[[#This Row],[Culture]]))</f>
        <v>0</v>
      </c>
      <c r="L241" s="24">
        <v>0.18</v>
      </c>
      <c r="M241" s="9">
        <f>LOG(1+Table2[[#This Row],[S&amp;P]])</f>
        <v>7.1882007306125359E-2</v>
      </c>
      <c r="N241">
        <v>18</v>
      </c>
      <c r="O241">
        <f>IF(Table2[[#This Row],[fund age]]=0,0,LOG(Table2[[#This Row],[fund age]]))</f>
        <v>1.255272505103306</v>
      </c>
      <c r="P241">
        <f t="shared" si="3"/>
        <v>0</v>
      </c>
      <c r="Q241">
        <v>70</v>
      </c>
      <c r="R241">
        <v>50</v>
      </c>
      <c r="S241">
        <v>70</v>
      </c>
      <c r="T241" s="34">
        <v>41.7</v>
      </c>
      <c r="U241" s="42">
        <v>47.869460173510603</v>
      </c>
      <c r="V241">
        <v>3472</v>
      </c>
      <c r="W241">
        <f>LOG(Table2[[#This Row],[generalist]])</f>
        <v>3.5405797165044541</v>
      </c>
      <c r="X241" s="14">
        <v>2</v>
      </c>
      <c r="Y241">
        <v>7848</v>
      </c>
      <c r="Z241">
        <f>LOG(Table2[[#This Row],[country divers.]])</f>
        <v>3.8947589943718919</v>
      </c>
      <c r="AA241">
        <v>25000000</v>
      </c>
      <c r="AB241">
        <f>LOG(Table2[[#This Row],[Firm Size]])</f>
        <v>7.3979400086720375</v>
      </c>
      <c r="AC241" s="80">
        <v>0.24320429431535184</v>
      </c>
    </row>
    <row r="242" spans="1:29" x14ac:dyDescent="0.35">
      <c r="A242" t="s">
        <v>1</v>
      </c>
      <c r="B242">
        <v>22.345739731490099</v>
      </c>
      <c r="C242">
        <f>IF(Table2[[#This Row],[Return]]=-1,-1,LOG(1+Table2[[#This Row],[Return]]))</f>
        <v>1.3682076395096798</v>
      </c>
      <c r="D242">
        <v>8.9972602739726035</v>
      </c>
      <c r="E242">
        <v>6232.1</v>
      </c>
      <c r="F242">
        <f>IF(Table2[[#This Row],[Geo Distance]]=0,0,LOG(Table2[[#This Row],[Geo Distance]]))</f>
        <v>3.7946344133903995</v>
      </c>
      <c r="G242">
        <v>4</v>
      </c>
      <c r="H242">
        <f>IF(Table2[[#This Row],[Target age]]=0,0,LOG(Table2[[#This Row],[Target age]]))</f>
        <v>0.6020599913279624</v>
      </c>
      <c r="I242" s="45">
        <v>2.93</v>
      </c>
      <c r="J242" s="9">
        <v>624.5</v>
      </c>
      <c r="K242" s="9">
        <f>IF(Table2[[#This Row],[Culture]]=0,0,LOG(Table2[[#This Row],[Culture]]))</f>
        <v>2.7955324427101544</v>
      </c>
      <c r="L242" s="24">
        <v>-0.09</v>
      </c>
      <c r="M242" s="9">
        <f>LOG(1+Table2[[#This Row],[S&amp;P]])</f>
        <v>-4.0958607678906384E-2</v>
      </c>
      <c r="N242">
        <v>14</v>
      </c>
      <c r="O242">
        <f>IF(Table2[[#This Row],[fund age]]=0,0,LOG(Table2[[#This Row],[fund age]]))</f>
        <v>1.146128035678238</v>
      </c>
      <c r="P242">
        <f t="shared" si="3"/>
        <v>1</v>
      </c>
      <c r="Q242">
        <v>70</v>
      </c>
      <c r="R242">
        <v>50</v>
      </c>
      <c r="S242">
        <v>70</v>
      </c>
      <c r="T242" s="34">
        <v>42.1</v>
      </c>
      <c r="U242" s="42">
        <v>43.801966655694599</v>
      </c>
      <c r="V242">
        <v>1246.953</v>
      </c>
      <c r="W242">
        <f>LOG(Table2[[#This Row],[generalist]])</f>
        <v>3.0958500844125241</v>
      </c>
      <c r="X242" s="14">
        <v>3</v>
      </c>
      <c r="Y242">
        <v>3219.7179999999998</v>
      </c>
      <c r="Z242">
        <f>LOG(Table2[[#This Row],[country divers.]])</f>
        <v>3.5078178355445662</v>
      </c>
      <c r="AA242">
        <v>175520000</v>
      </c>
      <c r="AB242">
        <f>LOG(Table2[[#This Row],[Firm Size]])</f>
        <v>8.2443266102306367</v>
      </c>
      <c r="AC242" s="80">
        <v>3.1657410436323197E-2</v>
      </c>
    </row>
    <row r="243" spans="1:29" x14ac:dyDescent="0.35">
      <c r="A243" t="s">
        <v>1</v>
      </c>
      <c r="B243">
        <v>21.869955156950674</v>
      </c>
      <c r="C243">
        <f>IF(Table2[[#This Row],[Return]]=-1,-1,LOG(1+Table2[[#This Row],[Return]]))</f>
        <v>1.3592653130497758</v>
      </c>
      <c r="D243">
        <v>2.4465753424657533</v>
      </c>
      <c r="E243">
        <v>1153.8900000000001</v>
      </c>
      <c r="F243">
        <f>IF(Table2[[#This Row],[Geo Distance]]=0,0,LOG(Table2[[#This Row],[Geo Distance]]))</f>
        <v>3.0621644096256042</v>
      </c>
      <c r="G243">
        <v>9</v>
      </c>
      <c r="H243">
        <f>IF(Table2[[#This Row],[Target age]]=0,0,LOG(Table2[[#This Row],[Target age]]))</f>
        <v>0.95424250943932487</v>
      </c>
      <c r="I243" s="45">
        <v>3.06</v>
      </c>
      <c r="J243" s="9">
        <v>742.83333333333303</v>
      </c>
      <c r="K243" s="9">
        <f>IF(Table2[[#This Row],[Culture]]=0,0,LOG(Table2[[#This Row],[Culture]]))</f>
        <v>2.8708913837025327</v>
      </c>
      <c r="L243" s="24">
        <v>0.28000000000000003</v>
      </c>
      <c r="M243" s="9">
        <f>LOG(1+Table2[[#This Row],[S&amp;P]])</f>
        <v>0.10720996964786837</v>
      </c>
      <c r="N243">
        <v>28</v>
      </c>
      <c r="O243">
        <f>IF(Table2[[#This Row],[fund age]]=0,0,LOG(Table2[[#This Row],[fund age]]))</f>
        <v>1.4471580313422192</v>
      </c>
      <c r="P243">
        <f t="shared" si="3"/>
        <v>1</v>
      </c>
      <c r="Q243">
        <v>70</v>
      </c>
      <c r="R243">
        <v>50</v>
      </c>
      <c r="S243">
        <v>92.6</v>
      </c>
      <c r="T243" s="34">
        <v>39.9</v>
      </c>
      <c r="U243" s="42">
        <v>43.966315241865303</v>
      </c>
      <c r="V243">
        <v>1861.7599999999995</v>
      </c>
      <c r="W243">
        <f>LOG(Table2[[#This Row],[generalist]])</f>
        <v>3.2699236952309461</v>
      </c>
      <c r="X243" s="14">
        <v>2</v>
      </c>
      <c r="Y243">
        <v>4993.920000000001</v>
      </c>
      <c r="Z243">
        <f>LOG(Table2[[#This Row],[country divers.]])</f>
        <v>3.6984415808994222</v>
      </c>
      <c r="AA243">
        <v>33450000</v>
      </c>
      <c r="AB243">
        <f>LOG(Table2[[#This Row],[Firm Size]])</f>
        <v>7.524396122103842</v>
      </c>
      <c r="AC243" s="80">
        <v>-1.3268721052888455E-2</v>
      </c>
    </row>
    <row r="244" spans="1:29" x14ac:dyDescent="0.35">
      <c r="A244" t="s">
        <v>1</v>
      </c>
      <c r="B244">
        <v>0.77314644042788649</v>
      </c>
      <c r="C244">
        <f>IF(Table2[[#This Row],[Return]]=-1,-1,LOG(1+Table2[[#This Row],[Return]]))</f>
        <v>0.24874460454816136</v>
      </c>
      <c r="D244">
        <v>1.3917808219178083</v>
      </c>
      <c r="E244">
        <v>0</v>
      </c>
      <c r="F244">
        <f>IF(Table2[[#This Row],[Geo Distance]]=0,0,LOG(Table2[[#This Row],[Geo Distance]]))</f>
        <v>0</v>
      </c>
      <c r="G244">
        <v>7</v>
      </c>
      <c r="H244">
        <f>IF(Table2[[#This Row],[Target age]]=0,0,LOG(Table2[[#This Row],[Target age]]))</f>
        <v>0.84509804001425681</v>
      </c>
      <c r="I244" s="45">
        <v>3.42</v>
      </c>
      <c r="J244" s="9">
        <v>0</v>
      </c>
      <c r="K244" s="9">
        <f>IF(Table2[[#This Row],[Culture]]=0,0,LOG(Table2[[#This Row],[Culture]]))</f>
        <v>0</v>
      </c>
      <c r="L244" s="24">
        <v>0.14000000000000001</v>
      </c>
      <c r="M244" s="9">
        <f>LOG(1+Table2[[#This Row],[S&amp;P]])</f>
        <v>5.6904851336472641E-2</v>
      </c>
      <c r="N244">
        <v>24</v>
      </c>
      <c r="O244">
        <f>IF(Table2[[#This Row],[fund age]]=0,0,LOG(Table2[[#This Row],[fund age]]))</f>
        <v>1.3802112417116059</v>
      </c>
      <c r="P244">
        <f t="shared" si="3"/>
        <v>0</v>
      </c>
      <c r="Q244">
        <v>70</v>
      </c>
      <c r="R244">
        <v>50</v>
      </c>
      <c r="S244">
        <v>92.1</v>
      </c>
      <c r="T244" s="34">
        <v>38.4</v>
      </c>
      <c r="U244" s="42">
        <v>48.799820147807203</v>
      </c>
      <c r="V244">
        <v>1818.3524113342091</v>
      </c>
      <c r="W244">
        <f>LOG(Table2[[#This Row],[generalist]])</f>
        <v>3.2596780568098533</v>
      </c>
      <c r="X244" s="14">
        <v>2</v>
      </c>
      <c r="Y244">
        <v>10000</v>
      </c>
      <c r="Z244">
        <f>LOG(Table2[[#This Row],[country divers.]])</f>
        <v>4</v>
      </c>
      <c r="AA244">
        <v>81330000</v>
      </c>
      <c r="AB244">
        <f>LOG(Table2[[#This Row],[Firm Size]])</f>
        <v>7.9102507723001478</v>
      </c>
      <c r="AC244" s="80">
        <v>0.15370697001978062</v>
      </c>
    </row>
    <row r="245" spans="1:29" x14ac:dyDescent="0.35">
      <c r="A245" t="s">
        <v>1</v>
      </c>
      <c r="B245">
        <v>0.72483263636363637</v>
      </c>
      <c r="C245">
        <f>IF(Table2[[#This Row],[Return]]=-1,-1,LOG(1+Table2[[#This Row],[Return]]))</f>
        <v>0.23674696107305315</v>
      </c>
      <c r="D245">
        <v>2.1643835616438358</v>
      </c>
      <c r="E245">
        <v>1153.8900000000001</v>
      </c>
      <c r="F245">
        <f>IF(Table2[[#This Row],[Geo Distance]]=0,0,LOG(Table2[[#This Row],[Geo Distance]]))</f>
        <v>3.0621644096256042</v>
      </c>
      <c r="G245">
        <v>27</v>
      </c>
      <c r="H245">
        <f>IF(Table2[[#This Row],[Target age]]=0,0,LOG(Table2[[#This Row],[Target age]]))</f>
        <v>1.4313637641589874</v>
      </c>
      <c r="I245" s="45">
        <v>3.06</v>
      </c>
      <c r="J245" s="9">
        <v>742.83333333333303</v>
      </c>
      <c r="K245" s="9">
        <f>IF(Table2[[#This Row],[Culture]]=0,0,LOG(Table2[[#This Row],[Culture]]))</f>
        <v>2.8708913837025327</v>
      </c>
      <c r="L245" s="24">
        <v>0.69</v>
      </c>
      <c r="M245" s="9">
        <f>LOG(1+Table2[[#This Row],[S&amp;P]])</f>
        <v>0.22788670461367352</v>
      </c>
      <c r="N245">
        <v>8</v>
      </c>
      <c r="O245">
        <f>IF(Table2[[#This Row],[fund age]]=0,0,LOG(Table2[[#This Row],[fund age]]))</f>
        <v>0.90308998699194354</v>
      </c>
      <c r="P245">
        <f t="shared" si="3"/>
        <v>1</v>
      </c>
      <c r="Q245">
        <v>70</v>
      </c>
      <c r="R245">
        <v>90</v>
      </c>
      <c r="S245">
        <v>70</v>
      </c>
      <c r="T245" s="34">
        <v>40</v>
      </c>
      <c r="U245" s="42">
        <v>47.867790191502998</v>
      </c>
      <c r="V245" s="35">
        <v>3425.6694367497698</v>
      </c>
      <c r="W245" s="35">
        <f>LOG(Table2[[#This Row],[generalist]])</f>
        <v>3.5347454529897258</v>
      </c>
      <c r="X245" s="14">
        <v>2</v>
      </c>
      <c r="Y245" s="35">
        <v>9322.8685749461365</v>
      </c>
      <c r="Z245" s="35">
        <f>LOG(Table2[[#This Row],[country divers.]])</f>
        <v>3.9695495619878729</v>
      </c>
      <c r="AA245">
        <v>11000000</v>
      </c>
      <c r="AB245">
        <f>LOG(Table2[[#This Row],[Firm Size]])</f>
        <v>7.0413926851582254</v>
      </c>
      <c r="AC245" s="80" t="e">
        <v>#N/A</v>
      </c>
    </row>
    <row r="246" spans="1:29" x14ac:dyDescent="0.35">
      <c r="A246" t="s">
        <v>1</v>
      </c>
      <c r="B246">
        <v>0.58907656994879631</v>
      </c>
      <c r="C246">
        <f>IF(Table2[[#This Row],[Return]]=-1,-1,LOG(1+Table2[[#This Row],[Return]]))</f>
        <v>0.20114482427160621</v>
      </c>
      <c r="D246">
        <v>1.9369863013698629</v>
      </c>
      <c r="E246">
        <v>6232.1</v>
      </c>
      <c r="F246">
        <f>IF(Table2[[#This Row],[Geo Distance]]=0,0,LOG(Table2[[#This Row],[Geo Distance]]))</f>
        <v>3.7946344133903995</v>
      </c>
      <c r="G246">
        <v>148</v>
      </c>
      <c r="H246">
        <f>IF(Table2[[#This Row],[Target age]]=0,0,LOG(Table2[[#This Row],[Target age]]))</f>
        <v>2.1702617153949575</v>
      </c>
      <c r="I246" s="45">
        <v>2.93</v>
      </c>
      <c r="J246" s="9">
        <v>624.5</v>
      </c>
      <c r="K246" s="9">
        <f>IF(Table2[[#This Row],[Culture]]=0,0,LOG(Table2[[#This Row],[Culture]]))</f>
        <v>2.7955324427101544</v>
      </c>
      <c r="L246" s="24">
        <v>0.15</v>
      </c>
      <c r="M246" s="9">
        <f>LOG(1+Table2[[#This Row],[S&amp;P]])</f>
        <v>6.069784035361165E-2</v>
      </c>
      <c r="N246">
        <v>29</v>
      </c>
      <c r="O246">
        <f>IF(Table2[[#This Row],[fund age]]=0,0,LOG(Table2[[#This Row],[fund age]]))</f>
        <v>1.4623979978989561</v>
      </c>
      <c r="P246">
        <f t="shared" si="3"/>
        <v>1</v>
      </c>
      <c r="Q246">
        <v>70</v>
      </c>
      <c r="R246">
        <v>50</v>
      </c>
      <c r="S246">
        <v>92.6</v>
      </c>
      <c r="T246" s="34">
        <v>39.9</v>
      </c>
      <c r="U246" s="42">
        <v>43.966315241865303</v>
      </c>
      <c r="V246">
        <v>1618.5219999999999</v>
      </c>
      <c r="W246">
        <f>LOG(Table2[[#This Row],[generalist]])</f>
        <v>3.20911860699078</v>
      </c>
      <c r="X246" s="14">
        <v>2</v>
      </c>
      <c r="Y246">
        <v>3845.9059999999999</v>
      </c>
      <c r="Z246">
        <f>LOG(Table2[[#This Row],[country divers.]])</f>
        <v>3.5849986651910224</v>
      </c>
      <c r="AA246">
        <v>849550000</v>
      </c>
      <c r="AB246">
        <f>LOG(Table2[[#This Row],[Firm Size]])</f>
        <v>8.9291889442233998</v>
      </c>
      <c r="AC246" s="80">
        <v>-3.0202659207520188E-2</v>
      </c>
    </row>
    <row r="247" spans="1:29" x14ac:dyDescent="0.35">
      <c r="A247" t="s">
        <v>1</v>
      </c>
      <c r="B247">
        <v>0.77215189873417711</v>
      </c>
      <c r="C247">
        <f>IF(Table2[[#This Row],[Return]]=-1,-1,LOG(1+Table2[[#This Row],[Return]]))</f>
        <v>0.24850094438779657</v>
      </c>
      <c r="D247">
        <v>5.5013698630136982</v>
      </c>
      <c r="E247">
        <v>1153.8900000000001</v>
      </c>
      <c r="F247">
        <f>IF(Table2[[#This Row],[Geo Distance]]=0,0,LOG(Table2[[#This Row],[Geo Distance]]))</f>
        <v>3.0621644096256042</v>
      </c>
      <c r="G247">
        <v>62</v>
      </c>
      <c r="H247">
        <f>IF(Table2[[#This Row],[Target age]]=0,0,LOG(Table2[[#This Row],[Target age]]))</f>
        <v>1.7923916894982539</v>
      </c>
      <c r="I247" s="45">
        <v>3.06</v>
      </c>
      <c r="J247">
        <v>742.83333333333303</v>
      </c>
      <c r="K247" s="9">
        <f>IF(Table2[[#This Row],[Culture]]=0,0,LOG(Table2[[#This Row],[Culture]]))</f>
        <v>2.8708913837025327</v>
      </c>
      <c r="L247" s="24">
        <v>0.23</v>
      </c>
      <c r="M247" s="9">
        <f>LOG(1+Table2[[#This Row],[S&amp;P]])</f>
        <v>8.9905111439397931E-2</v>
      </c>
      <c r="N247">
        <v>63</v>
      </c>
      <c r="O247">
        <f>IF(Table2[[#This Row],[fund age]]=0,0,LOG(Table2[[#This Row],[fund age]]))</f>
        <v>1.7993405494535817</v>
      </c>
      <c r="P247">
        <f t="shared" si="3"/>
        <v>1</v>
      </c>
      <c r="Q247">
        <v>70</v>
      </c>
      <c r="R247">
        <v>50</v>
      </c>
      <c r="S247">
        <v>89.1</v>
      </c>
      <c r="T247" s="34">
        <v>41.4</v>
      </c>
      <c r="U247" s="42">
        <v>40.193544405546298</v>
      </c>
      <c r="V247">
        <v>1581.4506539833533</v>
      </c>
      <c r="W247">
        <f>LOG(Table2[[#This Row],[generalist]])</f>
        <v>3.1990556451691736</v>
      </c>
      <c r="X247" s="14">
        <v>2</v>
      </c>
      <c r="Y247">
        <v>6004.75624256837</v>
      </c>
      <c r="Z247">
        <f>LOG(Table2[[#This Row],[country divers.]])</f>
        <v>3.7784953823207492</v>
      </c>
      <c r="AA247">
        <v>395000000</v>
      </c>
      <c r="AB247">
        <f>LOG(Table2[[#This Row],[Firm Size]])</f>
        <v>8.5965970956264606</v>
      </c>
      <c r="AC247" s="80">
        <v>0.14221662050418304</v>
      </c>
    </row>
    <row r="248" spans="1:29" x14ac:dyDescent="0.35">
      <c r="A248" t="s">
        <v>954</v>
      </c>
      <c r="B248">
        <v>11.25</v>
      </c>
      <c r="C248">
        <f>IF(Table2[[#This Row],[Return]]=-1,-1,LOG(1+Table2[[#This Row],[Return]]))</f>
        <v>1.0881360887005513</v>
      </c>
      <c r="D248">
        <v>2.2821917808219179</v>
      </c>
      <c r="E248">
        <v>1585.78</v>
      </c>
      <c r="F248">
        <f>IF(Table2[[#This Row],[Geo Distance]]=0,0,LOG(Table2[[#This Row],[Geo Distance]]))</f>
        <v>3.200242936188824</v>
      </c>
      <c r="G248">
        <v>8</v>
      </c>
      <c r="H248">
        <f>IF(Table2[[#This Row],[Target age]]=0,0,LOG(Table2[[#This Row],[Target age]]))</f>
        <v>0.90308998699194354</v>
      </c>
      <c r="I248" s="45">
        <v>2.4700000000000002</v>
      </c>
      <c r="J248" s="9">
        <v>1962.33</v>
      </c>
      <c r="K248" s="9">
        <f>IF(Table2[[#This Row],[Culture]]=0,0,LOG(Table2[[#This Row],[Culture]]))</f>
        <v>3.2927720433740579</v>
      </c>
      <c r="L248" s="24">
        <v>0.26</v>
      </c>
      <c r="M248" s="9">
        <f>LOG(1+Table2[[#This Row],[S&amp;P]])</f>
        <v>0.10037054511756291</v>
      </c>
      <c r="N248">
        <v>8</v>
      </c>
      <c r="O248">
        <f>IF(Table2[[#This Row],[fund age]]=0,0,LOG(Table2[[#This Row],[fund age]]))</f>
        <v>0.90308998699194354</v>
      </c>
      <c r="P248">
        <f t="shared" si="3"/>
        <v>1</v>
      </c>
      <c r="Q248">
        <v>70</v>
      </c>
      <c r="R248">
        <v>50</v>
      </c>
      <c r="S248">
        <v>70</v>
      </c>
      <c r="T248" s="34">
        <v>30.8</v>
      </c>
      <c r="U248" s="42">
        <v>46.676832990761902</v>
      </c>
      <c r="V248">
        <v>4375.8573388203013</v>
      </c>
      <c r="W248">
        <f>LOG(Table2[[#This Row],[generalist]])</f>
        <v>3.6410631547392063</v>
      </c>
      <c r="X248" s="14">
        <v>2</v>
      </c>
      <c r="Y248">
        <v>5027.4348422496569</v>
      </c>
      <c r="Z248">
        <f>LOG(Table2[[#This Row],[country divers.]])</f>
        <v>3.7013464506591722</v>
      </c>
      <c r="AA248">
        <v>12000000</v>
      </c>
      <c r="AB248">
        <f>LOG(Table2[[#This Row],[Firm Size]])</f>
        <v>7.0791812460476251</v>
      </c>
      <c r="AC248" s="80">
        <v>0.2925601891832994</v>
      </c>
    </row>
    <row r="249" spans="1:29" x14ac:dyDescent="0.35">
      <c r="A249" t="s">
        <v>447</v>
      </c>
      <c r="B249">
        <v>3.666666666666667</v>
      </c>
      <c r="C249">
        <f>IF(Table2[[#This Row],[Return]]=-1,-1,LOG(1+Table2[[#This Row],[Return]]))</f>
        <v>0.66900678095857558</v>
      </c>
      <c r="D249">
        <v>2.7342465753424658</v>
      </c>
      <c r="E249">
        <v>6087.84</v>
      </c>
      <c r="F249">
        <f>IF(Table2[[#This Row],[Geo Distance]]=0,0,LOG(Table2[[#This Row],[Geo Distance]]))</f>
        <v>3.7844632298285115</v>
      </c>
      <c r="G249">
        <v>9</v>
      </c>
      <c r="H249">
        <f>IF(Table2[[#This Row],[Target age]]=0,0,LOG(Table2[[#This Row],[Target age]]))</f>
        <v>0.95424250943932487</v>
      </c>
      <c r="I249" s="45">
        <v>2.81</v>
      </c>
      <c r="J249" s="9">
        <v>824.83333333333303</v>
      </c>
      <c r="K249" s="9">
        <f>IF(Table2[[#This Row],[Culture]]=0,0,LOG(Table2[[#This Row],[Culture]]))</f>
        <v>2.9163662034275126</v>
      </c>
      <c r="L249" s="24">
        <v>0.41</v>
      </c>
      <c r="M249" s="9">
        <f>LOG(1+Table2[[#This Row],[S&amp;P]])</f>
        <v>0.14921911265537988</v>
      </c>
      <c r="N249">
        <v>21</v>
      </c>
      <c r="O249">
        <f>IF(Table2[[#This Row],[fund age]]=0,0,LOG(Table2[[#This Row],[fund age]]))</f>
        <v>1.3222192947339193</v>
      </c>
      <c r="P249">
        <f t="shared" si="3"/>
        <v>1</v>
      </c>
      <c r="Q249">
        <v>70</v>
      </c>
      <c r="R249">
        <v>50</v>
      </c>
      <c r="S249">
        <v>76</v>
      </c>
      <c r="T249" s="34">
        <v>33.19</v>
      </c>
      <c r="U249" s="42">
        <v>42.2040629527961</v>
      </c>
      <c r="V249">
        <v>1437.0580903679715</v>
      </c>
      <c r="W249">
        <f>LOG(Table2[[#This Row],[generalist]])</f>
        <v>3.1574743240259107</v>
      </c>
      <c r="X249" s="14">
        <v>2</v>
      </c>
      <c r="Y249">
        <v>5061.7945462381631</v>
      </c>
      <c r="Z249">
        <f>LOG(Table2[[#This Row],[country divers.]])</f>
        <v>3.7043045135512243</v>
      </c>
      <c r="AA249">
        <v>1000000000</v>
      </c>
      <c r="AB249">
        <f>LOG(Table2[[#This Row],[Firm Size]])</f>
        <v>9</v>
      </c>
      <c r="AC249" s="80">
        <v>0.18014844634232374</v>
      </c>
    </row>
    <row r="250" spans="1:29" x14ac:dyDescent="0.35">
      <c r="A250" t="s">
        <v>447</v>
      </c>
      <c r="B250">
        <v>-0.2592592592592593</v>
      </c>
      <c r="C250">
        <f>IF(Table2[[#This Row],[Return]]=-1,-1,LOG(1+Table2[[#This Row],[Return]]))</f>
        <v>-0.13033376849500614</v>
      </c>
      <c r="D250">
        <v>1.8493150684931507</v>
      </c>
      <c r="E250">
        <v>1262.6099999999999</v>
      </c>
      <c r="F250">
        <f>IF(Table2[[#This Row],[Geo Distance]]=0,0,LOG(Table2[[#This Row],[Geo Distance]]))</f>
        <v>3.1012692246615559</v>
      </c>
      <c r="G250">
        <v>9</v>
      </c>
      <c r="H250">
        <f>IF(Table2[[#This Row],[Target age]]=0,0,LOG(Table2[[#This Row],[Target age]]))</f>
        <v>0.95424250943932487</v>
      </c>
      <c r="I250" s="45">
        <v>2.4700000000000002</v>
      </c>
      <c r="J250" s="9">
        <v>956.5</v>
      </c>
      <c r="K250" s="9">
        <f>IF(Table2[[#This Row],[Culture]]=0,0,LOG(Table2[[#This Row],[Culture]]))</f>
        <v>2.9806849743633146</v>
      </c>
      <c r="L250" s="24">
        <v>-0.42</v>
      </c>
      <c r="M250" s="9">
        <f>LOG(1+Table2[[#This Row],[S&amp;P]])</f>
        <v>-0.23657200643706267</v>
      </c>
      <c r="N250">
        <v>30</v>
      </c>
      <c r="O250">
        <f>IF(Table2[[#This Row],[fund age]]=0,0,LOG(Table2[[#This Row],[fund age]]))</f>
        <v>1.4771212547196624</v>
      </c>
      <c r="P250">
        <f t="shared" si="3"/>
        <v>1</v>
      </c>
      <c r="Q250">
        <v>70</v>
      </c>
      <c r="R250">
        <v>50</v>
      </c>
      <c r="S250">
        <v>78</v>
      </c>
      <c r="T250" s="34">
        <v>36.36</v>
      </c>
      <c r="U250" s="42">
        <v>39.0275969715222</v>
      </c>
      <c r="V250">
        <v>1248.0746999999999</v>
      </c>
      <c r="W250">
        <f>LOG(Table2[[#This Row],[generalist]])</f>
        <v>3.0962405795987471</v>
      </c>
      <c r="X250" s="14">
        <v>2</v>
      </c>
      <c r="Y250">
        <v>2518.2170000000001</v>
      </c>
      <c r="Z250">
        <f>LOG(Table2[[#This Row],[country divers.]])</f>
        <v>3.4010931514437841</v>
      </c>
      <c r="AA250">
        <v>675000000</v>
      </c>
      <c r="AB250">
        <f>LOG(Table2[[#This Row],[Firm Size]])</f>
        <v>8.8293037728310253</v>
      </c>
      <c r="AC250" s="80">
        <v>-0.34837345468858183</v>
      </c>
    </row>
    <row r="251" spans="1:29" x14ac:dyDescent="0.35">
      <c r="A251" t="s">
        <v>447</v>
      </c>
      <c r="B251">
        <v>6.2</v>
      </c>
      <c r="C251">
        <f>IF(Table2[[#This Row],[Return]]=-1,-1,LOG(1+Table2[[#This Row],[Return]]))</f>
        <v>0.85733249643126852</v>
      </c>
      <c r="D251">
        <v>8.7205479452054799</v>
      </c>
      <c r="E251">
        <v>6087.84</v>
      </c>
      <c r="F251">
        <f>IF(Table2[[#This Row],[Geo Distance]]=0,0,LOG(Table2[[#This Row],[Geo Distance]]))</f>
        <v>3.7844632298285115</v>
      </c>
      <c r="G251">
        <v>5</v>
      </c>
      <c r="H251">
        <f>IF(Table2[[#This Row],[Target age]]=0,0,LOG(Table2[[#This Row],[Target age]]))</f>
        <v>0.69897000433601886</v>
      </c>
      <c r="I251" s="45">
        <v>2.81</v>
      </c>
      <c r="J251" s="9">
        <v>824.83333333333303</v>
      </c>
      <c r="K251" s="9">
        <f>IF(Table2[[#This Row],[Culture]]=0,0,LOG(Table2[[#This Row],[Culture]]))</f>
        <v>2.9163662034275126</v>
      </c>
      <c r="L251" s="24">
        <v>0.63</v>
      </c>
      <c r="M251" s="9">
        <f>LOG(1+Table2[[#This Row],[S&amp;P]])</f>
        <v>0.21218760440395779</v>
      </c>
      <c r="N251">
        <v>5</v>
      </c>
      <c r="O251">
        <f>IF(Table2[[#This Row],[fund age]]=0,0,LOG(Table2[[#This Row],[fund age]]))</f>
        <v>0.69897000433601886</v>
      </c>
      <c r="P251">
        <f t="shared" si="3"/>
        <v>1</v>
      </c>
      <c r="Q251">
        <v>70</v>
      </c>
      <c r="R251">
        <v>50</v>
      </c>
      <c r="S251">
        <v>70</v>
      </c>
      <c r="T251" s="34">
        <v>35.14</v>
      </c>
      <c r="U251" s="42">
        <v>38.315068463709203</v>
      </c>
      <c r="V251">
        <v>2232.1428571428569</v>
      </c>
      <c r="W251">
        <f>LOG(Table2[[#This Row],[generalist]])</f>
        <v>3.348721986001856</v>
      </c>
      <c r="X251" s="14">
        <v>5</v>
      </c>
      <c r="Y251">
        <v>5650.5102040816337</v>
      </c>
      <c r="Z251">
        <f>LOG(Table2[[#This Row],[country divers.]])</f>
        <v>3.7520876635386311</v>
      </c>
      <c r="AA251">
        <v>534000000</v>
      </c>
      <c r="AB251">
        <f>LOG(Table2[[#This Row],[Firm Size]])</f>
        <v>8.7275412570285571</v>
      </c>
      <c r="AC251" s="80">
        <v>0.33163267632918236</v>
      </c>
    </row>
    <row r="252" spans="1:29" x14ac:dyDescent="0.35">
      <c r="A252" s="35" t="s">
        <v>447</v>
      </c>
      <c r="B252">
        <v>3.5084759778384189</v>
      </c>
      <c r="C252">
        <f>IF(Table2[[#This Row],[Return]]=-1,-1,LOG(1+Table2[[#This Row],[Return]]))</f>
        <v>0.65402975999973634</v>
      </c>
      <c r="D252">
        <v>2.8904109589041096</v>
      </c>
      <c r="E252" s="35">
        <v>6087.84</v>
      </c>
      <c r="F252">
        <f>IF(Table2[[#This Row],[Geo Distance]]=0,0,LOG(Table2[[#This Row],[Geo Distance]]))</f>
        <v>3.7844632298285115</v>
      </c>
      <c r="G252" s="35">
        <v>44</v>
      </c>
      <c r="H252" s="35">
        <f>IF(Table2[[#This Row],[Target age]]=0,0,LOG(Table2[[#This Row],[Target age]]))</f>
        <v>1.6434526764861874</v>
      </c>
      <c r="I252" s="45">
        <v>2.81</v>
      </c>
      <c r="J252" s="37">
        <v>824.83333333333303</v>
      </c>
      <c r="K252" s="9">
        <f>IF(Table2[[#This Row],[Culture]]=0,0,LOG(Table2[[#This Row],[Culture]]))</f>
        <v>2.9163662034275126</v>
      </c>
      <c r="L252" s="39">
        <v>0.3</v>
      </c>
      <c r="M252" s="37">
        <f>LOG(1+Table2[[#This Row],[S&amp;P]])</f>
        <v>0.11394335230683679</v>
      </c>
      <c r="N252" s="35">
        <v>27</v>
      </c>
      <c r="O252" s="35">
        <f>IF(Table2[[#This Row],[fund age]]=0,0,LOG(Table2[[#This Row],[fund age]]))</f>
        <v>1.4313637641589874</v>
      </c>
      <c r="P252">
        <f t="shared" si="3"/>
        <v>1</v>
      </c>
      <c r="Q252" s="35">
        <v>70</v>
      </c>
      <c r="R252" s="35">
        <v>50</v>
      </c>
      <c r="S252" s="35">
        <v>77.5</v>
      </c>
      <c r="T252" s="48">
        <v>33.590000000000003</v>
      </c>
      <c r="U252" s="43">
        <v>43.725055842540201</v>
      </c>
      <c r="V252" s="35">
        <v>1699.2429587536469</v>
      </c>
      <c r="W252" s="35">
        <f>LOG(Table2[[#This Row],[generalist]])</f>
        <v>3.2302554789881364</v>
      </c>
      <c r="X252" s="14">
        <v>2</v>
      </c>
      <c r="Y252" s="35">
        <v>5842.1845502564765</v>
      </c>
      <c r="Z252" s="35">
        <f>LOG(Table2[[#This Row],[country divers.]])</f>
        <v>3.7665752718932795</v>
      </c>
      <c r="AA252" s="35">
        <v>60465000</v>
      </c>
      <c r="AB252" s="35">
        <f>LOG(Table2[[#This Row],[Firm Size]])</f>
        <v>7.7815040572087328</v>
      </c>
      <c r="AC252" s="82">
        <v>0.10584907801098109</v>
      </c>
    </row>
    <row r="253" spans="1:29" x14ac:dyDescent="0.35">
      <c r="A253" t="s">
        <v>447</v>
      </c>
      <c r="B253">
        <v>0.12941176470588234</v>
      </c>
      <c r="C253">
        <f>IF(Table2[[#This Row],[Return]]=-1,-1,LOG(1+Table2[[#This Row],[Return]]))</f>
        <v>5.2852307325275676E-2</v>
      </c>
      <c r="D253">
        <v>2.6876712328767125</v>
      </c>
      <c r="E253">
        <v>1262.6099999999999</v>
      </c>
      <c r="F253">
        <f>IF(Table2[[#This Row],[Geo Distance]]=0,0,LOG(Table2[[#This Row],[Geo Distance]]))</f>
        <v>3.1012692246615559</v>
      </c>
      <c r="G253">
        <v>0</v>
      </c>
      <c r="H253">
        <f>IF(Table2[[#This Row],[Target age]]=0,0,LOG(Table2[[#This Row],[Target age]]))</f>
        <v>0</v>
      </c>
      <c r="I253" s="45">
        <v>2.4700000000000002</v>
      </c>
      <c r="J253" s="9">
        <v>956.5</v>
      </c>
      <c r="K253" s="9">
        <f>IF(Table2[[#This Row],[Culture]]=0,0,LOG(Table2[[#This Row],[Culture]]))</f>
        <v>2.9806849743633146</v>
      </c>
      <c r="L253" s="24">
        <v>0.57999999999999996</v>
      </c>
      <c r="M253" s="9">
        <f>LOG(1+Table2[[#This Row],[S&amp;P]])</f>
        <v>0.19865708695442263</v>
      </c>
      <c r="N253">
        <v>7</v>
      </c>
      <c r="O253">
        <f>IF(Table2[[#This Row],[fund age]]=0,0,LOG(Table2[[#This Row],[fund age]]))</f>
        <v>0.84509804001425681</v>
      </c>
      <c r="P253">
        <f t="shared" si="3"/>
        <v>1</v>
      </c>
      <c r="Q253">
        <v>70</v>
      </c>
      <c r="R253">
        <v>50</v>
      </c>
      <c r="S253">
        <v>70</v>
      </c>
      <c r="T253" s="34">
        <v>31.23</v>
      </c>
      <c r="U253" s="42">
        <v>44.330850769696298</v>
      </c>
      <c r="V253" s="35">
        <v>3425.6694367497698</v>
      </c>
      <c r="W253" s="35">
        <f>LOG(Table2[[#This Row],[generalist]])</f>
        <v>3.5347454529897258</v>
      </c>
      <c r="X253" s="14">
        <v>2</v>
      </c>
      <c r="Y253" s="35">
        <v>9322.8685749461365</v>
      </c>
      <c r="Z253" s="35">
        <f>LOG(Table2[[#This Row],[country divers.]])</f>
        <v>3.9695495619878729</v>
      </c>
      <c r="AA253">
        <v>85000000</v>
      </c>
      <c r="AB253">
        <f>LOG(Table2[[#This Row],[Firm Size]])</f>
        <v>7.9294189257142929</v>
      </c>
      <c r="AC253" s="80" t="e">
        <v>#N/A</v>
      </c>
    </row>
    <row r="254" spans="1:29" x14ac:dyDescent="0.35">
      <c r="A254" t="s">
        <v>447</v>
      </c>
      <c r="B254">
        <v>3.59375</v>
      </c>
      <c r="C254">
        <f>IF(Table2[[#This Row],[Return]]=-1,-1,LOG(1+Table2[[#This Row],[Return]]))</f>
        <v>0.66216735642827007</v>
      </c>
      <c r="D254">
        <v>2.419178082191781</v>
      </c>
      <c r="E254">
        <v>6087.84</v>
      </c>
      <c r="F254">
        <f>IF(Table2[[#This Row],[Geo Distance]]=0,0,LOG(Table2[[#This Row],[Geo Distance]]))</f>
        <v>3.7844632298285115</v>
      </c>
      <c r="G254">
        <v>21</v>
      </c>
      <c r="H254">
        <f>IF(Table2[[#This Row],[Target age]]=0,0,LOG(Table2[[#This Row],[Target age]]))</f>
        <v>1.3222192947339193</v>
      </c>
      <c r="I254" s="45">
        <v>2.81</v>
      </c>
      <c r="J254" s="9">
        <v>824.83333333333303</v>
      </c>
      <c r="K254" s="9">
        <f>IF(Table2[[#This Row],[Culture]]=0,0,LOG(Table2[[#This Row],[Culture]]))</f>
        <v>2.9163662034275126</v>
      </c>
      <c r="L254" s="24">
        <v>-0.03</v>
      </c>
      <c r="M254" s="9">
        <f>LOG(1+Table2[[#This Row],[S&amp;P]])</f>
        <v>-1.322826573375516E-2</v>
      </c>
      <c r="N254">
        <v>70</v>
      </c>
      <c r="O254">
        <f>IF(Table2[[#This Row],[fund age]]=0,0,LOG(Table2[[#This Row],[fund age]]))</f>
        <v>1.8450980400142569</v>
      </c>
      <c r="P254">
        <f t="shared" si="3"/>
        <v>1</v>
      </c>
      <c r="Q254">
        <v>70</v>
      </c>
      <c r="R254">
        <v>50</v>
      </c>
      <c r="S254">
        <v>70</v>
      </c>
      <c r="T254" s="34">
        <v>32.840000000000003</v>
      </c>
      <c r="U254" s="42">
        <v>38.458217540970502</v>
      </c>
      <c r="V254">
        <v>2387.5432525951551</v>
      </c>
      <c r="W254">
        <f>LOG(Table2[[#This Row],[generalist]])</f>
        <v>3.3779512479807074</v>
      </c>
      <c r="X254" s="14">
        <v>3</v>
      </c>
      <c r="Y254">
        <v>5847.7508650519039</v>
      </c>
      <c r="Z254">
        <f>LOG(Table2[[#This Row],[country divers.]])</f>
        <v>3.7669888618571257</v>
      </c>
      <c r="AA254">
        <v>99200000</v>
      </c>
      <c r="AB254">
        <f>LOG(Table2[[#This Row],[Firm Size]])</f>
        <v>7.9965116721541785</v>
      </c>
      <c r="AC254" s="80">
        <v>-0.11408870754232148</v>
      </c>
    </row>
    <row r="255" spans="1:29" x14ac:dyDescent="0.35">
      <c r="A255" t="s">
        <v>447</v>
      </c>
      <c r="B255">
        <v>1.2250319861518779</v>
      </c>
      <c r="C255">
        <f>IF(Table2[[#This Row],[Return]]=-1,-1,LOG(1+Table2[[#This Row],[Return]]))</f>
        <v>0.34733625860207795</v>
      </c>
      <c r="D255">
        <v>9.1452054794520556</v>
      </c>
      <c r="E255">
        <v>6087.84</v>
      </c>
      <c r="F255">
        <f>IF(Table2[[#This Row],[Geo Distance]]=0,0,LOG(Table2[[#This Row],[Geo Distance]]))</f>
        <v>3.7844632298285115</v>
      </c>
      <c r="G255">
        <v>15</v>
      </c>
      <c r="H255">
        <f>IF(Table2[[#This Row],[Target age]]=0,0,LOG(Table2[[#This Row],[Target age]]))</f>
        <v>1.1760912590556813</v>
      </c>
      <c r="I255" s="45">
        <v>2.81</v>
      </c>
      <c r="J255" s="9">
        <v>824.83333333333303</v>
      </c>
      <c r="K255" s="9">
        <f>IF(Table2[[#This Row],[Culture]]=0,0,LOG(Table2[[#This Row],[Culture]]))</f>
        <v>2.9163662034275126</v>
      </c>
      <c r="L255" s="24">
        <v>0.09</v>
      </c>
      <c r="M255" s="9">
        <f>LOG(1+Table2[[#This Row],[S&amp;P]])</f>
        <v>3.7426497940623665E-2</v>
      </c>
      <c r="N255">
        <v>68</v>
      </c>
      <c r="O255">
        <f>IF(Table2[[#This Row],[fund age]]=0,0,LOG(Table2[[#This Row],[fund age]]))</f>
        <v>1.8325089127062364</v>
      </c>
      <c r="P255">
        <f t="shared" si="3"/>
        <v>1</v>
      </c>
      <c r="Q255">
        <v>70</v>
      </c>
      <c r="R255">
        <v>50</v>
      </c>
      <c r="S255">
        <v>70</v>
      </c>
      <c r="T255" s="34">
        <v>33.08</v>
      </c>
      <c r="U255" s="42">
        <v>39.934142779262203</v>
      </c>
      <c r="V255">
        <v>2387.5432525951551</v>
      </c>
      <c r="W255">
        <f>LOG(Table2[[#This Row],[generalist]])</f>
        <v>3.3779512479807074</v>
      </c>
      <c r="X255" s="14">
        <v>3</v>
      </c>
      <c r="Y255">
        <v>5847.7508650519039</v>
      </c>
      <c r="Z255">
        <f>LOG(Table2[[#This Row],[country divers.]])</f>
        <v>3.7669888618571257</v>
      </c>
      <c r="AA255">
        <v>398610000</v>
      </c>
      <c r="AB255">
        <f>LOG(Table2[[#This Row],[Firm Size]])</f>
        <v>8.6005481897240834</v>
      </c>
      <c r="AC255" s="80">
        <v>8.3075094144041239E-2</v>
      </c>
    </row>
    <row r="256" spans="1:29" x14ac:dyDescent="0.35">
      <c r="A256" t="s">
        <v>447</v>
      </c>
      <c r="B256">
        <v>1.1222222222222222</v>
      </c>
      <c r="C256">
        <f>IF(Table2[[#This Row],[Return]]=-1,-1,LOG(1+Table2[[#This Row],[Return]]))</f>
        <v>0.32679085780840267</v>
      </c>
      <c r="D256">
        <v>3.7643835616438355</v>
      </c>
      <c r="E256">
        <v>6087.84</v>
      </c>
      <c r="F256">
        <f>IF(Table2[[#This Row],[Geo Distance]]=0,0,LOG(Table2[[#This Row],[Geo Distance]]))</f>
        <v>3.7844632298285115</v>
      </c>
      <c r="G256">
        <v>7</v>
      </c>
      <c r="H256">
        <f>IF(Table2[[#This Row],[Target age]]=0,0,LOG(Table2[[#This Row],[Target age]]))</f>
        <v>0.84509804001425681</v>
      </c>
      <c r="I256" s="45">
        <v>2.81</v>
      </c>
      <c r="J256">
        <v>824.83333333333303</v>
      </c>
      <c r="K256" s="9">
        <f>IF(Table2[[#This Row],[Culture]]=0,0,LOG(Table2[[#This Row],[Culture]]))</f>
        <v>2.9163662034275126</v>
      </c>
      <c r="L256" s="24">
        <v>-0.19</v>
      </c>
      <c r="M256" s="9">
        <f>LOG(1+Table2[[#This Row],[S&amp;P]])</f>
        <v>-9.1514981121350217E-2</v>
      </c>
      <c r="N256">
        <v>38</v>
      </c>
      <c r="O256">
        <f>IF(Table2[[#This Row],[fund age]]=0,0,LOG(Table2[[#This Row],[fund age]]))</f>
        <v>1.5797835966168101</v>
      </c>
      <c r="P256">
        <f t="shared" si="3"/>
        <v>1</v>
      </c>
      <c r="Q256">
        <v>70</v>
      </c>
      <c r="R256">
        <v>50</v>
      </c>
      <c r="S256">
        <v>78.7</v>
      </c>
      <c r="T256" s="34">
        <v>35.93</v>
      </c>
      <c r="U256" s="42">
        <v>38.284221616827402</v>
      </c>
      <c r="V256">
        <v>2446.450593263969</v>
      </c>
      <c r="W256">
        <f>LOG(Table2[[#This Row],[generalist]])</f>
        <v>3.3885364494891754</v>
      </c>
      <c r="X256" s="14">
        <v>2</v>
      </c>
      <c r="Y256">
        <v>6578.8244872547029</v>
      </c>
      <c r="Z256">
        <f>LOG(Table2[[#This Row],[country divers.]])</f>
        <v>3.818148300254375</v>
      </c>
      <c r="AA256">
        <v>153000000</v>
      </c>
      <c r="AB256">
        <f>LOG(Table2[[#This Row],[Firm Size]])</f>
        <v>8.1846914308175993</v>
      </c>
      <c r="AC256" s="80">
        <v>-0.10821328086324977</v>
      </c>
    </row>
    <row r="257" spans="1:29" x14ac:dyDescent="0.35">
      <c r="A257" s="2" t="s">
        <v>4</v>
      </c>
      <c r="B257">
        <v>-7.3685048141959086E-2</v>
      </c>
      <c r="C257">
        <f>IF(Table2[[#This Row],[Return]]=-1,-1,LOG(1+Table2[[#This Row],[Return]]))</f>
        <v>-3.3241325847105839E-2</v>
      </c>
      <c r="D257">
        <v>4.4027397260273968</v>
      </c>
      <c r="E257">
        <v>1433.25</v>
      </c>
      <c r="F257">
        <f>IF(Table2[[#This Row],[Geo Distance]]=0,0,LOG(Table2[[#This Row],[Geo Distance]]))</f>
        <v>3.156321950446713</v>
      </c>
      <c r="G257">
        <v>75</v>
      </c>
      <c r="H257">
        <f>IF(Table2[[#This Row],[Target age]]=0,0,LOG(Table2[[#This Row],[Target age]]))</f>
        <v>1.8750612633917001</v>
      </c>
      <c r="I257" s="45">
        <v>3.03</v>
      </c>
      <c r="J257" s="9">
        <v>697</v>
      </c>
      <c r="K257" s="9">
        <f>IF(Table2[[#This Row],[Culture]]=0,0,LOG(Table2[[#This Row],[Culture]]))</f>
        <v>2.8432327780980096</v>
      </c>
      <c r="L257" s="24">
        <v>-0.03</v>
      </c>
      <c r="M257" s="9">
        <f>LOG(1+Table2[[#This Row],[S&amp;P]])</f>
        <v>-1.322826573375516E-2</v>
      </c>
      <c r="N257">
        <v>9</v>
      </c>
      <c r="O257">
        <f>IF(Table2[[#This Row],[fund age]]=0,0,LOG(Table2[[#This Row],[fund age]]))</f>
        <v>0.95424250943932487</v>
      </c>
      <c r="P257">
        <f t="shared" si="3"/>
        <v>1</v>
      </c>
      <c r="Q257">
        <v>70</v>
      </c>
      <c r="R257">
        <v>70</v>
      </c>
      <c r="S257">
        <v>70</v>
      </c>
      <c r="T257" s="34">
        <v>48.4</v>
      </c>
      <c r="U257" s="42">
        <v>56.929890049265502</v>
      </c>
      <c r="V257">
        <v>1895.918367346939</v>
      </c>
      <c r="W257">
        <f>LOG(Table2[[#This Row],[generalist]])</f>
        <v>3.277819633965128</v>
      </c>
      <c r="X257" s="14">
        <v>2</v>
      </c>
      <c r="Y257" s="14">
        <v>8519.3877551020414</v>
      </c>
      <c r="Z257" s="14">
        <f>LOG(Table2[[#This Row],[country divers.]])</f>
        <v>3.9304083853612104</v>
      </c>
      <c r="AA257" s="2">
        <v>125670000</v>
      </c>
      <c r="AB257" s="2">
        <f>LOG(Table2[[#This Row],[Firm Size]])</f>
        <v>8.0992316150808819</v>
      </c>
      <c r="AC257" s="80">
        <v>-0.14699682302373385</v>
      </c>
    </row>
    <row r="258" spans="1:29" x14ac:dyDescent="0.35">
      <c r="A258" s="2" t="s">
        <v>4</v>
      </c>
      <c r="B258">
        <v>-0.24421649934526413</v>
      </c>
      <c r="C258">
        <f>IF(Table2[[#This Row],[Return]]=-1,-1,LOG(1+Table2[[#This Row],[Return]]))</f>
        <v>-0.12160259330391791</v>
      </c>
      <c r="D258">
        <v>1.3205479452054794</v>
      </c>
      <c r="E258">
        <v>0</v>
      </c>
      <c r="F258">
        <f>IF(Table2[[#This Row],[Geo Distance]]=0,0,LOG(Table2[[#This Row],[Geo Distance]]))</f>
        <v>0</v>
      </c>
      <c r="G258">
        <v>51</v>
      </c>
      <c r="H258">
        <f>IF(Table2[[#This Row],[Target age]]=0,0,LOG(Table2[[#This Row],[Target age]]))</f>
        <v>1.7075701760979363</v>
      </c>
      <c r="I258" s="45">
        <v>3.59</v>
      </c>
      <c r="J258" s="9">
        <v>0</v>
      </c>
      <c r="K258" s="9">
        <f>IF(Table2[[#This Row],[Culture]]=0,0,LOG(Table2[[#This Row],[Culture]]))</f>
        <v>0</v>
      </c>
      <c r="L258" s="24">
        <v>0.15</v>
      </c>
      <c r="M258" s="9">
        <f>LOG(1+Table2[[#This Row],[S&amp;P]])</f>
        <v>6.069784035361165E-2</v>
      </c>
      <c r="N258">
        <v>15</v>
      </c>
      <c r="O258">
        <f>IF(Table2[[#This Row],[fund age]]=0,0,LOG(Table2[[#This Row],[fund age]]))</f>
        <v>1.1760912590556813</v>
      </c>
      <c r="P258">
        <f t="shared" ref="P258:P321" si="4">IF(E258=0,0,1)</f>
        <v>0</v>
      </c>
      <c r="Q258">
        <v>70</v>
      </c>
      <c r="R258">
        <v>70</v>
      </c>
      <c r="S258">
        <v>70</v>
      </c>
      <c r="T258" s="34">
        <v>45.7</v>
      </c>
      <c r="U258" s="42">
        <v>52.379377176281302</v>
      </c>
      <c r="V258">
        <v>1630.2786555587475</v>
      </c>
      <c r="W258">
        <f>LOG(Table2[[#This Row],[generalist]])</f>
        <v>3.212261842580872</v>
      </c>
      <c r="X258" s="14">
        <v>2</v>
      </c>
      <c r="Y258">
        <v>8569.3766159149673</v>
      </c>
      <c r="Z258">
        <f>LOG(Table2[[#This Row],[country divers.]])</f>
        <v>3.9329492300777744</v>
      </c>
      <c r="AA258" s="2">
        <v>274920000</v>
      </c>
      <c r="AB258" s="2">
        <f>LOG(Table2[[#This Row],[Firm Size]])</f>
        <v>8.4392063352370226</v>
      </c>
      <c r="AC258" s="80">
        <v>0.29496641865734241</v>
      </c>
    </row>
    <row r="259" spans="1:29" x14ac:dyDescent="0.35">
      <c r="A259" t="s">
        <v>4</v>
      </c>
      <c r="B259">
        <v>1.5829094919362765</v>
      </c>
      <c r="C259">
        <f>IF(Table2[[#This Row],[Return]]=-1,-1,LOG(1+Table2[[#This Row],[Return]]))</f>
        <v>0.41210918827114207</v>
      </c>
      <c r="D259">
        <v>2.8493150684931505</v>
      </c>
      <c r="E259">
        <v>0</v>
      </c>
      <c r="F259">
        <f>IF(Table2[[#This Row],[Geo Distance]]=0,0,LOG(Table2[[#This Row],[Geo Distance]]))</f>
        <v>0</v>
      </c>
      <c r="G259">
        <v>20</v>
      </c>
      <c r="H259">
        <f>IF(Table2[[#This Row],[Target age]]=0,0,LOG(Table2[[#This Row],[Target age]]))</f>
        <v>1.3010299956639813</v>
      </c>
      <c r="I259" s="45">
        <v>3.59</v>
      </c>
      <c r="J259" s="9">
        <v>0</v>
      </c>
      <c r="K259" s="9">
        <f>IF(Table2[[#This Row],[Culture]]=0,0,LOG(Table2[[#This Row],[Culture]]))</f>
        <v>0</v>
      </c>
      <c r="L259" s="24">
        <v>-0.01</v>
      </c>
      <c r="M259" s="9">
        <f>LOG(1+Table2[[#This Row],[S&amp;P]])</f>
        <v>-4.3648054024500883E-3</v>
      </c>
      <c r="N259">
        <v>14</v>
      </c>
      <c r="O259">
        <f>IF(Table2[[#This Row],[fund age]]=0,0,LOG(Table2[[#This Row],[fund age]]))</f>
        <v>1.146128035678238</v>
      </c>
      <c r="P259">
        <f t="shared" si="4"/>
        <v>0</v>
      </c>
      <c r="Q259">
        <v>70</v>
      </c>
      <c r="R259">
        <v>70</v>
      </c>
      <c r="S259">
        <v>95.6</v>
      </c>
      <c r="T259" s="34">
        <v>44</v>
      </c>
      <c r="U259" s="42">
        <v>50.007710041127098</v>
      </c>
      <c r="V259">
        <v>1450.8446376578247</v>
      </c>
      <c r="W259">
        <f>LOG(Table2[[#This Row],[generalist]])</f>
        <v>3.1616209089088487</v>
      </c>
      <c r="X259" s="14">
        <v>2</v>
      </c>
      <c r="Y259">
        <v>6306.1358665754287</v>
      </c>
      <c r="Z259">
        <f>LOG(Table2[[#This Row],[country divers.]])</f>
        <v>3.7997633234477775</v>
      </c>
      <c r="AA259">
        <v>915710000</v>
      </c>
      <c r="AB259">
        <f>LOG(Table2[[#This Row],[Firm Size]])</f>
        <v>8.9617579569203265</v>
      </c>
      <c r="AC259" s="80">
        <v>6.9346177697598321E-2</v>
      </c>
    </row>
    <row r="260" spans="1:29" x14ac:dyDescent="0.35">
      <c r="A260" t="s">
        <v>4</v>
      </c>
      <c r="B260">
        <v>-0.20424541281225439</v>
      </c>
      <c r="C260">
        <f>IF(Table2[[#This Row],[Return]]=-1,-1,LOG(1+Table2[[#This Row],[Return]]))</f>
        <v>-9.9220849176223133E-2</v>
      </c>
      <c r="D260">
        <v>6.8931506849315065</v>
      </c>
      <c r="E260">
        <v>0</v>
      </c>
      <c r="F260">
        <f>IF(Table2[[#This Row],[Geo Distance]]=0,0,LOG(Table2[[#This Row],[Geo Distance]]))</f>
        <v>0</v>
      </c>
      <c r="G260">
        <v>42</v>
      </c>
      <c r="H260">
        <f>IF(Table2[[#This Row],[Target age]]=0,0,LOG(Table2[[#This Row],[Target age]]))</f>
        <v>1.6232492903979006</v>
      </c>
      <c r="I260" s="45">
        <v>3.59</v>
      </c>
      <c r="J260" s="9">
        <v>0</v>
      </c>
      <c r="K260" s="9">
        <f>IF(Table2[[#This Row],[Culture]]=0,0,LOG(Table2[[#This Row],[Culture]]))</f>
        <v>0</v>
      </c>
      <c r="L260" s="24">
        <v>0.32</v>
      </c>
      <c r="M260" s="9">
        <f>LOG(1+Table2[[#This Row],[S&amp;P]])</f>
        <v>0.12057393120584989</v>
      </c>
      <c r="N260">
        <v>12</v>
      </c>
      <c r="O260">
        <f>IF(Table2[[#This Row],[fund age]]=0,0,LOG(Table2[[#This Row],[fund age]]))</f>
        <v>1.0791812460476249</v>
      </c>
      <c r="P260">
        <f t="shared" si="4"/>
        <v>0</v>
      </c>
      <c r="Q260">
        <v>70</v>
      </c>
      <c r="R260">
        <v>70</v>
      </c>
      <c r="S260">
        <v>96.1</v>
      </c>
      <c r="T260" s="34">
        <v>46</v>
      </c>
      <c r="U260" s="42">
        <v>50.974560675820896</v>
      </c>
      <c r="V260">
        <v>1450.8446376578247</v>
      </c>
      <c r="W260">
        <f>LOG(Table2[[#This Row],[generalist]])</f>
        <v>3.1616209089088487</v>
      </c>
      <c r="X260" s="14">
        <v>2</v>
      </c>
      <c r="Y260">
        <v>6306.1358665754287</v>
      </c>
      <c r="Z260">
        <f>LOG(Table2[[#This Row],[country divers.]])</f>
        <v>3.7997633234477775</v>
      </c>
      <c r="AA260">
        <v>4191360000</v>
      </c>
      <c r="AB260">
        <f>LOG(Table2[[#This Row],[Firm Size]])</f>
        <v>9.622354964412688</v>
      </c>
      <c r="AC260" s="80">
        <v>0.15542732277441451</v>
      </c>
    </row>
    <row r="261" spans="1:29" x14ac:dyDescent="0.35">
      <c r="A261" t="s">
        <v>4</v>
      </c>
      <c r="B261">
        <v>3.5789235809887749</v>
      </c>
      <c r="C261">
        <f>IF(Table2[[#This Row],[Return]]=-1,-1,LOG(1+Table2[[#This Row],[Return]]))</f>
        <v>0.66076339551899865</v>
      </c>
      <c r="D261">
        <v>2.7315068493150685</v>
      </c>
      <c r="E261">
        <v>0</v>
      </c>
      <c r="F261">
        <f>IF(Table2[[#This Row],[Geo Distance]]=0,0,LOG(Table2[[#This Row],[Geo Distance]]))</f>
        <v>0</v>
      </c>
      <c r="G261">
        <v>20</v>
      </c>
      <c r="H261">
        <f>IF(Table2[[#This Row],[Target age]]=0,0,LOG(Table2[[#This Row],[Target age]]))</f>
        <v>1.3010299956639813</v>
      </c>
      <c r="I261" s="45">
        <v>3.59</v>
      </c>
      <c r="J261" s="9">
        <v>0</v>
      </c>
      <c r="K261" s="9">
        <f>IF(Table2[[#This Row],[Culture]]=0,0,LOG(Table2[[#This Row],[Culture]]))</f>
        <v>0</v>
      </c>
      <c r="L261" s="24">
        <v>0.37</v>
      </c>
      <c r="M261" s="9">
        <f>LOG(1+Table2[[#This Row],[S&amp;P]])</f>
        <v>0.13672056715640679</v>
      </c>
      <c r="N261">
        <v>9</v>
      </c>
      <c r="O261">
        <f>IF(Table2[[#This Row],[fund age]]=0,0,LOG(Table2[[#This Row],[fund age]]))</f>
        <v>0.95424250943932487</v>
      </c>
      <c r="P261">
        <f t="shared" si="4"/>
        <v>0</v>
      </c>
      <c r="Q261">
        <v>70</v>
      </c>
      <c r="R261">
        <v>70</v>
      </c>
      <c r="S261">
        <v>70</v>
      </c>
      <c r="T261" s="34">
        <v>45.5</v>
      </c>
      <c r="U261" s="42">
        <v>53.974932698910798</v>
      </c>
      <c r="V261">
        <v>1450.8446376578247</v>
      </c>
      <c r="W261">
        <f>LOG(Table2[[#This Row],[generalist]])</f>
        <v>3.1616209089088487</v>
      </c>
      <c r="X261" s="14">
        <v>2</v>
      </c>
      <c r="Y261">
        <v>6306.1358665754287</v>
      </c>
      <c r="Z261">
        <f>LOG(Table2[[#This Row],[country divers.]])</f>
        <v>3.7997633234477775</v>
      </c>
      <c r="AA261">
        <v>235637477</v>
      </c>
      <c r="AB261">
        <f>LOG(Table2[[#This Row],[Firm Size]])</f>
        <v>8.3722443640434001</v>
      </c>
      <c r="AC261" s="80">
        <v>0.51292896279919242</v>
      </c>
    </row>
    <row r="262" spans="1:29" x14ac:dyDescent="0.35">
      <c r="A262" t="s">
        <v>4</v>
      </c>
      <c r="B262">
        <v>1.5521233382570161</v>
      </c>
      <c r="C262">
        <f>IF(Table2[[#This Row],[Return]]=-1,-1,LOG(1+Table2[[#This Row],[Return]]))</f>
        <v>0.40690165901075054</v>
      </c>
      <c r="D262">
        <v>4.0821917808219181</v>
      </c>
      <c r="E262">
        <v>0</v>
      </c>
      <c r="F262">
        <f>IF(Table2[[#This Row],[Geo Distance]]=0,0,LOG(Table2[[#This Row],[Geo Distance]]))</f>
        <v>0</v>
      </c>
      <c r="G262">
        <v>82</v>
      </c>
      <c r="H262">
        <f>IF(Table2[[#This Row],[Target age]]=0,0,LOG(Table2[[#This Row],[Target age]]))</f>
        <v>1.9138138523837167</v>
      </c>
      <c r="I262" s="45">
        <v>3.59</v>
      </c>
      <c r="J262" s="9">
        <v>0</v>
      </c>
      <c r="K262" s="9">
        <f>IF(Table2[[#This Row],[Culture]]=0,0,LOG(Table2[[#This Row],[Culture]]))</f>
        <v>0</v>
      </c>
      <c r="L262" s="24">
        <v>-7.0000000000000007E-2</v>
      </c>
      <c r="M262" s="9">
        <f>LOG(1+Table2[[#This Row],[S&amp;P]])</f>
        <v>-3.1517051446064911E-2</v>
      </c>
      <c r="N262">
        <v>7</v>
      </c>
      <c r="O262">
        <f>IF(Table2[[#This Row],[fund age]]=0,0,LOG(Table2[[#This Row],[fund age]]))</f>
        <v>0.84509804001425681</v>
      </c>
      <c r="P262">
        <f t="shared" si="4"/>
        <v>0</v>
      </c>
      <c r="Q262">
        <v>70</v>
      </c>
      <c r="R262">
        <v>70</v>
      </c>
      <c r="S262">
        <v>70</v>
      </c>
      <c r="T262" s="34">
        <v>46.8</v>
      </c>
      <c r="U262" s="42">
        <v>52.695054949482603</v>
      </c>
      <c r="V262">
        <v>1450.8446376578247</v>
      </c>
      <c r="W262">
        <f>LOG(Table2[[#This Row],[generalist]])</f>
        <v>3.1616209089088487</v>
      </c>
      <c r="X262" s="14">
        <v>2</v>
      </c>
      <c r="Y262">
        <v>6306.1358665754287</v>
      </c>
      <c r="Z262">
        <f>LOG(Table2[[#This Row],[country divers.]])</f>
        <v>3.7997633234477775</v>
      </c>
      <c r="AA262">
        <v>433280000</v>
      </c>
      <c r="AB262">
        <f>LOG(Table2[[#This Row],[Firm Size]])</f>
        <v>8.6367686426690309</v>
      </c>
      <c r="AC262" s="80">
        <v>-0.15558349199609922</v>
      </c>
    </row>
    <row r="263" spans="1:29" x14ac:dyDescent="0.35">
      <c r="A263" t="s">
        <v>4</v>
      </c>
      <c r="B263">
        <v>0.5714285714285714</v>
      </c>
      <c r="C263">
        <f>IF(Table2[[#This Row],[Return]]=-1,-1,LOG(1+Table2[[#This Row],[Return]]))</f>
        <v>0.19629464514396819</v>
      </c>
      <c r="D263">
        <v>7.397260273972603</v>
      </c>
      <c r="E263">
        <v>0</v>
      </c>
      <c r="F263">
        <f>IF(Table2[[#This Row],[Geo Distance]]=0,0,LOG(Table2[[#This Row],[Geo Distance]]))</f>
        <v>0</v>
      </c>
      <c r="G263">
        <v>96</v>
      </c>
      <c r="H263">
        <f>IF(Table2[[#This Row],[Target age]]=0,0,LOG(Table2[[#This Row],[Target age]]))</f>
        <v>1.9822712330395684</v>
      </c>
      <c r="I263" s="45">
        <v>3.59</v>
      </c>
      <c r="J263" s="9">
        <v>0</v>
      </c>
      <c r="K263" s="9">
        <f>IF(Table2[[#This Row],[Culture]]=0,0,LOG(Table2[[#This Row],[Culture]]))</f>
        <v>0</v>
      </c>
      <c r="L263" s="24">
        <v>0.11</v>
      </c>
      <c r="M263" s="9">
        <f>LOG(1+Table2[[#This Row],[S&amp;P]])</f>
        <v>4.5322978786657475E-2</v>
      </c>
      <c r="N263">
        <v>5</v>
      </c>
      <c r="O263">
        <f>IF(Table2[[#This Row],[fund age]]=0,0,LOG(Table2[[#This Row],[fund age]]))</f>
        <v>0.69897000433601886</v>
      </c>
      <c r="P263">
        <f t="shared" si="4"/>
        <v>0</v>
      </c>
      <c r="Q263">
        <v>70</v>
      </c>
      <c r="R263">
        <v>70</v>
      </c>
      <c r="S263">
        <v>70</v>
      </c>
      <c r="T263" s="34">
        <v>48.8</v>
      </c>
      <c r="U263" s="42">
        <v>56.244853437044902</v>
      </c>
      <c r="V263">
        <v>1450.8446376578247</v>
      </c>
      <c r="W263">
        <f>LOG(Table2[[#This Row],[generalist]])</f>
        <v>3.1616209089088487</v>
      </c>
      <c r="X263" s="14">
        <v>2</v>
      </c>
      <c r="Y263">
        <v>6306.1358665754287</v>
      </c>
      <c r="Z263">
        <f>LOG(Table2[[#This Row],[country divers.]])</f>
        <v>3.7997633234477775</v>
      </c>
      <c r="AA263">
        <v>600000000</v>
      </c>
      <c r="AB263">
        <f>LOG(Table2[[#This Row],[Firm Size]])</f>
        <v>8.7781512503836439</v>
      </c>
      <c r="AC263" s="80">
        <v>0.13207234799884104</v>
      </c>
    </row>
    <row r="264" spans="1:29" x14ac:dyDescent="0.35">
      <c r="A264" t="s">
        <v>4</v>
      </c>
      <c r="B264">
        <v>-1</v>
      </c>
      <c r="C264">
        <f>IF(Table2[[#This Row],[Return]]=-1,-1,LOG(1+Table2[[#This Row],[Return]]))</f>
        <v>-1</v>
      </c>
      <c r="D264">
        <v>5.6356164383561644</v>
      </c>
      <c r="E264">
        <v>0</v>
      </c>
      <c r="F264">
        <f>IF(Table2[[#This Row],[Geo Distance]]=0,0,LOG(Table2[[#This Row],[Geo Distance]]))</f>
        <v>0</v>
      </c>
      <c r="G264">
        <v>57</v>
      </c>
      <c r="H264">
        <f>IF(Table2[[#This Row],[Target age]]=0,0,LOG(Table2[[#This Row],[Target age]]))</f>
        <v>1.7558748556724915</v>
      </c>
      <c r="I264" s="45">
        <v>3.59</v>
      </c>
      <c r="J264" s="9">
        <v>0</v>
      </c>
      <c r="K264" s="9">
        <f>IF(Table2[[#This Row],[Culture]]=0,0,LOG(Table2[[#This Row],[Culture]]))</f>
        <v>0</v>
      </c>
      <c r="L264" s="24">
        <v>-0.1</v>
      </c>
      <c r="M264" s="9">
        <f>LOG(1+Table2[[#This Row],[S&amp;P]])</f>
        <v>-4.5757490560675115E-2</v>
      </c>
      <c r="N264">
        <v>5</v>
      </c>
      <c r="O264">
        <f>IF(Table2[[#This Row],[fund age]]=0,0,LOG(Table2[[#This Row],[fund age]]))</f>
        <v>0.69897000433601886</v>
      </c>
      <c r="P264">
        <f t="shared" si="4"/>
        <v>0</v>
      </c>
      <c r="Q264">
        <v>70</v>
      </c>
      <c r="R264">
        <v>70</v>
      </c>
      <c r="S264">
        <v>70</v>
      </c>
      <c r="T264" s="34">
        <v>48.8</v>
      </c>
      <c r="U264" s="42">
        <v>56.244853437044902</v>
      </c>
      <c r="V264">
        <v>1450.8446376578247</v>
      </c>
      <c r="W264">
        <f>LOG(Table2[[#This Row],[generalist]])</f>
        <v>3.1616209089088487</v>
      </c>
      <c r="X264" s="14">
        <v>2</v>
      </c>
      <c r="Y264">
        <v>6306.1358665754287</v>
      </c>
      <c r="Z264">
        <f>LOG(Table2[[#This Row],[country divers.]])</f>
        <v>3.7997633234477775</v>
      </c>
      <c r="AA264">
        <v>216809269</v>
      </c>
      <c r="AB264">
        <f>LOG(Table2[[#This Row],[Firm Size]])</f>
        <v>8.3360778451611068</v>
      </c>
      <c r="AC264" s="80">
        <v>-0.22827251931598225</v>
      </c>
    </row>
    <row r="265" spans="1:29" x14ac:dyDescent="0.35">
      <c r="A265" t="s">
        <v>4</v>
      </c>
      <c r="B265">
        <v>8.2448208191612267</v>
      </c>
      <c r="C265">
        <f>IF(Table2[[#This Row],[Return]]=-1,-1,LOG(1+Table2[[#This Row],[Return]]))</f>
        <v>0.96589849818814433</v>
      </c>
      <c r="D265">
        <v>5.4164383561643836</v>
      </c>
      <c r="E265">
        <v>0</v>
      </c>
      <c r="F265">
        <f>IF(Table2[[#This Row],[Geo Distance]]=0,0,LOG(Table2[[#This Row],[Geo Distance]]))</f>
        <v>0</v>
      </c>
      <c r="G265">
        <v>73</v>
      </c>
      <c r="H265">
        <f>IF(Table2[[#This Row],[Target age]]=0,0,LOG(Table2[[#This Row],[Target age]]))</f>
        <v>1.8633228601204559</v>
      </c>
      <c r="I265" s="45">
        <v>3.59</v>
      </c>
      <c r="J265" s="9">
        <v>0</v>
      </c>
      <c r="K265" s="9">
        <f>IF(Table2[[#This Row],[Culture]]=0,0,LOG(Table2[[#This Row],[Culture]]))</f>
        <v>0</v>
      </c>
      <c r="L265" s="24">
        <v>-0.09</v>
      </c>
      <c r="M265" s="9">
        <f>LOG(1+Table2[[#This Row],[S&amp;P]])</f>
        <v>-4.0958607678906384E-2</v>
      </c>
      <c r="N265">
        <v>4</v>
      </c>
      <c r="O265">
        <f>IF(Table2[[#This Row],[fund age]]=0,0,LOG(Table2[[#This Row],[fund age]]))</f>
        <v>0.6020599913279624</v>
      </c>
      <c r="P265">
        <f t="shared" si="4"/>
        <v>0</v>
      </c>
      <c r="Q265">
        <v>70</v>
      </c>
      <c r="R265">
        <v>70</v>
      </c>
      <c r="S265">
        <v>70</v>
      </c>
      <c r="T265" s="34">
        <v>48.4</v>
      </c>
      <c r="U265" s="42">
        <v>56.929890049265502</v>
      </c>
      <c r="V265">
        <v>1450.8446376578247</v>
      </c>
      <c r="W265">
        <f>LOG(Table2[[#This Row],[generalist]])</f>
        <v>3.1616209089088487</v>
      </c>
      <c r="X265" s="14">
        <v>2</v>
      </c>
      <c r="Y265">
        <v>6306.1358665754287</v>
      </c>
      <c r="Z265">
        <f>LOG(Table2[[#This Row],[country divers.]])</f>
        <v>3.7997633234477775</v>
      </c>
      <c r="AA265">
        <v>45647180</v>
      </c>
      <c r="AB265">
        <f>LOG(Table2[[#This Row],[Firm Size]])</f>
        <v>7.6594139527735292</v>
      </c>
      <c r="AC265" s="80">
        <v>-0.26357768670086146</v>
      </c>
    </row>
    <row r="266" spans="1:29" x14ac:dyDescent="0.35">
      <c r="A266" t="s">
        <v>4</v>
      </c>
      <c r="B266">
        <v>1.7777777777777777</v>
      </c>
      <c r="C266">
        <f>IF(Table2[[#This Row],[Return]]=-1,-1,LOG(1+Table2[[#This Row],[Return]]))</f>
        <v>0.44369749923271273</v>
      </c>
      <c r="D266">
        <v>4.6301369863013697</v>
      </c>
      <c r="E266">
        <v>1433.25</v>
      </c>
      <c r="F266">
        <f>IF(Table2[[#This Row],[Geo Distance]]=0,0,LOG(Table2[[#This Row],[Geo Distance]]))</f>
        <v>3.156321950446713</v>
      </c>
      <c r="G266">
        <v>27</v>
      </c>
      <c r="H266">
        <f>IF(Table2[[#This Row],[Target age]]=0,0,LOG(Table2[[#This Row],[Target age]]))</f>
        <v>1.4313637641589874</v>
      </c>
      <c r="I266" s="45">
        <v>3.03</v>
      </c>
      <c r="J266" s="9">
        <v>697</v>
      </c>
      <c r="K266" s="9">
        <f>IF(Table2[[#This Row],[Culture]]=0,0,LOG(Table2[[#This Row],[Culture]]))</f>
        <v>2.8432327780980096</v>
      </c>
      <c r="L266" s="24">
        <v>-0.15</v>
      </c>
      <c r="M266" s="9">
        <f>LOG(1+Table2[[#This Row],[S&amp;P]])</f>
        <v>-7.0581074285707285E-2</v>
      </c>
      <c r="N266">
        <v>0</v>
      </c>
      <c r="O266">
        <f>IF(Table2[[#This Row],[fund age]]=0,0,LOG(Table2[[#This Row],[fund age]]))</f>
        <v>0</v>
      </c>
      <c r="P266">
        <f t="shared" si="4"/>
        <v>1</v>
      </c>
      <c r="Q266">
        <v>70</v>
      </c>
      <c r="R266">
        <v>70</v>
      </c>
      <c r="S266">
        <v>94.2</v>
      </c>
      <c r="T266" s="34">
        <v>45</v>
      </c>
      <c r="U266" s="42">
        <v>49.278563385512697</v>
      </c>
      <c r="V266">
        <v>2094.0408163265306</v>
      </c>
      <c r="W266">
        <f>LOG(Table2[[#This Row],[generalist]])</f>
        <v>3.3209851425446502</v>
      </c>
      <c r="X266" s="14">
        <v>2</v>
      </c>
      <c r="Y266">
        <v>9886.3673469387759</v>
      </c>
      <c r="Z266">
        <f>LOG(Table2[[#This Row],[country divers.]])</f>
        <v>3.9950367434689285</v>
      </c>
      <c r="AA266">
        <v>360000000</v>
      </c>
      <c r="AB266">
        <f>LOG(Table2[[#This Row],[Firm Size]])</f>
        <v>8.5563025007672877</v>
      </c>
      <c r="AC266" s="80">
        <v>-0.17100769259985338</v>
      </c>
    </row>
    <row r="267" spans="1:29" x14ac:dyDescent="0.35">
      <c r="A267" t="s">
        <v>4</v>
      </c>
      <c r="B267">
        <v>2.2537281175707804</v>
      </c>
      <c r="C267">
        <f>IF(Table2[[#This Row],[Return]]=-1,-1,LOG(1+Table2[[#This Row],[Return]]))</f>
        <v>0.5123812603488811</v>
      </c>
      <c r="D267">
        <v>5.0246575342465754</v>
      </c>
      <c r="E267">
        <v>0</v>
      </c>
      <c r="F267">
        <f>IF(Table2[[#This Row],[Geo Distance]]=0,0,LOG(Table2[[#This Row],[Geo Distance]]))</f>
        <v>0</v>
      </c>
      <c r="G267">
        <v>120</v>
      </c>
      <c r="H267">
        <f>IF(Table2[[#This Row],[Target age]]=0,0,LOG(Table2[[#This Row],[Target age]]))</f>
        <v>2.0791812460476247</v>
      </c>
      <c r="I267" s="45">
        <v>3.59</v>
      </c>
      <c r="J267" s="9">
        <v>0</v>
      </c>
      <c r="K267" s="9">
        <f>IF(Table2[[#This Row],[Culture]]=0,0,LOG(Table2[[#This Row],[Culture]]))</f>
        <v>0</v>
      </c>
      <c r="L267" s="24">
        <v>1.1100000000000001</v>
      </c>
      <c r="M267" s="9">
        <f>LOG(1+Table2[[#This Row],[S&amp;P]])</f>
        <v>0.32428245529769273</v>
      </c>
      <c r="N267">
        <v>6</v>
      </c>
      <c r="O267">
        <f>IF(Table2[[#This Row],[fund age]]=0,0,LOG(Table2[[#This Row],[fund age]]))</f>
        <v>0.77815125038364363</v>
      </c>
      <c r="P267">
        <f t="shared" si="4"/>
        <v>0</v>
      </c>
      <c r="Q267">
        <v>70</v>
      </c>
      <c r="R267">
        <v>70</v>
      </c>
      <c r="S267">
        <v>95.9</v>
      </c>
      <c r="T267" s="34">
        <v>44.1</v>
      </c>
      <c r="U267" s="42">
        <v>52.700584961948799</v>
      </c>
      <c r="V267">
        <v>1543.2098765432097</v>
      </c>
      <c r="W267">
        <f>LOG(Table2[[#This Row],[generalist]])</f>
        <v>3.1884249941294067</v>
      </c>
      <c r="X267" s="14">
        <v>5</v>
      </c>
      <c r="Y267">
        <v>8692.1296296296296</v>
      </c>
      <c r="Z267">
        <f>LOG(Table2[[#This Row],[country divers.]])</f>
        <v>3.9391261945252749</v>
      </c>
      <c r="AA267">
        <v>46270000</v>
      </c>
      <c r="AB267">
        <f>LOG(Table2[[#This Row],[Firm Size]])</f>
        <v>7.6652994994998966</v>
      </c>
      <c r="AC267" s="80">
        <v>0.58904595534453996</v>
      </c>
    </row>
    <row r="268" spans="1:29" x14ac:dyDescent="0.35">
      <c r="A268" t="s">
        <v>4</v>
      </c>
      <c r="B268">
        <v>1.5103636363636364</v>
      </c>
      <c r="C268">
        <f>IF(Table2[[#This Row],[Return]]=-1,-1,LOG(1+Table2[[#This Row],[Return]]))</f>
        <v>0.39973663535655063</v>
      </c>
      <c r="D268">
        <v>2.9150684931506849</v>
      </c>
      <c r="E268">
        <v>0</v>
      </c>
      <c r="F268">
        <f>IF(Table2[[#This Row],[Geo Distance]]=0,0,LOG(Table2[[#This Row],[Geo Distance]]))</f>
        <v>0</v>
      </c>
      <c r="G268">
        <v>106</v>
      </c>
      <c r="H268">
        <f>IF(Table2[[#This Row],[Target age]]=0,0,LOG(Table2[[#This Row],[Target age]]))</f>
        <v>2.0253058652647704</v>
      </c>
      <c r="I268" s="45">
        <v>3.59</v>
      </c>
      <c r="J268" s="9">
        <v>0</v>
      </c>
      <c r="K268" s="9">
        <f>IF(Table2[[#This Row],[Culture]]=0,0,LOG(Table2[[#This Row],[Culture]]))</f>
        <v>0</v>
      </c>
      <c r="L268" s="24">
        <v>0.36</v>
      </c>
      <c r="M268" s="9">
        <f>LOG(1+Table2[[#This Row],[S&amp;P]])</f>
        <v>0.13353890837021748</v>
      </c>
      <c r="N268">
        <v>1</v>
      </c>
      <c r="O268">
        <f>IF(Table2[[#This Row],[fund age]]=0,0,LOG(Table2[[#This Row],[fund age]]))</f>
        <v>0</v>
      </c>
      <c r="P268">
        <f t="shared" si="4"/>
        <v>0</v>
      </c>
      <c r="Q268">
        <v>70</v>
      </c>
      <c r="R268">
        <v>70</v>
      </c>
      <c r="S268">
        <v>70</v>
      </c>
      <c r="T268" s="34">
        <v>45.7</v>
      </c>
      <c r="U268" s="42">
        <v>52.379377176281302</v>
      </c>
      <c r="V268">
        <v>1543.2098765432097</v>
      </c>
      <c r="W268">
        <f>LOG(Table2[[#This Row],[generalist]])</f>
        <v>3.1884249941294067</v>
      </c>
      <c r="X268" s="14">
        <v>5</v>
      </c>
      <c r="Y268">
        <v>8692.1296296296296</v>
      </c>
      <c r="Z268">
        <f>LOG(Table2[[#This Row],[country divers.]])</f>
        <v>3.9391261945252749</v>
      </c>
      <c r="AA268">
        <v>275000000</v>
      </c>
      <c r="AB268">
        <f>LOG(Table2[[#This Row],[Firm Size]])</f>
        <v>8.4393326938302629</v>
      </c>
      <c r="AC268" s="80">
        <v>0.55355173272610836</v>
      </c>
    </row>
    <row r="269" spans="1:29" x14ac:dyDescent="0.35">
      <c r="A269" t="s">
        <v>4</v>
      </c>
      <c r="B269">
        <v>1.5806451612903225</v>
      </c>
      <c r="C269">
        <f>IF(Table2[[#This Row],[Return]]=-1,-1,LOG(1+Table2[[#This Row],[Return]]))</f>
        <v>0.4117282931576709</v>
      </c>
      <c r="D269">
        <v>2.536986301369863</v>
      </c>
      <c r="E269">
        <v>1433.25</v>
      </c>
      <c r="F269">
        <f>IF(Table2[[#This Row],[Geo Distance]]=0,0,LOG(Table2[[#This Row],[Geo Distance]]))</f>
        <v>3.156321950446713</v>
      </c>
      <c r="G269">
        <v>62</v>
      </c>
      <c r="H269">
        <f>IF(Table2[[#This Row],[Target age]]=0,0,LOG(Table2[[#This Row],[Target age]]))</f>
        <v>1.7923916894982539</v>
      </c>
      <c r="I269" s="45">
        <v>3.03</v>
      </c>
      <c r="J269" s="9">
        <v>697</v>
      </c>
      <c r="K269" s="9">
        <f>IF(Table2[[#This Row],[Culture]]=0,0,LOG(Table2[[#This Row],[Culture]]))</f>
        <v>2.8432327780980096</v>
      </c>
      <c r="L269" s="24">
        <v>0.25</v>
      </c>
      <c r="M269" s="9">
        <f>LOG(1+Table2[[#This Row],[S&amp;P]])</f>
        <v>9.691001300805642E-2</v>
      </c>
      <c r="N269">
        <v>24</v>
      </c>
      <c r="O269">
        <f>IF(Table2[[#This Row],[fund age]]=0,0,LOG(Table2[[#This Row],[fund age]]))</f>
        <v>1.3802112417116059</v>
      </c>
      <c r="P269">
        <f t="shared" si="4"/>
        <v>1</v>
      </c>
      <c r="Q269">
        <v>70</v>
      </c>
      <c r="R269">
        <v>70</v>
      </c>
      <c r="S269">
        <v>70</v>
      </c>
      <c r="T269" s="34">
        <v>45.7</v>
      </c>
      <c r="U269" s="42">
        <v>52.379377176281302</v>
      </c>
      <c r="V269" s="40">
        <v>1709.090909090909</v>
      </c>
      <c r="W269" s="40">
        <f>LOG(Table2[[#This Row],[generalist]])</f>
        <v>3.2327651641054547</v>
      </c>
      <c r="X269" s="14">
        <v>3</v>
      </c>
      <c r="Y269">
        <v>8968.5950413223145</v>
      </c>
      <c r="Z269">
        <f>LOG(Table2[[#This Row],[country divers.]])</f>
        <v>3.9527244147731087</v>
      </c>
      <c r="AA269">
        <v>465000000</v>
      </c>
      <c r="AB269">
        <f>LOG(Table2[[#This Row],[Firm Size]])</f>
        <v>8.6674529528899544</v>
      </c>
      <c r="AC269" s="80">
        <v>0.43501026055593561</v>
      </c>
    </row>
    <row r="270" spans="1:29" x14ac:dyDescent="0.35">
      <c r="A270" t="s">
        <v>4</v>
      </c>
      <c r="B270">
        <v>3.5938048792959307</v>
      </c>
      <c r="C270">
        <f>IF(Table2[[#This Row],[Return]]=-1,-1,LOG(1+Table2[[#This Row],[Return]]))</f>
        <v>0.66217254470212683</v>
      </c>
      <c r="D270">
        <v>5.4438356164383563</v>
      </c>
      <c r="E270">
        <v>395.92</v>
      </c>
      <c r="F270">
        <f>IF(Table2[[#This Row],[Geo Distance]]=0,0,LOG(Table2[[#This Row],[Geo Distance]]))</f>
        <v>2.5976074408030998</v>
      </c>
      <c r="G270">
        <v>8</v>
      </c>
      <c r="H270">
        <f>IF(Table2[[#This Row],[Target age]]=0,0,LOG(Table2[[#This Row],[Target age]]))</f>
        <v>0.90308998699194354</v>
      </c>
      <c r="I270" s="45">
        <v>3.35</v>
      </c>
      <c r="J270" s="9">
        <v>345.83333333333297</v>
      </c>
      <c r="K270" s="9">
        <f>IF(Table2[[#This Row],[Culture]]=0,0,LOG(Table2[[#This Row],[Culture]]))</f>
        <v>2.5388668506644674</v>
      </c>
      <c r="L270" s="24">
        <v>0.06</v>
      </c>
      <c r="M270" s="9">
        <f>LOG(1+Table2[[#This Row],[S&amp;P]])</f>
        <v>2.5305865264770262E-2</v>
      </c>
      <c r="N270">
        <v>11</v>
      </c>
      <c r="O270">
        <f>IF(Table2[[#This Row],[fund age]]=0,0,LOG(Table2[[#This Row],[fund age]]))</f>
        <v>1.0413926851582251</v>
      </c>
      <c r="P270">
        <f t="shared" si="4"/>
        <v>1</v>
      </c>
      <c r="Q270">
        <v>70</v>
      </c>
      <c r="R270">
        <v>70</v>
      </c>
      <c r="S270">
        <v>70</v>
      </c>
      <c r="T270" s="34">
        <v>46.6</v>
      </c>
      <c r="U270" s="42">
        <v>52.311776995296299</v>
      </c>
      <c r="V270">
        <v>1895.918367346939</v>
      </c>
      <c r="W270">
        <f>LOG(Table2[[#This Row],[generalist]])</f>
        <v>3.277819633965128</v>
      </c>
      <c r="X270" s="14">
        <v>5</v>
      </c>
      <c r="Y270">
        <v>8519.3877551020414</v>
      </c>
      <c r="Z270">
        <f>LOG(Table2[[#This Row],[country divers.]])</f>
        <v>3.9304083853612104</v>
      </c>
      <c r="AA270">
        <v>41225702</v>
      </c>
      <c r="AB270">
        <f>LOG(Table2[[#This Row],[Firm Size]])</f>
        <v>7.6151680596380977</v>
      </c>
      <c r="AC270" s="80">
        <v>0.14942932461760861</v>
      </c>
    </row>
    <row r="271" spans="1:29" x14ac:dyDescent="0.35">
      <c r="A271" t="s">
        <v>4</v>
      </c>
      <c r="B271">
        <v>6.0135746606334841</v>
      </c>
      <c r="C271">
        <f>IF(Table2[[#This Row],[Return]]=-1,-1,LOG(1+Table2[[#This Row],[Return]]))</f>
        <v>0.84593942448518078</v>
      </c>
      <c r="D271">
        <v>9.6794520547945204</v>
      </c>
      <c r="E271">
        <v>395.92</v>
      </c>
      <c r="F271">
        <f>IF(Table2[[#This Row],[Geo Distance]]=0,0,LOG(Table2[[#This Row],[Geo Distance]]))</f>
        <v>2.5976074408030998</v>
      </c>
      <c r="G271">
        <v>5</v>
      </c>
      <c r="H271">
        <f>IF(Table2[[#This Row],[Target age]]=0,0,LOG(Table2[[#This Row],[Target age]]))</f>
        <v>0.69897000433601886</v>
      </c>
      <c r="I271" s="45">
        <v>3.35</v>
      </c>
      <c r="J271" s="9">
        <v>345.83333333333297</v>
      </c>
      <c r="K271" s="9">
        <f>IF(Table2[[#This Row],[Culture]]=0,0,LOG(Table2[[#This Row],[Culture]]))</f>
        <v>2.5388668506644674</v>
      </c>
      <c r="L271" s="24">
        <v>0.53</v>
      </c>
      <c r="M271" s="9">
        <f>LOG(1+Table2[[#This Row],[S&amp;P]])</f>
        <v>0.18469143081759881</v>
      </c>
      <c r="N271">
        <v>13</v>
      </c>
      <c r="O271">
        <f>IF(Table2[[#This Row],[fund age]]=0,0,LOG(Table2[[#This Row],[fund age]]))</f>
        <v>1.1139433523068367</v>
      </c>
      <c r="P271">
        <f t="shared" si="4"/>
        <v>1</v>
      </c>
      <c r="Q271">
        <v>70</v>
      </c>
      <c r="R271">
        <v>70</v>
      </c>
      <c r="S271">
        <v>70</v>
      </c>
      <c r="T271" s="34">
        <v>45.2</v>
      </c>
      <c r="U271" s="42">
        <v>53.8530722517336</v>
      </c>
      <c r="V271">
        <v>1895.918367346939</v>
      </c>
      <c r="W271">
        <f>LOG(Table2[[#This Row],[generalist]])</f>
        <v>3.277819633965128</v>
      </c>
      <c r="X271" s="14">
        <v>5</v>
      </c>
      <c r="Y271">
        <v>8519.3877551020414</v>
      </c>
      <c r="Z271">
        <f>LOG(Table2[[#This Row],[country divers.]])</f>
        <v>3.9304083853612104</v>
      </c>
      <c r="AA271">
        <v>2210000</v>
      </c>
      <c r="AB271">
        <f>LOG(Table2[[#This Row],[Firm Size]])</f>
        <v>6.344392273685111</v>
      </c>
      <c r="AC271" s="80">
        <v>0.51462510403268524</v>
      </c>
    </row>
    <row r="272" spans="1:29" x14ac:dyDescent="0.35">
      <c r="A272" t="s">
        <v>4</v>
      </c>
      <c r="B272">
        <v>15.285254937988057</v>
      </c>
      <c r="C272">
        <f>IF(Table2[[#This Row],[Return]]=-1,-1,LOG(1+Table2[[#This Row],[Return]]))</f>
        <v>1.2117945616294652</v>
      </c>
      <c r="D272">
        <v>5.4602739726027396</v>
      </c>
      <c r="E272">
        <v>395.92</v>
      </c>
      <c r="F272">
        <f>IF(Table2[[#This Row],[Geo Distance]]=0,0,LOG(Table2[[#This Row],[Geo Distance]]))</f>
        <v>2.5976074408030998</v>
      </c>
      <c r="G272">
        <v>18</v>
      </c>
      <c r="H272">
        <f>IF(Table2[[#This Row],[Target age]]=0,0,LOG(Table2[[#This Row],[Target age]]))</f>
        <v>1.255272505103306</v>
      </c>
      <c r="I272" s="45">
        <v>3.35</v>
      </c>
      <c r="J272" s="9">
        <v>345.83333333333297</v>
      </c>
      <c r="K272" s="9">
        <f>IF(Table2[[#This Row],[Culture]]=0,0,LOG(Table2[[#This Row],[Culture]]))</f>
        <v>2.5388668506644674</v>
      </c>
      <c r="L272" s="24">
        <v>0.37</v>
      </c>
      <c r="M272" s="9">
        <f>LOG(1+Table2[[#This Row],[S&amp;P]])</f>
        <v>0.13672056715640679</v>
      </c>
      <c r="N272">
        <v>13</v>
      </c>
      <c r="O272">
        <f>IF(Table2[[#This Row],[fund age]]=0,0,LOG(Table2[[#This Row],[fund age]]))</f>
        <v>1.1139433523068367</v>
      </c>
      <c r="P272">
        <f t="shared" si="4"/>
        <v>1</v>
      </c>
      <c r="Q272">
        <v>70</v>
      </c>
      <c r="R272">
        <v>70</v>
      </c>
      <c r="S272">
        <v>70</v>
      </c>
      <c r="T272" s="34">
        <v>45.2</v>
      </c>
      <c r="U272" s="42">
        <v>53.8530722517336</v>
      </c>
      <c r="V272">
        <v>1895.918367346939</v>
      </c>
      <c r="W272">
        <f>LOG(Table2[[#This Row],[generalist]])</f>
        <v>3.277819633965128</v>
      </c>
      <c r="X272" s="14">
        <v>5</v>
      </c>
      <c r="Y272">
        <v>8519.3877551020414</v>
      </c>
      <c r="Z272">
        <f>LOG(Table2[[#This Row],[country divers.]])</f>
        <v>3.9304083853612104</v>
      </c>
      <c r="AA272">
        <v>2177000</v>
      </c>
      <c r="AB272">
        <f>LOG(Table2[[#This Row],[Firm Size]])</f>
        <v>6.337858429041094</v>
      </c>
      <c r="AC272" s="80">
        <v>0.37081268427325775</v>
      </c>
    </row>
    <row r="273" spans="1:29" x14ac:dyDescent="0.35">
      <c r="A273" t="s">
        <v>4</v>
      </c>
      <c r="B273">
        <v>2.7107555811721991</v>
      </c>
      <c r="C273">
        <f>IF(Table2[[#This Row],[Return]]=-1,-1,LOG(1+Table2[[#This Row],[Return]]))</f>
        <v>0.56946234932479256</v>
      </c>
      <c r="D273">
        <v>5.6520547945205477</v>
      </c>
      <c r="E273">
        <v>6635.86</v>
      </c>
      <c r="F273">
        <f>IF(Table2[[#This Row],[Geo Distance]]=0,0,LOG(Table2[[#This Row],[Geo Distance]]))</f>
        <v>3.8218972149248307</v>
      </c>
      <c r="G273">
        <v>23</v>
      </c>
      <c r="H273">
        <f>IF(Table2[[#This Row],[Target age]]=0,0,LOG(Table2[[#This Row],[Target age]]))</f>
        <v>1.3617278360175928</v>
      </c>
      <c r="I273" s="45">
        <v>3.03</v>
      </c>
      <c r="J273" s="9">
        <v>808</v>
      </c>
      <c r="K273" s="9">
        <f>IF(Table2[[#This Row],[Culture]]=0,0,LOG(Table2[[#This Row],[Culture]]))</f>
        <v>2.907411360774586</v>
      </c>
      <c r="L273" s="24">
        <v>-0.09</v>
      </c>
      <c r="M273" s="9">
        <f>LOG(1+Table2[[#This Row],[S&amp;P]])</f>
        <v>-4.0958607678906384E-2</v>
      </c>
      <c r="N273">
        <v>19</v>
      </c>
      <c r="O273">
        <f>IF(Table2[[#This Row],[fund age]]=0,0,LOG(Table2[[#This Row],[fund age]]))</f>
        <v>1.2787536009528289</v>
      </c>
      <c r="P273">
        <f t="shared" si="4"/>
        <v>1</v>
      </c>
      <c r="Q273">
        <v>70</v>
      </c>
      <c r="R273">
        <v>70</v>
      </c>
      <c r="S273">
        <v>96.1</v>
      </c>
      <c r="T273" s="34">
        <v>46</v>
      </c>
      <c r="U273" s="42">
        <v>50.974560675820896</v>
      </c>
      <c r="V273">
        <v>1246.953</v>
      </c>
      <c r="W273">
        <f>LOG(Table2[[#This Row],[generalist]])</f>
        <v>3.0958500844125241</v>
      </c>
      <c r="X273" s="14">
        <v>3</v>
      </c>
      <c r="Y273">
        <v>3219.7179999999998</v>
      </c>
      <c r="Z273">
        <f>LOG(Table2[[#This Row],[country divers.]])</f>
        <v>3.5078178355445662</v>
      </c>
      <c r="AA273">
        <v>498259398</v>
      </c>
      <c r="AB273">
        <f>LOG(Table2[[#This Row],[Firm Size]])</f>
        <v>8.6974554989651978</v>
      </c>
      <c r="AC273" s="80">
        <v>-6.3245508141024032E-2</v>
      </c>
    </row>
    <row r="274" spans="1:29" x14ac:dyDescent="0.35">
      <c r="A274" t="s">
        <v>4</v>
      </c>
      <c r="B274">
        <v>2.0293743222216984</v>
      </c>
      <c r="C274">
        <f>IF(Table2[[#This Row],[Return]]=-1,-1,LOG(1+Table2[[#This Row],[Return]]))</f>
        <v>0.481352939899792</v>
      </c>
      <c r="D274">
        <v>2.0849315068493151</v>
      </c>
      <c r="E274">
        <v>1314.22</v>
      </c>
      <c r="F274">
        <f>IF(Table2[[#This Row],[Geo Distance]]=0,0,LOG(Table2[[#This Row],[Geo Distance]]))</f>
        <v>3.1186680720643172</v>
      </c>
      <c r="G274">
        <v>33</v>
      </c>
      <c r="H274">
        <f>IF(Table2[[#This Row],[Target age]]=0,0,LOG(Table2[[#This Row],[Target age]]))</f>
        <v>1.5185139398778875</v>
      </c>
      <c r="I274" s="45">
        <v>2.99</v>
      </c>
      <c r="J274" s="9">
        <v>1177</v>
      </c>
      <c r="K274" s="9">
        <f>IF(Table2[[#This Row],[Culture]]=0,0,LOG(Table2[[#This Row],[Culture]]))</f>
        <v>3.0707764628434346</v>
      </c>
      <c r="L274" s="24">
        <v>0.19</v>
      </c>
      <c r="M274" s="9">
        <f>LOG(1+Table2[[#This Row],[S&amp;P]])</f>
        <v>7.554696139253074E-2</v>
      </c>
      <c r="N274">
        <v>7</v>
      </c>
      <c r="O274">
        <f>IF(Table2[[#This Row],[fund age]]=0,0,LOG(Table2[[#This Row],[fund age]]))</f>
        <v>0.84509804001425681</v>
      </c>
      <c r="P274">
        <f t="shared" si="4"/>
        <v>1</v>
      </c>
      <c r="Q274">
        <v>70</v>
      </c>
      <c r="R274">
        <v>70</v>
      </c>
      <c r="S274">
        <v>70</v>
      </c>
      <c r="T274" s="34">
        <v>45.7</v>
      </c>
      <c r="U274" s="42">
        <v>52.379377176281302</v>
      </c>
      <c r="V274">
        <v>1682.1639898562976</v>
      </c>
      <c r="W274">
        <f>LOG(Table2[[#This Row],[generalist]])</f>
        <v>3.2258683317817765</v>
      </c>
      <c r="X274" s="14">
        <v>2</v>
      </c>
      <c r="Y274">
        <v>9152.2762951334389</v>
      </c>
      <c r="Z274">
        <f>LOG(Table2[[#This Row],[country divers.]])</f>
        <v>3.9615291224236637</v>
      </c>
      <c r="AA274">
        <v>424180000</v>
      </c>
      <c r="AB274">
        <f>LOG(Table2[[#This Row],[Firm Size]])</f>
        <v>8.6275501877675218</v>
      </c>
      <c r="AC274" s="80">
        <v>0.32902463375374413</v>
      </c>
    </row>
    <row r="275" spans="1:29" x14ac:dyDescent="0.35">
      <c r="A275" t="s">
        <v>4</v>
      </c>
      <c r="B275">
        <v>1.4575988271023146</v>
      </c>
      <c r="C275">
        <f>IF(Table2[[#This Row],[Return]]=-1,-1,LOG(1+Table2[[#This Row],[Return]]))</f>
        <v>0.39051099108289822</v>
      </c>
      <c r="D275">
        <v>2.7397260273972601</v>
      </c>
      <c r="E275">
        <v>416.73</v>
      </c>
      <c r="F275">
        <f>IF(Table2[[#This Row],[Geo Distance]]=0,0,LOG(Table2[[#This Row],[Geo Distance]]))</f>
        <v>2.6198547660331819</v>
      </c>
      <c r="G275">
        <v>16</v>
      </c>
      <c r="H275">
        <f>IF(Table2[[#This Row],[Target age]]=0,0,LOG(Table2[[#This Row],[Target age]]))</f>
        <v>1.2041199826559248</v>
      </c>
      <c r="I275" s="45">
        <v>3.49</v>
      </c>
      <c r="J275" s="9">
        <v>217.833333333333</v>
      </c>
      <c r="K275" s="9">
        <f>IF(Table2[[#This Row],[Culture]]=0,0,LOG(Table2[[#This Row],[Culture]]))</f>
        <v>2.3381243371968998</v>
      </c>
      <c r="L275" s="24">
        <v>0.5</v>
      </c>
      <c r="M275" s="9">
        <f>LOG(1+Table2[[#This Row],[S&amp;P]])</f>
        <v>0.17609125905568124</v>
      </c>
      <c r="N275">
        <v>9</v>
      </c>
      <c r="O275">
        <f>IF(Table2[[#This Row],[fund age]]=0,0,LOG(Table2[[#This Row],[fund age]]))</f>
        <v>0.95424250943932487</v>
      </c>
      <c r="P275">
        <f t="shared" si="4"/>
        <v>1</v>
      </c>
      <c r="Q275">
        <v>70</v>
      </c>
      <c r="R275">
        <v>70</v>
      </c>
      <c r="S275">
        <v>94.6</v>
      </c>
      <c r="T275" s="34">
        <v>42.6</v>
      </c>
      <c r="U275" s="42">
        <v>51.303664454517403</v>
      </c>
      <c r="V275">
        <v>2099.9405116002381</v>
      </c>
      <c r="W275">
        <f>LOG(Table2[[#This Row],[generalist]])</f>
        <v>3.3222069919483515</v>
      </c>
      <c r="X275" s="14">
        <v>2</v>
      </c>
      <c r="Y275">
        <v>9071.9809637120761</v>
      </c>
      <c r="Z275">
        <f>LOG(Table2[[#This Row],[country divers.]])</f>
        <v>3.9577021302433337</v>
      </c>
      <c r="AA275">
        <v>95490000</v>
      </c>
      <c r="AB275">
        <f>LOG(Table2[[#This Row],[Firm Size]])</f>
        <v>7.9799578933406652</v>
      </c>
      <c r="AC275" s="80">
        <v>0.27355641159704014</v>
      </c>
    </row>
    <row r="276" spans="1:29" x14ac:dyDescent="0.35">
      <c r="A276" t="s">
        <v>4</v>
      </c>
      <c r="B276">
        <v>5.1591525006159156</v>
      </c>
      <c r="C276">
        <f>IF(Table2[[#This Row],[Return]]=-1,-1,LOG(1+Table2[[#This Row],[Return]]))</f>
        <v>0.78952095735475225</v>
      </c>
      <c r="D276">
        <v>2.956164383561644</v>
      </c>
      <c r="E276">
        <v>0</v>
      </c>
      <c r="F276">
        <f>IF(Table2[[#This Row],[Geo Distance]]=0,0,LOG(Table2[[#This Row],[Geo Distance]]))</f>
        <v>0</v>
      </c>
      <c r="G276">
        <v>31</v>
      </c>
      <c r="H276">
        <f>IF(Table2[[#This Row],[Target age]]=0,0,LOG(Table2[[#This Row],[Target age]]))</f>
        <v>1.4913616938342726</v>
      </c>
      <c r="I276" s="45">
        <v>3.59</v>
      </c>
      <c r="J276" s="9">
        <v>0</v>
      </c>
      <c r="K276" s="9">
        <f>IF(Table2[[#This Row],[Culture]]=0,0,LOG(Table2[[#This Row],[Culture]]))</f>
        <v>0</v>
      </c>
      <c r="L276" s="24">
        <v>0.26</v>
      </c>
      <c r="M276" s="9">
        <f>LOG(1+Table2[[#This Row],[S&amp;P]])</f>
        <v>0.10037054511756291</v>
      </c>
      <c r="N276">
        <v>25</v>
      </c>
      <c r="O276">
        <f>IF(Table2[[#This Row],[fund age]]=0,0,LOG(Table2[[#This Row],[fund age]]))</f>
        <v>1.3979400086720377</v>
      </c>
      <c r="P276">
        <f t="shared" si="4"/>
        <v>0</v>
      </c>
      <c r="Q276">
        <v>70</v>
      </c>
      <c r="R276">
        <v>70</v>
      </c>
      <c r="S276">
        <v>91.1</v>
      </c>
      <c r="T276" s="34">
        <v>42.6</v>
      </c>
      <c r="U276" s="42">
        <v>51.076866471704001</v>
      </c>
      <c r="V276">
        <v>1630.2786555587475</v>
      </c>
      <c r="W276">
        <f>LOG(Table2[[#This Row],[generalist]])</f>
        <v>3.212261842580872</v>
      </c>
      <c r="X276" s="14">
        <v>2</v>
      </c>
      <c r="Y276">
        <v>8569.3766159149673</v>
      </c>
      <c r="Z276">
        <f>LOG(Table2[[#This Row],[country divers.]])</f>
        <v>3.9329492300777744</v>
      </c>
      <c r="AA276">
        <v>243540000</v>
      </c>
      <c r="AB276">
        <f>LOG(Table2[[#This Row],[Firm Size]])</f>
        <v>8.3865703017009299</v>
      </c>
      <c r="AC276" s="80">
        <v>0.13691654961563859</v>
      </c>
    </row>
    <row r="277" spans="1:29" x14ac:dyDescent="0.35">
      <c r="A277" t="s">
        <v>4</v>
      </c>
      <c r="B277">
        <v>6.6388888888888893</v>
      </c>
      <c r="C277">
        <f>IF(Table2[[#This Row],[Return]]=-1,-1,LOG(1+Table2[[#This Row],[Return]]))</f>
        <v>0.88303019306297537</v>
      </c>
      <c r="D277">
        <v>1.8356164383561644</v>
      </c>
      <c r="E277">
        <v>6635.86</v>
      </c>
      <c r="F277">
        <f>IF(Table2[[#This Row],[Geo Distance]]=0,0,LOG(Table2[[#This Row],[Geo Distance]]))</f>
        <v>3.8218972149248307</v>
      </c>
      <c r="G277">
        <v>-3</v>
      </c>
      <c r="H277" t="e">
        <f>IF(Table2[[#This Row],[Target age]]=0,0,LOG(Table2[[#This Row],[Target age]]))</f>
        <v>#NUM!</v>
      </c>
      <c r="I277" s="45">
        <v>3.03</v>
      </c>
      <c r="J277" s="9">
        <v>808</v>
      </c>
      <c r="K277" s="9">
        <f>IF(Table2[[#This Row],[Culture]]=0,0,LOG(Table2[[#This Row],[Culture]]))</f>
        <v>2.907411360774586</v>
      </c>
      <c r="L277" s="24">
        <v>0.37</v>
      </c>
      <c r="M277" s="9">
        <f>LOG(1+Table2[[#This Row],[S&amp;P]])</f>
        <v>0.13672056715640679</v>
      </c>
      <c r="N277">
        <v>57</v>
      </c>
      <c r="O277">
        <f>IF(Table2[[#This Row],[fund age]]=0,0,LOG(Table2[[#This Row],[fund age]]))</f>
        <v>1.7558748556724915</v>
      </c>
      <c r="P277">
        <f t="shared" si="4"/>
        <v>1</v>
      </c>
      <c r="Q277">
        <v>70</v>
      </c>
      <c r="R277">
        <v>50</v>
      </c>
      <c r="S277">
        <v>70</v>
      </c>
      <c r="T277" s="34">
        <v>48.8</v>
      </c>
      <c r="U277" s="42">
        <v>40.994444916013499</v>
      </c>
      <c r="V277">
        <v>2387.5432525951551</v>
      </c>
      <c r="W277">
        <f>LOG(Table2[[#This Row],[generalist]])</f>
        <v>3.3779512479807074</v>
      </c>
      <c r="X277" s="14">
        <v>3</v>
      </c>
      <c r="Y277">
        <v>5847.7508650519039</v>
      </c>
      <c r="Z277">
        <f>LOG(Table2[[#This Row],[country divers.]])</f>
        <v>3.7669888618571257</v>
      </c>
      <c r="AA277">
        <v>7200000</v>
      </c>
      <c r="AB277">
        <f>LOG(Table2[[#This Row],[Firm Size]])</f>
        <v>6.8573324964312681</v>
      </c>
      <c r="AC277" s="80" t="e">
        <v>#N/A</v>
      </c>
    </row>
    <row r="278" spans="1:29" x14ac:dyDescent="0.35">
      <c r="A278" t="s">
        <v>4</v>
      </c>
      <c r="B278">
        <v>-6.6744197248907788E-2</v>
      </c>
      <c r="C278">
        <f>IF(Table2[[#This Row],[Return]]=-1,-1,LOG(1+Table2[[#This Row],[Return]]))</f>
        <v>-2.9999301058829555E-2</v>
      </c>
      <c r="D278">
        <v>14.665753424657535</v>
      </c>
      <c r="E278">
        <v>6635.86</v>
      </c>
      <c r="F278">
        <f>IF(Table2[[#This Row],[Geo Distance]]=0,0,LOG(Table2[[#This Row],[Geo Distance]]))</f>
        <v>3.8218972149248307</v>
      </c>
      <c r="G278">
        <v>89</v>
      </c>
      <c r="H278">
        <f>IF(Table2[[#This Row],[Target age]]=0,0,LOG(Table2[[#This Row],[Target age]]))</f>
        <v>1.9493900066449128</v>
      </c>
      <c r="I278" s="45">
        <v>3.03</v>
      </c>
      <c r="J278" s="9">
        <v>808</v>
      </c>
      <c r="K278" s="9">
        <f>IF(Table2[[#This Row],[Culture]]=0,0,LOG(Table2[[#This Row],[Culture]]))</f>
        <v>2.907411360774586</v>
      </c>
      <c r="L278" s="24">
        <v>1.22</v>
      </c>
      <c r="M278" s="9">
        <f>LOG(1+Table2[[#This Row],[S&amp;P]])</f>
        <v>0.34635297445063856</v>
      </c>
      <c r="N278">
        <v>7</v>
      </c>
      <c r="O278">
        <f>IF(Table2[[#This Row],[fund age]]=0,0,LOG(Table2[[#This Row],[fund age]]))</f>
        <v>0.84509804001425681</v>
      </c>
      <c r="P278">
        <f t="shared" si="4"/>
        <v>1</v>
      </c>
      <c r="Q278">
        <v>70</v>
      </c>
      <c r="R278">
        <v>70</v>
      </c>
      <c r="S278">
        <v>70</v>
      </c>
      <c r="T278" s="34">
        <v>45.2</v>
      </c>
      <c r="U278" s="42">
        <v>53.8530722517336</v>
      </c>
      <c r="V278">
        <v>2914.7429978454898</v>
      </c>
      <c r="W278">
        <f>LOG(Table2[[#This Row],[generalist]])</f>
        <v>3.4646002676582905</v>
      </c>
      <c r="X278" s="14">
        <v>1</v>
      </c>
      <c r="Y278">
        <v>9322.8685749461365</v>
      </c>
      <c r="Z278">
        <f>LOG(Table2[[#This Row],[country divers.]])</f>
        <v>3.9695495619878729</v>
      </c>
      <c r="AA278">
        <v>328023677</v>
      </c>
      <c r="AB278">
        <f>LOG(Table2[[#This Row],[Firm Size]])</f>
        <v>8.5159051925510969</v>
      </c>
      <c r="AC278" s="80">
        <v>0.59976118173659065</v>
      </c>
    </row>
    <row r="279" spans="1:29" x14ac:dyDescent="0.35">
      <c r="A279" t="s">
        <v>4</v>
      </c>
      <c r="B279">
        <v>-0.68410958904109587</v>
      </c>
      <c r="C279">
        <f>IF(Table2[[#This Row],[Return]]=-1,-1,LOG(1+Table2[[#This Row],[Return]]))</f>
        <v>-0.50046355716177571</v>
      </c>
      <c r="D279">
        <v>2.2383561643835614</v>
      </c>
      <c r="E279">
        <v>1433.25</v>
      </c>
      <c r="F279">
        <f>IF(Table2[[#This Row],[Geo Distance]]=0,0,LOG(Table2[[#This Row],[Geo Distance]]))</f>
        <v>3.156321950446713</v>
      </c>
      <c r="G279">
        <v>52</v>
      </c>
      <c r="H279">
        <f>IF(Table2[[#This Row],[Target age]]=0,0,LOG(Table2[[#This Row],[Target age]]))</f>
        <v>1.7160033436347992</v>
      </c>
      <c r="I279" s="45">
        <v>3.03</v>
      </c>
      <c r="J279">
        <v>697</v>
      </c>
      <c r="K279" s="9">
        <f>IF(Table2[[#This Row],[Culture]]=0,0,LOG(Table2[[#This Row],[Culture]]))</f>
        <v>2.8432327780980096</v>
      </c>
      <c r="L279" s="24">
        <v>-0.22</v>
      </c>
      <c r="M279" s="9">
        <f>LOG(1+Table2[[#This Row],[S&amp;P]])</f>
        <v>-0.10790539730951958</v>
      </c>
      <c r="N279">
        <v>62</v>
      </c>
      <c r="O279">
        <f>IF(Table2[[#This Row],[fund age]]=0,0,LOG(Table2[[#This Row],[fund age]]))</f>
        <v>1.7923916894982539</v>
      </c>
      <c r="P279">
        <f t="shared" si="4"/>
        <v>1</v>
      </c>
      <c r="Q279">
        <v>70</v>
      </c>
      <c r="R279">
        <v>70</v>
      </c>
      <c r="S279">
        <v>94.2</v>
      </c>
      <c r="T279" s="34">
        <v>45</v>
      </c>
      <c r="U279" s="42">
        <v>49.278563385512697</v>
      </c>
      <c r="V279">
        <v>1581.4506539833533</v>
      </c>
      <c r="W279">
        <f>LOG(Table2[[#This Row],[generalist]])</f>
        <v>3.1990556451691736</v>
      </c>
      <c r="X279" s="14">
        <v>2</v>
      </c>
      <c r="Y279">
        <v>6004.75624256837</v>
      </c>
      <c r="Z279">
        <f>LOG(Table2[[#This Row],[country divers.]])</f>
        <v>3.7784953823207492</v>
      </c>
      <c r="AA279">
        <v>730000000</v>
      </c>
      <c r="AB279">
        <f>LOG(Table2[[#This Row],[Firm Size]])</f>
        <v>8.8633228601204568</v>
      </c>
      <c r="AC279" s="80">
        <v>-0.11152458922539643</v>
      </c>
    </row>
    <row r="280" spans="1:29" x14ac:dyDescent="0.35">
      <c r="A280" t="s">
        <v>489</v>
      </c>
      <c r="B280">
        <v>0.11379310344827576</v>
      </c>
      <c r="C280">
        <f>IF(Table2[[#This Row],[Return]]=-1,-1,LOG(1+Table2[[#This Row],[Return]]))</f>
        <v>4.6804524432146763E-2</v>
      </c>
      <c r="D280">
        <v>3.6739726027397261</v>
      </c>
      <c r="E280">
        <v>776.05</v>
      </c>
      <c r="F280">
        <f>IF(Table2[[#This Row],[Geo Distance]]=0,0,LOG(Table2[[#This Row],[Geo Distance]]))</f>
        <v>2.8898897032485915</v>
      </c>
      <c r="G280">
        <v>6</v>
      </c>
      <c r="H280">
        <f>IF(Table2[[#This Row],[Target age]]=0,0,LOG(Table2[[#This Row],[Target age]]))</f>
        <v>0.77815125038364363</v>
      </c>
      <c r="I280" s="45">
        <v>3.18</v>
      </c>
      <c r="J280" s="9">
        <v>254.166666666667</v>
      </c>
      <c r="K280" s="9">
        <f>IF(Table2[[#This Row],[Culture]]=0,0,LOG(Table2[[#This Row],[Culture]]))</f>
        <v>2.4051185932991617</v>
      </c>
      <c r="L280" s="24">
        <v>0.1</v>
      </c>
      <c r="M280" s="9">
        <f>LOG(1+Table2[[#This Row],[S&amp;P]])</f>
        <v>4.1392685158225077E-2</v>
      </c>
      <c r="N280">
        <v>22</v>
      </c>
      <c r="O280">
        <f>IF(Table2[[#This Row],[fund age]]=0,0,LOG(Table2[[#This Row],[fund age]]))</f>
        <v>1.3424226808222062</v>
      </c>
      <c r="P280">
        <f t="shared" si="4"/>
        <v>1</v>
      </c>
      <c r="Q280">
        <v>70</v>
      </c>
      <c r="R280">
        <v>70</v>
      </c>
      <c r="S280">
        <v>70</v>
      </c>
      <c r="T280" s="34">
        <v>27.63</v>
      </c>
      <c r="U280" s="42">
        <v>49.329709120205997</v>
      </c>
      <c r="V280" s="40">
        <v>1709.090909090909</v>
      </c>
      <c r="W280" s="40">
        <f>LOG(Table2[[#This Row],[generalist]])</f>
        <v>3.2327651641054547</v>
      </c>
      <c r="X280" s="14">
        <v>3</v>
      </c>
      <c r="Y280">
        <v>8968.5950413223145</v>
      </c>
      <c r="Z280">
        <f>LOG(Table2[[#This Row],[country divers.]])</f>
        <v>3.9527244147731087</v>
      </c>
      <c r="AA280">
        <v>580000000</v>
      </c>
      <c r="AB280">
        <f>LOG(Table2[[#This Row],[Firm Size]])</f>
        <v>8.7634279935629369</v>
      </c>
      <c r="AC280" s="80">
        <v>8.3469734709207932E-2</v>
      </c>
    </row>
    <row r="281" spans="1:29" x14ac:dyDescent="0.35">
      <c r="A281" t="s">
        <v>489</v>
      </c>
      <c r="B281">
        <v>-0.38961799769930461</v>
      </c>
      <c r="C281">
        <f>IF(Table2[[#This Row],[Return]]=-1,-1,LOG(1+Table2[[#This Row],[Return]]))</f>
        <v>-0.21439828045410877</v>
      </c>
      <c r="D281">
        <v>8.4493150684931511</v>
      </c>
      <c r="E281">
        <v>670.54</v>
      </c>
      <c r="F281">
        <f>IF(Table2[[#This Row],[Geo Distance]]=0,0,LOG(Table2[[#This Row],[Geo Distance]]))</f>
        <v>2.8264246901087553</v>
      </c>
      <c r="G281">
        <v>50</v>
      </c>
      <c r="H281">
        <f>IF(Table2[[#This Row],[Target age]]=0,0,LOG(Table2[[#This Row],[Target age]]))</f>
        <v>1.6989700043360187</v>
      </c>
      <c r="I281" s="45">
        <v>3.25</v>
      </c>
      <c r="J281" s="9">
        <v>520.5</v>
      </c>
      <c r="K281" s="9">
        <f>IF(Table2[[#This Row],[Culture]]=0,0,LOG(Table2[[#This Row],[Culture]]))</f>
        <v>2.7164207338465549</v>
      </c>
      <c r="L281" s="24">
        <v>0.32</v>
      </c>
      <c r="M281" s="9">
        <f>LOG(1+Table2[[#This Row],[S&amp;P]])</f>
        <v>0.12057393120584989</v>
      </c>
      <c r="N281">
        <v>9</v>
      </c>
      <c r="O281">
        <f>IF(Table2[[#This Row],[fund age]]=0,0,LOG(Table2[[#This Row],[fund age]]))</f>
        <v>0.95424250943932487</v>
      </c>
      <c r="P281">
        <f t="shared" si="4"/>
        <v>1</v>
      </c>
      <c r="Q281">
        <v>70</v>
      </c>
      <c r="R281">
        <v>70</v>
      </c>
      <c r="S281">
        <v>84.1</v>
      </c>
      <c r="T281" s="34">
        <v>26.2</v>
      </c>
      <c r="U281" s="42">
        <v>49.329709120205997</v>
      </c>
      <c r="V281">
        <v>9311.2244897959172</v>
      </c>
      <c r="W281">
        <f>LOG(Table2[[#This Row],[generalist]])</f>
        <v>3.9690067974360175</v>
      </c>
      <c r="X281" s="14">
        <v>3</v>
      </c>
      <c r="Y281">
        <v>4594.3867743175706</v>
      </c>
      <c r="Z281">
        <f>LOG(Table2[[#This Row],[country divers.]])</f>
        <v>3.6622275530882837</v>
      </c>
      <c r="AA281">
        <v>1146822805</v>
      </c>
      <c r="AB281">
        <f>LOG(Table2[[#This Row],[Firm Size]])</f>
        <v>9.0594963204683658</v>
      </c>
      <c r="AC281" s="80">
        <v>-3.2545450761150896E-2</v>
      </c>
    </row>
    <row r="282" spans="1:29" x14ac:dyDescent="0.35">
      <c r="A282" t="s">
        <v>489</v>
      </c>
      <c r="B282">
        <v>1.5351873141315897</v>
      </c>
      <c r="C282">
        <f>IF(Table2[[#This Row],[Return]]=-1,-1,LOG(1+Table2[[#This Row],[Return]]))</f>
        <v>0.40401005301388143</v>
      </c>
      <c r="D282">
        <v>3.6301369863013697</v>
      </c>
      <c r="E282">
        <v>0</v>
      </c>
      <c r="F282">
        <f>IF(Table2[[#This Row],[Geo Distance]]=0,0,LOG(Table2[[#This Row],[Geo Distance]]))</f>
        <v>0</v>
      </c>
      <c r="G282">
        <v>49</v>
      </c>
      <c r="H282">
        <f>IF(Table2[[#This Row],[Target age]]=0,0,LOG(Table2[[#This Row],[Target age]]))</f>
        <v>1.6901960800285136</v>
      </c>
      <c r="I282" s="29">
        <v>0</v>
      </c>
      <c r="J282" s="9">
        <v>0</v>
      </c>
      <c r="K282" s="9">
        <f>IF(Table2[[#This Row],[Culture]]=0,0,LOG(Table2[[#This Row],[Culture]]))</f>
        <v>0</v>
      </c>
      <c r="L282" s="24">
        <v>0.38</v>
      </c>
      <c r="M282" s="9">
        <f>LOG(1+Table2[[#This Row],[S&amp;P]])</f>
        <v>0.13987908640123647</v>
      </c>
      <c r="N282">
        <v>18</v>
      </c>
      <c r="O282">
        <f>IF(Table2[[#This Row],[fund age]]=0,0,LOG(Table2[[#This Row],[fund age]]))</f>
        <v>1.255272505103306</v>
      </c>
      <c r="P282">
        <f t="shared" si="4"/>
        <v>0</v>
      </c>
      <c r="Q282">
        <v>70</v>
      </c>
      <c r="R282">
        <v>70</v>
      </c>
      <c r="S282">
        <v>75.400000000000006</v>
      </c>
      <c r="T282" s="34">
        <v>26.88</v>
      </c>
      <c r="U282" s="42">
        <v>49.329709120205997</v>
      </c>
      <c r="V282">
        <v>1423.0371900826444</v>
      </c>
      <c r="W282">
        <f>LOG(Table2[[#This Row],[generalist]])</f>
        <v>3.1532162502154288</v>
      </c>
      <c r="X282" s="14">
        <v>5</v>
      </c>
      <c r="Y282">
        <v>3292.8719008264461</v>
      </c>
      <c r="Z282">
        <f>LOG(Table2[[#This Row],[country divers.]])</f>
        <v>3.5175748361336181</v>
      </c>
      <c r="AA282">
        <v>654633497</v>
      </c>
      <c r="AB282">
        <f>LOG(Table2[[#This Row],[Firm Size]])</f>
        <v>8.8159982239937715</v>
      </c>
      <c r="AC282" s="80">
        <v>0.11739793026918344</v>
      </c>
    </row>
    <row r="283" spans="1:29" x14ac:dyDescent="0.35">
      <c r="A283" t="s">
        <v>489</v>
      </c>
      <c r="B283">
        <v>7.1020000000000003</v>
      </c>
      <c r="C283">
        <f>IF(Table2[[#This Row],[Return]]=-1,-1,LOG(1+Table2[[#This Row],[Return]]))</f>
        <v>0.90859223884756946</v>
      </c>
      <c r="D283">
        <v>3.473972602739726</v>
      </c>
      <c r="E283">
        <v>0</v>
      </c>
      <c r="F283">
        <f>IF(Table2[[#This Row],[Geo Distance]]=0,0,LOG(Table2[[#This Row],[Geo Distance]]))</f>
        <v>0</v>
      </c>
      <c r="G283">
        <v>3</v>
      </c>
      <c r="H283">
        <f>IF(Table2[[#This Row],[Target age]]=0,0,LOG(Table2[[#This Row],[Target age]]))</f>
        <v>0.47712125471966244</v>
      </c>
      <c r="I283" s="29">
        <v>0</v>
      </c>
      <c r="J283" s="9">
        <v>0</v>
      </c>
      <c r="K283" s="9">
        <f>IF(Table2[[#This Row],[Culture]]=0,0,LOG(Table2[[#This Row],[Culture]]))</f>
        <v>0</v>
      </c>
      <c r="L283" s="24">
        <v>0.09</v>
      </c>
      <c r="M283" s="9">
        <f>LOG(1+Table2[[#This Row],[S&amp;P]])</f>
        <v>3.7426497940623665E-2</v>
      </c>
      <c r="N283">
        <v>6</v>
      </c>
      <c r="O283">
        <f>IF(Table2[[#This Row],[fund age]]=0,0,LOG(Table2[[#This Row],[fund age]]))</f>
        <v>0.77815125038364363</v>
      </c>
      <c r="P283">
        <f t="shared" si="4"/>
        <v>0</v>
      </c>
      <c r="Q283">
        <v>70</v>
      </c>
      <c r="R283">
        <v>70</v>
      </c>
      <c r="S283">
        <v>70</v>
      </c>
      <c r="T283" s="34">
        <v>27.63</v>
      </c>
      <c r="U283" s="42">
        <v>49.329709120205997</v>
      </c>
      <c r="V283">
        <v>1423.0371900826444</v>
      </c>
      <c r="W283">
        <f>LOG(Table2[[#This Row],[generalist]])</f>
        <v>3.1532162502154288</v>
      </c>
      <c r="X283" s="14">
        <v>5</v>
      </c>
      <c r="Y283">
        <v>3292.8719008264461</v>
      </c>
      <c r="Z283">
        <f>LOG(Table2[[#This Row],[country divers.]])</f>
        <v>3.5175748361336181</v>
      </c>
      <c r="AA283">
        <v>10000000</v>
      </c>
      <c r="AB283">
        <f>LOG(Table2[[#This Row],[Firm Size]])</f>
        <v>7</v>
      </c>
      <c r="AC283" s="80">
        <v>8.8464422677167809E-2</v>
      </c>
    </row>
    <row r="284" spans="1:29" x14ac:dyDescent="0.35">
      <c r="A284" t="s">
        <v>489</v>
      </c>
      <c r="B284">
        <v>2.5495652173913044</v>
      </c>
      <c r="C284">
        <f>IF(Table2[[#This Row],[Return]]=-1,-1,LOG(1+Table2[[#This Row],[Return]]))</f>
        <v>0.55017516002644007</v>
      </c>
      <c r="D284">
        <v>4.5287671232876709</v>
      </c>
      <c r="E284">
        <v>0</v>
      </c>
      <c r="F284">
        <f>IF(Table2[[#This Row],[Geo Distance]]=0,0,LOG(Table2[[#This Row],[Geo Distance]]))</f>
        <v>0</v>
      </c>
      <c r="G284">
        <v>0</v>
      </c>
      <c r="H284">
        <f>IF(Table2[[#This Row],[Target age]]=0,0,LOG(Table2[[#This Row],[Target age]]))</f>
        <v>0</v>
      </c>
      <c r="I284" s="29">
        <v>0</v>
      </c>
      <c r="J284" s="9">
        <v>0</v>
      </c>
      <c r="K284" s="9">
        <f>IF(Table2[[#This Row],[Culture]]=0,0,LOG(Table2[[#This Row],[Culture]]))</f>
        <v>0</v>
      </c>
      <c r="L284" s="24">
        <v>-0.17</v>
      </c>
      <c r="M284" s="9">
        <f>LOG(1+Table2[[#This Row],[S&amp;P]])</f>
        <v>-8.092190762392612E-2</v>
      </c>
      <c r="N284">
        <v>4</v>
      </c>
      <c r="O284">
        <f>IF(Table2[[#This Row],[fund age]]=0,0,LOG(Table2[[#This Row],[fund age]]))</f>
        <v>0.6020599913279624</v>
      </c>
      <c r="P284">
        <f t="shared" si="4"/>
        <v>0</v>
      </c>
      <c r="Q284">
        <v>70</v>
      </c>
      <c r="R284">
        <v>70</v>
      </c>
      <c r="S284">
        <v>70</v>
      </c>
      <c r="T284" s="34">
        <v>27.61</v>
      </c>
      <c r="U284" s="42">
        <v>49.329709120205997</v>
      </c>
      <c r="V284">
        <v>1423.0371900826444</v>
      </c>
      <c r="W284">
        <f>LOG(Table2[[#This Row],[generalist]])</f>
        <v>3.1532162502154288</v>
      </c>
      <c r="X284" s="14">
        <v>5</v>
      </c>
      <c r="Y284">
        <v>3292.8719008264461</v>
      </c>
      <c r="Z284">
        <f>LOG(Table2[[#This Row],[country divers.]])</f>
        <v>3.5175748361336181</v>
      </c>
      <c r="AA284">
        <v>23000000</v>
      </c>
      <c r="AB284">
        <f>LOG(Table2[[#This Row],[Firm Size]])</f>
        <v>7.3617278360175931</v>
      </c>
      <c r="AC284" s="80">
        <v>-0.19931325011846113</v>
      </c>
    </row>
    <row r="285" spans="1:29" x14ac:dyDescent="0.35">
      <c r="A285" t="s">
        <v>489</v>
      </c>
      <c r="B285">
        <v>11.181271454801884</v>
      </c>
      <c r="C285">
        <f>IF(Table2[[#This Row],[Return]]=-1,-1,LOG(1+Table2[[#This Row],[Return]]))</f>
        <v>1.085692621382691</v>
      </c>
      <c r="D285">
        <v>8.8328767123287673</v>
      </c>
      <c r="E285">
        <v>6651.37</v>
      </c>
      <c r="F285">
        <f>IF(Table2[[#This Row],[Geo Distance]]=0,0,LOG(Table2[[#This Row],[Geo Distance]]))</f>
        <v>3.8229111072821804</v>
      </c>
      <c r="G285">
        <v>128</v>
      </c>
      <c r="H285">
        <f>IF(Table2[[#This Row],[Target age]]=0,0,LOG(Table2[[#This Row],[Target age]]))</f>
        <v>2.1072099696478683</v>
      </c>
      <c r="I285" s="45">
        <v>3.03</v>
      </c>
      <c r="J285" s="9">
        <v>513.5</v>
      </c>
      <c r="K285" s="9">
        <f>IF(Table2[[#This Row],[Culture]]=0,0,LOG(Table2[[#This Row],[Culture]]))</f>
        <v>2.7105404479332971</v>
      </c>
      <c r="L285" s="24">
        <v>0.21</v>
      </c>
      <c r="M285" s="9">
        <f>LOG(1+Table2[[#This Row],[S&amp;P]])</f>
        <v>8.2785370316450071E-2</v>
      </c>
      <c r="N285">
        <v>17</v>
      </c>
      <c r="O285">
        <f>IF(Table2[[#This Row],[fund age]]=0,0,LOG(Table2[[#This Row],[fund age]]))</f>
        <v>1.2304489213782739</v>
      </c>
      <c r="P285">
        <f t="shared" si="4"/>
        <v>1</v>
      </c>
      <c r="Q285">
        <v>70</v>
      </c>
      <c r="R285">
        <v>70</v>
      </c>
      <c r="S285">
        <v>70</v>
      </c>
      <c r="T285" s="34">
        <v>27.63</v>
      </c>
      <c r="U285" s="42">
        <v>49.329709120205997</v>
      </c>
      <c r="V285">
        <v>2908.587257617728</v>
      </c>
      <c r="W285">
        <f>LOG(Table2[[#This Row],[generalist]])</f>
        <v>3.4636820971642801</v>
      </c>
      <c r="X285" s="14">
        <v>2</v>
      </c>
      <c r="Y285">
        <v>4681.440443213296</v>
      </c>
      <c r="Z285">
        <f>LOG(Table2[[#This Row],[country divers.]])</f>
        <v>3.6703795027080157</v>
      </c>
      <c r="AA285">
        <v>1127370000</v>
      </c>
      <c r="AB285">
        <f>LOG(Table2[[#This Row],[Firm Size]])</f>
        <v>9.052066473798158</v>
      </c>
      <c r="AC285" s="80">
        <v>0.32634364422531359</v>
      </c>
    </row>
    <row r="286" spans="1:29" x14ac:dyDescent="0.35">
      <c r="A286" t="s">
        <v>489</v>
      </c>
      <c r="B286">
        <v>1.4977692307692307</v>
      </c>
      <c r="C286">
        <f>IF(Table2[[#This Row],[Return]]=-1,-1,LOG(1+Table2[[#This Row],[Return]]))</f>
        <v>0.39755231136672903</v>
      </c>
      <c r="D286">
        <v>8.3890410958904109</v>
      </c>
      <c r="E286">
        <v>6651.37</v>
      </c>
      <c r="F286">
        <f>IF(Table2[[#This Row],[Geo Distance]]=0,0,LOG(Table2[[#This Row],[Geo Distance]]))</f>
        <v>3.8229111072821804</v>
      </c>
      <c r="G286">
        <v>41</v>
      </c>
      <c r="H286">
        <f>IF(Table2[[#This Row],[Target age]]=0,0,LOG(Table2[[#This Row],[Target age]]))</f>
        <v>1.6127838567197355</v>
      </c>
      <c r="I286" s="45">
        <v>3.03</v>
      </c>
      <c r="J286" s="9">
        <v>513.5</v>
      </c>
      <c r="K286" s="9">
        <f>IF(Table2[[#This Row],[Culture]]=0,0,LOG(Table2[[#This Row],[Culture]]))</f>
        <v>2.7105404479332971</v>
      </c>
      <c r="L286" s="24">
        <v>0.32</v>
      </c>
      <c r="M286" s="9">
        <f>LOG(1+Table2[[#This Row],[S&amp;P]])</f>
        <v>0.12057393120584989</v>
      </c>
      <c r="N286">
        <v>14</v>
      </c>
      <c r="O286">
        <f>IF(Table2[[#This Row],[fund age]]=0,0,LOG(Table2[[#This Row],[fund age]]))</f>
        <v>1.146128035678238</v>
      </c>
      <c r="P286">
        <f t="shared" si="4"/>
        <v>1</v>
      </c>
      <c r="Q286">
        <v>70</v>
      </c>
      <c r="R286">
        <v>70</v>
      </c>
      <c r="S286">
        <v>70</v>
      </c>
      <c r="T286" s="34">
        <v>26.36</v>
      </c>
      <c r="U286" s="42">
        <v>49.329709120205997</v>
      </c>
      <c r="V286">
        <v>1449.3328048619371</v>
      </c>
      <c r="W286">
        <f>LOG(Table2[[#This Row],[generalist]])</f>
        <v>3.1611681223374744</v>
      </c>
      <c r="X286" s="14">
        <v>4</v>
      </c>
      <c r="Y286">
        <v>4591.0952569692172</v>
      </c>
      <c r="Z286">
        <f>LOG(Table2[[#This Row],[country divers.]])</f>
        <v>3.6619163036888955</v>
      </c>
      <c r="AA286">
        <v>130000000</v>
      </c>
      <c r="AB286">
        <f>LOG(Table2[[#This Row],[Firm Size]])</f>
        <v>8.1139433523068369</v>
      </c>
      <c r="AC286" s="80">
        <v>0.25454538484833367</v>
      </c>
    </row>
    <row r="287" spans="1:29" x14ac:dyDescent="0.35">
      <c r="A287" s="2" t="s">
        <v>59</v>
      </c>
      <c r="B287">
        <v>-0.63592307692307692</v>
      </c>
      <c r="C287">
        <f>IF(Table2[[#This Row],[Return]]=-1,-1,LOG(1+Table2[[#This Row],[Return]]))</f>
        <v>-0.43880684783884277</v>
      </c>
      <c r="D287">
        <v>9.2657534246575342</v>
      </c>
      <c r="E287">
        <v>0</v>
      </c>
      <c r="F287">
        <f>IF(Table2[[#This Row],[Geo Distance]]=0,0,LOG(Table2[[#This Row],[Geo Distance]]))</f>
        <v>0</v>
      </c>
      <c r="G287">
        <v>0</v>
      </c>
      <c r="H287">
        <f>IF(Table2[[#This Row],[Target age]]=0,0,LOG(Table2[[#This Row],[Target age]]))</f>
        <v>0</v>
      </c>
      <c r="I287" s="45">
        <v>3.29</v>
      </c>
      <c r="J287" s="9">
        <v>0</v>
      </c>
      <c r="K287" s="9">
        <f>IF(Table2[[#This Row],[Culture]]=0,0,LOG(Table2[[#This Row],[Culture]]))</f>
        <v>0</v>
      </c>
      <c r="L287" s="24">
        <v>0.51</v>
      </c>
      <c r="M287" s="9">
        <f>LOG(1+Table2[[#This Row],[S&amp;P]])</f>
        <v>0.17897694729316943</v>
      </c>
      <c r="N287">
        <v>0</v>
      </c>
      <c r="O287">
        <f>IF(Table2[[#This Row],[fund age]]=0,0,LOG(Table2[[#This Row],[fund age]]))</f>
        <v>0</v>
      </c>
      <c r="P287">
        <f t="shared" si="4"/>
        <v>0</v>
      </c>
      <c r="Q287">
        <v>70</v>
      </c>
      <c r="R287">
        <v>70</v>
      </c>
      <c r="S287">
        <v>85</v>
      </c>
      <c r="T287" s="34">
        <v>30</v>
      </c>
      <c r="U287" s="42">
        <v>35.807885111275297</v>
      </c>
      <c r="V287">
        <v>1932.09461208012</v>
      </c>
      <c r="W287">
        <f>LOG(Table2[[#This Row],[generalist]])</f>
        <v>3.2860283894181141</v>
      </c>
      <c r="X287" s="14">
        <v>1</v>
      </c>
      <c r="Y287">
        <v>8126.3909735520938</v>
      </c>
      <c r="Z287">
        <f>LOG(Table2[[#This Row],[country divers.]])</f>
        <v>3.9098977130890344</v>
      </c>
      <c r="AA287" s="2">
        <v>52000000</v>
      </c>
      <c r="AB287" s="2">
        <f>LOG(Table2[[#This Row],[Firm Size]])</f>
        <v>7.7160033436347994</v>
      </c>
      <c r="AC287" s="80" t="e">
        <v>#N/A</v>
      </c>
    </row>
    <row r="288" spans="1:29" x14ac:dyDescent="0.35">
      <c r="A288" s="2" t="s">
        <v>59</v>
      </c>
      <c r="B288">
        <v>-0.40557898424242422</v>
      </c>
      <c r="C288">
        <f>IF(Table2[[#This Row],[Return]]=-1,-1,LOG(1+Table2[[#This Row],[Return]]))</f>
        <v>-0.22590584449276507</v>
      </c>
      <c r="D288">
        <v>4.2876712328767121</v>
      </c>
      <c r="E288">
        <v>0</v>
      </c>
      <c r="F288">
        <f>IF(Table2[[#This Row],[Geo Distance]]=0,0,LOG(Table2[[#This Row],[Geo Distance]]))</f>
        <v>0</v>
      </c>
      <c r="G288">
        <v>65</v>
      </c>
      <c r="H288">
        <f>IF(Table2[[#This Row],[Target age]]=0,0,LOG(Table2[[#This Row],[Target age]]))</f>
        <v>1.8129133566428555</v>
      </c>
      <c r="I288" s="45">
        <v>3.29</v>
      </c>
      <c r="J288" s="9">
        <v>0</v>
      </c>
      <c r="K288" s="9">
        <f>IF(Table2[[#This Row],[Culture]]=0,0,LOG(Table2[[#This Row],[Culture]]))</f>
        <v>0</v>
      </c>
      <c r="L288" s="24">
        <v>-0.22</v>
      </c>
      <c r="M288" s="9">
        <f>LOG(1+Table2[[#This Row],[S&amp;P]])</f>
        <v>-0.10790539730951958</v>
      </c>
      <c r="N288">
        <v>22</v>
      </c>
      <c r="O288">
        <f>IF(Table2[[#This Row],[fund age]]=0,0,LOG(Table2[[#This Row],[fund age]]))</f>
        <v>1.3424226808222062</v>
      </c>
      <c r="P288">
        <f t="shared" si="4"/>
        <v>0</v>
      </c>
      <c r="Q288">
        <v>70</v>
      </c>
      <c r="R288">
        <v>70</v>
      </c>
      <c r="S288">
        <v>85</v>
      </c>
      <c r="T288" s="34">
        <v>32.200000000000003</v>
      </c>
      <c r="U288" s="42">
        <v>35.326012114535303</v>
      </c>
      <c r="V288">
        <v>1519.5854290504496</v>
      </c>
      <c r="W288">
        <f>LOG(Table2[[#This Row],[generalist]])</f>
        <v>3.1817251205543564</v>
      </c>
      <c r="X288" s="14">
        <v>2</v>
      </c>
      <c r="Y288">
        <v>8383.6305441243712</v>
      </c>
      <c r="Z288">
        <f>LOG(Table2[[#This Row],[country divers.]])</f>
        <v>3.9234321312589846</v>
      </c>
      <c r="AA288" s="2">
        <v>825000000</v>
      </c>
      <c r="AB288" s="2">
        <f>LOG(Table2[[#This Row],[Firm Size]])</f>
        <v>8.9164539485499255</v>
      </c>
      <c r="AC288" s="80">
        <v>-0.28095365601755429</v>
      </c>
    </row>
    <row r="289" spans="1:29" x14ac:dyDescent="0.35">
      <c r="A289" s="2" t="s">
        <v>59</v>
      </c>
      <c r="B289">
        <v>-0.28886000000000001</v>
      </c>
      <c r="C289">
        <f>IF(Table2[[#This Row],[Return]]=-1,-1,LOG(1+Table2[[#This Row],[Return]]))</f>
        <v>-0.14804489260047846</v>
      </c>
      <c r="D289">
        <v>3.6164383561643834</v>
      </c>
      <c r="E289">
        <v>0</v>
      </c>
      <c r="F289">
        <f>IF(Table2[[#This Row],[Geo Distance]]=0,0,LOG(Table2[[#This Row],[Geo Distance]]))</f>
        <v>0</v>
      </c>
      <c r="G289">
        <v>13</v>
      </c>
      <c r="H289">
        <f>IF(Table2[[#This Row],[Target age]]=0,0,LOG(Table2[[#This Row],[Target age]]))</f>
        <v>1.1139433523068367</v>
      </c>
      <c r="I289" s="45">
        <v>3.29</v>
      </c>
      <c r="J289" s="9">
        <v>0</v>
      </c>
      <c r="K289" s="9">
        <f>IF(Table2[[#This Row],[Culture]]=0,0,LOG(Table2[[#This Row],[Culture]]))</f>
        <v>0</v>
      </c>
      <c r="L289" s="24">
        <v>-0.15</v>
      </c>
      <c r="M289" s="9">
        <f>LOG(1+Table2[[#This Row],[S&amp;P]])</f>
        <v>-7.0581074285707285E-2</v>
      </c>
      <c r="N289">
        <v>17</v>
      </c>
      <c r="O289">
        <f>IF(Table2[[#This Row],[fund age]]=0,0,LOG(Table2[[#This Row],[fund age]]))</f>
        <v>1.2304489213782739</v>
      </c>
      <c r="P289">
        <f t="shared" si="4"/>
        <v>0</v>
      </c>
      <c r="Q289">
        <v>70</v>
      </c>
      <c r="R289">
        <v>70</v>
      </c>
      <c r="S289">
        <v>85</v>
      </c>
      <c r="T289" s="34">
        <v>32.9</v>
      </c>
      <c r="U289" s="42">
        <v>35.433808146393098</v>
      </c>
      <c r="V289">
        <v>2160.6648199445985</v>
      </c>
      <c r="W289">
        <f>LOG(Table2[[#This Row],[generalist]])</f>
        <v>3.3345874007848226</v>
      </c>
      <c r="X289" s="14">
        <v>5</v>
      </c>
      <c r="Y289">
        <v>9487.5346260387796</v>
      </c>
      <c r="Z289">
        <f>LOG(Table2[[#This Row],[country divers.]])</f>
        <v>3.9771533739227865</v>
      </c>
      <c r="AA289" s="2">
        <v>19000000</v>
      </c>
      <c r="AB289" s="2">
        <f>LOG(Table2[[#This Row],[Firm Size]])</f>
        <v>7.2787536009528289</v>
      </c>
      <c r="AC289" s="80">
        <v>-0.26292434287237232</v>
      </c>
    </row>
    <row r="290" spans="1:29" x14ac:dyDescent="0.35">
      <c r="A290" s="2" t="s">
        <v>59</v>
      </c>
      <c r="B290">
        <v>3.3120332000000001</v>
      </c>
      <c r="C290">
        <f>IF(Table2[[#This Row],[Return]]=-1,-1,LOG(1+Table2[[#This Row],[Return]]))</f>
        <v>0.63468209599159786</v>
      </c>
      <c r="D290">
        <v>3.4986301369863013</v>
      </c>
      <c r="E290">
        <v>0</v>
      </c>
      <c r="F290">
        <f>IF(Table2[[#This Row],[Geo Distance]]=0,0,LOG(Table2[[#This Row],[Geo Distance]]))</f>
        <v>0</v>
      </c>
      <c r="G290">
        <v>0</v>
      </c>
      <c r="H290">
        <f>IF(Table2[[#This Row],[Target age]]=0,0,LOG(Table2[[#This Row],[Target age]]))</f>
        <v>0</v>
      </c>
      <c r="I290" s="45">
        <v>3.29</v>
      </c>
      <c r="J290" s="9">
        <v>0</v>
      </c>
      <c r="K290" s="9">
        <f>IF(Table2[[#This Row],[Culture]]=0,0,LOG(Table2[[#This Row],[Culture]]))</f>
        <v>0</v>
      </c>
      <c r="L290" s="24">
        <v>-0.14000000000000001</v>
      </c>
      <c r="M290" s="9">
        <f>LOG(1+Table2[[#This Row],[S&amp;P]])</f>
        <v>-6.5501548756432285E-2</v>
      </c>
      <c r="N290">
        <v>75</v>
      </c>
      <c r="O290">
        <f>IF(Table2[[#This Row],[fund age]]=0,0,LOG(Table2[[#This Row],[fund age]]))</f>
        <v>1.8750612633917001</v>
      </c>
      <c r="P290">
        <f t="shared" si="4"/>
        <v>0</v>
      </c>
      <c r="Q290">
        <v>70</v>
      </c>
      <c r="R290">
        <v>70</v>
      </c>
      <c r="S290">
        <v>85</v>
      </c>
      <c r="T290" s="34">
        <v>32.9</v>
      </c>
      <c r="U290" s="42">
        <v>35.433808146393098</v>
      </c>
      <c r="V290">
        <v>2636.4234056541745</v>
      </c>
      <c r="W290">
        <f>LOG(Table2[[#This Row],[generalist]])</f>
        <v>3.421015158567184</v>
      </c>
      <c r="X290" s="14">
        <v>2</v>
      </c>
      <c r="Y290">
        <v>9500.3287310979595</v>
      </c>
      <c r="Z290">
        <f>LOG(Table2[[#This Row],[country divers.]])</f>
        <v>3.9777386330395683</v>
      </c>
      <c r="AA290" s="2">
        <v>10000000</v>
      </c>
      <c r="AB290" s="2">
        <f>LOG(Table2[[#This Row],[Firm Size]])</f>
        <v>7</v>
      </c>
      <c r="AC290" s="80">
        <v>-0.24794369234613034</v>
      </c>
    </row>
    <row r="291" spans="1:29" x14ac:dyDescent="0.35">
      <c r="A291" s="2" t="s">
        <v>59</v>
      </c>
      <c r="B291">
        <v>-0.37386559183673473</v>
      </c>
      <c r="C291">
        <f>IF(Table2[[#This Row],[Return]]=-1,-1,LOG(1+Table2[[#This Row],[Return]]))</f>
        <v>-0.20333242963631826</v>
      </c>
      <c r="D291">
        <v>1.547945205479452</v>
      </c>
      <c r="E291">
        <v>0</v>
      </c>
      <c r="F291">
        <f>IF(Table2[[#This Row],[Geo Distance]]=0,0,LOG(Table2[[#This Row],[Geo Distance]]))</f>
        <v>0</v>
      </c>
      <c r="G291">
        <v>107</v>
      </c>
      <c r="H291">
        <f>IF(Table2[[#This Row],[Target age]]=0,0,LOG(Table2[[#This Row],[Target age]]))</f>
        <v>2.0293837776852097</v>
      </c>
      <c r="I291" s="45">
        <v>3.29</v>
      </c>
      <c r="J291" s="9">
        <v>0</v>
      </c>
      <c r="K291" s="9">
        <f>IF(Table2[[#This Row],[Culture]]=0,0,LOG(Table2[[#This Row],[Culture]]))</f>
        <v>0</v>
      </c>
      <c r="L291" s="24">
        <v>0.17</v>
      </c>
      <c r="M291" s="9">
        <f>LOG(1+Table2[[#This Row],[S&amp;P]])</f>
        <v>6.8185861746161619E-2</v>
      </c>
      <c r="N291">
        <v>18</v>
      </c>
      <c r="O291">
        <f>IF(Table2[[#This Row],[fund age]]=0,0,LOG(Table2[[#This Row],[fund age]]))</f>
        <v>1.255272505103306</v>
      </c>
      <c r="P291">
        <f t="shared" si="4"/>
        <v>0</v>
      </c>
      <c r="Q291">
        <v>70</v>
      </c>
      <c r="R291">
        <v>70</v>
      </c>
      <c r="S291">
        <v>85</v>
      </c>
      <c r="T291" s="34">
        <v>32.299999999999997</v>
      </c>
      <c r="U291" s="42">
        <v>40.040400531970803</v>
      </c>
      <c r="V291">
        <v>2908.1632653061233</v>
      </c>
      <c r="W291">
        <f>LOG(Table2[[#This Row],[generalist]])</f>
        <v>3.4636187843160156</v>
      </c>
      <c r="X291" s="14">
        <v>1</v>
      </c>
      <c r="Y291">
        <v>9311.2244897959172</v>
      </c>
      <c r="Z291">
        <f>LOG(Table2[[#This Row],[country divers.]])</f>
        <v>3.9690067974360175</v>
      </c>
      <c r="AA291" s="2">
        <v>49000000</v>
      </c>
      <c r="AB291" s="2">
        <f>LOG(Table2[[#This Row],[Firm Size]])</f>
        <v>7.6901960800285138</v>
      </c>
      <c r="AC291" s="80">
        <v>0.3532899968880745</v>
      </c>
    </row>
    <row r="292" spans="1:29" x14ac:dyDescent="0.35">
      <c r="A292" s="2" t="s">
        <v>59</v>
      </c>
      <c r="B292">
        <v>-1</v>
      </c>
      <c r="C292">
        <f>IF(Table2[[#This Row],[Return]]=-1,-1,LOG(1+Table2[[#This Row],[Return]]))</f>
        <v>-1</v>
      </c>
      <c r="D292">
        <v>4.8136986301369866</v>
      </c>
      <c r="E292">
        <v>0</v>
      </c>
      <c r="F292">
        <f>IF(Table2[[#This Row],[Geo Distance]]=0,0,LOG(Table2[[#This Row],[Geo Distance]]))</f>
        <v>0</v>
      </c>
      <c r="G292">
        <v>96</v>
      </c>
      <c r="H292">
        <f>IF(Table2[[#This Row],[Target age]]=0,0,LOG(Table2[[#This Row],[Target age]]))</f>
        <v>1.9822712330395684</v>
      </c>
      <c r="I292" s="45">
        <v>3.29</v>
      </c>
      <c r="J292" s="9">
        <v>0</v>
      </c>
      <c r="K292" s="9">
        <f>IF(Table2[[#This Row],[Culture]]=0,0,LOG(Table2[[#This Row],[Culture]]))</f>
        <v>0</v>
      </c>
      <c r="L292" s="24">
        <v>0.06</v>
      </c>
      <c r="M292" s="9">
        <f>LOG(1+Table2[[#This Row],[S&amp;P]])</f>
        <v>2.5305865264770262E-2</v>
      </c>
      <c r="N292">
        <v>40</v>
      </c>
      <c r="O292">
        <f>IF(Table2[[#This Row],[fund age]]=0,0,LOG(Table2[[#This Row],[fund age]]))</f>
        <v>1.6020599913279623</v>
      </c>
      <c r="P292">
        <f t="shared" si="4"/>
        <v>0</v>
      </c>
      <c r="Q292">
        <v>70</v>
      </c>
      <c r="R292">
        <v>70</v>
      </c>
      <c r="S292">
        <v>90.8</v>
      </c>
      <c r="T292" s="34">
        <v>32.299999999999997</v>
      </c>
      <c r="U292" s="42">
        <v>44.4007960521485</v>
      </c>
      <c r="V292">
        <v>1564.6831074825357</v>
      </c>
      <c r="W292">
        <f>LOG(Table2[[#This Row],[generalist]])</f>
        <v>3.1944263938906516</v>
      </c>
      <c r="X292" s="14">
        <v>2</v>
      </c>
      <c r="Y292">
        <v>8454.6755323625966</v>
      </c>
      <c r="Z292">
        <f>LOG(Table2[[#This Row],[country divers.]])</f>
        <v>3.9270969452030209</v>
      </c>
      <c r="AA292" s="2">
        <v>1570750000</v>
      </c>
      <c r="AB292" s="2">
        <f>LOG(Table2[[#This Row],[Firm Size]])</f>
        <v>9.1961070683879775</v>
      </c>
      <c r="AC292" s="80">
        <v>3.7706205813039961E-2</v>
      </c>
    </row>
    <row r="293" spans="1:29" x14ac:dyDescent="0.35">
      <c r="A293" s="2" t="s">
        <v>59</v>
      </c>
      <c r="B293">
        <v>1.1406159113082039</v>
      </c>
      <c r="C293">
        <f>IF(Table2[[#This Row],[Return]]=-1,-1,LOG(1+Table2[[#This Row],[Return]]))</f>
        <v>0.33053874923578419</v>
      </c>
      <c r="D293">
        <v>8.6630136986301363</v>
      </c>
      <c r="E293">
        <v>0</v>
      </c>
      <c r="F293">
        <f>IF(Table2[[#This Row],[Geo Distance]]=0,0,LOG(Table2[[#This Row],[Geo Distance]]))</f>
        <v>0</v>
      </c>
      <c r="G293">
        <v>5</v>
      </c>
      <c r="H293">
        <f>IF(Table2[[#This Row],[Target age]]=0,0,LOG(Table2[[#This Row],[Target age]]))</f>
        <v>0.69897000433601886</v>
      </c>
      <c r="I293" s="45">
        <v>3.29</v>
      </c>
      <c r="J293" s="9">
        <v>0</v>
      </c>
      <c r="K293" s="9">
        <f>IF(Table2[[#This Row],[Culture]]=0,0,LOG(Table2[[#This Row],[Culture]]))</f>
        <v>0</v>
      </c>
      <c r="L293" s="24">
        <v>1.54</v>
      </c>
      <c r="M293" s="9">
        <f>LOG(1+Table2[[#This Row],[S&amp;P]])</f>
        <v>0.40483371661993806</v>
      </c>
      <c r="N293">
        <v>24</v>
      </c>
      <c r="O293">
        <f>IF(Table2[[#This Row],[fund age]]=0,0,LOG(Table2[[#This Row],[fund age]]))</f>
        <v>1.3802112417116059</v>
      </c>
      <c r="P293">
        <f t="shared" si="4"/>
        <v>0</v>
      </c>
      <c r="Q293">
        <v>70</v>
      </c>
      <c r="R293">
        <v>70</v>
      </c>
      <c r="S293">
        <v>89.8</v>
      </c>
      <c r="T293" s="34">
        <v>31.2</v>
      </c>
      <c r="U293" s="42">
        <v>47.307367293927399</v>
      </c>
      <c r="V293">
        <v>1861.76</v>
      </c>
      <c r="W293">
        <f>LOG(Table2[[#This Row],[generalist]])</f>
        <v>3.2699236952309465</v>
      </c>
      <c r="X293" s="14">
        <v>2</v>
      </c>
      <c r="Y293">
        <v>4993.92</v>
      </c>
      <c r="Z293">
        <f>LOG(Table2[[#This Row],[country divers.]])</f>
        <v>3.6984415808994222</v>
      </c>
      <c r="AA293" s="2">
        <v>222300000</v>
      </c>
      <c r="AB293" s="2">
        <f>LOG(Table2[[#This Row],[Firm Size]])</f>
        <v>8.346939462698991</v>
      </c>
      <c r="AC293" s="80">
        <v>0.59519565311928746</v>
      </c>
    </row>
    <row r="294" spans="1:29" x14ac:dyDescent="0.35">
      <c r="A294" s="2" t="s">
        <v>59</v>
      </c>
      <c r="B294">
        <v>1.4125287513513514</v>
      </c>
      <c r="C294">
        <f>IF(Table2[[#This Row],[Return]]=-1,-1,LOG(1+Table2[[#This Row],[Return]]))</f>
        <v>0.38247249775835224</v>
      </c>
      <c r="D294">
        <v>3.1095890410958904</v>
      </c>
      <c r="E294">
        <v>0</v>
      </c>
      <c r="F294">
        <f>IF(Table2[[#This Row],[Geo Distance]]=0,0,LOG(Table2[[#This Row],[Geo Distance]]))</f>
        <v>0</v>
      </c>
      <c r="G294">
        <v>10</v>
      </c>
      <c r="H294">
        <f>IF(Table2[[#This Row],[Target age]]=0,0,LOG(Table2[[#This Row],[Target age]]))</f>
        <v>1</v>
      </c>
      <c r="I294" s="45">
        <v>3.29</v>
      </c>
      <c r="J294" s="9">
        <v>0</v>
      </c>
      <c r="K294" s="9">
        <f>IF(Table2[[#This Row],[Culture]]=0,0,LOG(Table2[[#This Row],[Culture]]))</f>
        <v>0</v>
      </c>
      <c r="L294" s="24">
        <v>0.44</v>
      </c>
      <c r="M294" s="9">
        <f>LOG(1+Table2[[#This Row],[S&amp;P]])</f>
        <v>0.15836249209524964</v>
      </c>
      <c r="N294">
        <v>11</v>
      </c>
      <c r="O294">
        <f>IF(Table2[[#This Row],[fund age]]=0,0,LOG(Table2[[#This Row],[fund age]]))</f>
        <v>1.0413926851582251</v>
      </c>
      <c r="P294">
        <f t="shared" si="4"/>
        <v>0</v>
      </c>
      <c r="Q294">
        <v>70</v>
      </c>
      <c r="R294">
        <v>70</v>
      </c>
      <c r="S294">
        <v>94.9</v>
      </c>
      <c r="T294" s="34">
        <v>32.299999999999997</v>
      </c>
      <c r="U294" s="42">
        <v>47.560703662314701</v>
      </c>
      <c r="V294">
        <v>1539.0581717451521</v>
      </c>
      <c r="W294">
        <f>LOG(Table2[[#This Row],[generalist]])</f>
        <v>3.1872550351599198</v>
      </c>
      <c r="X294" s="14">
        <v>4</v>
      </c>
      <c r="Y294" s="14">
        <v>7713.0193905817187</v>
      </c>
      <c r="Z294" s="14">
        <f>LOG(Table2[[#This Row],[country divers.]])</f>
        <v>3.8872244231830928</v>
      </c>
      <c r="AA294" s="2">
        <v>185000000</v>
      </c>
      <c r="AB294" s="2">
        <f>LOG(Table2[[#This Row],[Firm Size]])</f>
        <v>8.2671717284030137</v>
      </c>
      <c r="AC294" s="80">
        <v>0.27362128951069664</v>
      </c>
    </row>
    <row r="295" spans="1:29" x14ac:dyDescent="0.35">
      <c r="A295" t="s">
        <v>59</v>
      </c>
      <c r="B295">
        <v>0.80555555555555558</v>
      </c>
      <c r="C295">
        <f>IF(Table2[[#This Row],[Return]]=-1,-1,LOG(1+Table2[[#This Row],[Return]]))</f>
        <v>0.25661085587556831</v>
      </c>
      <c r="D295">
        <v>12.758904109589041</v>
      </c>
      <c r="E295">
        <v>0</v>
      </c>
      <c r="F295">
        <f>IF(Table2[[#This Row],[Geo Distance]]=0,0,LOG(Table2[[#This Row],[Geo Distance]]))</f>
        <v>0</v>
      </c>
      <c r="G295">
        <v>5</v>
      </c>
      <c r="H295">
        <f>IF(Table2[[#This Row],[Target age]]=0,0,LOG(Table2[[#This Row],[Target age]]))</f>
        <v>0.69897000433601886</v>
      </c>
      <c r="I295" s="45">
        <v>3.29</v>
      </c>
      <c r="J295" s="9">
        <v>0</v>
      </c>
      <c r="K295" s="9">
        <f>IF(Table2[[#This Row],[Culture]]=0,0,LOG(Table2[[#This Row],[Culture]]))</f>
        <v>0</v>
      </c>
      <c r="L295" s="24">
        <v>0.9</v>
      </c>
      <c r="M295" s="9">
        <f>LOG(1+Table2[[#This Row],[S&amp;P]])</f>
        <v>0.27875360095282892</v>
      </c>
      <c r="N295">
        <v>20</v>
      </c>
      <c r="O295">
        <f>IF(Table2[[#This Row],[fund age]]=0,0,LOG(Table2[[#This Row],[fund age]]))</f>
        <v>1.3010299956639813</v>
      </c>
      <c r="P295">
        <f t="shared" si="4"/>
        <v>0</v>
      </c>
      <c r="Q295">
        <v>70</v>
      </c>
      <c r="R295">
        <v>70</v>
      </c>
      <c r="S295">
        <v>85</v>
      </c>
      <c r="T295" s="34">
        <v>32.299999999999997</v>
      </c>
      <c r="U295" s="42">
        <v>40.040400531970803</v>
      </c>
      <c r="V295">
        <v>1801.1079999999999</v>
      </c>
      <c r="W295">
        <f>LOG(Table2[[#This Row],[generalist]])</f>
        <v>3.2555397552391718</v>
      </c>
      <c r="X295" s="14">
        <v>2</v>
      </c>
      <c r="Y295">
        <v>8416.6209999999992</v>
      </c>
      <c r="Z295">
        <f>LOG(Table2[[#This Row],[country divers.]])</f>
        <v>3.9251377713585649</v>
      </c>
      <c r="AA295">
        <v>72000000</v>
      </c>
      <c r="AB295">
        <f>LOG(Table2[[#This Row],[Firm Size]])</f>
        <v>7.8573324964312681</v>
      </c>
      <c r="AC295" s="80">
        <v>0.73817481422909048</v>
      </c>
    </row>
    <row r="296" spans="1:29" x14ac:dyDescent="0.35">
      <c r="A296" t="s">
        <v>59</v>
      </c>
      <c r="B296">
        <v>3.1521739130434785</v>
      </c>
      <c r="C296">
        <f>IF(Table2[[#This Row],[Return]]=-1,-1,LOG(1+Table2[[#This Row],[Return]]))</f>
        <v>0.61827553556615344</v>
      </c>
      <c r="D296">
        <v>5.5260273972602736</v>
      </c>
      <c r="E296">
        <v>0</v>
      </c>
      <c r="F296">
        <f>IF(Table2[[#This Row],[Geo Distance]]=0,0,LOG(Table2[[#This Row],[Geo Distance]]))</f>
        <v>0</v>
      </c>
      <c r="G296">
        <v>13</v>
      </c>
      <c r="H296">
        <f>IF(Table2[[#This Row],[Target age]]=0,0,LOG(Table2[[#This Row],[Target age]]))</f>
        <v>1.1139433523068367</v>
      </c>
      <c r="I296" s="45">
        <v>3.29</v>
      </c>
      <c r="J296" s="9">
        <v>0</v>
      </c>
      <c r="K296" s="9">
        <f>IF(Table2[[#This Row],[Culture]]=0,0,LOG(Table2[[#This Row],[Culture]]))</f>
        <v>0</v>
      </c>
      <c r="L296" s="24">
        <v>-0.01</v>
      </c>
      <c r="M296" s="9">
        <f>LOG(1+Table2[[#This Row],[S&amp;P]])</f>
        <v>-4.3648054024500883E-3</v>
      </c>
      <c r="N296">
        <v>20</v>
      </c>
      <c r="O296">
        <f>IF(Table2[[#This Row],[fund age]]=0,0,LOG(Table2[[#This Row],[fund age]]))</f>
        <v>1.3010299956639813</v>
      </c>
      <c r="P296">
        <f t="shared" si="4"/>
        <v>0</v>
      </c>
      <c r="Q296">
        <v>70</v>
      </c>
      <c r="R296">
        <v>70</v>
      </c>
      <c r="S296">
        <v>85</v>
      </c>
      <c r="T296" s="34">
        <v>32.299999999999997</v>
      </c>
      <c r="U296" s="42">
        <v>40.040400531970803</v>
      </c>
      <c r="V296">
        <v>1801.1079999999999</v>
      </c>
      <c r="W296">
        <f>LOG(Table2[[#This Row],[generalist]])</f>
        <v>3.2555397552391718</v>
      </c>
      <c r="X296" s="14">
        <v>2</v>
      </c>
      <c r="Y296">
        <v>8416.6209999999992</v>
      </c>
      <c r="Z296">
        <f>LOG(Table2[[#This Row],[country divers.]])</f>
        <v>3.9251377713585649</v>
      </c>
      <c r="AA296">
        <v>230000000</v>
      </c>
      <c r="AB296">
        <f>LOG(Table2[[#This Row],[Firm Size]])</f>
        <v>8.3617278360175931</v>
      </c>
      <c r="AC296" s="80">
        <v>0.24096905493067777</v>
      </c>
    </row>
    <row r="297" spans="1:29" x14ac:dyDescent="0.35">
      <c r="A297" t="s">
        <v>59</v>
      </c>
      <c r="B297">
        <v>1.2844444444444445</v>
      </c>
      <c r="C297">
        <f>IF(Table2[[#This Row],[Return]]=-1,-1,LOG(1+Table2[[#This Row],[Return]]))</f>
        <v>0.35878060088391328</v>
      </c>
      <c r="D297">
        <v>2.8876712328767122</v>
      </c>
      <c r="E297">
        <v>0</v>
      </c>
      <c r="F297">
        <f>IF(Table2[[#This Row],[Geo Distance]]=0,0,LOG(Table2[[#This Row],[Geo Distance]]))</f>
        <v>0</v>
      </c>
      <c r="G297">
        <v>48</v>
      </c>
      <c r="H297">
        <f>IF(Table2[[#This Row],[Target age]]=0,0,LOG(Table2[[#This Row],[Target age]]))</f>
        <v>1.6812412373755872</v>
      </c>
      <c r="I297" s="45">
        <v>3.29</v>
      </c>
      <c r="J297" s="9">
        <v>0</v>
      </c>
      <c r="K297" s="9">
        <f>IF(Table2[[#This Row],[Culture]]=0,0,LOG(Table2[[#This Row],[Culture]]))</f>
        <v>0</v>
      </c>
      <c r="L297" s="24">
        <v>0.17</v>
      </c>
      <c r="M297" s="9">
        <f>LOG(1+Table2[[#This Row],[S&amp;P]])</f>
        <v>6.8185861746161619E-2</v>
      </c>
      <c r="N297">
        <v>21</v>
      </c>
      <c r="O297">
        <f>IF(Table2[[#This Row],[fund age]]=0,0,LOG(Table2[[#This Row],[fund age]]))</f>
        <v>1.3222192947339193</v>
      </c>
      <c r="P297">
        <f t="shared" si="4"/>
        <v>0</v>
      </c>
      <c r="Q297">
        <v>70</v>
      </c>
      <c r="R297">
        <v>70</v>
      </c>
      <c r="S297">
        <v>85</v>
      </c>
      <c r="T297" s="34">
        <v>32.700000000000003</v>
      </c>
      <c r="U297" s="42">
        <v>41.286751495766303</v>
      </c>
      <c r="V297">
        <v>1801.1079999999999</v>
      </c>
      <c r="W297">
        <f>LOG(Table2[[#This Row],[generalist]])</f>
        <v>3.2555397552391718</v>
      </c>
      <c r="X297" s="14">
        <v>2</v>
      </c>
      <c r="Y297">
        <v>8416.6209999999992</v>
      </c>
      <c r="Z297">
        <f>LOG(Table2[[#This Row],[country divers.]])</f>
        <v>3.9251377713585649</v>
      </c>
      <c r="AA297">
        <v>225000000</v>
      </c>
      <c r="AB297">
        <f>LOG(Table2[[#This Row],[Firm Size]])</f>
        <v>8.3521825181113627</v>
      </c>
      <c r="AC297" s="80">
        <v>0.25602334727122944</v>
      </c>
    </row>
    <row r="298" spans="1:29" x14ac:dyDescent="0.35">
      <c r="A298" s="4" t="s">
        <v>59</v>
      </c>
      <c r="B298">
        <v>0.31402075232862536</v>
      </c>
      <c r="C298">
        <f>IF(Table2[[#This Row],[Return]]=-1,-1,LOG(1+Table2[[#This Row],[Return]]))</f>
        <v>0.11860222409030695</v>
      </c>
      <c r="D298">
        <v>8.8493150684931514</v>
      </c>
      <c r="E298">
        <v>5897.96</v>
      </c>
      <c r="F298">
        <f>IF(Table2[[#This Row],[Geo Distance]]=0,0,LOG(Table2[[#This Row],[Geo Distance]]))</f>
        <v>3.7707018228379927</v>
      </c>
      <c r="G298" s="4">
        <v>1</v>
      </c>
      <c r="H298" s="4">
        <f>IF(Table2[[#This Row],[Target age]]=0,0,LOG(Table2[[#This Row],[Target age]]))</f>
        <v>0</v>
      </c>
      <c r="I298" s="47">
        <v>2.3199999999999998</v>
      </c>
      <c r="J298" s="9">
        <v>132</v>
      </c>
      <c r="K298" s="9">
        <f>IF(Table2[[#This Row],[Culture]]=0,0,LOG(Table2[[#This Row],[Culture]]))</f>
        <v>2.12057393120585</v>
      </c>
      <c r="L298" s="24">
        <v>0.42</v>
      </c>
      <c r="M298" s="9">
        <f>LOG(1+Table2[[#This Row],[S&amp;P]])</f>
        <v>0.15228834438305647</v>
      </c>
      <c r="N298">
        <v>31</v>
      </c>
      <c r="O298">
        <f>IF(Table2[[#This Row],[fund age]]=0,0,LOG(Table2[[#This Row],[fund age]]))</f>
        <v>1.4913616938342726</v>
      </c>
      <c r="P298">
        <f t="shared" si="4"/>
        <v>1</v>
      </c>
      <c r="Q298">
        <v>70</v>
      </c>
      <c r="R298">
        <v>70</v>
      </c>
      <c r="S298">
        <v>91.2</v>
      </c>
      <c r="T298" s="34">
        <v>33</v>
      </c>
      <c r="U298" s="42">
        <v>40.902544500539101</v>
      </c>
      <c r="V298">
        <v>1171.498</v>
      </c>
      <c r="W298">
        <f>LOG(Table2[[#This Row],[generalist]])</f>
        <v>3.0687415514991745</v>
      </c>
      <c r="X298" s="14">
        <v>4</v>
      </c>
      <c r="Y298">
        <v>3386.1060000000002</v>
      </c>
      <c r="Z298">
        <f>LOG(Table2[[#This Row],[country divers.]])</f>
        <v>3.5297005493117593</v>
      </c>
      <c r="AA298" s="4">
        <v>12081450000</v>
      </c>
      <c r="AB298" s="4">
        <f>LOG(Table2[[#This Row],[Firm Size]])</f>
        <v>10.082119060875158</v>
      </c>
      <c r="AC298" s="80">
        <v>7.5684269858227626E-2</v>
      </c>
    </row>
    <row r="299" spans="1:29" x14ac:dyDescent="0.35">
      <c r="A299" t="s">
        <v>59</v>
      </c>
      <c r="B299">
        <v>1.5660377358490565</v>
      </c>
      <c r="C299">
        <f>IF(Table2[[#This Row],[Return]]=-1,-1,LOG(1+Table2[[#This Row],[Return]]))</f>
        <v>0.40926303876942843</v>
      </c>
      <c r="D299">
        <v>5.86027397260274</v>
      </c>
      <c r="E299">
        <v>0</v>
      </c>
      <c r="F299">
        <f>IF(Table2[[#This Row],[Geo Distance]]=0,0,LOG(Table2[[#This Row],[Geo Distance]]))</f>
        <v>0</v>
      </c>
      <c r="G299">
        <v>138</v>
      </c>
      <c r="H299">
        <f>IF(Table2[[#This Row],[Target age]]=0,0,LOG(Table2[[#This Row],[Target age]]))</f>
        <v>2.1398790864012365</v>
      </c>
      <c r="I299" s="45">
        <v>3.29</v>
      </c>
      <c r="J299" s="9">
        <v>0</v>
      </c>
      <c r="K299" s="9">
        <f>IF(Table2[[#This Row],[Culture]]=0,0,LOG(Table2[[#This Row],[Culture]]))</f>
        <v>0</v>
      </c>
      <c r="L299" s="24">
        <v>-0.02</v>
      </c>
      <c r="M299" s="9">
        <f>LOG(1+Table2[[#This Row],[S&amp;P]])</f>
        <v>-8.7739243075051505E-3</v>
      </c>
      <c r="N299">
        <v>18</v>
      </c>
      <c r="O299">
        <f>IF(Table2[[#This Row],[fund age]]=0,0,LOG(Table2[[#This Row],[fund age]]))</f>
        <v>1.255272505103306</v>
      </c>
      <c r="P299">
        <f t="shared" si="4"/>
        <v>0</v>
      </c>
      <c r="Q299">
        <v>70</v>
      </c>
      <c r="R299">
        <v>70</v>
      </c>
      <c r="S299">
        <v>85</v>
      </c>
      <c r="T299" s="34">
        <v>32.299999999999997</v>
      </c>
      <c r="U299" s="42">
        <v>40.040400531970803</v>
      </c>
      <c r="V299">
        <v>1655.11</v>
      </c>
      <c r="W299">
        <f>LOG(Table2[[#This Row],[generalist]])</f>
        <v>3.2188268626467691</v>
      </c>
      <c r="X299" s="14">
        <v>2</v>
      </c>
      <c r="Y299">
        <v>5715.55</v>
      </c>
      <c r="Z299">
        <f>LOG(Table2[[#This Row],[country divers.]])</f>
        <v>3.7570580283396975</v>
      </c>
      <c r="AA299">
        <v>662500000</v>
      </c>
      <c r="AB299">
        <f>LOG(Table2[[#This Row],[Firm Size]])</f>
        <v>8.8211858826088463</v>
      </c>
      <c r="AC299" s="80">
        <v>0.22836365892352273</v>
      </c>
    </row>
    <row r="300" spans="1:29" x14ac:dyDescent="0.35">
      <c r="A300" t="s">
        <v>59</v>
      </c>
      <c r="B300">
        <v>0.64798048048048051</v>
      </c>
      <c r="C300">
        <f>IF(Table2[[#This Row],[Return]]=-1,-1,LOG(1+Table2[[#This Row],[Return]]))</f>
        <v>0.21695206338669118</v>
      </c>
      <c r="D300">
        <v>7.3808219178082188</v>
      </c>
      <c r="E300">
        <v>5897.96</v>
      </c>
      <c r="F300">
        <f>IF(Table2[[#This Row],[Geo Distance]]=0,0,LOG(Table2[[#This Row],[Geo Distance]]))</f>
        <v>3.7707018228379927</v>
      </c>
      <c r="G300">
        <v>58</v>
      </c>
      <c r="H300">
        <f>IF(Table2[[#This Row],[Target age]]=0,0,LOG(Table2[[#This Row],[Target age]]))</f>
        <v>1.7634279935629373</v>
      </c>
      <c r="I300" s="45">
        <v>2.3199999999999998</v>
      </c>
      <c r="J300" s="9">
        <v>132</v>
      </c>
      <c r="K300" s="9">
        <f>IF(Table2[[#This Row],[Culture]]=0,0,LOG(Table2[[#This Row],[Culture]]))</f>
        <v>2.12057393120585</v>
      </c>
      <c r="L300" s="24">
        <v>0.35</v>
      </c>
      <c r="M300" s="9">
        <f>LOG(1+Table2[[#This Row],[S&amp;P]])</f>
        <v>0.13033376849500614</v>
      </c>
      <c r="N300">
        <v>21</v>
      </c>
      <c r="O300">
        <f>IF(Table2[[#This Row],[fund age]]=0,0,LOG(Table2[[#This Row],[fund age]]))</f>
        <v>1.3222192947339193</v>
      </c>
      <c r="P300">
        <f t="shared" si="4"/>
        <v>1</v>
      </c>
      <c r="Q300">
        <v>70</v>
      </c>
      <c r="R300">
        <v>70</v>
      </c>
      <c r="S300">
        <v>91.5</v>
      </c>
      <c r="T300" s="34">
        <v>32.9</v>
      </c>
      <c r="U300" s="42">
        <v>40.767390998852598</v>
      </c>
      <c r="V300">
        <v>2315.9650000000001</v>
      </c>
      <c r="W300">
        <f>LOG(Table2[[#This Row],[generalist]])</f>
        <v>3.3647319918335836</v>
      </c>
      <c r="X300" s="14">
        <v>4</v>
      </c>
      <c r="Y300">
        <v>3703.9029999999998</v>
      </c>
      <c r="Z300">
        <f>LOG(Table2[[#This Row],[country divers.]])</f>
        <v>3.568659604598353</v>
      </c>
      <c r="AA300">
        <v>1864800000</v>
      </c>
      <c r="AB300">
        <f>LOG(Table2[[#This Row],[Firm Size]])</f>
        <v>9.2706322605125209</v>
      </c>
      <c r="AC300" s="80">
        <v>0.13233718781694526</v>
      </c>
    </row>
    <row r="301" spans="1:29" x14ac:dyDescent="0.35">
      <c r="A301" t="s">
        <v>59</v>
      </c>
      <c r="B301">
        <v>6.7330677290836638E-2</v>
      </c>
      <c r="C301">
        <f>IF(Table2[[#This Row],[Return]]=-1,-1,LOG(1+Table2[[#This Row],[Return]]))</f>
        <v>2.8298992127170717E-2</v>
      </c>
      <c r="D301">
        <v>3.1424657534246574</v>
      </c>
      <c r="E301">
        <v>0</v>
      </c>
      <c r="F301">
        <f>IF(Table2[[#This Row],[Geo Distance]]=0,0,LOG(Table2[[#This Row],[Geo Distance]]))</f>
        <v>0</v>
      </c>
      <c r="G301">
        <v>4</v>
      </c>
      <c r="H301">
        <f>IF(Table2[[#This Row],[Target age]]=0,0,LOG(Table2[[#This Row],[Target age]]))</f>
        <v>0.6020599913279624</v>
      </c>
      <c r="I301" s="45">
        <v>3.29</v>
      </c>
      <c r="J301" s="9">
        <v>0</v>
      </c>
      <c r="K301" s="9">
        <f>IF(Table2[[#This Row],[Culture]]=0,0,LOG(Table2[[#This Row],[Culture]]))</f>
        <v>0</v>
      </c>
      <c r="L301" s="15">
        <v>0.63</v>
      </c>
      <c r="M301" s="9">
        <f>LOG(1+Table2[[#This Row],[S&amp;P]])</f>
        <v>0.21218760440395779</v>
      </c>
      <c r="N301">
        <v>22</v>
      </c>
      <c r="O301">
        <f>IF(Table2[[#This Row],[fund age]]=0,0,LOG(Table2[[#This Row],[fund age]]))</f>
        <v>1.3424226808222062</v>
      </c>
      <c r="P301">
        <f t="shared" si="4"/>
        <v>0</v>
      </c>
      <c r="Q301">
        <v>70</v>
      </c>
      <c r="R301">
        <v>70</v>
      </c>
      <c r="S301">
        <v>85</v>
      </c>
      <c r="T301" s="34">
        <v>31.3</v>
      </c>
      <c r="U301" s="42">
        <v>38.7850112673514</v>
      </c>
      <c r="V301">
        <v>1669.0315000000001</v>
      </c>
      <c r="W301">
        <f>LOG(Table2[[#This Row],[generalist]])</f>
        <v>3.2224645332922388</v>
      </c>
      <c r="X301" s="14">
        <v>3</v>
      </c>
      <c r="Y301">
        <v>5094.7950000000001</v>
      </c>
      <c r="Z301">
        <f>LOG(Table2[[#This Row],[country divers.]])</f>
        <v>3.707126713924402</v>
      </c>
      <c r="AA301">
        <v>2510000000</v>
      </c>
      <c r="AB301">
        <f>LOG(Table2[[#This Row],[Firm Size]])</f>
        <v>9.3996737214810384</v>
      </c>
      <c r="AC301" s="80">
        <v>0.83430106136649473</v>
      </c>
    </row>
    <row r="302" spans="1:29" x14ac:dyDescent="0.35">
      <c r="A302" t="s">
        <v>59</v>
      </c>
      <c r="B302">
        <v>1.4024024024024024</v>
      </c>
      <c r="C302">
        <f>IF(Table2[[#This Row],[Return]]=-1,-1,LOG(1+Table2[[#This Row],[Return]]))</f>
        <v>0.38064575348562374</v>
      </c>
      <c r="D302">
        <v>2.7150684931506848</v>
      </c>
      <c r="E302">
        <v>0</v>
      </c>
      <c r="F302">
        <f>IF(Table2[[#This Row],[Geo Distance]]=0,0,LOG(Table2[[#This Row],[Geo Distance]]))</f>
        <v>0</v>
      </c>
      <c r="G302">
        <v>31</v>
      </c>
      <c r="H302">
        <f>IF(Table2[[#This Row],[Target age]]=0,0,LOG(Table2[[#This Row],[Target age]]))</f>
        <v>1.4913616938342726</v>
      </c>
      <c r="I302" s="45">
        <v>3.29</v>
      </c>
      <c r="J302" s="9">
        <v>0</v>
      </c>
      <c r="K302" s="9">
        <f>IF(Table2[[#This Row],[Culture]]=0,0,LOG(Table2[[#This Row],[Culture]]))</f>
        <v>0</v>
      </c>
      <c r="L302" s="15">
        <v>0.3</v>
      </c>
      <c r="M302" s="9">
        <f>LOG(1+Table2[[#This Row],[S&amp;P]])</f>
        <v>0.11394335230683679</v>
      </c>
      <c r="N302">
        <v>21</v>
      </c>
      <c r="O302">
        <f>IF(Table2[[#This Row],[fund age]]=0,0,LOG(Table2[[#This Row],[fund age]]))</f>
        <v>1.3222192947339193</v>
      </c>
      <c r="P302">
        <f t="shared" si="4"/>
        <v>0</v>
      </c>
      <c r="Q302">
        <v>70</v>
      </c>
      <c r="R302">
        <v>70</v>
      </c>
      <c r="S302">
        <v>85</v>
      </c>
      <c r="T302" s="34">
        <v>31.5</v>
      </c>
      <c r="U302" s="42">
        <v>37.589394702761602</v>
      </c>
      <c r="V302">
        <v>1669.0315000000001</v>
      </c>
      <c r="W302">
        <f>LOG(Table2[[#This Row],[generalist]])</f>
        <v>3.2224645332922388</v>
      </c>
      <c r="X302" s="14">
        <v>3</v>
      </c>
      <c r="Y302">
        <v>5094.7950000000001</v>
      </c>
      <c r="Z302">
        <f>LOG(Table2[[#This Row],[country divers.]])</f>
        <v>3.707126713924402</v>
      </c>
      <c r="AA302">
        <v>333000000</v>
      </c>
      <c r="AB302">
        <f>LOG(Table2[[#This Row],[Firm Size]])</f>
        <v>8.5224442335063202</v>
      </c>
      <c r="AC302" s="80">
        <v>0.31644026046874618</v>
      </c>
    </row>
    <row r="303" spans="1:29" x14ac:dyDescent="0.35">
      <c r="A303" t="s">
        <v>59</v>
      </c>
      <c r="B303">
        <v>0.76470588235294112</v>
      </c>
      <c r="C303">
        <f>IF(Table2[[#This Row],[Return]]=-1,-1,LOG(1+Table2[[#This Row],[Return]]))</f>
        <v>0.24667233334138849</v>
      </c>
      <c r="D303">
        <v>3.1945205479452055</v>
      </c>
      <c r="E303">
        <v>1433.25</v>
      </c>
      <c r="F303">
        <f>IF(Table2[[#This Row],[Geo Distance]]=0,0,LOG(Table2[[#This Row],[Geo Distance]]))</f>
        <v>3.156321950446713</v>
      </c>
      <c r="G303">
        <v>7</v>
      </c>
      <c r="H303">
        <f>IF(Table2[[#This Row],[Target age]]=0,0,LOG(Table2[[#This Row],[Target age]]))</f>
        <v>0.84509804001425681</v>
      </c>
      <c r="I303" s="45">
        <v>3.43</v>
      </c>
      <c r="J303" s="9">
        <v>697</v>
      </c>
      <c r="K303" s="9">
        <f>IF(Table2[[#This Row],[Culture]]=0,0,LOG(Table2[[#This Row],[Culture]]))</f>
        <v>2.8432327780980096</v>
      </c>
      <c r="L303" s="24">
        <v>0.35</v>
      </c>
      <c r="M303" s="9">
        <f>LOG(1+Table2[[#This Row],[S&amp;P]])</f>
        <v>0.13033376849500614</v>
      </c>
      <c r="N303">
        <v>21</v>
      </c>
      <c r="O303">
        <f>IF(Table2[[#This Row],[fund age]]=0,0,LOG(Table2[[#This Row],[fund age]]))</f>
        <v>1.3222192947339193</v>
      </c>
      <c r="P303">
        <f t="shared" si="4"/>
        <v>1</v>
      </c>
      <c r="Q303">
        <v>70</v>
      </c>
      <c r="R303">
        <v>70</v>
      </c>
      <c r="S303">
        <v>91.1</v>
      </c>
      <c r="T303" s="34">
        <v>32.200000000000003</v>
      </c>
      <c r="U303" s="42">
        <v>42.1993112284324</v>
      </c>
      <c r="V303">
        <v>1450.8446376578247</v>
      </c>
      <c r="W303">
        <f>LOG(Table2[[#This Row],[generalist]])</f>
        <v>3.1616209089088487</v>
      </c>
      <c r="X303" s="14">
        <v>2</v>
      </c>
      <c r="Y303">
        <v>6306.1358665754287</v>
      </c>
      <c r="Z303">
        <f>LOG(Table2[[#This Row],[country divers.]])</f>
        <v>3.7997633234477775</v>
      </c>
      <c r="AA303">
        <v>850000000</v>
      </c>
      <c r="AB303">
        <f>LOG(Table2[[#This Row],[Firm Size]])</f>
        <v>8.9294189257142929</v>
      </c>
      <c r="AC303" s="80">
        <v>0.14267333254738945</v>
      </c>
    </row>
    <row r="304" spans="1:29" x14ac:dyDescent="0.35">
      <c r="A304" t="s">
        <v>59</v>
      </c>
      <c r="B304">
        <v>3.918032786885246</v>
      </c>
      <c r="C304">
        <f>IF(Table2[[#This Row],[Return]]=-1,-1,LOG(1+Table2[[#This Row],[Return]]))</f>
        <v>0.69179141970889546</v>
      </c>
      <c r="D304">
        <v>1.4602739726027398</v>
      </c>
      <c r="E304">
        <v>5897.96</v>
      </c>
      <c r="F304">
        <f>IF(Table2[[#This Row],[Geo Distance]]=0,0,LOG(Table2[[#This Row],[Geo Distance]]))</f>
        <v>3.7707018228379927</v>
      </c>
      <c r="G304">
        <v>1</v>
      </c>
      <c r="H304">
        <f>IF(Table2[[#This Row],[Target age]]=0,0,LOG(Table2[[#This Row],[Target age]]))</f>
        <v>0</v>
      </c>
      <c r="I304" s="45">
        <v>2.3199999999999998</v>
      </c>
      <c r="J304" s="9">
        <v>132</v>
      </c>
      <c r="K304" s="9">
        <f>IF(Table2[[#This Row],[Culture]]=0,0,LOG(Table2[[#This Row],[Culture]]))</f>
        <v>2.12057393120585</v>
      </c>
      <c r="L304" s="24">
        <v>0.46</v>
      </c>
      <c r="M304" s="9">
        <f>LOG(1+Table2[[#This Row],[S&amp;P]])</f>
        <v>0.16435285578443709</v>
      </c>
      <c r="N304">
        <v>20</v>
      </c>
      <c r="O304">
        <f>IF(Table2[[#This Row],[fund age]]=0,0,LOG(Table2[[#This Row],[fund age]]))</f>
        <v>1.3010299956639813</v>
      </c>
      <c r="P304">
        <f t="shared" si="4"/>
        <v>1</v>
      </c>
      <c r="Q304">
        <v>70</v>
      </c>
      <c r="R304">
        <v>90</v>
      </c>
      <c r="S304">
        <v>85</v>
      </c>
      <c r="T304" s="34">
        <v>29.3</v>
      </c>
      <c r="U304" s="42">
        <v>36.913126831903199</v>
      </c>
      <c r="V304">
        <v>1171.498</v>
      </c>
      <c r="W304">
        <f>LOG(Table2[[#This Row],[generalist]])</f>
        <v>3.0687415514991745</v>
      </c>
      <c r="X304" s="14">
        <v>4</v>
      </c>
      <c r="Y304">
        <v>3386.1060000000002</v>
      </c>
      <c r="Z304">
        <f>LOG(Table2[[#This Row],[country divers.]])</f>
        <v>3.5297005493117593</v>
      </c>
      <c r="AA304">
        <v>305000000</v>
      </c>
      <c r="AB304">
        <f>LOG(Table2[[#This Row],[Firm Size]])</f>
        <v>8.4842998393467859</v>
      </c>
      <c r="AC304" s="80" t="e">
        <v>#N/A</v>
      </c>
    </row>
    <row r="305" spans="1:29" x14ac:dyDescent="0.35">
      <c r="A305" t="s">
        <v>59</v>
      </c>
      <c r="B305">
        <v>0.24238746601221184</v>
      </c>
      <c r="C305">
        <f>IF(Table2[[#This Row],[Return]]=-1,-1,LOG(1+Table2[[#This Row],[Return]]))</f>
        <v>9.4257061306150067E-2</v>
      </c>
      <c r="D305">
        <v>5.9369863013698634</v>
      </c>
      <c r="E305">
        <v>5897.96</v>
      </c>
      <c r="F305">
        <f>IF(Table2[[#This Row],[Geo Distance]]=0,0,LOG(Table2[[#This Row],[Geo Distance]]))</f>
        <v>3.7707018228379927</v>
      </c>
      <c r="G305">
        <v>95</v>
      </c>
      <c r="H305">
        <f>IF(Table2[[#This Row],[Target age]]=0,0,LOG(Table2[[#This Row],[Target age]]))</f>
        <v>1.9777236052888478</v>
      </c>
      <c r="I305" s="45">
        <v>2.3199999999999998</v>
      </c>
      <c r="J305" s="9">
        <v>132</v>
      </c>
      <c r="K305" s="9">
        <f>IF(Table2[[#This Row],[Culture]]=0,0,LOG(Table2[[#This Row],[Culture]]))</f>
        <v>2.12057393120585</v>
      </c>
      <c r="L305" s="24">
        <v>0.17</v>
      </c>
      <c r="M305" s="9">
        <f>LOG(1+Table2[[#This Row],[S&amp;P]])</f>
        <v>6.8185861746161619E-2</v>
      </c>
      <c r="N305">
        <v>23</v>
      </c>
      <c r="O305">
        <f>IF(Table2[[#This Row],[fund age]]=0,0,LOG(Table2[[#This Row],[fund age]]))</f>
        <v>1.3617278360175928</v>
      </c>
      <c r="P305">
        <f t="shared" si="4"/>
        <v>1</v>
      </c>
      <c r="Q305">
        <v>70</v>
      </c>
      <c r="R305">
        <v>70</v>
      </c>
      <c r="S305">
        <v>91.2</v>
      </c>
      <c r="T305" s="34">
        <v>33</v>
      </c>
      <c r="U305" s="42">
        <v>40.902544500539101</v>
      </c>
      <c r="V305">
        <v>1248.0746999999999</v>
      </c>
      <c r="W305">
        <f>LOG(Table2[[#This Row],[generalist]])</f>
        <v>3.0962405795987471</v>
      </c>
      <c r="X305" s="14">
        <v>1</v>
      </c>
      <c r="Y305">
        <v>2518.2170000000001</v>
      </c>
      <c r="Z305">
        <f>LOG(Table2[[#This Row],[country divers.]])</f>
        <v>3.4010931514437841</v>
      </c>
      <c r="AA305">
        <v>728676057</v>
      </c>
      <c r="AB305">
        <f>LOG(Table2[[#This Row],[Firm Size]])</f>
        <v>8.8625344996145241</v>
      </c>
      <c r="AC305" s="80">
        <v>9.995721194906193E-2</v>
      </c>
    </row>
    <row r="306" spans="1:29" x14ac:dyDescent="0.35">
      <c r="A306" t="s">
        <v>59</v>
      </c>
      <c r="B306">
        <v>1.434505051597982</v>
      </c>
      <c r="C306">
        <f>IF(Table2[[#This Row],[Return]]=-1,-1,LOG(1+Table2[[#This Row],[Return]]))</f>
        <v>0.386410680043898</v>
      </c>
      <c r="D306">
        <v>1.904109589041096</v>
      </c>
      <c r="E306">
        <v>5897.96</v>
      </c>
      <c r="F306">
        <f>IF(Table2[[#This Row],[Geo Distance]]=0,0,LOG(Table2[[#This Row],[Geo Distance]]))</f>
        <v>3.7707018228379927</v>
      </c>
      <c r="G306">
        <v>17</v>
      </c>
      <c r="H306">
        <f>IF(Table2[[#This Row],[Target age]]=0,0,LOG(Table2[[#This Row],[Target age]]))</f>
        <v>1.2304489213782739</v>
      </c>
      <c r="I306" s="45">
        <v>2.3199999999999998</v>
      </c>
      <c r="J306" s="9">
        <v>132</v>
      </c>
      <c r="K306" s="9">
        <f>IF(Table2[[#This Row],[Culture]]=0,0,LOG(Table2[[#This Row],[Culture]]))</f>
        <v>2.12057393120585</v>
      </c>
      <c r="L306" s="24">
        <v>0.24</v>
      </c>
      <c r="M306" s="9">
        <f>LOG(1+Table2[[#This Row],[S&amp;P]])</f>
        <v>9.3421685162235063E-2</v>
      </c>
      <c r="N306">
        <v>21</v>
      </c>
      <c r="O306">
        <f>IF(Table2[[#This Row],[fund age]]=0,0,LOG(Table2[[#This Row],[fund age]]))</f>
        <v>1.3222192947339193</v>
      </c>
      <c r="P306">
        <f t="shared" si="4"/>
        <v>1</v>
      </c>
      <c r="Q306">
        <v>70</v>
      </c>
      <c r="R306">
        <v>70</v>
      </c>
      <c r="S306">
        <v>85</v>
      </c>
      <c r="T306" s="34">
        <v>32.700000000000003</v>
      </c>
      <c r="U306" s="42">
        <v>41.286751495766303</v>
      </c>
      <c r="V306">
        <v>1248.0746999999999</v>
      </c>
      <c r="W306">
        <f>LOG(Table2[[#This Row],[generalist]])</f>
        <v>3.0962405795987471</v>
      </c>
      <c r="X306" s="14">
        <v>1</v>
      </c>
      <c r="Y306">
        <v>2518.2170000000001</v>
      </c>
      <c r="Z306">
        <f>LOG(Table2[[#This Row],[country divers.]])</f>
        <v>3.4010931514437841</v>
      </c>
      <c r="AA306">
        <v>147874000</v>
      </c>
      <c r="AB306">
        <f>LOG(Table2[[#This Row],[Firm Size]])</f>
        <v>8.1698918207233895</v>
      </c>
      <c r="AC306" s="80">
        <v>0.36411848667804181</v>
      </c>
    </row>
    <row r="307" spans="1:29" x14ac:dyDescent="0.35">
      <c r="A307" t="s">
        <v>59</v>
      </c>
      <c r="B307">
        <v>4.3661538461538463</v>
      </c>
      <c r="C307">
        <f>IF(Table2[[#This Row],[Return]]=-1,-1,LOG(1+Table2[[#This Row],[Return]]))</f>
        <v>0.72966311961767405</v>
      </c>
      <c r="D307">
        <v>3.1835616438356165</v>
      </c>
      <c r="E307">
        <v>5897.96</v>
      </c>
      <c r="F307">
        <f>IF(Table2[[#This Row],[Geo Distance]]=0,0,LOG(Table2[[#This Row],[Geo Distance]]))</f>
        <v>3.7707018228379927</v>
      </c>
      <c r="G307">
        <v>21</v>
      </c>
      <c r="H307">
        <f>IF(Table2[[#This Row],[Target age]]=0,0,LOG(Table2[[#This Row],[Target age]]))</f>
        <v>1.3222192947339193</v>
      </c>
      <c r="I307" s="45">
        <v>2.3199999999999998</v>
      </c>
      <c r="J307" s="9">
        <v>132</v>
      </c>
      <c r="K307" s="9">
        <f>IF(Table2[[#This Row],[Culture]]=0,0,LOG(Table2[[#This Row],[Culture]]))</f>
        <v>2.12057393120585</v>
      </c>
      <c r="L307" s="24">
        <v>0.28999999999999998</v>
      </c>
      <c r="M307" s="9">
        <f>LOG(1+Table2[[#This Row],[S&amp;P]])</f>
        <v>0.11058971029924898</v>
      </c>
      <c r="N307">
        <v>19</v>
      </c>
      <c r="O307">
        <f>IF(Table2[[#This Row],[fund age]]=0,0,LOG(Table2[[#This Row],[fund age]]))</f>
        <v>1.2787536009528289</v>
      </c>
      <c r="P307">
        <f t="shared" si="4"/>
        <v>1</v>
      </c>
      <c r="Q307">
        <v>70</v>
      </c>
      <c r="R307">
        <v>70</v>
      </c>
      <c r="S307">
        <v>85</v>
      </c>
      <c r="T307" s="34">
        <v>31.3</v>
      </c>
      <c r="U307" s="42">
        <v>38.7850112673514</v>
      </c>
      <c r="V307">
        <v>1248.0746999999999</v>
      </c>
      <c r="W307">
        <f>LOG(Table2[[#This Row],[generalist]])</f>
        <v>3.0962405795987471</v>
      </c>
      <c r="X307" s="14">
        <v>1</v>
      </c>
      <c r="Y307">
        <v>2518.2170000000001</v>
      </c>
      <c r="Z307">
        <f>LOG(Table2[[#This Row],[country divers.]])</f>
        <v>3.4010931514437841</v>
      </c>
      <c r="AA307">
        <v>26000000</v>
      </c>
      <c r="AB307">
        <f>LOG(Table2[[#This Row],[Firm Size]])</f>
        <v>7.4149733479708182</v>
      </c>
      <c r="AC307" s="80">
        <v>0.4907113439554931</v>
      </c>
    </row>
    <row r="308" spans="1:29" x14ac:dyDescent="0.35">
      <c r="A308" t="s">
        <v>59</v>
      </c>
      <c r="B308">
        <v>-0.82800000000000007</v>
      </c>
      <c r="C308">
        <f>IF(Table2[[#This Row],[Return]]=-1,-1,LOG(1+Table2[[#This Row],[Return]]))</f>
        <v>-0.76447155309245129</v>
      </c>
      <c r="D308">
        <v>3.0931506849315067</v>
      </c>
      <c r="E308">
        <v>0</v>
      </c>
      <c r="F308">
        <f>IF(Table2[[#This Row],[Geo Distance]]=0,0,LOG(Table2[[#This Row],[Geo Distance]]))</f>
        <v>0</v>
      </c>
      <c r="G308">
        <v>6</v>
      </c>
      <c r="H308">
        <f>IF(Table2[[#This Row],[Target age]]=0,0,LOG(Table2[[#This Row],[Target age]]))</f>
        <v>0.77815125038364363</v>
      </c>
      <c r="I308" s="45">
        <v>3.29</v>
      </c>
      <c r="J308" s="9">
        <v>0</v>
      </c>
      <c r="K308" s="9">
        <f>IF(Table2[[#This Row],[Culture]]=0,0,LOG(Table2[[#This Row],[Culture]]))</f>
        <v>0</v>
      </c>
      <c r="L308" s="24">
        <v>-0.18</v>
      </c>
      <c r="M308" s="9">
        <f>LOG(1+Table2[[#This Row],[S&amp;P]])</f>
        <v>-8.6186147616283279E-2</v>
      </c>
      <c r="N308">
        <v>55</v>
      </c>
      <c r="O308">
        <f>IF(Table2[[#This Row],[fund age]]=0,0,LOG(Table2[[#This Row],[fund age]]))</f>
        <v>1.7403626894942439</v>
      </c>
      <c r="P308">
        <f t="shared" si="4"/>
        <v>0</v>
      </c>
      <c r="Q308">
        <v>70</v>
      </c>
      <c r="R308">
        <v>70</v>
      </c>
      <c r="S308">
        <v>85</v>
      </c>
      <c r="T308" s="34">
        <v>32.9</v>
      </c>
      <c r="U308" s="42">
        <v>35.433808146393098</v>
      </c>
      <c r="V308">
        <v>1581.451</v>
      </c>
      <c r="W308">
        <f>LOG(Table2[[#This Row],[generalist]])</f>
        <v>3.1990557401914899</v>
      </c>
      <c r="X308" s="14">
        <v>2</v>
      </c>
      <c r="Y308">
        <v>6004.7560000000003</v>
      </c>
      <c r="Z308">
        <f>LOG(Table2[[#This Row],[country divers.]])</f>
        <v>3.7784953647769717</v>
      </c>
      <c r="AA308">
        <v>10000000</v>
      </c>
      <c r="AB308">
        <f>LOG(Table2[[#This Row],[Firm Size]])</f>
        <v>7</v>
      </c>
      <c r="AC308" s="80">
        <v>-0.27710192639078213</v>
      </c>
    </row>
    <row r="309" spans="1:29" x14ac:dyDescent="0.35">
      <c r="A309" t="s">
        <v>59</v>
      </c>
      <c r="B309">
        <v>-1</v>
      </c>
      <c r="C309">
        <f>IF(Table2[[#This Row],[Return]]=-1,-1,LOG(1+Table2[[#This Row],[Return]]))</f>
        <v>-1</v>
      </c>
      <c r="D309">
        <v>7.1808219178082195</v>
      </c>
      <c r="E309">
        <v>1153.8900000000001</v>
      </c>
      <c r="F309">
        <f>IF(Table2[[#This Row],[Geo Distance]]=0,0,LOG(Table2[[#This Row],[Geo Distance]]))</f>
        <v>3.0621644096256042</v>
      </c>
      <c r="G309">
        <v>7</v>
      </c>
      <c r="H309">
        <f>IF(Table2[[#This Row],[Target age]]=0,0,LOG(Table2[[#This Row],[Target age]]))</f>
        <v>0.84509804001425681</v>
      </c>
      <c r="I309" s="45">
        <v>3.27</v>
      </c>
      <c r="J309" s="9">
        <v>742.83333333333303</v>
      </c>
      <c r="K309" s="9">
        <f>IF(Table2[[#This Row],[Culture]]=0,0,LOG(Table2[[#This Row],[Culture]]))</f>
        <v>2.8708913837025327</v>
      </c>
      <c r="L309" s="24">
        <v>0.52</v>
      </c>
      <c r="M309" s="9">
        <f>LOG(1+Table2[[#This Row],[S&amp;P]])</f>
        <v>0.18184358794477254</v>
      </c>
      <c r="N309">
        <v>7</v>
      </c>
      <c r="O309">
        <f>IF(Table2[[#This Row],[fund age]]=0,0,LOG(Table2[[#This Row],[fund age]]))</f>
        <v>0.84509804001425681</v>
      </c>
      <c r="P309">
        <f t="shared" si="4"/>
        <v>1</v>
      </c>
      <c r="Q309">
        <v>70</v>
      </c>
      <c r="R309">
        <v>70</v>
      </c>
      <c r="S309">
        <v>90.8</v>
      </c>
      <c r="T309" s="34">
        <v>32.299999999999997</v>
      </c>
      <c r="U309" s="42">
        <v>44.4007960521485</v>
      </c>
      <c r="V309">
        <v>1805.5555555555554</v>
      </c>
      <c r="W309">
        <f>LOG(Table2[[#This Row],[generalist]])</f>
        <v>3.2566108558755684</v>
      </c>
      <c r="X309" s="14">
        <v>1</v>
      </c>
      <c r="Y309">
        <v>8472.2222222222208</v>
      </c>
      <c r="Z309">
        <f>LOG(Table2[[#This Row],[country divers.]])</f>
        <v>3.9279973385794986</v>
      </c>
      <c r="AA309">
        <v>15000000</v>
      </c>
      <c r="AB309">
        <f>LOG(Table2[[#This Row],[Firm Size]])</f>
        <v>7.1760912590556813</v>
      </c>
      <c r="AC309" s="80">
        <v>0.16552891151097371</v>
      </c>
    </row>
    <row r="310" spans="1:29" x14ac:dyDescent="0.35">
      <c r="A310" t="s">
        <v>59</v>
      </c>
      <c r="B310">
        <v>0.70612564806967293</v>
      </c>
      <c r="C310">
        <f>IF(Table2[[#This Row],[Return]]=-1,-1,LOG(1+Table2[[#This Row],[Return]]))</f>
        <v>0.23201101174001795</v>
      </c>
      <c r="D310">
        <v>4.1753424657534248</v>
      </c>
      <c r="E310">
        <v>5897.96</v>
      </c>
      <c r="F310">
        <f>IF(Table2[[#This Row],[Geo Distance]]=0,0,LOG(Table2[[#This Row],[Geo Distance]]))</f>
        <v>3.7707018228379927</v>
      </c>
      <c r="G310">
        <v>6</v>
      </c>
      <c r="H310">
        <f>IF(Table2[[#This Row],[Target age]]=0,0,LOG(Table2[[#This Row],[Target age]]))</f>
        <v>0.77815125038364363</v>
      </c>
      <c r="I310" s="45">
        <v>2.3199999999999998</v>
      </c>
      <c r="J310" s="9">
        <v>132</v>
      </c>
      <c r="K310" s="9">
        <f>IF(Table2[[#This Row],[Culture]]=0,0,LOG(Table2[[#This Row],[Culture]]))</f>
        <v>2.12057393120585</v>
      </c>
      <c r="L310" s="24">
        <v>0.84</v>
      </c>
      <c r="M310" s="9">
        <f>LOG(1+Table2[[#This Row],[S&amp;P]])</f>
        <v>0.26481782300953643</v>
      </c>
      <c r="N310">
        <v>14</v>
      </c>
      <c r="O310">
        <f>IF(Table2[[#This Row],[fund age]]=0,0,LOG(Table2[[#This Row],[fund age]]))</f>
        <v>1.146128035678238</v>
      </c>
      <c r="P310">
        <f t="shared" si="4"/>
        <v>1</v>
      </c>
      <c r="Q310">
        <v>70</v>
      </c>
      <c r="R310">
        <v>70</v>
      </c>
      <c r="S310">
        <v>89.8</v>
      </c>
      <c r="T310" s="34">
        <v>31.2</v>
      </c>
      <c r="U310" s="42">
        <v>47.307367293927399</v>
      </c>
      <c r="V310">
        <v>1437.0580903679715</v>
      </c>
      <c r="W310">
        <f>LOG(Table2[[#This Row],[generalist]])</f>
        <v>3.1574743240259107</v>
      </c>
      <c r="X310" s="14">
        <v>2</v>
      </c>
      <c r="Y310">
        <v>5061.7945462381631</v>
      </c>
      <c r="Z310">
        <f>LOG(Table2[[#This Row],[country divers.]])</f>
        <v>3.7043045135512243</v>
      </c>
      <c r="AA310">
        <v>342170000</v>
      </c>
      <c r="AB310">
        <f>LOG(Table2[[#This Row],[Firm Size]])</f>
        <v>8.53424192979422</v>
      </c>
      <c r="AC310" s="80">
        <v>0.51388806185965752</v>
      </c>
    </row>
    <row r="311" spans="1:29" x14ac:dyDescent="0.35">
      <c r="A311" t="s">
        <v>59</v>
      </c>
      <c r="B311">
        <v>2.4030115974560418</v>
      </c>
      <c r="C311">
        <f>IF(Table2[[#This Row],[Return]]=-1,-1,LOG(1+Table2[[#This Row],[Return]]))</f>
        <v>0.53186342917297091</v>
      </c>
      <c r="D311">
        <v>12.621917808219179</v>
      </c>
      <c r="E311">
        <v>0</v>
      </c>
      <c r="F311">
        <f>IF(Table2[[#This Row],[Geo Distance]]=0,0,LOG(Table2[[#This Row],[Geo Distance]]))</f>
        <v>0</v>
      </c>
      <c r="G311">
        <v>71</v>
      </c>
      <c r="H311">
        <f>IF(Table2[[#This Row],[Target age]]=0,0,LOG(Table2[[#This Row],[Target age]]))</f>
        <v>1.8512583487190752</v>
      </c>
      <c r="I311" s="45">
        <v>3.29</v>
      </c>
      <c r="J311" s="9">
        <v>0</v>
      </c>
      <c r="K311" s="9">
        <f>IF(Table2[[#This Row],[Culture]]=0,0,LOG(Table2[[#This Row],[Culture]]))</f>
        <v>0</v>
      </c>
      <c r="L311" s="24">
        <v>1.1499999999999999</v>
      </c>
      <c r="M311" s="9">
        <f>LOG(1+Table2[[#This Row],[S&amp;P]])</f>
        <v>0.33243845991560533</v>
      </c>
      <c r="N311">
        <v>24</v>
      </c>
      <c r="O311">
        <f>IF(Table2[[#This Row],[fund age]]=0,0,LOG(Table2[[#This Row],[fund age]]))</f>
        <v>1.3802112417116059</v>
      </c>
      <c r="P311">
        <f t="shared" si="4"/>
        <v>0</v>
      </c>
      <c r="Q311">
        <v>70</v>
      </c>
      <c r="R311">
        <v>70</v>
      </c>
      <c r="S311">
        <v>85</v>
      </c>
      <c r="T311" s="34">
        <v>32.299999999999997</v>
      </c>
      <c r="U311" s="42">
        <v>40.040400531970803</v>
      </c>
      <c r="V311" s="40">
        <v>1709.090909090909</v>
      </c>
      <c r="W311" s="40">
        <f>LOG(Table2[[#This Row],[generalist]])</f>
        <v>3.2327651641054547</v>
      </c>
      <c r="X311" s="14">
        <v>3</v>
      </c>
      <c r="Y311">
        <v>8968.5950413223145</v>
      </c>
      <c r="Z311">
        <f>LOG(Table2[[#This Row],[country divers.]])</f>
        <v>3.9527244147731087</v>
      </c>
      <c r="AA311">
        <v>320000000</v>
      </c>
      <c r="AB311">
        <f>LOG(Table2[[#This Row],[Firm Size]])</f>
        <v>8.5051499783199063</v>
      </c>
      <c r="AC311" s="80">
        <v>0.8284260636752252</v>
      </c>
    </row>
    <row r="312" spans="1:29" x14ac:dyDescent="0.35">
      <c r="A312" t="s">
        <v>59</v>
      </c>
      <c r="B312">
        <v>0.81172336404441303</v>
      </c>
      <c r="C312">
        <f>IF(Table2[[#This Row],[Return]]=-1,-1,LOG(1+Table2[[#This Row],[Return]]))</f>
        <v>0.25809188504009289</v>
      </c>
      <c r="D312">
        <v>4.1287671232876715</v>
      </c>
      <c r="E312">
        <v>0</v>
      </c>
      <c r="F312">
        <f>IF(Table2[[#This Row],[Geo Distance]]=0,0,LOG(Table2[[#This Row],[Geo Distance]]))</f>
        <v>0</v>
      </c>
      <c r="G312">
        <v>1</v>
      </c>
      <c r="H312">
        <f>IF(Table2[[#This Row],[Target age]]=0,0,LOG(Table2[[#This Row],[Target age]]))</f>
        <v>0</v>
      </c>
      <c r="I312" s="45">
        <v>3.29</v>
      </c>
      <c r="J312" s="9">
        <v>0</v>
      </c>
      <c r="K312" s="9">
        <f>IF(Table2[[#This Row],[Culture]]=0,0,LOG(Table2[[#This Row],[Culture]]))</f>
        <v>0</v>
      </c>
      <c r="L312" s="24">
        <v>0.87</v>
      </c>
      <c r="M312" s="9">
        <f>LOG(1+Table2[[#This Row],[S&amp;P]])</f>
        <v>0.27184160653649897</v>
      </c>
      <c r="N312">
        <v>23</v>
      </c>
      <c r="O312">
        <f>IF(Table2[[#This Row],[fund age]]=0,0,LOG(Table2[[#This Row],[fund age]]))</f>
        <v>1.3617278360175928</v>
      </c>
      <c r="P312">
        <f t="shared" si="4"/>
        <v>0</v>
      </c>
      <c r="Q312">
        <v>70</v>
      </c>
      <c r="R312">
        <v>70</v>
      </c>
      <c r="S312">
        <v>85</v>
      </c>
      <c r="T312" s="34">
        <v>31.3</v>
      </c>
      <c r="U312" s="42">
        <v>38.7850112673514</v>
      </c>
      <c r="V312" s="40">
        <v>1709.090909090909</v>
      </c>
      <c r="W312" s="40">
        <f>LOG(Table2[[#This Row],[generalist]])</f>
        <v>3.2327651641054547</v>
      </c>
      <c r="X312" s="14">
        <v>3</v>
      </c>
      <c r="Y312">
        <v>8968.5950413223145</v>
      </c>
      <c r="Z312">
        <f>LOG(Table2[[#This Row],[country divers.]])</f>
        <v>3.9527244147731087</v>
      </c>
      <c r="AA312">
        <v>84660000</v>
      </c>
      <c r="AB312">
        <f>LOG(Table2[[#This Row],[Firm Size]])</f>
        <v>7.9276782641379917</v>
      </c>
      <c r="AC312" s="80">
        <v>1.0085156148990939</v>
      </c>
    </row>
    <row r="313" spans="1:29" x14ac:dyDescent="0.35">
      <c r="A313" t="s">
        <v>59</v>
      </c>
      <c r="B313">
        <v>-0.68171021377672214</v>
      </c>
      <c r="C313">
        <f>IF(Table2[[#This Row],[Return]]=-1,-1,LOG(1+Table2[[#This Row],[Return]]))</f>
        <v>-0.49717729747086076</v>
      </c>
      <c r="D313">
        <v>0.4</v>
      </c>
      <c r="E313">
        <v>0</v>
      </c>
      <c r="F313">
        <f>IF(Table2[[#This Row],[Geo Distance]]=0,0,LOG(Table2[[#This Row],[Geo Distance]]))</f>
        <v>0</v>
      </c>
      <c r="G313">
        <v>18</v>
      </c>
      <c r="H313">
        <f>IF(Table2[[#This Row],[Target age]]=0,0,LOG(Table2[[#This Row],[Target age]]))</f>
        <v>1.255272505103306</v>
      </c>
      <c r="I313" s="45">
        <v>3.29</v>
      </c>
      <c r="J313" s="9">
        <v>0</v>
      </c>
      <c r="K313" s="9">
        <f>IF(Table2[[#This Row],[Culture]]=0,0,LOG(Table2[[#This Row],[Culture]]))</f>
        <v>0</v>
      </c>
      <c r="L313" s="24">
        <v>0.03</v>
      </c>
      <c r="M313" s="9">
        <f>LOG(1+Table2[[#This Row],[S&amp;P]])</f>
        <v>1.2837224705172217E-2</v>
      </c>
      <c r="N313">
        <v>20</v>
      </c>
      <c r="O313">
        <f>IF(Table2[[#This Row],[fund age]]=0,0,LOG(Table2[[#This Row],[fund age]]))</f>
        <v>1.3010299956639813</v>
      </c>
      <c r="P313">
        <f t="shared" si="4"/>
        <v>0</v>
      </c>
      <c r="Q313">
        <v>70</v>
      </c>
      <c r="R313">
        <v>70</v>
      </c>
      <c r="S313">
        <v>85</v>
      </c>
      <c r="T313" s="34">
        <v>32.9</v>
      </c>
      <c r="U313" s="42">
        <v>35.433808146393098</v>
      </c>
      <c r="V313" s="40">
        <v>1709.090909090909</v>
      </c>
      <c r="W313" s="40">
        <f>LOG(Table2[[#This Row],[generalist]])</f>
        <v>3.2327651641054547</v>
      </c>
      <c r="X313" s="14">
        <v>3</v>
      </c>
      <c r="Y313">
        <v>8968.5950413223145</v>
      </c>
      <c r="Z313">
        <f>LOG(Table2[[#This Row],[country divers.]])</f>
        <v>3.9527244147731087</v>
      </c>
      <c r="AA313">
        <v>210500000</v>
      </c>
      <c r="AB313">
        <f>LOG(Table2[[#This Row],[Firm Size]])</f>
        <v>8.3232521001716879</v>
      </c>
      <c r="AC313" s="80">
        <v>2.5227775843608136E-2</v>
      </c>
    </row>
    <row r="314" spans="1:29" x14ac:dyDescent="0.35">
      <c r="A314" t="s">
        <v>59</v>
      </c>
      <c r="B314">
        <v>-0.14948453608247425</v>
      </c>
      <c r="C314">
        <f>IF(Table2[[#This Row],[Return]]=-1,-1,LOG(1+Table2[[#This Row],[Return]]))</f>
        <v>-7.0317785716319775E-2</v>
      </c>
      <c r="D314">
        <v>3.9150684931506849</v>
      </c>
      <c r="E314">
        <v>0</v>
      </c>
      <c r="F314">
        <f>IF(Table2[[#This Row],[Geo Distance]]=0,0,LOG(Table2[[#This Row],[Geo Distance]]))</f>
        <v>0</v>
      </c>
      <c r="G314">
        <v>62</v>
      </c>
      <c r="H314">
        <f>IF(Table2[[#This Row],[Target age]]=0,0,LOG(Table2[[#This Row],[Target age]]))</f>
        <v>1.7923916894982539</v>
      </c>
      <c r="I314" s="45">
        <v>3.29</v>
      </c>
      <c r="J314" s="9">
        <v>0</v>
      </c>
      <c r="K314" s="9">
        <f>IF(Table2[[#This Row],[Culture]]=0,0,LOG(Table2[[#This Row],[Culture]]))</f>
        <v>0</v>
      </c>
      <c r="L314" s="24">
        <v>-0.26</v>
      </c>
      <c r="M314" s="9">
        <f>LOG(1+Table2[[#This Row],[S&amp;P]])</f>
        <v>-0.13076828026902382</v>
      </c>
      <c r="N314">
        <v>19</v>
      </c>
      <c r="O314">
        <f>IF(Table2[[#This Row],[fund age]]=0,0,LOG(Table2[[#This Row],[fund age]]))</f>
        <v>1.2787536009528289</v>
      </c>
      <c r="P314">
        <f t="shared" si="4"/>
        <v>0</v>
      </c>
      <c r="Q314">
        <v>70</v>
      </c>
      <c r="R314">
        <v>70</v>
      </c>
      <c r="S314">
        <v>85</v>
      </c>
      <c r="T314" s="34">
        <v>32.200000000000003</v>
      </c>
      <c r="U314" s="42">
        <v>35.326012114535303</v>
      </c>
      <c r="V314" s="40">
        <v>1709.090909090909</v>
      </c>
      <c r="W314" s="40">
        <f>LOG(Table2[[#This Row],[generalist]])</f>
        <v>3.2327651641054547</v>
      </c>
      <c r="X314" s="14">
        <v>3</v>
      </c>
      <c r="Y314">
        <v>8968.5950413223145</v>
      </c>
      <c r="Z314">
        <f>LOG(Table2[[#This Row],[country divers.]])</f>
        <v>3.9527244147731087</v>
      </c>
      <c r="AA314">
        <v>194000000</v>
      </c>
      <c r="AB314">
        <f>LOG(Table2[[#This Row],[Firm Size]])</f>
        <v>8.2878017299302265</v>
      </c>
      <c r="AC314" s="80">
        <v>-0.32207926910691054</v>
      </c>
    </row>
    <row r="315" spans="1:29" x14ac:dyDescent="0.35">
      <c r="A315" t="s">
        <v>59</v>
      </c>
      <c r="B315">
        <v>-0.74226804123711343</v>
      </c>
      <c r="C315">
        <f>IF(Table2[[#This Row],[Return]]=-1,-1,LOG(1+Table2[[#This Row],[Return]]))</f>
        <v>-0.58883172559420727</v>
      </c>
      <c r="D315">
        <v>3.106849315068493</v>
      </c>
      <c r="E315">
        <v>0</v>
      </c>
      <c r="F315">
        <f>IF(Table2[[#This Row],[Geo Distance]]=0,0,LOG(Table2[[#This Row],[Geo Distance]]))</f>
        <v>0</v>
      </c>
      <c r="G315">
        <v>7</v>
      </c>
      <c r="H315">
        <f>IF(Table2[[#This Row],[Target age]]=0,0,LOG(Table2[[#This Row],[Target age]]))</f>
        <v>0.84509804001425681</v>
      </c>
      <c r="I315" s="45">
        <v>3.29</v>
      </c>
      <c r="J315" s="9">
        <v>0</v>
      </c>
      <c r="K315" s="9">
        <f>IF(Table2[[#This Row],[Culture]]=0,0,LOG(Table2[[#This Row],[Culture]]))</f>
        <v>0</v>
      </c>
      <c r="L315" s="24">
        <v>-0.35</v>
      </c>
      <c r="M315" s="9">
        <f>LOG(1+Table2[[#This Row],[S&amp;P]])</f>
        <v>-0.18708664335714442</v>
      </c>
      <c r="N315">
        <v>19</v>
      </c>
      <c r="O315">
        <f>IF(Table2[[#This Row],[fund age]]=0,0,LOG(Table2[[#This Row],[fund age]]))</f>
        <v>1.2787536009528289</v>
      </c>
      <c r="P315">
        <f t="shared" si="4"/>
        <v>0</v>
      </c>
      <c r="Q315">
        <v>70</v>
      </c>
      <c r="R315">
        <v>70</v>
      </c>
      <c r="S315">
        <v>85</v>
      </c>
      <c r="T315" s="34">
        <v>32.200000000000003</v>
      </c>
      <c r="U315" s="42">
        <v>35.326012114535303</v>
      </c>
      <c r="V315" s="40">
        <v>1709.090909090909</v>
      </c>
      <c r="W315" s="40">
        <f>LOG(Table2[[#This Row],[generalist]])</f>
        <v>3.2327651641054547</v>
      </c>
      <c r="X315" s="14">
        <v>3</v>
      </c>
      <c r="Y315">
        <v>8968.5950413223145</v>
      </c>
      <c r="Z315">
        <f>LOG(Table2[[#This Row],[country divers.]])</f>
        <v>3.9527244147731087</v>
      </c>
      <c r="AA315">
        <v>194000000</v>
      </c>
      <c r="AB315">
        <f>LOG(Table2[[#This Row],[Firm Size]])</f>
        <v>8.2878017299302265</v>
      </c>
      <c r="AC315" s="80">
        <v>-0.39599772682808676</v>
      </c>
    </row>
    <row r="316" spans="1:29" x14ac:dyDescent="0.35">
      <c r="A316" t="s">
        <v>59</v>
      </c>
      <c r="B316">
        <v>0.33879781420765021</v>
      </c>
      <c r="C316">
        <f>IF(Table2[[#This Row],[Return]]=-1,-1,LOG(1+Table2[[#This Row],[Return]]))</f>
        <v>0.12671499463410296</v>
      </c>
      <c r="D316">
        <v>4.602739726027397</v>
      </c>
      <c r="E316">
        <v>0</v>
      </c>
      <c r="F316">
        <f>IF(Table2[[#This Row],[Geo Distance]]=0,0,LOG(Table2[[#This Row],[Geo Distance]]))</f>
        <v>0</v>
      </c>
      <c r="G316">
        <v>113</v>
      </c>
      <c r="H316">
        <f>IF(Table2[[#This Row],[Target age]]=0,0,LOG(Table2[[#This Row],[Target age]]))</f>
        <v>2.0530784434834195</v>
      </c>
      <c r="I316" s="45">
        <v>3.29</v>
      </c>
      <c r="J316" s="9">
        <v>0</v>
      </c>
      <c r="K316" s="9">
        <f>IF(Table2[[#This Row],[Culture]]=0,0,LOG(Table2[[#This Row],[Culture]]))</f>
        <v>0</v>
      </c>
      <c r="L316" s="24">
        <v>-0.14000000000000001</v>
      </c>
      <c r="M316" s="9">
        <f>LOG(1+Table2[[#This Row],[S&amp;P]])</f>
        <v>-6.5501548756432285E-2</v>
      </c>
      <c r="N316">
        <v>19</v>
      </c>
      <c r="O316">
        <f>IF(Table2[[#This Row],[fund age]]=0,0,LOG(Table2[[#This Row],[fund age]]))</f>
        <v>1.2787536009528289</v>
      </c>
      <c r="P316">
        <f t="shared" si="4"/>
        <v>0</v>
      </c>
      <c r="Q316">
        <v>70</v>
      </c>
      <c r="R316">
        <v>70</v>
      </c>
      <c r="S316">
        <v>85</v>
      </c>
      <c r="T316" s="34">
        <v>32.200000000000003</v>
      </c>
      <c r="U316" s="42">
        <v>35.326012114535303</v>
      </c>
      <c r="V316" s="40">
        <v>1709.090909090909</v>
      </c>
      <c r="W316" s="40">
        <f>LOG(Table2[[#This Row],[generalist]])</f>
        <v>3.2327651641054547</v>
      </c>
      <c r="X316" s="14">
        <v>3</v>
      </c>
      <c r="Y316">
        <v>8968.5950413223145</v>
      </c>
      <c r="Z316">
        <f>LOG(Table2[[#This Row],[country divers.]])</f>
        <v>3.9527244147731087</v>
      </c>
      <c r="AA316">
        <v>183000000</v>
      </c>
      <c r="AB316">
        <f>LOG(Table2[[#This Row],[Firm Size]])</f>
        <v>8.2624510897304297</v>
      </c>
      <c r="AC316" s="80">
        <v>-0.20914519006402121</v>
      </c>
    </row>
    <row r="317" spans="1:29" x14ac:dyDescent="0.35">
      <c r="A317" t="s">
        <v>59</v>
      </c>
      <c r="B317">
        <v>0.55555555555555558</v>
      </c>
      <c r="C317">
        <f>IF(Table2[[#This Row],[Return]]=-1,-1,LOG(1+Table2[[#This Row],[Return]]))</f>
        <v>0.19188552623891317</v>
      </c>
      <c r="D317">
        <v>4.1232876712328768</v>
      </c>
      <c r="E317">
        <v>0</v>
      </c>
      <c r="F317">
        <f>IF(Table2[[#This Row],[Geo Distance]]=0,0,LOG(Table2[[#This Row],[Geo Distance]]))</f>
        <v>0</v>
      </c>
      <c r="G317">
        <v>0</v>
      </c>
      <c r="H317">
        <f>IF(Table2[[#This Row],[Target age]]=0,0,LOG(Table2[[#This Row],[Target age]]))</f>
        <v>0</v>
      </c>
      <c r="I317" s="45">
        <v>3.29</v>
      </c>
      <c r="J317" s="9">
        <v>0</v>
      </c>
      <c r="K317" s="9">
        <f>IF(Table2[[#This Row],[Culture]]=0,0,LOG(Table2[[#This Row],[Culture]]))</f>
        <v>0</v>
      </c>
      <c r="L317" s="24">
        <v>0.06</v>
      </c>
      <c r="M317" s="9">
        <f>LOG(1+Table2[[#This Row],[S&amp;P]])</f>
        <v>2.5305865264770262E-2</v>
      </c>
      <c r="N317">
        <v>18</v>
      </c>
      <c r="O317">
        <f>IF(Table2[[#This Row],[fund age]]=0,0,LOG(Table2[[#This Row],[fund age]]))</f>
        <v>1.255272505103306</v>
      </c>
      <c r="P317">
        <f t="shared" si="4"/>
        <v>0</v>
      </c>
      <c r="Q317">
        <v>70</v>
      </c>
      <c r="R317">
        <v>70</v>
      </c>
      <c r="S317">
        <v>85</v>
      </c>
      <c r="T317" s="34">
        <v>31.5</v>
      </c>
      <c r="U317" s="42">
        <v>35.516899069648296</v>
      </c>
      <c r="V317" s="40">
        <v>1709.090909090909</v>
      </c>
      <c r="W317" s="40">
        <f>LOG(Table2[[#This Row],[generalist]])</f>
        <v>3.2327651641054547</v>
      </c>
      <c r="X317" s="14">
        <v>3</v>
      </c>
      <c r="Y317">
        <v>8968.5950413223145</v>
      </c>
      <c r="Z317">
        <f>LOG(Table2[[#This Row],[country divers.]])</f>
        <v>3.9527244147731087</v>
      </c>
      <c r="AA317">
        <v>360000000</v>
      </c>
      <c r="AB317">
        <f>LOG(Table2[[#This Row],[Firm Size]])</f>
        <v>8.5563025007672877</v>
      </c>
      <c r="AC317" s="80">
        <v>-6.9462785331804833E-2</v>
      </c>
    </row>
    <row r="318" spans="1:29" x14ac:dyDescent="0.35">
      <c r="A318" t="s">
        <v>59</v>
      </c>
      <c r="B318">
        <v>-0.15474137931034482</v>
      </c>
      <c r="C318">
        <f>IF(Table2[[#This Row],[Return]]=-1,-1,LOG(1+Table2[[#This Row],[Return]]))</f>
        <v>-7.3010391223115631E-2</v>
      </c>
      <c r="D318">
        <v>1.2821917808219179</v>
      </c>
      <c r="E318">
        <v>0</v>
      </c>
      <c r="F318">
        <f>IF(Table2[[#This Row],[Geo Distance]]=0,0,LOG(Table2[[#This Row],[Geo Distance]]))</f>
        <v>0</v>
      </c>
      <c r="G318">
        <v>1</v>
      </c>
      <c r="H318">
        <f>IF(Table2[[#This Row],[Target age]]=0,0,LOG(Table2[[#This Row],[Target age]]))</f>
        <v>0</v>
      </c>
      <c r="I318" s="45">
        <v>3.29</v>
      </c>
      <c r="J318" s="9">
        <v>0</v>
      </c>
      <c r="K318" s="9">
        <f>IF(Table2[[#This Row],[Culture]]=0,0,LOG(Table2[[#This Row],[Culture]]))</f>
        <v>0</v>
      </c>
      <c r="L318" s="24">
        <v>0.37</v>
      </c>
      <c r="M318" s="9">
        <f>LOG(1+Table2[[#This Row],[S&amp;P]])</f>
        <v>0.13672056715640679</v>
      </c>
      <c r="N318">
        <v>15</v>
      </c>
      <c r="O318">
        <f>IF(Table2[[#This Row],[fund age]]=0,0,LOG(Table2[[#This Row],[fund age]]))</f>
        <v>1.1760912590556813</v>
      </c>
      <c r="P318">
        <f t="shared" si="4"/>
        <v>0</v>
      </c>
      <c r="Q318">
        <v>70</v>
      </c>
      <c r="R318">
        <v>70</v>
      </c>
      <c r="S318">
        <v>100</v>
      </c>
      <c r="T318" s="34">
        <v>29.5</v>
      </c>
      <c r="U318" s="42">
        <v>38.538703610951003</v>
      </c>
      <c r="V318" s="40">
        <v>1709.090909090909</v>
      </c>
      <c r="W318" s="40">
        <f>LOG(Table2[[#This Row],[generalist]])</f>
        <v>3.2327651641054547</v>
      </c>
      <c r="X318" s="14">
        <v>3</v>
      </c>
      <c r="Y318">
        <v>8968.5950413223145</v>
      </c>
      <c r="Z318">
        <f>LOG(Table2[[#This Row],[country divers.]])</f>
        <v>3.9527244147731087</v>
      </c>
      <c r="AA318">
        <v>580000000</v>
      </c>
      <c r="AB318">
        <f>LOG(Table2[[#This Row],[Firm Size]])</f>
        <v>8.7634279935629369</v>
      </c>
      <c r="AC318" s="80" t="e">
        <v>#N/A</v>
      </c>
    </row>
    <row r="319" spans="1:29" x14ac:dyDescent="0.35">
      <c r="A319" t="s">
        <v>59</v>
      </c>
      <c r="B319">
        <v>0.75218934911242608</v>
      </c>
      <c r="C319">
        <f>IF(Table2[[#This Row],[Return]]=-1,-1,LOG(1+Table2[[#This Row],[Return]]))</f>
        <v>0.24358103609649076</v>
      </c>
      <c r="D319">
        <v>10.441095890410958</v>
      </c>
      <c r="E319">
        <v>0</v>
      </c>
      <c r="F319">
        <f>IF(Table2[[#This Row],[Geo Distance]]=0,0,LOG(Table2[[#This Row],[Geo Distance]]))</f>
        <v>0</v>
      </c>
      <c r="G319">
        <v>24</v>
      </c>
      <c r="H319">
        <f>IF(Table2[[#This Row],[Target age]]=0,0,LOG(Table2[[#This Row],[Target age]]))</f>
        <v>1.3802112417116059</v>
      </c>
      <c r="I319" s="45">
        <v>3.29</v>
      </c>
      <c r="J319" s="9">
        <v>0</v>
      </c>
      <c r="K319" s="9">
        <f>IF(Table2[[#This Row],[Culture]]=0,0,LOG(Table2[[#This Row],[Culture]]))</f>
        <v>0</v>
      </c>
      <c r="L319" s="24">
        <v>2.87</v>
      </c>
      <c r="M319" s="9">
        <f>LOG(1+Table2[[#This Row],[S&amp;P]])</f>
        <v>0.5877109650189114</v>
      </c>
      <c r="N319">
        <v>10</v>
      </c>
      <c r="O319">
        <f>IF(Table2[[#This Row],[fund age]]=0,0,LOG(Table2[[#This Row],[fund age]]))</f>
        <v>1</v>
      </c>
      <c r="P319">
        <f t="shared" si="4"/>
        <v>0</v>
      </c>
      <c r="Q319">
        <v>70</v>
      </c>
      <c r="R319">
        <v>70</v>
      </c>
      <c r="S319">
        <v>100</v>
      </c>
      <c r="T319" s="34">
        <v>32.9</v>
      </c>
      <c r="U319" s="42">
        <v>49.329709120205997</v>
      </c>
      <c r="V319" s="40">
        <v>1709.090909090909</v>
      </c>
      <c r="W319" s="40">
        <f>LOG(Table2[[#This Row],[generalist]])</f>
        <v>3.2327651641054547</v>
      </c>
      <c r="X319" s="14">
        <v>3</v>
      </c>
      <c r="Y319">
        <v>8968.5950413223145</v>
      </c>
      <c r="Z319">
        <f>LOG(Table2[[#This Row],[country divers.]])</f>
        <v>3.9527244147731087</v>
      </c>
      <c r="AA319">
        <v>84500000</v>
      </c>
      <c r="AB319">
        <f>LOG(Table2[[#This Row],[Firm Size]])</f>
        <v>7.9268567089496926</v>
      </c>
      <c r="AC319" s="80" t="e">
        <v>#N/A</v>
      </c>
    </row>
    <row r="320" spans="1:29" x14ac:dyDescent="0.35">
      <c r="A320" t="s">
        <v>59</v>
      </c>
      <c r="B320">
        <v>0.86505982905982903</v>
      </c>
      <c r="C320">
        <f>IF(Table2[[#This Row],[Return]]=-1,-1,LOG(1+Table2[[#This Row],[Return]]))</f>
        <v>0.27069276805557874</v>
      </c>
      <c r="D320">
        <v>4.0191780821917806</v>
      </c>
      <c r="E320">
        <v>0</v>
      </c>
      <c r="F320">
        <f>IF(Table2[[#This Row],[Geo Distance]]=0,0,LOG(Table2[[#This Row],[Geo Distance]]))</f>
        <v>0</v>
      </c>
      <c r="G320">
        <v>40</v>
      </c>
      <c r="H320">
        <f>IF(Table2[[#This Row],[Target age]]=0,0,LOG(Table2[[#This Row],[Target age]]))</f>
        <v>1.6020599913279623</v>
      </c>
      <c r="I320" s="45">
        <v>3.29</v>
      </c>
      <c r="J320" s="9">
        <v>0</v>
      </c>
      <c r="K320" s="9">
        <f>IF(Table2[[#This Row],[Culture]]=0,0,LOG(Table2[[#This Row],[Culture]]))</f>
        <v>0</v>
      </c>
      <c r="L320" s="24">
        <v>0.56999999999999995</v>
      </c>
      <c r="M320" s="9">
        <f>LOG(1+Table2[[#This Row],[S&amp;P]])</f>
        <v>0.19589965240923368</v>
      </c>
      <c r="N320">
        <v>77</v>
      </c>
      <c r="O320">
        <f>IF(Table2[[#This Row],[fund age]]=0,0,LOG(Table2[[#This Row],[fund age]]))</f>
        <v>1.8864907251724818</v>
      </c>
      <c r="P320">
        <f t="shared" si="4"/>
        <v>0</v>
      </c>
      <c r="Q320">
        <v>70</v>
      </c>
      <c r="R320">
        <v>70</v>
      </c>
      <c r="S320">
        <v>94.6</v>
      </c>
      <c r="T320" s="34">
        <v>33.200000000000003</v>
      </c>
      <c r="U320" s="42">
        <v>45.921427555082097</v>
      </c>
      <c r="V320">
        <v>2144.9704142011828</v>
      </c>
      <c r="W320">
        <f>LOG(Table2[[#This Row],[generalist]])</f>
        <v>3.3314213062933389</v>
      </c>
      <c r="X320" s="14">
        <v>3</v>
      </c>
      <c r="Y320">
        <v>7670.1183431952677</v>
      </c>
      <c r="Z320">
        <f>LOG(Table2[[#This Row],[country divers.]])</f>
        <v>3.884802064783424</v>
      </c>
      <c r="AA320">
        <v>585000000</v>
      </c>
      <c r="AB320">
        <f>LOG(Table2[[#This Row],[Firm Size]])</f>
        <v>8.7671558660821809</v>
      </c>
      <c r="AC320" s="80">
        <v>0.17885873826703325</v>
      </c>
    </row>
    <row r="321" spans="1:29" x14ac:dyDescent="0.35">
      <c r="A321" t="s">
        <v>59</v>
      </c>
      <c r="B321">
        <v>-0.15388294154434756</v>
      </c>
      <c r="C321">
        <f>IF(Table2[[#This Row],[Return]]=-1,-1,LOG(1+Table2[[#This Row],[Return]]))</f>
        <v>-7.2569549106915751E-2</v>
      </c>
      <c r="D321">
        <v>2.1753424657534248</v>
      </c>
      <c r="E321">
        <v>0</v>
      </c>
      <c r="F321">
        <f>IF(Table2[[#This Row],[Geo Distance]]=0,0,LOG(Table2[[#This Row],[Geo Distance]]))</f>
        <v>0</v>
      </c>
      <c r="G321">
        <v>20</v>
      </c>
      <c r="H321">
        <f>IF(Table2[[#This Row],[Target age]]=0,0,LOG(Table2[[#This Row],[Target age]]))</f>
        <v>1.3010299956639813</v>
      </c>
      <c r="I321" s="45">
        <v>3.29</v>
      </c>
      <c r="J321" s="9">
        <v>0</v>
      </c>
      <c r="K321" s="9">
        <f>IF(Table2[[#This Row],[Culture]]=0,0,LOG(Table2[[#This Row],[Culture]]))</f>
        <v>0</v>
      </c>
      <c r="L321" s="24">
        <v>0.16</v>
      </c>
      <c r="M321" s="9">
        <f>LOG(1+Table2[[#This Row],[S&amp;P]])</f>
        <v>6.445798922691845E-2</v>
      </c>
      <c r="N321">
        <v>70</v>
      </c>
      <c r="O321">
        <f>IF(Table2[[#This Row],[fund age]]=0,0,LOG(Table2[[#This Row],[fund age]]))</f>
        <v>1.8450980400142569</v>
      </c>
      <c r="P321">
        <f t="shared" si="4"/>
        <v>0</v>
      </c>
      <c r="Q321">
        <v>70</v>
      </c>
      <c r="R321">
        <v>70</v>
      </c>
      <c r="S321">
        <v>85</v>
      </c>
      <c r="T321" s="34">
        <v>32.299999999999997</v>
      </c>
      <c r="U321" s="42">
        <v>40.040400531970803</v>
      </c>
      <c r="V321">
        <v>2144.9704142011828</v>
      </c>
      <c r="W321">
        <f>LOG(Table2[[#This Row],[generalist]])</f>
        <v>3.3314213062933389</v>
      </c>
      <c r="X321" s="14">
        <v>3</v>
      </c>
      <c r="Y321">
        <v>7670.1183431952677</v>
      </c>
      <c r="Z321">
        <f>LOG(Table2[[#This Row],[country divers.]])</f>
        <v>3.884802064783424</v>
      </c>
      <c r="AA321">
        <v>543660000</v>
      </c>
      <c r="AB321">
        <f>LOG(Table2[[#This Row],[Firm Size]])</f>
        <v>8.7353273807884904</v>
      </c>
      <c r="AC321" s="80">
        <v>0.3858980254199833</v>
      </c>
    </row>
    <row r="322" spans="1:29" x14ac:dyDescent="0.35">
      <c r="A322" t="s">
        <v>59</v>
      </c>
      <c r="B322">
        <v>1.5453908576099011</v>
      </c>
      <c r="C322">
        <f>IF(Table2[[#This Row],[Return]]=-1,-1,LOG(1+Table2[[#This Row],[Return]]))</f>
        <v>0.40575447990253999</v>
      </c>
      <c r="D322">
        <v>3.0575342465753423</v>
      </c>
      <c r="E322">
        <v>0</v>
      </c>
      <c r="F322">
        <f>IF(Table2[[#This Row],[Geo Distance]]=0,0,LOG(Table2[[#This Row],[Geo Distance]]))</f>
        <v>0</v>
      </c>
      <c r="G322">
        <v>0</v>
      </c>
      <c r="H322">
        <f>IF(Table2[[#This Row],[Target age]]=0,0,LOG(Table2[[#This Row],[Target age]]))</f>
        <v>0</v>
      </c>
      <c r="I322" s="45">
        <v>3.29</v>
      </c>
      <c r="J322" s="9">
        <v>0</v>
      </c>
      <c r="K322" s="9">
        <f>IF(Table2[[#This Row],[Culture]]=0,0,LOG(Table2[[#This Row],[Culture]]))</f>
        <v>0</v>
      </c>
      <c r="L322" s="24">
        <v>0.37</v>
      </c>
      <c r="M322" s="9">
        <f>LOG(1+Table2[[#This Row],[S&amp;P]])</f>
        <v>0.13672056715640679</v>
      </c>
      <c r="N322">
        <v>68</v>
      </c>
      <c r="O322">
        <f>IF(Table2[[#This Row],[fund age]]=0,0,LOG(Table2[[#This Row],[fund age]]))</f>
        <v>1.8325089127062364</v>
      </c>
      <c r="P322">
        <f t="shared" ref="P322:P385" si="5">IF(E322=0,0,1)</f>
        <v>0</v>
      </c>
      <c r="Q322">
        <v>70</v>
      </c>
      <c r="R322">
        <v>70</v>
      </c>
      <c r="S322">
        <v>85</v>
      </c>
      <c r="T322" s="34">
        <v>31.5</v>
      </c>
      <c r="U322" s="42">
        <v>37.589394702761602</v>
      </c>
      <c r="V322">
        <v>2144.9704142011828</v>
      </c>
      <c r="W322">
        <f>LOG(Table2[[#This Row],[generalist]])</f>
        <v>3.3314213062933389</v>
      </c>
      <c r="X322" s="14">
        <v>3</v>
      </c>
      <c r="Y322">
        <v>7670.1183431952677</v>
      </c>
      <c r="Z322">
        <f>LOG(Table2[[#This Row],[country divers.]])</f>
        <v>3.884802064783424</v>
      </c>
      <c r="AA322">
        <v>856450000</v>
      </c>
      <c r="AB322">
        <f>LOG(Table2[[#This Row],[Firm Size]])</f>
        <v>8.9327020137020643</v>
      </c>
      <c r="AC322" s="80">
        <v>0.37152762099707504</v>
      </c>
    </row>
    <row r="323" spans="1:29" x14ac:dyDescent="0.35">
      <c r="A323" t="s">
        <v>59</v>
      </c>
      <c r="B323">
        <v>1.0552871287128713</v>
      </c>
      <c r="C323">
        <f>IF(Table2[[#This Row],[Return]]=-1,-1,LOG(1+Table2[[#This Row],[Return]]))</f>
        <v>0.3128725024674901</v>
      </c>
      <c r="D323">
        <v>9.580821917808219</v>
      </c>
      <c r="E323">
        <v>0</v>
      </c>
      <c r="F323">
        <f>IF(Table2[[#This Row],[Geo Distance]]=0,0,LOG(Table2[[#This Row],[Geo Distance]]))</f>
        <v>0</v>
      </c>
      <c r="G323">
        <v>52</v>
      </c>
      <c r="H323">
        <f>IF(Table2[[#This Row],[Target age]]=0,0,LOG(Table2[[#This Row],[Target age]]))</f>
        <v>1.7160033436347992</v>
      </c>
      <c r="I323" s="45">
        <v>3.29</v>
      </c>
      <c r="J323" s="9">
        <v>0</v>
      </c>
      <c r="K323" s="9">
        <f>IF(Table2[[#This Row],[Culture]]=0,0,LOG(Table2[[#This Row],[Culture]]))</f>
        <v>0</v>
      </c>
      <c r="L323" s="24">
        <v>-0.32</v>
      </c>
      <c r="M323" s="9">
        <f>LOG(1+Table2[[#This Row],[S&amp;P]])</f>
        <v>-0.16749108729376372</v>
      </c>
      <c r="N323">
        <v>65</v>
      </c>
      <c r="O323">
        <f>IF(Table2[[#This Row],[fund age]]=0,0,LOG(Table2[[#This Row],[fund age]]))</f>
        <v>1.8129133566428555</v>
      </c>
      <c r="P323">
        <f t="shared" si="5"/>
        <v>0</v>
      </c>
      <c r="Q323">
        <v>70</v>
      </c>
      <c r="R323">
        <v>70</v>
      </c>
      <c r="S323">
        <v>85</v>
      </c>
      <c r="T323" s="34">
        <v>32.200000000000003</v>
      </c>
      <c r="U323" s="42">
        <v>35.326012114535303</v>
      </c>
      <c r="V323">
        <v>2144.9704142011828</v>
      </c>
      <c r="W323">
        <f>LOG(Table2[[#This Row],[generalist]])</f>
        <v>3.3314213062933389</v>
      </c>
      <c r="X323" s="14">
        <v>3</v>
      </c>
      <c r="Y323">
        <v>7670.1183431952677</v>
      </c>
      <c r="Z323">
        <f>LOG(Table2[[#This Row],[country divers.]])</f>
        <v>3.884802064783424</v>
      </c>
      <c r="AA323">
        <v>505000000</v>
      </c>
      <c r="AB323">
        <f>LOG(Table2[[#This Row],[Firm Size]])</f>
        <v>8.7032913781186618</v>
      </c>
      <c r="AC323" s="80">
        <v>-0.23231387498583767</v>
      </c>
    </row>
    <row r="324" spans="1:29" x14ac:dyDescent="0.35">
      <c r="A324" t="s">
        <v>59</v>
      </c>
      <c r="B324">
        <v>1.2727272727272729</v>
      </c>
      <c r="C324">
        <f>IF(Table2[[#This Row],[Return]]=-1,-1,LOG(1+Table2[[#This Row],[Return]]))</f>
        <v>0.35654732351381263</v>
      </c>
      <c r="D324">
        <v>6.4438356164383563</v>
      </c>
      <c r="E324">
        <v>0</v>
      </c>
      <c r="F324">
        <f>IF(Table2[[#This Row],[Geo Distance]]=0,0,LOG(Table2[[#This Row],[Geo Distance]]))</f>
        <v>0</v>
      </c>
      <c r="G324">
        <v>72</v>
      </c>
      <c r="H324">
        <f>IF(Table2[[#This Row],[Target age]]=0,0,LOG(Table2[[#This Row],[Target age]]))</f>
        <v>1.8573324964312685</v>
      </c>
      <c r="I324" s="45">
        <v>3.29</v>
      </c>
      <c r="J324" s="9">
        <v>0</v>
      </c>
      <c r="K324" s="9">
        <f>IF(Table2[[#This Row],[Culture]]=0,0,LOG(Table2[[#This Row],[Culture]]))</f>
        <v>0</v>
      </c>
      <c r="L324" s="24">
        <v>0.11</v>
      </c>
      <c r="M324" s="9">
        <f>LOG(1+Table2[[#This Row],[S&amp;P]])</f>
        <v>4.5322978786657475E-2</v>
      </c>
      <c r="N324">
        <v>64</v>
      </c>
      <c r="O324">
        <f>IF(Table2[[#This Row],[fund age]]=0,0,LOG(Table2[[#This Row],[fund age]]))</f>
        <v>1.8061799739838871</v>
      </c>
      <c r="P324">
        <f t="shared" si="5"/>
        <v>0</v>
      </c>
      <c r="Q324">
        <v>70</v>
      </c>
      <c r="R324">
        <v>70</v>
      </c>
      <c r="S324">
        <v>85</v>
      </c>
      <c r="T324" s="34">
        <v>31.5</v>
      </c>
      <c r="U324" s="42">
        <v>35.516899069648296</v>
      </c>
      <c r="V324">
        <v>2144.9704142011828</v>
      </c>
      <c r="W324">
        <f>LOG(Table2[[#This Row],[generalist]])</f>
        <v>3.3314213062933389</v>
      </c>
      <c r="X324" s="14">
        <v>3</v>
      </c>
      <c r="Y324">
        <v>7670.1183431952677</v>
      </c>
      <c r="Z324">
        <f>LOG(Table2[[#This Row],[country divers.]])</f>
        <v>3.884802064783424</v>
      </c>
      <c r="AA324">
        <v>352000000</v>
      </c>
      <c r="AB324">
        <f>LOG(Table2[[#This Row],[Firm Size]])</f>
        <v>8.5465426634781316</v>
      </c>
      <c r="AC324" s="80">
        <v>2.9350709260754115E-2</v>
      </c>
    </row>
    <row r="325" spans="1:29" x14ac:dyDescent="0.35">
      <c r="A325" t="s">
        <v>59</v>
      </c>
      <c r="B325">
        <v>-0.58513876315789481</v>
      </c>
      <c r="C325">
        <f>IF(Table2[[#This Row],[Return]]=-1,-1,LOG(1+Table2[[#This Row],[Return]]))</f>
        <v>-0.38209714220653945</v>
      </c>
      <c r="D325">
        <v>5.5315068493150683</v>
      </c>
      <c r="E325">
        <v>0</v>
      </c>
      <c r="F325">
        <f>IF(Table2[[#This Row],[Geo Distance]]=0,0,LOG(Table2[[#This Row],[Geo Distance]]))</f>
        <v>0</v>
      </c>
      <c r="G325">
        <v>0</v>
      </c>
      <c r="H325">
        <f>IF(Table2[[#This Row],[Target age]]=0,0,LOG(Table2[[#This Row],[Target age]]))</f>
        <v>0</v>
      </c>
      <c r="I325" s="45">
        <v>3.29</v>
      </c>
      <c r="J325" s="9">
        <v>0</v>
      </c>
      <c r="K325" s="9">
        <f>IF(Table2[[#This Row],[Culture]]=0,0,LOG(Table2[[#This Row],[Culture]]))</f>
        <v>0</v>
      </c>
      <c r="L325" s="24">
        <v>0.49</v>
      </c>
      <c r="M325" s="9">
        <f>LOG(1+Table2[[#This Row],[S&amp;P]])</f>
        <v>0.17318626841227402</v>
      </c>
      <c r="N325">
        <v>62</v>
      </c>
      <c r="O325">
        <f>IF(Table2[[#This Row],[fund age]]=0,0,LOG(Table2[[#This Row],[fund age]]))</f>
        <v>1.7923916894982539</v>
      </c>
      <c r="P325">
        <f t="shared" si="5"/>
        <v>0</v>
      </c>
      <c r="Q325">
        <v>70</v>
      </c>
      <c r="R325">
        <v>90</v>
      </c>
      <c r="S325">
        <v>85</v>
      </c>
      <c r="T325" s="34">
        <v>29.3</v>
      </c>
      <c r="U325" s="42">
        <v>36.913126831903199</v>
      </c>
      <c r="V325">
        <v>2144.9704142011828</v>
      </c>
      <c r="W325">
        <f>LOG(Table2[[#This Row],[generalist]])</f>
        <v>3.3314213062933389</v>
      </c>
      <c r="X325" s="14">
        <v>3</v>
      </c>
      <c r="Y325">
        <v>7670.1183431952677</v>
      </c>
      <c r="Z325">
        <f>LOG(Table2[[#This Row],[country divers.]])</f>
        <v>3.884802064783424</v>
      </c>
      <c r="AA325">
        <v>380000000</v>
      </c>
      <c r="AB325">
        <f>LOG(Table2[[#This Row],[Firm Size]])</f>
        <v>8.5797835966168101</v>
      </c>
      <c r="AC325" s="80" t="e">
        <v>#N/A</v>
      </c>
    </row>
    <row r="326" spans="1:29" x14ac:dyDescent="0.35">
      <c r="A326" t="s">
        <v>59</v>
      </c>
      <c r="B326">
        <v>1.8383819341864718</v>
      </c>
      <c r="C326">
        <f>IF(Table2[[#This Row],[Return]]=-1,-1,LOG(1+Table2[[#This Row],[Return]]))</f>
        <v>0.45307083395064052</v>
      </c>
      <c r="D326">
        <v>3.8</v>
      </c>
      <c r="E326">
        <v>5897.96</v>
      </c>
      <c r="F326">
        <f>IF(Table2[[#This Row],[Geo Distance]]=0,0,LOG(Table2[[#This Row],[Geo Distance]]))</f>
        <v>3.7707018228379927</v>
      </c>
      <c r="G326">
        <v>41</v>
      </c>
      <c r="H326">
        <f>IF(Table2[[#This Row],[Target age]]=0,0,LOG(Table2[[#This Row],[Target age]]))</f>
        <v>1.6127838567197355</v>
      </c>
      <c r="I326" s="45">
        <v>2.3199999999999998</v>
      </c>
      <c r="J326" s="9">
        <v>132</v>
      </c>
      <c r="K326" s="9">
        <f>IF(Table2[[#This Row],[Culture]]=0,0,LOG(Table2[[#This Row],[Culture]]))</f>
        <v>2.12057393120585</v>
      </c>
      <c r="L326" s="24">
        <v>0.21</v>
      </c>
      <c r="M326" s="9">
        <f>LOG(1+Table2[[#This Row],[S&amp;P]])</f>
        <v>8.2785370316450071E-2</v>
      </c>
      <c r="N326">
        <v>4</v>
      </c>
      <c r="O326">
        <f>IF(Table2[[#This Row],[fund age]]=0,0,LOG(Table2[[#This Row],[fund age]]))</f>
        <v>0.6020599913279624</v>
      </c>
      <c r="P326">
        <f t="shared" si="5"/>
        <v>1</v>
      </c>
      <c r="Q326">
        <v>70</v>
      </c>
      <c r="R326">
        <v>70</v>
      </c>
      <c r="S326">
        <v>85</v>
      </c>
      <c r="T326" s="34">
        <v>32.299999999999997</v>
      </c>
      <c r="U326" s="42">
        <v>40.040400531970803</v>
      </c>
      <c r="V326">
        <v>2232.1428571428569</v>
      </c>
      <c r="W326">
        <f>LOG(Table2[[#This Row],[generalist]])</f>
        <v>3.348721986001856</v>
      </c>
      <c r="X326" s="14">
        <v>5</v>
      </c>
      <c r="Y326">
        <v>5650.5102040816337</v>
      </c>
      <c r="Z326">
        <f>LOG(Table2[[#This Row],[country divers.]])</f>
        <v>3.7520876635386311</v>
      </c>
      <c r="AA326">
        <v>273500000</v>
      </c>
      <c r="AB326">
        <f>LOG(Table2[[#This Row],[Firm Size]])</f>
        <v>8.4369573306694488</v>
      </c>
      <c r="AC326" s="80">
        <v>0.32713594793841616</v>
      </c>
    </row>
    <row r="327" spans="1:29" x14ac:dyDescent="0.35">
      <c r="A327" t="s">
        <v>59</v>
      </c>
      <c r="B327">
        <v>0</v>
      </c>
      <c r="C327">
        <f>IF(Table2[[#This Row],[Return]]=-1,-1,LOG(1+Table2[[#This Row],[Return]]))</f>
        <v>0</v>
      </c>
      <c r="D327">
        <v>2.1671232876712327</v>
      </c>
      <c r="E327">
        <v>5897.96</v>
      </c>
      <c r="F327">
        <f>IF(Table2[[#This Row],[Geo Distance]]=0,0,LOG(Table2[[#This Row],[Geo Distance]]))</f>
        <v>3.7707018228379927</v>
      </c>
      <c r="G327">
        <v>39</v>
      </c>
      <c r="H327">
        <f>IF(Table2[[#This Row],[Target age]]=0,0,LOG(Table2[[#This Row],[Target age]]))</f>
        <v>1.5910646070264991</v>
      </c>
      <c r="I327" s="45">
        <v>2.3199999999999998</v>
      </c>
      <c r="J327" s="9">
        <v>132</v>
      </c>
      <c r="K327" s="9">
        <f>IF(Table2[[#This Row],[Culture]]=0,0,LOG(Table2[[#This Row],[Culture]]))</f>
        <v>2.12057393120585</v>
      </c>
      <c r="L327" s="24">
        <v>0.14000000000000001</v>
      </c>
      <c r="M327" s="9">
        <f>LOG(1+Table2[[#This Row],[S&amp;P]])</f>
        <v>5.6904851336472641E-2</v>
      </c>
      <c r="N327">
        <v>4</v>
      </c>
      <c r="O327">
        <f>IF(Table2[[#This Row],[fund age]]=0,0,LOG(Table2[[#This Row],[fund age]]))</f>
        <v>0.6020599913279624</v>
      </c>
      <c r="P327">
        <f t="shared" si="5"/>
        <v>1</v>
      </c>
      <c r="Q327">
        <v>70</v>
      </c>
      <c r="R327">
        <v>70</v>
      </c>
      <c r="S327">
        <v>85</v>
      </c>
      <c r="T327" s="34">
        <v>32.299999999999997</v>
      </c>
      <c r="U327" s="42">
        <v>40.040400531970803</v>
      </c>
      <c r="V327">
        <v>2232.1428571428569</v>
      </c>
      <c r="W327">
        <f>LOG(Table2[[#This Row],[generalist]])</f>
        <v>3.348721986001856</v>
      </c>
      <c r="X327" s="14">
        <v>5</v>
      </c>
      <c r="Y327">
        <v>5650.5102040816337</v>
      </c>
      <c r="Z327">
        <f>LOG(Table2[[#This Row],[country divers.]])</f>
        <v>3.7520876635386311</v>
      </c>
      <c r="AA327">
        <v>350000000</v>
      </c>
      <c r="AB327">
        <f>LOG(Table2[[#This Row],[Firm Size]])</f>
        <v>8.5440680443502757</v>
      </c>
      <c r="AC327" s="80">
        <v>0.39425637980059758</v>
      </c>
    </row>
    <row r="328" spans="1:29" x14ac:dyDescent="0.35">
      <c r="A328" t="s">
        <v>59</v>
      </c>
      <c r="B328">
        <v>0</v>
      </c>
      <c r="C328">
        <f>IF(Table2[[#This Row],[Return]]=-1,-1,LOG(1+Table2[[#This Row],[Return]]))</f>
        <v>0</v>
      </c>
      <c r="D328">
        <v>8.1013698630136979</v>
      </c>
      <c r="E328">
        <v>0</v>
      </c>
      <c r="F328">
        <f>IF(Table2[[#This Row],[Geo Distance]]=0,0,LOG(Table2[[#This Row],[Geo Distance]]))</f>
        <v>0</v>
      </c>
      <c r="G328">
        <v>1</v>
      </c>
      <c r="H328">
        <f>IF(Table2[[#This Row],[Target age]]=0,0,LOG(Table2[[#This Row],[Target age]]))</f>
        <v>0</v>
      </c>
      <c r="I328" s="45">
        <v>3.29</v>
      </c>
      <c r="J328" s="9">
        <v>0</v>
      </c>
      <c r="K328" s="9">
        <f>IF(Table2[[#This Row],[Culture]]=0,0,LOG(Table2[[#This Row],[Culture]]))</f>
        <v>0</v>
      </c>
      <c r="L328" s="24">
        <v>0.28000000000000003</v>
      </c>
      <c r="M328" s="9">
        <f>LOG(1+Table2[[#This Row],[S&amp;P]])</f>
        <v>0.10720996964786837</v>
      </c>
      <c r="N328">
        <v>18</v>
      </c>
      <c r="O328">
        <f>IF(Table2[[#This Row],[fund age]]=0,0,LOG(Table2[[#This Row],[fund age]]))</f>
        <v>1.255272505103306</v>
      </c>
      <c r="P328">
        <f t="shared" si="5"/>
        <v>0</v>
      </c>
      <c r="Q328">
        <v>70</v>
      </c>
      <c r="R328">
        <v>70</v>
      </c>
      <c r="S328">
        <v>91.2</v>
      </c>
      <c r="T328" s="34">
        <v>33</v>
      </c>
      <c r="U328" s="42">
        <v>40.902544500539101</v>
      </c>
      <c r="V328">
        <v>1760.9882217753518</v>
      </c>
      <c r="W328">
        <f>LOG(Table2[[#This Row],[generalist]])</f>
        <v>3.2457564512341266</v>
      </c>
      <c r="X328" s="14">
        <v>1</v>
      </c>
      <c r="Y328">
        <v>7282.3901177822454</v>
      </c>
      <c r="Z328">
        <f>LOG(Table2[[#This Row],[country divers.]])</f>
        <v>3.8622739403850663</v>
      </c>
      <c r="AA328">
        <v>100000000</v>
      </c>
      <c r="AB328">
        <f>LOG(Table2[[#This Row],[Firm Size]])</f>
        <v>8</v>
      </c>
      <c r="AC328" s="80">
        <v>-2.6971380907756859E-2</v>
      </c>
    </row>
    <row r="329" spans="1:29" x14ac:dyDescent="0.35">
      <c r="A329" t="s">
        <v>59</v>
      </c>
      <c r="B329">
        <v>1.7665108718857847</v>
      </c>
      <c r="C329">
        <f>IF(Table2[[#This Row],[Return]]=-1,-1,LOG(1+Table2[[#This Row],[Return]]))</f>
        <v>0.44193238125204243</v>
      </c>
      <c r="D329">
        <v>6.1863013698630134</v>
      </c>
      <c r="E329">
        <v>5897.96</v>
      </c>
      <c r="F329">
        <f>IF(Table2[[#This Row],[Geo Distance]]=0,0,LOG(Table2[[#This Row],[Geo Distance]]))</f>
        <v>3.7707018228379927</v>
      </c>
      <c r="G329">
        <v>5</v>
      </c>
      <c r="H329">
        <f>IF(Table2[[#This Row],[Target age]]=0,0,LOG(Table2[[#This Row],[Target age]]))</f>
        <v>0.69897000433601886</v>
      </c>
      <c r="I329" s="45">
        <v>2.3199999999999998</v>
      </c>
      <c r="J329" s="9">
        <v>132</v>
      </c>
      <c r="K329" s="9">
        <f>IF(Table2[[#This Row],[Culture]]=0,0,LOG(Table2[[#This Row],[Culture]]))</f>
        <v>2.12057393120585</v>
      </c>
      <c r="L329" s="24">
        <v>0.93</v>
      </c>
      <c r="M329" s="9">
        <f>LOG(1+Table2[[#This Row],[S&amp;P]])</f>
        <v>0.28555730900777382</v>
      </c>
      <c r="N329">
        <v>25</v>
      </c>
      <c r="O329">
        <f>IF(Table2[[#This Row],[fund age]]=0,0,LOG(Table2[[#This Row],[fund age]]))</f>
        <v>1.3979400086720377</v>
      </c>
      <c r="P329">
        <f t="shared" si="5"/>
        <v>1</v>
      </c>
      <c r="Q329">
        <v>70</v>
      </c>
      <c r="R329">
        <v>70</v>
      </c>
      <c r="S329">
        <v>94.7</v>
      </c>
      <c r="T329" s="34">
        <v>32.4</v>
      </c>
      <c r="U329" s="42">
        <v>45.737088331856903</v>
      </c>
      <c r="V329">
        <v>1246.953</v>
      </c>
      <c r="W329">
        <f>LOG(Table2[[#This Row],[generalist]])</f>
        <v>3.0958500844125241</v>
      </c>
      <c r="X329" s="14">
        <v>3</v>
      </c>
      <c r="Y329">
        <v>3219.7179999999998</v>
      </c>
      <c r="Z329">
        <f>LOG(Table2[[#This Row],[country divers.]])</f>
        <v>3.5078178355445662</v>
      </c>
      <c r="AA329">
        <v>61824279</v>
      </c>
      <c r="AB329">
        <f>LOG(Table2[[#This Row],[Firm Size]])</f>
        <v>7.7911590602836815</v>
      </c>
      <c r="AC329" s="80">
        <v>0.2717922047962642</v>
      </c>
    </row>
    <row r="330" spans="1:29" x14ac:dyDescent="0.35">
      <c r="A330" t="s">
        <v>59</v>
      </c>
      <c r="B330">
        <v>0.80555555555555558</v>
      </c>
      <c r="C330">
        <f>IF(Table2[[#This Row],[Return]]=-1,-1,LOG(1+Table2[[#This Row],[Return]]))</f>
        <v>0.25661085587556831</v>
      </c>
      <c r="D330">
        <v>3.8575342465753426</v>
      </c>
      <c r="E330">
        <v>5897.96</v>
      </c>
      <c r="F330">
        <f>IF(Table2[[#This Row],[Geo Distance]]=0,0,LOG(Table2[[#This Row],[Geo Distance]]))</f>
        <v>3.7707018228379927</v>
      </c>
      <c r="G330">
        <v>0</v>
      </c>
      <c r="H330">
        <f>IF(Table2[[#This Row],[Target age]]=0,0,LOG(Table2[[#This Row],[Target age]]))</f>
        <v>0</v>
      </c>
      <c r="I330" s="45">
        <v>2.3199999999999998</v>
      </c>
      <c r="J330" s="9">
        <v>132</v>
      </c>
      <c r="K330" s="9">
        <f>IF(Table2[[#This Row],[Culture]]=0,0,LOG(Table2[[#This Row],[Culture]]))</f>
        <v>2.12057393120585</v>
      </c>
      <c r="L330" s="24">
        <v>0.05</v>
      </c>
      <c r="M330" s="9">
        <f>LOG(1+Table2[[#This Row],[S&amp;P]])</f>
        <v>2.1189299069938092E-2</v>
      </c>
      <c r="N330">
        <v>21</v>
      </c>
      <c r="O330">
        <f>IF(Table2[[#This Row],[fund age]]=0,0,LOG(Table2[[#This Row],[fund age]]))</f>
        <v>1.3222192947339193</v>
      </c>
      <c r="P330">
        <f t="shared" si="5"/>
        <v>1</v>
      </c>
      <c r="Q330">
        <v>70</v>
      </c>
      <c r="R330">
        <v>70</v>
      </c>
      <c r="S330">
        <v>90.8</v>
      </c>
      <c r="T330" s="34">
        <v>32.299999999999997</v>
      </c>
      <c r="U330" s="42">
        <v>44.4007960521485</v>
      </c>
      <c r="V330">
        <v>1246.953</v>
      </c>
      <c r="W330">
        <f>LOG(Table2[[#This Row],[generalist]])</f>
        <v>3.0958500844125241</v>
      </c>
      <c r="X330" s="14">
        <v>3</v>
      </c>
      <c r="Y330">
        <v>3219.7179999999998</v>
      </c>
      <c r="Z330">
        <f>LOG(Table2[[#This Row],[country divers.]])</f>
        <v>3.5078178355445662</v>
      </c>
      <c r="AA330">
        <v>360000000</v>
      </c>
      <c r="AB330">
        <f>LOG(Table2[[#This Row],[Firm Size]])</f>
        <v>8.5563025007672877</v>
      </c>
      <c r="AC330" s="80">
        <v>2.8947323340471121E-2</v>
      </c>
    </row>
    <row r="331" spans="1:29" x14ac:dyDescent="0.35">
      <c r="A331" t="s">
        <v>59</v>
      </c>
      <c r="B331">
        <v>-0.10571428571428576</v>
      </c>
      <c r="C331">
        <f>IF(Table2[[#This Row],[Return]]=-1,-1,LOG(1+Table2[[#This Row],[Return]]))</f>
        <v>-4.8523706803827171E-2</v>
      </c>
      <c r="D331">
        <v>3.3397260273972602</v>
      </c>
      <c r="E331">
        <v>5897.96</v>
      </c>
      <c r="F331">
        <f>IF(Table2[[#This Row],[Geo Distance]]=0,0,LOG(Table2[[#This Row],[Geo Distance]]))</f>
        <v>3.7707018228379927</v>
      </c>
      <c r="G331">
        <v>41</v>
      </c>
      <c r="H331">
        <f>IF(Table2[[#This Row],[Target age]]=0,0,LOG(Table2[[#This Row],[Target age]]))</f>
        <v>1.6127838567197355</v>
      </c>
      <c r="I331" s="45">
        <v>2.3199999999999998</v>
      </c>
      <c r="J331" s="9">
        <v>132</v>
      </c>
      <c r="K331" s="9">
        <f>IF(Table2[[#This Row],[Culture]]=0,0,LOG(Table2[[#This Row],[Culture]]))</f>
        <v>2.12057393120585</v>
      </c>
      <c r="L331" s="24">
        <v>-0.24</v>
      </c>
      <c r="M331" s="9">
        <f>LOG(1+Table2[[#This Row],[S&amp;P]])</f>
        <v>-0.11918640771920865</v>
      </c>
      <c r="N331">
        <v>19</v>
      </c>
      <c r="O331">
        <f>IF(Table2[[#This Row],[fund age]]=0,0,LOG(Table2[[#This Row],[fund age]]))</f>
        <v>1.2787536009528289</v>
      </c>
      <c r="P331">
        <f t="shared" si="5"/>
        <v>1</v>
      </c>
      <c r="Q331">
        <v>70</v>
      </c>
      <c r="R331">
        <v>70</v>
      </c>
      <c r="S331">
        <v>91.5</v>
      </c>
      <c r="T331" s="34">
        <v>32.9</v>
      </c>
      <c r="U331" s="42">
        <v>40.767390998852598</v>
      </c>
      <c r="V331">
        <v>1246.953</v>
      </c>
      <c r="W331">
        <f>LOG(Table2[[#This Row],[generalist]])</f>
        <v>3.0958500844125241</v>
      </c>
      <c r="X331" s="14">
        <v>3</v>
      </c>
      <c r="Y331">
        <v>3219.7179999999998</v>
      </c>
      <c r="Z331">
        <f>LOG(Table2[[#This Row],[country divers.]])</f>
        <v>3.5078178355445662</v>
      </c>
      <c r="AA331">
        <v>350000000</v>
      </c>
      <c r="AB331">
        <f>LOG(Table2[[#This Row],[Firm Size]])</f>
        <v>8.5440680443502757</v>
      </c>
      <c r="AC331" s="80">
        <v>-0.21054686617638985</v>
      </c>
    </row>
    <row r="332" spans="1:29" x14ac:dyDescent="0.35">
      <c r="A332" t="s">
        <v>59</v>
      </c>
      <c r="B332">
        <v>-1.1265490048817384E-3</v>
      </c>
      <c r="C332">
        <f>IF(Table2[[#This Row],[Return]]=-1,-1,LOG(1+Table2[[#This Row],[Return]]))</f>
        <v>-4.8952980787425474E-4</v>
      </c>
      <c r="D332">
        <v>3.128767123287671</v>
      </c>
      <c r="E332">
        <v>5897.96</v>
      </c>
      <c r="F332">
        <f>IF(Table2[[#This Row],[Geo Distance]]=0,0,LOG(Table2[[#This Row],[Geo Distance]]))</f>
        <v>3.7707018228379927</v>
      </c>
      <c r="G332">
        <v>79</v>
      </c>
      <c r="H332">
        <f>IF(Table2[[#This Row],[Target age]]=0,0,LOG(Table2[[#This Row],[Target age]]))</f>
        <v>1.8976270912904414</v>
      </c>
      <c r="I332" s="45">
        <v>2.3199999999999998</v>
      </c>
      <c r="J332" s="9">
        <v>132</v>
      </c>
      <c r="K332" s="9">
        <f>IF(Table2[[#This Row],[Culture]]=0,0,LOG(Table2[[#This Row],[Culture]]))</f>
        <v>2.12057393120585</v>
      </c>
      <c r="L332" s="24">
        <v>-0.26</v>
      </c>
      <c r="M332" s="9">
        <f>LOG(1+Table2[[#This Row],[S&amp;P]])</f>
        <v>-0.13076828026902382</v>
      </c>
      <c r="N332">
        <v>18</v>
      </c>
      <c r="O332">
        <f>IF(Table2[[#This Row],[fund age]]=0,0,LOG(Table2[[#This Row],[fund age]]))</f>
        <v>1.255272505103306</v>
      </c>
      <c r="P332">
        <f t="shared" si="5"/>
        <v>1</v>
      </c>
      <c r="Q332">
        <v>70</v>
      </c>
      <c r="R332">
        <v>70</v>
      </c>
      <c r="S332">
        <v>85</v>
      </c>
      <c r="T332" s="34">
        <v>32.700000000000003</v>
      </c>
      <c r="U332" s="42">
        <v>41.286751495766303</v>
      </c>
      <c r="V332">
        <v>1246.953</v>
      </c>
      <c r="W332">
        <f>LOG(Table2[[#This Row],[generalist]])</f>
        <v>3.0958500844125241</v>
      </c>
      <c r="X332" s="14">
        <v>3</v>
      </c>
      <c r="Y332">
        <v>3219.7179999999998</v>
      </c>
      <c r="Z332">
        <f>LOG(Table2[[#This Row],[country divers.]])</f>
        <v>3.5078178355445662</v>
      </c>
      <c r="AA332">
        <v>53260000</v>
      </c>
      <c r="AB332">
        <f>LOG(Table2[[#This Row],[Firm Size]])</f>
        <v>7.7264011621029223</v>
      </c>
      <c r="AC332" s="80">
        <v>-0.15469220965033437</v>
      </c>
    </row>
    <row r="333" spans="1:29" x14ac:dyDescent="0.35">
      <c r="A333" t="s">
        <v>59</v>
      </c>
      <c r="B333">
        <v>0.95652173913043481</v>
      </c>
      <c r="C333">
        <f>IF(Table2[[#This Row],[Return]]=-1,-1,LOG(1+Table2[[#This Row],[Return]]))</f>
        <v>0.29148467775775083</v>
      </c>
      <c r="D333">
        <v>5.0630136986301366</v>
      </c>
      <c r="E333">
        <v>5897.96</v>
      </c>
      <c r="F333">
        <f>IF(Table2[[#This Row],[Geo Distance]]=0,0,LOG(Table2[[#This Row],[Geo Distance]]))</f>
        <v>3.7707018228379927</v>
      </c>
      <c r="G333">
        <v>0</v>
      </c>
      <c r="H333">
        <f>IF(Table2[[#This Row],[Target age]]=0,0,LOG(Table2[[#This Row],[Target age]]))</f>
        <v>0</v>
      </c>
      <c r="I333" s="45">
        <v>2.3199999999999998</v>
      </c>
      <c r="J333" s="9">
        <v>132</v>
      </c>
      <c r="K333" s="9">
        <f>IF(Table2[[#This Row],[Culture]]=0,0,LOG(Table2[[#This Row],[Culture]]))</f>
        <v>2.12057393120585</v>
      </c>
      <c r="L333" s="24">
        <v>-0.01</v>
      </c>
      <c r="M333" s="9">
        <f>LOG(1+Table2[[#This Row],[S&amp;P]])</f>
        <v>-4.3648054024500883E-3</v>
      </c>
      <c r="N333">
        <v>18</v>
      </c>
      <c r="O333">
        <f>IF(Table2[[#This Row],[fund age]]=0,0,LOG(Table2[[#This Row],[fund age]]))</f>
        <v>1.255272505103306</v>
      </c>
      <c r="P333">
        <f t="shared" si="5"/>
        <v>1</v>
      </c>
      <c r="Q333">
        <v>70</v>
      </c>
      <c r="R333">
        <v>70</v>
      </c>
      <c r="S333">
        <v>85</v>
      </c>
      <c r="T333" s="34">
        <v>32.700000000000003</v>
      </c>
      <c r="U333" s="42">
        <v>41.286751495766303</v>
      </c>
      <c r="V333">
        <v>1246.953</v>
      </c>
      <c r="W333">
        <f>LOG(Table2[[#This Row],[generalist]])</f>
        <v>3.0958500844125241</v>
      </c>
      <c r="X333" s="14">
        <v>3</v>
      </c>
      <c r="Y333">
        <v>3219.7179999999998</v>
      </c>
      <c r="Z333">
        <f>LOG(Table2[[#This Row],[country divers.]])</f>
        <v>3.5078178355445662</v>
      </c>
      <c r="AA333">
        <v>230000000</v>
      </c>
      <c r="AB333">
        <f>LOG(Table2[[#This Row],[Firm Size]])</f>
        <v>8.3617278360175931</v>
      </c>
      <c r="AC333" s="80">
        <v>0.10637152611359757</v>
      </c>
    </row>
    <row r="334" spans="1:29" x14ac:dyDescent="0.35">
      <c r="A334" t="s">
        <v>59</v>
      </c>
      <c r="B334">
        <v>0.9882352941176471</v>
      </c>
      <c r="C334">
        <f>IF(Table2[[#This Row],[Return]]=-1,-1,LOG(1+Table2[[#This Row],[Return]]))</f>
        <v>0.29846777889938081</v>
      </c>
      <c r="D334">
        <v>1.210958904109589</v>
      </c>
      <c r="E334">
        <v>5897.96</v>
      </c>
      <c r="F334">
        <f>IF(Table2[[#This Row],[Geo Distance]]=0,0,LOG(Table2[[#This Row],[Geo Distance]]))</f>
        <v>3.7707018228379927</v>
      </c>
      <c r="G334">
        <v>10</v>
      </c>
      <c r="H334">
        <f>IF(Table2[[#This Row],[Target age]]=0,0,LOG(Table2[[#This Row],[Target age]]))</f>
        <v>1</v>
      </c>
      <c r="I334" s="45">
        <v>2.3199999999999998</v>
      </c>
      <c r="J334" s="9">
        <v>132</v>
      </c>
      <c r="K334" s="9">
        <f>IF(Table2[[#This Row],[Culture]]=0,0,LOG(Table2[[#This Row],[Culture]]))</f>
        <v>2.12057393120585</v>
      </c>
      <c r="L334" s="24">
        <v>0.1</v>
      </c>
      <c r="M334" s="9">
        <f>LOG(1+Table2[[#This Row],[S&amp;P]])</f>
        <v>4.1392685158225077E-2</v>
      </c>
      <c r="N334">
        <v>17</v>
      </c>
      <c r="O334">
        <f>IF(Table2[[#This Row],[fund age]]=0,0,LOG(Table2[[#This Row],[fund age]]))</f>
        <v>1.2304489213782739</v>
      </c>
      <c r="P334">
        <f t="shared" si="5"/>
        <v>1</v>
      </c>
      <c r="Q334">
        <v>70</v>
      </c>
      <c r="R334">
        <v>70</v>
      </c>
      <c r="S334">
        <v>85</v>
      </c>
      <c r="T334" s="34">
        <v>32.299999999999997</v>
      </c>
      <c r="U334" s="42">
        <v>40.040400531970803</v>
      </c>
      <c r="V334">
        <v>1246.953</v>
      </c>
      <c r="W334">
        <f>LOG(Table2[[#This Row],[generalist]])</f>
        <v>3.0958500844125241</v>
      </c>
      <c r="X334" s="14">
        <v>3</v>
      </c>
      <c r="Y334">
        <v>3219.7179999999998</v>
      </c>
      <c r="Z334">
        <f>LOG(Table2[[#This Row],[country divers.]])</f>
        <v>3.5078178355445662</v>
      </c>
      <c r="AA334">
        <v>34000000</v>
      </c>
      <c r="AB334">
        <f>LOG(Table2[[#This Row],[Firm Size]])</f>
        <v>7.5314789170422554</v>
      </c>
      <c r="AC334" s="80">
        <v>0.16266306910462625</v>
      </c>
    </row>
    <row r="335" spans="1:29" x14ac:dyDescent="0.35">
      <c r="A335" t="s">
        <v>59</v>
      </c>
      <c r="B335">
        <v>18.025568753774916</v>
      </c>
      <c r="C335">
        <f>IF(Table2[[#This Row],[Return]]=-1,-1,LOG(1+Table2[[#This Row],[Return]]))</f>
        <v>1.2793376485140397</v>
      </c>
      <c r="D335">
        <v>4.7835616438356166</v>
      </c>
      <c r="E335">
        <v>5897.96</v>
      </c>
      <c r="F335">
        <f>IF(Table2[[#This Row],[Geo Distance]]=0,0,LOG(Table2[[#This Row],[Geo Distance]]))</f>
        <v>3.7707018228379927</v>
      </c>
      <c r="G335">
        <v>166</v>
      </c>
      <c r="H335">
        <f>IF(Table2[[#This Row],[Target age]]=0,0,LOG(Table2[[#This Row],[Target age]]))</f>
        <v>2.220108088040055</v>
      </c>
      <c r="I335" s="45">
        <v>2.3199999999999998</v>
      </c>
      <c r="J335" s="9">
        <v>132</v>
      </c>
      <c r="K335" s="9">
        <f>IF(Table2[[#This Row],[Culture]]=0,0,LOG(Table2[[#This Row],[Culture]]))</f>
        <v>2.12057393120585</v>
      </c>
      <c r="L335" s="24">
        <v>0.78</v>
      </c>
      <c r="M335" s="9">
        <f>LOG(1+Table2[[#This Row],[S&amp;P]])</f>
        <v>0.250420002308894</v>
      </c>
      <c r="N335">
        <v>16</v>
      </c>
      <c r="O335">
        <f>IF(Table2[[#This Row],[fund age]]=0,0,LOG(Table2[[#This Row],[fund age]]))</f>
        <v>1.2041199826559248</v>
      </c>
      <c r="P335">
        <f t="shared" si="5"/>
        <v>1</v>
      </c>
      <c r="Q335">
        <v>70</v>
      </c>
      <c r="R335">
        <v>70</v>
      </c>
      <c r="S335">
        <v>85</v>
      </c>
      <c r="T335" s="34">
        <v>31.3</v>
      </c>
      <c r="U335" s="42">
        <v>38.7850112673514</v>
      </c>
      <c r="V335">
        <v>1246.953</v>
      </c>
      <c r="W335">
        <f>LOG(Table2[[#This Row],[generalist]])</f>
        <v>3.0958500844125241</v>
      </c>
      <c r="X335" s="14">
        <v>3</v>
      </c>
      <c r="Y335">
        <v>3219.7179999999998</v>
      </c>
      <c r="Z335">
        <f>LOG(Table2[[#This Row],[country divers.]])</f>
        <v>3.5078178355445662</v>
      </c>
      <c r="AA335">
        <v>100950000</v>
      </c>
      <c r="AB335">
        <f>LOG(Table2[[#This Row],[Firm Size]])</f>
        <v>8.0041063232796574</v>
      </c>
      <c r="AC335" s="80">
        <v>0.81925612364133427</v>
      </c>
    </row>
    <row r="336" spans="1:29" x14ac:dyDescent="0.35">
      <c r="A336" t="s">
        <v>59</v>
      </c>
      <c r="B336">
        <v>0.91897920000000011</v>
      </c>
      <c r="C336">
        <f>IF(Table2[[#This Row],[Return]]=-1,-1,LOG(1+Table2[[#This Row],[Return]]))</f>
        <v>0.28307026740134966</v>
      </c>
      <c r="D336">
        <v>2.9452054794520546</v>
      </c>
      <c r="E336">
        <v>5897.96</v>
      </c>
      <c r="F336">
        <f>IF(Table2[[#This Row],[Geo Distance]]=0,0,LOG(Table2[[#This Row],[Geo Distance]]))</f>
        <v>3.7707018228379927</v>
      </c>
      <c r="G336">
        <v>2</v>
      </c>
      <c r="H336">
        <f>IF(Table2[[#This Row],[Target age]]=0,0,LOG(Table2[[#This Row],[Target age]]))</f>
        <v>0.3010299956639812</v>
      </c>
      <c r="I336" s="45">
        <v>2.3199999999999998</v>
      </c>
      <c r="J336" s="9">
        <v>132</v>
      </c>
      <c r="K336" s="9">
        <f>IF(Table2[[#This Row],[Culture]]=0,0,LOG(Table2[[#This Row],[Culture]]))</f>
        <v>2.12057393120585</v>
      </c>
      <c r="L336" s="24">
        <v>0.52</v>
      </c>
      <c r="M336" s="9">
        <f>LOG(1+Table2[[#This Row],[S&amp;P]])</f>
        <v>0.18184358794477254</v>
      </c>
      <c r="N336">
        <v>0</v>
      </c>
      <c r="O336">
        <f>IF(Table2[[#This Row],[fund age]]=0,0,LOG(Table2[[#This Row],[fund age]]))</f>
        <v>0</v>
      </c>
      <c r="P336">
        <f t="shared" si="5"/>
        <v>1</v>
      </c>
      <c r="Q336">
        <v>70</v>
      </c>
      <c r="R336">
        <v>70</v>
      </c>
      <c r="S336">
        <v>85</v>
      </c>
      <c r="T336" s="34">
        <v>31.3</v>
      </c>
      <c r="U336" s="42">
        <v>38.7850112673514</v>
      </c>
      <c r="V336">
        <v>1246.953</v>
      </c>
      <c r="W336">
        <f>LOG(Table2[[#This Row],[generalist]])</f>
        <v>3.0958500844125241</v>
      </c>
      <c r="X336" s="14">
        <v>3</v>
      </c>
      <c r="Y336">
        <v>3219.7179999999998</v>
      </c>
      <c r="Z336">
        <f>LOG(Table2[[#This Row],[country divers.]])</f>
        <v>3.5078178355445662</v>
      </c>
      <c r="AA336">
        <v>150000000</v>
      </c>
      <c r="AB336">
        <f>LOG(Table2[[#This Row],[Firm Size]])</f>
        <v>8.1760912590556813</v>
      </c>
      <c r="AC336" s="80">
        <v>0.6457162069801794</v>
      </c>
    </row>
    <row r="337" spans="1:29" x14ac:dyDescent="0.35">
      <c r="A337" t="s">
        <v>59</v>
      </c>
      <c r="B337">
        <v>1.1710144927536232</v>
      </c>
      <c r="C337">
        <f>IF(Table2[[#This Row],[Return]]=-1,-1,LOG(1+Table2[[#This Row],[Return]]))</f>
        <v>0.33666272262619235</v>
      </c>
      <c r="D337">
        <v>3.0931506849315067</v>
      </c>
      <c r="E337">
        <v>5897.96</v>
      </c>
      <c r="F337">
        <f>IF(Table2[[#This Row],[Geo Distance]]=0,0,LOG(Table2[[#This Row],[Geo Distance]]))</f>
        <v>3.7707018228379927</v>
      </c>
      <c r="G337">
        <v>3</v>
      </c>
      <c r="H337">
        <f>IF(Table2[[#This Row],[Target age]]=0,0,LOG(Table2[[#This Row],[Target age]]))</f>
        <v>0.47712125471966244</v>
      </c>
      <c r="I337" s="45">
        <v>2.3199999999999998</v>
      </c>
      <c r="J337" s="9">
        <v>132</v>
      </c>
      <c r="K337" s="9">
        <f>IF(Table2[[#This Row],[Culture]]=0,0,LOG(Table2[[#This Row],[Culture]]))</f>
        <v>2.12057393120585</v>
      </c>
      <c r="L337" s="24">
        <v>0.03</v>
      </c>
      <c r="M337" s="9">
        <f>LOG(1+Table2[[#This Row],[S&amp;P]])</f>
        <v>1.2837224705172217E-2</v>
      </c>
      <c r="N337">
        <v>15</v>
      </c>
      <c r="O337">
        <f>IF(Table2[[#This Row],[fund age]]=0,0,LOG(Table2[[#This Row],[fund age]]))</f>
        <v>1.1760912590556813</v>
      </c>
      <c r="P337">
        <f t="shared" si="5"/>
        <v>1</v>
      </c>
      <c r="Q337">
        <v>70</v>
      </c>
      <c r="R337">
        <v>70</v>
      </c>
      <c r="S337">
        <v>85</v>
      </c>
      <c r="T337" s="34">
        <v>31.5</v>
      </c>
      <c r="U337" s="42">
        <v>37.589394702761602</v>
      </c>
      <c r="V337">
        <v>1246.953</v>
      </c>
      <c r="W337">
        <f>LOG(Table2[[#This Row],[generalist]])</f>
        <v>3.0958500844125241</v>
      </c>
      <c r="X337" s="14">
        <v>3</v>
      </c>
      <c r="Y337">
        <v>3219.7179999999998</v>
      </c>
      <c r="Z337">
        <f>LOG(Table2[[#This Row],[country divers.]])</f>
        <v>3.5078178355445662</v>
      </c>
      <c r="AA337">
        <v>6900000</v>
      </c>
      <c r="AB337">
        <f>LOG(Table2[[#This Row],[Firm Size]])</f>
        <v>6.8388490907372557</v>
      </c>
      <c r="AC337" s="80">
        <v>-2.4764228332747718E-2</v>
      </c>
    </row>
    <row r="338" spans="1:29" x14ac:dyDescent="0.35">
      <c r="A338" t="s">
        <v>59</v>
      </c>
      <c r="B338">
        <v>0.21172839506172836</v>
      </c>
      <c r="C338">
        <f>IF(Table2[[#This Row],[Return]]=-1,-1,LOG(1+Table2[[#This Row],[Return]]))</f>
        <v>8.3405285057375253E-2</v>
      </c>
      <c r="D338">
        <v>2.4767123287671233</v>
      </c>
      <c r="E338">
        <v>5897.96</v>
      </c>
      <c r="F338">
        <f>IF(Table2[[#This Row],[Geo Distance]]=0,0,LOG(Table2[[#This Row],[Geo Distance]]))</f>
        <v>3.7707018228379927</v>
      </c>
      <c r="G338">
        <v>9</v>
      </c>
      <c r="H338">
        <f>IF(Table2[[#This Row],[Target age]]=0,0,LOG(Table2[[#This Row],[Target age]]))</f>
        <v>0.95424250943932487</v>
      </c>
      <c r="I338" s="45">
        <v>2.3199999999999998</v>
      </c>
      <c r="J338" s="9">
        <v>132</v>
      </c>
      <c r="K338" s="9">
        <f>IF(Table2[[#This Row],[Culture]]=0,0,LOG(Table2[[#This Row],[Culture]]))</f>
        <v>2.12057393120585</v>
      </c>
      <c r="L338" s="24">
        <v>0.25</v>
      </c>
      <c r="M338" s="9">
        <f>LOG(1+Table2[[#This Row],[S&amp;P]])</f>
        <v>9.691001300805642E-2</v>
      </c>
      <c r="N338">
        <v>19</v>
      </c>
      <c r="O338">
        <f>IF(Table2[[#This Row],[fund age]]=0,0,LOG(Table2[[#This Row],[fund age]]))</f>
        <v>1.2787536009528289</v>
      </c>
      <c r="P338">
        <f t="shared" si="5"/>
        <v>1</v>
      </c>
      <c r="Q338">
        <v>70</v>
      </c>
      <c r="R338">
        <v>70</v>
      </c>
      <c r="S338">
        <v>85</v>
      </c>
      <c r="T338" s="34">
        <v>32.299999999999997</v>
      </c>
      <c r="U338" s="42">
        <v>40.040400531970803</v>
      </c>
      <c r="V338">
        <v>2315.9650000000001</v>
      </c>
      <c r="W338">
        <f>LOG(Table2[[#This Row],[generalist]])</f>
        <v>3.3647319918335836</v>
      </c>
      <c r="X338" s="14">
        <v>4</v>
      </c>
      <c r="Y338">
        <v>3703.9029999999998</v>
      </c>
      <c r="Z338">
        <f>LOG(Table2[[#This Row],[country divers.]])</f>
        <v>3.568659604598353</v>
      </c>
      <c r="AA338">
        <v>162000000</v>
      </c>
      <c r="AB338">
        <f>LOG(Table2[[#This Row],[Firm Size]])</f>
        <v>8.2095150145426317</v>
      </c>
      <c r="AC338" s="80">
        <v>0.42788282313367487</v>
      </c>
    </row>
    <row r="339" spans="1:29" x14ac:dyDescent="0.35">
      <c r="A339" t="s">
        <v>59</v>
      </c>
      <c r="B339">
        <v>5.1366432482734972</v>
      </c>
      <c r="C339">
        <f>IF(Table2[[#This Row],[Return]]=-1,-1,LOG(1+Table2[[#This Row],[Return]]))</f>
        <v>0.78793087645165238</v>
      </c>
      <c r="D339">
        <v>9.2246575342465746</v>
      </c>
      <c r="E339">
        <v>5897.96</v>
      </c>
      <c r="F339">
        <f>IF(Table2[[#This Row],[Geo Distance]]=0,0,LOG(Table2[[#This Row],[Geo Distance]]))</f>
        <v>3.7707018228379927</v>
      </c>
      <c r="G339">
        <v>19</v>
      </c>
      <c r="H339">
        <f>IF(Table2[[#This Row],[Target age]]=0,0,LOG(Table2[[#This Row],[Target age]]))</f>
        <v>1.2787536009528289</v>
      </c>
      <c r="I339" s="45">
        <v>2.3199999999999998</v>
      </c>
      <c r="J339" s="9">
        <v>132</v>
      </c>
      <c r="K339" s="9">
        <f>IF(Table2[[#This Row],[Culture]]=0,0,LOG(Table2[[#This Row],[Culture]]))</f>
        <v>2.12057393120585</v>
      </c>
      <c r="L339" s="24">
        <v>0.62</v>
      </c>
      <c r="M339" s="9">
        <f>LOG(1+Table2[[#This Row],[S&amp;P]])</f>
        <v>0.20951501454263097</v>
      </c>
      <c r="N339">
        <v>21</v>
      </c>
      <c r="O339">
        <f>IF(Table2[[#This Row],[fund age]]=0,0,LOG(Table2[[#This Row],[fund age]]))</f>
        <v>1.3222192947339193</v>
      </c>
      <c r="P339">
        <f t="shared" si="5"/>
        <v>1</v>
      </c>
      <c r="Q339">
        <v>70</v>
      </c>
      <c r="R339">
        <v>70</v>
      </c>
      <c r="S339">
        <v>91.5</v>
      </c>
      <c r="T339" s="34">
        <v>32.9</v>
      </c>
      <c r="U339" s="42">
        <v>40.767390998852598</v>
      </c>
      <c r="V339">
        <v>2315.9650000000001</v>
      </c>
      <c r="W339">
        <f>LOG(Table2[[#This Row],[generalist]])</f>
        <v>3.3647319918335836</v>
      </c>
      <c r="X339" s="14">
        <v>4</v>
      </c>
      <c r="Y339">
        <v>3703.9029999999998</v>
      </c>
      <c r="Z339">
        <f>LOG(Table2[[#This Row],[country divers.]])</f>
        <v>3.568659604598353</v>
      </c>
      <c r="AA339">
        <v>265460000</v>
      </c>
      <c r="AB339">
        <f>LOG(Table2[[#This Row],[Firm Size]])</f>
        <v>8.4239990900577286</v>
      </c>
      <c r="AC339" s="80">
        <v>0.22355352902455206</v>
      </c>
    </row>
    <row r="340" spans="1:29" x14ac:dyDescent="0.35">
      <c r="A340" t="s">
        <v>59</v>
      </c>
      <c r="B340">
        <v>3.09375</v>
      </c>
      <c r="C340">
        <f>IF(Table2[[#This Row],[Return]]=-1,-1,LOG(1+Table2[[#This Row],[Return]]))</f>
        <v>0.61212131733585828</v>
      </c>
      <c r="D340">
        <v>5.624657534246575</v>
      </c>
      <c r="E340">
        <v>5897.96</v>
      </c>
      <c r="F340">
        <f>IF(Table2[[#This Row],[Geo Distance]]=0,0,LOG(Table2[[#This Row],[Geo Distance]]))</f>
        <v>3.7707018228379927</v>
      </c>
      <c r="G340">
        <v>78</v>
      </c>
      <c r="H340">
        <f>IF(Table2[[#This Row],[Target age]]=0,0,LOG(Table2[[#This Row],[Target age]]))</f>
        <v>1.8920946026904804</v>
      </c>
      <c r="I340" s="45">
        <v>2.3199999999999998</v>
      </c>
      <c r="J340" s="9">
        <v>132</v>
      </c>
      <c r="K340" s="9">
        <f>IF(Table2[[#This Row],[Culture]]=0,0,LOG(Table2[[#This Row],[Culture]]))</f>
        <v>2.12057393120585</v>
      </c>
      <c r="L340" s="24">
        <v>0.91</v>
      </c>
      <c r="M340" s="9">
        <f>LOG(1+Table2[[#This Row],[S&amp;P]])</f>
        <v>0.28103336724772759</v>
      </c>
      <c r="N340">
        <v>26</v>
      </c>
      <c r="O340">
        <f>IF(Table2[[#This Row],[fund age]]=0,0,LOG(Table2[[#This Row],[fund age]]))</f>
        <v>1.414973347970818</v>
      </c>
      <c r="P340">
        <f t="shared" si="5"/>
        <v>1</v>
      </c>
      <c r="Q340">
        <v>70</v>
      </c>
      <c r="R340">
        <v>70</v>
      </c>
      <c r="S340">
        <v>94.7</v>
      </c>
      <c r="T340" s="34">
        <v>32.4</v>
      </c>
      <c r="U340" s="42">
        <v>45.737088331856903</v>
      </c>
      <c r="V340">
        <v>2315.9650000000001</v>
      </c>
      <c r="W340">
        <f>LOG(Table2[[#This Row],[generalist]])</f>
        <v>3.3647319918335836</v>
      </c>
      <c r="X340" s="14">
        <v>4</v>
      </c>
      <c r="Y340">
        <v>3703.9029999999998</v>
      </c>
      <c r="Z340">
        <f>LOG(Table2[[#This Row],[country divers.]])</f>
        <v>3.568659604598353</v>
      </c>
      <c r="AA340">
        <v>160000000</v>
      </c>
      <c r="AB340">
        <f>LOG(Table2[[#This Row],[Firm Size]])</f>
        <v>8.204119982655925</v>
      </c>
      <c r="AC340" s="80">
        <v>0.36930216610105093</v>
      </c>
    </row>
    <row r="341" spans="1:29" x14ac:dyDescent="0.35">
      <c r="A341" t="s">
        <v>59</v>
      </c>
      <c r="B341">
        <v>4.1768766177739431</v>
      </c>
      <c r="C341">
        <f>IF(Table2[[#This Row],[Return]]=-1,-1,LOG(1+Table2[[#This Row],[Return]]))</f>
        <v>0.71406781442004763</v>
      </c>
      <c r="D341">
        <v>5.9917808219178079</v>
      </c>
      <c r="E341">
        <v>5897.96</v>
      </c>
      <c r="F341">
        <f>IF(Table2[[#This Row],[Geo Distance]]=0,0,LOG(Table2[[#This Row],[Geo Distance]]))</f>
        <v>3.7707018228379927</v>
      </c>
      <c r="G341">
        <v>2</v>
      </c>
      <c r="H341">
        <f>IF(Table2[[#This Row],[Target age]]=0,0,LOG(Table2[[#This Row],[Target age]]))</f>
        <v>0.3010299956639812</v>
      </c>
      <c r="I341" s="45">
        <v>2.3199999999999998</v>
      </c>
      <c r="J341" s="9">
        <v>132</v>
      </c>
      <c r="K341" s="9">
        <f>IF(Table2[[#This Row],[Culture]]=0,0,LOG(Table2[[#This Row],[Culture]]))</f>
        <v>2.12057393120585</v>
      </c>
      <c r="L341" s="24">
        <v>1.73</v>
      </c>
      <c r="M341" s="9">
        <f>LOG(1+Table2[[#This Row],[S&amp;P]])</f>
        <v>0.43616264704075602</v>
      </c>
      <c r="N341">
        <v>0</v>
      </c>
      <c r="O341">
        <f>IF(Table2[[#This Row],[fund age]]=0,0,LOG(Table2[[#This Row],[fund age]]))</f>
        <v>0</v>
      </c>
      <c r="P341">
        <f t="shared" si="5"/>
        <v>1</v>
      </c>
      <c r="Q341">
        <v>70</v>
      </c>
      <c r="R341">
        <v>70</v>
      </c>
      <c r="S341">
        <v>89.8</v>
      </c>
      <c r="T341" s="34">
        <v>31.2</v>
      </c>
      <c r="U341" s="42">
        <v>47.307367293927399</v>
      </c>
      <c r="V341">
        <v>2315.9650000000001</v>
      </c>
      <c r="W341">
        <f>LOG(Table2[[#This Row],[generalist]])</f>
        <v>3.3647319918335836</v>
      </c>
      <c r="X341" s="14">
        <v>4</v>
      </c>
      <c r="Y341">
        <v>3703.9029999999998</v>
      </c>
      <c r="Z341">
        <f>LOG(Table2[[#This Row],[country divers.]])</f>
        <v>3.568659604598353</v>
      </c>
      <c r="AA341">
        <v>34770000</v>
      </c>
      <c r="AB341">
        <f>LOG(Table2[[#This Row],[Firm Size]])</f>
        <v>7.5412046906832586</v>
      </c>
      <c r="AC341" s="80">
        <v>0.92771348798772091</v>
      </c>
    </row>
    <row r="342" spans="1:29" x14ac:dyDescent="0.35">
      <c r="A342" t="s">
        <v>59</v>
      </c>
      <c r="B342">
        <v>6.7330677290836638E-2</v>
      </c>
      <c r="C342">
        <f>IF(Table2[[#This Row],[Return]]=-1,-1,LOG(1+Table2[[#This Row],[Return]]))</f>
        <v>2.8298992127170717E-2</v>
      </c>
      <c r="D342">
        <v>2.1753424657534248</v>
      </c>
      <c r="E342">
        <v>5897.96</v>
      </c>
      <c r="F342">
        <f>IF(Table2[[#This Row],[Geo Distance]]=0,0,LOG(Table2[[#This Row],[Geo Distance]]))</f>
        <v>3.7707018228379927</v>
      </c>
      <c r="G342">
        <v>4</v>
      </c>
      <c r="H342">
        <f>IF(Table2[[#This Row],[Target age]]=0,0,LOG(Table2[[#This Row],[Target age]]))</f>
        <v>0.6020599913279624</v>
      </c>
      <c r="I342" s="45">
        <v>2.3199999999999998</v>
      </c>
      <c r="J342" s="9">
        <v>132</v>
      </c>
      <c r="K342" s="9">
        <f>IF(Table2[[#This Row],[Culture]]=0,0,LOG(Table2[[#This Row],[Culture]]))</f>
        <v>2.12057393120585</v>
      </c>
      <c r="L342" s="24">
        <v>0.2</v>
      </c>
      <c r="M342" s="9">
        <f>LOG(1+Table2[[#This Row],[S&amp;P]])</f>
        <v>7.9181246047624818E-2</v>
      </c>
      <c r="N342">
        <v>18</v>
      </c>
      <c r="O342">
        <f>IF(Table2[[#This Row],[fund age]]=0,0,LOG(Table2[[#This Row],[fund age]]))</f>
        <v>1.255272505103306</v>
      </c>
      <c r="P342">
        <f t="shared" si="5"/>
        <v>1</v>
      </c>
      <c r="Q342">
        <v>70</v>
      </c>
      <c r="R342">
        <v>70</v>
      </c>
      <c r="S342">
        <v>85</v>
      </c>
      <c r="T342" s="34">
        <v>31.3</v>
      </c>
      <c r="U342" s="42">
        <v>38.7850112673514</v>
      </c>
      <c r="V342">
        <v>2315.9650000000001</v>
      </c>
      <c r="W342">
        <f>LOG(Table2[[#This Row],[generalist]])</f>
        <v>3.3647319918335836</v>
      </c>
      <c r="X342" s="14">
        <v>4</v>
      </c>
      <c r="Y342">
        <v>3703.9029999999998</v>
      </c>
      <c r="Z342">
        <f>LOG(Table2[[#This Row],[country divers.]])</f>
        <v>3.568659604598353</v>
      </c>
      <c r="AA342">
        <v>2510000000</v>
      </c>
      <c r="AB342">
        <f>LOG(Table2[[#This Row],[Firm Size]])</f>
        <v>9.3996737214810384</v>
      </c>
      <c r="AC342" s="80">
        <v>0.34314807268798098</v>
      </c>
    </row>
    <row r="343" spans="1:29" x14ac:dyDescent="0.35">
      <c r="A343" t="s">
        <v>59</v>
      </c>
      <c r="B343">
        <v>0.4378995396186891</v>
      </c>
      <c r="C343">
        <f>IF(Table2[[#This Row],[Return]]=-1,-1,LOG(1+Table2[[#This Row],[Return]]))</f>
        <v>0.15772854466068537</v>
      </c>
      <c r="D343">
        <v>9.6438356164383556</v>
      </c>
      <c r="E343">
        <v>5897.96</v>
      </c>
      <c r="F343">
        <f>IF(Table2[[#This Row],[Geo Distance]]=0,0,LOG(Table2[[#This Row],[Geo Distance]]))</f>
        <v>3.7707018228379927</v>
      </c>
      <c r="G343">
        <v>7</v>
      </c>
      <c r="H343">
        <f>IF(Table2[[#This Row],[Target age]]=0,0,LOG(Table2[[#This Row],[Target age]]))</f>
        <v>0.84509804001425681</v>
      </c>
      <c r="I343" s="45">
        <v>2.3199999999999998</v>
      </c>
      <c r="J343" s="9">
        <v>132</v>
      </c>
      <c r="K343" s="9">
        <f>IF(Table2[[#This Row],[Culture]]=0,0,LOG(Table2[[#This Row],[Culture]]))</f>
        <v>2.12057393120585</v>
      </c>
      <c r="L343" s="24">
        <v>0.72</v>
      </c>
      <c r="M343" s="9">
        <f>LOG(1+Table2[[#This Row],[S&amp;P]])</f>
        <v>0.2355284469075489</v>
      </c>
      <c r="N343">
        <v>20</v>
      </c>
      <c r="O343">
        <f>IF(Table2[[#This Row],[fund age]]=0,0,LOG(Table2[[#This Row],[fund age]]))</f>
        <v>1.3010299956639813</v>
      </c>
      <c r="P343">
        <f t="shared" si="5"/>
        <v>1</v>
      </c>
      <c r="Q343">
        <v>70</v>
      </c>
      <c r="R343">
        <v>70</v>
      </c>
      <c r="S343">
        <v>85</v>
      </c>
      <c r="T343" s="34">
        <v>32.700000000000003</v>
      </c>
      <c r="U343" s="42">
        <v>41.286751495766303</v>
      </c>
      <c r="V343">
        <v>2315.9650000000001</v>
      </c>
      <c r="W343">
        <f>LOG(Table2[[#This Row],[generalist]])</f>
        <v>3.3647319918335836</v>
      </c>
      <c r="X343" s="14">
        <v>4</v>
      </c>
      <c r="Y343">
        <v>3703.9029999999998</v>
      </c>
      <c r="Z343">
        <f>LOG(Table2[[#This Row],[country divers.]])</f>
        <v>3.568659604598353</v>
      </c>
      <c r="AA343">
        <v>1723361008</v>
      </c>
      <c r="AB343">
        <f>LOG(Table2[[#This Row],[Firm Size]])</f>
        <v>9.2363762625668429</v>
      </c>
      <c r="AC343" s="80">
        <v>0.41473733696831383</v>
      </c>
    </row>
    <row r="344" spans="1:29" x14ac:dyDescent="0.35">
      <c r="A344" t="s">
        <v>59</v>
      </c>
      <c r="B344">
        <v>8.25</v>
      </c>
      <c r="C344">
        <f>IF(Table2[[#This Row],[Return]]=-1,-1,LOG(1+Table2[[#This Row],[Return]]))</f>
        <v>0.96614173273903259</v>
      </c>
      <c r="D344">
        <v>1.5863013698630137</v>
      </c>
      <c r="E344">
        <v>5897.96</v>
      </c>
      <c r="F344">
        <f>IF(Table2[[#This Row],[Geo Distance]]=0,0,LOG(Table2[[#This Row],[Geo Distance]]))</f>
        <v>3.7707018228379927</v>
      </c>
      <c r="G344">
        <v>12</v>
      </c>
      <c r="H344">
        <f>IF(Table2[[#This Row],[Target age]]=0,0,LOG(Table2[[#This Row],[Target age]]))</f>
        <v>1.0791812460476249</v>
      </c>
      <c r="I344" s="45">
        <v>2.3199999999999998</v>
      </c>
      <c r="J344" s="9">
        <v>132</v>
      </c>
      <c r="K344" s="9">
        <f>IF(Table2[[#This Row],[Culture]]=0,0,LOG(Table2[[#This Row],[Culture]]))</f>
        <v>2.12057393120585</v>
      </c>
      <c r="L344" s="24">
        <v>-0.21</v>
      </c>
      <c r="M344" s="9">
        <f>LOG(1+Table2[[#This Row],[S&amp;P]])</f>
        <v>-0.10237290870955855</v>
      </c>
      <c r="N344">
        <v>15</v>
      </c>
      <c r="O344">
        <f>IF(Table2[[#This Row],[fund age]]=0,0,LOG(Table2[[#This Row],[fund age]]))</f>
        <v>1.1760912590556813</v>
      </c>
      <c r="P344">
        <f t="shared" si="5"/>
        <v>1</v>
      </c>
      <c r="Q344">
        <v>70</v>
      </c>
      <c r="R344">
        <v>70</v>
      </c>
      <c r="S344">
        <v>85</v>
      </c>
      <c r="T344" s="34">
        <v>32.9</v>
      </c>
      <c r="U344" s="42">
        <v>35.433808146393098</v>
      </c>
      <c r="V344">
        <v>2315.9650000000001</v>
      </c>
      <c r="W344">
        <f>LOG(Table2[[#This Row],[generalist]])</f>
        <v>3.3647319918335836</v>
      </c>
      <c r="X344" s="14">
        <v>4</v>
      </c>
      <c r="Y344">
        <v>3703.9029999999998</v>
      </c>
      <c r="Z344">
        <f>LOG(Table2[[#This Row],[country divers.]])</f>
        <v>3.568659604598353</v>
      </c>
      <c r="AA344">
        <v>60000000</v>
      </c>
      <c r="AB344">
        <f>LOG(Table2[[#This Row],[Firm Size]])</f>
        <v>7.7781512503836439</v>
      </c>
      <c r="AC344" s="80">
        <v>-0.17522036907857186</v>
      </c>
    </row>
    <row r="345" spans="1:29" x14ac:dyDescent="0.35">
      <c r="A345" t="s">
        <v>59</v>
      </c>
      <c r="B345">
        <v>-0.20374999999999999</v>
      </c>
      <c r="C345">
        <f>IF(Table2[[#This Row],[Return]]=-1,-1,LOG(1+Table2[[#This Row],[Return]]))</f>
        <v>-9.8950554656593151E-2</v>
      </c>
      <c r="D345">
        <v>5.882191780821918</v>
      </c>
      <c r="E345">
        <v>342.74</v>
      </c>
      <c r="F345">
        <f>IF(Table2[[#This Row],[Geo Distance]]=0,0,LOG(Table2[[#This Row],[Geo Distance]]))</f>
        <v>2.5349647923946659</v>
      </c>
      <c r="G345">
        <v>10</v>
      </c>
      <c r="H345">
        <f>IF(Table2[[#This Row],[Target age]]=0,0,LOG(Table2[[#This Row],[Target age]]))</f>
        <v>1</v>
      </c>
      <c r="I345" s="45">
        <v>2.5499999999999998</v>
      </c>
      <c r="J345" s="9">
        <v>569.16666666666697</v>
      </c>
      <c r="K345" s="9">
        <f>IF(Table2[[#This Row],[Culture]]=0,0,LOG(Table2[[#This Row],[Culture]]))</f>
        <v>2.7552394576339081</v>
      </c>
      <c r="L345" s="24">
        <v>0.1</v>
      </c>
      <c r="M345" s="9">
        <f>LOG(1+Table2[[#This Row],[S&amp;P]])</f>
        <v>4.1392685158225077E-2</v>
      </c>
      <c r="N345">
        <v>11</v>
      </c>
      <c r="O345">
        <f>IF(Table2[[#This Row],[fund age]]=0,0,LOG(Table2[[#This Row],[fund age]]))</f>
        <v>1.0413926851582251</v>
      </c>
      <c r="P345">
        <f t="shared" si="5"/>
        <v>1</v>
      </c>
      <c r="Q345">
        <v>70</v>
      </c>
      <c r="R345">
        <v>70</v>
      </c>
      <c r="S345">
        <v>85</v>
      </c>
      <c r="T345" s="34">
        <v>32.700000000000003</v>
      </c>
      <c r="U345" s="42">
        <v>41.286751495766303</v>
      </c>
      <c r="V345">
        <v>1213.5328018155212</v>
      </c>
      <c r="W345">
        <f>LOG(Table2[[#This Row],[generalist]])</f>
        <v>3.0840515198150036</v>
      </c>
      <c r="X345" s="14">
        <v>2</v>
      </c>
      <c r="Y345">
        <v>8035.9222431246071</v>
      </c>
      <c r="Z345">
        <f>LOG(Table2[[#This Row],[country divers.]])</f>
        <v>3.905035725793323</v>
      </c>
      <c r="AA345">
        <v>800000000</v>
      </c>
      <c r="AB345">
        <f>LOG(Table2[[#This Row],[Firm Size]])</f>
        <v>8.9030899869919438</v>
      </c>
      <c r="AC345" s="80">
        <v>0.18663900107451181</v>
      </c>
    </row>
    <row r="346" spans="1:29" x14ac:dyDescent="0.35">
      <c r="A346" t="s">
        <v>59</v>
      </c>
      <c r="B346">
        <v>-0.86664711058961574</v>
      </c>
      <c r="C346">
        <f>IF(Table2[[#This Row],[Return]]=-1,-1,LOG(1+Table2[[#This Row],[Return]]))</f>
        <v>-0.87499756983993926</v>
      </c>
      <c r="D346">
        <v>5.9013698630136986</v>
      </c>
      <c r="E346">
        <v>5897.96</v>
      </c>
      <c r="F346">
        <f>IF(Table2[[#This Row],[Geo Distance]]=0,0,LOG(Table2[[#This Row],[Geo Distance]]))</f>
        <v>3.7707018228379927</v>
      </c>
      <c r="G346">
        <v>190</v>
      </c>
      <c r="H346">
        <f>IF(Table2[[#This Row],[Target age]]=0,0,LOG(Table2[[#This Row],[Target age]]))</f>
        <v>2.2787536009528289</v>
      </c>
      <c r="I346" s="45">
        <v>2.3199999999999998</v>
      </c>
      <c r="J346" s="9">
        <v>132</v>
      </c>
      <c r="K346" s="9">
        <f>IF(Table2[[#This Row],[Culture]]=0,0,LOG(Table2[[#This Row],[Culture]]))</f>
        <v>2.12057393120585</v>
      </c>
      <c r="L346" s="24">
        <v>-0.02</v>
      </c>
      <c r="M346" s="9">
        <f>LOG(1+Table2[[#This Row],[S&amp;P]])</f>
        <v>-8.7739243075051505E-3</v>
      </c>
      <c r="N346">
        <v>11</v>
      </c>
      <c r="O346">
        <f>IF(Table2[[#This Row],[fund age]]=0,0,LOG(Table2[[#This Row],[fund age]]))</f>
        <v>1.0413926851582251</v>
      </c>
      <c r="P346">
        <f t="shared" si="5"/>
        <v>1</v>
      </c>
      <c r="Q346">
        <v>70</v>
      </c>
      <c r="R346">
        <v>70</v>
      </c>
      <c r="S346">
        <v>85</v>
      </c>
      <c r="T346" s="34">
        <v>31.3</v>
      </c>
      <c r="U346" s="42">
        <v>38.7850112673514</v>
      </c>
      <c r="V346">
        <v>1455.046</v>
      </c>
      <c r="W346">
        <f>LOG(Table2[[#This Row],[generalist]])</f>
        <v>3.1628767233771686</v>
      </c>
      <c r="X346" s="14">
        <v>2</v>
      </c>
      <c r="Y346">
        <v>4062.5129999999999</v>
      </c>
      <c r="Z346">
        <f>LOG(Table2[[#This Row],[country divers.]])</f>
        <v>3.6087947637270492</v>
      </c>
      <c r="AA346">
        <v>1831500000</v>
      </c>
      <c r="AB346">
        <f>LOG(Table2[[#This Row],[Firm Size]])</f>
        <v>9.2628069230005643</v>
      </c>
      <c r="AC346" s="80">
        <v>0.20671721855508896</v>
      </c>
    </row>
    <row r="347" spans="1:29" x14ac:dyDescent="0.35">
      <c r="A347" t="s">
        <v>59</v>
      </c>
      <c r="B347">
        <v>7.5591575366451558E-2</v>
      </c>
      <c r="C347">
        <f>IF(Table2[[#This Row],[Return]]=-1,-1,LOG(1+Table2[[#This Row],[Return]]))</f>
        <v>3.1647391927806502E-2</v>
      </c>
      <c r="D347">
        <v>4.2109589041095887</v>
      </c>
      <c r="E347">
        <v>5897.96</v>
      </c>
      <c r="F347">
        <f>IF(Table2[[#This Row],[Geo Distance]]=0,0,LOG(Table2[[#This Row],[Geo Distance]]))</f>
        <v>3.7707018228379927</v>
      </c>
      <c r="G347">
        <v>0</v>
      </c>
      <c r="H347">
        <f>IF(Table2[[#This Row],[Target age]]=0,0,LOG(Table2[[#This Row],[Target age]]))</f>
        <v>0</v>
      </c>
      <c r="I347" s="45">
        <v>2.3199999999999998</v>
      </c>
      <c r="J347" s="9">
        <v>132</v>
      </c>
      <c r="K347" s="9">
        <f>IF(Table2[[#This Row],[Culture]]=0,0,LOG(Table2[[#This Row],[Culture]]))</f>
        <v>2.12057393120585</v>
      </c>
      <c r="L347" s="24">
        <v>1.26</v>
      </c>
      <c r="M347" s="9">
        <f>LOG(1+Table2[[#This Row],[S&amp;P]])</f>
        <v>0.35410843914740087</v>
      </c>
      <c r="N347">
        <v>3</v>
      </c>
      <c r="O347">
        <f>IF(Table2[[#This Row],[fund age]]=0,0,LOG(Table2[[#This Row],[fund age]]))</f>
        <v>0.47712125471966244</v>
      </c>
      <c r="P347">
        <f t="shared" si="5"/>
        <v>1</v>
      </c>
      <c r="Q347">
        <v>70</v>
      </c>
      <c r="R347">
        <v>70</v>
      </c>
      <c r="S347">
        <v>100</v>
      </c>
      <c r="T347" s="34">
        <v>29.5</v>
      </c>
      <c r="U347" s="42">
        <v>38.538703610951003</v>
      </c>
      <c r="V347">
        <v>1455.046</v>
      </c>
      <c r="W347">
        <f>LOG(Table2[[#This Row],[generalist]])</f>
        <v>3.1628767233771686</v>
      </c>
      <c r="X347" s="14">
        <v>2</v>
      </c>
      <c r="Y347">
        <v>4062.5129999999999</v>
      </c>
      <c r="Z347">
        <f>LOG(Table2[[#This Row],[country divers.]])</f>
        <v>3.6087947637270492</v>
      </c>
      <c r="AA347">
        <v>199890000</v>
      </c>
      <c r="AB347">
        <f>LOG(Table2[[#This Row],[Firm Size]])</f>
        <v>8.3007910679877988</v>
      </c>
      <c r="AC347" s="80" t="e">
        <v>#N/A</v>
      </c>
    </row>
    <row r="348" spans="1:29" x14ac:dyDescent="0.35">
      <c r="A348" t="s">
        <v>59</v>
      </c>
      <c r="B348">
        <v>-1</v>
      </c>
      <c r="C348">
        <f>IF(Table2[[#This Row],[Return]]=-1,-1,LOG(1+Table2[[#This Row],[Return]]))</f>
        <v>-1</v>
      </c>
      <c r="D348">
        <v>2.6547945205479451</v>
      </c>
      <c r="E348">
        <v>5897.96</v>
      </c>
      <c r="F348">
        <f>IF(Table2[[#This Row],[Geo Distance]]=0,0,LOG(Table2[[#This Row],[Geo Distance]]))</f>
        <v>3.7707018228379927</v>
      </c>
      <c r="G348">
        <v>25</v>
      </c>
      <c r="H348">
        <f>IF(Table2[[#This Row],[Target age]]=0,0,LOG(Table2[[#This Row],[Target age]]))</f>
        <v>1.3979400086720377</v>
      </c>
      <c r="I348" s="45">
        <v>2.3199999999999998</v>
      </c>
      <c r="J348" s="9">
        <v>132</v>
      </c>
      <c r="K348" s="9">
        <f>IF(Table2[[#This Row],[Culture]]=0,0,LOG(Table2[[#This Row],[Culture]]))</f>
        <v>2.12057393120585</v>
      </c>
      <c r="L348" s="24">
        <v>0.36</v>
      </c>
      <c r="M348" s="9">
        <f>LOG(1+Table2[[#This Row],[S&amp;P]])</f>
        <v>0.13353890837021748</v>
      </c>
      <c r="N348">
        <v>18</v>
      </c>
      <c r="O348">
        <f>IF(Table2[[#This Row],[fund age]]=0,0,LOG(Table2[[#This Row],[fund age]]))</f>
        <v>1.255272505103306</v>
      </c>
      <c r="P348">
        <f t="shared" si="5"/>
        <v>1</v>
      </c>
      <c r="Q348">
        <v>70</v>
      </c>
      <c r="R348">
        <v>70</v>
      </c>
      <c r="S348">
        <v>94.9</v>
      </c>
      <c r="T348" s="34">
        <v>32.299999999999997</v>
      </c>
      <c r="U348" s="42">
        <v>47.560703662314701</v>
      </c>
      <c r="V348">
        <v>1455.046</v>
      </c>
      <c r="W348">
        <f>LOG(Table2[[#This Row],[generalist]])</f>
        <v>3.1628767233771686</v>
      </c>
      <c r="X348" s="14">
        <v>2</v>
      </c>
      <c r="Y348">
        <v>4062.5129999999999</v>
      </c>
      <c r="Z348">
        <f>LOG(Table2[[#This Row],[country divers.]])</f>
        <v>3.6087947637270492</v>
      </c>
      <c r="AA348">
        <v>300000000</v>
      </c>
      <c r="AB348">
        <f>LOG(Table2[[#This Row],[Firm Size]])</f>
        <v>8.4771212547196626</v>
      </c>
      <c r="AC348" s="80">
        <v>0.22043631708616562</v>
      </c>
    </row>
    <row r="349" spans="1:29" x14ac:dyDescent="0.35">
      <c r="A349" t="s">
        <v>59</v>
      </c>
      <c r="B349">
        <v>-1</v>
      </c>
      <c r="C349">
        <f>IF(Table2[[#This Row],[Return]]=-1,-1,LOG(1+Table2[[#This Row],[Return]]))</f>
        <v>-1</v>
      </c>
      <c r="D349">
        <v>2.5424657534246577</v>
      </c>
      <c r="E349">
        <v>5897.96</v>
      </c>
      <c r="F349">
        <f>IF(Table2[[#This Row],[Geo Distance]]=0,0,LOG(Table2[[#This Row],[Geo Distance]]))</f>
        <v>3.7707018228379927</v>
      </c>
      <c r="G349">
        <v>5</v>
      </c>
      <c r="H349">
        <f>IF(Table2[[#This Row],[Target age]]=0,0,LOG(Table2[[#This Row],[Target age]]))</f>
        <v>0.69897000433601886</v>
      </c>
      <c r="I349" s="45">
        <v>2.3199999999999998</v>
      </c>
      <c r="J349" s="9">
        <v>132</v>
      </c>
      <c r="K349" s="9">
        <f>IF(Table2[[#This Row],[Culture]]=0,0,LOG(Table2[[#This Row],[Culture]]))</f>
        <v>2.12057393120585</v>
      </c>
      <c r="L349" s="24">
        <v>0.26</v>
      </c>
      <c r="M349" s="9">
        <f>LOG(1+Table2[[#This Row],[S&amp;P]])</f>
        <v>0.10037054511756291</v>
      </c>
      <c r="N349">
        <v>12</v>
      </c>
      <c r="O349">
        <f>IF(Table2[[#This Row],[fund age]]=0,0,LOG(Table2[[#This Row],[fund age]]))</f>
        <v>1.0791812460476249</v>
      </c>
      <c r="P349">
        <f t="shared" si="5"/>
        <v>1</v>
      </c>
      <c r="Q349">
        <v>70</v>
      </c>
      <c r="R349">
        <v>70</v>
      </c>
      <c r="S349">
        <v>85</v>
      </c>
      <c r="T349" s="34">
        <v>32.299999999999997</v>
      </c>
      <c r="U349" s="42">
        <v>40.040400531970803</v>
      </c>
      <c r="V349">
        <v>1455.046</v>
      </c>
      <c r="W349">
        <f>LOG(Table2[[#This Row],[generalist]])</f>
        <v>3.1628767233771686</v>
      </c>
      <c r="X349" s="14">
        <v>2</v>
      </c>
      <c r="Y349">
        <v>4062.5129999999999</v>
      </c>
      <c r="Z349">
        <f>LOG(Table2[[#This Row],[country divers.]])</f>
        <v>3.6087947637270492</v>
      </c>
      <c r="AA349">
        <v>3600000</v>
      </c>
      <c r="AB349">
        <f>LOG(Table2[[#This Row],[Firm Size]])</f>
        <v>6.5563025007672868</v>
      </c>
      <c r="AC349" s="80">
        <v>0.40743012860692884</v>
      </c>
    </row>
    <row r="350" spans="1:29" x14ac:dyDescent="0.35">
      <c r="A350" t="s">
        <v>59</v>
      </c>
      <c r="B350">
        <v>1.4285714285714284</v>
      </c>
      <c r="C350">
        <f>IF(Table2[[#This Row],[Return]]=-1,-1,LOG(1+Table2[[#This Row],[Return]]))</f>
        <v>0.38535088136401707</v>
      </c>
      <c r="D350">
        <v>5.117808219178082</v>
      </c>
      <c r="E350">
        <v>5897.96</v>
      </c>
      <c r="F350">
        <f>IF(Table2[[#This Row],[Geo Distance]]=0,0,LOG(Table2[[#This Row],[Geo Distance]]))</f>
        <v>3.7707018228379927</v>
      </c>
      <c r="G350">
        <v>90</v>
      </c>
      <c r="H350">
        <f>IF(Table2[[#This Row],[Target age]]=0,0,LOG(Table2[[#This Row],[Target age]]))</f>
        <v>1.954242509439325</v>
      </c>
      <c r="I350" s="45">
        <v>2.3199999999999998</v>
      </c>
      <c r="J350" s="9">
        <v>132</v>
      </c>
      <c r="K350" s="9">
        <f>IF(Table2[[#This Row],[Culture]]=0,0,LOG(Table2[[#This Row],[Culture]]))</f>
        <v>2.12057393120585</v>
      </c>
      <c r="L350" s="24">
        <v>0.92</v>
      </c>
      <c r="M350" s="9">
        <f>LOG(1+Table2[[#This Row],[S&amp;P]])</f>
        <v>0.28330122870354957</v>
      </c>
      <c r="N350">
        <v>44</v>
      </c>
      <c r="O350">
        <f>IF(Table2[[#This Row],[fund age]]=0,0,LOG(Table2[[#This Row],[fund age]]))</f>
        <v>1.6434526764861874</v>
      </c>
      <c r="P350">
        <f t="shared" si="5"/>
        <v>1</v>
      </c>
      <c r="Q350">
        <v>70</v>
      </c>
      <c r="R350">
        <v>70</v>
      </c>
      <c r="S350">
        <v>94.9</v>
      </c>
      <c r="T350" s="34">
        <v>32.299999999999997</v>
      </c>
      <c r="U350" s="42">
        <v>47.560703662314701</v>
      </c>
      <c r="V350">
        <v>1421.558</v>
      </c>
      <c r="W350">
        <f>LOG(Table2[[#This Row],[generalist]])</f>
        <v>3.1527645837352773</v>
      </c>
      <c r="X350" s="14">
        <v>2</v>
      </c>
      <c r="Y350">
        <v>3476.3409999999999</v>
      </c>
      <c r="Z350">
        <f>LOG(Table2[[#This Row],[country divers.]])</f>
        <v>3.5411223705253856</v>
      </c>
      <c r="AA350">
        <v>280000000</v>
      </c>
      <c r="AB350">
        <f>LOG(Table2[[#This Row],[Firm Size]])</f>
        <v>8.4471580313422194</v>
      </c>
      <c r="AC350" s="80">
        <v>0.36846549528914463</v>
      </c>
    </row>
    <row r="351" spans="1:29" x14ac:dyDescent="0.35">
      <c r="A351" t="s">
        <v>59</v>
      </c>
      <c r="B351">
        <v>0.38053097345132736</v>
      </c>
      <c r="C351">
        <f>IF(Table2[[#This Row],[Return]]=-1,-1,LOG(1+Table2[[#This Row],[Return]]))</f>
        <v>0.14004615487104186</v>
      </c>
      <c r="D351">
        <v>8.9205479452054792</v>
      </c>
      <c r="E351">
        <v>5897.96</v>
      </c>
      <c r="F351">
        <f>IF(Table2[[#This Row],[Geo Distance]]=0,0,LOG(Table2[[#This Row],[Geo Distance]]))</f>
        <v>3.7707018228379927</v>
      </c>
      <c r="G351">
        <v>10</v>
      </c>
      <c r="H351">
        <f>IF(Table2[[#This Row],[Target age]]=0,0,LOG(Table2[[#This Row],[Target age]]))</f>
        <v>1</v>
      </c>
      <c r="I351" s="45">
        <v>2.3199999999999998</v>
      </c>
      <c r="J351" s="9">
        <v>132</v>
      </c>
      <c r="K351" s="9">
        <f>IF(Table2[[#This Row],[Culture]]=0,0,LOG(Table2[[#This Row],[Culture]]))</f>
        <v>2.12057393120585</v>
      </c>
      <c r="L351" s="24">
        <v>0.77</v>
      </c>
      <c r="M351" s="9">
        <f>LOG(1+Table2[[#This Row],[S&amp;P]])</f>
        <v>0.24797326636180664</v>
      </c>
      <c r="N351">
        <v>42</v>
      </c>
      <c r="O351">
        <f>IF(Table2[[#This Row],[fund age]]=0,0,LOG(Table2[[#This Row],[fund age]]))</f>
        <v>1.6232492903979006</v>
      </c>
      <c r="P351">
        <f t="shared" si="5"/>
        <v>1</v>
      </c>
      <c r="Q351">
        <v>70</v>
      </c>
      <c r="R351">
        <v>70</v>
      </c>
      <c r="S351">
        <v>90.8</v>
      </c>
      <c r="T351" s="34">
        <v>32.299999999999997</v>
      </c>
      <c r="U351" s="42">
        <v>44.4007960521485</v>
      </c>
      <c r="V351">
        <v>1421.558</v>
      </c>
      <c r="W351">
        <f>LOG(Table2[[#This Row],[generalist]])</f>
        <v>3.1527645837352773</v>
      </c>
      <c r="X351" s="14">
        <v>2</v>
      </c>
      <c r="Y351">
        <v>3476.3409999999999</v>
      </c>
      <c r="Z351">
        <f>LOG(Table2[[#This Row],[country divers.]])</f>
        <v>3.5411223705253856</v>
      </c>
      <c r="AA351">
        <v>565000000</v>
      </c>
      <c r="AB351">
        <f>LOG(Table2[[#This Row],[Firm Size]])</f>
        <v>8.7520484478194387</v>
      </c>
      <c r="AC351" s="80">
        <v>0.37771934631263937</v>
      </c>
    </row>
    <row r="352" spans="1:29" x14ac:dyDescent="0.35">
      <c r="A352" t="s">
        <v>59</v>
      </c>
      <c r="B352">
        <v>0.39538461538461545</v>
      </c>
      <c r="C352">
        <f>IF(Table2[[#This Row],[Return]]=-1,-1,LOG(1+Table2[[#This Row],[Return]]))</f>
        <v>0.14469393041723971</v>
      </c>
      <c r="D352">
        <v>5.0630136986301366</v>
      </c>
      <c r="E352">
        <v>5897.96</v>
      </c>
      <c r="F352">
        <f>IF(Table2[[#This Row],[Geo Distance]]=0,0,LOG(Table2[[#This Row],[Geo Distance]]))</f>
        <v>3.7707018228379927</v>
      </c>
      <c r="G352">
        <v>1</v>
      </c>
      <c r="H352">
        <f>IF(Table2[[#This Row],[Target age]]=0,0,LOG(Table2[[#This Row],[Target age]]))</f>
        <v>0</v>
      </c>
      <c r="I352" s="45">
        <v>2.3199999999999998</v>
      </c>
      <c r="J352" s="9">
        <v>132</v>
      </c>
      <c r="K352" s="9">
        <f>IF(Table2[[#This Row],[Culture]]=0,0,LOG(Table2[[#This Row],[Culture]]))</f>
        <v>2.12057393120585</v>
      </c>
      <c r="L352" s="24">
        <v>-0.06</v>
      </c>
      <c r="M352" s="9">
        <f>LOG(1+Table2[[#This Row],[S&amp;P]])</f>
        <v>-2.6872146400301365E-2</v>
      </c>
      <c r="N352">
        <v>39</v>
      </c>
      <c r="O352">
        <f>IF(Table2[[#This Row],[fund age]]=0,0,LOG(Table2[[#This Row],[fund age]]))</f>
        <v>1.5910646070264991</v>
      </c>
      <c r="P352">
        <f t="shared" si="5"/>
        <v>1</v>
      </c>
      <c r="Q352">
        <v>70</v>
      </c>
      <c r="R352">
        <v>70</v>
      </c>
      <c r="S352">
        <v>85</v>
      </c>
      <c r="T352" s="34">
        <v>32.700000000000003</v>
      </c>
      <c r="U352" s="42">
        <v>41.286751495766303</v>
      </c>
      <c r="V352">
        <v>1421.558</v>
      </c>
      <c r="W352">
        <f>LOG(Table2[[#This Row],[generalist]])</f>
        <v>3.1527645837352773</v>
      </c>
      <c r="X352" s="14">
        <v>2</v>
      </c>
      <c r="Y352">
        <v>3476.3409999999999</v>
      </c>
      <c r="Z352">
        <f>LOG(Table2[[#This Row],[country divers.]])</f>
        <v>3.5411223705253856</v>
      </c>
      <c r="AA352">
        <v>65000000</v>
      </c>
      <c r="AB352">
        <f>LOG(Table2[[#This Row],[Firm Size]])</f>
        <v>7.8129133566428557</v>
      </c>
      <c r="AC352" s="80">
        <v>0.13262086992644151</v>
      </c>
    </row>
    <row r="353" spans="1:29" x14ac:dyDescent="0.35">
      <c r="A353" t="s">
        <v>59</v>
      </c>
      <c r="B353">
        <v>7.1275837491090455E-2</v>
      </c>
      <c r="C353">
        <f>IF(Table2[[#This Row],[Return]]=-1,-1,LOG(1+Table2[[#This Row],[Return]]))</f>
        <v>2.9901309558548216E-2</v>
      </c>
      <c r="D353">
        <v>4.7315068493150685</v>
      </c>
      <c r="E353">
        <v>5897.96</v>
      </c>
      <c r="F353">
        <f>IF(Table2[[#This Row],[Geo Distance]]=0,0,LOG(Table2[[#This Row],[Geo Distance]]))</f>
        <v>3.7707018228379927</v>
      </c>
      <c r="G353">
        <v>30</v>
      </c>
      <c r="H353">
        <f>IF(Table2[[#This Row],[Target age]]=0,0,LOG(Table2[[#This Row],[Target age]]))</f>
        <v>1.4771212547196624</v>
      </c>
      <c r="I353" s="45">
        <v>2.3199999999999998</v>
      </c>
      <c r="J353" s="9">
        <v>132</v>
      </c>
      <c r="K353" s="9">
        <f>IF(Table2[[#This Row],[Culture]]=0,0,LOG(Table2[[#This Row],[Culture]]))</f>
        <v>2.12057393120585</v>
      </c>
      <c r="L353" s="24">
        <v>-0.15</v>
      </c>
      <c r="M353" s="9">
        <f>LOG(1+Table2[[#This Row],[S&amp;P]])</f>
        <v>-7.0581074285707285E-2</v>
      </c>
      <c r="N353">
        <v>33</v>
      </c>
      <c r="O353">
        <f>IF(Table2[[#This Row],[fund age]]=0,0,LOG(Table2[[#This Row],[fund age]]))</f>
        <v>1.5185139398778875</v>
      </c>
      <c r="P353">
        <f t="shared" si="5"/>
        <v>1</v>
      </c>
      <c r="Q353">
        <v>70</v>
      </c>
      <c r="R353">
        <v>70</v>
      </c>
      <c r="S353">
        <v>85</v>
      </c>
      <c r="T353" s="34">
        <v>32.200000000000003</v>
      </c>
      <c r="U353" s="42">
        <v>35.326012114535303</v>
      </c>
      <c r="V353">
        <v>1421.558</v>
      </c>
      <c r="W353">
        <f>LOG(Table2[[#This Row],[generalist]])</f>
        <v>3.1527645837352773</v>
      </c>
      <c r="X353" s="14">
        <v>2</v>
      </c>
      <c r="Y353">
        <v>3476.3409999999999</v>
      </c>
      <c r="Z353">
        <f>LOG(Table2[[#This Row],[country divers.]])</f>
        <v>3.5411223705253856</v>
      </c>
      <c r="AA353">
        <v>180360000</v>
      </c>
      <c r="AB353">
        <f>LOG(Table2[[#This Row],[Firm Size]])</f>
        <v>8.2561402266345336</v>
      </c>
      <c r="AC353" s="80">
        <v>-0.26626054932261811</v>
      </c>
    </row>
    <row r="354" spans="1:29" x14ac:dyDescent="0.35">
      <c r="A354" t="s">
        <v>59</v>
      </c>
      <c r="B354">
        <v>0.9414285714285715</v>
      </c>
      <c r="C354">
        <f>IF(Table2[[#This Row],[Return]]=-1,-1,LOG(1+Table2[[#This Row],[Return]]))</f>
        <v>0.28812141671823749</v>
      </c>
      <c r="D354">
        <v>1.8958904109589041</v>
      </c>
      <c r="E354">
        <v>5897.96</v>
      </c>
      <c r="F354">
        <f>IF(Table2[[#This Row],[Geo Distance]]=0,0,LOG(Table2[[#This Row],[Geo Distance]]))</f>
        <v>3.7707018228379927</v>
      </c>
      <c r="G354">
        <v>0</v>
      </c>
      <c r="H354">
        <f>IF(Table2[[#This Row],[Target age]]=0,0,LOG(Table2[[#This Row],[Target age]]))</f>
        <v>0</v>
      </c>
      <c r="I354" s="45">
        <v>2.3199999999999998</v>
      </c>
      <c r="J354" s="9">
        <v>132</v>
      </c>
      <c r="K354" s="9">
        <f>IF(Table2[[#This Row],[Culture]]=0,0,LOG(Table2[[#This Row],[Culture]]))</f>
        <v>2.12057393120585</v>
      </c>
      <c r="L354" s="24">
        <v>0.13</v>
      </c>
      <c r="M354" s="9">
        <f>LOG(1+Table2[[#This Row],[S&amp;P]])</f>
        <v>5.3078443483419682E-2</v>
      </c>
      <c r="N354">
        <v>26</v>
      </c>
      <c r="O354">
        <f>IF(Table2[[#This Row],[fund age]]=0,0,LOG(Table2[[#This Row],[fund age]]))</f>
        <v>1.414973347970818</v>
      </c>
      <c r="P354">
        <f t="shared" si="5"/>
        <v>1</v>
      </c>
      <c r="Q354">
        <v>70</v>
      </c>
      <c r="R354">
        <v>70</v>
      </c>
      <c r="S354">
        <v>100</v>
      </c>
      <c r="T354" s="34">
        <v>30.9</v>
      </c>
      <c r="U354" s="42">
        <v>49.329709120205997</v>
      </c>
      <c r="V354">
        <v>1421.558</v>
      </c>
      <c r="W354">
        <f>LOG(Table2[[#This Row],[generalist]])</f>
        <v>3.1527645837352773</v>
      </c>
      <c r="X354" s="14">
        <v>2</v>
      </c>
      <c r="Y354">
        <v>3476.3409999999999</v>
      </c>
      <c r="Z354">
        <f>LOG(Table2[[#This Row],[country divers.]])</f>
        <v>3.5411223705253856</v>
      </c>
      <c r="AA354">
        <v>70000000</v>
      </c>
      <c r="AB354">
        <f>LOG(Table2[[#This Row],[Firm Size]])</f>
        <v>7.8450980400142569</v>
      </c>
      <c r="AC354" s="80" t="e">
        <v>#N/A</v>
      </c>
    </row>
    <row r="355" spans="1:29" x14ac:dyDescent="0.35">
      <c r="A355" t="s">
        <v>59</v>
      </c>
      <c r="B355">
        <v>-0.16666666666666663</v>
      </c>
      <c r="C355">
        <f>IF(Table2[[#This Row],[Return]]=-1,-1,LOG(1+Table2[[#This Row],[Return]]))</f>
        <v>-7.9181246047624804E-2</v>
      </c>
      <c r="D355">
        <v>7.0739726027397261</v>
      </c>
      <c r="E355">
        <v>5897.96</v>
      </c>
      <c r="F355">
        <f>IF(Table2[[#This Row],[Geo Distance]]=0,0,LOG(Table2[[#This Row],[Geo Distance]]))</f>
        <v>3.7707018228379927</v>
      </c>
      <c r="G355">
        <v>5</v>
      </c>
      <c r="H355">
        <f>IF(Table2[[#This Row],[Target age]]=0,0,LOG(Table2[[#This Row],[Target age]]))</f>
        <v>0.69897000433601886</v>
      </c>
      <c r="I355" s="45">
        <v>2.3199999999999998</v>
      </c>
      <c r="J355" s="9">
        <v>132</v>
      </c>
      <c r="K355" s="9">
        <f>IF(Table2[[#This Row],[Culture]]=0,0,LOG(Table2[[#This Row],[Culture]]))</f>
        <v>2.12057393120585</v>
      </c>
      <c r="L355" s="24">
        <v>1.22</v>
      </c>
      <c r="M355" s="9">
        <f>LOG(1+Table2[[#This Row],[S&amp;P]])</f>
        <v>0.34635297445063856</v>
      </c>
      <c r="N355">
        <v>26</v>
      </c>
      <c r="O355">
        <f>IF(Table2[[#This Row],[fund age]]=0,0,LOG(Table2[[#This Row],[fund age]]))</f>
        <v>1.414973347970818</v>
      </c>
      <c r="P355">
        <f t="shared" si="5"/>
        <v>1</v>
      </c>
      <c r="Q355">
        <v>70</v>
      </c>
      <c r="R355">
        <v>70</v>
      </c>
      <c r="S355">
        <v>94.6</v>
      </c>
      <c r="T355" s="34">
        <v>33.200000000000003</v>
      </c>
      <c r="U355" s="42">
        <v>45.921427555082097</v>
      </c>
      <c r="V355">
        <v>2315.9649266087058</v>
      </c>
      <c r="W355">
        <f>LOG(Table2[[#This Row],[generalist]])</f>
        <v>3.3647319780710983</v>
      </c>
      <c r="X355" s="14">
        <v>4</v>
      </c>
      <c r="Y355">
        <v>3703.9030655807082</v>
      </c>
      <c r="Z355">
        <f>LOG(Table2[[#This Row],[country divers.]])</f>
        <v>3.5686596122879011</v>
      </c>
      <c r="AA355">
        <v>120000000</v>
      </c>
      <c r="AB355">
        <f>LOG(Table2[[#This Row],[Firm Size]])</f>
        <v>8.0791812460476251</v>
      </c>
      <c r="AC355" s="80">
        <v>0.36740807825799893</v>
      </c>
    </row>
    <row r="356" spans="1:29" x14ac:dyDescent="0.35">
      <c r="A356" t="s">
        <v>59</v>
      </c>
      <c r="B356">
        <v>1.3776223776223775</v>
      </c>
      <c r="C356">
        <f>IF(Table2[[#This Row],[Return]]=-1,-1,LOG(1+Table2[[#This Row],[Return]]))</f>
        <v>0.37614287957719328</v>
      </c>
      <c r="D356">
        <v>2.6958904109589041</v>
      </c>
      <c r="E356">
        <v>0</v>
      </c>
      <c r="F356">
        <f>IF(Table2[[#This Row],[Geo Distance]]=0,0,LOG(Table2[[#This Row],[Geo Distance]]))</f>
        <v>0</v>
      </c>
      <c r="G356">
        <v>39</v>
      </c>
      <c r="H356">
        <f>IF(Table2[[#This Row],[Target age]]=0,0,LOG(Table2[[#This Row],[Target age]]))</f>
        <v>1.5910646070264991</v>
      </c>
      <c r="I356" s="45">
        <v>3.29</v>
      </c>
      <c r="J356" s="9">
        <v>0</v>
      </c>
      <c r="K356" s="9">
        <f>IF(Table2[[#This Row],[Culture]]=0,0,LOG(Table2[[#This Row],[Culture]]))</f>
        <v>0</v>
      </c>
      <c r="L356" s="24">
        <v>0.21</v>
      </c>
      <c r="M356" s="9">
        <f>LOG(1+Table2[[#This Row],[S&amp;P]])</f>
        <v>8.2785370316450071E-2</v>
      </c>
      <c r="N356">
        <v>17</v>
      </c>
      <c r="O356">
        <f>IF(Table2[[#This Row],[fund age]]=0,0,LOG(Table2[[#This Row],[fund age]]))</f>
        <v>1.2304489213782739</v>
      </c>
      <c r="P356">
        <f t="shared" si="5"/>
        <v>0</v>
      </c>
      <c r="Q356">
        <v>70</v>
      </c>
      <c r="R356">
        <v>70</v>
      </c>
      <c r="S356">
        <v>92</v>
      </c>
      <c r="T356" s="34">
        <v>31.8</v>
      </c>
      <c r="U356" s="42">
        <v>43.012424801889097</v>
      </c>
      <c r="V356">
        <v>2058.8235294117644</v>
      </c>
      <c r="W356">
        <f>LOG(Table2[[#This Row],[generalist]])</f>
        <v>3.3136191229720016</v>
      </c>
      <c r="X356" s="14">
        <v>4</v>
      </c>
      <c r="Y356">
        <v>10000</v>
      </c>
      <c r="Z356">
        <f>LOG(Table2[[#This Row],[country divers.]])</f>
        <v>4</v>
      </c>
      <c r="AA356">
        <v>143000000</v>
      </c>
      <c r="AB356">
        <f>LOG(Table2[[#This Row],[Firm Size]])</f>
        <v>8.1553360374650623</v>
      </c>
      <c r="AC356" s="80">
        <v>6.0272593936341101E-2</v>
      </c>
    </row>
    <row r="357" spans="1:29" x14ac:dyDescent="0.35">
      <c r="A357" t="s">
        <v>59</v>
      </c>
      <c r="B357">
        <v>1</v>
      </c>
      <c r="C357">
        <f>IF(Table2[[#This Row],[Return]]=-1,-1,LOG(1+Table2[[#This Row],[Return]]))</f>
        <v>0.3010299956639812</v>
      </c>
      <c r="D357">
        <v>3.6054794520547944</v>
      </c>
      <c r="E357">
        <v>0</v>
      </c>
      <c r="F357">
        <f>IF(Table2[[#This Row],[Geo Distance]]=0,0,LOG(Table2[[#This Row],[Geo Distance]]))</f>
        <v>0</v>
      </c>
      <c r="G357">
        <v>20</v>
      </c>
      <c r="H357">
        <f>IF(Table2[[#This Row],[Target age]]=0,0,LOG(Table2[[#This Row],[Target age]]))</f>
        <v>1.3010299956639813</v>
      </c>
      <c r="I357" s="45">
        <v>3.29</v>
      </c>
      <c r="J357" s="9">
        <v>0</v>
      </c>
      <c r="K357" s="9">
        <f>IF(Table2[[#This Row],[Culture]]=0,0,LOG(Table2[[#This Row],[Culture]]))</f>
        <v>0</v>
      </c>
      <c r="L357" s="24">
        <v>0.4</v>
      </c>
      <c r="M357" s="9">
        <f>LOG(1+Table2[[#This Row],[S&amp;P]])</f>
        <v>0.14612803567823801</v>
      </c>
      <c r="N357">
        <v>3</v>
      </c>
      <c r="O357">
        <f>IF(Table2[[#This Row],[fund age]]=0,0,LOG(Table2[[#This Row],[fund age]]))</f>
        <v>0.47712125471966244</v>
      </c>
      <c r="P357">
        <f t="shared" si="5"/>
        <v>0</v>
      </c>
      <c r="Q357">
        <v>70</v>
      </c>
      <c r="R357">
        <v>70</v>
      </c>
      <c r="S357">
        <v>92</v>
      </c>
      <c r="T357" s="34">
        <v>31.8</v>
      </c>
      <c r="U357" s="42">
        <v>43.012424801889097</v>
      </c>
      <c r="V357">
        <v>2094.0408163265306</v>
      </c>
      <c r="W357">
        <f>LOG(Table2[[#This Row],[generalist]])</f>
        <v>3.3209851425446502</v>
      </c>
      <c r="X357" s="14">
        <v>2</v>
      </c>
      <c r="Y357">
        <v>9886.3673469387759</v>
      </c>
      <c r="Z357">
        <f>LOG(Table2[[#This Row],[country divers.]])</f>
        <v>3.9950367434689285</v>
      </c>
      <c r="AA357">
        <v>100000000</v>
      </c>
      <c r="AB357">
        <f>LOG(Table2[[#This Row],[Firm Size]])</f>
        <v>8</v>
      </c>
      <c r="AC357" s="80">
        <v>0.24549161710772971</v>
      </c>
    </row>
    <row r="358" spans="1:29" x14ac:dyDescent="0.35">
      <c r="A358" t="s">
        <v>59</v>
      </c>
      <c r="B358">
        <v>-0.73586899101954573</v>
      </c>
      <c r="C358">
        <f>IF(Table2[[#This Row],[Return]]=-1,-1,LOG(1+Table2[[#This Row],[Return]]))</f>
        <v>-0.57818060962777795</v>
      </c>
      <c r="D358">
        <v>3.6767123287671235</v>
      </c>
      <c r="E358">
        <v>0</v>
      </c>
      <c r="F358">
        <f>IF(Table2[[#This Row],[Geo Distance]]=0,0,LOG(Table2[[#This Row],[Geo Distance]]))</f>
        <v>0</v>
      </c>
      <c r="G358">
        <v>127</v>
      </c>
      <c r="H358">
        <f>IF(Table2[[#This Row],[Target age]]=0,0,LOG(Table2[[#This Row],[Target age]]))</f>
        <v>2.1038037209559568</v>
      </c>
      <c r="I358" s="45">
        <v>3.29</v>
      </c>
      <c r="J358" s="9">
        <v>0</v>
      </c>
      <c r="K358" s="9">
        <f>IF(Table2[[#This Row],[Culture]]=0,0,LOG(Table2[[#This Row],[Culture]]))</f>
        <v>0</v>
      </c>
      <c r="L358" s="24">
        <v>0.4</v>
      </c>
      <c r="M358" s="9">
        <f>LOG(1+Table2[[#This Row],[S&amp;P]])</f>
        <v>0.14612803567823801</v>
      </c>
      <c r="N358">
        <v>2</v>
      </c>
      <c r="O358">
        <f>IF(Table2[[#This Row],[fund age]]=0,0,LOG(Table2[[#This Row],[fund age]]))</f>
        <v>0.3010299956639812</v>
      </c>
      <c r="P358">
        <f t="shared" si="5"/>
        <v>0</v>
      </c>
      <c r="Q358">
        <v>70</v>
      </c>
      <c r="R358">
        <v>70</v>
      </c>
      <c r="S358">
        <v>94.1</v>
      </c>
      <c r="T358" s="34">
        <v>32.200000000000003</v>
      </c>
      <c r="U358" s="42">
        <v>43.9397801796012</v>
      </c>
      <c r="V358">
        <v>2094.0408163265306</v>
      </c>
      <c r="W358">
        <f>LOG(Table2[[#This Row],[generalist]])</f>
        <v>3.3209851425446502</v>
      </c>
      <c r="X358" s="14">
        <v>2</v>
      </c>
      <c r="Y358">
        <v>9886.3673469387759</v>
      </c>
      <c r="Z358">
        <f>LOG(Table2[[#This Row],[country divers.]])</f>
        <v>3.9950367434689285</v>
      </c>
      <c r="AA358">
        <v>75720000</v>
      </c>
      <c r="AB358">
        <f>LOG(Table2[[#This Row],[Firm Size]])</f>
        <v>7.8792106052917594</v>
      </c>
      <c r="AC358" s="80">
        <v>0.1637768052108115</v>
      </c>
    </row>
    <row r="359" spans="1:29" x14ac:dyDescent="0.35">
      <c r="A359" t="s">
        <v>59</v>
      </c>
      <c r="B359">
        <v>1.1764705882352939</v>
      </c>
      <c r="C359">
        <f>IF(Table2[[#This Row],[Return]]=-1,-1,LOG(1+Table2[[#This Row],[Return]]))</f>
        <v>0.33775280268872104</v>
      </c>
      <c r="D359">
        <v>4.4109589041095889</v>
      </c>
      <c r="E359">
        <v>0</v>
      </c>
      <c r="F359">
        <f>IF(Table2[[#This Row],[Geo Distance]]=0,0,LOG(Table2[[#This Row],[Geo Distance]]))</f>
        <v>0</v>
      </c>
      <c r="G359">
        <v>21</v>
      </c>
      <c r="H359">
        <f>IF(Table2[[#This Row],[Target age]]=0,0,LOG(Table2[[#This Row],[Target age]]))</f>
        <v>1.3222192947339193</v>
      </c>
      <c r="I359" s="45">
        <v>3.29</v>
      </c>
      <c r="J359" s="9">
        <v>0</v>
      </c>
      <c r="K359" s="9">
        <f>IF(Table2[[#This Row],[Culture]]=0,0,LOG(Table2[[#This Row],[Culture]]))</f>
        <v>0</v>
      </c>
      <c r="L359" s="24">
        <v>0.51</v>
      </c>
      <c r="M359" s="9">
        <f>LOG(1+Table2[[#This Row],[S&amp;P]])</f>
        <v>0.17897694729316943</v>
      </c>
      <c r="N359">
        <v>0</v>
      </c>
      <c r="O359">
        <f>IF(Table2[[#This Row],[fund age]]=0,0,LOG(Table2[[#This Row],[fund age]]))</f>
        <v>0</v>
      </c>
      <c r="P359">
        <f t="shared" si="5"/>
        <v>0</v>
      </c>
      <c r="Q359">
        <v>70</v>
      </c>
      <c r="R359">
        <v>70</v>
      </c>
      <c r="S359">
        <v>94.6</v>
      </c>
      <c r="T359" s="34">
        <v>33.200000000000003</v>
      </c>
      <c r="U359" s="42">
        <v>45.921427555082097</v>
      </c>
      <c r="V359">
        <v>2094.0408163265306</v>
      </c>
      <c r="W359">
        <f>LOG(Table2[[#This Row],[generalist]])</f>
        <v>3.3209851425446502</v>
      </c>
      <c r="X359" s="14">
        <v>2</v>
      </c>
      <c r="Y359">
        <v>9886.3673469387759</v>
      </c>
      <c r="Z359">
        <f>LOG(Table2[[#This Row],[country divers.]])</f>
        <v>3.9950367434689285</v>
      </c>
      <c r="AA359">
        <v>119000000</v>
      </c>
      <c r="AB359">
        <f>LOG(Table2[[#This Row],[Firm Size]])</f>
        <v>8.075546961392531</v>
      </c>
      <c r="AC359" s="80">
        <v>9.6363563852232659E-2</v>
      </c>
    </row>
    <row r="360" spans="1:29" x14ac:dyDescent="0.35">
      <c r="A360" t="s">
        <v>59</v>
      </c>
      <c r="B360">
        <v>2.2808986347031963</v>
      </c>
      <c r="C360">
        <f>IF(Table2[[#This Row],[Return]]=-1,-1,LOG(1+Table2[[#This Row],[Return]]))</f>
        <v>0.51599281280936371</v>
      </c>
      <c r="D360">
        <v>3.7095890410958905</v>
      </c>
      <c r="E360">
        <v>0</v>
      </c>
      <c r="F360">
        <f>IF(Table2[[#This Row],[Geo Distance]]=0,0,LOG(Table2[[#This Row],[Geo Distance]]))</f>
        <v>0</v>
      </c>
      <c r="G360">
        <v>16</v>
      </c>
      <c r="H360">
        <f>IF(Table2[[#This Row],[Target age]]=0,0,LOG(Table2[[#This Row],[Target age]]))</f>
        <v>1.2041199826559248</v>
      </c>
      <c r="I360" s="45">
        <v>3.29</v>
      </c>
      <c r="J360" s="9">
        <v>0</v>
      </c>
      <c r="K360" s="9">
        <f>IF(Table2[[#This Row],[Culture]]=0,0,LOG(Table2[[#This Row],[Culture]]))</f>
        <v>0</v>
      </c>
      <c r="L360" s="24">
        <v>0.39</v>
      </c>
      <c r="M360" s="9">
        <f>LOG(1+Table2[[#This Row],[S&amp;P]])</f>
        <v>0.14301480025409513</v>
      </c>
      <c r="N360">
        <v>36</v>
      </c>
      <c r="O360">
        <f>IF(Table2[[#This Row],[fund age]]=0,0,LOG(Table2[[#This Row],[fund age]]))</f>
        <v>1.5563025007672873</v>
      </c>
      <c r="P360">
        <f t="shared" si="5"/>
        <v>0</v>
      </c>
      <c r="Q360">
        <v>70</v>
      </c>
      <c r="R360">
        <v>70</v>
      </c>
      <c r="S360">
        <v>94.1</v>
      </c>
      <c r="T360" s="34">
        <v>32.200000000000003</v>
      </c>
      <c r="U360" s="42">
        <v>43.9397801796012</v>
      </c>
      <c r="V360">
        <v>1519.5854290504496</v>
      </c>
      <c r="W360">
        <f>LOG(Table2[[#This Row],[generalist]])</f>
        <v>3.1817251205543564</v>
      </c>
      <c r="X360" s="14">
        <v>2</v>
      </c>
      <c r="Y360">
        <v>8383.6305441243712</v>
      </c>
      <c r="Z360">
        <f>LOG(Table2[[#This Row],[country divers.]])</f>
        <v>3.9234321312589846</v>
      </c>
      <c r="AA360">
        <v>438000000</v>
      </c>
      <c r="AB360">
        <f>LOG(Table2[[#This Row],[Firm Size]])</f>
        <v>8.6414741105040989</v>
      </c>
      <c r="AC360" s="80">
        <v>0.12473474434212939</v>
      </c>
    </row>
    <row r="361" spans="1:29" x14ac:dyDescent="0.35">
      <c r="A361" t="s">
        <v>59</v>
      </c>
      <c r="B361">
        <v>1.5</v>
      </c>
      <c r="C361">
        <f>IF(Table2[[#This Row],[Return]]=-1,-1,LOG(1+Table2[[#This Row],[Return]]))</f>
        <v>0.3979400086720376</v>
      </c>
      <c r="D361">
        <v>4.3397260273972602</v>
      </c>
      <c r="E361">
        <v>0</v>
      </c>
      <c r="F361">
        <f>IF(Table2[[#This Row],[Geo Distance]]=0,0,LOG(Table2[[#This Row],[Geo Distance]]))</f>
        <v>0</v>
      </c>
      <c r="G361">
        <v>14</v>
      </c>
      <c r="H361">
        <f>IF(Table2[[#This Row],[Target age]]=0,0,LOG(Table2[[#This Row],[Target age]]))</f>
        <v>1.146128035678238</v>
      </c>
      <c r="I361" s="45">
        <v>3.29</v>
      </c>
      <c r="J361" s="9">
        <v>0</v>
      </c>
      <c r="K361" s="9">
        <f>IF(Table2[[#This Row],[Culture]]=0,0,LOG(Table2[[#This Row],[Culture]]))</f>
        <v>0</v>
      </c>
      <c r="L361" s="24">
        <v>0.5</v>
      </c>
      <c r="M361" s="9">
        <f>LOG(1+Table2[[#This Row],[S&amp;P]])</f>
        <v>0.17609125905568124</v>
      </c>
      <c r="N361">
        <v>34</v>
      </c>
      <c r="O361">
        <f>IF(Table2[[#This Row],[fund age]]=0,0,LOG(Table2[[#This Row],[fund age]]))</f>
        <v>1.5314789170422551</v>
      </c>
      <c r="P361">
        <f t="shared" si="5"/>
        <v>0</v>
      </c>
      <c r="Q361">
        <v>70</v>
      </c>
      <c r="R361">
        <v>70</v>
      </c>
      <c r="S361">
        <v>92</v>
      </c>
      <c r="T361" s="34">
        <v>31.8</v>
      </c>
      <c r="U361" s="42">
        <v>43.012424801889097</v>
      </c>
      <c r="V361">
        <v>1447.5557664926437</v>
      </c>
      <c r="W361">
        <f>LOG(Table2[[#This Row],[generalist]])</f>
        <v>3.1606353037386858</v>
      </c>
      <c r="X361" s="14">
        <v>2</v>
      </c>
      <c r="Y361">
        <v>9478.5929515126791</v>
      </c>
      <c r="Z361">
        <f>LOG(Table2[[#This Row],[country divers.]])</f>
        <v>3.9767438733352263</v>
      </c>
      <c r="AA361">
        <v>400000000</v>
      </c>
      <c r="AB361">
        <f>LOG(Table2[[#This Row],[Firm Size]])</f>
        <v>8.6020599913279625</v>
      </c>
      <c r="AC361" s="80">
        <v>0.16514520018340106</v>
      </c>
    </row>
    <row r="362" spans="1:29" x14ac:dyDescent="0.35">
      <c r="A362" t="s">
        <v>59</v>
      </c>
      <c r="B362">
        <v>-0.46762398230245683</v>
      </c>
      <c r="C362">
        <f>IF(Table2[[#This Row],[Return]]=-1,-1,LOG(1+Table2[[#This Row],[Return]]))</f>
        <v>-0.27378151671391243</v>
      </c>
      <c r="D362">
        <v>2.2000000000000002</v>
      </c>
      <c r="E362">
        <v>0</v>
      </c>
      <c r="F362">
        <f>IF(Table2[[#This Row],[Geo Distance]]=0,0,LOG(Table2[[#This Row],[Geo Distance]]))</f>
        <v>0</v>
      </c>
      <c r="G362">
        <v>26</v>
      </c>
      <c r="H362">
        <f>IF(Table2[[#This Row],[Target age]]=0,0,LOG(Table2[[#This Row],[Target age]]))</f>
        <v>1.414973347970818</v>
      </c>
      <c r="I362" s="45">
        <v>3.29</v>
      </c>
      <c r="J362" s="9">
        <v>0</v>
      </c>
      <c r="K362" s="9">
        <f>IF(Table2[[#This Row],[Culture]]=0,0,LOG(Table2[[#This Row],[Culture]]))</f>
        <v>0</v>
      </c>
      <c r="L362" s="24">
        <v>0.42</v>
      </c>
      <c r="M362" s="9">
        <f>LOG(1+Table2[[#This Row],[S&amp;P]])</f>
        <v>0.15228834438305647</v>
      </c>
      <c r="N362">
        <v>32</v>
      </c>
      <c r="O362">
        <f>IF(Table2[[#This Row],[fund age]]=0,0,LOG(Table2[[#This Row],[fund age]]))</f>
        <v>1.505149978319906</v>
      </c>
      <c r="P362">
        <f t="shared" si="5"/>
        <v>0</v>
      </c>
      <c r="Q362">
        <v>70</v>
      </c>
      <c r="R362">
        <v>70</v>
      </c>
      <c r="S362">
        <v>94.7</v>
      </c>
      <c r="T362" s="34">
        <v>32.4</v>
      </c>
      <c r="U362" s="42">
        <v>45.737088331856903</v>
      </c>
      <c r="V362">
        <v>1447.5557664926437</v>
      </c>
      <c r="W362">
        <f>LOG(Table2[[#This Row],[generalist]])</f>
        <v>3.1606353037386858</v>
      </c>
      <c r="X362" s="14">
        <v>2</v>
      </c>
      <c r="Y362">
        <v>9478.5929515126791</v>
      </c>
      <c r="Z362">
        <f>LOG(Table2[[#This Row],[country divers.]])</f>
        <v>3.9767438733352263</v>
      </c>
      <c r="AA362">
        <v>867807686</v>
      </c>
      <c r="AB362">
        <f>LOG(Table2[[#This Row],[Firm Size]])</f>
        <v>8.9384234922700383</v>
      </c>
      <c r="AC362" s="80">
        <v>0.14494826935313854</v>
      </c>
    </row>
    <row r="363" spans="1:29" x14ac:dyDescent="0.35">
      <c r="A363" t="s">
        <v>59</v>
      </c>
      <c r="B363">
        <v>0.68181818181818188</v>
      </c>
      <c r="C363">
        <f>IF(Table2[[#This Row],[Return]]=-1,-1,LOG(1+Table2[[#This Row],[Return]]))</f>
        <v>0.22577904324478879</v>
      </c>
      <c r="D363">
        <v>2.7150684931506848</v>
      </c>
      <c r="E363">
        <v>5897.96</v>
      </c>
      <c r="F363">
        <f>IF(Table2[[#This Row],[Geo Distance]]=0,0,LOG(Table2[[#This Row],[Geo Distance]]))</f>
        <v>3.7707018228379927</v>
      </c>
      <c r="G363">
        <v>39</v>
      </c>
      <c r="H363">
        <f>IF(Table2[[#This Row],[Target age]]=0,0,LOG(Table2[[#This Row],[Target age]]))</f>
        <v>1.5910646070264991</v>
      </c>
      <c r="I363" s="45">
        <v>2.3199999999999998</v>
      </c>
      <c r="J363" s="9">
        <v>132</v>
      </c>
      <c r="K363" s="9">
        <f>IF(Table2[[#This Row],[Culture]]=0,0,LOG(Table2[[#This Row],[Culture]]))</f>
        <v>2.12057393120585</v>
      </c>
      <c r="L363" s="24">
        <v>0.51</v>
      </c>
      <c r="M363" s="9">
        <f>LOG(1+Table2[[#This Row],[S&amp;P]])</f>
        <v>0.17897694729316943</v>
      </c>
      <c r="N363">
        <v>28</v>
      </c>
      <c r="O363">
        <f>IF(Table2[[#This Row],[fund age]]=0,0,LOG(Table2[[#This Row],[fund age]]))</f>
        <v>1.4471580313422192</v>
      </c>
      <c r="P363">
        <f t="shared" si="5"/>
        <v>1</v>
      </c>
      <c r="Q363">
        <v>70</v>
      </c>
      <c r="R363">
        <v>70</v>
      </c>
      <c r="S363">
        <v>94.7</v>
      </c>
      <c r="T363" s="34">
        <v>32.4</v>
      </c>
      <c r="U363" s="42">
        <v>45.737088331856903</v>
      </c>
      <c r="V363">
        <v>2108.7257617728528</v>
      </c>
      <c r="W363">
        <f>LOG(Table2[[#This Row],[generalist]])</f>
        <v>3.3240201037352737</v>
      </c>
      <c r="X363" s="14">
        <v>1</v>
      </c>
      <c r="Y363">
        <v>5865.6509695290861</v>
      </c>
      <c r="Z363">
        <f>LOG(Table2[[#This Row],[country divers.]])</f>
        <v>3.7683162170970865</v>
      </c>
      <c r="AA363">
        <v>1100000000</v>
      </c>
      <c r="AB363">
        <f>LOG(Table2[[#This Row],[Firm Size]])</f>
        <v>9.0413926851582254</v>
      </c>
      <c r="AC363" s="80">
        <v>0.27328825797933654</v>
      </c>
    </row>
    <row r="364" spans="1:29" x14ac:dyDescent="0.35">
      <c r="A364" t="s">
        <v>59</v>
      </c>
      <c r="B364">
        <v>7.6462203500000001</v>
      </c>
      <c r="C364">
        <f>IF(Table2[[#This Row],[Return]]=-1,-1,LOG(1+Table2[[#This Row],[Return]]))</f>
        <v>0.93682629938750739</v>
      </c>
      <c r="D364">
        <v>4.7123287671232879</v>
      </c>
      <c r="E364">
        <v>776.05</v>
      </c>
      <c r="F364">
        <f>IF(Table2[[#This Row],[Geo Distance]]=0,0,LOG(Table2[[#This Row],[Geo Distance]]))</f>
        <v>2.8898897032485915</v>
      </c>
      <c r="G364">
        <v>14</v>
      </c>
      <c r="H364">
        <f>IF(Table2[[#This Row],[Target age]]=0,0,LOG(Table2[[#This Row],[Target age]]))</f>
        <v>1.146128035678238</v>
      </c>
      <c r="I364" s="45">
        <v>3.18</v>
      </c>
      <c r="J364" s="9">
        <v>254.166666666667</v>
      </c>
      <c r="K364" s="9">
        <f>IF(Table2[[#This Row],[Culture]]=0,0,LOG(Table2[[#This Row],[Culture]]))</f>
        <v>2.4051185932991617</v>
      </c>
      <c r="L364" s="24">
        <v>0.56000000000000005</v>
      </c>
      <c r="M364" s="9">
        <f>LOG(1+Table2[[#This Row],[S&amp;P]])</f>
        <v>0.19312459835446161</v>
      </c>
      <c r="N364">
        <v>17</v>
      </c>
      <c r="O364">
        <f>IF(Table2[[#This Row],[fund age]]=0,0,LOG(Table2[[#This Row],[fund age]]))</f>
        <v>1.2304489213782739</v>
      </c>
      <c r="P364">
        <f t="shared" si="5"/>
        <v>1</v>
      </c>
      <c r="Q364">
        <v>70</v>
      </c>
      <c r="R364">
        <v>70</v>
      </c>
      <c r="S364">
        <v>94.1</v>
      </c>
      <c r="T364" s="34">
        <v>32.200000000000003</v>
      </c>
      <c r="U364" s="42">
        <v>43.9397801796012</v>
      </c>
      <c r="V364">
        <v>3194.0595168108393</v>
      </c>
      <c r="W364">
        <f>LOG(Table2[[#This Row],[generalist]])</f>
        <v>3.5043430043452655</v>
      </c>
      <c r="X364" s="14">
        <v>4</v>
      </c>
      <c r="Y364">
        <v>4711.794182693654</v>
      </c>
      <c r="Z364">
        <f>LOG(Table2[[#This Row],[country divers.]])</f>
        <v>3.6731863116447854</v>
      </c>
      <c r="AA364">
        <v>20000000</v>
      </c>
      <c r="AB364">
        <f>LOG(Table2[[#This Row],[Firm Size]])</f>
        <v>7.3010299956639813</v>
      </c>
      <c r="AC364" s="80">
        <v>0.15580699866785341</v>
      </c>
    </row>
    <row r="365" spans="1:29" x14ac:dyDescent="0.35">
      <c r="A365" t="s">
        <v>59</v>
      </c>
      <c r="B365">
        <v>0.92307692307692313</v>
      </c>
      <c r="C365">
        <f>IF(Table2[[#This Row],[Return]]=-1,-1,LOG(1+Table2[[#This Row],[Return]]))</f>
        <v>0.28399665636520083</v>
      </c>
      <c r="D365">
        <v>2.978082191780822</v>
      </c>
      <c r="E365">
        <v>0</v>
      </c>
      <c r="F365">
        <f>IF(Table2[[#This Row],[Geo Distance]]=0,0,LOG(Table2[[#This Row],[Geo Distance]]))</f>
        <v>0</v>
      </c>
      <c r="G365">
        <v>30</v>
      </c>
      <c r="H365">
        <f>IF(Table2[[#This Row],[Target age]]=0,0,LOG(Table2[[#This Row],[Target age]]))</f>
        <v>1.4771212547196624</v>
      </c>
      <c r="I365" s="45">
        <v>3.29</v>
      </c>
      <c r="J365" s="9">
        <v>0</v>
      </c>
      <c r="K365" s="9">
        <f>IF(Table2[[#This Row],[Culture]]=0,0,LOG(Table2[[#This Row],[Culture]]))</f>
        <v>0</v>
      </c>
      <c r="L365" s="24">
        <v>0.27</v>
      </c>
      <c r="M365" s="9">
        <f>LOG(1+Table2[[#This Row],[S&amp;P]])</f>
        <v>0.10380372095595687</v>
      </c>
      <c r="N365">
        <v>13</v>
      </c>
      <c r="O365">
        <f>IF(Table2[[#This Row],[fund age]]=0,0,LOG(Table2[[#This Row],[fund age]]))</f>
        <v>1.1139433523068367</v>
      </c>
      <c r="P365">
        <f t="shared" si="5"/>
        <v>0</v>
      </c>
      <c r="Q365">
        <v>70</v>
      </c>
      <c r="R365">
        <v>70</v>
      </c>
      <c r="S365">
        <v>92</v>
      </c>
      <c r="T365" s="34">
        <v>31.8</v>
      </c>
      <c r="U365" s="42">
        <v>43.012424801889097</v>
      </c>
      <c r="V365">
        <v>3072.916666666667</v>
      </c>
      <c r="W365">
        <f>LOG(Table2[[#This Row],[generalist]])</f>
        <v>3.4875507829385946</v>
      </c>
      <c r="X365" s="14">
        <v>2</v>
      </c>
      <c r="Y365">
        <v>10000</v>
      </c>
      <c r="Z365">
        <f>LOG(Table2[[#This Row],[country divers.]])</f>
        <v>4</v>
      </c>
      <c r="AA365">
        <v>130000000</v>
      </c>
      <c r="AB365">
        <f>LOG(Table2[[#This Row],[Firm Size]])</f>
        <v>8.1139433523068369</v>
      </c>
      <c r="AC365" s="80">
        <v>0.14700739568081045</v>
      </c>
    </row>
    <row r="366" spans="1:29" x14ac:dyDescent="0.35">
      <c r="A366" t="s">
        <v>59</v>
      </c>
      <c r="B366">
        <v>5.3030303030303028</v>
      </c>
      <c r="C366">
        <f>IF(Table2[[#This Row],[Return]]=-1,-1,LOG(1+Table2[[#This Row],[Return]]))</f>
        <v>0.7995493950848741</v>
      </c>
      <c r="D366">
        <v>3.9397260273972603</v>
      </c>
      <c r="E366">
        <v>0</v>
      </c>
      <c r="F366">
        <f>IF(Table2[[#This Row],[Geo Distance]]=0,0,LOG(Table2[[#This Row],[Geo Distance]]))</f>
        <v>0</v>
      </c>
      <c r="G366">
        <v>23</v>
      </c>
      <c r="H366">
        <f>IF(Table2[[#This Row],[Target age]]=0,0,LOG(Table2[[#This Row],[Target age]]))</f>
        <v>1.3617278360175928</v>
      </c>
      <c r="I366" s="45">
        <v>3.29</v>
      </c>
      <c r="J366" s="9">
        <v>0</v>
      </c>
      <c r="K366" s="9">
        <f>IF(Table2[[#This Row],[Culture]]=0,0,LOG(Table2[[#This Row],[Culture]]))</f>
        <v>0</v>
      </c>
      <c r="L366" s="24">
        <v>0.52</v>
      </c>
      <c r="M366" s="9">
        <f>LOG(1+Table2[[#This Row],[S&amp;P]])</f>
        <v>0.18184358794477254</v>
      </c>
      <c r="N366">
        <v>12</v>
      </c>
      <c r="O366">
        <f>IF(Table2[[#This Row],[fund age]]=0,0,LOG(Table2[[#This Row],[fund age]]))</f>
        <v>1.0791812460476249</v>
      </c>
      <c r="P366">
        <f t="shared" si="5"/>
        <v>0</v>
      </c>
      <c r="Q366">
        <v>70</v>
      </c>
      <c r="R366">
        <v>70</v>
      </c>
      <c r="S366">
        <v>94.1</v>
      </c>
      <c r="T366" s="34">
        <v>32.200000000000003</v>
      </c>
      <c r="U366" s="42">
        <v>43.9397801796012</v>
      </c>
      <c r="V366">
        <v>3072.916666666667</v>
      </c>
      <c r="W366">
        <f>LOG(Table2[[#This Row],[generalist]])</f>
        <v>3.4875507829385946</v>
      </c>
      <c r="X366" s="14">
        <v>2</v>
      </c>
      <c r="Y366">
        <v>10000</v>
      </c>
      <c r="Z366">
        <f>LOG(Table2[[#This Row],[country divers.]])</f>
        <v>4</v>
      </c>
      <c r="AA366">
        <v>33000000</v>
      </c>
      <c r="AB366">
        <f>LOG(Table2[[#This Row],[Firm Size]])</f>
        <v>7.5185139398778871</v>
      </c>
      <c r="AC366" s="80">
        <v>0.2031519697052786</v>
      </c>
    </row>
    <row r="367" spans="1:29" x14ac:dyDescent="0.35">
      <c r="A367" t="s">
        <v>59</v>
      </c>
      <c r="B367">
        <v>1.5721250000000002</v>
      </c>
      <c r="C367">
        <f>IF(Table2[[#This Row],[Return]]=-1,-1,LOG(1+Table2[[#This Row],[Return]]))</f>
        <v>0.41029207058620576</v>
      </c>
      <c r="D367">
        <v>3.106849315068493</v>
      </c>
      <c r="E367">
        <v>0</v>
      </c>
      <c r="F367">
        <f>IF(Table2[[#This Row],[Geo Distance]]=0,0,LOG(Table2[[#This Row],[Geo Distance]]))</f>
        <v>0</v>
      </c>
      <c r="G367">
        <v>39</v>
      </c>
      <c r="H367">
        <f>IF(Table2[[#This Row],[Target age]]=0,0,LOG(Table2[[#This Row],[Target age]]))</f>
        <v>1.5910646070264991</v>
      </c>
      <c r="I367" s="45">
        <v>3.29</v>
      </c>
      <c r="J367" s="9">
        <v>0</v>
      </c>
      <c r="K367" s="9">
        <f>IF(Table2[[#This Row],[Culture]]=0,0,LOG(Table2[[#This Row],[Culture]]))</f>
        <v>0</v>
      </c>
      <c r="L367" s="24">
        <v>0.26</v>
      </c>
      <c r="M367" s="9">
        <f>LOG(1+Table2[[#This Row],[S&amp;P]])</f>
        <v>0.10037054511756291</v>
      </c>
      <c r="N367">
        <v>8</v>
      </c>
      <c r="O367">
        <f>IF(Table2[[#This Row],[fund age]]=0,0,LOG(Table2[[#This Row],[fund age]]))</f>
        <v>0.90308998699194354</v>
      </c>
      <c r="P367">
        <f t="shared" si="5"/>
        <v>0</v>
      </c>
      <c r="Q367">
        <v>70</v>
      </c>
      <c r="R367">
        <v>70</v>
      </c>
      <c r="S367">
        <v>92</v>
      </c>
      <c r="T367" s="34">
        <v>31.8</v>
      </c>
      <c r="U367" s="42">
        <v>43.012424801889097</v>
      </c>
      <c r="V367">
        <v>2482.4229313142241</v>
      </c>
      <c r="W367">
        <f>LOG(Table2[[#This Row],[generalist]])</f>
        <v>3.3948757743780882</v>
      </c>
      <c r="X367" s="14">
        <v>4</v>
      </c>
      <c r="Y367">
        <v>9113.0340724716079</v>
      </c>
      <c r="Z367">
        <f>LOG(Table2[[#This Row],[country divers.]])</f>
        <v>3.9596629940481844</v>
      </c>
      <c r="AA367">
        <v>80000000</v>
      </c>
      <c r="AB367">
        <f>LOG(Table2[[#This Row],[Firm Size]])</f>
        <v>7.9030899869919438</v>
      </c>
      <c r="AC367" s="80">
        <v>0.12835254643349514</v>
      </c>
    </row>
    <row r="368" spans="1:29" x14ac:dyDescent="0.35">
      <c r="A368" t="s">
        <v>59</v>
      </c>
      <c r="B368">
        <v>-1</v>
      </c>
      <c r="C368">
        <f>IF(Table2[[#This Row],[Return]]=-1,-1,LOG(1+Table2[[#This Row],[Return]]))</f>
        <v>-1</v>
      </c>
      <c r="D368">
        <v>3.8575342465753426</v>
      </c>
      <c r="E368">
        <v>0</v>
      </c>
      <c r="F368">
        <f>IF(Table2[[#This Row],[Geo Distance]]=0,0,LOG(Table2[[#This Row],[Geo Distance]]))</f>
        <v>0</v>
      </c>
      <c r="G368">
        <v>38</v>
      </c>
      <c r="H368">
        <f>IF(Table2[[#This Row],[Target age]]=0,0,LOG(Table2[[#This Row],[Target age]]))</f>
        <v>1.5797835966168101</v>
      </c>
      <c r="I368" s="45">
        <v>3.29</v>
      </c>
      <c r="J368" s="9">
        <v>0</v>
      </c>
      <c r="K368" s="9">
        <f>IF(Table2[[#This Row],[Culture]]=0,0,LOG(Table2[[#This Row],[Culture]]))</f>
        <v>0</v>
      </c>
      <c r="L368" s="24">
        <v>0.36</v>
      </c>
      <c r="M368" s="9">
        <f>LOG(1+Table2[[#This Row],[S&amp;P]])</f>
        <v>0.13353890837021748</v>
      </c>
      <c r="N368">
        <v>28</v>
      </c>
      <c r="O368">
        <f>IF(Table2[[#This Row],[fund age]]=0,0,LOG(Table2[[#This Row],[fund age]]))</f>
        <v>1.4471580313422192</v>
      </c>
      <c r="P368">
        <f t="shared" si="5"/>
        <v>0</v>
      </c>
      <c r="Q368">
        <v>70</v>
      </c>
      <c r="R368">
        <v>70</v>
      </c>
      <c r="S368">
        <v>92</v>
      </c>
      <c r="T368" s="34">
        <v>31.8</v>
      </c>
      <c r="U368" s="42">
        <v>43.012424801889097</v>
      </c>
      <c r="V368">
        <v>1851.8518518518517</v>
      </c>
      <c r="W368">
        <f>LOG(Table2[[#This Row],[generalist]])</f>
        <v>3.2676062401770314</v>
      </c>
      <c r="X368" s="14">
        <v>1</v>
      </c>
      <c r="Y368">
        <v>9216.4064891337621</v>
      </c>
      <c r="Z368">
        <f>LOG(Table2[[#This Row],[country divers.]])</f>
        <v>3.9645616210373218</v>
      </c>
      <c r="AA368">
        <v>90000000</v>
      </c>
      <c r="AB368">
        <f>LOG(Table2[[#This Row],[Firm Size]])</f>
        <v>7.9542425094393252</v>
      </c>
      <c r="AC368" s="80">
        <v>0.1512991373763064</v>
      </c>
    </row>
    <row r="369" spans="1:29" x14ac:dyDescent="0.35">
      <c r="A369" t="s">
        <v>59</v>
      </c>
      <c r="B369">
        <v>7.8888888888888893</v>
      </c>
      <c r="C369">
        <f>IF(Table2[[#This Row],[Return]]=-1,-1,LOG(1+Table2[[#This Row],[Return]]))</f>
        <v>0.94884747755261878</v>
      </c>
      <c r="D369">
        <v>2.1095890410958904</v>
      </c>
      <c r="E369">
        <v>776.05</v>
      </c>
      <c r="F369">
        <f>IF(Table2[[#This Row],[Geo Distance]]=0,0,LOG(Table2[[#This Row],[Geo Distance]]))</f>
        <v>2.8898897032485915</v>
      </c>
      <c r="G369">
        <v>13</v>
      </c>
      <c r="H369">
        <f>IF(Table2[[#This Row],[Target age]]=0,0,LOG(Table2[[#This Row],[Target age]]))</f>
        <v>1.1139433523068367</v>
      </c>
      <c r="I369" s="45">
        <v>3.18</v>
      </c>
      <c r="J369" s="9">
        <v>254.166666666667</v>
      </c>
      <c r="K369" s="9">
        <f>IF(Table2[[#This Row],[Culture]]=0,0,LOG(Table2[[#This Row],[Culture]]))</f>
        <v>2.4051185932991617</v>
      </c>
      <c r="L369" s="24">
        <v>0.24</v>
      </c>
      <c r="M369" s="9">
        <f>LOG(1+Table2[[#This Row],[S&amp;P]])</f>
        <v>9.3421685162235063E-2</v>
      </c>
      <c r="N369">
        <v>15</v>
      </c>
      <c r="O369">
        <f>IF(Table2[[#This Row],[fund age]]=0,0,LOG(Table2[[#This Row],[fund age]]))</f>
        <v>1.1760912590556813</v>
      </c>
      <c r="P369">
        <f t="shared" si="5"/>
        <v>1</v>
      </c>
      <c r="Q369">
        <v>70</v>
      </c>
      <c r="R369">
        <v>70</v>
      </c>
      <c r="S369">
        <v>94.6</v>
      </c>
      <c r="T369" s="34">
        <v>33.200000000000003</v>
      </c>
      <c r="U369" s="42">
        <v>45.921427555082097</v>
      </c>
      <c r="V369">
        <v>1423.0371900826444</v>
      </c>
      <c r="W369">
        <f>LOG(Table2[[#This Row],[generalist]])</f>
        <v>3.1532162502154288</v>
      </c>
      <c r="X369" s="14">
        <v>5</v>
      </c>
      <c r="Y369">
        <v>3292.8719008264461</v>
      </c>
      <c r="Z369">
        <f>LOG(Table2[[#This Row],[country divers.]])</f>
        <v>3.5175748361336181</v>
      </c>
      <c r="AA369">
        <v>90000000</v>
      </c>
      <c r="AB369">
        <f>LOG(Table2[[#This Row],[Firm Size]])</f>
        <v>7.9542425094393252</v>
      </c>
      <c r="AC369" s="80">
        <v>0.12373370110494819</v>
      </c>
    </row>
    <row r="370" spans="1:29" x14ac:dyDescent="0.35">
      <c r="A370" t="s">
        <v>59</v>
      </c>
      <c r="B370">
        <v>1.5433526011560694</v>
      </c>
      <c r="C370">
        <f>IF(Table2[[#This Row],[Return]]=-1,-1,LOG(1+Table2[[#This Row],[Return]]))</f>
        <v>0.40540657335739205</v>
      </c>
      <c r="D370">
        <v>5.8054794520547945</v>
      </c>
      <c r="E370">
        <v>0</v>
      </c>
      <c r="F370">
        <f>IF(Table2[[#This Row],[Geo Distance]]=0,0,LOG(Table2[[#This Row],[Geo Distance]]))</f>
        <v>0</v>
      </c>
      <c r="G370">
        <v>3</v>
      </c>
      <c r="H370">
        <f>IF(Table2[[#This Row],[Target age]]=0,0,LOG(Table2[[#This Row],[Target age]]))</f>
        <v>0.47712125471966244</v>
      </c>
      <c r="I370" s="45">
        <v>3.29</v>
      </c>
      <c r="J370" s="9">
        <v>0</v>
      </c>
      <c r="K370" s="9">
        <f>IF(Table2[[#This Row],[Culture]]=0,0,LOG(Table2[[#This Row],[Culture]]))</f>
        <v>0</v>
      </c>
      <c r="L370" s="24">
        <v>1.19</v>
      </c>
      <c r="M370" s="9">
        <f>LOG(1+Table2[[#This Row],[S&amp;P]])</f>
        <v>0.34044411484011833</v>
      </c>
      <c r="N370">
        <v>7</v>
      </c>
      <c r="O370">
        <f>IF(Table2[[#This Row],[fund age]]=0,0,LOG(Table2[[#This Row],[fund age]]))</f>
        <v>0.84509804001425681</v>
      </c>
      <c r="P370">
        <f t="shared" si="5"/>
        <v>0</v>
      </c>
      <c r="Q370">
        <v>70</v>
      </c>
      <c r="R370">
        <v>70</v>
      </c>
      <c r="S370">
        <v>89.8</v>
      </c>
      <c r="T370" s="34">
        <v>31.2</v>
      </c>
      <c r="U370" s="42">
        <v>47.307367293927399</v>
      </c>
      <c r="V370">
        <v>2207.03125</v>
      </c>
      <c r="W370">
        <f>LOG(Table2[[#This Row],[generalist]])</f>
        <v>3.3438084825075891</v>
      </c>
      <c r="X370" s="14">
        <v>2</v>
      </c>
      <c r="Y370">
        <v>7753.90625</v>
      </c>
      <c r="Z370">
        <f>LOG(Table2[[#This Row],[country divers.]])</f>
        <v>3.8895205457872843</v>
      </c>
      <c r="AA370">
        <v>17300000</v>
      </c>
      <c r="AB370">
        <f>LOG(Table2[[#This Row],[Firm Size]])</f>
        <v>7.238046103128795</v>
      </c>
      <c r="AC370" s="80">
        <v>0.59890652592058635</v>
      </c>
    </row>
    <row r="371" spans="1:29" x14ac:dyDescent="0.35">
      <c r="A371" t="s">
        <v>59</v>
      </c>
      <c r="B371">
        <v>8.0056222355456512</v>
      </c>
      <c r="C371">
        <f>IF(Table2[[#This Row],[Return]]=-1,-1,LOG(1+Table2[[#This Row],[Return]]))</f>
        <v>0.95451372538741597</v>
      </c>
      <c r="D371">
        <v>10.575342465753424</v>
      </c>
      <c r="E371">
        <v>0</v>
      </c>
      <c r="F371">
        <f>IF(Table2[[#This Row],[Geo Distance]]=0,0,LOG(Table2[[#This Row],[Geo Distance]]))</f>
        <v>0</v>
      </c>
      <c r="G371">
        <v>24</v>
      </c>
      <c r="H371">
        <f>IF(Table2[[#This Row],[Target age]]=0,0,LOG(Table2[[#This Row],[Target age]]))</f>
        <v>1.3802112417116059</v>
      </c>
      <c r="I371" s="45">
        <v>3.29</v>
      </c>
      <c r="J371" s="9">
        <v>0</v>
      </c>
      <c r="K371" s="9">
        <f>IF(Table2[[#This Row],[Culture]]=0,0,LOG(Table2[[#This Row],[Culture]]))</f>
        <v>0</v>
      </c>
      <c r="L371" s="24">
        <v>0.79</v>
      </c>
      <c r="M371" s="9">
        <f>LOG(1+Table2[[#This Row],[S&amp;P]])</f>
        <v>0.2528530309798932</v>
      </c>
      <c r="N371">
        <v>5</v>
      </c>
      <c r="O371">
        <f>IF(Table2[[#This Row],[fund age]]=0,0,LOG(Table2[[#This Row],[fund age]]))</f>
        <v>0.69897000433601886</v>
      </c>
      <c r="P371">
        <f t="shared" si="5"/>
        <v>0</v>
      </c>
      <c r="Q371">
        <v>70</v>
      </c>
      <c r="R371">
        <v>70</v>
      </c>
      <c r="S371">
        <v>91.2</v>
      </c>
      <c r="T371" s="34">
        <v>33</v>
      </c>
      <c r="U371" s="42">
        <v>40.902544500539101</v>
      </c>
      <c r="V371">
        <v>2207.03125</v>
      </c>
      <c r="W371">
        <f>LOG(Table2[[#This Row],[generalist]])</f>
        <v>3.3438084825075891</v>
      </c>
      <c r="X371" s="14">
        <v>2</v>
      </c>
      <c r="Y371">
        <v>7753.90625</v>
      </c>
      <c r="Z371">
        <f>LOG(Table2[[#This Row],[country divers.]])</f>
        <v>3.8895205457872843</v>
      </c>
      <c r="AA371">
        <v>88399000</v>
      </c>
      <c r="AB371">
        <f>LOG(Table2[[#This Row],[Firm Size]])</f>
        <v>7.9464473521517798</v>
      </c>
      <c r="AC371" s="80">
        <v>0.2410263229537053</v>
      </c>
    </row>
    <row r="372" spans="1:29" x14ac:dyDescent="0.35">
      <c r="A372" t="s">
        <v>59</v>
      </c>
      <c r="B372">
        <v>0.97470985622726491</v>
      </c>
      <c r="C372">
        <f>IF(Table2[[#This Row],[Return]]=-1,-1,LOG(1+Table2[[#This Row],[Return]]))</f>
        <v>0.29550329383784157</v>
      </c>
      <c r="D372">
        <v>1.4</v>
      </c>
      <c r="E372">
        <v>0</v>
      </c>
      <c r="F372">
        <f>IF(Table2[[#This Row],[Geo Distance]]=0,0,LOG(Table2[[#This Row],[Geo Distance]]))</f>
        <v>0</v>
      </c>
      <c r="G372">
        <v>11</v>
      </c>
      <c r="H372">
        <f>IF(Table2[[#This Row],[Target age]]=0,0,LOG(Table2[[#This Row],[Target age]]))</f>
        <v>1.0413926851582251</v>
      </c>
      <c r="I372" s="45">
        <v>3.29</v>
      </c>
      <c r="J372" s="9">
        <v>0</v>
      </c>
      <c r="K372" s="9">
        <f>IF(Table2[[#This Row],[Culture]]=0,0,LOG(Table2[[#This Row],[Culture]]))</f>
        <v>0</v>
      </c>
      <c r="L372" s="24">
        <v>0.15</v>
      </c>
      <c r="M372" s="9">
        <f>LOG(1+Table2[[#This Row],[S&amp;P]])</f>
        <v>6.069784035361165E-2</v>
      </c>
      <c r="N372">
        <v>3</v>
      </c>
      <c r="O372">
        <f>IF(Table2[[#This Row],[fund age]]=0,0,LOG(Table2[[#This Row],[fund age]]))</f>
        <v>0.47712125471966244</v>
      </c>
      <c r="P372">
        <f t="shared" si="5"/>
        <v>0</v>
      </c>
      <c r="Q372">
        <v>70</v>
      </c>
      <c r="R372">
        <v>70</v>
      </c>
      <c r="S372">
        <v>85</v>
      </c>
      <c r="T372" s="34">
        <v>32.700000000000003</v>
      </c>
      <c r="U372" s="42">
        <v>41.286751495766303</v>
      </c>
      <c r="V372">
        <v>2207.03125</v>
      </c>
      <c r="W372">
        <f>LOG(Table2[[#This Row],[generalist]])</f>
        <v>3.3438084825075891</v>
      </c>
      <c r="X372" s="14">
        <v>2</v>
      </c>
      <c r="Y372">
        <v>7753.90625</v>
      </c>
      <c r="Z372">
        <f>LOG(Table2[[#This Row],[country divers.]])</f>
        <v>3.8895205457872843</v>
      </c>
      <c r="AA372">
        <v>288650000</v>
      </c>
      <c r="AB372">
        <f>LOG(Table2[[#This Row],[Firm Size]])</f>
        <v>8.4603715618346502</v>
      </c>
      <c r="AC372" s="80">
        <v>0.19666095230403835</v>
      </c>
    </row>
    <row r="373" spans="1:29" x14ac:dyDescent="0.35">
      <c r="A373" t="s">
        <v>59</v>
      </c>
      <c r="B373">
        <v>0.7132377780995125</v>
      </c>
      <c r="C373">
        <f>IF(Table2[[#This Row],[Return]]=-1,-1,LOG(1+Table2[[#This Row],[Return]]))</f>
        <v>0.2338176423292847</v>
      </c>
      <c r="D373">
        <v>3.8273972602739725</v>
      </c>
      <c r="E373">
        <v>0</v>
      </c>
      <c r="F373">
        <f>IF(Table2[[#This Row],[Geo Distance]]=0,0,LOG(Table2[[#This Row],[Geo Distance]]))</f>
        <v>0</v>
      </c>
      <c r="G373">
        <v>8</v>
      </c>
      <c r="H373">
        <f>IF(Table2[[#This Row],[Target age]]=0,0,LOG(Table2[[#This Row],[Target age]]))</f>
        <v>0.90308998699194354</v>
      </c>
      <c r="I373" s="45">
        <v>3.29</v>
      </c>
      <c r="J373" s="9">
        <v>0</v>
      </c>
      <c r="K373" s="9">
        <f>IF(Table2[[#This Row],[Culture]]=0,0,LOG(Table2[[#This Row],[Culture]]))</f>
        <v>0</v>
      </c>
      <c r="L373" s="24">
        <v>0.25</v>
      </c>
      <c r="M373" s="9">
        <f>LOG(1+Table2[[#This Row],[S&amp;P]])</f>
        <v>9.691001300805642E-2</v>
      </c>
      <c r="N373">
        <v>2</v>
      </c>
      <c r="O373">
        <f>IF(Table2[[#This Row],[fund age]]=0,0,LOG(Table2[[#This Row],[fund age]]))</f>
        <v>0.3010299956639812</v>
      </c>
      <c r="P373">
        <f t="shared" si="5"/>
        <v>0</v>
      </c>
      <c r="Q373">
        <v>70</v>
      </c>
      <c r="R373">
        <v>70</v>
      </c>
      <c r="S373">
        <v>85</v>
      </c>
      <c r="T373" s="34">
        <v>32.299999999999997</v>
      </c>
      <c r="U373" s="42">
        <v>40.040400531970803</v>
      </c>
      <c r="V373">
        <v>2207.03125</v>
      </c>
      <c r="W373">
        <f>LOG(Table2[[#This Row],[generalist]])</f>
        <v>3.3438084825075891</v>
      </c>
      <c r="X373" s="14">
        <v>2</v>
      </c>
      <c r="Y373">
        <v>7753.90625</v>
      </c>
      <c r="Z373">
        <f>LOG(Table2[[#This Row],[country divers.]])</f>
        <v>3.8895205457872843</v>
      </c>
      <c r="AA373">
        <v>207210000</v>
      </c>
      <c r="AB373">
        <f>LOG(Table2[[#This Row],[Firm Size]])</f>
        <v>8.3164107107258101</v>
      </c>
      <c r="AC373" s="80">
        <v>0.46130586491177317</v>
      </c>
    </row>
    <row r="374" spans="1:29" x14ac:dyDescent="0.35">
      <c r="A374" t="s">
        <v>59</v>
      </c>
      <c r="B374">
        <v>4.9801470588235297</v>
      </c>
      <c r="C374">
        <f>IF(Table2[[#This Row],[Return]]=-1,-1,LOG(1+Table2[[#This Row],[Return]]))</f>
        <v>0.77671186392993052</v>
      </c>
      <c r="D374">
        <v>2.6794520547945204</v>
      </c>
      <c r="E374">
        <v>463.97</v>
      </c>
      <c r="F374">
        <f>IF(Table2[[#This Row],[Geo Distance]]=0,0,LOG(Table2[[#This Row],[Geo Distance]]))</f>
        <v>2.6664899002624973</v>
      </c>
      <c r="G374">
        <v>14</v>
      </c>
      <c r="H374">
        <f>IF(Table2[[#This Row],[Target age]]=0,0,LOG(Table2[[#This Row],[Target age]]))</f>
        <v>1.146128035678238</v>
      </c>
      <c r="I374" s="45">
        <v>2.81</v>
      </c>
      <c r="J374" s="9">
        <v>193.166666666667</v>
      </c>
      <c r="K374" s="9">
        <f>IF(Table2[[#This Row],[Culture]]=0,0,LOG(Table2[[#This Row],[Culture]]))</f>
        <v>2.285932185579953</v>
      </c>
      <c r="L374" s="24">
        <v>-0.08</v>
      </c>
      <c r="M374" s="9">
        <f>LOG(1+Table2[[#This Row],[S&amp;P]])</f>
        <v>-3.6212172654444715E-2</v>
      </c>
      <c r="N374">
        <v>0</v>
      </c>
      <c r="O374">
        <f>IF(Table2[[#This Row],[fund age]]=0,0,LOG(Table2[[#This Row],[fund age]]))</f>
        <v>0</v>
      </c>
      <c r="P374">
        <f t="shared" si="5"/>
        <v>1</v>
      </c>
      <c r="Q374">
        <v>70</v>
      </c>
      <c r="R374">
        <v>70</v>
      </c>
      <c r="S374">
        <v>85</v>
      </c>
      <c r="T374" s="34">
        <v>32.6</v>
      </c>
      <c r="U374" s="42">
        <v>36.544739309553499</v>
      </c>
      <c r="V374">
        <v>2445.7102171591318</v>
      </c>
      <c r="W374">
        <f>LOG(Table2[[#This Row],[generalist]])</f>
        <v>3.3884049978579722</v>
      </c>
      <c r="X374" s="14">
        <v>2</v>
      </c>
      <c r="Y374">
        <v>7210.2229667110805</v>
      </c>
      <c r="Z374">
        <f>LOG(Table2[[#This Row],[country divers.]])</f>
        <v>3.8579486949156889</v>
      </c>
      <c r="AA374">
        <v>68000000</v>
      </c>
      <c r="AB374">
        <f>LOG(Table2[[#This Row],[Firm Size]])</f>
        <v>7.8325089127062366</v>
      </c>
      <c r="AC374" s="80">
        <v>-0.20233631850868972</v>
      </c>
    </row>
    <row r="375" spans="1:29" x14ac:dyDescent="0.35">
      <c r="A375" t="s">
        <v>59</v>
      </c>
      <c r="B375">
        <v>0.55211331314107825</v>
      </c>
      <c r="C375">
        <f>IF(Table2[[#This Row],[Return]]=-1,-1,LOG(1+Table2[[#This Row],[Return]]))</f>
        <v>0.19092342405844648</v>
      </c>
      <c r="D375">
        <v>6.4958904109589044</v>
      </c>
      <c r="E375">
        <v>463.97</v>
      </c>
      <c r="F375">
        <f>IF(Table2[[#This Row],[Geo Distance]]=0,0,LOG(Table2[[#This Row],[Geo Distance]]))</f>
        <v>2.6664899002624973</v>
      </c>
      <c r="G375">
        <v>52</v>
      </c>
      <c r="H375">
        <f>IF(Table2[[#This Row],[Target age]]=0,0,LOG(Table2[[#This Row],[Target age]]))</f>
        <v>1.7160033436347992</v>
      </c>
      <c r="I375" s="45">
        <v>2.81</v>
      </c>
      <c r="J375" s="9">
        <v>193.166666666667</v>
      </c>
      <c r="K375" s="9">
        <f>IF(Table2[[#This Row],[Culture]]=0,0,LOG(Table2[[#This Row],[Culture]]))</f>
        <v>2.285932185579953</v>
      </c>
      <c r="L375" s="24">
        <v>-0.03</v>
      </c>
      <c r="M375" s="9">
        <f>LOG(1+Table2[[#This Row],[S&amp;P]])</f>
        <v>-1.322826573375516E-2</v>
      </c>
      <c r="N375">
        <v>0</v>
      </c>
      <c r="O375">
        <f>IF(Table2[[#This Row],[fund age]]=0,0,LOG(Table2[[#This Row],[fund age]]))</f>
        <v>0</v>
      </c>
      <c r="P375">
        <f t="shared" si="5"/>
        <v>1</v>
      </c>
      <c r="Q375">
        <v>70</v>
      </c>
      <c r="R375">
        <v>70</v>
      </c>
      <c r="S375">
        <v>85</v>
      </c>
      <c r="T375" s="34">
        <v>32.9</v>
      </c>
      <c r="U375" s="42">
        <v>35.433808146393098</v>
      </c>
      <c r="V375">
        <v>2445.7102171591318</v>
      </c>
      <c r="W375">
        <f>LOG(Table2[[#This Row],[generalist]])</f>
        <v>3.3884049978579722</v>
      </c>
      <c r="X375" s="14">
        <v>2</v>
      </c>
      <c r="Y375">
        <v>7210.2229667110805</v>
      </c>
      <c r="Z375">
        <f>LOG(Table2[[#This Row],[country divers.]])</f>
        <v>3.8579486949156889</v>
      </c>
      <c r="AA375">
        <v>2254990000</v>
      </c>
      <c r="AB375">
        <f>LOG(Table2[[#This Row],[Firm Size]])</f>
        <v>9.3531446202918289</v>
      </c>
      <c r="AC375" s="80">
        <v>2.5789312611018023E-2</v>
      </c>
    </row>
    <row r="376" spans="1:29" x14ac:dyDescent="0.35">
      <c r="A376" t="s">
        <v>59</v>
      </c>
      <c r="B376">
        <v>0.19047619047619047</v>
      </c>
      <c r="C376">
        <f>IF(Table2[[#This Row],[Return]]=-1,-1,LOG(1+Table2[[#This Row],[Return]]))</f>
        <v>7.5720713938118342E-2</v>
      </c>
      <c r="D376">
        <v>4.3698630136986303</v>
      </c>
      <c r="E376">
        <v>5897.96</v>
      </c>
      <c r="F376">
        <f>IF(Table2[[#This Row],[Geo Distance]]=0,0,LOG(Table2[[#This Row],[Geo Distance]]))</f>
        <v>3.7707018228379927</v>
      </c>
      <c r="G376">
        <v>16</v>
      </c>
      <c r="H376">
        <f>IF(Table2[[#This Row],[Target age]]=0,0,LOG(Table2[[#This Row],[Target age]]))</f>
        <v>1.2041199826559248</v>
      </c>
      <c r="I376" s="45">
        <v>2.3199999999999998</v>
      </c>
      <c r="J376" s="9">
        <v>132</v>
      </c>
      <c r="K376" s="9">
        <f>IF(Table2[[#This Row],[Culture]]=0,0,LOG(Table2[[#This Row],[Culture]]))</f>
        <v>2.12057393120585</v>
      </c>
      <c r="L376" s="24">
        <v>0.72</v>
      </c>
      <c r="M376" s="9">
        <f>LOG(1+Table2[[#This Row],[S&amp;P]])</f>
        <v>0.2355284469075489</v>
      </c>
      <c r="N376">
        <v>79</v>
      </c>
      <c r="O376">
        <f>IF(Table2[[#This Row],[fund age]]=0,0,LOG(Table2[[#This Row],[fund age]]))</f>
        <v>1.8976270912904414</v>
      </c>
      <c r="P376">
        <f t="shared" si="5"/>
        <v>1</v>
      </c>
      <c r="Q376">
        <v>70</v>
      </c>
      <c r="R376">
        <v>70</v>
      </c>
      <c r="S376">
        <v>94.9</v>
      </c>
      <c r="T376" s="34">
        <v>32.299999999999997</v>
      </c>
      <c r="U376" s="42">
        <v>47.560703662314701</v>
      </c>
      <c r="V376">
        <v>2387.5432525951551</v>
      </c>
      <c r="W376">
        <f>LOG(Table2[[#This Row],[generalist]])</f>
        <v>3.3779512479807074</v>
      </c>
      <c r="X376" s="14">
        <v>3</v>
      </c>
      <c r="Y376">
        <v>5847.7508650519039</v>
      </c>
      <c r="Z376">
        <f>LOG(Table2[[#This Row],[country divers.]])</f>
        <v>3.7669888618571257</v>
      </c>
      <c r="AA376">
        <v>2100000000</v>
      </c>
      <c r="AB376">
        <f>LOG(Table2[[#This Row],[Firm Size]])</f>
        <v>9.3222192947339195</v>
      </c>
      <c r="AC376" s="80">
        <v>0.27645560732373053</v>
      </c>
    </row>
    <row r="377" spans="1:29" x14ac:dyDescent="0.35">
      <c r="A377" t="s">
        <v>59</v>
      </c>
      <c r="B377">
        <v>2.024193548387097</v>
      </c>
      <c r="C377">
        <f>IF(Table2[[#This Row],[Return]]=-1,-1,LOG(1+Table2[[#This Row],[Return]]))</f>
        <v>0.48060958256548381</v>
      </c>
      <c r="D377">
        <v>5.043835616438356</v>
      </c>
      <c r="E377">
        <v>5897.96</v>
      </c>
      <c r="F377">
        <f>IF(Table2[[#This Row],[Geo Distance]]=0,0,LOG(Table2[[#This Row],[Geo Distance]]))</f>
        <v>3.7707018228379927</v>
      </c>
      <c r="G377">
        <v>20</v>
      </c>
      <c r="H377">
        <f>IF(Table2[[#This Row],[Target age]]=0,0,LOG(Table2[[#This Row],[Target age]]))</f>
        <v>1.3010299956639813</v>
      </c>
      <c r="I377" s="45">
        <v>2.3199999999999998</v>
      </c>
      <c r="J377" s="9">
        <v>132</v>
      </c>
      <c r="K377" s="9">
        <f>IF(Table2[[#This Row],[Culture]]=0,0,LOG(Table2[[#This Row],[Culture]]))</f>
        <v>2.12057393120585</v>
      </c>
      <c r="L377" s="24">
        <v>0.66</v>
      </c>
      <c r="M377" s="9">
        <f>LOG(1+Table2[[#This Row],[S&amp;P]])</f>
        <v>0.22010808804005513</v>
      </c>
      <c r="N377">
        <v>18</v>
      </c>
      <c r="O377">
        <f>IF(Table2[[#This Row],[fund age]]=0,0,LOG(Table2[[#This Row],[fund age]]))</f>
        <v>1.255272505103306</v>
      </c>
      <c r="P377">
        <f t="shared" si="5"/>
        <v>1</v>
      </c>
      <c r="Q377">
        <v>70</v>
      </c>
      <c r="R377">
        <v>70</v>
      </c>
      <c r="S377">
        <v>94.1</v>
      </c>
      <c r="T377" s="34">
        <v>32.200000000000003</v>
      </c>
      <c r="U377" s="42">
        <v>43.9397801796012</v>
      </c>
      <c r="V377">
        <v>1490.3353057199211</v>
      </c>
      <c r="W377">
        <f>LOG(Table2[[#This Row],[generalist]])</f>
        <v>3.17328398991646</v>
      </c>
      <c r="X377" s="14">
        <v>2</v>
      </c>
      <c r="Y377">
        <v>6649.5726495726503</v>
      </c>
      <c r="Z377">
        <f>LOG(Table2[[#This Row],[country divers.]])</f>
        <v>3.8227937352435273</v>
      </c>
      <c r="AA377">
        <v>148800000</v>
      </c>
      <c r="AB377">
        <f>LOG(Table2[[#This Row],[Firm Size]])</f>
        <v>8.1726029312098607</v>
      </c>
      <c r="AC377" s="80">
        <v>0.12112422879634432</v>
      </c>
    </row>
    <row r="378" spans="1:29" x14ac:dyDescent="0.35">
      <c r="A378" t="s">
        <v>59</v>
      </c>
      <c r="B378">
        <v>1.4615384615384617</v>
      </c>
      <c r="C378">
        <f>IF(Table2[[#This Row],[Return]]=-1,-1,LOG(1+Table2[[#This Row],[Return]]))</f>
        <v>0.39120662601306921</v>
      </c>
      <c r="D378">
        <v>2.1698630136986301</v>
      </c>
      <c r="E378">
        <v>5897.96</v>
      </c>
      <c r="F378">
        <f>IF(Table2[[#This Row],[Geo Distance]]=0,0,LOG(Table2[[#This Row],[Geo Distance]]))</f>
        <v>3.7707018228379927</v>
      </c>
      <c r="G378">
        <v>12</v>
      </c>
      <c r="H378">
        <f>IF(Table2[[#This Row],[Target age]]=0,0,LOG(Table2[[#This Row],[Target age]]))</f>
        <v>1.0791812460476249</v>
      </c>
      <c r="I378" s="45">
        <v>2.3199999999999998</v>
      </c>
      <c r="J378" s="9">
        <v>132</v>
      </c>
      <c r="K378" s="9">
        <f>IF(Table2[[#This Row],[Culture]]=0,0,LOG(Table2[[#This Row],[Culture]]))</f>
        <v>2.12057393120585</v>
      </c>
      <c r="L378" s="24">
        <v>0.21</v>
      </c>
      <c r="M378" s="9">
        <f>LOG(1+Table2[[#This Row],[S&amp;P]])</f>
        <v>8.2785370316450071E-2</v>
      </c>
      <c r="N378">
        <v>16</v>
      </c>
      <c r="O378">
        <f>IF(Table2[[#This Row],[fund age]]=0,0,LOG(Table2[[#This Row],[fund age]]))</f>
        <v>1.2041199826559248</v>
      </c>
      <c r="P378">
        <f t="shared" si="5"/>
        <v>1</v>
      </c>
      <c r="Q378">
        <v>70</v>
      </c>
      <c r="R378">
        <v>70</v>
      </c>
      <c r="S378">
        <v>94.6</v>
      </c>
      <c r="T378" s="34">
        <v>33.200000000000003</v>
      </c>
      <c r="U378" s="42">
        <v>45.921427555082097</v>
      </c>
      <c r="V378">
        <v>1490.3353057199211</v>
      </c>
      <c r="W378">
        <f>LOG(Table2[[#This Row],[generalist]])</f>
        <v>3.17328398991646</v>
      </c>
      <c r="X378" s="14">
        <v>2</v>
      </c>
      <c r="Y378">
        <v>6649.5726495726503</v>
      </c>
      <c r="Z378">
        <f>LOG(Table2[[#This Row],[country divers.]])</f>
        <v>3.8227937352435273</v>
      </c>
      <c r="AA378">
        <v>65000000</v>
      </c>
      <c r="AB378">
        <f>LOG(Table2[[#This Row],[Firm Size]])</f>
        <v>7.8129133566428557</v>
      </c>
      <c r="AC378" s="80">
        <v>0.10316714726814435</v>
      </c>
    </row>
    <row r="379" spans="1:29" x14ac:dyDescent="0.35">
      <c r="A379" t="s">
        <v>59</v>
      </c>
      <c r="B379">
        <v>0.28000000000000003</v>
      </c>
      <c r="C379">
        <f>IF(Table2[[#This Row],[Return]]=-1,-1,LOG(1+Table2[[#This Row],[Return]]))</f>
        <v>0.10720996964786837</v>
      </c>
      <c r="D379">
        <v>4.9726027397260273</v>
      </c>
      <c r="E379">
        <v>0</v>
      </c>
      <c r="F379">
        <f>IF(Table2[[#This Row],[Geo Distance]]=0,0,LOG(Table2[[#This Row],[Geo Distance]]))</f>
        <v>0</v>
      </c>
      <c r="G379">
        <v>29</v>
      </c>
      <c r="H379">
        <f>IF(Table2[[#This Row],[Target age]]=0,0,LOG(Table2[[#This Row],[Target age]]))</f>
        <v>1.4623979978989561</v>
      </c>
      <c r="I379" s="45">
        <v>3.29</v>
      </c>
      <c r="J379" s="9">
        <v>0</v>
      </c>
      <c r="K379" s="9">
        <f>IF(Table2[[#This Row],[Culture]]=0,0,LOG(Table2[[#This Row],[Culture]]))</f>
        <v>0</v>
      </c>
      <c r="L379" s="24">
        <v>0.69</v>
      </c>
      <c r="M379" s="9">
        <f>LOG(1+Table2[[#This Row],[S&amp;P]])</f>
        <v>0.22788670461367352</v>
      </c>
      <c r="N379">
        <v>25</v>
      </c>
      <c r="O379">
        <f>IF(Table2[[#This Row],[fund age]]=0,0,LOG(Table2[[#This Row],[fund age]]))</f>
        <v>1.3979400086720377</v>
      </c>
      <c r="P379">
        <f t="shared" si="5"/>
        <v>0</v>
      </c>
      <c r="Q379">
        <v>70</v>
      </c>
      <c r="R379">
        <v>70</v>
      </c>
      <c r="S379">
        <v>94.9</v>
      </c>
      <c r="T379" s="34">
        <v>32.299999999999997</v>
      </c>
      <c r="U379" s="42">
        <v>47.560703662314701</v>
      </c>
      <c r="V379">
        <v>2417.5229853975125</v>
      </c>
      <c r="W379">
        <f>LOG(Table2[[#This Row],[generalist]])</f>
        <v>3.3833706119727633</v>
      </c>
      <c r="X379" s="14">
        <v>1</v>
      </c>
      <c r="Y379">
        <v>9545.7003785830148</v>
      </c>
      <c r="Z379">
        <f>LOG(Table2[[#This Row],[country divers.]])</f>
        <v>3.9798077985646683</v>
      </c>
      <c r="AA379">
        <v>200000000</v>
      </c>
      <c r="AB379">
        <f>LOG(Table2[[#This Row],[Firm Size]])</f>
        <v>8.3010299956639813</v>
      </c>
      <c r="AC379" s="80">
        <v>0.12080301114896641</v>
      </c>
    </row>
    <row r="380" spans="1:29" x14ac:dyDescent="0.35">
      <c r="A380" t="s">
        <v>59</v>
      </c>
      <c r="B380">
        <v>1.8148148148148149</v>
      </c>
      <c r="C380">
        <f>IF(Table2[[#This Row],[Return]]=-1,-1,LOG(1+Table2[[#This Row],[Return]]))</f>
        <v>0.44944982812180406</v>
      </c>
      <c r="D380">
        <v>2.3452054794520549</v>
      </c>
      <c r="E380">
        <v>0</v>
      </c>
      <c r="F380">
        <f>IF(Table2[[#This Row],[Geo Distance]]=0,0,LOG(Table2[[#This Row],[Geo Distance]]))</f>
        <v>0</v>
      </c>
      <c r="G380">
        <v>3</v>
      </c>
      <c r="H380">
        <f>IF(Table2[[#This Row],[Target age]]=0,0,LOG(Table2[[#This Row],[Target age]]))</f>
        <v>0.47712125471966244</v>
      </c>
      <c r="I380" s="45">
        <v>3.29</v>
      </c>
      <c r="J380" s="9">
        <v>0</v>
      </c>
      <c r="K380" s="9">
        <f>IF(Table2[[#This Row],[Culture]]=0,0,LOG(Table2[[#This Row],[Culture]]))</f>
        <v>0</v>
      </c>
      <c r="L380" s="24">
        <v>-0.14000000000000001</v>
      </c>
      <c r="M380" s="9">
        <f>LOG(1+Table2[[#This Row],[S&amp;P]])</f>
        <v>-6.5501548756432285E-2</v>
      </c>
      <c r="N380">
        <v>16</v>
      </c>
      <c r="O380">
        <f>IF(Table2[[#This Row],[fund age]]=0,0,LOG(Table2[[#This Row],[fund age]]))</f>
        <v>1.2041199826559248</v>
      </c>
      <c r="P380">
        <f t="shared" si="5"/>
        <v>0</v>
      </c>
      <c r="Q380">
        <v>70</v>
      </c>
      <c r="R380">
        <v>70</v>
      </c>
      <c r="S380">
        <v>85</v>
      </c>
      <c r="T380" s="34">
        <v>32.6</v>
      </c>
      <c r="U380" s="42">
        <v>36.544739309553499</v>
      </c>
      <c r="V380">
        <v>2417.5229853975125</v>
      </c>
      <c r="W380">
        <f>LOG(Table2[[#This Row],[generalist]])</f>
        <v>3.3833706119727633</v>
      </c>
      <c r="X380" s="14">
        <v>1</v>
      </c>
      <c r="Y380">
        <v>9545.7003785830148</v>
      </c>
      <c r="Z380">
        <f>LOG(Table2[[#This Row],[country divers.]])</f>
        <v>3.9798077985646683</v>
      </c>
      <c r="AA380">
        <v>54000000</v>
      </c>
      <c r="AB380">
        <f>LOG(Table2[[#This Row],[Firm Size]])</f>
        <v>7.7323937598229682</v>
      </c>
      <c r="AC380" s="80">
        <v>-0.20005497022446184</v>
      </c>
    </row>
    <row r="381" spans="1:29" x14ac:dyDescent="0.35">
      <c r="A381" t="s">
        <v>59</v>
      </c>
      <c r="B381">
        <v>21.608695652173914</v>
      </c>
      <c r="C381">
        <f>IF(Table2[[#This Row],[Return]]=-1,-1,LOG(1+Table2[[#This Row],[Return]]))</f>
        <v>1.3542755076172064</v>
      </c>
      <c r="D381">
        <v>4.2986301369863016</v>
      </c>
      <c r="E381">
        <v>0</v>
      </c>
      <c r="F381">
        <f>IF(Table2[[#This Row],[Geo Distance]]=0,0,LOG(Table2[[#This Row],[Geo Distance]]))</f>
        <v>0</v>
      </c>
      <c r="G381">
        <v>136</v>
      </c>
      <c r="H381">
        <f>IF(Table2[[#This Row],[Target age]]=0,0,LOG(Table2[[#This Row],[Target age]]))</f>
        <v>2.1335389083702174</v>
      </c>
      <c r="I381" s="45">
        <v>3.29</v>
      </c>
      <c r="J381" s="9">
        <v>0</v>
      </c>
      <c r="K381" s="9">
        <f>IF(Table2[[#This Row],[Culture]]=0,0,LOG(Table2[[#This Row],[Culture]]))</f>
        <v>0</v>
      </c>
      <c r="L381" s="24">
        <v>-0.13</v>
      </c>
      <c r="M381" s="9">
        <f>LOG(1+Table2[[#This Row],[S&amp;P]])</f>
        <v>-6.0480747381381476E-2</v>
      </c>
      <c r="N381">
        <v>15</v>
      </c>
      <c r="O381">
        <f>IF(Table2[[#This Row],[fund age]]=0,0,LOG(Table2[[#This Row],[fund age]]))</f>
        <v>1.1760912590556813</v>
      </c>
      <c r="P381">
        <f t="shared" si="5"/>
        <v>0</v>
      </c>
      <c r="Q381">
        <v>70</v>
      </c>
      <c r="R381">
        <v>70</v>
      </c>
      <c r="S381">
        <v>85</v>
      </c>
      <c r="T381" s="34">
        <v>32.9</v>
      </c>
      <c r="U381" s="42">
        <v>35.433808146393098</v>
      </c>
      <c r="V381">
        <v>2417.5229853975125</v>
      </c>
      <c r="W381">
        <f>LOG(Table2[[#This Row],[generalist]])</f>
        <v>3.3833706119727633</v>
      </c>
      <c r="X381" s="14">
        <v>1</v>
      </c>
      <c r="Y381">
        <v>9545.7003785830148</v>
      </c>
      <c r="Z381">
        <f>LOG(Table2[[#This Row],[country divers.]])</f>
        <v>3.9798077985646683</v>
      </c>
      <c r="AA381">
        <v>23000000</v>
      </c>
      <c r="AB381">
        <f>LOG(Table2[[#This Row],[Firm Size]])</f>
        <v>7.3617278360175931</v>
      </c>
      <c r="AC381" s="80">
        <v>-0.19197799995400222</v>
      </c>
    </row>
    <row r="382" spans="1:29" x14ac:dyDescent="0.35">
      <c r="A382" t="s">
        <v>59</v>
      </c>
      <c r="B382">
        <v>4.24</v>
      </c>
      <c r="C382">
        <f>IF(Table2[[#This Row],[Return]]=-1,-1,LOG(1+Table2[[#This Row],[Return]]))</f>
        <v>0.71933128698372661</v>
      </c>
      <c r="D382">
        <v>4.9424657534246572</v>
      </c>
      <c r="E382">
        <v>0</v>
      </c>
      <c r="F382">
        <f>IF(Table2[[#This Row],[Geo Distance]]=0,0,LOG(Table2[[#This Row],[Geo Distance]]))</f>
        <v>0</v>
      </c>
      <c r="G382">
        <v>0</v>
      </c>
      <c r="H382">
        <f>IF(Table2[[#This Row],[Target age]]=0,0,LOG(Table2[[#This Row],[Target age]]))</f>
        <v>0</v>
      </c>
      <c r="I382" s="45">
        <v>3.29</v>
      </c>
      <c r="J382" s="9">
        <v>0</v>
      </c>
      <c r="K382" s="9">
        <f>IF(Table2[[#This Row],[Culture]]=0,0,LOG(Table2[[#This Row],[Culture]]))</f>
        <v>0</v>
      </c>
      <c r="L382" s="24">
        <v>-0.2</v>
      </c>
      <c r="M382" s="9">
        <f>LOG(1+Table2[[#This Row],[S&amp;P]])</f>
        <v>-9.6910013008056392E-2</v>
      </c>
      <c r="N382">
        <v>15</v>
      </c>
      <c r="O382">
        <f>IF(Table2[[#This Row],[fund age]]=0,0,LOG(Table2[[#This Row],[fund age]]))</f>
        <v>1.1760912590556813</v>
      </c>
      <c r="P382">
        <f t="shared" si="5"/>
        <v>0</v>
      </c>
      <c r="Q382">
        <v>70</v>
      </c>
      <c r="R382">
        <v>70</v>
      </c>
      <c r="S382">
        <v>85</v>
      </c>
      <c r="T382" s="34">
        <v>32.9</v>
      </c>
      <c r="U382" s="42">
        <v>35.433808146393098</v>
      </c>
      <c r="V382">
        <v>2417.5229853975125</v>
      </c>
      <c r="W382">
        <f>LOG(Table2[[#This Row],[generalist]])</f>
        <v>3.3833706119727633</v>
      </c>
      <c r="X382" s="14">
        <v>1</v>
      </c>
      <c r="Y382">
        <v>9545.7003785830148</v>
      </c>
      <c r="Z382">
        <f>LOG(Table2[[#This Row],[country divers.]])</f>
        <v>3.9798077985646683</v>
      </c>
      <c r="AA382">
        <v>50000000</v>
      </c>
      <c r="AB382">
        <f>LOG(Table2[[#This Row],[Firm Size]])</f>
        <v>7.6989700043360187</v>
      </c>
      <c r="AC382" s="80">
        <v>-0.18461567739357143</v>
      </c>
    </row>
    <row r="383" spans="1:29" x14ac:dyDescent="0.35">
      <c r="A383" t="s">
        <v>59</v>
      </c>
      <c r="B383">
        <v>0.13592233009708732</v>
      </c>
      <c r="C383">
        <f>IF(Table2[[#This Row],[Return]]=-1,-1,LOG(1+Table2[[#This Row],[Return]]))</f>
        <v>5.5348637040989412E-2</v>
      </c>
      <c r="D383">
        <v>2.5232876712328767</v>
      </c>
      <c r="E383">
        <v>0</v>
      </c>
      <c r="F383">
        <f>IF(Table2[[#This Row],[Geo Distance]]=0,0,LOG(Table2[[#This Row],[Geo Distance]]))</f>
        <v>0</v>
      </c>
      <c r="G383">
        <v>15</v>
      </c>
      <c r="H383">
        <f>IF(Table2[[#This Row],[Target age]]=0,0,LOG(Table2[[#This Row],[Target age]]))</f>
        <v>1.1760912590556813</v>
      </c>
      <c r="I383" s="45">
        <v>3.29</v>
      </c>
      <c r="J383" s="9">
        <v>0</v>
      </c>
      <c r="K383" s="9">
        <f>IF(Table2[[#This Row],[Culture]]=0,0,LOG(Table2[[#This Row],[Culture]]))</f>
        <v>0</v>
      </c>
      <c r="L383" s="24">
        <v>-0.02</v>
      </c>
      <c r="M383" s="9">
        <f>LOG(1+Table2[[#This Row],[S&amp;P]])</f>
        <v>-8.7739243075051505E-3</v>
      </c>
      <c r="N383">
        <v>13</v>
      </c>
      <c r="O383">
        <f>IF(Table2[[#This Row],[fund age]]=0,0,LOG(Table2[[#This Row],[fund age]]))</f>
        <v>1.1139433523068367</v>
      </c>
      <c r="P383">
        <f t="shared" si="5"/>
        <v>0</v>
      </c>
      <c r="Q383">
        <v>70</v>
      </c>
      <c r="R383">
        <v>70</v>
      </c>
      <c r="S383">
        <v>85</v>
      </c>
      <c r="T383" s="34">
        <v>31.5</v>
      </c>
      <c r="U383" s="42">
        <v>35.516899069648296</v>
      </c>
      <c r="V383">
        <v>2417.5229853975125</v>
      </c>
      <c r="W383">
        <f>LOG(Table2[[#This Row],[generalist]])</f>
        <v>3.3833706119727633</v>
      </c>
      <c r="X383" s="14">
        <v>1</v>
      </c>
      <c r="Y383">
        <v>9545.7003785830148</v>
      </c>
      <c r="Z383">
        <f>LOG(Table2[[#This Row],[country divers.]])</f>
        <v>3.9798077985646683</v>
      </c>
      <c r="AA383">
        <v>20600000</v>
      </c>
      <c r="AB383">
        <f>LOG(Table2[[#This Row],[Firm Size]])</f>
        <v>7.3138672203691533</v>
      </c>
      <c r="AC383" s="80">
        <v>-2.7031121499372368E-2</v>
      </c>
    </row>
    <row r="384" spans="1:29" x14ac:dyDescent="0.35">
      <c r="A384" t="s">
        <v>59</v>
      </c>
      <c r="B384">
        <v>3.4444444444444446</v>
      </c>
      <c r="C384">
        <f>IF(Table2[[#This Row],[Return]]=-1,-1,LOG(1+Table2[[#This Row],[Return]]))</f>
        <v>0.64781748188863753</v>
      </c>
      <c r="D384">
        <v>5.1068493150684935</v>
      </c>
      <c r="E384">
        <v>0</v>
      </c>
      <c r="F384">
        <f>IF(Table2[[#This Row],[Geo Distance]]=0,0,LOG(Table2[[#This Row],[Geo Distance]]))</f>
        <v>0</v>
      </c>
      <c r="G384">
        <v>0</v>
      </c>
      <c r="H384">
        <f>IF(Table2[[#This Row],[Target age]]=0,0,LOG(Table2[[#This Row],[Target age]]))</f>
        <v>0</v>
      </c>
      <c r="I384" s="45">
        <v>3.29</v>
      </c>
      <c r="J384" s="9">
        <v>0</v>
      </c>
      <c r="K384" s="9">
        <f>IF(Table2[[#This Row],[Culture]]=0,0,LOG(Table2[[#This Row],[Culture]]))</f>
        <v>0</v>
      </c>
      <c r="L384" s="24">
        <v>-0.15</v>
      </c>
      <c r="M384" s="9">
        <f>LOG(1+Table2[[#This Row],[S&amp;P]])</f>
        <v>-7.0581074285707285E-2</v>
      </c>
      <c r="N384">
        <v>12</v>
      </c>
      <c r="O384">
        <f>IF(Table2[[#This Row],[fund age]]=0,0,LOG(Table2[[#This Row],[fund age]]))</f>
        <v>1.0791812460476249</v>
      </c>
      <c r="P384">
        <f t="shared" si="5"/>
        <v>0</v>
      </c>
      <c r="Q384">
        <v>70</v>
      </c>
      <c r="R384">
        <v>70</v>
      </c>
      <c r="S384">
        <v>85</v>
      </c>
      <c r="T384" s="34">
        <v>30</v>
      </c>
      <c r="U384" s="42">
        <v>35.807885111275297</v>
      </c>
      <c r="V384">
        <v>2417.5229853975125</v>
      </c>
      <c r="W384">
        <f>LOG(Table2[[#This Row],[generalist]])</f>
        <v>3.3833706119727633</v>
      </c>
      <c r="X384" s="14">
        <v>1</v>
      </c>
      <c r="Y384">
        <v>9545.7003785830148</v>
      </c>
      <c r="Z384">
        <f>LOG(Table2[[#This Row],[country divers.]])</f>
        <v>3.9798077985646683</v>
      </c>
      <c r="AA384">
        <v>279000000</v>
      </c>
      <c r="AB384">
        <f>LOG(Table2[[#This Row],[Firm Size]])</f>
        <v>8.4456042032735983</v>
      </c>
      <c r="AC384" s="80">
        <v>-0.2806742628539961</v>
      </c>
    </row>
    <row r="385" spans="1:29" x14ac:dyDescent="0.35">
      <c r="A385" t="s">
        <v>59</v>
      </c>
      <c r="B385">
        <v>0.16959064327485374</v>
      </c>
      <c r="C385">
        <f>IF(Table2[[#This Row],[Return]]=-1,-1,LOG(1+Table2[[#This Row],[Return]]))</f>
        <v>6.8033885271827341E-2</v>
      </c>
      <c r="D385">
        <v>3.8684931506849316</v>
      </c>
      <c r="E385">
        <v>0</v>
      </c>
      <c r="F385">
        <f>IF(Table2[[#This Row],[Geo Distance]]=0,0,LOG(Table2[[#This Row],[Geo Distance]]))</f>
        <v>0</v>
      </c>
      <c r="G385">
        <v>0</v>
      </c>
      <c r="H385">
        <f>IF(Table2[[#This Row],[Target age]]=0,0,LOG(Table2[[#This Row],[Target age]]))</f>
        <v>0</v>
      </c>
      <c r="I385" s="45">
        <v>3.29</v>
      </c>
      <c r="J385" s="9">
        <v>0</v>
      </c>
      <c r="K385" s="9">
        <f>IF(Table2[[#This Row],[Culture]]=0,0,LOG(Table2[[#This Row],[Culture]]))</f>
        <v>0</v>
      </c>
      <c r="L385" s="24">
        <v>0.84</v>
      </c>
      <c r="M385" s="9">
        <f>LOG(1+Table2[[#This Row],[S&amp;P]])</f>
        <v>0.26481782300953643</v>
      </c>
      <c r="N385">
        <v>11</v>
      </c>
      <c r="O385">
        <f>IF(Table2[[#This Row],[fund age]]=0,0,LOG(Table2[[#This Row],[fund age]]))</f>
        <v>1.0413926851582251</v>
      </c>
      <c r="P385">
        <f t="shared" si="5"/>
        <v>0</v>
      </c>
      <c r="Q385">
        <v>70</v>
      </c>
      <c r="R385">
        <v>90</v>
      </c>
      <c r="S385">
        <v>85</v>
      </c>
      <c r="T385" s="34">
        <v>29.3</v>
      </c>
      <c r="U385" s="42">
        <v>36.913126831903199</v>
      </c>
      <c r="V385">
        <v>2417.5229853975125</v>
      </c>
      <c r="W385">
        <f>LOG(Table2[[#This Row],[generalist]])</f>
        <v>3.3833706119727633</v>
      </c>
      <c r="X385" s="14">
        <v>1</v>
      </c>
      <c r="Y385">
        <v>9545.7003785830148</v>
      </c>
      <c r="Z385">
        <f>LOG(Table2[[#This Row],[country divers.]])</f>
        <v>3.9798077985646683</v>
      </c>
      <c r="AA385">
        <v>171000000</v>
      </c>
      <c r="AB385">
        <f>LOG(Table2[[#This Row],[Firm Size]])</f>
        <v>8.2329961103921541</v>
      </c>
      <c r="AC385" s="80" t="e">
        <v>#N/A</v>
      </c>
    </row>
    <row r="386" spans="1:29" x14ac:dyDescent="0.35">
      <c r="A386" t="s">
        <v>59</v>
      </c>
      <c r="B386">
        <v>10.521739130434783</v>
      </c>
      <c r="C386">
        <f>IF(Table2[[#This Row],[Return]]=-1,-1,LOG(1+Table2[[#This Row],[Return]]))</f>
        <v>1.0615180379192151</v>
      </c>
      <c r="D386">
        <v>3.8767123287671232</v>
      </c>
      <c r="E386">
        <v>0</v>
      </c>
      <c r="F386">
        <f>IF(Table2[[#This Row],[Geo Distance]]=0,0,LOG(Table2[[#This Row],[Geo Distance]]))</f>
        <v>0</v>
      </c>
      <c r="G386">
        <v>10</v>
      </c>
      <c r="H386">
        <f>IF(Table2[[#This Row],[Target age]]=0,0,LOG(Table2[[#This Row],[Target age]]))</f>
        <v>1</v>
      </c>
      <c r="I386" s="45">
        <v>3.29</v>
      </c>
      <c r="J386" s="9">
        <v>0</v>
      </c>
      <c r="K386" s="9">
        <f>IF(Table2[[#This Row],[Culture]]=0,0,LOG(Table2[[#This Row],[Culture]]))</f>
        <v>0</v>
      </c>
      <c r="L386" s="24">
        <v>0.47</v>
      </c>
      <c r="M386" s="9">
        <f>LOG(1+Table2[[#This Row],[S&amp;P]])</f>
        <v>0.16731733474817609</v>
      </c>
      <c r="N386">
        <v>14</v>
      </c>
      <c r="O386">
        <f>IF(Table2[[#This Row],[fund age]]=0,0,LOG(Table2[[#This Row],[fund age]]))</f>
        <v>1.146128035678238</v>
      </c>
      <c r="P386">
        <f t="shared" ref="P386:P449" si="6">IF(E386=0,0,1)</f>
        <v>0</v>
      </c>
      <c r="Q386">
        <v>70</v>
      </c>
      <c r="R386">
        <v>70</v>
      </c>
      <c r="S386">
        <v>85</v>
      </c>
      <c r="T386" s="34">
        <v>31.5</v>
      </c>
      <c r="U386" s="42">
        <v>37.589394702761602</v>
      </c>
      <c r="V386">
        <v>1954.7325102880657</v>
      </c>
      <c r="W386">
        <f>LOG(Table2[[#This Row],[generalist]])</f>
        <v>3.2910873360265542</v>
      </c>
      <c r="X386" s="14">
        <v>1</v>
      </c>
      <c r="Y386">
        <v>6872.4279835390944</v>
      </c>
      <c r="Z386">
        <f>LOG(Table2[[#This Row],[country divers.]])</f>
        <v>3.8371101975492712</v>
      </c>
      <c r="AA386">
        <v>23000000</v>
      </c>
      <c r="AB386">
        <f>LOG(Table2[[#This Row],[Firm Size]])</f>
        <v>7.3617278360175931</v>
      </c>
      <c r="AC386" s="80">
        <v>0.54367309586097812</v>
      </c>
    </row>
    <row r="387" spans="1:29" x14ac:dyDescent="0.35">
      <c r="A387" s="35" t="s">
        <v>59</v>
      </c>
      <c r="B387">
        <v>-1</v>
      </c>
      <c r="C387">
        <f>IF(Table2[[#This Row],[Return]]=-1,-1,LOG(1+Table2[[#This Row],[Return]]))</f>
        <v>-1</v>
      </c>
      <c r="D387">
        <v>3.2</v>
      </c>
      <c r="E387" s="35">
        <v>0</v>
      </c>
      <c r="F387">
        <f>IF(Table2[[#This Row],[Geo Distance]]=0,0,LOG(Table2[[#This Row],[Geo Distance]]))</f>
        <v>0</v>
      </c>
      <c r="G387" s="35">
        <v>10</v>
      </c>
      <c r="H387" s="35">
        <f>IF(Table2[[#This Row],[Target age]]=0,0,LOG(Table2[[#This Row],[Target age]]))</f>
        <v>1</v>
      </c>
      <c r="I387" s="45">
        <v>3.29</v>
      </c>
      <c r="J387" s="37">
        <v>0</v>
      </c>
      <c r="K387" s="9">
        <f>IF(Table2[[#This Row],[Culture]]=0,0,LOG(Table2[[#This Row],[Culture]]))</f>
        <v>0</v>
      </c>
      <c r="L387" s="39">
        <v>0.46</v>
      </c>
      <c r="M387" s="37">
        <f>LOG(1+Table2[[#This Row],[S&amp;P]])</f>
        <v>0.16435285578443709</v>
      </c>
      <c r="N387" s="35">
        <v>24</v>
      </c>
      <c r="O387" s="35">
        <f>IF(Table2[[#This Row],[fund age]]=0,0,LOG(Table2[[#This Row],[fund age]]))</f>
        <v>1.3802112417116059</v>
      </c>
      <c r="P387">
        <f t="shared" si="6"/>
        <v>0</v>
      </c>
      <c r="Q387" s="35">
        <v>70</v>
      </c>
      <c r="R387" s="35">
        <v>70</v>
      </c>
      <c r="S387" s="35">
        <v>94.7</v>
      </c>
      <c r="T387" s="48">
        <v>32.4</v>
      </c>
      <c r="U387" s="43">
        <v>45.737088331856903</v>
      </c>
      <c r="V387" s="35">
        <v>3425.6694367497698</v>
      </c>
      <c r="W387" s="35">
        <f>LOG(Table2[[#This Row],[generalist]])</f>
        <v>3.5347454529897258</v>
      </c>
      <c r="X387" s="14">
        <v>2</v>
      </c>
      <c r="Y387" s="35">
        <v>9322.8685749461365</v>
      </c>
      <c r="Z387" s="35">
        <f>LOG(Table2[[#This Row],[country divers.]])</f>
        <v>3.9695495619878729</v>
      </c>
      <c r="AA387" s="35">
        <v>50000000</v>
      </c>
      <c r="AB387" s="35">
        <f>LOG(Table2[[#This Row],[Firm Size]])</f>
        <v>7.6989700043360187</v>
      </c>
      <c r="AC387" s="82">
        <v>0.13751526310879925</v>
      </c>
    </row>
    <row r="388" spans="1:29" x14ac:dyDescent="0.35">
      <c r="A388" s="35" t="s">
        <v>59</v>
      </c>
      <c r="B388">
        <v>1.6</v>
      </c>
      <c r="C388">
        <f>IF(Table2[[#This Row],[Return]]=-1,-1,LOG(1+Table2[[#This Row],[Return]]))</f>
        <v>0.41497334797081797</v>
      </c>
      <c r="D388">
        <v>7.6</v>
      </c>
      <c r="E388" s="35">
        <v>0</v>
      </c>
      <c r="F388">
        <f>IF(Table2[[#This Row],[Geo Distance]]=0,0,LOG(Table2[[#This Row],[Geo Distance]]))</f>
        <v>0</v>
      </c>
      <c r="G388" s="35">
        <v>15</v>
      </c>
      <c r="H388" s="35">
        <f>IF(Table2[[#This Row],[Target age]]=0,0,LOG(Table2[[#This Row],[Target age]]))</f>
        <v>1.1760912590556813</v>
      </c>
      <c r="I388" s="45">
        <v>3.29</v>
      </c>
      <c r="J388" s="37">
        <v>0</v>
      </c>
      <c r="K388" s="9">
        <f>IF(Table2[[#This Row],[Culture]]=0,0,LOG(Table2[[#This Row],[Culture]]))</f>
        <v>0</v>
      </c>
      <c r="L388" s="39">
        <v>1.04</v>
      </c>
      <c r="M388" s="37">
        <f>LOG(1+Table2[[#This Row],[S&amp;P]])</f>
        <v>0.30963016742589877</v>
      </c>
      <c r="N388" s="35">
        <v>23</v>
      </c>
      <c r="O388" s="35">
        <f>IF(Table2[[#This Row],[fund age]]=0,0,LOG(Table2[[#This Row],[fund age]]))</f>
        <v>1.3617278360175928</v>
      </c>
      <c r="P388">
        <f t="shared" si="6"/>
        <v>0</v>
      </c>
      <c r="Q388" s="35">
        <v>70</v>
      </c>
      <c r="R388" s="35">
        <v>70</v>
      </c>
      <c r="S388" s="35">
        <v>94.6</v>
      </c>
      <c r="T388" s="48">
        <v>33.200000000000003</v>
      </c>
      <c r="U388" s="43">
        <v>45.921427555082097</v>
      </c>
      <c r="V388" s="35">
        <v>3425.6694367497698</v>
      </c>
      <c r="W388" s="35">
        <f>LOG(Table2[[#This Row],[generalist]])</f>
        <v>3.5347454529897258</v>
      </c>
      <c r="X388" s="14">
        <v>2</v>
      </c>
      <c r="Y388" s="35">
        <v>9322.8685749461365</v>
      </c>
      <c r="Z388" s="35">
        <f>LOG(Table2[[#This Row],[country divers.]])</f>
        <v>3.9695495619878729</v>
      </c>
      <c r="AA388" s="35">
        <v>215000000</v>
      </c>
      <c r="AB388" s="35">
        <f>LOG(Table2[[#This Row],[Firm Size]])</f>
        <v>8.3324384599156058</v>
      </c>
      <c r="AC388" s="82">
        <v>0.24591435725659005</v>
      </c>
    </row>
    <row r="389" spans="1:29" x14ac:dyDescent="0.35">
      <c r="A389" s="35" t="s">
        <v>59</v>
      </c>
      <c r="B389">
        <v>0.42500000000000004</v>
      </c>
      <c r="C389">
        <f>IF(Table2[[#This Row],[Return]]=-1,-1,LOG(1+Table2[[#This Row],[Return]]))</f>
        <v>0.15381486434452901</v>
      </c>
      <c r="D389">
        <v>3.0876712328767124</v>
      </c>
      <c r="E389" s="35">
        <v>0</v>
      </c>
      <c r="F389">
        <f>IF(Table2[[#This Row],[Geo Distance]]=0,0,LOG(Table2[[#This Row],[Geo Distance]]))</f>
        <v>0</v>
      </c>
      <c r="G389" s="35">
        <v>6</v>
      </c>
      <c r="H389" s="35">
        <f>IF(Table2[[#This Row],[Target age]]=0,0,LOG(Table2[[#This Row],[Target age]]))</f>
        <v>0.77815125038364363</v>
      </c>
      <c r="I389" s="45">
        <v>3.29</v>
      </c>
      <c r="J389" s="37">
        <v>0</v>
      </c>
      <c r="K389" s="9">
        <f>IF(Table2[[#This Row],[Culture]]=0,0,LOG(Table2[[#This Row],[Culture]]))</f>
        <v>0</v>
      </c>
      <c r="L389" s="39">
        <v>0.41</v>
      </c>
      <c r="M389" s="37">
        <f>LOG(1+Table2[[#This Row],[S&amp;P]])</f>
        <v>0.14921911265537988</v>
      </c>
      <c r="N389" s="35">
        <v>23</v>
      </c>
      <c r="O389" s="35">
        <f>IF(Table2[[#This Row],[fund age]]=0,0,LOG(Table2[[#This Row],[fund age]]))</f>
        <v>1.3617278360175928</v>
      </c>
      <c r="P389">
        <f t="shared" si="6"/>
        <v>0</v>
      </c>
      <c r="Q389" s="35">
        <v>70</v>
      </c>
      <c r="R389" s="35">
        <v>70</v>
      </c>
      <c r="S389" s="35">
        <v>94.6</v>
      </c>
      <c r="T389" s="48">
        <v>33.200000000000003</v>
      </c>
      <c r="U389" s="43">
        <v>45.921427555082097</v>
      </c>
      <c r="V389" s="35">
        <v>3425.6694367497698</v>
      </c>
      <c r="W389" s="35">
        <f>LOG(Table2[[#This Row],[generalist]])</f>
        <v>3.5347454529897258</v>
      </c>
      <c r="X389" s="14">
        <v>2</v>
      </c>
      <c r="Y389" s="35">
        <v>9322.8685749461365</v>
      </c>
      <c r="Z389" s="35">
        <f>LOG(Table2[[#This Row],[country divers.]])</f>
        <v>3.9695495619878729</v>
      </c>
      <c r="AA389" s="35">
        <v>10000000</v>
      </c>
      <c r="AB389" s="35">
        <f>LOG(Table2[[#This Row],[Firm Size]])</f>
        <v>7</v>
      </c>
      <c r="AC389" s="82">
        <v>0.1444390400378579</v>
      </c>
    </row>
    <row r="390" spans="1:29" x14ac:dyDescent="0.35">
      <c r="A390" s="35" t="s">
        <v>59</v>
      </c>
      <c r="B390">
        <v>-0.63268475956593839</v>
      </c>
      <c r="C390">
        <f>IF(Table2[[#This Row],[Return]]=-1,-1,LOG(1+Table2[[#This Row],[Return]]))</f>
        <v>-0.43496105178239375</v>
      </c>
      <c r="D390">
        <v>5.6904109589041099</v>
      </c>
      <c r="E390" s="35">
        <v>0</v>
      </c>
      <c r="F390">
        <f>IF(Table2[[#This Row],[Geo Distance]]=0,0,LOG(Table2[[#This Row],[Geo Distance]]))</f>
        <v>0</v>
      </c>
      <c r="G390" s="35">
        <v>21</v>
      </c>
      <c r="H390" s="35">
        <f>IF(Table2[[#This Row],[Target age]]=0,0,LOG(Table2[[#This Row],[Target age]]))</f>
        <v>1.3222192947339193</v>
      </c>
      <c r="I390" s="45">
        <v>3.29</v>
      </c>
      <c r="J390" s="37">
        <v>0</v>
      </c>
      <c r="K390" s="9">
        <f>IF(Table2[[#This Row],[Culture]]=0,0,LOG(Table2[[#This Row],[Culture]]))</f>
        <v>0</v>
      </c>
      <c r="L390" s="39">
        <v>0.62</v>
      </c>
      <c r="M390" s="37">
        <f>LOG(1+Table2[[#This Row],[S&amp;P]])</f>
        <v>0.20951501454263097</v>
      </c>
      <c r="N390" s="35">
        <v>22</v>
      </c>
      <c r="O390" s="35">
        <f>IF(Table2[[#This Row],[fund age]]=0,0,LOG(Table2[[#This Row],[fund age]]))</f>
        <v>1.3424226808222062</v>
      </c>
      <c r="P390">
        <f t="shared" si="6"/>
        <v>0</v>
      </c>
      <c r="Q390" s="35">
        <v>70</v>
      </c>
      <c r="R390" s="35">
        <v>70</v>
      </c>
      <c r="S390" s="35">
        <v>94.9</v>
      </c>
      <c r="T390" s="48">
        <v>32.299999999999997</v>
      </c>
      <c r="U390" s="43">
        <v>47.560703662314701</v>
      </c>
      <c r="V390" s="35">
        <v>3425.6694367497698</v>
      </c>
      <c r="W390" s="35">
        <f>LOG(Table2[[#This Row],[generalist]])</f>
        <v>3.5347454529897258</v>
      </c>
      <c r="X390" s="14">
        <v>2</v>
      </c>
      <c r="Y390" s="35">
        <v>9322.8685749461365</v>
      </c>
      <c r="Z390" s="35">
        <f>LOG(Table2[[#This Row],[country divers.]])</f>
        <v>3.9695495619878729</v>
      </c>
      <c r="AA390" s="35">
        <v>95286000</v>
      </c>
      <c r="AB390" s="35">
        <f>LOG(Table2[[#This Row],[Firm Size]])</f>
        <v>7.9790290961326695</v>
      </c>
      <c r="AC390" s="82">
        <v>0.16266890087362396</v>
      </c>
    </row>
    <row r="391" spans="1:29" x14ac:dyDescent="0.35">
      <c r="A391" t="s">
        <v>59</v>
      </c>
      <c r="B391">
        <v>0.78702040816326524</v>
      </c>
      <c r="C391">
        <f>IF(Table2[[#This Row],[Return]]=-1,-1,LOG(1+Table2[[#This Row],[Return]]))</f>
        <v>0.2521295122717786</v>
      </c>
      <c r="D391">
        <v>5.5178082191780824</v>
      </c>
      <c r="E391">
        <v>0</v>
      </c>
      <c r="F391">
        <f>IF(Table2[[#This Row],[Geo Distance]]=0,0,LOG(Table2[[#This Row],[Geo Distance]]))</f>
        <v>0</v>
      </c>
      <c r="G391">
        <v>11</v>
      </c>
      <c r="H391">
        <f>IF(Table2[[#This Row],[Target age]]=0,0,LOG(Table2[[#This Row],[Target age]]))</f>
        <v>1.0413926851582251</v>
      </c>
      <c r="I391" s="45">
        <v>3.29</v>
      </c>
      <c r="J391" s="9">
        <v>0</v>
      </c>
      <c r="K391" s="9">
        <f>IF(Table2[[#This Row],[Culture]]=0,0,LOG(Table2[[#This Row],[Culture]]))</f>
        <v>0</v>
      </c>
      <c r="L391" s="24">
        <v>0.03</v>
      </c>
      <c r="M391" s="9">
        <f>LOG(1+Table2[[#This Row],[S&amp;P]])</f>
        <v>1.2837224705172217E-2</v>
      </c>
      <c r="N391">
        <v>19</v>
      </c>
      <c r="O391">
        <f>IF(Table2[[#This Row],[fund age]]=0,0,LOG(Table2[[#This Row],[fund age]]))</f>
        <v>1.2787536009528289</v>
      </c>
      <c r="P391">
        <f t="shared" si="6"/>
        <v>0</v>
      </c>
      <c r="Q391">
        <v>70</v>
      </c>
      <c r="R391">
        <v>70</v>
      </c>
      <c r="S391">
        <v>91.2</v>
      </c>
      <c r="T391" s="34">
        <v>33</v>
      </c>
      <c r="U391" s="42">
        <v>40.902544500539101</v>
      </c>
      <c r="V391" s="35">
        <v>3425.6694367497698</v>
      </c>
      <c r="W391" s="35">
        <f>LOG(Table2[[#This Row],[generalist]])</f>
        <v>3.5347454529897258</v>
      </c>
      <c r="X391" s="14">
        <v>2</v>
      </c>
      <c r="Y391" s="35">
        <v>9322.8685749461365</v>
      </c>
      <c r="Z391" s="35">
        <f>LOG(Table2[[#This Row],[country divers.]])</f>
        <v>3.9695495619878729</v>
      </c>
      <c r="AA391">
        <v>122500000</v>
      </c>
      <c r="AB391">
        <f>LOG(Table2[[#This Row],[Firm Size]])</f>
        <v>8.0881360887005513</v>
      </c>
      <c r="AC391" s="80">
        <v>3.3244848187053311E-2</v>
      </c>
    </row>
    <row r="392" spans="1:29" x14ac:dyDescent="0.35">
      <c r="A392" t="s">
        <v>59</v>
      </c>
      <c r="B392">
        <v>0.75</v>
      </c>
      <c r="C392">
        <f>IF(Table2[[#This Row],[Return]]=-1,-1,LOG(1+Table2[[#This Row],[Return]]))</f>
        <v>0.24303804868629444</v>
      </c>
      <c r="D392">
        <v>2.5397260273972604</v>
      </c>
      <c r="E392">
        <v>0</v>
      </c>
      <c r="F392">
        <f>IF(Table2[[#This Row],[Geo Distance]]=0,0,LOG(Table2[[#This Row],[Geo Distance]]))</f>
        <v>0</v>
      </c>
      <c r="G392">
        <v>72</v>
      </c>
      <c r="H392">
        <f>IF(Table2[[#This Row],[Target age]]=0,0,LOG(Table2[[#This Row],[Target age]]))</f>
        <v>1.8573324964312685</v>
      </c>
      <c r="I392" s="45">
        <v>3.29</v>
      </c>
      <c r="J392" s="9">
        <v>0</v>
      </c>
      <c r="K392" s="9">
        <f>IF(Table2[[#This Row],[Culture]]=0,0,LOG(Table2[[#This Row],[Culture]]))</f>
        <v>0</v>
      </c>
      <c r="L392" s="24">
        <v>-0.24</v>
      </c>
      <c r="M392" s="9">
        <f>LOG(1+Table2[[#This Row],[S&amp;P]])</f>
        <v>-0.11918640771920865</v>
      </c>
      <c r="N392">
        <v>19</v>
      </c>
      <c r="O392">
        <f>IF(Table2[[#This Row],[fund age]]=0,0,LOG(Table2[[#This Row],[fund age]]))</f>
        <v>1.2787536009528289</v>
      </c>
      <c r="P392">
        <f t="shared" si="6"/>
        <v>0</v>
      </c>
      <c r="Q392">
        <v>70</v>
      </c>
      <c r="R392">
        <v>70</v>
      </c>
      <c r="S392">
        <v>91.2</v>
      </c>
      <c r="T392" s="34">
        <v>33</v>
      </c>
      <c r="U392" s="42">
        <v>40.902544500539101</v>
      </c>
      <c r="V392" s="35">
        <v>3425.6694367497698</v>
      </c>
      <c r="W392" s="35">
        <f>LOG(Table2[[#This Row],[generalist]])</f>
        <v>3.5347454529897258</v>
      </c>
      <c r="X392" s="14">
        <v>2</v>
      </c>
      <c r="Y392" s="35">
        <v>9322.8685749461365</v>
      </c>
      <c r="Z392" s="35">
        <f>LOG(Table2[[#This Row],[country divers.]])</f>
        <v>3.9695495619878729</v>
      </c>
      <c r="AA392">
        <v>200000000</v>
      </c>
      <c r="AB392">
        <f>LOG(Table2[[#This Row],[Firm Size]])</f>
        <v>8.3010299956639813</v>
      </c>
      <c r="AC392" s="80">
        <v>-0.17759241196057984</v>
      </c>
    </row>
    <row r="393" spans="1:29" x14ac:dyDescent="0.35">
      <c r="A393" t="s">
        <v>59</v>
      </c>
      <c r="B393">
        <v>0.532258064516129</v>
      </c>
      <c r="C393">
        <f>IF(Table2[[#This Row],[Return]]=-1,-1,LOG(1+Table2[[#This Row],[Return]]))</f>
        <v>0.18533191579059388</v>
      </c>
      <c r="D393">
        <v>4.8054794520547945</v>
      </c>
      <c r="E393">
        <v>0</v>
      </c>
      <c r="F393">
        <f>IF(Table2[[#This Row],[Geo Distance]]=0,0,LOG(Table2[[#This Row],[Geo Distance]]))</f>
        <v>0</v>
      </c>
      <c r="G393">
        <v>0</v>
      </c>
      <c r="H393">
        <f>IF(Table2[[#This Row],[Target age]]=0,0,LOG(Table2[[#This Row],[Target age]]))</f>
        <v>0</v>
      </c>
      <c r="I393" s="45">
        <v>3.29</v>
      </c>
      <c r="J393" s="9">
        <v>0</v>
      </c>
      <c r="K393" s="9">
        <f>IF(Table2[[#This Row],[Culture]]=0,0,LOG(Table2[[#This Row],[Culture]]))</f>
        <v>0</v>
      </c>
      <c r="L393" s="24">
        <v>-0.09</v>
      </c>
      <c r="M393" s="9">
        <f>LOG(1+Table2[[#This Row],[S&amp;P]])</f>
        <v>-4.0958607678906384E-2</v>
      </c>
      <c r="N393">
        <v>17</v>
      </c>
      <c r="O393">
        <f>IF(Table2[[#This Row],[fund age]]=0,0,LOG(Table2[[#This Row],[fund age]]))</f>
        <v>1.2304489213782739</v>
      </c>
      <c r="P393">
        <f t="shared" si="6"/>
        <v>0</v>
      </c>
      <c r="Q393">
        <v>70</v>
      </c>
      <c r="R393">
        <v>70</v>
      </c>
      <c r="S393">
        <v>85</v>
      </c>
      <c r="T393" s="34">
        <v>32.700000000000003</v>
      </c>
      <c r="U393" s="42">
        <v>41.286751495766303</v>
      </c>
      <c r="V393" s="35">
        <v>3425.6694367497698</v>
      </c>
      <c r="W393" s="35">
        <f>LOG(Table2[[#This Row],[generalist]])</f>
        <v>3.5347454529897258</v>
      </c>
      <c r="X393" s="14">
        <v>2</v>
      </c>
      <c r="Y393" s="35">
        <v>9322.8685749461365</v>
      </c>
      <c r="Z393" s="35">
        <f>LOG(Table2[[#This Row],[country divers.]])</f>
        <v>3.9695495619878729</v>
      </c>
      <c r="AA393">
        <v>124000000</v>
      </c>
      <c r="AB393">
        <f>LOG(Table2[[#This Row],[Firm Size]])</f>
        <v>8.0934216851622356</v>
      </c>
      <c r="AC393" s="80">
        <v>7.2907621137723533E-2</v>
      </c>
    </row>
    <row r="394" spans="1:29" x14ac:dyDescent="0.35">
      <c r="A394" t="s">
        <v>59</v>
      </c>
      <c r="B394">
        <v>0.33333333333333326</v>
      </c>
      <c r="C394">
        <f>IF(Table2[[#This Row],[Return]]=-1,-1,LOG(1+Table2[[#This Row],[Return]]))</f>
        <v>0.12493873660829993</v>
      </c>
      <c r="D394">
        <v>5.2136986301369861</v>
      </c>
      <c r="E394">
        <v>0</v>
      </c>
      <c r="F394">
        <f>IF(Table2[[#This Row],[Geo Distance]]=0,0,LOG(Table2[[#This Row],[Geo Distance]]))</f>
        <v>0</v>
      </c>
      <c r="G394">
        <v>1</v>
      </c>
      <c r="H394">
        <f>IF(Table2[[#This Row],[Target age]]=0,0,LOG(Table2[[#This Row],[Target age]]))</f>
        <v>0</v>
      </c>
      <c r="I394" s="45">
        <v>3.29</v>
      </c>
      <c r="J394" s="9">
        <v>0</v>
      </c>
      <c r="K394" s="9">
        <f>IF(Table2[[#This Row],[Culture]]=0,0,LOG(Table2[[#This Row],[Culture]]))</f>
        <v>0</v>
      </c>
      <c r="L394" s="24">
        <v>-0.05</v>
      </c>
      <c r="M394" s="9">
        <f>LOG(1+Table2[[#This Row],[S&amp;P]])</f>
        <v>-2.2276394711152253E-2</v>
      </c>
      <c r="N394">
        <v>16</v>
      </c>
      <c r="O394">
        <f>IF(Table2[[#This Row],[fund age]]=0,0,LOG(Table2[[#This Row],[fund age]]))</f>
        <v>1.2041199826559248</v>
      </c>
      <c r="P394">
        <f t="shared" si="6"/>
        <v>0</v>
      </c>
      <c r="Q394">
        <v>70</v>
      </c>
      <c r="R394">
        <v>70</v>
      </c>
      <c r="S394">
        <v>85</v>
      </c>
      <c r="T394" s="34">
        <v>32.299999999999997</v>
      </c>
      <c r="U394" s="42">
        <v>40.040400531970803</v>
      </c>
      <c r="V394" s="35">
        <v>3425.6694367497698</v>
      </c>
      <c r="W394" s="35">
        <f>LOG(Table2[[#This Row],[generalist]])</f>
        <v>3.5347454529897258</v>
      </c>
      <c r="X394" s="14">
        <v>2</v>
      </c>
      <c r="Y394" s="35">
        <v>9322.8685749461365</v>
      </c>
      <c r="Z394" s="35">
        <f>LOG(Table2[[#This Row],[country divers.]])</f>
        <v>3.9695495619878729</v>
      </c>
      <c r="AA394">
        <v>75000000</v>
      </c>
      <c r="AB394">
        <f>LOG(Table2[[#This Row],[Firm Size]])</f>
        <v>7.8750612633917001</v>
      </c>
      <c r="AC394" s="80">
        <v>0.19974004701970838</v>
      </c>
    </row>
    <row r="395" spans="1:29" x14ac:dyDescent="0.35">
      <c r="A395" t="s">
        <v>59</v>
      </c>
      <c r="B395">
        <v>2.5985688888888889</v>
      </c>
      <c r="C395">
        <f>IF(Table2[[#This Row],[Return]]=-1,-1,LOG(1+Table2[[#This Row],[Return]]))</f>
        <v>0.5561298209815333</v>
      </c>
      <c r="D395">
        <v>6.0739726027397261</v>
      </c>
      <c r="E395">
        <v>0</v>
      </c>
      <c r="F395">
        <f>IF(Table2[[#This Row],[Geo Distance]]=0,0,LOG(Table2[[#This Row],[Geo Distance]]))</f>
        <v>0</v>
      </c>
      <c r="G395">
        <v>3</v>
      </c>
      <c r="H395">
        <f>IF(Table2[[#This Row],[Target age]]=0,0,LOG(Table2[[#This Row],[Target age]]))</f>
        <v>0.47712125471966244</v>
      </c>
      <c r="I395" s="45">
        <v>3.29</v>
      </c>
      <c r="J395" s="9">
        <v>0</v>
      </c>
      <c r="K395" s="9">
        <f>IF(Table2[[#This Row],[Culture]]=0,0,LOG(Table2[[#This Row],[Culture]]))</f>
        <v>0</v>
      </c>
      <c r="L395" s="24">
        <v>0.06</v>
      </c>
      <c r="M395" s="9">
        <f>LOG(1+Table2[[#This Row],[S&amp;P]])</f>
        <v>2.5305865264770262E-2</v>
      </c>
      <c r="N395">
        <v>15</v>
      </c>
      <c r="O395">
        <f>IF(Table2[[#This Row],[fund age]]=0,0,LOG(Table2[[#This Row],[fund age]]))</f>
        <v>1.1760912590556813</v>
      </c>
      <c r="P395">
        <f t="shared" si="6"/>
        <v>0</v>
      </c>
      <c r="Q395">
        <v>70</v>
      </c>
      <c r="R395">
        <v>70</v>
      </c>
      <c r="S395">
        <v>85</v>
      </c>
      <c r="T395" s="34">
        <v>31.3</v>
      </c>
      <c r="U395" s="42">
        <v>38.7850112673514</v>
      </c>
      <c r="V395" s="35">
        <v>3425.6694367497698</v>
      </c>
      <c r="W395" s="35">
        <f>LOG(Table2[[#This Row],[generalist]])</f>
        <v>3.5347454529897258</v>
      </c>
      <c r="X395" s="14">
        <v>2</v>
      </c>
      <c r="Y395" s="35">
        <v>9322.8685749461365</v>
      </c>
      <c r="Z395" s="35">
        <f>LOG(Table2[[#This Row],[country divers.]])</f>
        <v>3.9695495619878729</v>
      </c>
      <c r="AA395">
        <v>225000000</v>
      </c>
      <c r="AB395">
        <f>LOG(Table2[[#This Row],[Firm Size]])</f>
        <v>8.3521825181113627</v>
      </c>
      <c r="AC395" s="80">
        <v>0.23264825869290684</v>
      </c>
    </row>
    <row r="396" spans="1:29" x14ac:dyDescent="0.35">
      <c r="A396" t="s">
        <v>59</v>
      </c>
      <c r="B396">
        <v>1.3699349674837418</v>
      </c>
      <c r="C396">
        <f>IF(Table2[[#This Row],[Return]]=-1,-1,LOG(1+Table2[[#This Row],[Return]]))</f>
        <v>0.37473642885801178</v>
      </c>
      <c r="D396">
        <v>2.8410958904109589</v>
      </c>
      <c r="E396">
        <v>0</v>
      </c>
      <c r="F396">
        <f>IF(Table2[[#This Row],[Geo Distance]]=0,0,LOG(Table2[[#This Row],[Geo Distance]]))</f>
        <v>0</v>
      </c>
      <c r="G396">
        <v>9</v>
      </c>
      <c r="H396">
        <f>IF(Table2[[#This Row],[Target age]]=0,0,LOG(Table2[[#This Row],[Target age]]))</f>
        <v>0.95424250943932487</v>
      </c>
      <c r="I396" s="45">
        <v>3.29</v>
      </c>
      <c r="J396" s="9">
        <v>0</v>
      </c>
      <c r="K396" s="9">
        <f>IF(Table2[[#This Row],[Culture]]=0,0,LOG(Table2[[#This Row],[Culture]]))</f>
        <v>0</v>
      </c>
      <c r="L396" s="24">
        <v>0.4</v>
      </c>
      <c r="M396" s="9">
        <f>LOG(1+Table2[[#This Row],[S&amp;P]])</f>
        <v>0.14612803567823801</v>
      </c>
      <c r="N396">
        <v>15</v>
      </c>
      <c r="O396">
        <f>IF(Table2[[#This Row],[fund age]]=0,0,LOG(Table2[[#This Row],[fund age]]))</f>
        <v>1.1760912590556813</v>
      </c>
      <c r="P396">
        <f t="shared" si="6"/>
        <v>0</v>
      </c>
      <c r="Q396">
        <v>70</v>
      </c>
      <c r="R396">
        <v>70</v>
      </c>
      <c r="S396">
        <v>85</v>
      </c>
      <c r="T396" s="34">
        <v>31.3</v>
      </c>
      <c r="U396" s="42">
        <v>38.7850112673514</v>
      </c>
      <c r="V396" s="35">
        <v>3425.6694367497698</v>
      </c>
      <c r="W396" s="35">
        <f>LOG(Table2[[#This Row],[generalist]])</f>
        <v>3.5347454529897258</v>
      </c>
      <c r="X396" s="14">
        <v>2</v>
      </c>
      <c r="Y396" s="35">
        <v>9322.8685749461365</v>
      </c>
      <c r="Z396" s="35">
        <f>LOG(Table2[[#This Row],[country divers.]])</f>
        <v>3.9695495619878729</v>
      </c>
      <c r="AA396">
        <v>31984000</v>
      </c>
      <c r="AB396">
        <f>LOG(Table2[[#This Row],[Firm Size]])</f>
        <v>7.5049327767740417</v>
      </c>
      <c r="AC396" s="80">
        <v>0.51315317437794827</v>
      </c>
    </row>
    <row r="397" spans="1:29" x14ac:dyDescent="0.35">
      <c r="A397" t="s">
        <v>59</v>
      </c>
      <c r="B397">
        <v>4.4054054054054053</v>
      </c>
      <c r="C397">
        <f>IF(Table2[[#This Row],[Return]]=-1,-1,LOG(1+Table2[[#This Row],[Return]]))</f>
        <v>0.73282827159698616</v>
      </c>
      <c r="D397">
        <v>4.1452054794520548</v>
      </c>
      <c r="E397">
        <v>0</v>
      </c>
      <c r="F397">
        <f>IF(Table2[[#This Row],[Geo Distance]]=0,0,LOG(Table2[[#This Row],[Geo Distance]]))</f>
        <v>0</v>
      </c>
      <c r="G397">
        <v>146</v>
      </c>
      <c r="H397">
        <f>IF(Table2[[#This Row],[Target age]]=0,0,LOG(Table2[[#This Row],[Target age]]))</f>
        <v>2.1643528557844371</v>
      </c>
      <c r="I397" s="45">
        <v>3.29</v>
      </c>
      <c r="J397" s="9">
        <v>0</v>
      </c>
      <c r="K397" s="9">
        <f>IF(Table2[[#This Row],[Culture]]=0,0,LOG(Table2[[#This Row],[Culture]]))</f>
        <v>0</v>
      </c>
      <c r="L397" s="24">
        <v>-0.05</v>
      </c>
      <c r="M397" s="9">
        <f>LOG(1+Table2[[#This Row],[S&amp;P]])</f>
        <v>-2.2276394711152253E-2</v>
      </c>
      <c r="N397">
        <v>12</v>
      </c>
      <c r="O397">
        <f>IF(Table2[[#This Row],[fund age]]=0,0,LOG(Table2[[#This Row],[fund age]]))</f>
        <v>1.0791812460476249</v>
      </c>
      <c r="P397">
        <f t="shared" si="6"/>
        <v>0</v>
      </c>
      <c r="Q397">
        <v>70</v>
      </c>
      <c r="R397">
        <v>70</v>
      </c>
      <c r="S397">
        <v>85</v>
      </c>
      <c r="T397" s="34">
        <v>32.9</v>
      </c>
      <c r="U397" s="42">
        <v>35.433808146393098</v>
      </c>
      <c r="V397" s="35">
        <v>3425.6694367497698</v>
      </c>
      <c r="W397" s="35">
        <f>LOG(Table2[[#This Row],[generalist]])</f>
        <v>3.5347454529897258</v>
      </c>
      <c r="X397" s="14">
        <v>2</v>
      </c>
      <c r="Y397" s="35">
        <v>9322.8685749461365</v>
      </c>
      <c r="Z397" s="35">
        <f>LOG(Table2[[#This Row],[country divers.]])</f>
        <v>3.9695495619878729</v>
      </c>
      <c r="AA397">
        <v>175750000</v>
      </c>
      <c r="AB397">
        <f>LOG(Table2[[#This Row],[Firm Size]])</f>
        <v>8.2448953336918613</v>
      </c>
      <c r="AC397" s="80">
        <v>-0.13851725279465521</v>
      </c>
    </row>
    <row r="398" spans="1:29" x14ac:dyDescent="0.35">
      <c r="A398" t="s">
        <v>59</v>
      </c>
      <c r="B398">
        <v>-0.79372197309417036</v>
      </c>
      <c r="C398">
        <f>IF(Table2[[#This Row],[Return]]=-1,-1,LOG(1+Table2[[#This Row],[Return]]))</f>
        <v>-0.68554703136658657</v>
      </c>
      <c r="D398">
        <v>4.1589041095890407</v>
      </c>
      <c r="E398">
        <v>0</v>
      </c>
      <c r="F398">
        <f>IF(Table2[[#This Row],[Geo Distance]]=0,0,LOG(Table2[[#This Row],[Geo Distance]]))</f>
        <v>0</v>
      </c>
      <c r="G398">
        <v>0</v>
      </c>
      <c r="H398">
        <f>IF(Table2[[#This Row],[Target age]]=0,0,LOG(Table2[[#This Row],[Target age]]))</f>
        <v>0</v>
      </c>
      <c r="I398" s="45">
        <v>3.29</v>
      </c>
      <c r="J398" s="9">
        <v>0</v>
      </c>
      <c r="K398" s="9">
        <f>IF(Table2[[#This Row],[Culture]]=0,0,LOG(Table2[[#This Row],[Culture]]))</f>
        <v>0</v>
      </c>
      <c r="L398" s="24">
        <v>-0.22</v>
      </c>
      <c r="M398" s="9">
        <f>LOG(1+Table2[[#This Row],[S&amp;P]])</f>
        <v>-0.10790539730951958</v>
      </c>
      <c r="N398">
        <v>11</v>
      </c>
      <c r="O398">
        <f>IF(Table2[[#This Row],[fund age]]=0,0,LOG(Table2[[#This Row],[fund age]]))</f>
        <v>1.0413926851582251</v>
      </c>
      <c r="P398">
        <f t="shared" si="6"/>
        <v>0</v>
      </c>
      <c r="Q398">
        <v>70</v>
      </c>
      <c r="R398">
        <v>70</v>
      </c>
      <c r="S398">
        <v>85</v>
      </c>
      <c r="T398" s="34">
        <v>32.200000000000003</v>
      </c>
      <c r="U398" s="42">
        <v>35.326012114535303</v>
      </c>
      <c r="V398" s="35">
        <v>3425.6694367497698</v>
      </c>
      <c r="W398" s="35">
        <f>LOG(Table2[[#This Row],[generalist]])</f>
        <v>3.5347454529897258</v>
      </c>
      <c r="X398" s="14">
        <v>2</v>
      </c>
      <c r="Y398" s="35">
        <v>9322.8685749461365</v>
      </c>
      <c r="Z398" s="35">
        <f>LOG(Table2[[#This Row],[country divers.]])</f>
        <v>3.9695495619878729</v>
      </c>
      <c r="AA398">
        <v>111500000</v>
      </c>
      <c r="AB398">
        <f>LOG(Table2[[#This Row],[Firm Size]])</f>
        <v>8.0472748673841803</v>
      </c>
      <c r="AC398" s="80">
        <v>-0.28434700551124859</v>
      </c>
    </row>
    <row r="399" spans="1:29" x14ac:dyDescent="0.35">
      <c r="A399" t="s">
        <v>59</v>
      </c>
      <c r="B399">
        <v>2.2857142857142856</v>
      </c>
      <c r="C399">
        <f>IF(Table2[[#This Row],[Return]]=-1,-1,LOG(1+Table2[[#This Row],[Return]]))</f>
        <v>0.51662979600333603</v>
      </c>
      <c r="D399">
        <v>2.1616438356164385</v>
      </c>
      <c r="E399">
        <v>0</v>
      </c>
      <c r="F399">
        <f>IF(Table2[[#This Row],[Geo Distance]]=0,0,LOG(Table2[[#This Row],[Geo Distance]]))</f>
        <v>0</v>
      </c>
      <c r="G399">
        <v>0</v>
      </c>
      <c r="H399">
        <f>IF(Table2[[#This Row],[Target age]]=0,0,LOG(Table2[[#This Row],[Target age]]))</f>
        <v>0</v>
      </c>
      <c r="I399" s="45">
        <v>3.29</v>
      </c>
      <c r="J399" s="9">
        <v>0</v>
      </c>
      <c r="K399" s="9">
        <f>IF(Table2[[#This Row],[Culture]]=0,0,LOG(Table2[[#This Row],[Culture]]))</f>
        <v>0</v>
      </c>
      <c r="L399" s="24">
        <v>0.28999999999999998</v>
      </c>
      <c r="M399" s="9">
        <f>LOG(1+Table2[[#This Row],[S&amp;P]])</f>
        <v>0.11058971029924898</v>
      </c>
      <c r="N399">
        <v>10</v>
      </c>
      <c r="O399">
        <f>IF(Table2[[#This Row],[fund age]]=0,0,LOG(Table2[[#This Row],[fund age]]))</f>
        <v>1</v>
      </c>
      <c r="P399">
        <f t="shared" si="6"/>
        <v>0</v>
      </c>
      <c r="Q399">
        <v>70</v>
      </c>
      <c r="R399">
        <v>70</v>
      </c>
      <c r="S399">
        <v>85</v>
      </c>
      <c r="T399" s="34">
        <v>31.5</v>
      </c>
      <c r="U399" s="42">
        <v>35.516899069648296</v>
      </c>
      <c r="V399" s="35">
        <v>3425.6694367497698</v>
      </c>
      <c r="W399" s="35">
        <f>LOG(Table2[[#This Row],[generalist]])</f>
        <v>3.5347454529897258</v>
      </c>
      <c r="X399" s="14">
        <v>2</v>
      </c>
      <c r="Y399" s="35">
        <v>9322.8685749461365</v>
      </c>
      <c r="Z399" s="35">
        <f>LOG(Table2[[#This Row],[country divers.]])</f>
        <v>3.9695495619878729</v>
      </c>
      <c r="AA399">
        <v>70000000</v>
      </c>
      <c r="AB399">
        <f>LOG(Table2[[#This Row],[Firm Size]])</f>
        <v>7.8450980400142569</v>
      </c>
      <c r="AC399" s="80">
        <v>0.1017893013646729</v>
      </c>
    </row>
    <row r="400" spans="1:29" x14ac:dyDescent="0.35">
      <c r="A400" t="s">
        <v>59</v>
      </c>
      <c r="B400">
        <v>0.9780219780219781</v>
      </c>
      <c r="C400">
        <f>IF(Table2[[#This Row],[Return]]=-1,-1,LOG(1+Table2[[#This Row],[Return]]))</f>
        <v>0.29623111278221248</v>
      </c>
      <c r="D400">
        <v>1.8054794520547945</v>
      </c>
      <c r="E400">
        <v>0</v>
      </c>
      <c r="F400">
        <f>IF(Table2[[#This Row],[Geo Distance]]=0,0,LOG(Table2[[#This Row],[Geo Distance]]))</f>
        <v>0</v>
      </c>
      <c r="G400">
        <v>1</v>
      </c>
      <c r="H400">
        <f>IF(Table2[[#This Row],[Target age]]=0,0,LOG(Table2[[#This Row],[Target age]]))</f>
        <v>0</v>
      </c>
      <c r="I400" s="45">
        <v>3.29</v>
      </c>
      <c r="J400" s="9">
        <v>0</v>
      </c>
      <c r="K400" s="9">
        <f>IF(Table2[[#This Row],[Culture]]=0,0,LOG(Table2[[#This Row],[Culture]]))</f>
        <v>0</v>
      </c>
      <c r="L400" s="24">
        <v>0.65</v>
      </c>
      <c r="M400" s="9">
        <f>LOG(1+Table2[[#This Row],[S&amp;P]])</f>
        <v>0.21748394421390627</v>
      </c>
      <c r="N400">
        <v>9</v>
      </c>
      <c r="O400">
        <f>IF(Table2[[#This Row],[fund age]]=0,0,LOG(Table2[[#This Row],[fund age]]))</f>
        <v>0.95424250943932487</v>
      </c>
      <c r="P400">
        <f t="shared" si="6"/>
        <v>0</v>
      </c>
      <c r="Q400">
        <v>70</v>
      </c>
      <c r="R400">
        <v>70</v>
      </c>
      <c r="S400">
        <v>85</v>
      </c>
      <c r="T400" s="34">
        <v>30</v>
      </c>
      <c r="U400" s="42">
        <v>35.807885111275297</v>
      </c>
      <c r="V400" s="35">
        <v>3425.6694367497698</v>
      </c>
      <c r="W400" s="35">
        <f>LOG(Table2[[#This Row],[generalist]])</f>
        <v>3.5347454529897258</v>
      </c>
      <c r="X400" s="14">
        <v>2</v>
      </c>
      <c r="Y400" s="35">
        <v>9322.8685749461365</v>
      </c>
      <c r="Z400" s="35">
        <f>LOG(Table2[[#This Row],[country divers.]])</f>
        <v>3.9695495619878729</v>
      </c>
      <c r="AA400">
        <v>91000000</v>
      </c>
      <c r="AB400">
        <f>LOG(Table2[[#This Row],[Firm Size]])</f>
        <v>7.9590413923210939</v>
      </c>
      <c r="AC400" s="80">
        <v>0.12782945983401572</v>
      </c>
    </row>
    <row r="401" spans="1:29" x14ac:dyDescent="0.35">
      <c r="A401" t="s">
        <v>59</v>
      </c>
      <c r="B401">
        <v>4.0769230769230766</v>
      </c>
      <c r="C401">
        <f>IF(Table2[[#This Row],[Return]]=-1,-1,LOG(1+Table2[[#This Row],[Return]]))</f>
        <v>0.70560058323503183</v>
      </c>
      <c r="D401">
        <v>2.9205479452054797</v>
      </c>
      <c r="E401">
        <v>0</v>
      </c>
      <c r="F401">
        <f>IF(Table2[[#This Row],[Geo Distance]]=0,0,LOG(Table2[[#This Row],[Geo Distance]]))</f>
        <v>0</v>
      </c>
      <c r="G401">
        <v>33</v>
      </c>
      <c r="H401">
        <f>IF(Table2[[#This Row],[Target age]]=0,0,LOG(Table2[[#This Row],[Target age]]))</f>
        <v>1.5185139398778875</v>
      </c>
      <c r="I401" s="45">
        <v>3.29</v>
      </c>
      <c r="J401" s="9">
        <v>0</v>
      </c>
      <c r="K401" s="9">
        <f>IF(Table2[[#This Row],[Culture]]=0,0,LOG(Table2[[#This Row],[Culture]]))</f>
        <v>0</v>
      </c>
      <c r="L401" s="24">
        <v>0.64</v>
      </c>
      <c r="M401" s="9">
        <f>LOG(1+Table2[[#This Row],[S&amp;P]])</f>
        <v>0.21484384804769791</v>
      </c>
      <c r="N401">
        <v>7</v>
      </c>
      <c r="O401">
        <f>IF(Table2[[#This Row],[fund age]]=0,0,LOG(Table2[[#This Row],[fund age]]))</f>
        <v>0.84509804001425681</v>
      </c>
      <c r="P401">
        <f t="shared" si="6"/>
        <v>0</v>
      </c>
      <c r="Q401">
        <v>70</v>
      </c>
      <c r="R401">
        <v>70</v>
      </c>
      <c r="S401">
        <v>100</v>
      </c>
      <c r="T401" s="34">
        <v>29.5</v>
      </c>
      <c r="U401" s="42">
        <v>38.538703610951003</v>
      </c>
      <c r="V401" s="35">
        <v>3425.6694367497698</v>
      </c>
      <c r="W401" s="35">
        <f>LOG(Table2[[#This Row],[generalist]])</f>
        <v>3.5347454529897258</v>
      </c>
      <c r="X401" s="14">
        <v>2</v>
      </c>
      <c r="Y401" s="35">
        <v>9322.8685749461365</v>
      </c>
      <c r="Z401" s="35">
        <f>LOG(Table2[[#This Row],[country divers.]])</f>
        <v>3.9695495619878729</v>
      </c>
      <c r="AA401">
        <v>32500000</v>
      </c>
      <c r="AB401">
        <f>LOG(Table2[[#This Row],[Firm Size]])</f>
        <v>7.5118833609788744</v>
      </c>
      <c r="AC401" s="80" t="e">
        <v>#N/A</v>
      </c>
    </row>
    <row r="402" spans="1:29" x14ac:dyDescent="0.35">
      <c r="A402" t="s">
        <v>59</v>
      </c>
      <c r="B402">
        <v>13.876923076923077</v>
      </c>
      <c r="C402">
        <f>IF(Table2[[#This Row],[Return]]=-1,-1,LOG(1+Table2[[#This Row],[Return]]))</f>
        <v>1.1725131174401462</v>
      </c>
      <c r="D402">
        <v>1.8575342465753424</v>
      </c>
      <c r="E402">
        <v>0</v>
      </c>
      <c r="F402">
        <f>IF(Table2[[#This Row],[Geo Distance]]=0,0,LOG(Table2[[#This Row],[Geo Distance]]))</f>
        <v>0</v>
      </c>
      <c r="G402">
        <v>4</v>
      </c>
      <c r="H402">
        <f>IF(Table2[[#This Row],[Target age]]=0,0,LOG(Table2[[#This Row],[Target age]]))</f>
        <v>0.6020599913279624</v>
      </c>
      <c r="I402" s="45">
        <v>3.29</v>
      </c>
      <c r="J402" s="9">
        <v>0</v>
      </c>
      <c r="K402" s="9">
        <f>IF(Table2[[#This Row],[Culture]]=0,0,LOG(Table2[[#This Row],[Culture]]))</f>
        <v>0</v>
      </c>
      <c r="L402" s="24">
        <v>0.6</v>
      </c>
      <c r="M402" s="9">
        <f>LOG(1+Table2[[#This Row],[S&amp;P]])</f>
        <v>0.20411998265592479</v>
      </c>
      <c r="N402">
        <v>12</v>
      </c>
      <c r="O402">
        <f>IF(Table2[[#This Row],[fund age]]=0,0,LOG(Table2[[#This Row],[fund age]]))</f>
        <v>1.0791812460476249</v>
      </c>
      <c r="P402">
        <f t="shared" si="6"/>
        <v>0</v>
      </c>
      <c r="Q402">
        <v>70</v>
      </c>
      <c r="R402">
        <v>70</v>
      </c>
      <c r="S402">
        <v>89.8</v>
      </c>
      <c r="T402" s="34">
        <v>31.2</v>
      </c>
      <c r="U402" s="42">
        <v>47.307367293927399</v>
      </c>
      <c r="V402">
        <v>4375.8573388203013</v>
      </c>
      <c r="W402">
        <f>LOG(Table2[[#This Row],[generalist]])</f>
        <v>3.6410631547392063</v>
      </c>
      <c r="X402" s="14">
        <v>2</v>
      </c>
      <c r="Y402">
        <v>5027.4348422496569</v>
      </c>
      <c r="Z402">
        <f>LOG(Table2[[#This Row],[country divers.]])</f>
        <v>3.7013464506591722</v>
      </c>
      <c r="AA402">
        <v>6500000</v>
      </c>
      <c r="AB402">
        <f>LOG(Table2[[#This Row],[Firm Size]])</f>
        <v>6.8129133566428557</v>
      </c>
      <c r="AC402" s="80">
        <v>0.53218532993597933</v>
      </c>
    </row>
    <row r="403" spans="1:29" x14ac:dyDescent="0.35">
      <c r="A403" t="s">
        <v>59</v>
      </c>
      <c r="B403">
        <v>1.5885558583106265</v>
      </c>
      <c r="C403">
        <f>IF(Table2[[#This Row],[Return]]=-1,-1,LOG(1+Table2[[#This Row],[Return]]))</f>
        <v>0.4130575410367584</v>
      </c>
      <c r="D403">
        <v>8.4328767123287669</v>
      </c>
      <c r="E403">
        <v>0</v>
      </c>
      <c r="F403">
        <f>IF(Table2[[#This Row],[Geo Distance]]=0,0,LOG(Table2[[#This Row],[Geo Distance]]))</f>
        <v>0</v>
      </c>
      <c r="G403">
        <v>7</v>
      </c>
      <c r="H403">
        <f>IF(Table2[[#This Row],[Target age]]=0,0,LOG(Table2[[#This Row],[Target age]]))</f>
        <v>0.84509804001425681</v>
      </c>
      <c r="I403" s="45">
        <v>3.29</v>
      </c>
      <c r="J403" s="9">
        <v>0</v>
      </c>
      <c r="K403" s="9">
        <f>IF(Table2[[#This Row],[Culture]]=0,0,LOG(Table2[[#This Row],[Culture]]))</f>
        <v>0</v>
      </c>
      <c r="L403" s="24">
        <v>0.39</v>
      </c>
      <c r="M403" s="9">
        <f>LOG(1+Table2[[#This Row],[S&amp;P]])</f>
        <v>0.14301480025409513</v>
      </c>
      <c r="N403">
        <v>8</v>
      </c>
      <c r="O403">
        <f>IF(Table2[[#This Row],[fund age]]=0,0,LOG(Table2[[#This Row],[fund age]]))</f>
        <v>0.90308998699194354</v>
      </c>
      <c r="P403">
        <f t="shared" si="6"/>
        <v>0</v>
      </c>
      <c r="Q403">
        <v>70</v>
      </c>
      <c r="R403">
        <v>70</v>
      </c>
      <c r="S403">
        <v>85</v>
      </c>
      <c r="T403" s="34">
        <v>32.700000000000003</v>
      </c>
      <c r="U403" s="42">
        <v>41.286751495766303</v>
      </c>
      <c r="V403">
        <v>4375.8573388203013</v>
      </c>
      <c r="W403">
        <f>LOG(Table2[[#This Row],[generalist]])</f>
        <v>3.6410631547392063</v>
      </c>
      <c r="X403" s="14">
        <v>2</v>
      </c>
      <c r="Y403">
        <v>5027.4348422496569</v>
      </c>
      <c r="Z403">
        <f>LOG(Table2[[#This Row],[country divers.]])</f>
        <v>3.7013464506591722</v>
      </c>
      <c r="AA403">
        <v>18350000</v>
      </c>
      <c r="AB403">
        <f>LOG(Table2[[#This Row],[Firm Size]])</f>
        <v>7.2636360685881085</v>
      </c>
      <c r="AC403" s="80">
        <v>0.40129040536338745</v>
      </c>
    </row>
    <row r="404" spans="1:29" x14ac:dyDescent="0.35">
      <c r="A404" t="s">
        <v>59</v>
      </c>
      <c r="B404">
        <v>2.5652173913043477</v>
      </c>
      <c r="C404">
        <f>IF(Table2[[#This Row],[Return]]=-1,-1,LOG(1+Table2[[#This Row],[Return]]))</f>
        <v>0.55208601636612376</v>
      </c>
      <c r="D404">
        <v>2.8356164383561642</v>
      </c>
      <c r="E404">
        <v>5897.96</v>
      </c>
      <c r="F404">
        <f>IF(Table2[[#This Row],[Geo Distance]]=0,0,LOG(Table2[[#This Row],[Geo Distance]]))</f>
        <v>3.7707018228379927</v>
      </c>
      <c r="G404">
        <v>59</v>
      </c>
      <c r="H404">
        <f>IF(Table2[[#This Row],[Target age]]=0,0,LOG(Table2[[#This Row],[Target age]]))</f>
        <v>1.7708520116421442</v>
      </c>
      <c r="I404" s="45">
        <v>2.3199999999999998</v>
      </c>
      <c r="J404" s="9">
        <v>132</v>
      </c>
      <c r="K404" s="9">
        <f>IF(Table2[[#This Row],[Culture]]=0,0,LOG(Table2[[#This Row],[Culture]]))</f>
        <v>2.12057393120585</v>
      </c>
      <c r="L404" s="24">
        <v>0.21</v>
      </c>
      <c r="M404" s="9">
        <f>LOG(1+Table2[[#This Row],[S&amp;P]])</f>
        <v>8.2785370316450071E-2</v>
      </c>
      <c r="N404">
        <v>29</v>
      </c>
      <c r="O404">
        <f>IF(Table2[[#This Row],[fund age]]=0,0,LOG(Table2[[#This Row],[fund age]]))</f>
        <v>1.4623979978989561</v>
      </c>
      <c r="P404">
        <f t="shared" si="6"/>
        <v>1</v>
      </c>
      <c r="Q404">
        <v>70</v>
      </c>
      <c r="R404">
        <v>70</v>
      </c>
      <c r="S404">
        <v>94.1</v>
      </c>
      <c r="T404" s="34">
        <v>32.200000000000003</v>
      </c>
      <c r="U404" s="42">
        <v>43.9397801796012</v>
      </c>
      <c r="V404">
        <v>1618.5219999999999</v>
      </c>
      <c r="W404">
        <f>LOG(Table2[[#This Row],[generalist]])</f>
        <v>3.20911860699078</v>
      </c>
      <c r="X404" s="14">
        <v>2</v>
      </c>
      <c r="Y404">
        <v>3845.9059999999999</v>
      </c>
      <c r="Z404">
        <f>LOG(Table2[[#This Row],[country divers.]])</f>
        <v>3.5849986651910224</v>
      </c>
      <c r="AA404">
        <v>230000000</v>
      </c>
      <c r="AB404">
        <f>LOG(Table2[[#This Row],[Firm Size]])</f>
        <v>8.3617278360175931</v>
      </c>
      <c r="AC404" s="80">
        <v>-3.9916510087930401E-2</v>
      </c>
    </row>
    <row r="405" spans="1:29" x14ac:dyDescent="0.35">
      <c r="A405" t="s">
        <v>59</v>
      </c>
      <c r="B405">
        <v>0.68353846153846143</v>
      </c>
      <c r="C405">
        <f>IF(Table2[[#This Row],[Return]]=-1,-1,LOG(1+Table2[[#This Row],[Return]]))</f>
        <v>0.22622304257923964</v>
      </c>
      <c r="D405">
        <v>8.8520547945205479</v>
      </c>
      <c r="E405">
        <v>5897.96</v>
      </c>
      <c r="F405">
        <f>IF(Table2[[#This Row],[Geo Distance]]=0,0,LOG(Table2[[#This Row],[Geo Distance]]))</f>
        <v>3.7707018228379927</v>
      </c>
      <c r="G405">
        <v>49</v>
      </c>
      <c r="H405">
        <f>IF(Table2[[#This Row],[Target age]]=0,0,LOG(Table2[[#This Row],[Target age]]))</f>
        <v>1.6901960800285136</v>
      </c>
      <c r="I405" s="45">
        <v>2.3199999999999998</v>
      </c>
      <c r="J405" s="9">
        <v>132</v>
      </c>
      <c r="K405" s="9">
        <f>IF(Table2[[#This Row],[Culture]]=0,0,LOG(Table2[[#This Row],[Culture]]))</f>
        <v>2.12057393120585</v>
      </c>
      <c r="L405" s="24">
        <v>0.42</v>
      </c>
      <c r="M405" s="9">
        <f>LOG(1+Table2[[#This Row],[S&amp;P]])</f>
        <v>0.15228834438305647</v>
      </c>
      <c r="N405">
        <v>23</v>
      </c>
      <c r="O405">
        <f>IF(Table2[[#This Row],[fund age]]=0,0,LOG(Table2[[#This Row],[fund age]]))</f>
        <v>1.3617278360175928</v>
      </c>
      <c r="P405">
        <f t="shared" si="6"/>
        <v>1</v>
      </c>
      <c r="Q405">
        <v>70</v>
      </c>
      <c r="R405">
        <v>70</v>
      </c>
      <c r="S405">
        <v>91.2</v>
      </c>
      <c r="T405" s="34">
        <v>33</v>
      </c>
      <c r="U405" s="42">
        <v>40.902544500539101</v>
      </c>
      <c r="V405">
        <v>1618.5219999999999</v>
      </c>
      <c r="W405">
        <f>LOG(Table2[[#This Row],[generalist]])</f>
        <v>3.20911860699078</v>
      </c>
      <c r="X405" s="14">
        <v>2</v>
      </c>
      <c r="Y405">
        <v>3845.9059999999999</v>
      </c>
      <c r="Z405">
        <f>LOG(Table2[[#This Row],[country divers.]])</f>
        <v>3.5849986651910224</v>
      </c>
      <c r="AA405">
        <v>1300000000</v>
      </c>
      <c r="AB405">
        <f>LOG(Table2[[#This Row],[Firm Size]])</f>
        <v>9.1139433523068369</v>
      </c>
      <c r="AC405" s="80">
        <v>7.7977374916301079E-2</v>
      </c>
    </row>
    <row r="406" spans="1:29" x14ac:dyDescent="0.35">
      <c r="A406" t="s">
        <v>59</v>
      </c>
      <c r="B406">
        <v>0.91068181818181815</v>
      </c>
      <c r="C406">
        <f>IF(Table2[[#This Row],[Return]]=-1,-1,LOG(1+Table2[[#This Row],[Return]]))</f>
        <v>0.28118837093097543</v>
      </c>
      <c r="D406">
        <v>8.3835616438356162</v>
      </c>
      <c r="E406">
        <v>5897.96</v>
      </c>
      <c r="F406">
        <f>IF(Table2[[#This Row],[Geo Distance]]=0,0,LOG(Table2[[#This Row],[Geo Distance]]))</f>
        <v>3.7707018228379927</v>
      </c>
      <c r="G406">
        <v>27</v>
      </c>
      <c r="H406">
        <f>IF(Table2[[#This Row],[Target age]]=0,0,LOG(Table2[[#This Row],[Target age]]))</f>
        <v>1.4313637641589874</v>
      </c>
      <c r="I406" s="45">
        <v>2.3199999999999998</v>
      </c>
      <c r="J406" s="9">
        <v>132</v>
      </c>
      <c r="K406" s="9">
        <f>IF(Table2[[#This Row],[Culture]]=0,0,LOG(Table2[[#This Row],[Culture]]))</f>
        <v>2.12057393120585</v>
      </c>
      <c r="L406" s="24">
        <v>0.18</v>
      </c>
      <c r="M406" s="9">
        <f>LOG(1+Table2[[#This Row],[S&amp;P]])</f>
        <v>7.1882007306125359E-2</v>
      </c>
      <c r="N406">
        <v>33</v>
      </c>
      <c r="O406">
        <f>IF(Table2[[#This Row],[fund age]]=0,0,LOG(Table2[[#This Row],[fund age]]))</f>
        <v>1.5185139398778875</v>
      </c>
      <c r="P406">
        <f t="shared" si="6"/>
        <v>1</v>
      </c>
      <c r="Q406">
        <v>70</v>
      </c>
      <c r="R406">
        <v>70</v>
      </c>
      <c r="S406">
        <v>85</v>
      </c>
      <c r="T406" s="34">
        <v>31.5</v>
      </c>
      <c r="U406" s="42">
        <v>35.516899069648296</v>
      </c>
      <c r="V406">
        <v>2094.8028483366988</v>
      </c>
      <c r="W406">
        <f>LOG(Table2[[#This Row],[generalist]])</f>
        <v>3.3211431557469533</v>
      </c>
      <c r="X406" s="14">
        <v>1</v>
      </c>
      <c r="Y406">
        <v>8441.9173132107553</v>
      </c>
      <c r="Z406">
        <f>LOG(Table2[[#This Row],[country divers.]])</f>
        <v>3.9264410940169014</v>
      </c>
      <c r="AA406">
        <v>44000000</v>
      </c>
      <c r="AB406">
        <f>LOG(Table2[[#This Row],[Firm Size]])</f>
        <v>7.6434526764861879</v>
      </c>
      <c r="AC406" s="80">
        <v>9.3086675588942125E-2</v>
      </c>
    </row>
    <row r="407" spans="1:29" x14ac:dyDescent="0.35">
      <c r="A407" t="s">
        <v>59</v>
      </c>
      <c r="B407">
        <v>0.48849146757679174</v>
      </c>
      <c r="C407">
        <f>IF(Table2[[#This Row],[Return]]=-1,-1,LOG(1+Table2[[#This Row],[Return]]))</f>
        <v>0.17274634950008499</v>
      </c>
      <c r="D407">
        <v>1.9561643835616438</v>
      </c>
      <c r="E407">
        <v>5897.96</v>
      </c>
      <c r="F407">
        <f>IF(Table2[[#This Row],[Geo Distance]]=0,0,LOG(Table2[[#This Row],[Geo Distance]]))</f>
        <v>3.7707018228379927</v>
      </c>
      <c r="G407">
        <v>25</v>
      </c>
      <c r="H407">
        <f>IF(Table2[[#This Row],[Target age]]=0,0,LOG(Table2[[#This Row],[Target age]]))</f>
        <v>1.3979400086720377</v>
      </c>
      <c r="I407" s="45">
        <v>2.3199999999999998</v>
      </c>
      <c r="J407" s="9">
        <v>132</v>
      </c>
      <c r="K407" s="9">
        <f>IF(Table2[[#This Row],[Culture]]=0,0,LOG(Table2[[#This Row],[Culture]]))</f>
        <v>2.12057393120585</v>
      </c>
      <c r="L407" s="24">
        <v>0.19</v>
      </c>
      <c r="M407" s="9">
        <f>LOG(1+Table2[[#This Row],[S&amp;P]])</f>
        <v>7.554696139253074E-2</v>
      </c>
      <c r="N407">
        <v>18</v>
      </c>
      <c r="O407">
        <f>IF(Table2[[#This Row],[fund age]]=0,0,LOG(Table2[[#This Row],[fund age]]))</f>
        <v>1.255272505103306</v>
      </c>
      <c r="P407">
        <f t="shared" si="6"/>
        <v>1</v>
      </c>
      <c r="Q407">
        <v>70</v>
      </c>
      <c r="R407">
        <v>70</v>
      </c>
      <c r="S407">
        <v>85</v>
      </c>
      <c r="T407" s="34">
        <v>32.700000000000003</v>
      </c>
      <c r="U407" s="42">
        <v>41.286751495766303</v>
      </c>
      <c r="V407">
        <v>2065.9722222222217</v>
      </c>
      <c r="W407">
        <f>LOG(Table2[[#This Row],[generalist]])</f>
        <v>3.3151244779693188</v>
      </c>
      <c r="X407" s="14">
        <v>2</v>
      </c>
      <c r="Y407">
        <v>7039.9305555555566</v>
      </c>
      <c r="Z407">
        <f>LOG(Table2[[#This Row],[country divers.]])</f>
        <v>3.8475683751239629</v>
      </c>
      <c r="AA407">
        <v>293000000</v>
      </c>
      <c r="AB407">
        <f>LOG(Table2[[#This Row],[Firm Size]])</f>
        <v>8.46686762035411</v>
      </c>
      <c r="AC407" s="80">
        <v>0.17007144718156098</v>
      </c>
    </row>
    <row r="408" spans="1:29" x14ac:dyDescent="0.35">
      <c r="A408" t="s">
        <v>59</v>
      </c>
      <c r="B408">
        <v>4.0847457627118642</v>
      </c>
      <c r="C408">
        <f>IF(Table2[[#This Row],[Return]]=-1,-1,LOG(1+Table2[[#This Row],[Return]]))</f>
        <v>0.70626924307751826</v>
      </c>
      <c r="D408">
        <v>4.5041095890410956</v>
      </c>
      <c r="E408">
        <v>5897.96</v>
      </c>
      <c r="F408">
        <f>IF(Table2[[#This Row],[Geo Distance]]=0,0,LOG(Table2[[#This Row],[Geo Distance]]))</f>
        <v>3.7707018228379927</v>
      </c>
      <c r="G408">
        <v>4</v>
      </c>
      <c r="H408">
        <f>IF(Table2[[#This Row],[Target age]]=0,0,LOG(Table2[[#This Row],[Target age]]))</f>
        <v>0.6020599913279624</v>
      </c>
      <c r="I408" s="45">
        <v>2.3199999999999998</v>
      </c>
      <c r="J408" s="9">
        <v>132</v>
      </c>
      <c r="K408" s="9">
        <f>IF(Table2[[#This Row],[Culture]]=0,0,LOG(Table2[[#This Row],[Culture]]))</f>
        <v>2.12057393120585</v>
      </c>
      <c r="L408" s="24">
        <v>0.59</v>
      </c>
      <c r="M408" s="9">
        <f>LOG(1+Table2[[#This Row],[S&amp;P]])</f>
        <v>0.20139712432045145</v>
      </c>
      <c r="N408">
        <v>29</v>
      </c>
      <c r="O408">
        <f>IF(Table2[[#This Row],[fund age]]=0,0,LOG(Table2[[#This Row],[fund age]]))</f>
        <v>1.4623979978989561</v>
      </c>
      <c r="P408">
        <f t="shared" si="6"/>
        <v>1</v>
      </c>
      <c r="Q408">
        <v>70</v>
      </c>
      <c r="R408">
        <v>70</v>
      </c>
      <c r="S408">
        <v>94.1</v>
      </c>
      <c r="T408" s="34">
        <v>32.200000000000003</v>
      </c>
      <c r="U408" s="42">
        <v>43.9397801796012</v>
      </c>
      <c r="V408">
        <v>1298.5550759992495</v>
      </c>
      <c r="W408">
        <f>LOG(Table2[[#This Row],[generalist]])</f>
        <v>3.1134603742158462</v>
      </c>
      <c r="X408" s="14">
        <v>2</v>
      </c>
      <c r="Y408">
        <v>6025.5207355976736</v>
      </c>
      <c r="Z408">
        <f>LOG(Table2[[#This Row],[country divers.]])</f>
        <v>3.7799945853255905</v>
      </c>
      <c r="AA408">
        <v>118000000</v>
      </c>
      <c r="AB408">
        <f>LOG(Table2[[#This Row],[Firm Size]])</f>
        <v>8.0718820073061259</v>
      </c>
      <c r="AC408" s="80">
        <v>0.19496203293856396</v>
      </c>
    </row>
    <row r="409" spans="1:29" x14ac:dyDescent="0.35">
      <c r="A409" t="s">
        <v>59</v>
      </c>
      <c r="B409">
        <v>0.41465693430656936</v>
      </c>
      <c r="C409">
        <f>IF(Table2[[#This Row],[Return]]=-1,-1,LOG(1+Table2[[#This Row],[Return]]))</f>
        <v>0.15065113272112132</v>
      </c>
      <c r="D409">
        <v>6.4438356164383563</v>
      </c>
      <c r="E409">
        <v>5897.96</v>
      </c>
      <c r="F409">
        <f>IF(Table2[[#This Row],[Geo Distance]]=0,0,LOG(Table2[[#This Row],[Geo Distance]]))</f>
        <v>3.7707018228379927</v>
      </c>
      <c r="G409">
        <v>12</v>
      </c>
      <c r="H409">
        <f>IF(Table2[[#This Row],[Target age]]=0,0,LOG(Table2[[#This Row],[Target age]]))</f>
        <v>1.0791812460476249</v>
      </c>
      <c r="I409" s="45">
        <v>2.3199999999999998</v>
      </c>
      <c r="J409" s="9">
        <v>132</v>
      </c>
      <c r="K409" s="9">
        <f>IF(Table2[[#This Row],[Culture]]=0,0,LOG(Table2[[#This Row],[Culture]]))</f>
        <v>2.12057393120585</v>
      </c>
      <c r="L409" s="24">
        <v>0.17</v>
      </c>
      <c r="M409" s="9">
        <f>LOG(1+Table2[[#This Row],[S&amp;P]])</f>
        <v>6.8185861746161619E-2</v>
      </c>
      <c r="N409">
        <v>23</v>
      </c>
      <c r="O409">
        <f>IF(Table2[[#This Row],[fund age]]=0,0,LOG(Table2[[#This Row],[fund age]]))</f>
        <v>1.3617278360175928</v>
      </c>
      <c r="P409">
        <f t="shared" si="6"/>
        <v>1</v>
      </c>
      <c r="Q409">
        <v>70</v>
      </c>
      <c r="R409">
        <v>70</v>
      </c>
      <c r="S409">
        <v>91.2</v>
      </c>
      <c r="T409" s="34">
        <v>33</v>
      </c>
      <c r="U409" s="42">
        <v>40.902544500539101</v>
      </c>
      <c r="V409">
        <v>1298.5550759992495</v>
      </c>
      <c r="W409">
        <f>LOG(Table2[[#This Row],[generalist]])</f>
        <v>3.1134603742158462</v>
      </c>
      <c r="X409" s="14">
        <v>2</v>
      </c>
      <c r="Y409">
        <v>6025.5207355976736</v>
      </c>
      <c r="Z409">
        <f>LOG(Table2[[#This Row],[country divers.]])</f>
        <v>3.7799945853255905</v>
      </c>
      <c r="AA409">
        <v>685000000</v>
      </c>
      <c r="AB409">
        <f>LOG(Table2[[#This Row],[Firm Size]])</f>
        <v>8.8356905714924263</v>
      </c>
      <c r="AC409" s="80">
        <v>6.6018329809519383E-2</v>
      </c>
    </row>
    <row r="410" spans="1:29" x14ac:dyDescent="0.35">
      <c r="A410" t="s">
        <v>59</v>
      </c>
      <c r="B410">
        <v>2.0186926738650874</v>
      </c>
      <c r="C410">
        <f>IF(Table2[[#This Row],[Return]]=-1,-1,LOG(1+Table2[[#This Row],[Return]]))</f>
        <v>0.4798189007546495</v>
      </c>
      <c r="D410">
        <v>4.9397260273972599</v>
      </c>
      <c r="E410">
        <v>5897.96</v>
      </c>
      <c r="F410">
        <f>IF(Table2[[#This Row],[Geo Distance]]=0,0,LOG(Table2[[#This Row],[Geo Distance]]))</f>
        <v>3.7707018228379927</v>
      </c>
      <c r="G410">
        <v>44</v>
      </c>
      <c r="H410">
        <f>IF(Table2[[#This Row],[Target age]]=0,0,LOG(Table2[[#This Row],[Target age]]))</f>
        <v>1.6434526764861874</v>
      </c>
      <c r="I410" s="45">
        <v>2.3199999999999998</v>
      </c>
      <c r="J410" s="9">
        <v>132</v>
      </c>
      <c r="K410" s="9">
        <f>IF(Table2[[#This Row],[Culture]]=0,0,LOG(Table2[[#This Row],[Culture]]))</f>
        <v>2.12057393120585</v>
      </c>
      <c r="L410" s="24">
        <v>0.77</v>
      </c>
      <c r="M410" s="9">
        <f>LOG(1+Table2[[#This Row],[S&amp;P]])</f>
        <v>0.24797326636180664</v>
      </c>
      <c r="N410">
        <v>2</v>
      </c>
      <c r="O410">
        <f>IF(Table2[[#This Row],[fund age]]=0,0,LOG(Table2[[#This Row],[fund age]]))</f>
        <v>0.3010299956639812</v>
      </c>
      <c r="P410">
        <f t="shared" si="6"/>
        <v>1</v>
      </c>
      <c r="Q410">
        <v>70</v>
      </c>
      <c r="R410">
        <v>70</v>
      </c>
      <c r="S410">
        <v>85</v>
      </c>
      <c r="T410" s="34">
        <v>31.5</v>
      </c>
      <c r="U410" s="42">
        <v>37.589394702761602</v>
      </c>
      <c r="V410">
        <v>2232.1428571428569</v>
      </c>
      <c r="W410">
        <f>LOG(Table2[[#This Row],[generalist]])</f>
        <v>3.348721986001856</v>
      </c>
      <c r="X410" s="14">
        <v>5</v>
      </c>
      <c r="Y410">
        <v>5650.5102040816337</v>
      </c>
      <c r="Z410">
        <f>LOG(Table2[[#This Row],[country divers.]])</f>
        <v>3.7520876635386311</v>
      </c>
      <c r="AA410">
        <v>562850000</v>
      </c>
      <c r="AB410">
        <f>LOG(Table2[[#This Row],[Firm Size]])</f>
        <v>8.7503926704250539</v>
      </c>
      <c r="AC410" s="80">
        <v>0.78592359569929537</v>
      </c>
    </row>
    <row r="411" spans="1:29" x14ac:dyDescent="0.35">
      <c r="A411" t="s">
        <v>59</v>
      </c>
      <c r="B411">
        <v>0</v>
      </c>
      <c r="C411">
        <f>IF(Table2[[#This Row],[Return]]=-1,-1,LOG(1+Table2[[#This Row],[Return]]))</f>
        <v>0</v>
      </c>
      <c r="D411">
        <v>3.106849315068493</v>
      </c>
      <c r="E411">
        <v>5897.96</v>
      </c>
      <c r="F411">
        <f>IF(Table2[[#This Row],[Geo Distance]]=0,0,LOG(Table2[[#This Row],[Geo Distance]]))</f>
        <v>3.7707018228379927</v>
      </c>
      <c r="G411">
        <v>4</v>
      </c>
      <c r="H411">
        <f>IF(Table2[[#This Row],[Target age]]=0,0,LOG(Table2[[#This Row],[Target age]]))</f>
        <v>0.6020599913279624</v>
      </c>
      <c r="I411" s="45">
        <v>2.3199999999999998</v>
      </c>
      <c r="J411" s="9">
        <v>132</v>
      </c>
      <c r="K411" s="9">
        <f>IF(Table2[[#This Row],[Culture]]=0,0,LOG(Table2[[#This Row],[Culture]]))</f>
        <v>2.12057393120585</v>
      </c>
      <c r="L411" s="24">
        <v>0.32</v>
      </c>
      <c r="M411" s="9">
        <f>LOG(1+Table2[[#This Row],[S&amp;P]])</f>
        <v>0.12057393120584989</v>
      </c>
      <c r="N411">
        <v>3</v>
      </c>
      <c r="O411">
        <f>IF(Table2[[#This Row],[fund age]]=0,0,LOG(Table2[[#This Row],[fund age]]))</f>
        <v>0.47712125471966244</v>
      </c>
      <c r="P411">
        <f t="shared" si="6"/>
        <v>1</v>
      </c>
      <c r="Q411">
        <v>70</v>
      </c>
      <c r="R411">
        <v>70</v>
      </c>
      <c r="S411">
        <v>85</v>
      </c>
      <c r="T411" s="34">
        <v>31.3</v>
      </c>
      <c r="U411" s="42">
        <v>38.7850112673514</v>
      </c>
      <c r="V411">
        <v>2777.7777777777774</v>
      </c>
      <c r="W411">
        <f>LOG(Table2[[#This Row],[generalist]])</f>
        <v>3.4436974992327127</v>
      </c>
      <c r="X411" s="14">
        <v>5</v>
      </c>
      <c r="Y411">
        <v>7048.6111111111131</v>
      </c>
      <c r="Z411">
        <f>LOG(Table2[[#This Row],[country divers.]])</f>
        <v>3.848103550153982</v>
      </c>
      <c r="AA411">
        <v>350000000</v>
      </c>
      <c r="AB411">
        <f>LOG(Table2[[#This Row],[Firm Size]])</f>
        <v>8.5440680443502757</v>
      </c>
      <c r="AC411" s="80">
        <v>0.48007195117021695</v>
      </c>
    </row>
    <row r="412" spans="1:29" x14ac:dyDescent="0.35">
      <c r="A412" t="s">
        <v>59</v>
      </c>
      <c r="B412">
        <v>0.10000000000000009</v>
      </c>
      <c r="C412">
        <f>IF(Table2[[#This Row],[Return]]=-1,-1,LOG(1+Table2[[#This Row],[Return]]))</f>
        <v>4.1392685158225077E-2</v>
      </c>
      <c r="D412">
        <v>4.6684931506849319</v>
      </c>
      <c r="E412">
        <v>5897.96</v>
      </c>
      <c r="F412">
        <f>IF(Table2[[#This Row],[Geo Distance]]=0,0,LOG(Table2[[#This Row],[Geo Distance]]))</f>
        <v>3.7707018228379927</v>
      </c>
      <c r="G412">
        <v>10</v>
      </c>
      <c r="H412">
        <f>IF(Table2[[#This Row],[Target age]]=0,0,LOG(Table2[[#This Row],[Target age]]))</f>
        <v>1</v>
      </c>
      <c r="I412" s="45">
        <v>2.3199999999999998</v>
      </c>
      <c r="J412" s="9">
        <v>132</v>
      </c>
      <c r="K412" s="9">
        <f>IF(Table2[[#This Row],[Culture]]=0,0,LOG(Table2[[#This Row],[Culture]]))</f>
        <v>2.12057393120585</v>
      </c>
      <c r="L412" s="24">
        <v>0.69</v>
      </c>
      <c r="M412" s="9">
        <f>LOG(1+Table2[[#This Row],[S&amp;P]])</f>
        <v>0.22788670461367352</v>
      </c>
      <c r="N412">
        <v>21</v>
      </c>
      <c r="O412">
        <f>IF(Table2[[#This Row],[fund age]]=0,0,LOG(Table2[[#This Row],[fund age]]))</f>
        <v>1.3222192947339193</v>
      </c>
      <c r="P412">
        <f t="shared" si="6"/>
        <v>1</v>
      </c>
      <c r="Q412">
        <v>70</v>
      </c>
      <c r="R412">
        <v>70</v>
      </c>
      <c r="S412">
        <v>94.1</v>
      </c>
      <c r="T412" s="34">
        <v>32.200000000000003</v>
      </c>
      <c r="U412" s="42">
        <v>43.9397801796012</v>
      </c>
      <c r="V412">
        <v>2121.1374095989472</v>
      </c>
      <c r="W412">
        <f>LOG(Table2[[#This Row],[generalist]])</f>
        <v>3.3265688034989269</v>
      </c>
      <c r="X412" s="14">
        <v>2</v>
      </c>
      <c r="Y412">
        <v>4465.8119658119658</v>
      </c>
      <c r="Z412">
        <f>LOG(Table2[[#This Row],[country divers.]])</f>
        <v>3.64990043303693</v>
      </c>
      <c r="AA412">
        <v>200000000</v>
      </c>
      <c r="AB412">
        <f>LOG(Table2[[#This Row],[Firm Size]])</f>
        <v>8.3010299956639813</v>
      </c>
      <c r="AC412" s="80">
        <v>0.26297557440471619</v>
      </c>
    </row>
    <row r="413" spans="1:29" x14ac:dyDescent="0.35">
      <c r="A413" t="s">
        <v>59</v>
      </c>
      <c r="B413">
        <v>-1</v>
      </c>
      <c r="C413">
        <f>IF(Table2[[#This Row],[Return]]=-1,-1,LOG(1+Table2[[#This Row],[Return]]))</f>
        <v>-1</v>
      </c>
      <c r="D413">
        <v>3.7095890410958905</v>
      </c>
      <c r="E413">
        <v>5897.96</v>
      </c>
      <c r="F413">
        <f>IF(Table2[[#This Row],[Geo Distance]]=0,0,LOG(Table2[[#This Row],[Geo Distance]]))</f>
        <v>3.7707018228379927</v>
      </c>
      <c r="G413">
        <v>3</v>
      </c>
      <c r="H413">
        <f>IF(Table2[[#This Row],[Target age]]=0,0,LOG(Table2[[#This Row],[Target age]]))</f>
        <v>0.47712125471966244</v>
      </c>
      <c r="I413" s="45">
        <v>2.3199999999999998</v>
      </c>
      <c r="J413" s="9">
        <v>132</v>
      </c>
      <c r="K413" s="9">
        <f>IF(Table2[[#This Row],[Culture]]=0,0,LOG(Table2[[#This Row],[Culture]]))</f>
        <v>2.12057393120585</v>
      </c>
      <c r="L413" s="24">
        <v>-0.03</v>
      </c>
      <c r="M413" s="9">
        <f>LOG(1+Table2[[#This Row],[S&amp;P]])</f>
        <v>-1.322826573375516E-2</v>
      </c>
      <c r="N413">
        <v>15</v>
      </c>
      <c r="O413">
        <f>IF(Table2[[#This Row],[fund age]]=0,0,LOG(Table2[[#This Row],[fund age]]))</f>
        <v>1.1760912590556813</v>
      </c>
      <c r="P413">
        <f t="shared" si="6"/>
        <v>1</v>
      </c>
      <c r="Q413">
        <v>70</v>
      </c>
      <c r="R413">
        <v>70</v>
      </c>
      <c r="S413">
        <v>91.2</v>
      </c>
      <c r="T413" s="34">
        <v>33</v>
      </c>
      <c r="U413" s="42">
        <v>40.902544500539101</v>
      </c>
      <c r="V413">
        <v>2121.1374095989472</v>
      </c>
      <c r="W413">
        <f>LOG(Table2[[#This Row],[generalist]])</f>
        <v>3.3265688034989269</v>
      </c>
      <c r="X413" s="14">
        <v>2</v>
      </c>
      <c r="Y413">
        <v>4465.8119658119658</v>
      </c>
      <c r="Z413">
        <f>LOG(Table2[[#This Row],[country divers.]])</f>
        <v>3.64990043303693</v>
      </c>
      <c r="AA413">
        <v>286700000</v>
      </c>
      <c r="AB413">
        <f>LOG(Table2[[#This Row],[Firm Size]])</f>
        <v>8.4574276929464851</v>
      </c>
      <c r="AC413" s="80">
        <v>4.86542476677847E-2</v>
      </c>
    </row>
    <row r="414" spans="1:29" x14ac:dyDescent="0.35">
      <c r="A414" t="s">
        <v>59</v>
      </c>
      <c r="B414">
        <v>2.2935733333333332</v>
      </c>
      <c r="C414">
        <f>IF(Table2[[#This Row],[Return]]=-1,-1,LOG(1+Table2[[#This Row],[Return]]))</f>
        <v>0.51766733770540363</v>
      </c>
      <c r="D414">
        <v>1.8958904109589041</v>
      </c>
      <c r="E414">
        <v>5897.96</v>
      </c>
      <c r="F414">
        <f>IF(Table2[[#This Row],[Geo Distance]]=0,0,LOG(Table2[[#This Row],[Geo Distance]]))</f>
        <v>3.7707018228379927</v>
      </c>
      <c r="G414">
        <v>35</v>
      </c>
      <c r="H414">
        <f>IF(Table2[[#This Row],[Target age]]=0,0,LOG(Table2[[#This Row],[Target age]]))</f>
        <v>1.5440680443502757</v>
      </c>
      <c r="I414" s="45">
        <v>2.3199999999999998</v>
      </c>
      <c r="J414" s="9">
        <v>132</v>
      </c>
      <c r="K414" s="9">
        <f>IF(Table2[[#This Row],[Culture]]=0,0,LOG(Table2[[#This Row],[Culture]]))</f>
        <v>2.12057393120585</v>
      </c>
      <c r="L414" s="24">
        <v>0.32</v>
      </c>
      <c r="M414" s="9">
        <f>LOG(1+Table2[[#This Row],[S&amp;P]])</f>
        <v>0.12057393120584989</v>
      </c>
      <c r="N414">
        <v>35</v>
      </c>
      <c r="O414">
        <f>IF(Table2[[#This Row],[fund age]]=0,0,LOG(Table2[[#This Row],[fund age]]))</f>
        <v>1.5440680443502757</v>
      </c>
      <c r="P414">
        <f t="shared" si="6"/>
        <v>1</v>
      </c>
      <c r="Q414">
        <v>70</v>
      </c>
      <c r="R414">
        <v>70</v>
      </c>
      <c r="S414">
        <v>94.1</v>
      </c>
      <c r="T414" s="34">
        <v>32.200000000000003</v>
      </c>
      <c r="U414" s="42">
        <v>43.9397801796012</v>
      </c>
      <c r="V414">
        <v>2030.3304662743317</v>
      </c>
      <c r="W414">
        <f>LOG(Table2[[#This Row],[generalist]])</f>
        <v>3.3075667315086759</v>
      </c>
      <c r="X414" s="14">
        <v>2</v>
      </c>
      <c r="Y414">
        <v>6774.5586238116803</v>
      </c>
      <c r="Z414">
        <f>LOG(Table2[[#This Row],[country divers.]])</f>
        <v>3.8308810053047755</v>
      </c>
      <c r="AA414">
        <v>450000000</v>
      </c>
      <c r="AB414">
        <f>LOG(Table2[[#This Row],[Firm Size]])</f>
        <v>8.653212513775344</v>
      </c>
      <c r="AC414" s="80">
        <v>7.7754333136157427E-2</v>
      </c>
    </row>
    <row r="415" spans="1:29" x14ac:dyDescent="0.35">
      <c r="A415" t="s">
        <v>59</v>
      </c>
      <c r="B415">
        <v>0.79640287769784179</v>
      </c>
      <c r="C415">
        <f>IF(Table2[[#This Row],[Return]]=-1,-1,LOG(1+Table2[[#This Row],[Return]]))</f>
        <v>0.25440374209725269</v>
      </c>
      <c r="D415">
        <v>8.706849315068494</v>
      </c>
      <c r="E415">
        <v>5897.96</v>
      </c>
      <c r="F415">
        <f>IF(Table2[[#This Row],[Geo Distance]]=0,0,LOG(Table2[[#This Row],[Geo Distance]]))</f>
        <v>3.7707018228379927</v>
      </c>
      <c r="G415">
        <v>0</v>
      </c>
      <c r="H415">
        <f>IF(Table2[[#This Row],[Target age]]=0,0,LOG(Table2[[#This Row],[Target age]]))</f>
        <v>0</v>
      </c>
      <c r="I415" s="45">
        <v>2.3199999999999998</v>
      </c>
      <c r="J415" s="9">
        <v>132</v>
      </c>
      <c r="K415" s="9">
        <f>IF(Table2[[#This Row],[Culture]]=0,0,LOG(Table2[[#This Row],[Culture]]))</f>
        <v>2.12057393120585</v>
      </c>
      <c r="L415" s="24">
        <v>1.58</v>
      </c>
      <c r="M415" s="9">
        <f>LOG(1+Table2[[#This Row],[S&amp;P]])</f>
        <v>0.41161970596323016</v>
      </c>
      <c r="N415">
        <v>30</v>
      </c>
      <c r="O415">
        <f>IF(Table2[[#This Row],[fund age]]=0,0,LOG(Table2[[#This Row],[fund age]]))</f>
        <v>1.4771212547196624</v>
      </c>
      <c r="P415">
        <f t="shared" si="6"/>
        <v>1</v>
      </c>
      <c r="Q415">
        <v>70</v>
      </c>
      <c r="R415">
        <v>70</v>
      </c>
      <c r="S415">
        <v>90.8</v>
      </c>
      <c r="T415" s="34">
        <v>32.299999999999997</v>
      </c>
      <c r="U415" s="42">
        <v>44.4007960521485</v>
      </c>
      <c r="V415">
        <v>2030.3304662743317</v>
      </c>
      <c r="W415">
        <f>LOG(Table2[[#This Row],[generalist]])</f>
        <v>3.3075667315086759</v>
      </c>
      <c r="X415" s="14">
        <v>2</v>
      </c>
      <c r="Y415">
        <v>6774.5586238116803</v>
      </c>
      <c r="Z415">
        <f>LOG(Table2[[#This Row],[country divers.]])</f>
        <v>3.8308810053047755</v>
      </c>
      <c r="AA415">
        <v>417000000</v>
      </c>
      <c r="AB415">
        <f>LOG(Table2[[#This Row],[Firm Size]])</f>
        <v>8.6201360549737576</v>
      </c>
      <c r="AC415" s="80">
        <v>0.93396655738643153</v>
      </c>
    </row>
    <row r="416" spans="1:29" x14ac:dyDescent="0.35">
      <c r="A416" t="s">
        <v>59</v>
      </c>
      <c r="B416">
        <v>2.0186926738650874</v>
      </c>
      <c r="C416">
        <f>IF(Table2[[#This Row],[Return]]=-1,-1,LOG(1+Table2[[#This Row],[Return]]))</f>
        <v>0.4798189007546495</v>
      </c>
      <c r="D416">
        <v>4.9397260273972599</v>
      </c>
      <c r="E416">
        <v>5897.96</v>
      </c>
      <c r="F416">
        <f>IF(Table2[[#This Row],[Geo Distance]]=0,0,LOG(Table2[[#This Row],[Geo Distance]]))</f>
        <v>3.7707018228379927</v>
      </c>
      <c r="G416">
        <v>44</v>
      </c>
      <c r="H416">
        <f>IF(Table2[[#This Row],[Target age]]=0,0,LOG(Table2[[#This Row],[Target age]]))</f>
        <v>1.6434526764861874</v>
      </c>
      <c r="I416" s="45">
        <v>2.3199999999999998</v>
      </c>
      <c r="J416" s="9">
        <v>132</v>
      </c>
      <c r="K416" s="9">
        <f>IF(Table2[[#This Row],[Culture]]=0,0,LOG(Table2[[#This Row],[Culture]]))</f>
        <v>2.12057393120585</v>
      </c>
      <c r="L416" s="24">
        <v>0.77</v>
      </c>
      <c r="M416" s="9">
        <f>LOG(1+Table2[[#This Row],[S&amp;P]])</f>
        <v>0.24797326636180664</v>
      </c>
      <c r="N416">
        <v>24</v>
      </c>
      <c r="O416">
        <f>IF(Table2[[#This Row],[fund age]]=0,0,LOG(Table2[[#This Row],[fund age]]))</f>
        <v>1.3802112417116059</v>
      </c>
      <c r="P416">
        <f t="shared" si="6"/>
        <v>1</v>
      </c>
      <c r="Q416">
        <v>70</v>
      </c>
      <c r="R416">
        <v>70</v>
      </c>
      <c r="S416">
        <v>85</v>
      </c>
      <c r="T416" s="34">
        <v>31.5</v>
      </c>
      <c r="U416" s="42">
        <v>37.589394702761602</v>
      </c>
      <c r="V416">
        <v>2030.3304662743317</v>
      </c>
      <c r="W416">
        <f>LOG(Table2[[#This Row],[generalist]])</f>
        <v>3.3075667315086759</v>
      </c>
      <c r="X416" s="14">
        <v>2</v>
      </c>
      <c r="Y416">
        <v>6774.5586238116803</v>
      </c>
      <c r="Z416">
        <f>LOG(Table2[[#This Row],[country divers.]])</f>
        <v>3.8308810053047755</v>
      </c>
      <c r="AA416">
        <v>562850000</v>
      </c>
      <c r="AB416">
        <f>LOG(Table2[[#This Row],[Firm Size]])</f>
        <v>8.7503926704250539</v>
      </c>
      <c r="AC416" s="80">
        <v>0.78592359569929537</v>
      </c>
    </row>
    <row r="417" spans="1:29" x14ac:dyDescent="0.35">
      <c r="A417" t="s">
        <v>59</v>
      </c>
      <c r="B417">
        <v>1.7419354838709675</v>
      </c>
      <c r="C417">
        <f>IF(Table2[[#This Row],[Return]]=-1,-1,LOG(1+Table2[[#This Row],[Return]]))</f>
        <v>0.43805723188001999</v>
      </c>
      <c r="D417">
        <v>2.0301369863013701</v>
      </c>
      <c r="E417">
        <v>5897.96</v>
      </c>
      <c r="F417">
        <f>IF(Table2[[#This Row],[Geo Distance]]=0,0,LOG(Table2[[#This Row],[Geo Distance]]))</f>
        <v>3.7707018228379927</v>
      </c>
      <c r="G417">
        <v>20</v>
      </c>
      <c r="H417">
        <f>IF(Table2[[#This Row],[Target age]]=0,0,LOG(Table2[[#This Row],[Target age]]))</f>
        <v>1.3010299956639813</v>
      </c>
      <c r="I417" s="45">
        <v>2.3199999999999998</v>
      </c>
      <c r="J417" s="9">
        <v>132</v>
      </c>
      <c r="K417" s="9">
        <f>IF(Table2[[#This Row],[Culture]]=0,0,LOG(Table2[[#This Row],[Culture]]))</f>
        <v>2.12057393120585</v>
      </c>
      <c r="L417" s="24">
        <v>0.01</v>
      </c>
      <c r="M417" s="9">
        <f>LOG(1+Table2[[#This Row],[S&amp;P]])</f>
        <v>4.3213737826425782E-3</v>
      </c>
      <c r="N417">
        <v>7</v>
      </c>
      <c r="O417">
        <f>IF(Table2[[#This Row],[fund age]]=0,0,LOG(Table2[[#This Row],[fund age]]))</f>
        <v>0.84509804001425681</v>
      </c>
      <c r="P417">
        <f t="shared" si="6"/>
        <v>1</v>
      </c>
      <c r="Q417">
        <v>70</v>
      </c>
      <c r="R417">
        <v>70</v>
      </c>
      <c r="S417">
        <v>91.5</v>
      </c>
      <c r="T417" s="34">
        <v>32.9</v>
      </c>
      <c r="U417" s="42">
        <v>40.767390998852598</v>
      </c>
      <c r="V417">
        <v>5683.8649945290799</v>
      </c>
      <c r="W417">
        <f>LOG(Table2[[#This Row],[generalist]])</f>
        <v>3.754643753838935</v>
      </c>
      <c r="X417" s="14">
        <v>1</v>
      </c>
      <c r="Y417">
        <v>6345.4254692365948</v>
      </c>
      <c r="Z417">
        <f>LOG(Table2[[#This Row],[country divers.]])</f>
        <v>3.8024607474309908</v>
      </c>
      <c r="AA417">
        <v>62000000</v>
      </c>
      <c r="AB417">
        <f>LOG(Table2[[#This Row],[Firm Size]])</f>
        <v>7.7923916894982534</v>
      </c>
      <c r="AC417" s="80">
        <v>-6.4540264740006292E-2</v>
      </c>
    </row>
    <row r="418" spans="1:29" x14ac:dyDescent="0.35">
      <c r="A418" t="s">
        <v>59</v>
      </c>
      <c r="B418">
        <v>3.1428571428571432</v>
      </c>
      <c r="C418">
        <f>IF(Table2[[#This Row],[Return]]=-1,-1,LOG(1+Table2[[#This Row],[Return]]))</f>
        <v>0.61729995788469927</v>
      </c>
      <c r="D418">
        <v>6.0739726027397261</v>
      </c>
      <c r="E418">
        <v>5897.96</v>
      </c>
      <c r="F418">
        <f>IF(Table2[[#This Row],[Geo Distance]]=0,0,LOG(Table2[[#This Row],[Geo Distance]]))</f>
        <v>3.7707018228379927</v>
      </c>
      <c r="G418">
        <v>7</v>
      </c>
      <c r="H418">
        <f>IF(Table2[[#This Row],[Target age]]=0,0,LOG(Table2[[#This Row],[Target age]]))</f>
        <v>0.84509804001425681</v>
      </c>
      <c r="I418" s="45">
        <v>2.3199999999999998</v>
      </c>
      <c r="J418" s="9">
        <v>132</v>
      </c>
      <c r="K418" s="9">
        <f>IF(Table2[[#This Row],[Culture]]=0,0,LOG(Table2[[#This Row],[Culture]]))</f>
        <v>2.12057393120585</v>
      </c>
      <c r="L418" s="24">
        <v>0.02</v>
      </c>
      <c r="M418" s="9">
        <f>LOG(1+Table2[[#This Row],[S&amp;P]])</f>
        <v>8.6001717619175692E-3</v>
      </c>
      <c r="N418">
        <v>24</v>
      </c>
      <c r="O418">
        <f>IF(Table2[[#This Row],[fund age]]=0,0,LOG(Table2[[#This Row],[fund age]]))</f>
        <v>1.3802112417116059</v>
      </c>
      <c r="P418">
        <f t="shared" si="6"/>
        <v>1</v>
      </c>
      <c r="Q418">
        <v>70</v>
      </c>
      <c r="R418">
        <v>70</v>
      </c>
      <c r="S418">
        <v>85</v>
      </c>
      <c r="T418" s="34">
        <v>32.299999999999997</v>
      </c>
      <c r="U418" s="42">
        <v>40.040400531970803</v>
      </c>
      <c r="V418">
        <v>2162.0762565470354</v>
      </c>
      <c r="W418">
        <f>LOG(Table2[[#This Row],[generalist]])</f>
        <v>3.3348710074773962</v>
      </c>
      <c r="X418" s="14">
        <v>5</v>
      </c>
      <c r="Y418">
        <v>3168.4194524674895</v>
      </c>
      <c r="Z418">
        <f>LOG(Table2[[#This Row],[country divers.]])</f>
        <v>3.5008426709709495</v>
      </c>
      <c r="AA418">
        <v>38570000</v>
      </c>
      <c r="AB418">
        <f>LOG(Table2[[#This Row],[Firm Size]])</f>
        <v>7.5862496388660423</v>
      </c>
      <c r="AC418" s="80">
        <v>0.2221437349004789</v>
      </c>
    </row>
    <row r="419" spans="1:29" x14ac:dyDescent="0.35">
      <c r="A419" t="s">
        <v>59</v>
      </c>
      <c r="B419">
        <v>2.6766216216216216</v>
      </c>
      <c r="C419">
        <f>IF(Table2[[#This Row],[Return]]=-1,-1,LOG(1+Table2[[#This Row],[Return]]))</f>
        <v>0.56544893688616582</v>
      </c>
      <c r="D419">
        <v>4.6630136986301371</v>
      </c>
      <c r="E419">
        <v>5897.96</v>
      </c>
      <c r="F419">
        <f>IF(Table2[[#This Row],[Geo Distance]]=0,0,LOG(Table2[[#This Row],[Geo Distance]]))</f>
        <v>3.7707018228379927</v>
      </c>
      <c r="G419">
        <v>9</v>
      </c>
      <c r="H419">
        <f>IF(Table2[[#This Row],[Target age]]=0,0,LOG(Table2[[#This Row],[Target age]]))</f>
        <v>0.95424250943932487</v>
      </c>
      <c r="I419" s="45">
        <v>2.3199999999999998</v>
      </c>
      <c r="J419" s="9">
        <v>132</v>
      </c>
      <c r="K419" s="9">
        <f>IF(Table2[[#This Row],[Culture]]=0,0,LOG(Table2[[#This Row],[Culture]]))</f>
        <v>2.12057393120585</v>
      </c>
      <c r="L419" s="24">
        <v>0.83</v>
      </c>
      <c r="M419" s="9">
        <f>LOG(1+Table2[[#This Row],[S&amp;P]])</f>
        <v>0.26245108973042947</v>
      </c>
      <c r="N419">
        <v>23</v>
      </c>
      <c r="O419">
        <f>IF(Table2[[#This Row],[fund age]]=0,0,LOG(Table2[[#This Row],[fund age]]))</f>
        <v>1.3617278360175928</v>
      </c>
      <c r="P419">
        <f t="shared" si="6"/>
        <v>1</v>
      </c>
      <c r="Q419">
        <v>70</v>
      </c>
      <c r="R419">
        <v>70</v>
      </c>
      <c r="S419">
        <v>85</v>
      </c>
      <c r="T419" s="34">
        <v>31.3</v>
      </c>
      <c r="U419" s="42">
        <v>38.7850112673514</v>
      </c>
      <c r="V419">
        <v>2162.0762565470354</v>
      </c>
      <c r="W419">
        <f>LOG(Table2[[#This Row],[generalist]])</f>
        <v>3.3348710074773962</v>
      </c>
      <c r="X419" s="14">
        <v>5</v>
      </c>
      <c r="Y419">
        <v>3168.4194524674895</v>
      </c>
      <c r="Z419">
        <f>LOG(Table2[[#This Row],[country divers.]])</f>
        <v>3.5008426709709495</v>
      </c>
      <c r="AA419">
        <v>74000000</v>
      </c>
      <c r="AB419">
        <f>LOG(Table2[[#This Row],[Firm Size]])</f>
        <v>7.8692317197309762</v>
      </c>
      <c r="AC419" s="80">
        <v>0.91934541526115043</v>
      </c>
    </row>
    <row r="420" spans="1:29" x14ac:dyDescent="0.35">
      <c r="A420" t="s">
        <v>59</v>
      </c>
      <c r="B420">
        <v>-0.53415061295971977</v>
      </c>
      <c r="C420">
        <f>IF(Table2[[#This Row],[Return]]=-1,-1,LOG(1+Table2[[#This Row],[Return]]))</f>
        <v>-0.33175447161478105</v>
      </c>
      <c r="D420">
        <v>8.0273972602739718</v>
      </c>
      <c r="E420">
        <v>5897.96</v>
      </c>
      <c r="F420">
        <f>IF(Table2[[#This Row],[Geo Distance]]=0,0,LOG(Table2[[#This Row],[Geo Distance]]))</f>
        <v>3.7707018228379927</v>
      </c>
      <c r="G420">
        <v>0</v>
      </c>
      <c r="H420">
        <f>IF(Table2[[#This Row],[Target age]]=0,0,LOG(Table2[[#This Row],[Target age]]))</f>
        <v>0</v>
      </c>
      <c r="I420" s="45">
        <v>2.3199999999999998</v>
      </c>
      <c r="J420" s="9">
        <v>132</v>
      </c>
      <c r="K420" s="9">
        <f>IF(Table2[[#This Row],[Culture]]=0,0,LOG(Table2[[#This Row],[Culture]]))</f>
        <v>2.12057393120585</v>
      </c>
      <c r="L420" s="24">
        <v>0.54</v>
      </c>
      <c r="M420" s="9">
        <f>LOG(1+Table2[[#This Row],[S&amp;P]])</f>
        <v>0.18752072083646307</v>
      </c>
      <c r="N420">
        <v>5</v>
      </c>
      <c r="O420">
        <f>IF(Table2[[#This Row],[fund age]]=0,0,LOG(Table2[[#This Row],[fund age]]))</f>
        <v>0.69897000433601886</v>
      </c>
      <c r="P420">
        <f t="shared" si="6"/>
        <v>1</v>
      </c>
      <c r="Q420">
        <v>70</v>
      </c>
      <c r="R420">
        <v>70</v>
      </c>
      <c r="S420">
        <v>91.5</v>
      </c>
      <c r="T420" s="34">
        <v>32.9</v>
      </c>
      <c r="U420" s="42">
        <v>40.767390998852598</v>
      </c>
      <c r="V420">
        <v>2056.25</v>
      </c>
      <c r="W420">
        <f>LOG(Table2[[#This Row],[generalist]])</f>
        <v>3.3130759152940494</v>
      </c>
      <c r="X420" s="14">
        <v>5</v>
      </c>
      <c r="Y420">
        <v>6190.625</v>
      </c>
      <c r="Z420">
        <f>LOG(Table2[[#This Row],[country divers.]])</f>
        <v>3.7917344972186413</v>
      </c>
      <c r="AA420">
        <v>571000000</v>
      </c>
      <c r="AB420">
        <f>LOG(Table2[[#This Row],[Firm Size]])</f>
        <v>8.7566361082458481</v>
      </c>
      <c r="AC420" s="80">
        <v>0.27700395465035732</v>
      </c>
    </row>
    <row r="421" spans="1:29" x14ac:dyDescent="0.35">
      <c r="A421" t="s">
        <v>59</v>
      </c>
      <c r="B421">
        <v>1.172043010752688</v>
      </c>
      <c r="C421">
        <f>IF(Table2[[#This Row],[Return]]=-1,-1,LOG(1+Table2[[#This Row],[Return]]))</f>
        <v>0.33686842089268865</v>
      </c>
      <c r="D421">
        <v>0.9452054794520548</v>
      </c>
      <c r="E421">
        <v>5897.96</v>
      </c>
      <c r="F421">
        <f>IF(Table2[[#This Row],[Geo Distance]]=0,0,LOG(Table2[[#This Row],[Geo Distance]]))</f>
        <v>3.7707018228379927</v>
      </c>
      <c r="G421">
        <v>120</v>
      </c>
      <c r="H421">
        <f>IF(Table2[[#This Row],[Target age]]=0,0,LOG(Table2[[#This Row],[Target age]]))</f>
        <v>2.0791812460476247</v>
      </c>
      <c r="I421" s="45">
        <v>2.3199999999999998</v>
      </c>
      <c r="J421" s="9">
        <v>132</v>
      </c>
      <c r="K421" s="9">
        <f>IF(Table2[[#This Row],[Culture]]=0,0,LOG(Table2[[#This Row],[Culture]]))</f>
        <v>2.12057393120585</v>
      </c>
      <c r="L421" s="24">
        <v>0.05</v>
      </c>
      <c r="M421" s="9">
        <f>LOG(1+Table2[[#This Row],[S&amp;P]])</f>
        <v>2.1189299069938092E-2</v>
      </c>
      <c r="N421">
        <v>3</v>
      </c>
      <c r="O421">
        <f>IF(Table2[[#This Row],[fund age]]=0,0,LOG(Table2[[#This Row],[fund age]]))</f>
        <v>0.47712125471966244</v>
      </c>
      <c r="P421">
        <f t="shared" si="6"/>
        <v>1</v>
      </c>
      <c r="Q421">
        <v>70</v>
      </c>
      <c r="R421">
        <v>70</v>
      </c>
      <c r="S421">
        <v>85</v>
      </c>
      <c r="T421" s="34">
        <v>32.299999999999997</v>
      </c>
      <c r="U421" s="42">
        <v>40.040400531970803</v>
      </c>
      <c r="V421">
        <v>2056.25</v>
      </c>
      <c r="W421">
        <f>LOG(Table2[[#This Row],[generalist]])</f>
        <v>3.3130759152940494</v>
      </c>
      <c r="X421" s="14">
        <v>5</v>
      </c>
      <c r="Y421">
        <v>6190.625</v>
      </c>
      <c r="Z421">
        <f>LOG(Table2[[#This Row],[country divers.]])</f>
        <v>3.7917344972186413</v>
      </c>
      <c r="AA421">
        <v>93000000</v>
      </c>
      <c r="AB421">
        <f>LOG(Table2[[#This Row],[Firm Size]])</f>
        <v>7.9684829485539348</v>
      </c>
      <c r="AC421" s="80">
        <v>0.1099964801126363</v>
      </c>
    </row>
    <row r="422" spans="1:29" x14ac:dyDescent="0.35">
      <c r="A422" t="s">
        <v>59</v>
      </c>
      <c r="B422">
        <v>0.76470588235294112</v>
      </c>
      <c r="C422">
        <f>IF(Table2[[#This Row],[Return]]=-1,-1,LOG(1+Table2[[#This Row],[Return]]))</f>
        <v>0.24667233334138849</v>
      </c>
      <c r="D422">
        <v>4.3506849315068497</v>
      </c>
      <c r="E422">
        <v>5897.96</v>
      </c>
      <c r="F422">
        <f>IF(Table2[[#This Row],[Geo Distance]]=0,0,LOG(Table2[[#This Row],[Geo Distance]]))</f>
        <v>3.7707018228379927</v>
      </c>
      <c r="G422">
        <v>22</v>
      </c>
      <c r="H422">
        <f>IF(Table2[[#This Row],[Target age]]=0,0,LOG(Table2[[#This Row],[Target age]]))</f>
        <v>1.3424226808222062</v>
      </c>
      <c r="I422" s="45">
        <v>2.3199999999999998</v>
      </c>
      <c r="J422" s="9">
        <v>132</v>
      </c>
      <c r="K422" s="9">
        <f>IF(Table2[[#This Row],[Culture]]=0,0,LOG(Table2[[#This Row],[Culture]]))</f>
        <v>2.12057393120585</v>
      </c>
      <c r="L422" s="24">
        <v>0.1</v>
      </c>
      <c r="M422" s="9">
        <f>LOG(1+Table2[[#This Row],[S&amp;P]])</f>
        <v>4.1392685158225077E-2</v>
      </c>
      <c r="N422">
        <v>15</v>
      </c>
      <c r="O422">
        <f>IF(Table2[[#This Row],[fund age]]=0,0,LOG(Table2[[#This Row],[fund age]]))</f>
        <v>1.1760912590556813</v>
      </c>
      <c r="P422">
        <f t="shared" si="6"/>
        <v>1</v>
      </c>
      <c r="Q422">
        <v>70</v>
      </c>
      <c r="R422">
        <v>70</v>
      </c>
      <c r="S422">
        <v>90.8</v>
      </c>
      <c r="T422" s="34">
        <v>32.299999999999997</v>
      </c>
      <c r="U422" s="42">
        <v>44.4007960521485</v>
      </c>
      <c r="V422">
        <v>3400</v>
      </c>
      <c r="W422">
        <f>LOG(Table2[[#This Row],[generalist]])</f>
        <v>3.5314789170422549</v>
      </c>
      <c r="X422" s="14">
        <v>4</v>
      </c>
      <c r="Y422">
        <v>8861.3406795224982</v>
      </c>
      <c r="Z422">
        <f>LOG(Table2[[#This Row],[country divers.]])</f>
        <v>3.9474994335880176</v>
      </c>
      <c r="AA422">
        <v>170000000</v>
      </c>
      <c r="AB422">
        <f>LOG(Table2[[#This Row],[Firm Size]])</f>
        <v>8.2304489213782741</v>
      </c>
      <c r="AC422" s="80">
        <v>0.11380813287716118</v>
      </c>
    </row>
    <row r="423" spans="1:29" x14ac:dyDescent="0.35">
      <c r="A423" t="s">
        <v>59</v>
      </c>
      <c r="B423">
        <v>0.48583877995642699</v>
      </c>
      <c r="C423">
        <f>IF(Table2[[#This Row],[Return]]=-1,-1,LOG(1+Table2[[#This Row],[Return]]))</f>
        <v>0.17197168911921767</v>
      </c>
      <c r="D423">
        <v>3.7095890410958905</v>
      </c>
      <c r="E423">
        <v>0</v>
      </c>
      <c r="F423">
        <f>IF(Table2[[#This Row],[Geo Distance]]=0,0,LOG(Table2[[#This Row],[Geo Distance]]))</f>
        <v>0</v>
      </c>
      <c r="G423">
        <v>13</v>
      </c>
      <c r="H423">
        <f>IF(Table2[[#This Row],[Target age]]=0,0,LOG(Table2[[#This Row],[Target age]]))</f>
        <v>1.1139433523068367</v>
      </c>
      <c r="I423" s="45">
        <v>3.29</v>
      </c>
      <c r="J423" s="9">
        <v>0</v>
      </c>
      <c r="K423" s="9">
        <f>IF(Table2[[#This Row],[Culture]]=0,0,LOG(Table2[[#This Row],[Culture]]))</f>
        <v>0</v>
      </c>
      <c r="L423" s="24">
        <v>0.69</v>
      </c>
      <c r="M423" s="9">
        <f>LOG(1+Table2[[#This Row],[S&amp;P]])</f>
        <v>0.22788670461367352</v>
      </c>
      <c r="N423">
        <v>30</v>
      </c>
      <c r="O423">
        <f>IF(Table2[[#This Row],[fund age]]=0,0,LOG(Table2[[#This Row],[fund age]]))</f>
        <v>1.4771212547196624</v>
      </c>
      <c r="P423">
        <f t="shared" si="6"/>
        <v>0</v>
      </c>
      <c r="Q423">
        <v>70</v>
      </c>
      <c r="R423">
        <v>70</v>
      </c>
      <c r="S423">
        <v>94.6</v>
      </c>
      <c r="T423" s="34">
        <v>33.200000000000003</v>
      </c>
      <c r="U423" s="42">
        <v>45.921427555082097</v>
      </c>
      <c r="V423">
        <v>1669.0315000000001</v>
      </c>
      <c r="W423">
        <f>LOG(Table2[[#This Row],[generalist]])</f>
        <v>3.2224645332922388</v>
      </c>
      <c r="X423" s="14">
        <v>3</v>
      </c>
      <c r="Y423">
        <v>5094.7950000000001</v>
      </c>
      <c r="Z423">
        <f>LOG(Table2[[#This Row],[country divers.]])</f>
        <v>3.707126713924402</v>
      </c>
      <c r="AA423">
        <v>459000000</v>
      </c>
      <c r="AB423">
        <f>LOG(Table2[[#This Row],[Firm Size]])</f>
        <v>8.6618126855372619</v>
      </c>
      <c r="AC423" s="80">
        <v>0.28521588009567744</v>
      </c>
    </row>
    <row r="424" spans="1:29" x14ac:dyDescent="0.35">
      <c r="A424" t="s">
        <v>59</v>
      </c>
      <c r="B424">
        <v>-0.65925925925925921</v>
      </c>
      <c r="C424">
        <f>IF(Table2[[#This Row],[Return]]=-1,-1,LOG(1+Table2[[#This Row],[Return]]))</f>
        <v>-0.46757593681343196</v>
      </c>
      <c r="D424">
        <v>6.1013698630136988</v>
      </c>
      <c r="E424">
        <v>0</v>
      </c>
      <c r="F424">
        <f>IF(Table2[[#This Row],[Geo Distance]]=0,0,LOG(Table2[[#This Row],[Geo Distance]]))</f>
        <v>0</v>
      </c>
      <c r="G424">
        <v>0</v>
      </c>
      <c r="H424">
        <f>IF(Table2[[#This Row],[Target age]]=0,0,LOG(Table2[[#This Row],[Target age]]))</f>
        <v>0</v>
      </c>
      <c r="I424" s="45">
        <v>3.29</v>
      </c>
      <c r="J424" s="9">
        <v>0</v>
      </c>
      <c r="K424" s="9">
        <f>IF(Table2[[#This Row],[Culture]]=0,0,LOG(Table2[[#This Row],[Culture]]))</f>
        <v>0</v>
      </c>
      <c r="L424" s="24">
        <v>-0.01</v>
      </c>
      <c r="M424" s="9">
        <f>LOG(1+Table2[[#This Row],[S&amp;P]])</f>
        <v>-4.3648054024500883E-3</v>
      </c>
      <c r="N424">
        <v>17</v>
      </c>
      <c r="O424">
        <f>IF(Table2[[#This Row],[fund age]]=0,0,LOG(Table2[[#This Row],[fund age]]))</f>
        <v>1.2304489213782739</v>
      </c>
      <c r="P424">
        <f t="shared" si="6"/>
        <v>0</v>
      </c>
      <c r="Q424">
        <v>70</v>
      </c>
      <c r="R424">
        <v>70</v>
      </c>
      <c r="S424">
        <v>85</v>
      </c>
      <c r="T424" s="34">
        <v>31.5</v>
      </c>
      <c r="U424" s="42">
        <v>35.516899069648296</v>
      </c>
      <c r="V424">
        <v>1669.0315000000001</v>
      </c>
      <c r="W424">
        <f>LOG(Table2[[#This Row],[generalist]])</f>
        <v>3.2224645332922388</v>
      </c>
      <c r="X424" s="14">
        <v>3</v>
      </c>
      <c r="Y424">
        <v>5094.7950000000001</v>
      </c>
      <c r="Z424">
        <f>LOG(Table2[[#This Row],[country divers.]])</f>
        <v>3.707126713924402</v>
      </c>
      <c r="AA424">
        <v>135000000</v>
      </c>
      <c r="AB424">
        <f>LOG(Table2[[#This Row],[Firm Size]])</f>
        <v>8.1303337684950066</v>
      </c>
      <c r="AC424" s="80">
        <v>-0.21968192939531639</v>
      </c>
    </row>
    <row r="425" spans="1:29" x14ac:dyDescent="0.35">
      <c r="A425" t="s">
        <v>59</v>
      </c>
      <c r="B425">
        <v>-0.59761544101087394</v>
      </c>
      <c r="C425">
        <f>IF(Table2[[#This Row],[Return]]=-1,-1,LOG(1+Table2[[#This Row],[Return]]))</f>
        <v>-0.3953586931471641</v>
      </c>
      <c r="D425">
        <v>4.9616438356164387</v>
      </c>
      <c r="E425">
        <v>0</v>
      </c>
      <c r="F425">
        <f>IF(Table2[[#This Row],[Geo Distance]]=0,0,LOG(Table2[[#This Row],[Geo Distance]]))</f>
        <v>0</v>
      </c>
      <c r="G425">
        <v>0</v>
      </c>
      <c r="H425">
        <f>IF(Table2[[#This Row],[Target age]]=0,0,LOG(Table2[[#This Row],[Target age]]))</f>
        <v>0</v>
      </c>
      <c r="I425" s="45">
        <v>3.29</v>
      </c>
      <c r="J425" s="9">
        <v>0</v>
      </c>
      <c r="K425" s="9">
        <f>IF(Table2[[#This Row],[Culture]]=0,0,LOG(Table2[[#This Row],[Culture]]))</f>
        <v>0</v>
      </c>
      <c r="L425" s="24">
        <v>-0.06</v>
      </c>
      <c r="M425" s="9">
        <f>LOG(1+Table2[[#This Row],[S&amp;P]])</f>
        <v>-2.6872146400301365E-2</v>
      </c>
      <c r="N425">
        <v>16</v>
      </c>
      <c r="O425">
        <f>IF(Table2[[#This Row],[fund age]]=0,0,LOG(Table2[[#This Row],[fund age]]))</f>
        <v>1.2041199826559248</v>
      </c>
      <c r="P425">
        <f t="shared" si="6"/>
        <v>0</v>
      </c>
      <c r="Q425">
        <v>70</v>
      </c>
      <c r="R425">
        <v>70</v>
      </c>
      <c r="S425">
        <v>85</v>
      </c>
      <c r="T425" s="34">
        <v>30</v>
      </c>
      <c r="U425" s="42">
        <v>35.807885111275297</v>
      </c>
      <c r="V425">
        <v>1669.0315000000001</v>
      </c>
      <c r="W425">
        <f>LOG(Table2[[#This Row],[generalist]])</f>
        <v>3.2224645332922388</v>
      </c>
      <c r="X425" s="14">
        <v>3</v>
      </c>
      <c r="Y425">
        <v>5094.7950000000001</v>
      </c>
      <c r="Z425">
        <f>LOG(Table2[[#This Row],[country divers.]])</f>
        <v>3.707126713924402</v>
      </c>
      <c r="AA425">
        <v>121028501</v>
      </c>
      <c r="AB425">
        <f>LOG(Table2[[#This Row],[Firm Size]])</f>
        <v>8.082887654361798</v>
      </c>
      <c r="AC425" s="80">
        <v>-0.2075265421151089</v>
      </c>
    </row>
    <row r="426" spans="1:29" x14ac:dyDescent="0.35">
      <c r="A426" t="s">
        <v>59</v>
      </c>
      <c r="B426">
        <v>-0.82088529839034508</v>
      </c>
      <c r="C426">
        <f>IF(Table2[[#This Row],[Return]]=-1,-1,LOG(1+Table2[[#This Row],[Return]]))</f>
        <v>-0.74686876610010333</v>
      </c>
      <c r="D426">
        <v>13.641095890410959</v>
      </c>
      <c r="E426">
        <v>0</v>
      </c>
      <c r="F426">
        <f>IF(Table2[[#This Row],[Geo Distance]]=0,0,LOG(Table2[[#This Row],[Geo Distance]]))</f>
        <v>0</v>
      </c>
      <c r="G426">
        <v>9</v>
      </c>
      <c r="H426">
        <f>IF(Table2[[#This Row],[Target age]]=0,0,LOG(Table2[[#This Row],[Target age]]))</f>
        <v>0.95424250943932487</v>
      </c>
      <c r="I426" s="45">
        <v>3.29</v>
      </c>
      <c r="J426" s="9">
        <v>0</v>
      </c>
      <c r="K426" s="9">
        <f>IF(Table2[[#This Row],[Culture]]=0,0,LOG(Table2[[#This Row],[Culture]]))</f>
        <v>0</v>
      </c>
      <c r="L426" s="24">
        <v>0.08</v>
      </c>
      <c r="M426" s="9">
        <f>LOG(1+Table2[[#This Row],[S&amp;P]])</f>
        <v>3.342375548694973E-2</v>
      </c>
      <c r="N426">
        <v>18</v>
      </c>
      <c r="O426">
        <f>IF(Table2[[#This Row],[fund age]]=0,0,LOG(Table2[[#This Row],[fund age]]))</f>
        <v>1.255272505103306</v>
      </c>
      <c r="P426">
        <f t="shared" si="6"/>
        <v>0</v>
      </c>
      <c r="Q426">
        <v>70</v>
      </c>
      <c r="R426">
        <v>70</v>
      </c>
      <c r="S426">
        <v>85</v>
      </c>
      <c r="T426" s="34">
        <v>32.200000000000003</v>
      </c>
      <c r="U426" s="42">
        <v>35.326012114535303</v>
      </c>
      <c r="V426">
        <v>1669.0315000000001</v>
      </c>
      <c r="W426">
        <f>LOG(Table2[[#This Row],[generalist]])</f>
        <v>3.2224645332922388</v>
      </c>
      <c r="X426" s="14">
        <v>3</v>
      </c>
      <c r="Y426">
        <v>5094.7950000000001</v>
      </c>
      <c r="Z426">
        <f>LOG(Table2[[#This Row],[country divers.]])</f>
        <v>3.707126713924402</v>
      </c>
      <c r="AA426">
        <v>126865700</v>
      </c>
      <c r="AB426">
        <f>LOG(Table2[[#This Row],[Firm Size]])</f>
        <v>8.1033442200910457</v>
      </c>
      <c r="AC426" s="80">
        <v>4.3610780709342434E-2</v>
      </c>
    </row>
    <row r="427" spans="1:29" x14ac:dyDescent="0.35">
      <c r="A427" t="s">
        <v>59</v>
      </c>
      <c r="B427">
        <v>1.2993098732075472</v>
      </c>
      <c r="C427">
        <f>IF(Table2[[#This Row],[Return]]=-1,-1,LOG(1+Table2[[#This Row],[Return]]))</f>
        <v>0.36159750417725695</v>
      </c>
      <c r="D427">
        <v>5.6383561643835618</v>
      </c>
      <c r="E427">
        <v>0</v>
      </c>
      <c r="F427">
        <f>IF(Table2[[#This Row],[Geo Distance]]=0,0,LOG(Table2[[#This Row],[Geo Distance]]))</f>
        <v>0</v>
      </c>
      <c r="G427">
        <v>138</v>
      </c>
      <c r="H427">
        <f>IF(Table2[[#This Row],[Target age]]=0,0,LOG(Table2[[#This Row],[Target age]]))</f>
        <v>2.1398790864012365</v>
      </c>
      <c r="I427" s="45">
        <v>3.29</v>
      </c>
      <c r="J427" s="9">
        <v>0</v>
      </c>
      <c r="K427" s="9">
        <f>IF(Table2[[#This Row],[Culture]]=0,0,LOG(Table2[[#This Row],[Culture]]))</f>
        <v>0</v>
      </c>
      <c r="L427" s="24">
        <v>-0.06</v>
      </c>
      <c r="M427" s="9">
        <f>LOG(1+Table2[[#This Row],[S&amp;P]])</f>
        <v>-2.6872146400301365E-2</v>
      </c>
      <c r="N427">
        <v>18</v>
      </c>
      <c r="O427">
        <f>IF(Table2[[#This Row],[fund age]]=0,0,LOG(Table2[[#This Row],[fund age]]))</f>
        <v>1.255272505103306</v>
      </c>
      <c r="P427">
        <f t="shared" si="6"/>
        <v>0</v>
      </c>
      <c r="Q427">
        <v>70</v>
      </c>
      <c r="R427">
        <v>70</v>
      </c>
      <c r="S427">
        <v>85</v>
      </c>
      <c r="T427" s="34">
        <v>32.299999999999997</v>
      </c>
      <c r="U427" s="42">
        <v>40.040400531970803</v>
      </c>
      <c r="V427">
        <v>1655.11</v>
      </c>
      <c r="W427">
        <f>LOG(Table2[[#This Row],[generalist]])</f>
        <v>3.2188268626467691</v>
      </c>
      <c r="X427" s="14">
        <v>2</v>
      </c>
      <c r="Y427">
        <v>5715.55</v>
      </c>
      <c r="Z427">
        <f>LOG(Table2[[#This Row],[country divers.]])</f>
        <v>3.7570580283396975</v>
      </c>
      <c r="AA427">
        <v>662500000</v>
      </c>
      <c r="AB427">
        <f>LOG(Table2[[#This Row],[Firm Size]])</f>
        <v>8.8211858826088463</v>
      </c>
      <c r="AC427" s="80">
        <v>0.19104123140658213</v>
      </c>
    </row>
    <row r="428" spans="1:29" x14ac:dyDescent="0.35">
      <c r="A428" t="s">
        <v>59</v>
      </c>
      <c r="B428">
        <v>0.69230769230769229</v>
      </c>
      <c r="C428">
        <f>IF(Table2[[#This Row],[Return]]=-1,-1,LOG(1+Table2[[#This Row],[Return]]))</f>
        <v>0.22847932851536945</v>
      </c>
      <c r="D428">
        <v>5.6958904109589037</v>
      </c>
      <c r="E428">
        <v>0</v>
      </c>
      <c r="F428">
        <f>IF(Table2[[#This Row],[Geo Distance]]=0,0,LOG(Table2[[#This Row],[Geo Distance]]))</f>
        <v>0</v>
      </c>
      <c r="G428">
        <v>7</v>
      </c>
      <c r="H428">
        <f>IF(Table2[[#This Row],[Target age]]=0,0,LOG(Table2[[#This Row],[Target age]]))</f>
        <v>0.84509804001425681</v>
      </c>
      <c r="I428" s="45">
        <v>3.29</v>
      </c>
      <c r="J428" s="9">
        <v>0</v>
      </c>
      <c r="K428" s="9">
        <f>IF(Table2[[#This Row],[Culture]]=0,0,LOG(Table2[[#This Row],[Culture]]))</f>
        <v>0</v>
      </c>
      <c r="L428" s="24">
        <v>-0.15</v>
      </c>
      <c r="M428" s="9">
        <f>LOG(1+Table2[[#This Row],[S&amp;P]])</f>
        <v>-7.0581074285707285E-2</v>
      </c>
      <c r="N428">
        <v>14</v>
      </c>
      <c r="O428">
        <f>IF(Table2[[#This Row],[fund age]]=0,0,LOG(Table2[[#This Row],[fund age]]))</f>
        <v>1.146128035678238</v>
      </c>
      <c r="P428">
        <f t="shared" si="6"/>
        <v>0</v>
      </c>
      <c r="Q428">
        <v>70</v>
      </c>
      <c r="R428">
        <v>70</v>
      </c>
      <c r="S428">
        <v>85</v>
      </c>
      <c r="T428" s="34">
        <v>32.9</v>
      </c>
      <c r="U428" s="42">
        <v>35.433808146393098</v>
      </c>
      <c r="V428">
        <v>1655.11</v>
      </c>
      <c r="W428">
        <f>LOG(Table2[[#This Row],[generalist]])</f>
        <v>3.2188268626467691</v>
      </c>
      <c r="X428" s="14">
        <v>2</v>
      </c>
      <c r="Y428">
        <v>5715.55</v>
      </c>
      <c r="Z428">
        <f>LOG(Table2[[#This Row],[country divers.]])</f>
        <v>3.7570580283396975</v>
      </c>
      <c r="AA428">
        <v>1300000000</v>
      </c>
      <c r="AB428">
        <f>LOG(Table2[[#This Row],[Firm Size]])</f>
        <v>9.1139433523068369</v>
      </c>
      <c r="AC428" s="80">
        <v>-7.4498705365207418E-2</v>
      </c>
    </row>
    <row r="429" spans="1:29" x14ac:dyDescent="0.35">
      <c r="A429" t="s">
        <v>59</v>
      </c>
      <c r="B429">
        <v>0.89880090497737553</v>
      </c>
      <c r="C429">
        <f>IF(Table2[[#This Row],[Return]]=-1,-1,LOG(1+Table2[[#This Row],[Return]]))</f>
        <v>0.27847943003314923</v>
      </c>
      <c r="D429">
        <v>4.8356164383561646</v>
      </c>
      <c r="E429">
        <v>0</v>
      </c>
      <c r="F429">
        <f>IF(Table2[[#This Row],[Geo Distance]]=0,0,LOG(Table2[[#This Row],[Geo Distance]]))</f>
        <v>0</v>
      </c>
      <c r="G429">
        <v>23</v>
      </c>
      <c r="H429">
        <f>IF(Table2[[#This Row],[Target age]]=0,0,LOG(Table2[[#This Row],[Target age]]))</f>
        <v>1.3617278360175928</v>
      </c>
      <c r="I429" s="45">
        <v>3.29</v>
      </c>
      <c r="J429" s="9">
        <v>0</v>
      </c>
      <c r="K429" s="9">
        <f>IF(Table2[[#This Row],[Culture]]=0,0,LOG(Table2[[#This Row],[Culture]]))</f>
        <v>0</v>
      </c>
      <c r="L429" s="24">
        <v>-0.15</v>
      </c>
      <c r="M429" s="9">
        <f>LOG(1+Table2[[#This Row],[S&amp;P]])</f>
        <v>-7.0581074285707285E-2</v>
      </c>
      <c r="N429">
        <v>12</v>
      </c>
      <c r="O429">
        <f>IF(Table2[[#This Row],[fund age]]=0,0,LOG(Table2[[#This Row],[fund age]]))</f>
        <v>1.0791812460476249</v>
      </c>
      <c r="P429">
        <f t="shared" si="6"/>
        <v>0</v>
      </c>
      <c r="Q429">
        <v>70</v>
      </c>
      <c r="R429">
        <v>70</v>
      </c>
      <c r="S429">
        <v>85</v>
      </c>
      <c r="T429" s="34">
        <v>31.5</v>
      </c>
      <c r="U429" s="42">
        <v>35.516899069648296</v>
      </c>
      <c r="V429">
        <v>1655.11</v>
      </c>
      <c r="W429">
        <f>LOG(Table2[[#This Row],[generalist]])</f>
        <v>3.2188268626467691</v>
      </c>
      <c r="X429" s="14">
        <v>2</v>
      </c>
      <c r="Y429">
        <v>5715.55</v>
      </c>
      <c r="Z429">
        <f>LOG(Table2[[#This Row],[country divers.]])</f>
        <v>3.7570580283396975</v>
      </c>
      <c r="AA429">
        <v>442000000</v>
      </c>
      <c r="AB429">
        <f>LOG(Table2[[#This Row],[Firm Size]])</f>
        <v>8.6454222693490923</v>
      </c>
      <c r="AC429" s="80">
        <v>-0.22004718001991086</v>
      </c>
    </row>
    <row r="430" spans="1:29" x14ac:dyDescent="0.35">
      <c r="A430" t="s">
        <v>59</v>
      </c>
      <c r="B430">
        <v>3.8727244376875998</v>
      </c>
      <c r="C430">
        <f>IF(Table2[[#This Row],[Return]]=-1,-1,LOG(1+Table2[[#This Row],[Return]]))</f>
        <v>0.68777185185419265</v>
      </c>
      <c r="D430">
        <v>3.484931506849315</v>
      </c>
      <c r="E430">
        <v>0</v>
      </c>
      <c r="F430">
        <f>IF(Table2[[#This Row],[Geo Distance]]=0,0,LOG(Table2[[#This Row],[Geo Distance]]))</f>
        <v>0</v>
      </c>
      <c r="G430">
        <v>21</v>
      </c>
      <c r="H430">
        <f>IF(Table2[[#This Row],[Target age]]=0,0,LOG(Table2[[#This Row],[Target age]]))</f>
        <v>1.3222192947339193</v>
      </c>
      <c r="I430" s="45">
        <v>3.29</v>
      </c>
      <c r="J430" s="9">
        <v>0</v>
      </c>
      <c r="K430" s="9">
        <f>IF(Table2[[#This Row],[Culture]]=0,0,LOG(Table2[[#This Row],[Culture]]))</f>
        <v>0</v>
      </c>
      <c r="L430" s="24">
        <v>0.63</v>
      </c>
      <c r="M430" s="9">
        <f>LOG(1+Table2[[#This Row],[S&amp;P]])</f>
        <v>0.21218760440395779</v>
      </c>
      <c r="N430">
        <v>24</v>
      </c>
      <c r="O430">
        <f>IF(Table2[[#This Row],[fund age]]=0,0,LOG(Table2[[#This Row],[fund age]]))</f>
        <v>1.3802112417116059</v>
      </c>
      <c r="P430">
        <f t="shared" si="6"/>
        <v>0</v>
      </c>
      <c r="Q430">
        <v>70</v>
      </c>
      <c r="R430">
        <v>70</v>
      </c>
      <c r="S430">
        <v>89.8</v>
      </c>
      <c r="T430" s="34">
        <v>31.2</v>
      </c>
      <c r="U430" s="42">
        <v>47.307367293927399</v>
      </c>
      <c r="V430">
        <v>1861.76</v>
      </c>
      <c r="W430">
        <f>LOG(Table2[[#This Row],[generalist]])</f>
        <v>3.2699236952309465</v>
      </c>
      <c r="X430" s="14">
        <v>2</v>
      </c>
      <c r="Y430">
        <v>4993.92</v>
      </c>
      <c r="Z430">
        <f>LOG(Table2[[#This Row],[country divers.]])</f>
        <v>3.6984415808994222</v>
      </c>
      <c r="AA430">
        <v>1026120000</v>
      </c>
      <c r="AB430">
        <f>LOG(Table2[[#This Row],[Firm Size]])</f>
        <v>9.0111981524818265</v>
      </c>
      <c r="AC430" s="80">
        <v>0.37595122377381229</v>
      </c>
    </row>
    <row r="431" spans="1:29" x14ac:dyDescent="0.35">
      <c r="A431" t="s">
        <v>59</v>
      </c>
      <c r="B431">
        <v>-0.75938211382113818</v>
      </c>
      <c r="C431">
        <f>IF(Table2[[#This Row],[Return]]=-1,-1,LOG(1+Table2[[#This Row],[Return]]))</f>
        <v>-0.61867209278975244</v>
      </c>
      <c r="D431">
        <v>8.6219178082191785</v>
      </c>
      <c r="E431">
        <v>0</v>
      </c>
      <c r="F431">
        <f>IF(Table2[[#This Row],[Geo Distance]]=0,0,LOG(Table2[[#This Row],[Geo Distance]]))</f>
        <v>0</v>
      </c>
      <c r="G431">
        <v>48</v>
      </c>
      <c r="H431">
        <f>IF(Table2[[#This Row],[Target age]]=0,0,LOG(Table2[[#This Row],[Target age]]))</f>
        <v>1.6812412373755872</v>
      </c>
      <c r="I431" s="45">
        <v>3.29</v>
      </c>
      <c r="J431" s="9">
        <v>0</v>
      </c>
      <c r="K431" s="9">
        <f>IF(Table2[[#This Row],[Culture]]=0,0,LOG(Table2[[#This Row],[Culture]]))</f>
        <v>0</v>
      </c>
      <c r="L431" s="24">
        <v>0.44</v>
      </c>
      <c r="M431" s="9">
        <f>LOG(1+Table2[[#This Row],[S&amp;P]])</f>
        <v>0.15836249209524964</v>
      </c>
      <c r="N431">
        <v>22</v>
      </c>
      <c r="O431">
        <f>IF(Table2[[#This Row],[fund age]]=0,0,LOG(Table2[[#This Row],[fund age]]))</f>
        <v>1.3424226808222062</v>
      </c>
      <c r="P431">
        <f t="shared" si="6"/>
        <v>0</v>
      </c>
      <c r="Q431">
        <v>70</v>
      </c>
      <c r="R431">
        <v>70</v>
      </c>
      <c r="S431">
        <v>91.2</v>
      </c>
      <c r="T431" s="34">
        <v>33</v>
      </c>
      <c r="U431" s="42">
        <v>40.902544500539101</v>
      </c>
      <c r="V431">
        <v>1861.76</v>
      </c>
      <c r="W431">
        <f>LOG(Table2[[#This Row],[generalist]])</f>
        <v>3.2699236952309465</v>
      </c>
      <c r="X431" s="14">
        <v>2</v>
      </c>
      <c r="Y431">
        <v>4993.92</v>
      </c>
      <c r="Z431">
        <f>LOG(Table2[[#This Row],[country divers.]])</f>
        <v>3.6984415808994222</v>
      </c>
      <c r="AA431">
        <v>6150000000</v>
      </c>
      <c r="AB431">
        <f>LOG(Table2[[#This Row],[Firm Size]])</f>
        <v>9.7888751157754168</v>
      </c>
      <c r="AC431" s="80">
        <v>8.7131638170746095E-2</v>
      </c>
    </row>
    <row r="432" spans="1:29" x14ac:dyDescent="0.35">
      <c r="A432" t="s">
        <v>59</v>
      </c>
      <c r="B432">
        <v>0.65937500000000004</v>
      </c>
      <c r="C432">
        <f>IF(Table2[[#This Row],[Return]]=-1,-1,LOG(1+Table2[[#This Row],[Return]]))</f>
        <v>0.21994454276156311</v>
      </c>
      <c r="D432">
        <v>8.5123287671232877</v>
      </c>
      <c r="E432">
        <v>0</v>
      </c>
      <c r="F432">
        <f>IF(Table2[[#This Row],[Geo Distance]]=0,0,LOG(Table2[[#This Row],[Geo Distance]]))</f>
        <v>0</v>
      </c>
      <c r="G432">
        <v>10</v>
      </c>
      <c r="H432">
        <f>IF(Table2[[#This Row],[Target age]]=0,0,LOG(Table2[[#This Row],[Target age]]))</f>
        <v>1</v>
      </c>
      <c r="I432" s="45">
        <v>3.29</v>
      </c>
      <c r="J432" s="9">
        <v>0</v>
      </c>
      <c r="K432" s="9">
        <f>IF(Table2[[#This Row],[Culture]]=0,0,LOG(Table2[[#This Row],[Culture]]))</f>
        <v>0</v>
      </c>
      <c r="L432" s="24">
        <v>0.52</v>
      </c>
      <c r="M432" s="9">
        <f>LOG(1+Table2[[#This Row],[S&amp;P]])</f>
        <v>0.18184358794477254</v>
      </c>
      <c r="N432">
        <v>21</v>
      </c>
      <c r="O432">
        <f>IF(Table2[[#This Row],[fund age]]=0,0,LOG(Table2[[#This Row],[fund age]]))</f>
        <v>1.3222192947339193</v>
      </c>
      <c r="P432">
        <f t="shared" si="6"/>
        <v>0</v>
      </c>
      <c r="Q432">
        <v>70</v>
      </c>
      <c r="R432">
        <v>70</v>
      </c>
      <c r="S432">
        <v>91.5</v>
      </c>
      <c r="T432" s="34">
        <v>32.9</v>
      </c>
      <c r="U432" s="42">
        <v>40.767390998852598</v>
      </c>
      <c r="V432">
        <v>1861.76</v>
      </c>
      <c r="W432">
        <f>LOG(Table2[[#This Row],[generalist]])</f>
        <v>3.2699236952309465</v>
      </c>
      <c r="X432" s="14">
        <v>2</v>
      </c>
      <c r="Y432">
        <v>4993.92</v>
      </c>
      <c r="Z432">
        <f>LOG(Table2[[#This Row],[country divers.]])</f>
        <v>3.6984415808994222</v>
      </c>
      <c r="AA432">
        <v>320000000</v>
      </c>
      <c r="AB432">
        <f>LOG(Table2[[#This Row],[Firm Size]])</f>
        <v>8.5051499783199063</v>
      </c>
      <c r="AC432" s="80">
        <v>0.16289580475837728</v>
      </c>
    </row>
    <row r="433" spans="1:29" x14ac:dyDescent="0.35">
      <c r="A433" t="s">
        <v>59</v>
      </c>
      <c r="B433">
        <v>-0.25712057142857148</v>
      </c>
      <c r="C433">
        <f>IF(Table2[[#This Row],[Return]]=-1,-1,LOG(1+Table2[[#This Row],[Return]]))</f>
        <v>-0.1290816677404292</v>
      </c>
      <c r="D433">
        <v>11.789041095890411</v>
      </c>
      <c r="E433">
        <v>0</v>
      </c>
      <c r="F433">
        <f>IF(Table2[[#This Row],[Geo Distance]]=0,0,LOG(Table2[[#This Row],[Geo Distance]]))</f>
        <v>0</v>
      </c>
      <c r="G433">
        <v>99</v>
      </c>
      <c r="H433">
        <f>IF(Table2[[#This Row],[Target age]]=0,0,LOG(Table2[[#This Row],[Target age]]))</f>
        <v>1.9956351945975499</v>
      </c>
      <c r="I433" s="45">
        <v>3.29</v>
      </c>
      <c r="J433" s="9">
        <v>0</v>
      </c>
      <c r="K433" s="9">
        <f>IF(Table2[[#This Row],[Culture]]=0,0,LOG(Table2[[#This Row],[Culture]]))</f>
        <v>0</v>
      </c>
      <c r="L433" s="24">
        <v>0.9</v>
      </c>
      <c r="M433" s="9">
        <f>LOG(1+Table2[[#This Row],[S&amp;P]])</f>
        <v>0.27875360095282892</v>
      </c>
      <c r="N433">
        <v>19</v>
      </c>
      <c r="O433">
        <f>IF(Table2[[#This Row],[fund age]]=0,0,LOG(Table2[[#This Row],[fund age]]))</f>
        <v>1.2787536009528289</v>
      </c>
      <c r="P433">
        <f t="shared" si="6"/>
        <v>0</v>
      </c>
      <c r="Q433">
        <v>70</v>
      </c>
      <c r="R433">
        <v>70</v>
      </c>
      <c r="S433">
        <v>85</v>
      </c>
      <c r="T433" s="34">
        <v>32.299999999999997</v>
      </c>
      <c r="U433" s="42">
        <v>40.040400531970803</v>
      </c>
      <c r="V433">
        <v>1861.76</v>
      </c>
      <c r="W433">
        <f>LOG(Table2[[#This Row],[generalist]])</f>
        <v>3.2699236952309465</v>
      </c>
      <c r="X433" s="14">
        <v>2</v>
      </c>
      <c r="Y433">
        <v>4993.92</v>
      </c>
      <c r="Z433">
        <f>LOG(Table2[[#This Row],[country divers.]])</f>
        <v>3.6984415808994222</v>
      </c>
      <c r="AA433">
        <v>1750000000</v>
      </c>
      <c r="AB433">
        <f>LOG(Table2[[#This Row],[Firm Size]])</f>
        <v>9.2430380486862944</v>
      </c>
      <c r="AC433" s="80">
        <v>0.55683547605605099</v>
      </c>
    </row>
    <row r="434" spans="1:29" x14ac:dyDescent="0.35">
      <c r="A434" t="s">
        <v>59</v>
      </c>
      <c r="B434">
        <v>1.5614942528735631</v>
      </c>
      <c r="C434">
        <f>IF(Table2[[#This Row],[Return]]=-1,-1,LOG(1+Table2[[#This Row],[Return]]))</f>
        <v>0.40849338580357664</v>
      </c>
      <c r="D434">
        <v>11.224657534246575</v>
      </c>
      <c r="E434">
        <v>0</v>
      </c>
      <c r="F434">
        <f>IF(Table2[[#This Row],[Geo Distance]]=0,0,LOG(Table2[[#This Row],[Geo Distance]]))</f>
        <v>0</v>
      </c>
      <c r="G434">
        <v>35</v>
      </c>
      <c r="H434">
        <f>IF(Table2[[#This Row],[Target age]]=0,0,LOG(Table2[[#This Row],[Target age]]))</f>
        <v>1.5440680443502757</v>
      </c>
      <c r="I434" s="45">
        <v>3.29</v>
      </c>
      <c r="J434" s="9">
        <v>0</v>
      </c>
      <c r="K434" s="9">
        <f>IF(Table2[[#This Row],[Culture]]=0,0,LOG(Table2[[#This Row],[Culture]]))</f>
        <v>0</v>
      </c>
      <c r="L434" s="24">
        <v>0.84</v>
      </c>
      <c r="M434" s="9">
        <f>LOG(1+Table2[[#This Row],[S&amp;P]])</f>
        <v>0.26481782300953643</v>
      </c>
      <c r="N434">
        <v>19</v>
      </c>
      <c r="O434">
        <f>IF(Table2[[#This Row],[fund age]]=0,0,LOG(Table2[[#This Row],[fund age]]))</f>
        <v>1.2787536009528289</v>
      </c>
      <c r="P434">
        <f t="shared" si="6"/>
        <v>0</v>
      </c>
      <c r="Q434">
        <v>70</v>
      </c>
      <c r="R434">
        <v>70</v>
      </c>
      <c r="S434">
        <v>85</v>
      </c>
      <c r="T434" s="34">
        <v>32.299999999999997</v>
      </c>
      <c r="U434" s="42">
        <v>40.040400531970803</v>
      </c>
      <c r="V434">
        <v>1861.76</v>
      </c>
      <c r="W434">
        <f>LOG(Table2[[#This Row],[generalist]])</f>
        <v>3.2699236952309465</v>
      </c>
      <c r="X434" s="14">
        <v>2</v>
      </c>
      <c r="Y434">
        <v>4993.92</v>
      </c>
      <c r="Z434">
        <f>LOG(Table2[[#This Row],[country divers.]])</f>
        <v>3.6984415808994222</v>
      </c>
      <c r="AA434">
        <v>660500000</v>
      </c>
      <c r="AB434">
        <f>LOG(Table2[[#This Row],[Firm Size]])</f>
        <v>8.8198728219505469</v>
      </c>
      <c r="AC434" s="80">
        <v>0.6476696576542873</v>
      </c>
    </row>
    <row r="435" spans="1:29" x14ac:dyDescent="0.35">
      <c r="A435" t="s">
        <v>59</v>
      </c>
      <c r="B435">
        <v>-0.74017741213952926</v>
      </c>
      <c r="C435">
        <f>IF(Table2[[#This Row],[Return]]=-1,-1,LOG(1+Table2[[#This Row],[Return]]))</f>
        <v>-0.58532309592373821</v>
      </c>
      <c r="D435">
        <v>2.0739726027397261</v>
      </c>
      <c r="E435">
        <v>0</v>
      </c>
      <c r="F435">
        <f>IF(Table2[[#This Row],[Geo Distance]]=0,0,LOG(Table2[[#This Row],[Geo Distance]]))</f>
        <v>0</v>
      </c>
      <c r="G435">
        <v>24</v>
      </c>
      <c r="H435">
        <f>IF(Table2[[#This Row],[Target age]]=0,0,LOG(Table2[[#This Row],[Target age]]))</f>
        <v>1.3802112417116059</v>
      </c>
      <c r="I435" s="45">
        <v>3.29</v>
      </c>
      <c r="J435" s="9">
        <v>0</v>
      </c>
      <c r="K435" s="9">
        <f>IF(Table2[[#This Row],[Culture]]=0,0,LOG(Table2[[#This Row],[Culture]]))</f>
        <v>0</v>
      </c>
      <c r="L435" s="24">
        <v>0.19</v>
      </c>
      <c r="M435" s="9">
        <f>LOG(1+Table2[[#This Row],[S&amp;P]])</f>
        <v>7.554696139253074E-2</v>
      </c>
      <c r="N435">
        <v>18</v>
      </c>
      <c r="O435">
        <f>IF(Table2[[#This Row],[fund age]]=0,0,LOG(Table2[[#This Row],[fund age]]))</f>
        <v>1.255272505103306</v>
      </c>
      <c r="P435">
        <f t="shared" si="6"/>
        <v>0</v>
      </c>
      <c r="Q435">
        <v>70</v>
      </c>
      <c r="R435">
        <v>70</v>
      </c>
      <c r="S435">
        <v>85</v>
      </c>
      <c r="T435" s="34">
        <v>31.3</v>
      </c>
      <c r="U435" s="42">
        <v>38.7850112673514</v>
      </c>
      <c r="V435">
        <v>1861.76</v>
      </c>
      <c r="W435">
        <f>LOG(Table2[[#This Row],[generalist]])</f>
        <v>3.2699236952309465</v>
      </c>
      <c r="X435" s="14">
        <v>2</v>
      </c>
      <c r="Y435">
        <v>4993.92</v>
      </c>
      <c r="Z435">
        <f>LOG(Table2[[#This Row],[country divers.]])</f>
        <v>3.6984415808994222</v>
      </c>
      <c r="AA435">
        <v>976170000</v>
      </c>
      <c r="AB435">
        <f>LOG(Table2[[#This Row],[Firm Size]])</f>
        <v>8.9895254566347216</v>
      </c>
      <c r="AC435" s="80">
        <v>0.35105502594700866</v>
      </c>
    </row>
    <row r="436" spans="1:29" x14ac:dyDescent="0.35">
      <c r="A436" t="s">
        <v>59</v>
      </c>
      <c r="B436">
        <v>-5.1966292134831504E-2</v>
      </c>
      <c r="C436">
        <f>IF(Table2[[#This Row],[Return]]=-1,-1,LOG(1+Table2[[#This Row],[Return]]))</f>
        <v>-2.3176220805831468E-2</v>
      </c>
      <c r="D436">
        <v>3.5890410958904111</v>
      </c>
      <c r="E436">
        <v>0</v>
      </c>
      <c r="F436">
        <f>IF(Table2[[#This Row],[Geo Distance]]=0,0,LOG(Table2[[#This Row],[Geo Distance]]))</f>
        <v>0</v>
      </c>
      <c r="G436">
        <v>45</v>
      </c>
      <c r="H436">
        <f>IF(Table2[[#This Row],[Target age]]=0,0,LOG(Table2[[#This Row],[Target age]]))</f>
        <v>1.6532125137753437</v>
      </c>
      <c r="I436" s="45">
        <v>3.29</v>
      </c>
      <c r="J436" s="9">
        <v>0</v>
      </c>
      <c r="K436" s="9">
        <f>IF(Table2[[#This Row],[Culture]]=0,0,LOG(Table2[[#This Row],[Culture]]))</f>
        <v>0</v>
      </c>
      <c r="L436" s="24">
        <v>0.53</v>
      </c>
      <c r="M436" s="9">
        <f>LOG(1+Table2[[#This Row],[S&amp;P]])</f>
        <v>0.18469143081759881</v>
      </c>
      <c r="N436">
        <v>18</v>
      </c>
      <c r="O436">
        <f>IF(Table2[[#This Row],[fund age]]=0,0,LOG(Table2[[#This Row],[fund age]]))</f>
        <v>1.255272505103306</v>
      </c>
      <c r="P436">
        <f t="shared" si="6"/>
        <v>0</v>
      </c>
      <c r="Q436">
        <v>70</v>
      </c>
      <c r="R436">
        <v>70</v>
      </c>
      <c r="S436">
        <v>85</v>
      </c>
      <c r="T436" s="34">
        <v>31.3</v>
      </c>
      <c r="U436" s="42">
        <v>38.7850112673514</v>
      </c>
      <c r="V436">
        <v>1861.76</v>
      </c>
      <c r="W436">
        <f>LOG(Table2[[#This Row],[generalist]])</f>
        <v>3.2699236952309465</v>
      </c>
      <c r="X436" s="14">
        <v>2</v>
      </c>
      <c r="Y436">
        <v>4993.92</v>
      </c>
      <c r="Z436">
        <f>LOG(Table2[[#This Row],[country divers.]])</f>
        <v>3.6984415808994222</v>
      </c>
      <c r="AA436">
        <v>712000000</v>
      </c>
      <c r="AB436">
        <f>LOG(Table2[[#This Row],[Firm Size]])</f>
        <v>8.852479993636857</v>
      </c>
      <c r="AC436" s="80">
        <v>0.73622987182309219</v>
      </c>
    </row>
    <row r="437" spans="1:29" x14ac:dyDescent="0.35">
      <c r="A437" t="s">
        <v>59</v>
      </c>
      <c r="B437">
        <v>-1.6000000000000014E-2</v>
      </c>
      <c r="C437">
        <f>IF(Table2[[#This Row],[Return]]=-1,-1,LOG(1+Table2[[#This Row],[Return]]))</f>
        <v>-7.0049015686584892E-3</v>
      </c>
      <c r="D437">
        <v>1.9945205479452055</v>
      </c>
      <c r="E437">
        <v>0</v>
      </c>
      <c r="F437">
        <f>IF(Table2[[#This Row],[Geo Distance]]=0,0,LOG(Table2[[#This Row],[Geo Distance]]))</f>
        <v>0</v>
      </c>
      <c r="G437">
        <v>21</v>
      </c>
      <c r="H437">
        <f>IF(Table2[[#This Row],[Target age]]=0,0,LOG(Table2[[#This Row],[Target age]]))</f>
        <v>1.3222192947339193</v>
      </c>
      <c r="I437" s="45">
        <v>3.29</v>
      </c>
      <c r="J437" s="9">
        <v>0</v>
      </c>
      <c r="K437" s="9">
        <f>IF(Table2[[#This Row],[Culture]]=0,0,LOG(Table2[[#This Row],[Culture]]))</f>
        <v>0</v>
      </c>
      <c r="L437" s="24">
        <v>-0.31</v>
      </c>
      <c r="M437" s="9">
        <f>LOG(1+Table2[[#This Row],[S&amp;P]])</f>
        <v>-0.16115090926274472</v>
      </c>
      <c r="N437">
        <v>15</v>
      </c>
      <c r="O437">
        <f>IF(Table2[[#This Row],[fund age]]=0,0,LOG(Table2[[#This Row],[fund age]]))</f>
        <v>1.1760912590556813</v>
      </c>
      <c r="P437">
        <f t="shared" si="6"/>
        <v>0</v>
      </c>
      <c r="Q437">
        <v>70</v>
      </c>
      <c r="R437">
        <v>70</v>
      </c>
      <c r="S437">
        <v>85</v>
      </c>
      <c r="T437" s="34">
        <v>32.9</v>
      </c>
      <c r="U437" s="42">
        <v>35.433808146393098</v>
      </c>
      <c r="V437">
        <v>1861.76</v>
      </c>
      <c r="W437">
        <f>LOG(Table2[[#This Row],[generalist]])</f>
        <v>3.2699236952309465</v>
      </c>
      <c r="X437" s="14">
        <v>2</v>
      </c>
      <c r="Y437">
        <v>4993.92</v>
      </c>
      <c r="Z437">
        <f>LOG(Table2[[#This Row],[country divers.]])</f>
        <v>3.6984415808994222</v>
      </c>
      <c r="AA437">
        <v>750000000</v>
      </c>
      <c r="AB437">
        <f>LOG(Table2[[#This Row],[Firm Size]])</f>
        <v>8.8750612633917001</v>
      </c>
      <c r="AC437" s="80">
        <v>-0.35890692734959695</v>
      </c>
    </row>
    <row r="438" spans="1:29" x14ac:dyDescent="0.35">
      <c r="A438" t="s">
        <v>59</v>
      </c>
      <c r="B438">
        <v>-0.33452000000000004</v>
      </c>
      <c r="C438">
        <f>IF(Table2[[#This Row],[Return]]=-1,-1,LOG(1+Table2[[#This Row],[Return]]))</f>
        <v>-0.1768649920603165</v>
      </c>
      <c r="D438">
        <v>4.7178082191780826</v>
      </c>
      <c r="E438">
        <v>0</v>
      </c>
      <c r="F438">
        <f>IF(Table2[[#This Row],[Geo Distance]]=0,0,LOG(Table2[[#This Row],[Geo Distance]]))</f>
        <v>0</v>
      </c>
      <c r="G438">
        <v>0</v>
      </c>
      <c r="H438">
        <f>IF(Table2[[#This Row],[Target age]]=0,0,LOG(Table2[[#This Row],[Target age]]))</f>
        <v>0</v>
      </c>
      <c r="I438" s="45">
        <v>3.29</v>
      </c>
      <c r="J438" s="9">
        <v>0</v>
      </c>
      <c r="K438" s="9">
        <f>IF(Table2[[#This Row],[Culture]]=0,0,LOG(Table2[[#This Row],[Culture]]))</f>
        <v>0</v>
      </c>
      <c r="L438" s="24">
        <v>-0.11</v>
      </c>
      <c r="M438" s="9">
        <f>LOG(1+Table2[[#This Row],[S&amp;P]])</f>
        <v>-5.0609993355087209E-2</v>
      </c>
      <c r="N438">
        <v>15</v>
      </c>
      <c r="O438">
        <f>IF(Table2[[#This Row],[fund age]]=0,0,LOG(Table2[[#This Row],[fund age]]))</f>
        <v>1.1760912590556813</v>
      </c>
      <c r="P438">
        <f t="shared" si="6"/>
        <v>0</v>
      </c>
      <c r="Q438">
        <v>70</v>
      </c>
      <c r="R438">
        <v>70</v>
      </c>
      <c r="S438">
        <v>85</v>
      </c>
      <c r="T438" s="34">
        <v>32.9</v>
      </c>
      <c r="U438" s="42">
        <v>35.433808146393098</v>
      </c>
      <c r="V438">
        <v>1861.76</v>
      </c>
      <c r="W438">
        <f>LOG(Table2[[#This Row],[generalist]])</f>
        <v>3.2699236952309465</v>
      </c>
      <c r="X438" s="14">
        <v>2</v>
      </c>
      <c r="Y438">
        <v>4993.92</v>
      </c>
      <c r="Z438">
        <f>LOG(Table2[[#This Row],[country divers.]])</f>
        <v>3.6984415808994222</v>
      </c>
      <c r="AA438">
        <v>2600000000</v>
      </c>
      <c r="AB438">
        <f>LOG(Table2[[#This Row],[Firm Size]])</f>
        <v>9.4149733479708182</v>
      </c>
      <c r="AC438" s="80">
        <v>-0.12758222163518684</v>
      </c>
    </row>
    <row r="439" spans="1:29" x14ac:dyDescent="0.35">
      <c r="A439" t="s">
        <v>59</v>
      </c>
      <c r="B439">
        <v>-0.57317073170731714</v>
      </c>
      <c r="C439">
        <f>IF(Table2[[#This Row],[Return]]=-1,-1,LOG(1+Table2[[#This Row],[Return]]))</f>
        <v>-0.36974580803344115</v>
      </c>
      <c r="D439">
        <v>8.8876712328767127</v>
      </c>
      <c r="E439">
        <v>0</v>
      </c>
      <c r="F439">
        <f>IF(Table2[[#This Row],[Geo Distance]]=0,0,LOG(Table2[[#This Row],[Geo Distance]]))</f>
        <v>0</v>
      </c>
      <c r="G439">
        <v>0</v>
      </c>
      <c r="H439">
        <f>IF(Table2[[#This Row],[Target age]]=0,0,LOG(Table2[[#This Row],[Target age]]))</f>
        <v>0</v>
      </c>
      <c r="I439" s="45">
        <v>3.29</v>
      </c>
      <c r="J439" s="9">
        <v>0</v>
      </c>
      <c r="K439" s="9">
        <f>IF(Table2[[#This Row],[Culture]]=0,0,LOG(Table2[[#This Row],[Culture]]))</f>
        <v>0</v>
      </c>
      <c r="L439" s="24">
        <v>0.3</v>
      </c>
      <c r="M439" s="9">
        <f>LOG(1+Table2[[#This Row],[S&amp;P]])</f>
        <v>0.11394335230683679</v>
      </c>
      <c r="N439">
        <v>13</v>
      </c>
      <c r="O439">
        <f>IF(Table2[[#This Row],[fund age]]=0,0,LOG(Table2[[#This Row],[fund age]]))</f>
        <v>1.1139433523068367</v>
      </c>
      <c r="P439">
        <f t="shared" si="6"/>
        <v>0</v>
      </c>
      <c r="Q439">
        <v>70</v>
      </c>
      <c r="R439">
        <v>70</v>
      </c>
      <c r="S439">
        <v>85</v>
      </c>
      <c r="T439" s="34">
        <v>31.5</v>
      </c>
      <c r="U439" s="42">
        <v>35.516899069648296</v>
      </c>
      <c r="V439">
        <v>1861.76</v>
      </c>
      <c r="W439">
        <f>LOG(Table2[[#This Row],[generalist]])</f>
        <v>3.2699236952309465</v>
      </c>
      <c r="X439" s="14">
        <v>2</v>
      </c>
      <c r="Y439">
        <v>4993.92</v>
      </c>
      <c r="Z439">
        <f>LOG(Table2[[#This Row],[country divers.]])</f>
        <v>3.6984415808994222</v>
      </c>
      <c r="AA439">
        <v>82000000</v>
      </c>
      <c r="AB439">
        <f>LOG(Table2[[#This Row],[Firm Size]])</f>
        <v>7.9138138523837167</v>
      </c>
      <c r="AC439" s="80">
        <v>0.25707234818604863</v>
      </c>
    </row>
    <row r="440" spans="1:29" x14ac:dyDescent="0.35">
      <c r="A440" t="s">
        <v>59</v>
      </c>
      <c r="B440">
        <v>3.5135135135135132</v>
      </c>
      <c r="C440">
        <f>IF(Table2[[#This Row],[Return]]=-1,-1,LOG(1+Table2[[#This Row],[Return]]))</f>
        <v>0.65451474708058821</v>
      </c>
      <c r="D440">
        <v>3.8684931506849316</v>
      </c>
      <c r="E440">
        <v>0</v>
      </c>
      <c r="F440">
        <f>IF(Table2[[#This Row],[Geo Distance]]=0,0,LOG(Table2[[#This Row],[Geo Distance]]))</f>
        <v>0</v>
      </c>
      <c r="G440">
        <v>63</v>
      </c>
      <c r="H440">
        <f>IF(Table2[[#This Row],[Target age]]=0,0,LOG(Table2[[#This Row],[Target age]]))</f>
        <v>1.7993405494535817</v>
      </c>
      <c r="I440" s="45">
        <v>3.29</v>
      </c>
      <c r="J440" s="9">
        <v>0</v>
      </c>
      <c r="K440" s="9">
        <f>IF(Table2[[#This Row],[Culture]]=0,0,LOG(Table2[[#This Row],[Culture]]))</f>
        <v>0</v>
      </c>
      <c r="L440" s="24">
        <v>0.48</v>
      </c>
      <c r="M440" s="9">
        <f>LOG(1+Table2[[#This Row],[S&amp;P]])</f>
        <v>0.17026171539495738</v>
      </c>
      <c r="N440">
        <v>29</v>
      </c>
      <c r="O440">
        <f>IF(Table2[[#This Row],[fund age]]=0,0,LOG(Table2[[#This Row],[fund age]]))</f>
        <v>1.4623979978989561</v>
      </c>
      <c r="P440">
        <f t="shared" si="6"/>
        <v>0</v>
      </c>
      <c r="Q440">
        <v>70</v>
      </c>
      <c r="R440">
        <v>70</v>
      </c>
      <c r="S440">
        <v>94.1</v>
      </c>
      <c r="T440" s="34">
        <v>32.200000000000003</v>
      </c>
      <c r="U440" s="42">
        <v>43.9397801796012</v>
      </c>
      <c r="V440">
        <v>1801.1079999999999</v>
      </c>
      <c r="W440">
        <f>LOG(Table2[[#This Row],[generalist]])</f>
        <v>3.2555397552391718</v>
      </c>
      <c r="X440" s="14">
        <v>2</v>
      </c>
      <c r="Y440">
        <v>8416.6209999999992</v>
      </c>
      <c r="Z440">
        <f>LOG(Table2[[#This Row],[country divers.]])</f>
        <v>3.9251377713585649</v>
      </c>
      <c r="AA440">
        <v>218910000</v>
      </c>
      <c r="AB440">
        <f>LOG(Table2[[#This Row],[Firm Size]])</f>
        <v>8.3402656009723302</v>
      </c>
      <c r="AC440" s="80">
        <v>0.14847420600582795</v>
      </c>
    </row>
    <row r="441" spans="1:29" x14ac:dyDescent="0.35">
      <c r="A441" t="s">
        <v>59</v>
      </c>
      <c r="B441">
        <v>2.9893617021276597</v>
      </c>
      <c r="C441">
        <f>IF(Table2[[#This Row],[Return]]=-1,-1,LOG(1+Table2[[#This Row],[Return]]))</f>
        <v>0.60090341412802017</v>
      </c>
      <c r="D441">
        <v>6.5424657534246577</v>
      </c>
      <c r="E441">
        <v>0</v>
      </c>
      <c r="F441">
        <f>IF(Table2[[#This Row],[Geo Distance]]=0,0,LOG(Table2[[#This Row],[Geo Distance]]))</f>
        <v>0</v>
      </c>
      <c r="G441">
        <v>0</v>
      </c>
      <c r="H441">
        <f>IF(Table2[[#This Row],[Target age]]=0,0,LOG(Table2[[#This Row],[Target age]]))</f>
        <v>0</v>
      </c>
      <c r="I441" s="45">
        <v>3.29</v>
      </c>
      <c r="J441" s="9">
        <v>0</v>
      </c>
      <c r="K441" s="9">
        <f>IF(Table2[[#This Row],[Culture]]=0,0,LOG(Table2[[#This Row],[Culture]]))</f>
        <v>0</v>
      </c>
      <c r="L441" s="24">
        <v>0.34</v>
      </c>
      <c r="M441" s="9">
        <f>LOG(1+Table2[[#This Row],[S&amp;P]])</f>
        <v>0.12710479836480765</v>
      </c>
      <c r="N441">
        <v>0</v>
      </c>
      <c r="O441">
        <f>IF(Table2[[#This Row],[fund age]]=0,0,LOG(Table2[[#This Row],[fund age]]))</f>
        <v>0</v>
      </c>
      <c r="P441">
        <f t="shared" si="6"/>
        <v>0</v>
      </c>
      <c r="Q441">
        <v>70</v>
      </c>
      <c r="R441">
        <v>70</v>
      </c>
      <c r="S441">
        <v>91.2</v>
      </c>
      <c r="T441" s="34">
        <v>33</v>
      </c>
      <c r="U441" s="42">
        <v>40.902544500539101</v>
      </c>
      <c r="V441">
        <v>1801.1079999999999</v>
      </c>
      <c r="W441">
        <f>LOG(Table2[[#This Row],[generalist]])</f>
        <v>3.2555397552391718</v>
      </c>
      <c r="X441" s="14">
        <v>2</v>
      </c>
      <c r="Y441">
        <v>8416.6209999999992</v>
      </c>
      <c r="Z441">
        <f>LOG(Table2[[#This Row],[country divers.]])</f>
        <v>3.9251377713585649</v>
      </c>
      <c r="AA441">
        <v>18800000</v>
      </c>
      <c r="AB441">
        <f>LOG(Table2[[#This Row],[Firm Size]])</f>
        <v>7.2741578492636796</v>
      </c>
      <c r="AC441" s="80">
        <v>8.4264156881149521E-2</v>
      </c>
    </row>
    <row r="442" spans="1:29" x14ac:dyDescent="0.35">
      <c r="A442" t="s">
        <v>59</v>
      </c>
      <c r="B442">
        <v>0.51202749140893467</v>
      </c>
      <c r="C442">
        <f>IF(Table2[[#This Row],[Return]]=-1,-1,LOG(1+Table2[[#This Row],[Return]]))</f>
        <v>0.17955968750028012</v>
      </c>
      <c r="D442">
        <v>10.468493150684932</v>
      </c>
      <c r="E442">
        <v>0</v>
      </c>
      <c r="F442">
        <f>IF(Table2[[#This Row],[Geo Distance]]=0,0,LOG(Table2[[#This Row],[Geo Distance]]))</f>
        <v>0</v>
      </c>
      <c r="G442">
        <v>76</v>
      </c>
      <c r="H442">
        <f>IF(Table2[[#This Row],[Target age]]=0,0,LOG(Table2[[#This Row],[Target age]]))</f>
        <v>1.8808135922807914</v>
      </c>
      <c r="I442" s="45">
        <v>3.29</v>
      </c>
      <c r="J442" s="9">
        <v>0</v>
      </c>
      <c r="K442" s="9">
        <f>IF(Table2[[#This Row],[Culture]]=0,0,LOG(Table2[[#This Row],[Culture]]))</f>
        <v>0</v>
      </c>
      <c r="L442" s="24">
        <v>0.7</v>
      </c>
      <c r="M442" s="9">
        <f>LOG(1+Table2[[#This Row],[S&amp;P]])</f>
        <v>0.23044892137827391</v>
      </c>
      <c r="N442">
        <v>23</v>
      </c>
      <c r="O442">
        <f>IF(Table2[[#This Row],[fund age]]=0,0,LOG(Table2[[#This Row],[fund age]]))</f>
        <v>1.3617278360175928</v>
      </c>
      <c r="P442">
        <f t="shared" si="6"/>
        <v>0</v>
      </c>
      <c r="Q442">
        <v>70</v>
      </c>
      <c r="R442">
        <v>70</v>
      </c>
      <c r="S442">
        <v>91.2</v>
      </c>
      <c r="T442" s="34">
        <v>33</v>
      </c>
      <c r="U442" s="42">
        <v>40.902544500539101</v>
      </c>
      <c r="V442">
        <v>1801.1079999999999</v>
      </c>
      <c r="W442">
        <f>LOG(Table2[[#This Row],[generalist]])</f>
        <v>3.2555397552391718</v>
      </c>
      <c r="X442" s="14">
        <v>2</v>
      </c>
      <c r="Y442">
        <v>8416.6209999999992</v>
      </c>
      <c r="Z442">
        <f>LOG(Table2[[#This Row],[country divers.]])</f>
        <v>3.9251377713585649</v>
      </c>
      <c r="AA442">
        <v>145500000</v>
      </c>
      <c r="AB442">
        <f>LOG(Table2[[#This Row],[Firm Size]])</f>
        <v>8.1628629933219266</v>
      </c>
      <c r="AC442" s="80">
        <v>0.21458199042240467</v>
      </c>
    </row>
    <row r="443" spans="1:29" x14ac:dyDescent="0.35">
      <c r="A443" t="s">
        <v>59</v>
      </c>
      <c r="B443">
        <v>1.2844444444444445</v>
      </c>
      <c r="C443">
        <f>IF(Table2[[#This Row],[Return]]=-1,-1,LOG(1+Table2[[#This Row],[Return]]))</f>
        <v>0.35878060088391328</v>
      </c>
      <c r="D443">
        <v>2.4712328767123286</v>
      </c>
      <c r="E443">
        <v>0</v>
      </c>
      <c r="F443">
        <f>IF(Table2[[#This Row],[Geo Distance]]=0,0,LOG(Table2[[#This Row],[Geo Distance]]))</f>
        <v>0</v>
      </c>
      <c r="G443">
        <v>48</v>
      </c>
      <c r="H443">
        <f>IF(Table2[[#This Row],[Target age]]=0,0,LOG(Table2[[#This Row],[Target age]]))</f>
        <v>1.6812412373755872</v>
      </c>
      <c r="I443" s="45">
        <v>3.29</v>
      </c>
      <c r="J443" s="9">
        <v>0</v>
      </c>
      <c r="K443" s="9">
        <f>IF(Table2[[#This Row],[Culture]]=0,0,LOG(Table2[[#This Row],[Culture]]))</f>
        <v>0</v>
      </c>
      <c r="L443" s="24">
        <v>0.09</v>
      </c>
      <c r="M443" s="9">
        <f>LOG(1+Table2[[#This Row],[S&amp;P]])</f>
        <v>3.7426497940623665E-2</v>
      </c>
      <c r="N443">
        <v>21</v>
      </c>
      <c r="O443">
        <f>IF(Table2[[#This Row],[fund age]]=0,0,LOG(Table2[[#This Row],[fund age]]))</f>
        <v>1.3222192947339193</v>
      </c>
      <c r="P443">
        <f t="shared" si="6"/>
        <v>0</v>
      </c>
      <c r="Q443">
        <v>70</v>
      </c>
      <c r="R443">
        <v>70</v>
      </c>
      <c r="S443">
        <v>85</v>
      </c>
      <c r="T443" s="34">
        <v>32.700000000000003</v>
      </c>
      <c r="U443" s="42">
        <v>41.286751495766303</v>
      </c>
      <c r="V443">
        <v>1801.1079999999999</v>
      </c>
      <c r="W443">
        <f>LOG(Table2[[#This Row],[generalist]])</f>
        <v>3.2555397552391718</v>
      </c>
      <c r="X443" s="14">
        <v>2</v>
      </c>
      <c r="Y443">
        <v>8416.6209999999992</v>
      </c>
      <c r="Z443">
        <f>LOG(Table2[[#This Row],[country divers.]])</f>
        <v>3.9251377713585649</v>
      </c>
      <c r="AA443">
        <v>225000000</v>
      </c>
      <c r="AB443">
        <f>LOG(Table2[[#This Row],[Firm Size]])</f>
        <v>8.3521825181113627</v>
      </c>
      <c r="AC443" s="80">
        <v>0.11394979137337091</v>
      </c>
    </row>
    <row r="444" spans="1:29" x14ac:dyDescent="0.35">
      <c r="A444" t="s">
        <v>59</v>
      </c>
      <c r="B444">
        <v>0.80555555555555558</v>
      </c>
      <c r="C444">
        <f>IF(Table2[[#This Row],[Return]]=-1,-1,LOG(1+Table2[[#This Row],[Return]]))</f>
        <v>0.25661085587556831</v>
      </c>
      <c r="D444">
        <v>12.295890410958904</v>
      </c>
      <c r="E444">
        <v>0</v>
      </c>
      <c r="F444">
        <f>IF(Table2[[#This Row],[Geo Distance]]=0,0,LOG(Table2[[#This Row],[Geo Distance]]))</f>
        <v>0</v>
      </c>
      <c r="G444">
        <v>0</v>
      </c>
      <c r="H444">
        <f>IF(Table2[[#This Row],[Target age]]=0,0,LOG(Table2[[#This Row],[Target age]]))</f>
        <v>0</v>
      </c>
      <c r="I444" s="45">
        <v>3.29</v>
      </c>
      <c r="J444" s="9">
        <v>0</v>
      </c>
      <c r="K444" s="9">
        <f>IF(Table2[[#This Row],[Culture]]=0,0,LOG(Table2[[#This Row],[Culture]]))</f>
        <v>0</v>
      </c>
      <c r="L444" s="24">
        <v>1.07</v>
      </c>
      <c r="M444" s="9">
        <f>LOG(1+Table2[[#This Row],[S&amp;P]])</f>
        <v>0.31597034545691782</v>
      </c>
      <c r="N444">
        <v>20</v>
      </c>
      <c r="O444">
        <f>IF(Table2[[#This Row],[fund age]]=0,0,LOG(Table2[[#This Row],[fund age]]))</f>
        <v>1.3010299956639813</v>
      </c>
      <c r="P444">
        <f t="shared" si="6"/>
        <v>0</v>
      </c>
      <c r="Q444">
        <v>70</v>
      </c>
      <c r="R444">
        <v>70</v>
      </c>
      <c r="S444">
        <v>85</v>
      </c>
      <c r="T444" s="34">
        <v>32.299999999999997</v>
      </c>
      <c r="U444" s="42">
        <v>40.040400531970803</v>
      </c>
      <c r="V444">
        <v>1801.1079999999999</v>
      </c>
      <c r="W444">
        <f>LOG(Table2[[#This Row],[generalist]])</f>
        <v>3.2555397552391718</v>
      </c>
      <c r="X444" s="14">
        <v>2</v>
      </c>
      <c r="Y444">
        <v>8416.6209999999992</v>
      </c>
      <c r="Z444">
        <f>LOG(Table2[[#This Row],[country divers.]])</f>
        <v>3.9251377713585649</v>
      </c>
      <c r="AA444">
        <v>72000000</v>
      </c>
      <c r="AB444">
        <f>LOG(Table2[[#This Row],[Firm Size]])</f>
        <v>7.8573324964312681</v>
      </c>
      <c r="AC444" s="80">
        <v>0.69888778316005951</v>
      </c>
    </row>
    <row r="445" spans="1:29" x14ac:dyDescent="0.35">
      <c r="A445" t="s">
        <v>59</v>
      </c>
      <c r="B445">
        <v>-0.10117391304347823</v>
      </c>
      <c r="C445">
        <f>IF(Table2[[#This Row],[Return]]=-1,-1,LOG(1+Table2[[#This Row],[Return]]))</f>
        <v>-4.6324331383241914E-2</v>
      </c>
      <c r="D445">
        <v>5.536986301369863</v>
      </c>
      <c r="E445">
        <v>0</v>
      </c>
      <c r="F445">
        <f>IF(Table2[[#This Row],[Geo Distance]]=0,0,LOG(Table2[[#This Row],[Geo Distance]]))</f>
        <v>0</v>
      </c>
      <c r="G445">
        <v>13</v>
      </c>
      <c r="H445">
        <f>IF(Table2[[#This Row],[Target age]]=0,0,LOG(Table2[[#This Row],[Target age]]))</f>
        <v>1.1139433523068367</v>
      </c>
      <c r="I445" s="45">
        <v>3.29</v>
      </c>
      <c r="J445" s="9">
        <v>0</v>
      </c>
      <c r="K445" s="9">
        <f>IF(Table2[[#This Row],[Culture]]=0,0,LOG(Table2[[#This Row],[Culture]]))</f>
        <v>0</v>
      </c>
      <c r="L445" s="24">
        <v>-0.03</v>
      </c>
      <c r="M445" s="9">
        <f>LOG(1+Table2[[#This Row],[S&amp;P]])</f>
        <v>-1.322826573375516E-2</v>
      </c>
      <c r="N445">
        <v>20</v>
      </c>
      <c r="O445">
        <f>IF(Table2[[#This Row],[fund age]]=0,0,LOG(Table2[[#This Row],[fund age]]))</f>
        <v>1.3010299956639813</v>
      </c>
      <c r="P445">
        <f t="shared" si="6"/>
        <v>0</v>
      </c>
      <c r="Q445">
        <v>70</v>
      </c>
      <c r="R445">
        <v>70</v>
      </c>
      <c r="S445">
        <v>85</v>
      </c>
      <c r="T445" s="34">
        <v>32.299999999999997</v>
      </c>
      <c r="U445" s="42">
        <v>40.040400531970803</v>
      </c>
      <c r="V445">
        <v>1801.1079999999999</v>
      </c>
      <c r="W445">
        <f>LOG(Table2[[#This Row],[generalist]])</f>
        <v>3.2555397552391718</v>
      </c>
      <c r="X445" s="14">
        <v>2</v>
      </c>
      <c r="Y445">
        <v>8416.6209999999992</v>
      </c>
      <c r="Z445">
        <f>LOG(Table2[[#This Row],[country divers.]])</f>
        <v>3.9251377713585649</v>
      </c>
      <c r="AA445">
        <v>230000000</v>
      </c>
      <c r="AB445">
        <f>LOG(Table2[[#This Row],[Firm Size]])</f>
        <v>8.3617278360175931</v>
      </c>
      <c r="AC445" s="80">
        <v>0.23480002907346487</v>
      </c>
    </row>
    <row r="446" spans="1:29" x14ac:dyDescent="0.35">
      <c r="A446" t="s">
        <v>59</v>
      </c>
      <c r="B446">
        <v>0.60000000000000009</v>
      </c>
      <c r="C446">
        <f>IF(Table2[[#This Row],[Return]]=-1,-1,LOG(1+Table2[[#This Row],[Return]]))</f>
        <v>0.20411998265592479</v>
      </c>
      <c r="D446">
        <v>2.3835616438356166</v>
      </c>
      <c r="E446">
        <v>0</v>
      </c>
      <c r="F446">
        <f>IF(Table2[[#This Row],[Geo Distance]]=0,0,LOG(Table2[[#This Row],[Geo Distance]]))</f>
        <v>0</v>
      </c>
      <c r="G446">
        <v>0</v>
      </c>
      <c r="H446">
        <f>IF(Table2[[#This Row],[Target age]]=0,0,LOG(Table2[[#This Row],[Target age]]))</f>
        <v>0</v>
      </c>
      <c r="I446" s="45">
        <v>3.29</v>
      </c>
      <c r="J446" s="9">
        <v>0</v>
      </c>
      <c r="K446" s="9">
        <f>IF(Table2[[#This Row],[Culture]]=0,0,LOG(Table2[[#This Row],[Culture]]))</f>
        <v>0</v>
      </c>
      <c r="L446" s="24">
        <v>0.24</v>
      </c>
      <c r="M446" s="9">
        <f>LOG(1+Table2[[#This Row],[S&amp;P]])</f>
        <v>9.3421685162235063E-2</v>
      </c>
      <c r="N446">
        <v>19</v>
      </c>
      <c r="O446">
        <f>IF(Table2[[#This Row],[fund age]]=0,0,LOG(Table2[[#This Row],[fund age]]))</f>
        <v>1.2787536009528289</v>
      </c>
      <c r="P446">
        <f t="shared" si="6"/>
        <v>0</v>
      </c>
      <c r="Q446">
        <v>70</v>
      </c>
      <c r="R446">
        <v>70</v>
      </c>
      <c r="S446">
        <v>85</v>
      </c>
      <c r="T446" s="34">
        <v>31.3</v>
      </c>
      <c r="U446" s="42">
        <v>38.7850112673514</v>
      </c>
      <c r="V446">
        <v>1801.1079999999999</v>
      </c>
      <c r="W446">
        <f>LOG(Table2[[#This Row],[generalist]])</f>
        <v>3.2555397552391718</v>
      </c>
      <c r="X446" s="14">
        <v>2</v>
      </c>
      <c r="Y446">
        <v>8416.6209999999992</v>
      </c>
      <c r="Z446">
        <f>LOG(Table2[[#This Row],[country divers.]])</f>
        <v>3.9251377713585649</v>
      </c>
      <c r="AA446">
        <v>50000000</v>
      </c>
      <c r="AB446">
        <f>LOG(Table2[[#This Row],[Firm Size]])</f>
        <v>7.6989700043360187</v>
      </c>
      <c r="AC446" s="80">
        <v>0.37408834617047293</v>
      </c>
    </row>
    <row r="447" spans="1:29" x14ac:dyDescent="0.35">
      <c r="A447" t="s">
        <v>59</v>
      </c>
      <c r="B447">
        <v>5.2992125984251972</v>
      </c>
      <c r="C447">
        <f>IF(Table2[[#This Row],[Return]]=-1,-1,LOG(1+Table2[[#This Row],[Return]]))</f>
        <v>0.79928626603598674</v>
      </c>
      <c r="D447">
        <v>2.5671232876712327</v>
      </c>
      <c r="E447">
        <v>0</v>
      </c>
      <c r="F447">
        <f>IF(Table2[[#This Row],[Geo Distance]]=0,0,LOG(Table2[[#This Row],[Geo Distance]]))</f>
        <v>0</v>
      </c>
      <c r="G447">
        <v>15</v>
      </c>
      <c r="H447">
        <f>IF(Table2[[#This Row],[Target age]]=0,0,LOG(Table2[[#This Row],[Target age]]))</f>
        <v>1.1760912590556813</v>
      </c>
      <c r="I447" s="45">
        <v>3.29</v>
      </c>
      <c r="J447" s="9">
        <v>0</v>
      </c>
      <c r="K447" s="9">
        <f>IF(Table2[[#This Row],[Culture]]=0,0,LOG(Table2[[#This Row],[Culture]]))</f>
        <v>0</v>
      </c>
      <c r="L447" s="24">
        <v>0.3</v>
      </c>
      <c r="M447" s="9">
        <f>LOG(1+Table2[[#This Row],[S&amp;P]])</f>
        <v>0.11394335230683679</v>
      </c>
      <c r="N447">
        <v>19</v>
      </c>
      <c r="O447">
        <f>IF(Table2[[#This Row],[fund age]]=0,0,LOG(Table2[[#This Row],[fund age]]))</f>
        <v>1.2787536009528289</v>
      </c>
      <c r="P447">
        <f t="shared" si="6"/>
        <v>0</v>
      </c>
      <c r="Q447">
        <v>70</v>
      </c>
      <c r="R447">
        <v>70</v>
      </c>
      <c r="S447">
        <v>85</v>
      </c>
      <c r="T447" s="34">
        <v>31.3</v>
      </c>
      <c r="U447" s="42">
        <v>38.7850112673514</v>
      </c>
      <c r="V447">
        <v>1801.1079999999999</v>
      </c>
      <c r="W447">
        <f>LOG(Table2[[#This Row],[generalist]])</f>
        <v>3.2555397552391718</v>
      </c>
      <c r="X447" s="14">
        <v>2</v>
      </c>
      <c r="Y447">
        <v>8416.6209999999992</v>
      </c>
      <c r="Z447">
        <f>LOG(Table2[[#This Row],[country divers.]])</f>
        <v>3.9251377713585649</v>
      </c>
      <c r="AA447">
        <v>50800000</v>
      </c>
      <c r="AB447">
        <f>LOG(Table2[[#This Row],[Firm Size]])</f>
        <v>7.7058637122839189</v>
      </c>
      <c r="AC447" s="80">
        <v>0.47414575572490203</v>
      </c>
    </row>
    <row r="448" spans="1:29" x14ac:dyDescent="0.35">
      <c r="A448" t="s">
        <v>59</v>
      </c>
      <c r="B448">
        <v>1.3287671232876712</v>
      </c>
      <c r="C448">
        <f>IF(Table2[[#This Row],[Return]]=-1,-1,LOG(1+Table2[[#This Row],[Return]]))</f>
        <v>0.36712606125781805</v>
      </c>
      <c r="D448">
        <v>1.8849315068493151</v>
      </c>
      <c r="E448">
        <v>0</v>
      </c>
      <c r="F448">
        <f>IF(Table2[[#This Row],[Geo Distance]]=0,0,LOG(Table2[[#This Row],[Geo Distance]]))</f>
        <v>0</v>
      </c>
      <c r="G448">
        <v>30</v>
      </c>
      <c r="H448">
        <f>IF(Table2[[#This Row],[Target age]]=0,0,LOG(Table2[[#This Row],[Target age]]))</f>
        <v>1.4771212547196624</v>
      </c>
      <c r="I448" s="45">
        <v>3.29</v>
      </c>
      <c r="J448" s="9">
        <v>0</v>
      </c>
      <c r="K448" s="9">
        <f>IF(Table2[[#This Row],[Culture]]=0,0,LOG(Table2[[#This Row],[Culture]]))</f>
        <v>0</v>
      </c>
      <c r="L448" s="24">
        <v>0.23</v>
      </c>
      <c r="M448" s="9">
        <f>LOG(1+Table2[[#This Row],[S&amp;P]])</f>
        <v>8.9905111439397931E-2</v>
      </c>
      <c r="N448">
        <v>19</v>
      </c>
      <c r="O448">
        <f>IF(Table2[[#This Row],[fund age]]=0,0,LOG(Table2[[#This Row],[fund age]]))</f>
        <v>1.2787536009528289</v>
      </c>
      <c r="P448">
        <f t="shared" si="6"/>
        <v>0</v>
      </c>
      <c r="Q448">
        <v>70</v>
      </c>
      <c r="R448">
        <v>70</v>
      </c>
      <c r="S448">
        <v>85</v>
      </c>
      <c r="T448" s="34">
        <v>31.3</v>
      </c>
      <c r="U448" s="42">
        <v>38.7850112673514</v>
      </c>
      <c r="V448">
        <v>1801.1079999999999</v>
      </c>
      <c r="W448">
        <f>LOG(Table2[[#This Row],[generalist]])</f>
        <v>3.2555397552391718</v>
      </c>
      <c r="X448" s="14">
        <v>2</v>
      </c>
      <c r="Y448">
        <v>8416.6209999999992</v>
      </c>
      <c r="Z448">
        <f>LOG(Table2[[#This Row],[country divers.]])</f>
        <v>3.9251377713585649</v>
      </c>
      <c r="AA448">
        <v>73000000</v>
      </c>
      <c r="AB448">
        <f>LOG(Table2[[#This Row],[Firm Size]])</f>
        <v>7.8633228601204559</v>
      </c>
      <c r="AC448" s="80">
        <v>0.25656947911309103</v>
      </c>
    </row>
    <row r="449" spans="1:29" x14ac:dyDescent="0.35">
      <c r="A449" t="s">
        <v>59</v>
      </c>
      <c r="B449">
        <v>-0.54830188679245284</v>
      </c>
      <c r="C449">
        <f>IF(Table2[[#This Row],[Return]]=-1,-1,LOG(1+Table2[[#This Row],[Return]]))</f>
        <v>-0.34515172353039719</v>
      </c>
      <c r="D449">
        <v>1.8520547945205479</v>
      </c>
      <c r="E449">
        <v>0</v>
      </c>
      <c r="F449">
        <f>IF(Table2[[#This Row],[Geo Distance]]=0,0,LOG(Table2[[#This Row],[Geo Distance]]))</f>
        <v>0</v>
      </c>
      <c r="G449">
        <v>22</v>
      </c>
      <c r="H449">
        <f>IF(Table2[[#This Row],[Target age]]=0,0,LOG(Table2[[#This Row],[Target age]]))</f>
        <v>1.3424226808222062</v>
      </c>
      <c r="I449" s="45">
        <v>3.29</v>
      </c>
      <c r="J449" s="9">
        <v>0</v>
      </c>
      <c r="K449" s="9">
        <f>IF(Table2[[#This Row],[Culture]]=0,0,LOG(Table2[[#This Row],[Culture]]))</f>
        <v>0</v>
      </c>
      <c r="L449" s="24">
        <v>0.32</v>
      </c>
      <c r="M449" s="9">
        <f>LOG(1+Table2[[#This Row],[S&amp;P]])</f>
        <v>0.12057393120584989</v>
      </c>
      <c r="N449">
        <v>18</v>
      </c>
      <c r="O449">
        <f>IF(Table2[[#This Row],[fund age]]=0,0,LOG(Table2[[#This Row],[fund age]]))</f>
        <v>1.255272505103306</v>
      </c>
      <c r="P449">
        <f t="shared" si="6"/>
        <v>0</v>
      </c>
      <c r="Q449">
        <v>70</v>
      </c>
      <c r="R449">
        <v>70</v>
      </c>
      <c r="S449">
        <v>85</v>
      </c>
      <c r="T449" s="34">
        <v>31.5</v>
      </c>
      <c r="U449" s="42">
        <v>37.589394702761602</v>
      </c>
      <c r="V449">
        <v>1801.1079999999999</v>
      </c>
      <c r="W449">
        <f>LOG(Table2[[#This Row],[generalist]])</f>
        <v>3.2555397552391718</v>
      </c>
      <c r="X449" s="14">
        <v>2</v>
      </c>
      <c r="Y449">
        <v>8416.6209999999992</v>
      </c>
      <c r="Z449">
        <f>LOG(Table2[[#This Row],[country divers.]])</f>
        <v>3.9251377713585649</v>
      </c>
      <c r="AA449">
        <v>53000000</v>
      </c>
      <c r="AB449">
        <f>LOG(Table2[[#This Row],[Firm Size]])</f>
        <v>7.7242758696007892</v>
      </c>
      <c r="AC449" s="80">
        <v>0.20250048479886229</v>
      </c>
    </row>
    <row r="450" spans="1:29" x14ac:dyDescent="0.35">
      <c r="A450" t="s">
        <v>59</v>
      </c>
      <c r="B450">
        <v>0.19992862878044426</v>
      </c>
      <c r="C450">
        <f>IF(Table2[[#This Row],[Return]]=-1,-1,LOG(1+Table2[[#This Row],[Return]]))</f>
        <v>7.9155415173775334E-2</v>
      </c>
      <c r="D450">
        <v>3.5178082191780824</v>
      </c>
      <c r="E450">
        <v>0</v>
      </c>
      <c r="F450">
        <f>IF(Table2[[#This Row],[Geo Distance]]=0,0,LOG(Table2[[#This Row],[Geo Distance]]))</f>
        <v>0</v>
      </c>
      <c r="G450">
        <v>4</v>
      </c>
      <c r="H450">
        <f>IF(Table2[[#This Row],[Target age]]=0,0,LOG(Table2[[#This Row],[Target age]]))</f>
        <v>0.6020599913279624</v>
      </c>
      <c r="I450" s="45">
        <v>3.29</v>
      </c>
      <c r="J450" s="9">
        <v>0</v>
      </c>
      <c r="K450" s="9">
        <f>IF(Table2[[#This Row],[Culture]]=0,0,LOG(Table2[[#This Row],[Culture]]))</f>
        <v>0</v>
      </c>
      <c r="L450" s="24">
        <v>0.04</v>
      </c>
      <c r="M450" s="9">
        <f>LOG(1+Table2[[#This Row],[S&amp;P]])</f>
        <v>1.703333929878037E-2</v>
      </c>
      <c r="N450">
        <v>18</v>
      </c>
      <c r="O450">
        <f>IF(Table2[[#This Row],[fund age]]=0,0,LOG(Table2[[#This Row],[fund age]]))</f>
        <v>1.255272505103306</v>
      </c>
      <c r="P450">
        <f t="shared" ref="P450:P457" si="7">IF(E450=0,0,1)</f>
        <v>0</v>
      </c>
      <c r="Q450">
        <v>70</v>
      </c>
      <c r="R450">
        <v>70</v>
      </c>
      <c r="S450">
        <v>85</v>
      </c>
      <c r="T450" s="34">
        <v>31.5</v>
      </c>
      <c r="U450" s="42">
        <v>37.589394702761602</v>
      </c>
      <c r="V450">
        <v>1801.1079999999999</v>
      </c>
      <c r="W450">
        <f>LOG(Table2[[#This Row],[generalist]])</f>
        <v>3.2555397552391718</v>
      </c>
      <c r="X450" s="14">
        <v>2</v>
      </c>
      <c r="Y450">
        <v>8416.6209999999992</v>
      </c>
      <c r="Z450">
        <f>LOG(Table2[[#This Row],[country divers.]])</f>
        <v>3.9251377713585649</v>
      </c>
      <c r="AA450">
        <v>112090000</v>
      </c>
      <c r="AB450">
        <f>LOG(Table2[[#This Row],[Firm Size]])</f>
        <v>8.0495668691646518</v>
      </c>
      <c r="AC450" s="80">
        <v>6.2263152242286512E-2</v>
      </c>
    </row>
    <row r="451" spans="1:29" x14ac:dyDescent="0.35">
      <c r="A451" t="s">
        <v>59</v>
      </c>
      <c r="B451">
        <v>6.0666666666666664</v>
      </c>
      <c r="C451">
        <f>IF(Table2[[#This Row],[Return]]=-1,-1,LOG(1+Table2[[#This Row],[Return]]))</f>
        <v>0.84921460620908895</v>
      </c>
      <c r="D451">
        <v>4.0273972602739727</v>
      </c>
      <c r="E451">
        <v>0</v>
      </c>
      <c r="F451">
        <f>IF(Table2[[#This Row],[Geo Distance]]=0,0,LOG(Table2[[#This Row],[Geo Distance]]))</f>
        <v>0</v>
      </c>
      <c r="G451">
        <v>6</v>
      </c>
      <c r="H451">
        <f>IF(Table2[[#This Row],[Target age]]=0,0,LOG(Table2[[#This Row],[Target age]]))</f>
        <v>0.77815125038364363</v>
      </c>
      <c r="I451" s="45">
        <v>3.29</v>
      </c>
      <c r="J451" s="9">
        <v>0</v>
      </c>
      <c r="K451" s="9">
        <f>IF(Table2[[#This Row],[Culture]]=0,0,LOG(Table2[[#This Row],[Culture]]))</f>
        <v>0</v>
      </c>
      <c r="L451" s="24">
        <v>0.13</v>
      </c>
      <c r="M451" s="9">
        <f>LOG(1+Table2[[#This Row],[S&amp;P]])</f>
        <v>5.3078443483419682E-2</v>
      </c>
      <c r="N451">
        <v>18</v>
      </c>
      <c r="O451">
        <f>IF(Table2[[#This Row],[fund age]]=0,0,LOG(Table2[[#This Row],[fund age]]))</f>
        <v>1.255272505103306</v>
      </c>
      <c r="P451">
        <f t="shared" si="7"/>
        <v>0</v>
      </c>
      <c r="Q451">
        <v>70</v>
      </c>
      <c r="R451">
        <v>70</v>
      </c>
      <c r="S451">
        <v>85</v>
      </c>
      <c r="T451" s="34">
        <v>31.5</v>
      </c>
      <c r="U451" s="42">
        <v>37.589394702761602</v>
      </c>
      <c r="V451">
        <v>1801.1079999999999</v>
      </c>
      <c r="W451">
        <f>LOG(Table2[[#This Row],[generalist]])</f>
        <v>3.2555397552391718</v>
      </c>
      <c r="X451" s="14">
        <v>2</v>
      </c>
      <c r="Y451">
        <v>8416.6209999999992</v>
      </c>
      <c r="Z451">
        <f>LOG(Table2[[#This Row],[country divers.]])</f>
        <v>3.9251377713585649</v>
      </c>
      <c r="AA451">
        <v>15000000</v>
      </c>
      <c r="AB451">
        <f>LOG(Table2[[#This Row],[Firm Size]])</f>
        <v>7.1760912590556813</v>
      </c>
      <c r="AC451" s="80">
        <v>0.19495315284244397</v>
      </c>
    </row>
    <row r="452" spans="1:29" x14ac:dyDescent="0.35">
      <c r="A452" t="s">
        <v>59</v>
      </c>
      <c r="B452">
        <v>4.4054054054054053</v>
      </c>
      <c r="C452">
        <f>IF(Table2[[#This Row],[Return]]=-1,-1,LOG(1+Table2[[#This Row],[Return]]))</f>
        <v>0.73282827159698616</v>
      </c>
      <c r="D452">
        <v>6.7945205479452051</v>
      </c>
      <c r="E452">
        <v>0</v>
      </c>
      <c r="F452">
        <f>IF(Table2[[#This Row],[Geo Distance]]=0,0,LOG(Table2[[#This Row],[Geo Distance]]))</f>
        <v>0</v>
      </c>
      <c r="G452">
        <v>12</v>
      </c>
      <c r="H452">
        <f>IF(Table2[[#This Row],[Target age]]=0,0,LOG(Table2[[#This Row],[Target age]]))</f>
        <v>1.0791812460476249</v>
      </c>
      <c r="I452" s="45">
        <v>3.29</v>
      </c>
      <c r="J452" s="9">
        <v>0</v>
      </c>
      <c r="K452" s="9">
        <f>IF(Table2[[#This Row],[Culture]]=0,0,LOG(Table2[[#This Row],[Culture]]))</f>
        <v>0</v>
      </c>
      <c r="L452" s="24">
        <v>0.1</v>
      </c>
      <c r="M452" s="9">
        <f>LOG(1+Table2[[#This Row],[S&amp;P]])</f>
        <v>4.1392685158225077E-2</v>
      </c>
      <c r="N452">
        <v>17</v>
      </c>
      <c r="O452">
        <f>IF(Table2[[#This Row],[fund age]]=0,0,LOG(Table2[[#This Row],[fund age]]))</f>
        <v>1.2304489213782739</v>
      </c>
      <c r="P452">
        <f t="shared" si="7"/>
        <v>0</v>
      </c>
      <c r="Q452">
        <v>70</v>
      </c>
      <c r="R452">
        <v>70</v>
      </c>
      <c r="S452">
        <v>85</v>
      </c>
      <c r="T452" s="34">
        <v>32.6</v>
      </c>
      <c r="U452" s="42">
        <v>36.544739309553499</v>
      </c>
      <c r="V452">
        <v>1801.1079999999999</v>
      </c>
      <c r="W452">
        <f>LOG(Table2[[#This Row],[generalist]])</f>
        <v>3.2555397552391718</v>
      </c>
      <c r="X452" s="14">
        <v>2</v>
      </c>
      <c r="Y452">
        <v>8416.6209999999992</v>
      </c>
      <c r="Z452">
        <f>LOG(Table2[[#This Row],[country divers.]])</f>
        <v>3.9251377713585649</v>
      </c>
      <c r="AA452">
        <v>111000000</v>
      </c>
      <c r="AB452">
        <f>LOG(Table2[[#This Row],[Firm Size]])</f>
        <v>8.0453229787866576</v>
      </c>
      <c r="AC452" s="80">
        <v>9.4024670681404077E-2</v>
      </c>
    </row>
    <row r="453" spans="1:29" x14ac:dyDescent="0.35">
      <c r="A453" t="s">
        <v>59</v>
      </c>
      <c r="B453">
        <v>-1</v>
      </c>
      <c r="C453">
        <f>IF(Table2[[#This Row],[Return]]=-1,-1,LOG(1+Table2[[#This Row],[Return]]))</f>
        <v>-1</v>
      </c>
      <c r="D453">
        <v>5.3589041095890408</v>
      </c>
      <c r="E453">
        <v>0</v>
      </c>
      <c r="F453">
        <f>IF(Table2[[#This Row],[Geo Distance]]=0,0,LOG(Table2[[#This Row],[Geo Distance]]))</f>
        <v>0</v>
      </c>
      <c r="G453">
        <v>40</v>
      </c>
      <c r="H453">
        <f>IF(Table2[[#This Row],[Target age]]=0,0,LOG(Table2[[#This Row],[Target age]]))</f>
        <v>1.6020599913279623</v>
      </c>
      <c r="I453" s="45">
        <v>3.29</v>
      </c>
      <c r="J453">
        <v>0</v>
      </c>
      <c r="K453" s="9">
        <f>IF(Table2[[#This Row],[Culture]]=0,0,LOG(Table2[[#This Row],[Culture]]))</f>
        <v>0</v>
      </c>
      <c r="L453" s="24">
        <v>0.01</v>
      </c>
      <c r="M453" s="9">
        <f>LOG(1+Table2[[#This Row],[S&amp;P]])</f>
        <v>4.3213737826425782E-3</v>
      </c>
      <c r="N453">
        <v>20</v>
      </c>
      <c r="O453">
        <f>IF(Table2[[#This Row],[fund age]]=0,0,LOG(Table2[[#This Row],[fund age]]))</f>
        <v>1.3010299956639813</v>
      </c>
      <c r="P453">
        <f t="shared" si="7"/>
        <v>0</v>
      </c>
      <c r="Q453">
        <v>70</v>
      </c>
      <c r="R453">
        <v>70</v>
      </c>
      <c r="S453">
        <v>85</v>
      </c>
      <c r="T453" s="34">
        <v>32.299999999999997</v>
      </c>
      <c r="U453" s="42">
        <v>40.040400531970803</v>
      </c>
      <c r="V453">
        <v>1801.1079999999999</v>
      </c>
      <c r="W453">
        <f>LOG(Table2[[#This Row],[generalist]])</f>
        <v>3.2555397552391718</v>
      </c>
      <c r="X453" s="14">
        <v>2</v>
      </c>
      <c r="Y453">
        <v>8416.6209999999992</v>
      </c>
      <c r="Z453">
        <f>LOG(Table2[[#This Row],[country divers.]])</f>
        <v>3.9251377713585649</v>
      </c>
      <c r="AA453">
        <v>64000000</v>
      </c>
      <c r="AB453">
        <f>LOG(Table2[[#This Row],[Firm Size]])</f>
        <v>7.8061799739838875</v>
      </c>
      <c r="AC453" s="80">
        <v>0.23703279464130067</v>
      </c>
    </row>
    <row r="454" spans="1:29" x14ac:dyDescent="0.35">
      <c r="A454" t="s">
        <v>59</v>
      </c>
      <c r="B454">
        <v>1.3809523809523809</v>
      </c>
      <c r="C454">
        <f>IF(Table2[[#This Row],[Return]]=-1,-1,LOG(1+Table2[[#This Row],[Return]]))</f>
        <v>0.37675070960209955</v>
      </c>
      <c r="D454">
        <v>1.263013698630137</v>
      </c>
      <c r="E454">
        <v>5897.96</v>
      </c>
      <c r="F454">
        <f>IF(Table2[[#This Row],[Geo Distance]]=0,0,LOG(Table2[[#This Row],[Geo Distance]]))</f>
        <v>3.7707018228379927</v>
      </c>
      <c r="G454">
        <v>18</v>
      </c>
      <c r="H454">
        <f>IF(Table2[[#This Row],[Target age]]=0,0,LOG(Table2[[#This Row],[Target age]]))</f>
        <v>1.255272505103306</v>
      </c>
      <c r="I454" s="45">
        <v>2.3199999999999998</v>
      </c>
      <c r="J454">
        <v>132</v>
      </c>
      <c r="K454" s="9">
        <f>IF(Table2[[#This Row],[Culture]]=0,0,LOG(Table2[[#This Row],[Culture]]))</f>
        <v>2.12057393120585</v>
      </c>
      <c r="L454" s="24">
        <v>0.14000000000000001</v>
      </c>
      <c r="M454" s="9">
        <f>LOG(1+Table2[[#This Row],[S&amp;P]])</f>
        <v>5.6904851336472641E-2</v>
      </c>
      <c r="N454">
        <v>38</v>
      </c>
      <c r="O454">
        <f>IF(Table2[[#This Row],[fund age]]=0,0,LOG(Table2[[#This Row],[fund age]]))</f>
        <v>1.5797835966168101</v>
      </c>
      <c r="P454">
        <f t="shared" si="7"/>
        <v>1</v>
      </c>
      <c r="Q454">
        <v>70</v>
      </c>
      <c r="R454">
        <v>70</v>
      </c>
      <c r="S454">
        <v>91.5</v>
      </c>
      <c r="T454" s="34">
        <v>32.9</v>
      </c>
      <c r="U454" s="42">
        <v>40.767390998852598</v>
      </c>
      <c r="V454">
        <v>2446.450593263969</v>
      </c>
      <c r="W454">
        <f>LOG(Table2[[#This Row],[generalist]])</f>
        <v>3.3885364494891754</v>
      </c>
      <c r="X454" s="14">
        <v>2</v>
      </c>
      <c r="Y454">
        <v>6578.8244872547029</v>
      </c>
      <c r="Z454">
        <f>LOG(Table2[[#This Row],[country divers.]])</f>
        <v>3.818148300254375</v>
      </c>
      <c r="AA454">
        <v>84000000</v>
      </c>
      <c r="AB454">
        <f>LOG(Table2[[#This Row],[Firm Size]])</f>
        <v>7.924279286061882</v>
      </c>
      <c r="AC454" s="80">
        <v>0.10252584357323991</v>
      </c>
    </row>
    <row r="455" spans="1:29" x14ac:dyDescent="0.35">
      <c r="A455" t="s">
        <v>59</v>
      </c>
      <c r="B455">
        <v>1.7188879347826087</v>
      </c>
      <c r="C455">
        <f>IF(Table2[[#This Row],[Return]]=-1,-1,LOG(1+Table2[[#This Row],[Return]]))</f>
        <v>0.43439130751080973</v>
      </c>
      <c r="D455">
        <v>3.0712328767123287</v>
      </c>
      <c r="E455">
        <v>5897.96</v>
      </c>
      <c r="F455">
        <f>IF(Table2[[#This Row],[Geo Distance]]=0,0,LOG(Table2[[#This Row],[Geo Distance]]))</f>
        <v>3.7707018228379927</v>
      </c>
      <c r="G455">
        <v>12</v>
      </c>
      <c r="H455">
        <f>IF(Table2[[#This Row],[Target age]]=0,0,LOG(Table2[[#This Row],[Target age]]))</f>
        <v>1.0791812460476249</v>
      </c>
      <c r="I455" s="45">
        <v>2.3199999999999998</v>
      </c>
      <c r="J455">
        <v>132</v>
      </c>
      <c r="K455" s="9">
        <f>IF(Table2[[#This Row],[Culture]]=0,0,LOG(Table2[[#This Row],[Culture]]))</f>
        <v>2.12057393120585</v>
      </c>
      <c r="L455" s="24">
        <v>0.28000000000000003</v>
      </c>
      <c r="M455" s="9">
        <f>LOG(1+Table2[[#This Row],[S&amp;P]])</f>
        <v>0.10720996964786837</v>
      </c>
      <c r="N455">
        <v>36</v>
      </c>
      <c r="O455">
        <f>IF(Table2[[#This Row],[fund age]]=0,0,LOG(Table2[[#This Row],[fund age]]))</f>
        <v>1.5563025007672873</v>
      </c>
      <c r="P455">
        <f t="shared" si="7"/>
        <v>1</v>
      </c>
      <c r="Q455">
        <v>70</v>
      </c>
      <c r="R455">
        <v>70</v>
      </c>
      <c r="S455">
        <v>85</v>
      </c>
      <c r="T455" s="34">
        <v>32.299999999999997</v>
      </c>
      <c r="U455" s="42">
        <v>40.040400531970803</v>
      </c>
      <c r="V455">
        <v>2446.450593263969</v>
      </c>
      <c r="W455">
        <f>LOG(Table2[[#This Row],[generalist]])</f>
        <v>3.3885364494891754</v>
      </c>
      <c r="X455" s="14">
        <v>2</v>
      </c>
      <c r="Y455">
        <v>6578.8244872547029</v>
      </c>
      <c r="Z455">
        <f>LOG(Table2[[#This Row],[country divers.]])</f>
        <v>3.818148300254375</v>
      </c>
      <c r="AA455">
        <v>92000000</v>
      </c>
      <c r="AB455">
        <f>LOG(Table2[[#This Row],[Firm Size]])</f>
        <v>7.9637878273455556</v>
      </c>
      <c r="AC455" s="80">
        <v>0.46819115541604051</v>
      </c>
    </row>
    <row r="456" spans="1:29" x14ac:dyDescent="0.35">
      <c r="A456" t="s">
        <v>59</v>
      </c>
      <c r="B456">
        <v>1.6079869600651997</v>
      </c>
      <c r="C456">
        <f>IF(Table2[[#This Row],[Return]]=-1,-1,LOG(1+Table2[[#This Row],[Return]]))</f>
        <v>0.41630541559290174</v>
      </c>
      <c r="D456">
        <v>7.441095890410959</v>
      </c>
      <c r="E456">
        <v>5897.96</v>
      </c>
      <c r="F456">
        <f>IF(Table2[[#This Row],[Geo Distance]]=0,0,LOG(Table2[[#This Row],[Geo Distance]]))</f>
        <v>3.7707018228379927</v>
      </c>
      <c r="G456">
        <v>3</v>
      </c>
      <c r="H456">
        <f>IF(Table2[[#This Row],[Target age]]=0,0,LOG(Table2[[#This Row],[Target age]]))</f>
        <v>0.47712125471966244</v>
      </c>
      <c r="I456" s="45">
        <v>2.3199999999999998</v>
      </c>
      <c r="J456">
        <v>132</v>
      </c>
      <c r="K456" s="9">
        <f>IF(Table2[[#This Row],[Culture]]=0,0,LOG(Table2[[#This Row],[Culture]]))</f>
        <v>2.12057393120585</v>
      </c>
      <c r="L456" s="24">
        <v>0.25</v>
      </c>
      <c r="M456" s="9">
        <f>LOG(1+Table2[[#This Row],[S&amp;P]])</f>
        <v>9.691001300805642E-2</v>
      </c>
      <c r="N456">
        <v>35</v>
      </c>
      <c r="O456">
        <f>IF(Table2[[#This Row],[fund age]]=0,0,LOG(Table2[[#This Row],[fund age]]))</f>
        <v>1.5440680443502757</v>
      </c>
      <c r="P456">
        <f t="shared" si="7"/>
        <v>1</v>
      </c>
      <c r="Q456">
        <v>70</v>
      </c>
      <c r="R456">
        <v>70</v>
      </c>
      <c r="S456">
        <v>85</v>
      </c>
      <c r="T456" s="34">
        <v>31.3</v>
      </c>
      <c r="U456" s="42">
        <v>38.7850112673514</v>
      </c>
      <c r="V456">
        <v>2446.450593263969</v>
      </c>
      <c r="W456">
        <f>LOG(Table2[[#This Row],[generalist]])</f>
        <v>3.3885364494891754</v>
      </c>
      <c r="X456" s="14">
        <v>2</v>
      </c>
      <c r="Y456">
        <v>6578.8244872547029</v>
      </c>
      <c r="Z456">
        <f>LOG(Table2[[#This Row],[country divers.]])</f>
        <v>3.818148300254375</v>
      </c>
      <c r="AA456">
        <v>49080000</v>
      </c>
      <c r="AB456">
        <f>LOG(Table2[[#This Row],[Firm Size]])</f>
        <v>7.690904554054967</v>
      </c>
      <c r="AC456" s="80">
        <v>0.42539750472167692</v>
      </c>
    </row>
    <row r="457" spans="1:29" x14ac:dyDescent="0.35">
      <c r="A457" t="s">
        <v>59</v>
      </c>
      <c r="B457">
        <v>0.85000000000000009</v>
      </c>
      <c r="C457">
        <f>IF(Table2[[#This Row],[Return]]=-1,-1,LOG(1+Table2[[#This Row],[Return]]))</f>
        <v>0.26717172840301384</v>
      </c>
      <c r="D457">
        <v>6.0712328767123287</v>
      </c>
      <c r="E457">
        <v>1153.8900000000001</v>
      </c>
      <c r="F457">
        <f>IF(Table2[[#This Row],[Geo Distance]]=0,0,LOG(Table2[[#This Row],[Geo Distance]]))</f>
        <v>3.0621644096256042</v>
      </c>
      <c r="G457">
        <v>5</v>
      </c>
      <c r="H457">
        <f>IF(Table2[[#This Row],[Target age]]=0,0,LOG(Table2[[#This Row],[Target age]]))</f>
        <v>0.69897000433601886</v>
      </c>
      <c r="I457" s="45">
        <v>2.69</v>
      </c>
      <c r="J457" s="9">
        <v>854.67</v>
      </c>
      <c r="K457" s="9">
        <f>IF(Table2[[#This Row],[Culture]]=0,0,LOG(Table2[[#This Row],[Culture]]))</f>
        <v>2.9317984599400462</v>
      </c>
      <c r="L457" s="24">
        <v>0.17</v>
      </c>
      <c r="M457" s="9">
        <f>LOG(1+Table2[[#This Row],[S&amp;P]])</f>
        <v>6.8185861746161619E-2</v>
      </c>
      <c r="N457">
        <v>11</v>
      </c>
      <c r="O457">
        <f>IF(Table2[[#This Row],[fund age]]=0,0,LOG(Table2[[#This Row],[fund age]]))</f>
        <v>1.0413926851582251</v>
      </c>
      <c r="P457">
        <f t="shared" si="7"/>
        <v>1</v>
      </c>
      <c r="Q457">
        <v>70</v>
      </c>
      <c r="R457">
        <v>70</v>
      </c>
      <c r="S457">
        <v>91.2</v>
      </c>
      <c r="T457" s="34">
        <v>33</v>
      </c>
      <c r="U457" s="42">
        <v>40.902544500539101</v>
      </c>
      <c r="V457">
        <v>2515.7884814779904</v>
      </c>
      <c r="W457">
        <f>LOG(Table2[[#This Row],[generalist]])</f>
        <v>3.4006741243771632</v>
      </c>
      <c r="X457" s="14">
        <v>2</v>
      </c>
      <c r="Y457">
        <v>6800.8294844000393</v>
      </c>
      <c r="Z457">
        <f>LOG(Table2[[#This Row],[country divers.]])</f>
        <v>3.8325618860191688</v>
      </c>
      <c r="AA457">
        <v>40000000</v>
      </c>
      <c r="AB457">
        <f>LOG(Table2[[#This Row],[Firm Size]])</f>
        <v>7.6020599913279625</v>
      </c>
      <c r="AC457" s="80">
        <v>3.0618021417306629E-2</v>
      </c>
    </row>
  </sheetData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sample 1</vt:lpstr>
      <vt:lpstr>Descriptive statistics</vt:lpstr>
      <vt:lpstr>Sheet1</vt:lpstr>
      <vt:lpstr>Small</vt:lpstr>
      <vt:lpstr>Medium</vt:lpstr>
      <vt:lpstr>Big</vt:lpstr>
      <vt:lpstr>Foreign</vt:lpstr>
      <vt:lpstr>Domestic</vt:lpstr>
      <vt:lpstr>Not used1</vt:lpstr>
      <vt:lpstr>Not used</vt:lpstr>
      <vt:lpstr>Europe</vt:lpstr>
      <vt:lpstr>US</vt:lpstr>
      <vt:lpstr>Failure</vt:lpstr>
      <vt:lpstr>Boom</vt:lpstr>
      <vt:lpstr>Bust</vt:lpstr>
    </vt:vector>
  </TitlesOfParts>
  <Manager/>
  <Company>BI Norwegian Business School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Ueland, Jon</dc:creator>
  <cp:keywords/>
  <dc:description/>
  <cp:lastModifiedBy>Wilhelmsen, Lise Marie</cp:lastModifiedBy>
  <cp:revision/>
  <dcterms:created xsi:type="dcterms:W3CDTF">2019-03-13T14:40:50Z</dcterms:created>
  <dcterms:modified xsi:type="dcterms:W3CDTF">2019-10-16T13:14:55Z</dcterms:modified>
  <cp:category/>
  <cp:contentStatus/>
</cp:coreProperties>
</file>